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bhamkhetan/Library/Mobile Documents/com~apple~CloudDocs/Vriddhi Fuels/"/>
    </mc:Choice>
  </mc:AlternateContent>
  <xr:revisionPtr revIDLastSave="0" documentId="13_ncr:1_{25DA58CE-76B7-9240-97EC-1BBAD5300CF7}" xr6:coauthVersionLast="47" xr6:coauthVersionMax="47" xr10:uidLastSave="{00000000-0000-0000-0000-000000000000}"/>
  <bookViews>
    <workbookView xWindow="15620" yWindow="8720" windowWidth="29900" windowHeight="16860" xr2:uid="{CE292883-7340-9C48-963C-728A9F0141DC}"/>
  </bookViews>
  <sheets>
    <sheet name="Index" sheetId="28" r:id="rId1"/>
    <sheet name="Master Paid" sheetId="27" r:id="rId2"/>
    <sheet name="Outstanding" sheetId="29" r:id="rId3"/>
    <sheet name="Lakhanpur RCP_Bulk" sheetId="50" r:id="rId4"/>
    <sheet name="Ankita Air Group_Bulk" sheetId="53" r:id="rId5"/>
    <sheet name="DBL_Bulk" sheetId="101" r:id="rId6"/>
    <sheet name="OMPL_Bulk" sheetId="48" r:id="rId7"/>
    <sheet name="SMC_Bulk" sheetId="52" r:id="rId8"/>
    <sheet name="Aryan_Bulk" sheetId="100" r:id="rId9"/>
    <sheet name="Ultratech_Bulk" sheetId="51" r:id="rId10"/>
    <sheet name="Shyam Metalics_Bulk" sheetId="49" r:id="rId11"/>
    <sheet name="Billing" sheetId="93" r:id="rId12"/>
    <sheet name="Tanker Master" sheetId="94" r:id="rId13"/>
    <sheet name="HSD Bill" sheetId="77" r:id="rId14"/>
    <sheet name="SSM" sheetId="25" r:id="rId15"/>
    <sheet name="Sudarshan" sheetId="24" r:id="rId16"/>
    <sheet name="RSA" sheetId="34" r:id="rId17"/>
    <sheet name="SSFC" sheetId="33" r:id="rId18"/>
    <sheet name="String" sheetId="31" r:id="rId19"/>
    <sheet name="PPTE" sheetId="37" r:id="rId20"/>
    <sheet name="OMPL Retail" sheetId="39" r:id="rId21"/>
    <sheet name="STEELS &amp; CARRIERS" sheetId="40" r:id="rId22"/>
    <sheet name="Simar Infra" sheetId="22" r:id="rId23"/>
    <sheet name="Shivaay" sheetId="21" r:id="rId24"/>
    <sheet name="AKV Logistics" sheetId="99" r:id="rId25"/>
    <sheet name="Bhatia Energy" sheetId="98" r:id="rId26"/>
    <sheet name="Keshav Minerals" sheetId="97" r:id="rId27"/>
    <sheet name="Pine Labs" sheetId="96" r:id="rId28"/>
    <sheet name="Animesh Builders" sheetId="91" r:id="rId29"/>
    <sheet name="Samlai Logistics" sheetId="45" r:id="rId30"/>
    <sheet name="SHRI LAL KHETAN" sheetId="44" r:id="rId31"/>
    <sheet name="SBS" sheetId="20" r:id="rId32"/>
    <sheet name="RSM" sheetId="19" r:id="rId33"/>
    <sheet name="Jyoti Ranjan Dash" sheetId="35" r:id="rId34"/>
    <sheet name="Natwar Khetan" sheetId="17" r:id="rId35"/>
    <sheet name="Ekdant" sheetId="36" r:id="rId36"/>
    <sheet name="MRD" sheetId="16" r:id="rId37"/>
    <sheet name="Indiabuild" sheetId="14" r:id="rId38"/>
    <sheet name="ECBPL" sheetId="13" r:id="rId39"/>
    <sheet name="HSD Sale" sheetId="1" r:id="rId40"/>
    <sheet name="HSD Daily" sheetId="6" r:id="rId41"/>
    <sheet name="MS Sale" sheetId="3" r:id="rId42"/>
    <sheet name="MS Daily" sheetId="7" r:id="rId43"/>
    <sheet name="XG Sale" sheetId="5" r:id="rId44"/>
    <sheet name="Other Sale" sheetId="32" r:id="rId45"/>
    <sheet name="HSD FY Summary" sheetId="9" r:id="rId46"/>
    <sheet name="MS FY Summary" sheetId="10" r:id="rId47"/>
    <sheet name="OIC FS JSG" sheetId="30" r:id="rId48"/>
    <sheet name="Customer GST" sheetId="47" r:id="rId49"/>
    <sheet name="TN Roadlines" sheetId="26" r:id="rId50"/>
  </sheets>
  <functionGroups builtInGroupCount="19"/>
  <definedNames>
    <definedName name="_xlnm._FilterDatabase" localSheetId="39" hidden="1">'HSD Sale'!$G$1:$G$1</definedName>
    <definedName name="_xlnm._FilterDatabase" localSheetId="41" hidden="1">'MS Sale'!$G$1:$G$43</definedName>
    <definedName name="_xlnm._FilterDatabase" localSheetId="43" hidden="1">'XG Sale'!$G$1:$G$43</definedName>
    <definedName name="_xlpm.al" hidden="1" xlm="1">#NAME?</definedName>
    <definedName name="_xlpm.all" hidden="1" xlm="1">#NAME?</definedName>
    <definedName name="_xlpm.alo" hidden="1" xlm="1">#NAME?</definedName>
    <definedName name="_xlpm.amt" hidden="1" xlm="1">#NAME?</definedName>
    <definedName name="_xlpm.bal" hidden="1" xlm="1">#NAME?</definedName>
    <definedName name="_xlpm.bdy" hidden="1" xlm="1">#NAME?</definedName>
    <definedName name="_xlpm.c" hidden="1" xlm="1">#NAME?</definedName>
    <definedName name="_xlpm.cl" hidden="1" xlm="1">#NAME?</definedName>
    <definedName name="_xlpm.coltot" hidden="1" xlm="1">#NAME?</definedName>
    <definedName name="_xlpm.comps" hidden="1" xlm="1">#NAME?</definedName>
    <definedName name="_xlpm.cos" hidden="1" xlm="1">#NAME?</definedName>
    <definedName name="_xlpm.cust" hidden="1" xlm="1">#NAME?</definedName>
    <definedName name="_xlpm.cut" hidden="1" xlm="1">#NAME?</definedName>
    <definedName name="_xlpm.d" hidden="1" xlm="1">#NAME?</definedName>
    <definedName name="_xlpm.dA" hidden="1" xlm="1">#NAME?</definedName>
    <definedName name="_xlpm.dates" hidden="1" xlm="1">#NAME?</definedName>
    <definedName name="_xlpm.dts" hidden="1" xlm="1">#NAME?</definedName>
    <definedName name="_xlpm.f" hidden="1" xlm="1">#NAME?</definedName>
    <definedName name="_xlpm.fc" hidden="1" xlm="1">#NAME?</definedName>
    <definedName name="_xlpm.flt" hidden="1" xlm="1">#NAME?</definedName>
    <definedName name="_xlpm.fromD" hidden="1" xlm="1">#NAME?</definedName>
    <definedName name="_xlpm.grand" hidden="1" xlm="1">#NAME?</definedName>
    <definedName name="_xlpm.grp" hidden="1" xlm="1">#NAME?</definedName>
    <definedName name="_xlpm.hb" hidden="1" xlm="1">#NAME?</definedName>
    <definedName name="_xlpm.hc" hidden="1" xlm="1">#NAME?</definedName>
    <definedName name="_xlpm.hd" hidden="1" xlm="1">#NAME?</definedName>
    <definedName name="_xlpm.hdr" hidden="1" xlm="1">#NAME?</definedName>
    <definedName name="_xlpm.hF" hidden="1" xlm="1">#NAME?</definedName>
    <definedName name="_xlpm.hh" hidden="1" xlm="1">#NAME?</definedName>
    <definedName name="_xlpm.hsd" hidden="1" xlm="1">#NAME?</definedName>
    <definedName name="_xlpm.hu" hidden="1" xlm="1">#NAME?</definedName>
    <definedName name="_xlpm.keep" hidden="1" xlm="1">#NAME?</definedName>
    <definedName name="_xlpm.m" hidden="1" xlm="1">#NAME?</definedName>
    <definedName name="_xlpm.mA" hidden="1" xlm="1">#NAME?</definedName>
    <definedName name="_xlpm.matrix" hidden="1" xlm="1">#NAME?</definedName>
    <definedName name="_xlpm.mb" hidden="1" xlm="1">#NAME?</definedName>
    <definedName name="_xlpm.mc" hidden="1" xlm="1">#NAME?</definedName>
    <definedName name="_xlpm.md" hidden="1" xlm="1">#NAME?</definedName>
    <definedName name="_xlpm.mF" hidden="1" xlm="1">#NAME?</definedName>
    <definedName name="_xlpm.mm" hidden="1" xlm="1">#NAME?</definedName>
    <definedName name="_xlpm.ms" hidden="1" xlm="1">#NAME?</definedName>
    <definedName name="_xlpm.msk" hidden="1" xlm="1">#NAME?</definedName>
    <definedName name="_xlpm.mu" hidden="1" xlm="1">#NAME?</definedName>
    <definedName name="_xlpm.net" hidden="1" xlm="1">#NAME?</definedName>
    <definedName name="_xlpm.oA" hidden="1" xlm="1">#NAME?</definedName>
    <definedName name="_xlpm.ob" hidden="1" xlm="1">#NAME?</definedName>
    <definedName name="_xlpm.oc" hidden="1" xlm="1">#NAME?</definedName>
    <definedName name="_xlpm.od" hidden="1" xlm="1">#NAME?</definedName>
    <definedName name="_xlpm.oF" hidden="1" xlm="1">#NAME?</definedName>
    <definedName name="_xlpm.oo" hidden="1" xlm="1">#NAME?</definedName>
    <definedName name="_xlpm.op" hidden="1" xlm="1">#NAME?</definedName>
    <definedName name="_xlpm.oth" hidden="1" xlm="1">#NAME?</definedName>
    <definedName name="_xlpm.p" hidden="1" xlm="1">#NAME?</definedName>
    <definedName name="_xlpm.pA" hidden="1" xlm="1">#NAME?</definedName>
    <definedName name="_xlpm.pc" hidden="1" xlm="1">#NAME?</definedName>
    <definedName name="_xlpm.pd" hidden="1" xlm="1">#NAME?</definedName>
    <definedName name="_xlpm.pF" hidden="1" xlm="1">#NAME?</definedName>
    <definedName name="_xlpm.po" hidden="1" xlm="1">#NAME?</definedName>
    <definedName name="_xlpm.pos" hidden="1" xlm="1">#NAME?</definedName>
    <definedName name="_xlpm.pp" hidden="1" xlm="1">#NAME?</definedName>
    <definedName name="_xlpm.prod" hidden="1" xlm="1">#NAME?</definedName>
    <definedName name="_xlpm.pu" hidden="1" xlm="1">#NAME?</definedName>
    <definedName name="_xlpm.qty" hidden="1" xlm="1">#NAME?</definedName>
    <definedName name="_xlpm.res" hidden="1" xlm="1">#NAME?</definedName>
    <definedName name="_xlpm.rowtot" hidden="1" xlm="1">#NAME?</definedName>
    <definedName name="_xlpm.sc" hidden="1" xlm="1">#NAME?</definedName>
    <definedName name="_xlpm.sd" hidden="1" xlm="1">#NAME?</definedName>
    <definedName name="_xlpm.stk" hidden="1" xlm="1">#NAME?</definedName>
    <definedName name="_xlpm.toD" hidden="1" xlm="1">#NAME?</definedName>
    <definedName name="_xlpm.tot" hidden="1" xlm="1">#NAME?</definedName>
    <definedName name="_xlpm.u" hidden="1" xlm="1">#NAME?</definedName>
    <definedName name="_xlpm.us" hidden="1" xlm="1">#NAME?</definedName>
    <definedName name="_xlpm.usd" hidden="1" xlm="1">#NAME?</definedName>
    <definedName name="_xlpm.xA" hidden="1" xlm="1">#NAME?</definedName>
    <definedName name="_xlpm.xb" hidden="1" xlm="1">#NAME?</definedName>
    <definedName name="_xlpm.xc" hidden="1" xlm="1">#NAME?</definedName>
    <definedName name="_xlpm.xd" hidden="1" xlm="1">#NAME?</definedName>
    <definedName name="_xlpm.xF" hidden="1" xlm="1">#NAME?</definedName>
    <definedName name="_xlpm.xg" hidden="1" xlm="1">#NAME?</definedName>
    <definedName name="_xlpm.xu" hidden="1" xlm="1">#NAME?</definedName>
    <definedName name="_xlpm.xx" hidden="1" xlm="1">#NAME?</definedName>
    <definedName name="FuelTypeList" localSheetId="5">FuelTypes[Fuel Type]</definedName>
    <definedName name="FuelTypeList">FuelTypes[Fuel Type]</definedName>
    <definedName name="_xlnm.Print_Area" localSheetId="24">'AKV Logistics'!$Q$1:$X$13</definedName>
    <definedName name="_xlnm.Print_Area" localSheetId="28">'Animesh Builders'!$Q$1:$X$13</definedName>
    <definedName name="_xlnm.Print_Area" localSheetId="25">'Bhatia Energy'!$Q$1:$X$13</definedName>
    <definedName name="_xlnm.Print_Area" localSheetId="11">Billing!$A$1:$H$47</definedName>
    <definedName name="_xlnm.Print_Area" localSheetId="38">ECBPL!$Q$1:$X$13</definedName>
    <definedName name="_xlnm.Print_Area" localSheetId="35">Ekdant!$Q$1:$X$13</definedName>
    <definedName name="_xlnm.Print_Area" localSheetId="13">'HSD Bill'!$A$1:$E$24</definedName>
    <definedName name="_xlnm.Print_Area" localSheetId="40">'HSD Daily'!$A$3:$C$22</definedName>
    <definedName name="_xlnm.Print_Area" localSheetId="37">Indiabuild!$Q$1:$X$13</definedName>
    <definedName name="_xlnm.Print_Area" localSheetId="33">'Jyoti Ranjan Dash'!$Q$1:$X$13</definedName>
    <definedName name="_xlnm.Print_Area" localSheetId="26">'Keshav Minerals'!$Q$1:$X$13</definedName>
    <definedName name="_xlnm.Print_Area" localSheetId="36">MRD!$Q$1:$X$13</definedName>
    <definedName name="_xlnm.Print_Area" localSheetId="42">'MS Daily'!$A$1:$C$6</definedName>
    <definedName name="_xlnm.Print_Area" localSheetId="34">'Natwar Khetan'!$Q$1:$X$13</definedName>
    <definedName name="_xlnm.Print_Area" localSheetId="47">'OIC FS JSG'!$Q$1:$X$14</definedName>
    <definedName name="_xlnm.Print_Area" localSheetId="20">'OMPL Retail'!$Q$1:$X$40</definedName>
    <definedName name="_xlnm.Print_Area" localSheetId="27">'Pine Labs'!$Q$1:$X$14</definedName>
    <definedName name="_xlnm.Print_Area" localSheetId="19">PPTE!$Q$1:$X$13</definedName>
    <definedName name="_xlnm.Print_Area" localSheetId="16">RSA!$Q$1:$X$29</definedName>
    <definedName name="_xlnm.Print_Area" localSheetId="32">RSM!$Q$1:$X$13</definedName>
    <definedName name="_xlnm.Print_Area" localSheetId="29">'Samlai Logistics'!$Q$1:$X$51</definedName>
    <definedName name="_xlnm.Print_Area" localSheetId="31">SBS!$Q$1:$X$39</definedName>
    <definedName name="_xlnm.Print_Area" localSheetId="23">Shivaay!$Q$1:$X$13</definedName>
    <definedName name="_xlnm.Print_Area" localSheetId="30">'SHRI LAL KHETAN'!$Q$1:$X$20</definedName>
    <definedName name="_xlnm.Print_Area" localSheetId="22">'Simar Infra'!$Q$1:$X$13</definedName>
    <definedName name="_xlnm.Print_Area" localSheetId="17">SSFC!$Q$1:$X$25</definedName>
    <definedName name="_xlnm.Print_Area" localSheetId="14">SSM!$Q$1:$X$14</definedName>
    <definedName name="_xlnm.Print_Area" localSheetId="21">'STEELS &amp; CARRIERS'!$Q$1:$X$13</definedName>
    <definedName name="_xlnm.Print_Area" localSheetId="18">String!$Q$1:$X$24</definedName>
    <definedName name="_xlnm.Print_Area" localSheetId="15">Sudarshan!$Q$1:$X$13</definedName>
    <definedName name="_xlnm.Print_Area" localSheetId="49">'TN Roadlines'!$Q$1:$X$14</definedName>
    <definedName name="TierList" localSheetId="5">RateCard[Price Tier]</definedName>
    <definedName name="TierList">RateCard[Price Tier]</definedName>
  </definedNames>
  <calcPr calcId="191029"/>
  <pivotCaches>
    <pivotCache cacheId="15" r:id="rId51"/>
    <pivotCache cacheId="16" r:id="rId52"/>
    <pivotCache cacheId="17" r:id="rId53"/>
    <pivotCache cacheId="18" r:id="rId54"/>
    <pivotCache cacheId="19" r:id="rId5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93" l="1"/>
  <c r="B23" i="93"/>
  <c r="AC54" i="101" a="1"/>
  <c r="AC54" i="101" s="1"/>
  <c r="AC53" i="101" a="1"/>
  <c r="AC53" i="101" s="1"/>
  <c r="AC52" i="101" a="1"/>
  <c r="AC52" i="101" s="1"/>
  <c r="AC51" i="101" a="1"/>
  <c r="AC51" i="101" s="1"/>
  <c r="AC50" i="101" a="1"/>
  <c r="AC50" i="101" s="1"/>
  <c r="AC49" i="101" a="1"/>
  <c r="AC49" i="101" s="1"/>
  <c r="AC48" i="101" a="1"/>
  <c r="AC48" i="101" s="1"/>
  <c r="AC47" i="101" a="1"/>
  <c r="AC47" i="101" s="1"/>
  <c r="AF47" i="101" s="1"/>
  <c r="AC46" i="101" a="1"/>
  <c r="AC46" i="101" s="1"/>
  <c r="AG46" i="101" s="1"/>
  <c r="AC45" i="101" a="1"/>
  <c r="AC45" i="101" s="1"/>
  <c r="AF45" i="101" s="1"/>
  <c r="AC44" i="101" a="1"/>
  <c r="AC44" i="101" s="1"/>
  <c r="AH44" i="101" s="1" a="1"/>
  <c r="AC43" i="101" a="1"/>
  <c r="AC43" i="101" s="1"/>
  <c r="AC42" i="101" a="1"/>
  <c r="AC42" i="101" s="1"/>
  <c r="AC41" i="101" a="1"/>
  <c r="AC41" i="101" s="1"/>
  <c r="AC40" i="101" a="1"/>
  <c r="AC40" i="101" s="1"/>
  <c r="AC39" i="101" a="1"/>
  <c r="AC39" i="101" s="1"/>
  <c r="AC38" i="101" a="1"/>
  <c r="AC38" i="101" s="1"/>
  <c r="AC37" i="101" a="1"/>
  <c r="AC37" i="101" s="1"/>
  <c r="AD37" i="101" s="1"/>
  <c r="AC36" i="101" a="1"/>
  <c r="AC36" i="101" s="1"/>
  <c r="AG36" i="101" s="1"/>
  <c r="AC35" i="101" a="1"/>
  <c r="AC35" i="101" s="1"/>
  <c r="AH35" i="101" s="1" a="1"/>
  <c r="AH35" i="101" s="1"/>
  <c r="AC34" i="101" a="1"/>
  <c r="AC34" i="101" s="1"/>
  <c r="AC33" i="101" a="1"/>
  <c r="AC33" i="101" s="1"/>
  <c r="AC32" i="101" a="1"/>
  <c r="AC32" i="101" s="1"/>
  <c r="AC31" i="101" a="1"/>
  <c r="AC31" i="101" s="1"/>
  <c r="AH31" i="101" s="1" a="1"/>
  <c r="AH31" i="101" s="1"/>
  <c r="AC30" i="101" a="1"/>
  <c r="AC30" i="101" s="1"/>
  <c r="AC29" i="101" a="1"/>
  <c r="AC29" i="101" s="1"/>
  <c r="AF29" i="101" s="1"/>
  <c r="AC28" i="101" a="1"/>
  <c r="AC28" i="101" s="1"/>
  <c r="AH28" i="101" s="1" a="1"/>
  <c r="AH28" i="101" s="1"/>
  <c r="AC27" i="101" a="1"/>
  <c r="AC27" i="101" s="1"/>
  <c r="AC26" i="101" a="1"/>
  <c r="AC26" i="101" s="1"/>
  <c r="AC25" i="101" a="1"/>
  <c r="AC25" i="101" s="1"/>
  <c r="AH25" i="101" s="1" a="1"/>
  <c r="AH25" i="101" s="1"/>
  <c r="AC24" i="101" a="1"/>
  <c r="AC24" i="101" s="1"/>
  <c r="AE24" i="101" s="1"/>
  <c r="AC23" i="101" a="1"/>
  <c r="AC23" i="101" s="1"/>
  <c r="AC22" i="101" a="1"/>
  <c r="AC22" i="101" s="1"/>
  <c r="AC21" i="101" a="1"/>
  <c r="AC21" i="101" s="1"/>
  <c r="AF21" i="101" s="1"/>
  <c r="AC20" i="101" a="1"/>
  <c r="AC20" i="101" s="1"/>
  <c r="AC19" i="101" a="1"/>
  <c r="AC19" i="101" s="1"/>
  <c r="AE19" i="101" s="1"/>
  <c r="AC18" i="101" a="1"/>
  <c r="AC18" i="101"/>
  <c r="AF18" i="101" s="1"/>
  <c r="AC17" i="101" a="1"/>
  <c r="AC17" i="101" s="1"/>
  <c r="AC16" i="101" a="1"/>
  <c r="AC16" i="101" s="1"/>
  <c r="AC15" i="101" a="1"/>
  <c r="AC15" i="101" s="1"/>
  <c r="AF15" i="101" s="1"/>
  <c r="AC14" i="101" a="1"/>
  <c r="AC14" i="101" s="1"/>
  <c r="AF14" i="101" s="1"/>
  <c r="AC13" i="101" a="1"/>
  <c r="AC13" i="101" s="1"/>
  <c r="AC12" i="101" a="1"/>
  <c r="AC12" i="101" s="1"/>
  <c r="AG12" i="101" s="1"/>
  <c r="AC11" i="101" a="1"/>
  <c r="AC11" i="101" s="1"/>
  <c r="AC10" i="101" a="1"/>
  <c r="AC10" i="101" s="1"/>
  <c r="AC9" i="101" a="1"/>
  <c r="AC9" i="101" s="1"/>
  <c r="AC8" i="101" a="1"/>
  <c r="AC8" i="101" s="1"/>
  <c r="AF8" i="101" s="1"/>
  <c r="AC7" i="101" a="1"/>
  <c r="AC7" i="101" s="1"/>
  <c r="AH7" i="101" s="1" a="1"/>
  <c r="AH7" i="101" s="1"/>
  <c r="AC6" i="101" a="1"/>
  <c r="AC6" i="101" s="1"/>
  <c r="AG6" i="101" s="1"/>
  <c r="AC5" i="101" a="1"/>
  <c r="AC5" i="101" s="1"/>
  <c r="O5" i="101"/>
  <c r="M5" i="101"/>
  <c r="O4" i="101"/>
  <c r="P8" i="94"/>
  <c r="B7" i="94" s="1"/>
  <c r="B2" i="94"/>
  <c r="B3" i="94"/>
  <c r="B4" i="94"/>
  <c r="B5" i="94"/>
  <c r="B6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B23" i="94"/>
  <c r="B24" i="94"/>
  <c r="B25" i="94"/>
  <c r="B26" i="94"/>
  <c r="B27" i="94"/>
  <c r="B28" i="94"/>
  <c r="B29" i="94"/>
  <c r="B30" i="94"/>
  <c r="B31" i="94"/>
  <c r="B32" i="94"/>
  <c r="F20" i="93" s="1"/>
  <c r="G20" i="93" s="1"/>
  <c r="B33" i="94"/>
  <c r="Z2" i="94" a="1"/>
  <c r="Z2" i="94" s="1"/>
  <c r="B36" i="93"/>
  <c r="B35" i="93"/>
  <c r="B34" i="93"/>
  <c r="B33" i="93"/>
  <c r="B32" i="93"/>
  <c r="B16" i="93"/>
  <c r="B15" i="93"/>
  <c r="B14" i="93"/>
  <c r="AC54" i="100" a="1"/>
  <c r="AC54" i="100" s="1"/>
  <c r="AE54" i="100" s="1"/>
  <c r="AC53" i="100" a="1"/>
  <c r="AC53" i="100" s="1"/>
  <c r="AF53" i="100" s="1"/>
  <c r="AC52" i="100" a="1"/>
  <c r="AC52" i="100" s="1"/>
  <c r="AC51" i="100" a="1"/>
  <c r="AC51" i="100" s="1"/>
  <c r="AC50" i="100" a="1"/>
  <c r="AC50" i="100" s="1"/>
  <c r="AC49" i="100" a="1"/>
  <c r="AC49" i="100" s="1"/>
  <c r="AC48" i="100" a="1"/>
  <c r="AC48" i="100" s="1"/>
  <c r="AC47" i="100" a="1"/>
  <c r="AC47" i="100" s="1"/>
  <c r="AC46" i="100" a="1"/>
  <c r="AC46" i="100" s="1"/>
  <c r="AC45" i="100" a="1"/>
  <c r="AC45" i="100" s="1"/>
  <c r="AF45" i="100" s="1"/>
  <c r="AC44" i="100" a="1"/>
  <c r="AC44" i="100" s="1"/>
  <c r="AE44" i="100" s="1"/>
  <c r="AC43" i="100" a="1"/>
  <c r="AC43" i="100" s="1"/>
  <c r="AE43" i="100" s="1"/>
  <c r="AC42" i="100" a="1"/>
  <c r="AC42" i="100" s="1"/>
  <c r="AE42" i="100" s="1"/>
  <c r="AC41" i="100" a="1"/>
  <c r="AC41" i="100" s="1"/>
  <c r="AC40" i="100" a="1"/>
  <c r="AC40" i="100" s="1"/>
  <c r="AC39" i="100" a="1"/>
  <c r="AC39" i="100" s="1"/>
  <c r="AF39" i="100" s="1"/>
  <c r="AC38" i="100" a="1"/>
  <c r="AC38" i="100" s="1"/>
  <c r="AC37" i="100" a="1"/>
  <c r="AC37" i="100" s="1"/>
  <c r="AC36" i="100" a="1"/>
  <c r="AC36" i="100" s="1"/>
  <c r="AC35" i="100" a="1"/>
  <c r="AC35" i="100" s="1"/>
  <c r="AC34" i="100" a="1"/>
  <c r="AC34" i="100" s="1"/>
  <c r="AD34" i="100" s="1"/>
  <c r="AC33" i="100" a="1"/>
  <c r="AC33" i="100" s="1"/>
  <c r="AC32" i="100" a="1"/>
  <c r="AC32" i="100" s="1"/>
  <c r="AC31" i="100" a="1"/>
  <c r="AC31" i="100" s="1"/>
  <c r="AH31" i="100" s="1" a="1"/>
  <c r="AH31" i="100" s="1"/>
  <c r="AC30" i="100" a="1"/>
  <c r="AC30" i="100" s="1"/>
  <c r="AD30" i="100" s="1"/>
  <c r="AC29" i="100" a="1"/>
  <c r="AC29" i="100" s="1"/>
  <c r="AC28" i="100" a="1"/>
  <c r="AC28" i="100" s="1"/>
  <c r="AD28" i="100" s="1"/>
  <c r="AC27" i="100" a="1"/>
  <c r="AC27" i="100" s="1"/>
  <c r="AC26" i="100" a="1"/>
  <c r="AC26" i="100" s="1"/>
  <c r="AC25" i="100" a="1"/>
  <c r="AC25" i="100" s="1"/>
  <c r="AC24" i="100" a="1"/>
  <c r="AC24" i="100" s="1"/>
  <c r="AC23" i="100" a="1"/>
  <c r="AC23" i="100" s="1"/>
  <c r="AC22" i="100" a="1"/>
  <c r="AC22" i="100" s="1"/>
  <c r="AC21" i="100" a="1"/>
  <c r="AC21" i="100" s="1"/>
  <c r="AF21" i="100" s="1"/>
  <c r="AC20" i="100" a="1"/>
  <c r="AC20" i="100" s="1"/>
  <c r="AD20" i="100" s="1"/>
  <c r="AC19" i="100" a="1"/>
  <c r="AC19" i="100" s="1"/>
  <c r="AE19" i="100" s="1"/>
  <c r="AC18" i="100" a="1"/>
  <c r="AC18" i="100" s="1"/>
  <c r="AE18" i="100" s="1"/>
  <c r="AC17" i="100" a="1"/>
  <c r="AC17" i="100" s="1"/>
  <c r="AG17" i="100" s="1"/>
  <c r="AC16" i="100" a="1"/>
  <c r="AC16" i="100" s="1"/>
  <c r="AD16" i="100" s="1"/>
  <c r="AC15" i="100" a="1"/>
  <c r="AC15" i="100" s="1"/>
  <c r="AD15" i="100" s="1"/>
  <c r="AC14" i="100" a="1"/>
  <c r="AC14" i="100" s="1"/>
  <c r="AD14" i="100" s="1"/>
  <c r="AC13" i="100" a="1"/>
  <c r="AC13" i="100" s="1"/>
  <c r="AD13" i="100" s="1"/>
  <c r="AC12" i="100" a="1"/>
  <c r="AC12" i="100" s="1"/>
  <c r="AD12" i="100" s="1"/>
  <c r="AC11" i="100" a="1"/>
  <c r="AC11" i="100" s="1"/>
  <c r="AD11" i="100" s="1"/>
  <c r="AC10" i="100" a="1"/>
  <c r="AC10" i="100" s="1"/>
  <c r="AD10" i="100" s="1"/>
  <c r="AC9" i="100" a="1"/>
  <c r="AC9" i="100" s="1"/>
  <c r="AD9" i="100" s="1"/>
  <c r="AC8" i="100" a="1"/>
  <c r="AC8" i="100" s="1"/>
  <c r="AD8" i="100" s="1"/>
  <c r="AC7" i="100" a="1"/>
  <c r="AC7" i="100" s="1"/>
  <c r="AD7" i="100" s="1"/>
  <c r="AC6" i="100" a="1"/>
  <c r="AC6" i="100" s="1"/>
  <c r="AD6" i="100" s="1"/>
  <c r="AC5" i="100" a="1"/>
  <c r="AC5" i="100" s="1"/>
  <c r="AD5" i="100" s="1"/>
  <c r="O5" i="100"/>
  <c r="M5" i="100"/>
  <c r="O4" i="100"/>
  <c r="B28" i="93"/>
  <c r="X9" i="30"/>
  <c r="X8" i="30"/>
  <c r="X8" i="13"/>
  <c r="X8" i="14"/>
  <c r="X8" i="16"/>
  <c r="X8" i="36"/>
  <c r="X8" i="35"/>
  <c r="X8" i="19"/>
  <c r="X9" i="44"/>
  <c r="X8" i="44"/>
  <c r="X8" i="45"/>
  <c r="X8" i="91"/>
  <c r="X8" i="96"/>
  <c r="X8" i="97"/>
  <c r="X8" i="98"/>
  <c r="X8" i="99"/>
  <c r="X8" i="21"/>
  <c r="X8" i="22"/>
  <c r="X8" i="40"/>
  <c r="X8" i="37"/>
  <c r="X9" i="33"/>
  <c r="X8" i="33"/>
  <c r="X9" i="34"/>
  <c r="X8" i="34"/>
  <c r="X8" i="24"/>
  <c r="X8" i="25"/>
  <c r="G5" i="99"/>
  <c r="A1" i="99"/>
  <c r="Q11" i="99"/>
  <c r="Q9" i="99"/>
  <c r="C293" i="27"/>
  <c r="AC5" i="49" a="1"/>
  <c r="AC5" i="49" s="1"/>
  <c r="AD5" i="49" s="1"/>
  <c r="AC6" i="49" a="1"/>
  <c r="AC6" i="49" s="1"/>
  <c r="AD6" i="49" s="1"/>
  <c r="AC7" i="49" a="1"/>
  <c r="AC7" i="49" s="1"/>
  <c r="AD7" i="49" s="1"/>
  <c r="AC8" i="49" a="1"/>
  <c r="AC8" i="49" s="1"/>
  <c r="AD8" i="49" s="1"/>
  <c r="AC9" i="49" a="1"/>
  <c r="AC9" i="49" s="1"/>
  <c r="AD9" i="49" s="1"/>
  <c r="AC10" i="49" a="1"/>
  <c r="AC10" i="49" s="1"/>
  <c r="AH10" i="49" s="1" a="1"/>
  <c r="AH10" i="49" s="1"/>
  <c r="AC11" i="49" a="1"/>
  <c r="AC11" i="49" s="1"/>
  <c r="AC12" i="49" a="1"/>
  <c r="AC12" i="49" s="1"/>
  <c r="AE12" i="49" s="1"/>
  <c r="AC13" i="49" a="1"/>
  <c r="AC13" i="49" s="1"/>
  <c r="AF13" i="49" s="1"/>
  <c r="AC14" i="49" a="1"/>
  <c r="AC14" i="49"/>
  <c r="AG14" i="49" s="1"/>
  <c r="AC15" i="49" a="1"/>
  <c r="AC15" i="49" s="1"/>
  <c r="AD15" i="49" s="1"/>
  <c r="AC16" i="49" a="1"/>
  <c r="AC16" i="49" s="1"/>
  <c r="AE16" i="49" s="1"/>
  <c r="AC17" i="49" a="1"/>
  <c r="AC17" i="49" s="1"/>
  <c r="AF17" i="49" s="1"/>
  <c r="AC18" i="49" a="1"/>
  <c r="AC18" i="49" s="1"/>
  <c r="AG18" i="49" s="1"/>
  <c r="AC19" i="49" a="1"/>
  <c r="AC19" i="49" s="1"/>
  <c r="AD19" i="49" s="1"/>
  <c r="AC20" i="49" a="1"/>
  <c r="AC20" i="49" s="1"/>
  <c r="AC21" i="49" a="1"/>
  <c r="AC21" i="49" s="1"/>
  <c r="AF21" i="49" s="1"/>
  <c r="AC22" i="49" a="1"/>
  <c r="AC22" i="49" s="1"/>
  <c r="AD22" i="49" s="1"/>
  <c r="AC23" i="49" a="1"/>
  <c r="AC23" i="49" s="1"/>
  <c r="AC24" i="49" a="1"/>
  <c r="AC24" i="49" s="1"/>
  <c r="AC25" i="49" a="1"/>
  <c r="AC25" i="49" s="1"/>
  <c r="AC26" i="49" a="1"/>
  <c r="AC26" i="49" s="1"/>
  <c r="AC27" i="49" a="1"/>
  <c r="AC27" i="49" s="1"/>
  <c r="AC28" i="49" a="1"/>
  <c r="AC28" i="49" s="1"/>
  <c r="AC29" i="49" a="1"/>
  <c r="AC29" i="49" s="1"/>
  <c r="AF29" i="49" s="1"/>
  <c r="AC30" i="49" a="1"/>
  <c r="AC30" i="49" s="1"/>
  <c r="AG30" i="49" s="1"/>
  <c r="AC31" i="49" a="1"/>
  <c r="AC31" i="49" s="1"/>
  <c r="AC32" i="49" a="1"/>
  <c r="AC32" i="49" s="1"/>
  <c r="AC33" i="49" a="1"/>
  <c r="AC33" i="49" s="1"/>
  <c r="AE33" i="49" s="1"/>
  <c r="AC34" i="49" a="1"/>
  <c r="AC34" i="49" s="1"/>
  <c r="AD34" i="49" s="1"/>
  <c r="AC35" i="49" a="1"/>
  <c r="AC35" i="49" s="1"/>
  <c r="AC36" i="49" a="1"/>
  <c r="AC36" i="49" s="1"/>
  <c r="AC37" i="49" a="1"/>
  <c r="AC37" i="49" s="1"/>
  <c r="AC38" i="49" a="1"/>
  <c r="AC38" i="49" s="1"/>
  <c r="AC39" i="49" a="1"/>
  <c r="AC39" i="49" s="1"/>
  <c r="AF39" i="49" s="1"/>
  <c r="AC40" i="49" a="1"/>
  <c r="AC40" i="49" s="1"/>
  <c r="AG40" i="49" s="1"/>
  <c r="AC41" i="49" a="1"/>
  <c r="AC41" i="49" s="1"/>
  <c r="AG41" i="49" s="1"/>
  <c r="AC42" i="49" a="1"/>
  <c r="AC42" i="49" s="1"/>
  <c r="AF42" i="49" s="1"/>
  <c r="AC43" i="49" a="1"/>
  <c r="AC43" i="49" s="1"/>
  <c r="AC44" i="49" a="1"/>
  <c r="AC44" i="49" s="1"/>
  <c r="AF44" i="49" s="1"/>
  <c r="AC45" i="49" a="1"/>
  <c r="AC45" i="49" s="1"/>
  <c r="AC46" i="49" a="1"/>
  <c r="AC46" i="49" s="1"/>
  <c r="AC47" i="49" a="1"/>
  <c r="AC47" i="49" s="1"/>
  <c r="AC48" i="49" a="1"/>
  <c r="AC48" i="49" s="1"/>
  <c r="AG48" i="49" s="1"/>
  <c r="AC49" i="49" a="1"/>
  <c r="AC49" i="49" s="1"/>
  <c r="AC50" i="49" a="1"/>
  <c r="AC50" i="49" s="1"/>
  <c r="AG50" i="49" s="1"/>
  <c r="AC51" i="49" a="1"/>
  <c r="AC51" i="49" s="1"/>
  <c r="AC52" i="49" a="1"/>
  <c r="AC52" i="49" s="1"/>
  <c r="AG52" i="49" s="1"/>
  <c r="AC53" i="49" a="1"/>
  <c r="AC53" i="49" s="1"/>
  <c r="AC54" i="49" a="1"/>
  <c r="AC54" i="49" s="1"/>
  <c r="AC5" i="51" a="1"/>
  <c r="AC5" i="51" s="1"/>
  <c r="AD5" i="51" s="1"/>
  <c r="AC6" i="51" a="1"/>
  <c r="AC6" i="51" s="1"/>
  <c r="AC7" i="51" a="1"/>
  <c r="AC7" i="51" s="1"/>
  <c r="AC8" i="51" a="1"/>
  <c r="AC8" i="51" s="1"/>
  <c r="AC9" i="51" a="1"/>
  <c r="AC9" i="51" s="1"/>
  <c r="AH9" i="51" s="1" a="1"/>
  <c r="AH9" i="51" s="1"/>
  <c r="AC10" i="51" a="1"/>
  <c r="AC10" i="51" s="1"/>
  <c r="AC11" i="51" a="1"/>
  <c r="AC11" i="51" s="1"/>
  <c r="AC12" i="51" a="1"/>
  <c r="AC12" i="51" s="1"/>
  <c r="AC13" i="51" a="1"/>
  <c r="AC13" i="51" s="1"/>
  <c r="AC14" i="51" a="1"/>
  <c r="AC14" i="51" s="1"/>
  <c r="AC15" i="51" a="1"/>
  <c r="AC15" i="51" s="1"/>
  <c r="AH15" i="51" s="1" a="1"/>
  <c r="AH15" i="51" s="1"/>
  <c r="AC16" i="51" a="1"/>
  <c r="AC16" i="51" s="1"/>
  <c r="AH16" i="51" s="1" a="1"/>
  <c r="AH16" i="51" s="1"/>
  <c r="AC17" i="51" a="1"/>
  <c r="AC17" i="51" s="1"/>
  <c r="AF17" i="51" s="1"/>
  <c r="AC18" i="51" a="1"/>
  <c r="AC18" i="51" s="1"/>
  <c r="AF18" i="51" s="1"/>
  <c r="AC19" i="51" a="1"/>
  <c r="AC19" i="51" s="1"/>
  <c r="AC20" i="51" a="1"/>
  <c r="AC20" i="51" s="1"/>
  <c r="AC21" i="51" a="1"/>
  <c r="AC21" i="51" s="1"/>
  <c r="AC22" i="51" a="1"/>
  <c r="AC22" i="51" s="1"/>
  <c r="AD22" i="51" s="1"/>
  <c r="AC23" i="51" a="1"/>
  <c r="AC23" i="51" s="1"/>
  <c r="AD23" i="51" s="1"/>
  <c r="AC24" i="51" a="1"/>
  <c r="AC24" i="51" s="1"/>
  <c r="AG24" i="51" s="1"/>
  <c r="AC25" i="51" a="1"/>
  <c r="AC25" i="51" s="1"/>
  <c r="AC26" i="51" a="1"/>
  <c r="AC26" i="51" s="1"/>
  <c r="AC27" i="51" a="1"/>
  <c r="AC27" i="51" s="1"/>
  <c r="AH27" i="51" s="1" a="1"/>
  <c r="AH27" i="51" s="1"/>
  <c r="AC28" i="51" a="1"/>
  <c r="AC28" i="51" s="1"/>
  <c r="AC29" i="51" a="1"/>
  <c r="AC29" i="51" s="1"/>
  <c r="AC30" i="51" a="1"/>
  <c r="AC30" i="51" s="1"/>
  <c r="AC31" i="51" a="1"/>
  <c r="AC31" i="51" s="1"/>
  <c r="AC32" i="51" a="1"/>
  <c r="AC32" i="51" s="1"/>
  <c r="AC33" i="51" a="1"/>
  <c r="AC33" i="51" s="1"/>
  <c r="AE33" i="51" s="1"/>
  <c r="AC34" i="51" a="1"/>
  <c r="AC34" i="51" s="1"/>
  <c r="AC35" i="51" a="1"/>
  <c r="AC35" i="51" s="1"/>
  <c r="AD35" i="51" s="1"/>
  <c r="AC36" i="51" a="1"/>
  <c r="AC36" i="51" s="1"/>
  <c r="AD36" i="51" s="1"/>
  <c r="AC37" i="51" a="1"/>
  <c r="AC37" i="51" s="1"/>
  <c r="AC38" i="51" a="1"/>
  <c r="AC38" i="51" s="1"/>
  <c r="AD38" i="51" s="1"/>
  <c r="AC39" i="51" a="1"/>
  <c r="AC39" i="51" s="1"/>
  <c r="AC40" i="51" a="1"/>
  <c r="AC40" i="51" s="1"/>
  <c r="AG40" i="51" s="1"/>
  <c r="AC41" i="51" a="1"/>
  <c r="AC41" i="51" s="1"/>
  <c r="AC42" i="51" a="1"/>
  <c r="AC42" i="51" s="1"/>
  <c r="AC43" i="51" a="1"/>
  <c r="AC43" i="51" s="1"/>
  <c r="AF43" i="51" s="1"/>
  <c r="AC44" i="51" a="1"/>
  <c r="AC44" i="51" s="1"/>
  <c r="AD44" i="51" s="1"/>
  <c r="AC45" i="51" a="1"/>
  <c r="AC45" i="51" s="1"/>
  <c r="AC46" i="51" a="1"/>
  <c r="AC46" i="51" s="1"/>
  <c r="AF46" i="51" s="1"/>
  <c r="AC47" i="51" a="1"/>
  <c r="AC47" i="51" s="1"/>
  <c r="AG47" i="51" s="1"/>
  <c r="AC48" i="51" a="1"/>
  <c r="AC48" i="51" s="1"/>
  <c r="AE48" i="51" s="1"/>
  <c r="AC49" i="51" a="1"/>
  <c r="AC49" i="51" s="1"/>
  <c r="AC50" i="51" a="1"/>
  <c r="AC50" i="51" s="1"/>
  <c r="AC51" i="51" a="1"/>
  <c r="AC51" i="51"/>
  <c r="AD51" i="51" s="1"/>
  <c r="AC52" i="51" a="1"/>
  <c r="AC52" i="51" s="1"/>
  <c r="AD52" i="51" s="1"/>
  <c r="AC53" i="51" a="1"/>
  <c r="AC53" i="51" s="1"/>
  <c r="AH53" i="51" s="1" a="1"/>
  <c r="AH53" i="51" s="1"/>
  <c r="AC54" i="51" a="1"/>
  <c r="AC54" i="51" s="1"/>
  <c r="AD54" i="51" s="1"/>
  <c r="AC5" i="48" a="1"/>
  <c r="AC5" i="48" s="1"/>
  <c r="AD5" i="48" s="1"/>
  <c r="AC6" i="48" a="1"/>
  <c r="AC6" i="48" s="1"/>
  <c r="AD6" i="48" s="1"/>
  <c r="AC7" i="48" a="1"/>
  <c r="AC7" i="48" s="1"/>
  <c r="AD7" i="48" s="1"/>
  <c r="AC8" i="48" a="1"/>
  <c r="AC8" i="48"/>
  <c r="AD8" i="48" s="1"/>
  <c r="AC9" i="48" a="1"/>
  <c r="AC9" i="48" s="1"/>
  <c r="AD9" i="48" s="1"/>
  <c r="AC10" i="48" a="1"/>
  <c r="AC10" i="48" s="1"/>
  <c r="AD10" i="48" s="1"/>
  <c r="AC11" i="48" a="1"/>
  <c r="AC11" i="48" s="1"/>
  <c r="AD11" i="48" s="1"/>
  <c r="AC12" i="48" a="1"/>
  <c r="AC12" i="48" s="1"/>
  <c r="AD12" i="48" s="1"/>
  <c r="AC13" i="48" a="1"/>
  <c r="AC13" i="48" s="1"/>
  <c r="AD13" i="48" s="1"/>
  <c r="AC14" i="48" a="1"/>
  <c r="AC14" i="48" s="1"/>
  <c r="AD14" i="48" s="1"/>
  <c r="AC15" i="48" a="1"/>
  <c r="AC15" i="48" s="1"/>
  <c r="AD15" i="48" s="1"/>
  <c r="AC16" i="48" a="1"/>
  <c r="AC16" i="48" s="1"/>
  <c r="AD16" i="48" s="1"/>
  <c r="AC17" i="48" a="1"/>
  <c r="AC17" i="48" s="1"/>
  <c r="AD17" i="48" s="1"/>
  <c r="AC18" i="48" a="1"/>
  <c r="AC18" i="48" s="1"/>
  <c r="AD18" i="48" s="1"/>
  <c r="AC19" i="48" a="1"/>
  <c r="AC19" i="48" s="1"/>
  <c r="AD19" i="48" s="1"/>
  <c r="AC20" i="48" a="1"/>
  <c r="AC20" i="48" s="1"/>
  <c r="AD20" i="48" s="1"/>
  <c r="AC21" i="48" a="1"/>
  <c r="AC21" i="48" s="1"/>
  <c r="AD21" i="48" s="1"/>
  <c r="AC22" i="48" a="1"/>
  <c r="AC22" i="48" s="1"/>
  <c r="AD22" i="48" s="1"/>
  <c r="AC23" i="48" a="1"/>
  <c r="AC23" i="48" s="1"/>
  <c r="AD23" i="48" s="1"/>
  <c r="AC24" i="48" a="1"/>
  <c r="AC24" i="48" s="1"/>
  <c r="AD24" i="48" s="1"/>
  <c r="AC25" i="48" a="1"/>
  <c r="AC25" i="48" s="1"/>
  <c r="AD25" i="48" s="1"/>
  <c r="AC26" i="48" a="1"/>
  <c r="AC26" i="48" s="1"/>
  <c r="AD26" i="48" s="1"/>
  <c r="AC27" i="48" a="1"/>
  <c r="AC27" i="48" s="1"/>
  <c r="AC28" i="48" a="1"/>
  <c r="AC28" i="48" s="1"/>
  <c r="AD28" i="48" s="1"/>
  <c r="AC29" i="48" a="1"/>
  <c r="AC29" i="48" s="1"/>
  <c r="AC30" i="48" a="1"/>
  <c r="AC30" i="48" s="1"/>
  <c r="AH30" i="48" s="1" a="1"/>
  <c r="AH30" i="48" s="1"/>
  <c r="AC31" i="48" a="1"/>
  <c r="AC31" i="48" s="1"/>
  <c r="AC32" i="48" a="1"/>
  <c r="AC32" i="48" s="1"/>
  <c r="AC33" i="48" a="1"/>
  <c r="AC33" i="48" s="1"/>
  <c r="AC34" i="48" a="1"/>
  <c r="AC34" i="48" s="1"/>
  <c r="AC35" i="48" a="1"/>
  <c r="AC35" i="48" s="1"/>
  <c r="AC36" i="48" a="1"/>
  <c r="AC36" i="48" s="1"/>
  <c r="AC37" i="48" a="1"/>
  <c r="AC37" i="48" s="1"/>
  <c r="AC38" i="48" a="1"/>
  <c r="AC38" i="48" s="1"/>
  <c r="AD38" i="48" s="1"/>
  <c r="AC39" i="48" a="1"/>
  <c r="AC39" i="48" s="1"/>
  <c r="AG39" i="48" s="1"/>
  <c r="AC40" i="48" a="1"/>
  <c r="AC40" i="48" s="1"/>
  <c r="AC41" i="48" a="1"/>
  <c r="AC41" i="48" s="1"/>
  <c r="AC42" i="48" a="1"/>
  <c r="AC42" i="48" s="1"/>
  <c r="AC43" i="48" a="1"/>
  <c r="AC43" i="48" s="1"/>
  <c r="AC44" i="48" a="1"/>
  <c r="AC44" i="48" s="1"/>
  <c r="AD44" i="48" s="1"/>
  <c r="AC45" i="48" a="1"/>
  <c r="AC45" i="48" s="1"/>
  <c r="AC46" i="48" a="1"/>
  <c r="AC46" i="48"/>
  <c r="AF46" i="48" s="1"/>
  <c r="AC47" i="48" a="1"/>
  <c r="AC47" i="48" s="1"/>
  <c r="AD47" i="48" s="1"/>
  <c r="AC48" i="48" a="1"/>
  <c r="AC48" i="48" s="1"/>
  <c r="AE48" i="48" s="1"/>
  <c r="AC49" i="48" a="1"/>
  <c r="AC49" i="48" s="1"/>
  <c r="AE49" i="48" s="1"/>
  <c r="AC50" i="48" a="1"/>
  <c r="AC50" i="48" s="1"/>
  <c r="AC51" i="48" a="1"/>
  <c r="AC51" i="48" s="1"/>
  <c r="AC52" i="48" a="1"/>
  <c r="AC52" i="48" s="1"/>
  <c r="AC53" i="48" a="1"/>
  <c r="AC53" i="48" s="1"/>
  <c r="AC54" i="48" a="1"/>
  <c r="AC54" i="48" s="1"/>
  <c r="AH54" i="48" s="1" a="1"/>
  <c r="AH54" i="48" s="1"/>
  <c r="AG54" i="52"/>
  <c r="AF54" i="52"/>
  <c r="AE54" i="52"/>
  <c r="AG53" i="52"/>
  <c r="AF53" i="52"/>
  <c r="AE53" i="52"/>
  <c r="AG52" i="52"/>
  <c r="AF52" i="52"/>
  <c r="AE52" i="52"/>
  <c r="AG51" i="52"/>
  <c r="AF51" i="52"/>
  <c r="AE51" i="52"/>
  <c r="AG50" i="52"/>
  <c r="AF50" i="52"/>
  <c r="AE50" i="52"/>
  <c r="AG49" i="52"/>
  <c r="AF49" i="52"/>
  <c r="AE49" i="52"/>
  <c r="AG48" i="52"/>
  <c r="AF48" i="52"/>
  <c r="AE48" i="52"/>
  <c r="AG47" i="52"/>
  <c r="AF47" i="52"/>
  <c r="AE47" i="52"/>
  <c r="AG46" i="52"/>
  <c r="AF46" i="52"/>
  <c r="AE46" i="52"/>
  <c r="AG45" i="52"/>
  <c r="AF45" i="52"/>
  <c r="AE45" i="52"/>
  <c r="AG44" i="52"/>
  <c r="AF44" i="52"/>
  <c r="AE44" i="52"/>
  <c r="AG43" i="52"/>
  <c r="AF43" i="52"/>
  <c r="AE43" i="52"/>
  <c r="AG42" i="52"/>
  <c r="AF42" i="52"/>
  <c r="AE42" i="52"/>
  <c r="AG41" i="52"/>
  <c r="AF41" i="52"/>
  <c r="AE41" i="52"/>
  <c r="AG40" i="52"/>
  <c r="AF40" i="52"/>
  <c r="AE40" i="52"/>
  <c r="AG39" i="52"/>
  <c r="AF39" i="52"/>
  <c r="AE39" i="52"/>
  <c r="AG38" i="52"/>
  <c r="AF38" i="52"/>
  <c r="AE38" i="52"/>
  <c r="AG37" i="52"/>
  <c r="AF37" i="52"/>
  <c r="AE37" i="52"/>
  <c r="AG36" i="52"/>
  <c r="AF36" i="52"/>
  <c r="AE36" i="52"/>
  <c r="AG35" i="52"/>
  <c r="AF35" i="52"/>
  <c r="AE35" i="52"/>
  <c r="AG34" i="52"/>
  <c r="AF34" i="52"/>
  <c r="AE34" i="52"/>
  <c r="AG33" i="52"/>
  <c r="AF33" i="52"/>
  <c r="AE33" i="52"/>
  <c r="AG32" i="52"/>
  <c r="AF32" i="52"/>
  <c r="AE32" i="52"/>
  <c r="AG31" i="52"/>
  <c r="AF31" i="52"/>
  <c r="AE31" i="52"/>
  <c r="AG30" i="52"/>
  <c r="AF30" i="52"/>
  <c r="AE30" i="52"/>
  <c r="AG29" i="52"/>
  <c r="AF29" i="52"/>
  <c r="AE29" i="52"/>
  <c r="AG28" i="52"/>
  <c r="AF28" i="52"/>
  <c r="AE28" i="52"/>
  <c r="AG27" i="52"/>
  <c r="AF27" i="52"/>
  <c r="AE27" i="52"/>
  <c r="AG26" i="52"/>
  <c r="AF26" i="52"/>
  <c r="AE26" i="52"/>
  <c r="AG25" i="52"/>
  <c r="AF25" i="52"/>
  <c r="AE25" i="52"/>
  <c r="AG24" i="52"/>
  <c r="AF24" i="52"/>
  <c r="AE24" i="52"/>
  <c r="AG23" i="52"/>
  <c r="AF23" i="52"/>
  <c r="AE23" i="52"/>
  <c r="AG22" i="52"/>
  <c r="AF22" i="52"/>
  <c r="AE22" i="52"/>
  <c r="AG21" i="52"/>
  <c r="AF21" i="52"/>
  <c r="AE21" i="52"/>
  <c r="AG20" i="52"/>
  <c r="AF20" i="52"/>
  <c r="AE20" i="52"/>
  <c r="AG19" i="52"/>
  <c r="AF19" i="52"/>
  <c r="AE19" i="52"/>
  <c r="AG18" i="52"/>
  <c r="AF18" i="52"/>
  <c r="AE18" i="52"/>
  <c r="AG17" i="52"/>
  <c r="AF17" i="52"/>
  <c r="AE17" i="52"/>
  <c r="AG16" i="52"/>
  <c r="AF16" i="52"/>
  <c r="AE16" i="52"/>
  <c r="AG15" i="52"/>
  <c r="AF15" i="52"/>
  <c r="AE15" i="52"/>
  <c r="AG14" i="52"/>
  <c r="AF14" i="52"/>
  <c r="AE14" i="52"/>
  <c r="AG13" i="52"/>
  <c r="AF13" i="52"/>
  <c r="AE13" i="52"/>
  <c r="AG12" i="52"/>
  <c r="AF12" i="52"/>
  <c r="AE12" i="52"/>
  <c r="AG11" i="52"/>
  <c r="AF11" i="52"/>
  <c r="AE11" i="52"/>
  <c r="AG10" i="52"/>
  <c r="AF10" i="52"/>
  <c r="AE10" i="52"/>
  <c r="AG9" i="52"/>
  <c r="AF9" i="52"/>
  <c r="AE9" i="52"/>
  <c r="AG8" i="52"/>
  <c r="AF8" i="52"/>
  <c r="AE8" i="52"/>
  <c r="Z54" i="52"/>
  <c r="Y54" i="52"/>
  <c r="X54" i="52"/>
  <c r="Z53" i="52"/>
  <c r="Y53" i="52"/>
  <c r="X53" i="52"/>
  <c r="Z52" i="52"/>
  <c r="Y52" i="52"/>
  <c r="X52" i="52"/>
  <c r="Z51" i="52"/>
  <c r="Y51" i="52"/>
  <c r="X51" i="52"/>
  <c r="Z50" i="52"/>
  <c r="Y50" i="52"/>
  <c r="X50" i="52"/>
  <c r="Z49" i="52"/>
  <c r="Y49" i="52"/>
  <c r="X49" i="52"/>
  <c r="Z48" i="52"/>
  <c r="Y48" i="52"/>
  <c r="X48" i="52"/>
  <c r="Z47" i="52"/>
  <c r="Y47" i="52"/>
  <c r="X47" i="52"/>
  <c r="Z46" i="52"/>
  <c r="Y46" i="52"/>
  <c r="X46" i="52"/>
  <c r="Z45" i="52"/>
  <c r="Y45" i="52"/>
  <c r="X45" i="52"/>
  <c r="Z44" i="52"/>
  <c r="Y44" i="52"/>
  <c r="X44" i="52"/>
  <c r="Z43" i="52"/>
  <c r="Y43" i="52"/>
  <c r="X43" i="52"/>
  <c r="Z42" i="52"/>
  <c r="Y42" i="52"/>
  <c r="X42" i="52"/>
  <c r="Z41" i="52"/>
  <c r="Y41" i="52"/>
  <c r="X41" i="52"/>
  <c r="Z40" i="52"/>
  <c r="Y40" i="52"/>
  <c r="X40" i="52"/>
  <c r="Z39" i="52"/>
  <c r="Y39" i="52"/>
  <c r="X39" i="52"/>
  <c r="Z38" i="52"/>
  <c r="Y38" i="52"/>
  <c r="X38" i="52"/>
  <c r="Z37" i="52"/>
  <c r="Y37" i="52"/>
  <c r="X37" i="52"/>
  <c r="Z36" i="52"/>
  <c r="Y36" i="52"/>
  <c r="X36" i="52"/>
  <c r="Z35" i="52"/>
  <c r="Y35" i="52"/>
  <c r="X35" i="52"/>
  <c r="Z34" i="52"/>
  <c r="Y34" i="52"/>
  <c r="X34" i="52"/>
  <c r="Z33" i="52"/>
  <c r="Y33" i="52"/>
  <c r="X33" i="52"/>
  <c r="Z32" i="52"/>
  <c r="Y32" i="52"/>
  <c r="X32" i="52"/>
  <c r="Z31" i="52"/>
  <c r="Y31" i="52"/>
  <c r="X31" i="52"/>
  <c r="Z30" i="52"/>
  <c r="Y30" i="52"/>
  <c r="X30" i="52"/>
  <c r="Z29" i="52"/>
  <c r="Y29" i="52"/>
  <c r="X29" i="52"/>
  <c r="Z28" i="52"/>
  <c r="Y28" i="52"/>
  <c r="X28" i="52"/>
  <c r="Z27" i="52"/>
  <c r="Y27" i="52"/>
  <c r="X27" i="52"/>
  <c r="Z26" i="52"/>
  <c r="Y26" i="52"/>
  <c r="X26" i="52"/>
  <c r="Z25" i="52"/>
  <c r="Y25" i="52"/>
  <c r="X25" i="52"/>
  <c r="Z24" i="52"/>
  <c r="Y24" i="52"/>
  <c r="X24" i="52"/>
  <c r="Z23" i="52"/>
  <c r="Y23" i="52"/>
  <c r="X23" i="52"/>
  <c r="Z22" i="52"/>
  <c r="Y22" i="52"/>
  <c r="X22" i="52"/>
  <c r="Z21" i="52"/>
  <c r="Y21" i="52"/>
  <c r="X21" i="52"/>
  <c r="Z20" i="52"/>
  <c r="Y20" i="52"/>
  <c r="X20" i="52"/>
  <c r="Z19" i="52"/>
  <c r="Y19" i="52"/>
  <c r="X19" i="52"/>
  <c r="Z18" i="52"/>
  <c r="Y18" i="52"/>
  <c r="X18" i="52"/>
  <c r="Z17" i="52"/>
  <c r="Y17" i="52"/>
  <c r="X17" i="52"/>
  <c r="Z16" i="52"/>
  <c r="Y16" i="52"/>
  <c r="X16" i="52"/>
  <c r="Z15" i="52"/>
  <c r="Y15" i="52"/>
  <c r="X15" i="52"/>
  <c r="Z14" i="52"/>
  <c r="Y14" i="52"/>
  <c r="X14" i="52"/>
  <c r="Z13" i="52"/>
  <c r="Y13" i="52"/>
  <c r="X13" i="52"/>
  <c r="Z12" i="52"/>
  <c r="Y12" i="52"/>
  <c r="X12" i="52"/>
  <c r="Z11" i="52"/>
  <c r="Y11" i="52"/>
  <c r="X11" i="52"/>
  <c r="Z10" i="52"/>
  <c r="Y10" i="52"/>
  <c r="X10" i="52"/>
  <c r="BK355" i="52"/>
  <c r="BK354" i="52"/>
  <c r="BK353" i="52"/>
  <c r="BK352" i="52"/>
  <c r="BK351" i="52"/>
  <c r="BK350" i="52"/>
  <c r="BK349" i="52"/>
  <c r="BK348" i="52"/>
  <c r="BK347" i="52"/>
  <c r="BK346" i="52"/>
  <c r="BK345" i="52"/>
  <c r="BK344" i="52"/>
  <c r="BK343" i="52"/>
  <c r="BK342" i="52"/>
  <c r="BK341" i="52"/>
  <c r="BK340" i="52"/>
  <c r="BK339" i="52"/>
  <c r="BK338" i="52"/>
  <c r="BK337" i="52"/>
  <c r="BK336" i="52"/>
  <c r="BK335" i="52"/>
  <c r="BK334" i="52"/>
  <c r="BK333" i="52"/>
  <c r="BK332" i="52"/>
  <c r="BK331" i="52"/>
  <c r="BK330" i="52"/>
  <c r="BK329" i="52"/>
  <c r="BK328" i="52"/>
  <c r="BK327" i="52"/>
  <c r="BK326" i="52"/>
  <c r="BK325" i="52"/>
  <c r="BK324" i="52"/>
  <c r="BK323" i="52"/>
  <c r="BK322" i="52"/>
  <c r="BK321" i="52"/>
  <c r="BK320" i="52"/>
  <c r="BK319" i="52"/>
  <c r="BK318" i="52"/>
  <c r="BK317" i="52"/>
  <c r="BK316" i="52"/>
  <c r="BK315" i="52"/>
  <c r="BK314" i="52"/>
  <c r="BK313" i="52"/>
  <c r="BK312" i="52"/>
  <c r="BK311" i="52"/>
  <c r="BK310" i="52"/>
  <c r="BK309" i="52"/>
  <c r="BK308" i="52"/>
  <c r="BK307" i="52"/>
  <c r="BK306" i="52"/>
  <c r="BK305" i="52"/>
  <c r="BK304" i="52"/>
  <c r="BK303" i="52"/>
  <c r="BK302" i="52"/>
  <c r="BK301" i="52"/>
  <c r="BK300" i="52"/>
  <c r="BK299" i="52"/>
  <c r="BK298" i="52"/>
  <c r="BK297" i="52"/>
  <c r="BK296" i="52"/>
  <c r="BK295" i="52"/>
  <c r="BK294" i="52"/>
  <c r="BK293" i="52"/>
  <c r="BK292" i="52"/>
  <c r="BK291" i="52"/>
  <c r="BK290" i="52"/>
  <c r="BK289" i="52"/>
  <c r="BK288" i="52"/>
  <c r="BK287" i="52"/>
  <c r="BK286" i="52"/>
  <c r="BK285" i="52"/>
  <c r="BK284" i="52"/>
  <c r="BK283" i="52"/>
  <c r="BK282" i="52"/>
  <c r="BK281" i="52"/>
  <c r="BK280" i="52"/>
  <c r="BK279" i="52"/>
  <c r="BK278" i="52"/>
  <c r="BK277" i="52"/>
  <c r="BK276" i="52"/>
  <c r="BK275" i="52"/>
  <c r="BK274" i="52"/>
  <c r="BK273" i="52"/>
  <c r="BK272" i="52"/>
  <c r="BK271" i="52"/>
  <c r="BK270" i="52"/>
  <c r="BK269" i="52"/>
  <c r="BK268" i="52"/>
  <c r="BK267" i="52"/>
  <c r="BK266" i="52"/>
  <c r="BK265" i="52"/>
  <c r="BK264" i="52"/>
  <c r="BK263" i="52"/>
  <c r="BK262" i="52"/>
  <c r="BK261" i="52"/>
  <c r="BK260" i="52"/>
  <c r="BK259" i="52"/>
  <c r="BK258" i="52"/>
  <c r="BK257" i="52"/>
  <c r="BK256" i="52"/>
  <c r="BK255" i="52"/>
  <c r="BK254" i="52"/>
  <c r="BK253" i="52"/>
  <c r="BK252" i="52"/>
  <c r="BK251" i="52"/>
  <c r="BK250" i="52"/>
  <c r="BK249" i="52"/>
  <c r="BK248" i="52"/>
  <c r="BK247" i="52"/>
  <c r="BK246" i="52"/>
  <c r="BK245" i="52"/>
  <c r="BK244" i="52"/>
  <c r="BK243" i="52"/>
  <c r="BK242" i="52"/>
  <c r="BK241" i="52"/>
  <c r="BK240" i="52"/>
  <c r="BK239" i="52"/>
  <c r="BK238" i="52"/>
  <c r="BK237" i="52"/>
  <c r="BK236" i="52"/>
  <c r="BK235" i="52"/>
  <c r="BK234" i="52"/>
  <c r="BK233" i="52"/>
  <c r="BK232" i="52"/>
  <c r="BK231" i="52"/>
  <c r="BK230" i="52"/>
  <c r="BK229" i="52"/>
  <c r="BK228" i="52"/>
  <c r="BK227" i="52"/>
  <c r="BK226" i="52"/>
  <c r="BK225" i="52"/>
  <c r="BK224" i="52"/>
  <c r="BK223" i="52"/>
  <c r="BK222" i="52"/>
  <c r="BK221" i="52"/>
  <c r="BK220" i="52"/>
  <c r="BK219" i="52"/>
  <c r="BK218" i="52"/>
  <c r="BK217" i="52"/>
  <c r="BK216" i="52"/>
  <c r="BK215" i="52"/>
  <c r="BK214" i="52"/>
  <c r="BK213" i="52"/>
  <c r="BK212" i="52"/>
  <c r="BK211" i="52"/>
  <c r="BK210" i="52"/>
  <c r="BK209" i="52"/>
  <c r="BK208" i="52"/>
  <c r="BK207" i="52"/>
  <c r="BK206" i="52"/>
  <c r="BK205" i="52"/>
  <c r="BK204" i="52"/>
  <c r="BK203" i="52"/>
  <c r="BK202" i="52"/>
  <c r="BK201" i="52"/>
  <c r="BK200" i="52"/>
  <c r="BK199" i="52"/>
  <c r="BK198" i="52"/>
  <c r="BK197" i="52"/>
  <c r="BK196" i="52"/>
  <c r="BK195" i="52"/>
  <c r="BK194" i="52"/>
  <c r="BK193" i="52"/>
  <c r="BK192" i="52"/>
  <c r="BK191" i="52"/>
  <c r="BK190" i="52"/>
  <c r="BK189" i="52"/>
  <c r="BK188" i="52"/>
  <c r="BK187" i="52"/>
  <c r="BK186" i="52"/>
  <c r="BK185" i="52"/>
  <c r="BK184" i="52"/>
  <c r="BK183" i="52"/>
  <c r="BK182" i="52"/>
  <c r="BK181" i="52"/>
  <c r="BK180" i="52"/>
  <c r="BK179" i="52"/>
  <c r="BK178" i="52"/>
  <c r="BK177" i="52"/>
  <c r="BK176" i="52"/>
  <c r="BK175" i="52"/>
  <c r="BK174" i="52"/>
  <c r="BK173" i="52"/>
  <c r="BK172" i="52"/>
  <c r="BK171" i="52"/>
  <c r="BK170" i="52"/>
  <c r="BK169" i="52"/>
  <c r="BK168" i="52"/>
  <c r="BK167" i="52"/>
  <c r="BK166" i="52"/>
  <c r="BK165" i="52"/>
  <c r="BK164" i="52"/>
  <c r="BK163" i="52"/>
  <c r="BK162" i="52"/>
  <c r="BK161" i="52"/>
  <c r="BK160" i="52"/>
  <c r="BK159" i="52"/>
  <c r="BK158" i="52"/>
  <c r="BK157" i="52"/>
  <c r="BK156" i="52"/>
  <c r="BK155" i="52"/>
  <c r="BK154" i="52"/>
  <c r="BK153" i="52"/>
  <c r="BK152" i="52"/>
  <c r="BK151" i="52"/>
  <c r="BK150" i="52"/>
  <c r="BK149" i="52"/>
  <c r="BK148" i="52"/>
  <c r="BK147" i="52"/>
  <c r="BK146" i="52"/>
  <c r="BK145" i="52"/>
  <c r="BK144" i="52"/>
  <c r="BK143" i="52"/>
  <c r="BK142" i="52"/>
  <c r="BK141" i="52"/>
  <c r="BK140" i="52"/>
  <c r="BK139" i="52"/>
  <c r="BK138" i="52"/>
  <c r="BK137" i="52"/>
  <c r="BK136" i="52"/>
  <c r="BK135" i="52"/>
  <c r="BK134" i="52"/>
  <c r="BK133" i="52"/>
  <c r="BK132" i="52"/>
  <c r="BK131" i="52"/>
  <c r="BK130" i="52"/>
  <c r="BK129" i="52"/>
  <c r="BK128" i="52"/>
  <c r="BK127" i="52"/>
  <c r="BK126" i="52"/>
  <c r="BK125" i="52"/>
  <c r="BK124" i="52"/>
  <c r="BK123" i="52"/>
  <c r="BK122" i="52"/>
  <c r="BK121" i="52"/>
  <c r="BK120" i="52"/>
  <c r="BK119" i="52"/>
  <c r="BK118" i="52"/>
  <c r="BK117" i="52"/>
  <c r="BK116" i="52"/>
  <c r="BK115" i="52"/>
  <c r="BK114" i="52"/>
  <c r="BK113" i="52"/>
  <c r="BK112" i="52"/>
  <c r="BK111" i="52"/>
  <c r="BK110" i="52"/>
  <c r="BK109" i="52"/>
  <c r="BK108" i="52"/>
  <c r="BK107" i="52"/>
  <c r="BK106" i="52"/>
  <c r="BK105" i="52"/>
  <c r="BK104" i="52"/>
  <c r="BK103" i="52"/>
  <c r="BK102" i="52"/>
  <c r="BK101" i="52"/>
  <c r="BK100" i="52"/>
  <c r="BK99" i="52"/>
  <c r="BK98" i="52"/>
  <c r="BK97" i="52"/>
  <c r="BK96" i="52"/>
  <c r="BK95" i="52"/>
  <c r="BK94" i="52"/>
  <c r="BK93" i="52"/>
  <c r="BK92" i="52"/>
  <c r="BK91" i="52"/>
  <c r="BK90" i="52"/>
  <c r="BK89" i="52"/>
  <c r="BK88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C3" i="52"/>
  <c r="AZ355" i="52"/>
  <c r="AZ354" i="52"/>
  <c r="AZ353" i="52"/>
  <c r="AZ352" i="52"/>
  <c r="AZ351" i="52"/>
  <c r="AZ350" i="52"/>
  <c r="AZ349" i="52"/>
  <c r="AZ348" i="52"/>
  <c r="AZ347" i="52"/>
  <c r="AZ346" i="52"/>
  <c r="AZ345" i="52"/>
  <c r="AZ344" i="52"/>
  <c r="AZ343" i="52"/>
  <c r="AZ342" i="52"/>
  <c r="AZ341" i="52"/>
  <c r="AZ340" i="52"/>
  <c r="AZ339" i="52"/>
  <c r="AZ338" i="52"/>
  <c r="AZ337" i="52"/>
  <c r="AZ336" i="52"/>
  <c r="AZ335" i="52"/>
  <c r="AZ334" i="52"/>
  <c r="AZ333" i="52"/>
  <c r="AZ332" i="52"/>
  <c r="AZ331" i="52"/>
  <c r="AZ330" i="52"/>
  <c r="AZ329" i="52"/>
  <c r="AZ328" i="52"/>
  <c r="AZ327" i="52"/>
  <c r="AZ326" i="52"/>
  <c r="AZ325" i="52"/>
  <c r="AZ324" i="52"/>
  <c r="AZ323" i="52"/>
  <c r="AZ322" i="52"/>
  <c r="AZ321" i="52"/>
  <c r="AZ320" i="52"/>
  <c r="AZ319" i="52"/>
  <c r="AZ318" i="52"/>
  <c r="AZ317" i="52"/>
  <c r="AZ316" i="52"/>
  <c r="AZ315" i="52"/>
  <c r="AZ314" i="52"/>
  <c r="AZ313" i="52"/>
  <c r="AZ312" i="52"/>
  <c r="AZ311" i="52"/>
  <c r="AZ310" i="52"/>
  <c r="AZ309" i="52"/>
  <c r="AZ308" i="52"/>
  <c r="AZ307" i="52"/>
  <c r="AZ306" i="52"/>
  <c r="AZ305" i="52"/>
  <c r="AZ304" i="52"/>
  <c r="AZ303" i="52"/>
  <c r="AZ302" i="52"/>
  <c r="AZ301" i="52"/>
  <c r="AZ300" i="52"/>
  <c r="AZ299" i="52"/>
  <c r="AZ298" i="52"/>
  <c r="AZ297" i="52"/>
  <c r="AZ296" i="52"/>
  <c r="AZ295" i="52"/>
  <c r="AZ294" i="52"/>
  <c r="AZ293" i="52"/>
  <c r="AZ292" i="52"/>
  <c r="AZ291" i="52"/>
  <c r="AZ290" i="52"/>
  <c r="AZ289" i="52"/>
  <c r="AZ288" i="52"/>
  <c r="AZ287" i="52"/>
  <c r="AZ286" i="52"/>
  <c r="AZ285" i="52"/>
  <c r="AZ284" i="52"/>
  <c r="AZ283" i="52"/>
  <c r="AZ282" i="52"/>
  <c r="AZ281" i="52"/>
  <c r="AZ280" i="52"/>
  <c r="AZ279" i="52"/>
  <c r="AZ278" i="52"/>
  <c r="AZ277" i="52"/>
  <c r="AZ276" i="52"/>
  <c r="AZ275" i="52"/>
  <c r="AZ274" i="52"/>
  <c r="AZ273" i="52"/>
  <c r="AZ272" i="52"/>
  <c r="AZ271" i="52"/>
  <c r="AZ270" i="52"/>
  <c r="AZ269" i="52"/>
  <c r="AZ268" i="52"/>
  <c r="AZ267" i="52"/>
  <c r="AZ266" i="52"/>
  <c r="AZ265" i="52"/>
  <c r="AZ264" i="52"/>
  <c r="AZ263" i="52"/>
  <c r="AZ262" i="52"/>
  <c r="AZ261" i="52"/>
  <c r="AZ260" i="52"/>
  <c r="AZ259" i="52"/>
  <c r="AZ258" i="52"/>
  <c r="AZ257" i="52"/>
  <c r="AZ256" i="52"/>
  <c r="AZ255" i="52"/>
  <c r="AZ254" i="52"/>
  <c r="AZ253" i="52"/>
  <c r="AZ252" i="52"/>
  <c r="AZ251" i="52"/>
  <c r="AZ250" i="52"/>
  <c r="AZ249" i="52"/>
  <c r="AZ248" i="52"/>
  <c r="AZ247" i="52"/>
  <c r="AZ246" i="52"/>
  <c r="AZ245" i="52"/>
  <c r="AZ244" i="52"/>
  <c r="AZ243" i="52"/>
  <c r="AZ242" i="52"/>
  <c r="AZ241" i="52"/>
  <c r="AZ240" i="52"/>
  <c r="AZ239" i="52"/>
  <c r="AZ238" i="52"/>
  <c r="AZ237" i="52"/>
  <c r="AZ236" i="52"/>
  <c r="AZ235" i="52"/>
  <c r="AZ234" i="52"/>
  <c r="AZ233" i="52"/>
  <c r="AZ232" i="52"/>
  <c r="AZ231" i="52"/>
  <c r="AZ230" i="52"/>
  <c r="AZ229" i="52"/>
  <c r="AZ228" i="52"/>
  <c r="AZ227" i="52"/>
  <c r="AZ226" i="52"/>
  <c r="AZ225" i="52"/>
  <c r="AZ224" i="52"/>
  <c r="AZ223" i="52"/>
  <c r="AZ222" i="52"/>
  <c r="AZ221" i="52"/>
  <c r="AZ220" i="52"/>
  <c r="AZ219" i="52"/>
  <c r="AZ218" i="52"/>
  <c r="AZ217" i="52"/>
  <c r="AZ216" i="52"/>
  <c r="AZ215" i="52"/>
  <c r="AZ214" i="52"/>
  <c r="AZ213" i="52"/>
  <c r="AZ212" i="52"/>
  <c r="AZ211" i="52"/>
  <c r="AZ210" i="52"/>
  <c r="AZ209" i="52"/>
  <c r="AZ208" i="52"/>
  <c r="AZ207" i="52"/>
  <c r="AZ206" i="52"/>
  <c r="AZ205" i="52"/>
  <c r="AZ204" i="52"/>
  <c r="AZ203" i="52"/>
  <c r="AZ202" i="52"/>
  <c r="AZ201" i="52"/>
  <c r="AZ200" i="52"/>
  <c r="AZ199" i="52"/>
  <c r="AZ198" i="52"/>
  <c r="AZ197" i="52"/>
  <c r="AZ196" i="52"/>
  <c r="AZ195" i="52"/>
  <c r="AZ194" i="52"/>
  <c r="AZ193" i="52"/>
  <c r="AZ192" i="52"/>
  <c r="AZ191" i="52"/>
  <c r="AZ190" i="52"/>
  <c r="AZ189" i="52"/>
  <c r="AZ188" i="52"/>
  <c r="AZ187" i="52"/>
  <c r="AZ186" i="52"/>
  <c r="AZ185" i="52"/>
  <c r="AZ184" i="52"/>
  <c r="AZ183" i="52"/>
  <c r="AZ182" i="52"/>
  <c r="AZ181" i="52"/>
  <c r="AZ180" i="52"/>
  <c r="AZ179" i="52"/>
  <c r="AZ178" i="52"/>
  <c r="AZ177" i="52"/>
  <c r="AZ176" i="52"/>
  <c r="AZ175" i="52"/>
  <c r="AZ174" i="52"/>
  <c r="AZ173" i="52"/>
  <c r="AZ172" i="52"/>
  <c r="AZ171" i="52"/>
  <c r="AZ170" i="52"/>
  <c r="AZ169" i="52"/>
  <c r="AZ168" i="52"/>
  <c r="AZ167" i="52"/>
  <c r="AZ166" i="52"/>
  <c r="AZ165" i="52"/>
  <c r="AZ164" i="52"/>
  <c r="AZ163" i="52"/>
  <c r="AZ162" i="52"/>
  <c r="AZ161" i="52"/>
  <c r="AZ160" i="52"/>
  <c r="AZ159" i="52"/>
  <c r="AZ158" i="52"/>
  <c r="AZ157" i="52"/>
  <c r="AZ156" i="52"/>
  <c r="AZ155" i="52"/>
  <c r="AZ154" i="52"/>
  <c r="AZ153" i="52"/>
  <c r="AZ152" i="52"/>
  <c r="AZ151" i="52"/>
  <c r="AZ150" i="52"/>
  <c r="AZ149" i="52"/>
  <c r="AZ148" i="52"/>
  <c r="AZ147" i="52"/>
  <c r="AZ146" i="52"/>
  <c r="AZ145" i="52"/>
  <c r="AZ144" i="52"/>
  <c r="AZ143" i="52"/>
  <c r="AZ142" i="52"/>
  <c r="AZ141" i="52"/>
  <c r="AZ140" i="52"/>
  <c r="AZ139" i="52"/>
  <c r="AZ138" i="52"/>
  <c r="AZ137" i="52"/>
  <c r="AZ136" i="52"/>
  <c r="AZ135" i="52"/>
  <c r="AZ134" i="52"/>
  <c r="AZ133" i="52"/>
  <c r="AZ132" i="52"/>
  <c r="AZ131" i="52"/>
  <c r="AZ130" i="52"/>
  <c r="AZ129" i="52"/>
  <c r="AZ128" i="52"/>
  <c r="AZ127" i="52"/>
  <c r="AZ126" i="52"/>
  <c r="AZ125" i="52"/>
  <c r="AZ124" i="52"/>
  <c r="AZ123" i="52"/>
  <c r="AZ122" i="52"/>
  <c r="AZ121" i="52"/>
  <c r="AZ120" i="52"/>
  <c r="AZ119" i="52"/>
  <c r="AZ118" i="52"/>
  <c r="AZ117" i="52"/>
  <c r="AZ116" i="52"/>
  <c r="AZ115" i="52"/>
  <c r="AZ114" i="52"/>
  <c r="AZ113" i="52"/>
  <c r="AZ112" i="52"/>
  <c r="AZ111" i="52"/>
  <c r="AZ110" i="52"/>
  <c r="AZ109" i="52"/>
  <c r="AZ108" i="52"/>
  <c r="AZ107" i="52"/>
  <c r="AZ106" i="52"/>
  <c r="AZ105" i="52"/>
  <c r="AZ104" i="52"/>
  <c r="AZ103" i="52"/>
  <c r="AZ102" i="52"/>
  <c r="AZ101" i="52"/>
  <c r="AZ100" i="52"/>
  <c r="AZ99" i="52"/>
  <c r="AZ98" i="52"/>
  <c r="AZ97" i="52"/>
  <c r="AZ96" i="52"/>
  <c r="AZ95" i="52"/>
  <c r="AZ94" i="52"/>
  <c r="AZ93" i="52"/>
  <c r="AZ92" i="52"/>
  <c r="AZ91" i="52"/>
  <c r="AZ90" i="52"/>
  <c r="AZ89" i="52"/>
  <c r="AZ88" i="52"/>
  <c r="AZ87" i="52"/>
  <c r="AZ86" i="52"/>
  <c r="AZ85" i="52"/>
  <c r="AZ84" i="52"/>
  <c r="AZ83" i="52"/>
  <c r="AZ82" i="52"/>
  <c r="AZ81" i="52"/>
  <c r="AZ80" i="52"/>
  <c r="AZ79" i="52"/>
  <c r="AZ78" i="52"/>
  <c r="AZ77" i="52"/>
  <c r="AZ76" i="52"/>
  <c r="AZ75" i="52"/>
  <c r="AZ74" i="52"/>
  <c r="AZ73" i="52"/>
  <c r="AZ72" i="52"/>
  <c r="AZ71" i="52"/>
  <c r="AZ70" i="52"/>
  <c r="AZ69" i="52"/>
  <c r="AZ68" i="52"/>
  <c r="AZ67" i="52"/>
  <c r="AZ66" i="52"/>
  <c r="AZ65" i="52"/>
  <c r="AZ64" i="52"/>
  <c r="AZ63" i="52"/>
  <c r="AZ62" i="52"/>
  <c r="AZ61" i="52"/>
  <c r="AZ60" i="52"/>
  <c r="AZ59" i="52"/>
  <c r="AZ58" i="52"/>
  <c r="AZ57" i="52"/>
  <c r="AZ56" i="52"/>
  <c r="AZ55" i="52"/>
  <c r="AZ54" i="52"/>
  <c r="AZ53" i="52"/>
  <c r="AZ52" i="52"/>
  <c r="AZ51" i="52"/>
  <c r="AZ50" i="52"/>
  <c r="AZ49" i="52"/>
  <c r="AZ48" i="52"/>
  <c r="AZ47" i="52"/>
  <c r="AZ46" i="52"/>
  <c r="AZ45" i="52"/>
  <c r="AZ44" i="52"/>
  <c r="AZ43" i="52"/>
  <c r="AZ42" i="52"/>
  <c r="AZ41" i="52"/>
  <c r="AZ40" i="52"/>
  <c r="AZ39" i="52"/>
  <c r="AZ38" i="52"/>
  <c r="AZ37" i="52"/>
  <c r="AZ36" i="52"/>
  <c r="AZ35" i="52"/>
  <c r="AZ34" i="52"/>
  <c r="AZ33" i="52"/>
  <c r="AZ32" i="52"/>
  <c r="AZ31" i="52"/>
  <c r="AZ30" i="52"/>
  <c r="AZ29" i="52"/>
  <c r="AZ28" i="52"/>
  <c r="AZ27" i="52"/>
  <c r="AZ26" i="52"/>
  <c r="AZ25" i="52"/>
  <c r="AR3" i="52"/>
  <c r="G5" i="98"/>
  <c r="A1" i="98"/>
  <c r="Q11" i="98"/>
  <c r="Q9" i="98"/>
  <c r="P4" i="52"/>
  <c r="Q20" i="52"/>
  <c r="P20" i="52"/>
  <c r="Q19" i="52"/>
  <c r="P19" i="52"/>
  <c r="G5" i="97"/>
  <c r="A1" i="97"/>
  <c r="Q11" i="97"/>
  <c r="Q9" i="97"/>
  <c r="A14" i="77"/>
  <c r="H2" i="77"/>
  <c r="H6" i="77" s="1" a="1"/>
  <c r="H6" i="77" s="1"/>
  <c r="D14" i="77" s="1"/>
  <c r="E5" i="26"/>
  <c r="E5" i="30"/>
  <c r="E5" i="13"/>
  <c r="E5" i="16"/>
  <c r="E5" i="36"/>
  <c r="E5" i="17"/>
  <c r="E5" i="35"/>
  <c r="E5" i="19"/>
  <c r="E5" i="20"/>
  <c r="E5" i="44"/>
  <c r="E5" i="91"/>
  <c r="E5" i="39"/>
  <c r="E5" i="37"/>
  <c r="E5" i="31"/>
  <c r="E5" i="33"/>
  <c r="E5" i="34"/>
  <c r="E5" i="25"/>
  <c r="G5" i="96"/>
  <c r="A1" i="96"/>
  <c r="Q11" i="96"/>
  <c r="Q9" i="96"/>
  <c r="A1" i="45"/>
  <c r="B75" i="47"/>
  <c r="X8" i="17"/>
  <c r="X8" i="20"/>
  <c r="X9" i="20" s="1"/>
  <c r="X8" i="39"/>
  <c r="X9" i="39" s="1"/>
  <c r="X8" i="31"/>
  <c r="X9" i="31" s="1"/>
  <c r="B25" i="93"/>
  <c r="M4" i="49"/>
  <c r="G5" i="91"/>
  <c r="A1" i="91"/>
  <c r="Q11" i="91"/>
  <c r="Q9" i="91"/>
  <c r="B9" i="77"/>
  <c r="D1" i="77"/>
  <c r="O11" i="53"/>
  <c r="O10" i="53"/>
  <c r="O5" i="53"/>
  <c r="P11" i="52"/>
  <c r="P10" i="52"/>
  <c r="O5" i="51"/>
  <c r="O4" i="51"/>
  <c r="O5" i="48"/>
  <c r="O4" i="48"/>
  <c r="O5" i="49"/>
  <c r="O4" i="49"/>
  <c r="O11" i="50"/>
  <c r="O10" i="50"/>
  <c r="P5" i="52"/>
  <c r="M5" i="51"/>
  <c r="O5" i="50"/>
  <c r="M5" i="48"/>
  <c r="M5" i="49"/>
  <c r="X8" i="26"/>
  <c r="X9" i="26" s="1"/>
  <c r="Q11" i="30"/>
  <c r="Q11" i="13"/>
  <c r="Q11" i="14"/>
  <c r="Q11" i="16"/>
  <c r="Q11" i="36"/>
  <c r="Q11" i="17"/>
  <c r="Q11" i="35"/>
  <c r="Q11" i="19"/>
  <c r="Q11" i="20"/>
  <c r="Q11" i="44"/>
  <c r="Q11" i="45"/>
  <c r="Q11" i="21"/>
  <c r="Q11" i="22"/>
  <c r="Q11" i="40"/>
  <c r="Q11" i="39"/>
  <c r="Q11" i="37"/>
  <c r="Q11" i="31"/>
  <c r="Q11" i="33"/>
  <c r="Q11" i="34"/>
  <c r="Q11" i="24"/>
  <c r="Q11" i="25"/>
  <c r="Q11" i="26"/>
  <c r="G5" i="45"/>
  <c r="Q9" i="45"/>
  <c r="C110" i="27"/>
  <c r="G5" i="13"/>
  <c r="G5" i="14"/>
  <c r="G5" i="16"/>
  <c r="G5" i="36"/>
  <c r="G5" i="17"/>
  <c r="G5" i="35"/>
  <c r="G5" i="19"/>
  <c r="G5" i="20"/>
  <c r="G5" i="21"/>
  <c r="G5" i="22"/>
  <c r="G5" i="40"/>
  <c r="G5" i="39"/>
  <c r="G5" i="37"/>
  <c r="G5" i="31"/>
  <c r="G5" i="33"/>
  <c r="G5" i="34"/>
  <c r="G5" i="24"/>
  <c r="G5" i="25"/>
  <c r="G5" i="26"/>
  <c r="G5" i="44"/>
  <c r="A1" i="44"/>
  <c r="Q9" i="44"/>
  <c r="Q9" i="40"/>
  <c r="Q9" i="39"/>
  <c r="F2" i="27" a="1"/>
  <c r="F2" i="27" s="1"/>
  <c r="H796" i="1"/>
  <c r="G5" i="30"/>
  <c r="Q9" i="37"/>
  <c r="Q9" i="36"/>
  <c r="Q9" i="30"/>
  <c r="Q9" i="13"/>
  <c r="Q9" i="14"/>
  <c r="Q9" i="16"/>
  <c r="Q9" i="17"/>
  <c r="Q9" i="35"/>
  <c r="Q9" i="19"/>
  <c r="Q9" i="20"/>
  <c r="Q9" i="21"/>
  <c r="Q9" i="22"/>
  <c r="Q9" i="31"/>
  <c r="Q9" i="33"/>
  <c r="Q9" i="34"/>
  <c r="Q9" i="24"/>
  <c r="Q9" i="25"/>
  <c r="Q9" i="26"/>
  <c r="H6" i="3"/>
  <c r="H8" i="3"/>
  <c r="H9" i="3"/>
  <c r="H10" i="3"/>
  <c r="H11" i="3"/>
  <c r="H12" i="3"/>
  <c r="H13" i="3"/>
  <c r="H17" i="3"/>
  <c r="H20" i="3"/>
  <c r="H21" i="3"/>
  <c r="H22" i="3"/>
  <c r="H24" i="3"/>
  <c r="H25" i="3"/>
  <c r="H26" i="3"/>
  <c r="H27" i="3"/>
  <c r="H29" i="3"/>
  <c r="H32" i="3"/>
  <c r="H34" i="3"/>
  <c r="H35" i="3"/>
  <c r="H37" i="3"/>
  <c r="H38" i="3"/>
  <c r="H39" i="3"/>
  <c r="H41" i="3"/>
  <c r="H42" i="3"/>
  <c r="H43" i="3"/>
  <c r="H44" i="3"/>
  <c r="H45" i="3"/>
  <c r="H47" i="3"/>
  <c r="H48" i="3"/>
  <c r="H49" i="3"/>
  <c r="H51" i="3"/>
  <c r="H53" i="3"/>
  <c r="H54" i="3"/>
  <c r="H56" i="3"/>
  <c r="H57" i="3"/>
  <c r="H61" i="3"/>
  <c r="H62" i="3"/>
  <c r="H66" i="3"/>
  <c r="H67" i="3"/>
  <c r="H68" i="3"/>
  <c r="H69" i="3"/>
  <c r="H74" i="3"/>
  <c r="H77" i="3"/>
  <c r="H82" i="3"/>
  <c r="H84" i="3"/>
  <c r="H89" i="3"/>
  <c r="H90" i="3"/>
  <c r="H91" i="3"/>
  <c r="H95" i="3"/>
  <c r="H97" i="3"/>
  <c r="H98" i="3"/>
  <c r="H100" i="3"/>
  <c r="H101" i="3"/>
  <c r="H102" i="3"/>
  <c r="H104" i="3"/>
  <c r="H105" i="3"/>
  <c r="H107" i="3"/>
  <c r="H108" i="3"/>
  <c r="H111" i="3"/>
  <c r="H113" i="3"/>
  <c r="H122" i="3"/>
  <c r="H124" i="3"/>
  <c r="H127" i="3"/>
  <c r="H131" i="3"/>
  <c r="H135" i="3"/>
  <c r="H137" i="3"/>
  <c r="H139" i="3"/>
  <c r="H141" i="3"/>
  <c r="H148" i="3"/>
  <c r="H152" i="3"/>
  <c r="H153" i="3"/>
  <c r="H156" i="3"/>
  <c r="H159" i="3"/>
  <c r="H163" i="3"/>
  <c r="H164" i="3"/>
  <c r="H168" i="3"/>
  <c r="H169" i="3"/>
  <c r="H170" i="3"/>
  <c r="H173" i="3"/>
  <c r="H176" i="3"/>
  <c r="H177" i="3"/>
  <c r="H179" i="3"/>
  <c r="H178" i="3"/>
  <c r="H181" i="3"/>
  <c r="H184" i="3"/>
  <c r="H186" i="3"/>
  <c r="H187" i="3"/>
  <c r="H191" i="3"/>
  <c r="H192" i="3"/>
  <c r="H193" i="3"/>
  <c r="H197" i="3"/>
  <c r="H200" i="3"/>
  <c r="H201" i="3"/>
  <c r="H202" i="3"/>
  <c r="H204" i="3"/>
  <c r="H205" i="3"/>
  <c r="H207" i="3"/>
  <c r="H210" i="3"/>
  <c r="H211" i="3"/>
  <c r="H212" i="3"/>
  <c r="H217" i="3"/>
  <c r="H221" i="3"/>
  <c r="H222" i="3"/>
  <c r="H223" i="3"/>
  <c r="H224" i="3"/>
  <c r="H225" i="3"/>
  <c r="H229" i="3"/>
  <c r="H227" i="3"/>
  <c r="H230" i="3"/>
  <c r="H231" i="3"/>
  <c r="H232" i="3"/>
  <c r="H234" i="3"/>
  <c r="H235" i="3"/>
  <c r="H236" i="3"/>
  <c r="H238" i="3"/>
  <c r="H239" i="3"/>
  <c r="H241" i="3"/>
  <c r="H244" i="3"/>
  <c r="H246" i="3"/>
  <c r="H247" i="3"/>
  <c r="H254" i="3"/>
  <c r="H255" i="3"/>
  <c r="H258" i="3"/>
  <c r="H262" i="3"/>
  <c r="H267" i="3"/>
  <c r="H268" i="3"/>
  <c r="H274" i="3"/>
  <c r="H280" i="3"/>
  <c r="H282" i="3"/>
  <c r="H285" i="3"/>
  <c r="H288" i="3"/>
  <c r="H289" i="3"/>
  <c r="H293" i="3"/>
  <c r="H297" i="3"/>
  <c r="H298" i="3"/>
  <c r="H304" i="3"/>
  <c r="H306" i="3"/>
  <c r="H307" i="3"/>
  <c r="H308" i="3"/>
  <c r="H388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57" i="1"/>
  <c r="H72" i="1"/>
  <c r="H103" i="1"/>
  <c r="H121" i="1"/>
  <c r="H134" i="1"/>
  <c r="H218" i="1"/>
  <c r="H225" i="1"/>
  <c r="H230" i="1"/>
  <c r="H246" i="1"/>
  <c r="H259" i="1"/>
  <c r="H276" i="1"/>
  <c r="H284" i="1"/>
  <c r="H285" i="1"/>
  <c r="H294" i="1"/>
  <c r="H303" i="1"/>
  <c r="H336" i="1"/>
  <c r="H383" i="1"/>
  <c r="H394" i="1"/>
  <c r="H403" i="1"/>
  <c r="H413" i="1"/>
  <c r="H457" i="1"/>
  <c r="H461" i="1"/>
  <c r="H481" i="1"/>
  <c r="H518" i="1"/>
  <c r="H542" i="1"/>
  <c r="H557" i="1"/>
  <c r="H569" i="1"/>
  <c r="H632" i="1"/>
  <c r="H663" i="1"/>
  <c r="H669" i="1"/>
  <c r="H683" i="1"/>
  <c r="H695" i="1"/>
  <c r="H709" i="1"/>
  <c r="H734" i="1"/>
  <c r="H745" i="1"/>
  <c r="H756" i="1"/>
  <c r="H770" i="1"/>
  <c r="H771" i="1"/>
  <c r="H778" i="1"/>
  <c r="H794" i="1"/>
  <c r="H809" i="1"/>
  <c r="H822" i="1"/>
  <c r="H857" i="1"/>
  <c r="H862" i="1"/>
  <c r="H877" i="1"/>
  <c r="H880" i="1"/>
  <c r="H928" i="1"/>
  <c r="H926" i="1"/>
  <c r="H960" i="1"/>
  <c r="H983" i="1"/>
  <c r="H1004" i="1"/>
  <c r="H1012" i="1"/>
  <c r="H1021" i="1"/>
  <c r="H1134" i="1"/>
  <c r="H1136" i="1"/>
  <c r="H1189" i="1"/>
  <c r="H1229" i="1"/>
  <c r="H1230" i="1"/>
  <c r="H1240" i="1"/>
  <c r="H1272" i="1"/>
  <c r="H1293" i="1"/>
  <c r="H1359" i="1"/>
  <c r="H1360" i="1"/>
  <c r="H1394" i="1"/>
  <c r="H1409" i="1"/>
  <c r="H1431" i="1"/>
  <c r="H1432" i="1"/>
  <c r="H1453" i="1"/>
  <c r="H1454" i="1"/>
  <c r="H1471" i="1"/>
  <c r="H1472" i="1"/>
  <c r="H1491" i="1"/>
  <c r="H1504" i="1"/>
  <c r="H1506" i="1"/>
  <c r="H1522" i="1"/>
  <c r="H1523" i="1"/>
  <c r="H1543" i="1"/>
  <c r="H1547" i="1"/>
  <c r="H1563" i="1"/>
  <c r="H1641" i="1"/>
  <c r="H1676" i="1"/>
  <c r="H1889" i="1"/>
  <c r="H2426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A51" i="5"/>
  <c r="K6" i="14" s="1" a="1"/>
  <c r="A44" i="14" s="1" a="1"/>
  <c r="A44" i="14" s="1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H2" i="1"/>
  <c r="H2" i="3"/>
  <c r="H71" i="1"/>
  <c r="H120" i="1"/>
  <c r="H3" i="1"/>
  <c r="H18" i="1"/>
  <c r="H38" i="1"/>
  <c r="H155" i="3"/>
  <c r="H140" i="3"/>
  <c r="H138" i="3"/>
  <c r="H136" i="3"/>
  <c r="H132" i="3"/>
  <c r="H123" i="3"/>
  <c r="H114" i="3"/>
  <c r="H112" i="3"/>
  <c r="H109" i="3"/>
  <c r="H103" i="3"/>
  <c r="H99" i="3"/>
  <c r="H86" i="3"/>
  <c r="H83" i="3"/>
  <c r="H75" i="3"/>
  <c r="H65" i="3"/>
  <c r="H344" i="1"/>
  <c r="H58" i="3"/>
  <c r="H52" i="3"/>
  <c r="H50" i="3"/>
  <c r="H46" i="3"/>
  <c r="H3" i="3"/>
  <c r="H283" i="1"/>
  <c r="H293" i="1"/>
  <c r="H317" i="1"/>
  <c r="H342" i="1"/>
  <c r="H489" i="1"/>
  <c r="H556" i="1"/>
  <c r="H662" i="1"/>
  <c r="H93" i="1"/>
  <c r="H648" i="1"/>
  <c r="H229" i="1"/>
  <c r="H148" i="1"/>
  <c r="H275" i="1"/>
  <c r="H335" i="1"/>
  <c r="H390" i="1"/>
  <c r="H133" i="1"/>
  <c r="H64" i="1"/>
  <c r="H245" i="1"/>
  <c r="H420" i="1"/>
  <c r="H589" i="1"/>
  <c r="H640" i="1"/>
  <c r="H472" i="1"/>
  <c r="H668" i="1"/>
  <c r="H217" i="1"/>
  <c r="H258" i="1"/>
  <c r="H692" i="1"/>
  <c r="H82" i="1"/>
  <c r="H302" i="1"/>
  <c r="H456" i="1"/>
  <c r="H625" i="1"/>
  <c r="H102" i="1"/>
  <c r="H529" i="1"/>
  <c r="H56" i="1"/>
  <c r="H328" i="1"/>
  <c r="H353" i="1"/>
  <c r="H222" i="1"/>
  <c r="H459" i="1"/>
  <c r="H568" i="1"/>
  <c r="H460" i="1"/>
  <c r="H480" i="1"/>
  <c r="H630" i="1"/>
  <c r="H401" i="1"/>
  <c r="H381" i="1"/>
  <c r="H361" i="1"/>
  <c r="H433" i="1"/>
  <c r="H507" i="1"/>
  <c r="H682" i="1"/>
  <c r="H714" i="1"/>
  <c r="H540" i="1"/>
  <c r="H541" i="1"/>
  <c r="H606" i="1"/>
  <c r="H412" i="1"/>
  <c r="H581" i="1"/>
  <c r="H517" i="1"/>
  <c r="H733" i="1"/>
  <c r="H710" i="1"/>
  <c r="H757" i="1"/>
  <c r="H182" i="3"/>
  <c r="H779" i="1"/>
  <c r="H185" i="3"/>
  <c r="H833" i="1"/>
  <c r="H848" i="1"/>
  <c r="H887" i="1"/>
  <c r="H986" i="1"/>
  <c r="H219" i="3"/>
  <c r="H949" i="1"/>
  <c r="H947" i="1"/>
  <c r="H1014" i="1"/>
  <c r="A93" i="25" a="1"/>
  <c r="A93" i="25"/>
  <c r="E93" i="25" s="1"/>
  <c r="F93" i="25" a="1"/>
  <c r="F93" i="25" s="1"/>
  <c r="A92" i="25" a="1"/>
  <c r="A92" i="25" s="1"/>
  <c r="B92" i="25" s="1"/>
  <c r="A91" i="25" a="1"/>
  <c r="A91" i="25" s="1"/>
  <c r="G91" i="25" s="1"/>
  <c r="F91" i="25" a="1"/>
  <c r="F91" i="25" s="1"/>
  <c r="F92" i="25" a="1"/>
  <c r="F92" i="25" s="1"/>
  <c r="H1046" i="1"/>
  <c r="H1047" i="1"/>
  <c r="H1093" i="1"/>
  <c r="H1094" i="1"/>
  <c r="H233" i="3"/>
  <c r="H1190" i="1"/>
  <c r="G12" i="93"/>
  <c r="H237" i="3"/>
  <c r="H1242" i="1"/>
  <c r="H1249" i="1"/>
  <c r="H1256" i="1"/>
  <c r="H1257" i="1"/>
  <c r="H248" i="3"/>
  <c r="H1294" i="1"/>
  <c r="H249" i="3"/>
  <c r="H1315" i="1"/>
  <c r="H251" i="3"/>
  <c r="H1314" i="1"/>
  <c r="H1328" i="1"/>
  <c r="H1331" i="1"/>
  <c r="H261" i="3"/>
  <c r="H78" i="3"/>
  <c r="H1411" i="1"/>
  <c r="H79" i="3"/>
  <c r="H28" i="3"/>
  <c r="H275" i="3"/>
  <c r="H257" i="3"/>
  <c r="H36" i="3"/>
  <c r="H670" i="1"/>
  <c r="H391" i="1"/>
  <c r="H458" i="1"/>
  <c r="H226" i="1"/>
  <c r="H641" i="1"/>
  <c r="H226" i="3"/>
  <c r="H421" i="1"/>
  <c r="H1135" i="1"/>
  <c r="H1022" i="1"/>
  <c r="H188" i="3"/>
  <c r="H158" i="3"/>
  <c r="H395" i="1"/>
  <c r="H693" i="1"/>
  <c r="H927" i="1"/>
  <c r="H393" i="1"/>
  <c r="H96" i="3"/>
  <c r="H860" i="1"/>
  <c r="H294" i="3"/>
  <c r="H929" i="1"/>
  <c r="H859" i="1"/>
  <c r="H490" i="1"/>
  <c r="H40" i="3"/>
  <c r="H582" i="1"/>
  <c r="H65" i="1"/>
  <c r="H228" i="3"/>
  <c r="H206" i="3"/>
  <c r="H861" i="1"/>
  <c r="H33" i="3"/>
  <c r="H14" i="3"/>
  <c r="H642" i="1"/>
  <c r="H643" i="1"/>
  <c r="H15" i="3"/>
  <c r="H194" i="3"/>
  <c r="H196" i="3"/>
  <c r="H172" i="3"/>
  <c r="H171" i="3"/>
  <c r="H19" i="1"/>
  <c r="H20" i="1"/>
  <c r="H1005" i="1"/>
  <c r="H94" i="3"/>
  <c r="H92" i="3"/>
  <c r="H94" i="1"/>
  <c r="H715" i="1"/>
  <c r="H607" i="1"/>
  <c r="H474" i="1"/>
  <c r="H473" i="1"/>
  <c r="H263" i="3"/>
  <c r="H811" i="1"/>
  <c r="H160" i="3"/>
  <c r="H858" i="1"/>
  <c r="H213" i="3"/>
  <c r="H392" i="1"/>
  <c r="H508" i="1"/>
  <c r="H175" i="3"/>
  <c r="H174" i="3"/>
  <c r="H30" i="3"/>
  <c r="H31" i="3"/>
  <c r="H165" i="3"/>
  <c r="H167" i="3"/>
  <c r="H7" i="3"/>
  <c r="H1007" i="1"/>
  <c r="H1011" i="1"/>
  <c r="H626" i="1"/>
  <c r="H362" i="1"/>
  <c r="H363" i="1"/>
  <c r="H245" i="3"/>
  <c r="H76" i="3"/>
  <c r="H16" i="3"/>
  <c r="H434" i="1"/>
  <c r="H199" i="3"/>
  <c r="H219" i="1"/>
  <c r="H571" i="1"/>
  <c r="H354" i="1"/>
  <c r="H834" i="1"/>
  <c r="H850" i="1"/>
  <c r="H1544" i="1"/>
  <c r="H64" i="3"/>
  <c r="H296" i="3"/>
  <c r="H295" i="3"/>
  <c r="H1009" i="1"/>
  <c r="H1048" i="1"/>
  <c r="H984" i="1"/>
  <c r="H5" i="3"/>
  <c r="H154" i="3"/>
  <c r="H208" i="3"/>
  <c r="H209" i="3"/>
  <c r="H305" i="3"/>
  <c r="H281" i="3"/>
  <c r="H1329" i="1"/>
  <c r="H1330" i="1"/>
  <c r="H1395" i="1"/>
  <c r="H1397" i="1"/>
  <c r="H1505" i="1"/>
  <c r="H1545" i="1"/>
  <c r="H253" i="3"/>
  <c r="H270" i="3"/>
  <c r="H1475" i="1"/>
  <c r="H80" i="3"/>
  <c r="H81" i="3"/>
  <c r="H240" i="3"/>
  <c r="H180" i="3"/>
  <c r="H190" i="3"/>
  <c r="H55" i="3"/>
  <c r="H70" i="3"/>
  <c r="H106" i="3"/>
  <c r="H183" i="3"/>
  <c r="H198" i="3"/>
  <c r="H93" i="3"/>
  <c r="H203" i="3"/>
  <c r="H157" i="3"/>
  <c r="H63" i="3"/>
  <c r="H4" i="3"/>
  <c r="H218" i="3"/>
  <c r="H142" i="3"/>
  <c r="H143" i="3"/>
  <c r="H85" i="3"/>
  <c r="H23" i="3"/>
  <c r="H162" i="3"/>
  <c r="H250" i="3"/>
  <c r="H435" i="1"/>
  <c r="H773" i="1"/>
  <c r="H889" i="1"/>
  <c r="H890" i="1"/>
  <c r="H629" i="1"/>
  <c r="H627" i="1"/>
  <c r="H227" i="1"/>
  <c r="H879" i="1"/>
  <c r="H878" i="1"/>
  <c r="H888" i="1"/>
  <c r="H685" i="1"/>
  <c r="H59" i="1"/>
  <c r="H343" i="1"/>
  <c r="H224" i="1"/>
  <c r="H286" i="1"/>
  <c r="H795" i="1"/>
  <c r="H338" i="1"/>
  <c r="H223" i="1"/>
  <c r="H402" i="1"/>
  <c r="H633" i="1"/>
  <c r="H329" i="1"/>
  <c r="H631" i="1"/>
  <c r="H67" i="1"/>
  <c r="H509" i="1"/>
  <c r="H512" i="1"/>
  <c r="H491" i="1"/>
  <c r="H583" i="1"/>
  <c r="H584" i="1"/>
  <c r="H330" i="1"/>
  <c r="H881" i="1"/>
  <c r="H590" i="1"/>
  <c r="H810" i="1"/>
  <c r="H772" i="1"/>
  <c r="H1231" i="1"/>
  <c r="H95" i="1"/>
  <c r="H73" i="1"/>
  <c r="H83" i="1"/>
  <c r="H382" i="1"/>
  <c r="H628" i="1"/>
  <c r="H66" i="1"/>
  <c r="H774" i="1"/>
  <c r="H1006" i="1"/>
  <c r="H1361" i="1"/>
  <c r="H355" i="1"/>
  <c r="H1492" i="1"/>
  <c r="H364" i="1"/>
  <c r="H462" i="1"/>
  <c r="H129" i="3"/>
  <c r="H128" i="3"/>
  <c r="H835" i="1"/>
  <c r="H836" i="1"/>
  <c r="H220" i="3"/>
  <c r="H511" i="1"/>
  <c r="H284" i="3"/>
  <c r="H823" i="1"/>
  <c r="H414" i="1"/>
  <c r="H144" i="3"/>
  <c r="H384" i="1"/>
  <c r="H961" i="1"/>
  <c r="H812" i="1"/>
  <c r="H1362" i="1"/>
  <c r="H1273" i="1"/>
  <c r="H1274" i="1"/>
  <c r="H286" i="3"/>
  <c r="H287" i="3"/>
  <c r="H214" i="3"/>
  <c r="H864" i="1"/>
  <c r="H863" i="1"/>
  <c r="H345" i="1"/>
  <c r="H347" i="1"/>
  <c r="H694" i="1"/>
  <c r="H166" i="3"/>
  <c r="H649" i="1"/>
  <c r="H530" i="1"/>
  <c r="H318" i="1"/>
  <c r="H149" i="1"/>
  <c r="H39" i="1"/>
  <c r="H1191" i="1"/>
  <c r="H1433" i="1"/>
  <c r="H1434" i="1"/>
  <c r="H746" i="1"/>
  <c r="H747" i="1"/>
  <c r="H1335" i="1"/>
  <c r="H195" i="3"/>
  <c r="H126" i="3"/>
  <c r="H948" i="1"/>
  <c r="H684" i="1"/>
  <c r="H1412" i="1"/>
  <c r="H1546" i="1"/>
  <c r="H572" i="1"/>
  <c r="H125" i="3"/>
  <c r="H96" i="1"/>
  <c r="H1259" i="1"/>
  <c r="H68" i="1"/>
  <c r="H58" i="1"/>
  <c r="H304" i="1"/>
  <c r="H1008" i="1"/>
  <c r="H716" i="1"/>
  <c r="H1024" i="1"/>
  <c r="H232" i="1"/>
  <c r="H797" i="1"/>
  <c r="H711" i="1"/>
  <c r="H133" i="3"/>
  <c r="H134" i="3"/>
  <c r="H19" i="3"/>
  <c r="H18" i="3"/>
  <c r="H475" i="1"/>
  <c r="H295" i="1"/>
  <c r="H85" i="1"/>
  <c r="H86" i="1"/>
  <c r="H1524" i="1"/>
  <c r="H775" i="1"/>
  <c r="H608" i="1"/>
  <c r="H735" i="1"/>
  <c r="H1023" i="1"/>
  <c r="H259" i="3"/>
  <c r="H396" i="1"/>
  <c r="H851" i="1"/>
  <c r="H1013" i="1"/>
  <c r="H543" i="1"/>
  <c r="H849" i="1"/>
  <c r="H269" i="3"/>
  <c r="H110" i="3"/>
  <c r="H260" i="3"/>
  <c r="H1396" i="1"/>
  <c r="H519" i="1"/>
  <c r="H1564" i="1"/>
  <c r="H88" i="3"/>
  <c r="H87" i="3"/>
  <c r="H476" i="1"/>
  <c r="H1010" i="1"/>
  <c r="H493" i="1"/>
  <c r="H6" i="1"/>
  <c r="H346" i="1"/>
  <c r="H415" i="1"/>
  <c r="H987" i="1"/>
  <c r="H492" i="1"/>
  <c r="H985" i="1"/>
  <c r="H736" i="1"/>
  <c r="H71" i="3"/>
  <c r="H570" i="1"/>
  <c r="H717" i="1"/>
  <c r="H664" i="1"/>
  <c r="H59" i="3"/>
  <c r="H60" i="3"/>
  <c r="H231" i="1"/>
  <c r="H422" i="1"/>
  <c r="H264" i="3"/>
  <c r="H558" i="1"/>
  <c r="H385" i="1"/>
  <c r="H74" i="1"/>
  <c r="H852" i="1"/>
  <c r="H591" i="1"/>
  <c r="H149" i="3"/>
  <c r="H1241" i="1"/>
  <c r="H510" i="1"/>
  <c r="H84" i="1"/>
  <c r="H256" i="3"/>
  <c r="H1410" i="1"/>
  <c r="H1250" i="1"/>
  <c r="H276" i="3"/>
  <c r="H283" i="3"/>
  <c r="H252" i="3"/>
  <c r="H1548" i="1"/>
  <c r="H1334" i="1"/>
  <c r="H1474" i="1"/>
  <c r="H1316" i="1"/>
  <c r="H1333" i="1"/>
  <c r="H299" i="3"/>
  <c r="H277" i="3"/>
  <c r="H290" i="3"/>
  <c r="H1507" i="1"/>
  <c r="H1455" i="1"/>
  <c r="H1435" i="1"/>
  <c r="H1332" i="1"/>
  <c r="H1473" i="1"/>
  <c r="H1398" i="1"/>
  <c r="H189" i="3"/>
  <c r="H242" i="3"/>
  <c r="H130" i="3"/>
  <c r="H115" i="3"/>
  <c r="H520" i="1"/>
  <c r="H365" i="1"/>
  <c r="H287" i="1"/>
  <c r="H482" i="1"/>
  <c r="H228" i="1"/>
  <c r="H531" i="1"/>
  <c r="H337" i="1"/>
  <c r="H135" i="1"/>
  <c r="H122" i="1"/>
  <c r="H1258" i="1"/>
  <c r="H544" i="1"/>
  <c r="H436" i="1"/>
  <c r="H1192" i="1"/>
  <c r="H288" i="1"/>
  <c r="H247" i="1"/>
  <c r="H277" i="1"/>
  <c r="H397" i="1"/>
  <c r="H331" i="1"/>
  <c r="H5" i="1"/>
  <c r="H404" i="1"/>
  <c r="H233" i="1"/>
  <c r="H4" i="1"/>
  <c r="H813" i="1"/>
  <c r="H585" i="1"/>
  <c r="H87" i="1"/>
  <c r="H348" i="1"/>
  <c r="H260" i="1"/>
  <c r="H104" i="1"/>
  <c r="H216" i="3"/>
  <c r="H634" i="1"/>
  <c r="H463" i="1"/>
  <c r="H824" i="1"/>
  <c r="H962" i="1"/>
  <c r="H650" i="1"/>
  <c r="H1493" i="1"/>
  <c r="H1137" i="1"/>
  <c r="H950" i="1"/>
  <c r="H40" i="1"/>
  <c r="H215" i="3"/>
  <c r="H644" i="1"/>
  <c r="H521" i="1"/>
  <c r="H150" i="1"/>
  <c r="H145" i="3"/>
  <c r="H1476" i="1"/>
  <c r="H1295" i="1"/>
  <c r="H1363" i="1"/>
  <c r="H356" i="1"/>
  <c r="H319" i="1"/>
  <c r="H21" i="1"/>
  <c r="H1015" i="1"/>
  <c r="H748" i="1"/>
  <c r="H1025" i="1"/>
  <c r="H1260" i="1"/>
  <c r="H1275" i="1"/>
  <c r="H1413" i="1"/>
  <c r="H532" i="1"/>
  <c r="H1232" i="1"/>
  <c r="H713" i="1"/>
  <c r="H712" i="1"/>
  <c r="H780" i="1"/>
  <c r="H305" i="1"/>
  <c r="H60" i="1"/>
  <c r="H1095" i="1"/>
  <c r="H671" i="1"/>
  <c r="H696" i="1"/>
  <c r="H930" i="1"/>
  <c r="H332" i="1"/>
  <c r="H339" i="1"/>
  <c r="H609" i="1"/>
  <c r="H1477" i="1"/>
  <c r="H798" i="1"/>
  <c r="H97" i="1"/>
  <c r="H220" i="1"/>
  <c r="H221" i="1"/>
  <c r="H296" i="1"/>
  <c r="H483" i="1"/>
  <c r="H70" i="1"/>
  <c r="H69" i="1"/>
  <c r="H686" i="1"/>
  <c r="H758" i="1"/>
  <c r="H777" i="1"/>
  <c r="H776" i="1"/>
  <c r="H1525" i="1"/>
  <c r="H1565" i="1"/>
  <c r="H1251" i="1"/>
  <c r="H559" i="1"/>
  <c r="H891" i="1"/>
  <c r="H573" i="1"/>
  <c r="H150" i="3"/>
  <c r="H151" i="3"/>
  <c r="H75" i="1"/>
  <c r="H73" i="3"/>
  <c r="H72" i="3"/>
  <c r="H477" i="1"/>
  <c r="H423" i="1"/>
  <c r="H271" i="3"/>
  <c r="H1243" i="1"/>
  <c r="H234" i="1"/>
  <c r="H814" i="1"/>
  <c r="H853" i="1"/>
  <c r="H737" i="1"/>
  <c r="H494" i="1"/>
  <c r="H665" i="1"/>
  <c r="H1193" i="1"/>
  <c r="H718" i="1"/>
  <c r="H341" i="1"/>
  <c r="H340" i="1"/>
  <c r="H1549" i="1"/>
  <c r="H416" i="1"/>
  <c r="H366" i="1"/>
  <c r="H592" i="1"/>
  <c r="H513" i="1"/>
  <c r="H7" i="1"/>
  <c r="H1049" i="1"/>
  <c r="H988" i="1"/>
  <c r="H386" i="1"/>
  <c r="H266" i="3"/>
  <c r="H265" i="3"/>
  <c r="H243" i="3"/>
  <c r="H1337" i="1"/>
  <c r="H1336" i="1"/>
  <c r="H1317" i="1"/>
  <c r="H1456" i="1"/>
  <c r="H1508" i="1"/>
  <c r="H1399" i="1"/>
  <c r="H291" i="3"/>
  <c r="H292" i="3"/>
  <c r="H278" i="3"/>
  <c r="H279" i="3"/>
  <c r="H300" i="3"/>
  <c r="H116" i="3"/>
  <c r="H136" i="1"/>
  <c r="H437" i="1"/>
  <c r="H545" i="1"/>
  <c r="H882" i="1"/>
  <c r="H837" i="1"/>
  <c r="H123" i="1"/>
  <c r="H405" i="1"/>
  <c r="H248" i="1"/>
  <c r="H398" i="1"/>
  <c r="H278" i="1"/>
  <c r="H586" i="1"/>
  <c r="H105" i="1"/>
  <c r="H261" i="1"/>
  <c r="H349" i="1"/>
  <c r="H147" i="3"/>
  <c r="H146" i="3"/>
  <c r="H41" i="1"/>
  <c r="H963" i="1"/>
  <c r="H825" i="1"/>
  <c r="H865" i="1"/>
  <c r="H951" i="1"/>
  <c r="H357" i="1"/>
  <c r="H522" i="1"/>
  <c r="H1364" i="1"/>
  <c r="H1138" i="1"/>
  <c r="H464" i="1"/>
  <c r="H151" i="1"/>
  <c r="H350" i="1"/>
  <c r="H645" i="1"/>
  <c r="H635" i="1"/>
  <c r="H320" i="1"/>
  <c r="H1494" i="1"/>
  <c r="H1296" i="1"/>
  <c r="H651" i="1"/>
  <c r="H61" i="1"/>
  <c r="H1233" i="1"/>
  <c r="H759" i="1"/>
  <c r="H1478" i="1"/>
  <c r="H306" i="1"/>
  <c r="H289" i="1"/>
  <c r="H297" i="1"/>
  <c r="H533" i="1"/>
  <c r="H610" i="1"/>
  <c r="H781" i="1"/>
  <c r="H1414" i="1"/>
  <c r="H749" i="1"/>
  <c r="H672" i="1"/>
  <c r="H1276" i="1"/>
  <c r="H334" i="1"/>
  <c r="H333" i="1"/>
  <c r="H1016" i="1"/>
  <c r="H687" i="1"/>
  <c r="H697" i="1"/>
  <c r="H1096" i="1"/>
  <c r="H1526" i="1"/>
  <c r="H484" i="1"/>
  <c r="H98" i="1"/>
  <c r="H931" i="1"/>
  <c r="H1261" i="1"/>
  <c r="H799" i="1"/>
  <c r="H1026" i="1"/>
  <c r="H22" i="1"/>
  <c r="H1566" i="1"/>
  <c r="H593" i="1"/>
  <c r="H417" i="1"/>
  <c r="H815" i="1"/>
  <c r="H8" i="1"/>
  <c r="H738" i="1"/>
  <c r="H424" i="1"/>
  <c r="H1550" i="1"/>
  <c r="H883" i="1"/>
  <c r="H574" i="1"/>
  <c r="H666" i="1"/>
  <c r="H667" i="1"/>
  <c r="H235" i="1"/>
  <c r="H892" i="1"/>
  <c r="H989" i="1"/>
  <c r="H719" i="1"/>
  <c r="H854" i="1"/>
  <c r="H88" i="1"/>
  <c r="H514" i="1"/>
  <c r="H1436" i="1"/>
  <c r="H479" i="1"/>
  <c r="H478" i="1"/>
  <c r="H838" i="1"/>
  <c r="H1338" i="1"/>
  <c r="H1194" i="1"/>
  <c r="H1244" i="1"/>
  <c r="H1050" i="1"/>
  <c r="H495" i="1"/>
  <c r="H272" i="3"/>
  <c r="H560" i="1"/>
  <c r="H387" i="1"/>
  <c r="H367" i="1"/>
  <c r="H76" i="1"/>
  <c r="H1252" i="1"/>
  <c r="H273" i="3"/>
  <c r="H1318" i="1"/>
  <c r="H1400" i="1"/>
  <c r="H1509" i="1"/>
  <c r="H301" i="3"/>
  <c r="H1457" i="1"/>
  <c r="H117" i="3"/>
  <c r="H124" i="1"/>
  <c r="H438" i="1"/>
  <c r="H546" i="1"/>
  <c r="H137" i="1"/>
  <c r="H106" i="1"/>
  <c r="H249" i="1"/>
  <c r="H279" i="1"/>
  <c r="H400" i="1"/>
  <c r="H262" i="1"/>
  <c r="H406" i="1"/>
  <c r="H465" i="1"/>
  <c r="H866" i="1"/>
  <c r="H826" i="1"/>
  <c r="H964" i="1"/>
  <c r="H1495" i="1"/>
  <c r="H321" i="1"/>
  <c r="H523" i="1"/>
  <c r="H42" i="1"/>
  <c r="H636" i="1"/>
  <c r="H647" i="1"/>
  <c r="H646" i="1"/>
  <c r="H152" i="1"/>
  <c r="H358" i="1"/>
  <c r="H1139" i="1"/>
  <c r="H1365" i="1"/>
  <c r="H652" i="1"/>
  <c r="H1297" i="1"/>
  <c r="H952" i="1"/>
  <c r="H1479" i="1"/>
  <c r="H1527" i="1"/>
  <c r="H611" i="1"/>
  <c r="H1277" i="1"/>
  <c r="H760" i="1"/>
  <c r="H534" i="1"/>
  <c r="H1234" i="1"/>
  <c r="H673" i="1"/>
  <c r="H750" i="1"/>
  <c r="H298" i="1"/>
  <c r="H63" i="1"/>
  <c r="H62" i="1"/>
  <c r="H800" i="1"/>
  <c r="H23" i="1"/>
  <c r="H932" i="1"/>
  <c r="H698" i="1"/>
  <c r="H1415" i="1"/>
  <c r="H290" i="1"/>
  <c r="H1017" i="1"/>
  <c r="H1262" i="1"/>
  <c r="H307" i="1"/>
  <c r="H1097" i="1"/>
  <c r="H1027" i="1"/>
  <c r="H99" i="1"/>
  <c r="H485" i="1"/>
  <c r="H688" i="1"/>
  <c r="H782" i="1"/>
  <c r="H1567" i="1"/>
  <c r="H884" i="1"/>
  <c r="H388" i="1"/>
  <c r="H496" i="1"/>
  <c r="H1051" i="1"/>
  <c r="H515" i="1"/>
  <c r="H516" i="1"/>
  <c r="H236" i="1"/>
  <c r="H588" i="1"/>
  <c r="H587" i="1"/>
  <c r="H425" i="1"/>
  <c r="H816" i="1"/>
  <c r="H990" i="1"/>
  <c r="H418" i="1"/>
  <c r="H594" i="1"/>
  <c r="H561" i="1"/>
  <c r="H1195" i="1"/>
  <c r="H1551" i="1"/>
  <c r="H1339" i="1"/>
  <c r="H89" i="1"/>
  <c r="H893" i="1"/>
  <c r="H368" i="1"/>
  <c r="H351" i="1"/>
  <c r="H352" i="1"/>
  <c r="H1437" i="1"/>
  <c r="H856" i="1"/>
  <c r="H855" i="1"/>
  <c r="H739" i="1"/>
  <c r="H9" i="1"/>
  <c r="H77" i="1"/>
  <c r="H1245" i="1"/>
  <c r="H839" i="1"/>
  <c r="H720" i="1"/>
  <c r="H1253" i="1"/>
  <c r="H575" i="1"/>
  <c r="H1319" i="1"/>
  <c r="H1458" i="1"/>
  <c r="H302" i="3"/>
  <c r="H1510" i="1"/>
  <c r="H1401" i="1"/>
  <c r="H118" i="3"/>
  <c r="H138" i="1"/>
  <c r="H547" i="1"/>
  <c r="H439" i="1"/>
  <c r="H125" i="1"/>
  <c r="H263" i="1"/>
  <c r="H280" i="1"/>
  <c r="H250" i="1"/>
  <c r="H399" i="1"/>
  <c r="H107" i="1"/>
  <c r="H407" i="1"/>
  <c r="H1298" i="1"/>
  <c r="H322" i="1"/>
  <c r="H653" i="1"/>
  <c r="H637" i="1"/>
  <c r="H1496" i="1"/>
  <c r="H1366" i="1"/>
  <c r="H965" i="1"/>
  <c r="H43" i="1"/>
  <c r="H827" i="1"/>
  <c r="H360" i="1"/>
  <c r="H359" i="1"/>
  <c r="H524" i="1"/>
  <c r="H953" i="1"/>
  <c r="H867" i="1"/>
  <c r="H1140" i="1"/>
  <c r="H466" i="1"/>
  <c r="H153" i="1"/>
  <c r="H24" i="1"/>
  <c r="H751" i="1"/>
  <c r="H1098" i="1"/>
  <c r="H612" i="1"/>
  <c r="H1278" i="1"/>
  <c r="H308" i="1"/>
  <c r="H1235" i="1"/>
  <c r="H1263" i="1"/>
  <c r="H1416" i="1"/>
  <c r="H1528" i="1"/>
  <c r="H100" i="1"/>
  <c r="H101" i="1"/>
  <c r="H486" i="1"/>
  <c r="H674" i="1"/>
  <c r="H801" i="1"/>
  <c r="H783" i="1"/>
  <c r="H699" i="1"/>
  <c r="H299" i="1"/>
  <c r="H1480" i="1"/>
  <c r="H535" i="1"/>
  <c r="H1018" i="1"/>
  <c r="H291" i="1"/>
  <c r="H292" i="1"/>
  <c r="H689" i="1"/>
  <c r="H1028" i="1"/>
  <c r="H933" i="1"/>
  <c r="H761" i="1"/>
  <c r="H1568" i="1"/>
  <c r="H1246" i="1"/>
  <c r="H426" i="1"/>
  <c r="H991" i="1"/>
  <c r="H562" i="1"/>
  <c r="H1438" i="1"/>
  <c r="H595" i="1"/>
  <c r="H237" i="1"/>
  <c r="H721" i="1"/>
  <c r="H1255" i="1"/>
  <c r="H1254" i="1"/>
  <c r="H894" i="1"/>
  <c r="H1052" i="1"/>
  <c r="H90" i="1"/>
  <c r="H78" i="1"/>
  <c r="H840" i="1"/>
  <c r="H10" i="1"/>
  <c r="H1552" i="1"/>
  <c r="H817" i="1"/>
  <c r="H576" i="1"/>
  <c r="H1340" i="1"/>
  <c r="H497" i="1"/>
  <c r="H885" i="1"/>
  <c r="H886" i="1"/>
  <c r="H740" i="1"/>
  <c r="H369" i="1"/>
  <c r="H1196" i="1"/>
  <c r="H419" i="1"/>
  <c r="H389" i="1"/>
  <c r="H303" i="3"/>
  <c r="H1320" i="1"/>
  <c r="H1511" i="1"/>
  <c r="H1402" i="1"/>
  <c r="H1459" i="1"/>
  <c r="H119" i="3"/>
  <c r="H126" i="1"/>
  <c r="H440" i="1"/>
  <c r="H548" i="1"/>
  <c r="H139" i="1"/>
  <c r="H108" i="1"/>
  <c r="H408" i="1"/>
  <c r="H281" i="1"/>
  <c r="H282" i="1"/>
  <c r="H264" i="1"/>
  <c r="H251" i="1"/>
  <c r="H154" i="1"/>
  <c r="H525" i="1"/>
  <c r="H1497" i="1"/>
  <c r="H1141" i="1"/>
  <c r="H639" i="1"/>
  <c r="H638" i="1"/>
  <c r="H868" i="1"/>
  <c r="H828" i="1"/>
  <c r="H654" i="1"/>
  <c r="H467" i="1"/>
  <c r="H44" i="1"/>
  <c r="H323" i="1"/>
  <c r="H954" i="1"/>
  <c r="H966" i="1"/>
  <c r="H1299" i="1"/>
  <c r="H1367" i="1"/>
  <c r="H762" i="1"/>
  <c r="H1019" i="1"/>
  <c r="H1020" i="1"/>
  <c r="H300" i="1"/>
  <c r="H301" i="1"/>
  <c r="H488" i="1"/>
  <c r="H487" i="1"/>
  <c r="H613" i="1"/>
  <c r="H536" i="1"/>
  <c r="H700" i="1"/>
  <c r="H1417" i="1"/>
  <c r="H1099" i="1"/>
  <c r="H1264" i="1"/>
  <c r="H752" i="1"/>
  <c r="H934" i="1"/>
  <c r="H784" i="1"/>
  <c r="H690" i="1"/>
  <c r="H802" i="1"/>
  <c r="H25" i="1"/>
  <c r="H1029" i="1"/>
  <c r="H1236" i="1"/>
  <c r="H1481" i="1"/>
  <c r="H309" i="1"/>
  <c r="H675" i="1"/>
  <c r="H1529" i="1"/>
  <c r="H1279" i="1"/>
  <c r="H1569" i="1"/>
  <c r="H841" i="1"/>
  <c r="H1053" i="1"/>
  <c r="H722" i="1"/>
  <c r="H596" i="1"/>
  <c r="H741" i="1"/>
  <c r="H1341" i="1"/>
  <c r="H818" i="1"/>
  <c r="H1197" i="1"/>
  <c r="H1553" i="1"/>
  <c r="H577" i="1"/>
  <c r="H370" i="1"/>
  <c r="H498" i="1"/>
  <c r="H895" i="1"/>
  <c r="H427" i="1"/>
  <c r="H79" i="1"/>
  <c r="H1439" i="1"/>
  <c r="H992" i="1"/>
  <c r="H91" i="1"/>
  <c r="H92" i="1"/>
  <c r="H1247" i="1"/>
  <c r="H1248" i="1"/>
  <c r="H238" i="1"/>
  <c r="H11" i="1"/>
  <c r="H563" i="1"/>
  <c r="H1321" i="1"/>
  <c r="H1460" i="1"/>
  <c r="H1403" i="1"/>
  <c r="H1512" i="1"/>
  <c r="H121" i="3"/>
  <c r="H120" i="3"/>
  <c r="H441" i="1"/>
  <c r="H140" i="1"/>
  <c r="H549" i="1"/>
  <c r="H127" i="1"/>
  <c r="H252" i="1"/>
  <c r="H265" i="1"/>
  <c r="H409" i="1"/>
  <c r="H109" i="1"/>
  <c r="H1368" i="1"/>
  <c r="H1498" i="1"/>
  <c r="H45" i="1"/>
  <c r="H655" i="1"/>
  <c r="H526" i="1"/>
  <c r="H967" i="1"/>
  <c r="H955" i="1"/>
  <c r="H1142" i="1"/>
  <c r="H468" i="1"/>
  <c r="H829" i="1"/>
  <c r="H155" i="1"/>
  <c r="H1300" i="1"/>
  <c r="H324" i="1"/>
  <c r="H869" i="1"/>
  <c r="H1482" i="1"/>
  <c r="H803" i="1"/>
  <c r="H1265" i="1"/>
  <c r="H614" i="1"/>
  <c r="H1100" i="1"/>
  <c r="H676" i="1"/>
  <c r="H1418" i="1"/>
  <c r="H310" i="1"/>
  <c r="H1280" i="1"/>
  <c r="H753" i="1"/>
  <c r="H701" i="1"/>
  <c r="H1237" i="1"/>
  <c r="H1030" i="1"/>
  <c r="H26" i="1"/>
  <c r="H1530" i="1"/>
  <c r="H763" i="1"/>
  <c r="H785" i="1"/>
  <c r="H935" i="1"/>
  <c r="H537" i="1"/>
  <c r="H1570" i="1"/>
  <c r="H12" i="1"/>
  <c r="H239" i="1"/>
  <c r="H993" i="1"/>
  <c r="H819" i="1"/>
  <c r="H1440" i="1"/>
  <c r="H428" i="1"/>
  <c r="H578" i="1"/>
  <c r="H564" i="1"/>
  <c r="H1554" i="1"/>
  <c r="H1342" i="1"/>
  <c r="H597" i="1"/>
  <c r="H1054" i="1"/>
  <c r="H81" i="1"/>
  <c r="H80" i="1"/>
  <c r="H1198" i="1"/>
  <c r="H742" i="1"/>
  <c r="H723" i="1"/>
  <c r="H499" i="1"/>
  <c r="H896" i="1"/>
  <c r="H842" i="1"/>
  <c r="H371" i="1"/>
  <c r="H1322" i="1"/>
  <c r="H1513" i="1"/>
  <c r="H1404" i="1"/>
  <c r="H1461" i="1"/>
  <c r="H128" i="1"/>
  <c r="H141" i="1"/>
  <c r="H550" i="1"/>
  <c r="H442" i="1"/>
  <c r="H110" i="1"/>
  <c r="H266" i="1"/>
  <c r="H411" i="1"/>
  <c r="H410" i="1"/>
  <c r="H253" i="1"/>
  <c r="H1143" i="1"/>
  <c r="H527" i="1"/>
  <c r="H528" i="1"/>
  <c r="H469" i="1"/>
  <c r="H1301" i="1"/>
  <c r="H956" i="1"/>
  <c r="H1499" i="1"/>
  <c r="H968" i="1"/>
  <c r="H870" i="1"/>
  <c r="H46" i="1"/>
  <c r="H325" i="1"/>
  <c r="H1369" i="1"/>
  <c r="H830" i="1"/>
  <c r="H656" i="1"/>
  <c r="H156" i="1"/>
  <c r="H311" i="1"/>
  <c r="H1531" i="1"/>
  <c r="H1419" i="1"/>
  <c r="H804" i="1"/>
  <c r="H1239" i="1"/>
  <c r="H1238" i="1"/>
  <c r="H1281" i="1"/>
  <c r="H1266" i="1"/>
  <c r="H677" i="1"/>
  <c r="H1101" i="1"/>
  <c r="H764" i="1"/>
  <c r="H539" i="1"/>
  <c r="H538" i="1"/>
  <c r="H615" i="1"/>
  <c r="H936" i="1"/>
  <c r="H27" i="1"/>
  <c r="H755" i="1"/>
  <c r="H754" i="1"/>
  <c r="H1483" i="1"/>
  <c r="H1031" i="1"/>
  <c r="H786" i="1"/>
  <c r="H702" i="1"/>
  <c r="H1571" i="1"/>
  <c r="H13" i="1"/>
  <c r="H372" i="1"/>
  <c r="H897" i="1"/>
  <c r="H743" i="1"/>
  <c r="H744" i="1"/>
  <c r="H821" i="1"/>
  <c r="H820" i="1"/>
  <c r="H580" i="1"/>
  <c r="H579" i="1"/>
  <c r="H1343" i="1"/>
  <c r="H429" i="1"/>
  <c r="H1441" i="1"/>
  <c r="H994" i="1"/>
  <c r="H1055" i="1"/>
  <c r="H1555" i="1"/>
  <c r="H565" i="1"/>
  <c r="H598" i="1"/>
  <c r="H240" i="1"/>
  <c r="H843" i="1"/>
  <c r="H500" i="1"/>
  <c r="H1199" i="1"/>
  <c r="H724" i="1"/>
  <c r="H1323" i="1"/>
  <c r="H1462" i="1"/>
  <c r="H1405" i="1"/>
  <c r="H1514" i="1"/>
  <c r="H443" i="1"/>
  <c r="H551" i="1"/>
  <c r="H142" i="1"/>
  <c r="H129" i="1"/>
  <c r="H267" i="1"/>
  <c r="H111" i="1"/>
  <c r="H254" i="1"/>
  <c r="H326" i="1"/>
  <c r="H327" i="1"/>
  <c r="H47" i="1"/>
  <c r="H831" i="1"/>
  <c r="H832" i="1"/>
  <c r="H157" i="1"/>
  <c r="H657" i="1"/>
  <c r="H471" i="1"/>
  <c r="H470" i="1"/>
  <c r="H1500" i="1"/>
  <c r="H1302" i="1"/>
  <c r="H969" i="1"/>
  <c r="H871" i="1"/>
  <c r="H1370" i="1"/>
  <c r="H957" i="1"/>
  <c r="H1144" i="1"/>
  <c r="H1032" i="1"/>
  <c r="H1420" i="1"/>
  <c r="H1282" i="1"/>
  <c r="H1532" i="1"/>
  <c r="H28" i="1"/>
  <c r="H678" i="1"/>
  <c r="H312" i="1"/>
  <c r="H1267" i="1"/>
  <c r="H1484" i="1"/>
  <c r="H765" i="1"/>
  <c r="H1102" i="1"/>
  <c r="H703" i="1"/>
  <c r="H937" i="1"/>
  <c r="H805" i="1"/>
  <c r="H787" i="1"/>
  <c r="H616" i="1"/>
  <c r="H1572" i="1"/>
  <c r="H725" i="1"/>
  <c r="H566" i="1"/>
  <c r="H1442" i="1"/>
  <c r="H501" i="1"/>
  <c r="H430" i="1"/>
  <c r="H1556" i="1"/>
  <c r="H14" i="1"/>
  <c r="H241" i="1"/>
  <c r="H1056" i="1"/>
  <c r="H844" i="1"/>
  <c r="H1344" i="1"/>
  <c r="H373" i="1"/>
  <c r="H599" i="1"/>
  <c r="H995" i="1"/>
  <c r="H1200" i="1"/>
  <c r="H898" i="1"/>
  <c r="H1324" i="1"/>
  <c r="H1515" i="1"/>
  <c r="H1406" i="1"/>
  <c r="H1463" i="1"/>
  <c r="H143" i="1"/>
  <c r="H552" i="1"/>
  <c r="H444" i="1"/>
  <c r="H130" i="1"/>
  <c r="H255" i="1"/>
  <c r="H112" i="1"/>
  <c r="H268" i="1"/>
  <c r="H158" i="1"/>
  <c r="H970" i="1"/>
  <c r="H1145" i="1"/>
  <c r="H658" i="1"/>
  <c r="H959" i="1"/>
  <c r="H958" i="1"/>
  <c r="H1501" i="1"/>
  <c r="H48" i="1"/>
  <c r="H872" i="1"/>
  <c r="H1371" i="1"/>
  <c r="H1303" i="1"/>
  <c r="H938" i="1"/>
  <c r="H766" i="1"/>
  <c r="H679" i="1"/>
  <c r="H1421" i="1"/>
  <c r="H29" i="1"/>
  <c r="H313" i="1"/>
  <c r="H617" i="1"/>
  <c r="H1283" i="1"/>
  <c r="H788" i="1"/>
  <c r="H704" i="1"/>
  <c r="H1103" i="1"/>
  <c r="H806" i="1"/>
  <c r="H1268" i="1"/>
  <c r="H1533" i="1"/>
  <c r="H1485" i="1"/>
  <c r="H1033" i="1"/>
  <c r="H1573" i="1"/>
  <c r="H1557" i="1"/>
  <c r="H1345" i="1"/>
  <c r="H1201" i="1"/>
  <c r="H899" i="1"/>
  <c r="H996" i="1"/>
  <c r="H600" i="1"/>
  <c r="H1057" i="1"/>
  <c r="H432" i="1"/>
  <c r="H431" i="1"/>
  <c r="H1443" i="1"/>
  <c r="H374" i="1"/>
  <c r="H845" i="1"/>
  <c r="H242" i="1"/>
  <c r="H567" i="1"/>
  <c r="H15" i="1"/>
  <c r="H502" i="1"/>
  <c r="H726" i="1"/>
  <c r="H1325" i="1"/>
  <c r="H1407" i="1"/>
  <c r="H1408" i="1"/>
  <c r="H1464" i="1"/>
  <c r="H1516" i="1"/>
  <c r="H553" i="1"/>
  <c r="H445" i="1"/>
  <c r="H144" i="1"/>
  <c r="H131" i="1"/>
  <c r="H132" i="1"/>
  <c r="H113" i="1"/>
  <c r="H269" i="1"/>
  <c r="H257" i="1"/>
  <c r="H256" i="1"/>
  <c r="H1304" i="1"/>
  <c r="H1372" i="1"/>
  <c r="H659" i="1"/>
  <c r="H1502" i="1"/>
  <c r="H1503" i="1"/>
  <c r="H971" i="1"/>
  <c r="H873" i="1"/>
  <c r="H1146" i="1"/>
  <c r="H49" i="1"/>
  <c r="H159" i="1"/>
  <c r="H1034" i="1"/>
  <c r="H1422" i="1"/>
  <c r="H939" i="1"/>
  <c r="H705" i="1"/>
  <c r="H1534" i="1"/>
  <c r="H1284" i="1"/>
  <c r="H30" i="1"/>
  <c r="H789" i="1"/>
  <c r="H314" i="1"/>
  <c r="H1104" i="1"/>
  <c r="H1486" i="1"/>
  <c r="H680" i="1"/>
  <c r="H1269" i="1"/>
  <c r="H618" i="1"/>
  <c r="H767" i="1"/>
  <c r="H808" i="1"/>
  <c r="H807" i="1"/>
  <c r="H1574" i="1"/>
  <c r="H847" i="1"/>
  <c r="H846" i="1"/>
  <c r="H900" i="1"/>
  <c r="H375" i="1"/>
  <c r="H16" i="1"/>
  <c r="H243" i="1"/>
  <c r="H244" i="1"/>
  <c r="H1444" i="1"/>
  <c r="H727" i="1"/>
  <c r="H503" i="1"/>
  <c r="H601" i="1"/>
  <c r="H1202" i="1"/>
  <c r="H997" i="1"/>
  <c r="H1346" i="1"/>
  <c r="H1558" i="1"/>
  <c r="H1058" i="1"/>
  <c r="H1326" i="1"/>
  <c r="H1327" i="1"/>
  <c r="H1465" i="1"/>
  <c r="H1517" i="1"/>
  <c r="H145" i="1"/>
  <c r="H446" i="1"/>
  <c r="H554" i="1"/>
  <c r="H555" i="1"/>
  <c r="H270" i="1"/>
  <c r="H114" i="1"/>
  <c r="H1373" i="1"/>
  <c r="H660" i="1"/>
  <c r="H661" i="1"/>
  <c r="H874" i="1"/>
  <c r="H1305" i="1"/>
  <c r="H160" i="1"/>
  <c r="H50" i="1"/>
  <c r="H1147" i="1"/>
  <c r="H972" i="1"/>
  <c r="H681" i="1"/>
  <c r="H940" i="1"/>
  <c r="H1423" i="1"/>
  <c r="H1285" i="1"/>
  <c r="H768" i="1"/>
  <c r="H769" i="1"/>
  <c r="H316" i="1"/>
  <c r="H315" i="1"/>
  <c r="H1035" i="1"/>
  <c r="H1105" i="1"/>
  <c r="H31" i="1"/>
  <c r="H1487" i="1"/>
  <c r="H619" i="1"/>
  <c r="H1535" i="1"/>
  <c r="H1271" i="1"/>
  <c r="H1270" i="1"/>
  <c r="H790" i="1"/>
  <c r="H706" i="1"/>
  <c r="H1575" i="1"/>
  <c r="H1576" i="1"/>
  <c r="H17" i="1"/>
  <c r="H901" i="1"/>
  <c r="H376" i="1"/>
  <c r="H728" i="1"/>
  <c r="H998" i="1"/>
  <c r="H1559" i="1"/>
  <c r="H1445" i="1"/>
  <c r="H1059" i="1"/>
  <c r="H1203" i="1"/>
  <c r="H1347" i="1"/>
  <c r="H602" i="1"/>
  <c r="H504" i="1"/>
  <c r="H1518" i="1"/>
  <c r="H1466" i="1"/>
  <c r="H447" i="1"/>
  <c r="H147" i="1"/>
  <c r="H146" i="1"/>
  <c r="H115" i="1"/>
  <c r="H271" i="1"/>
  <c r="H973" i="1"/>
  <c r="H1148" i="1"/>
  <c r="H51" i="1"/>
  <c r="H1374" i="1"/>
  <c r="H876" i="1"/>
  <c r="H875" i="1"/>
  <c r="H1306" i="1"/>
  <c r="H161" i="1"/>
  <c r="H1106" i="1"/>
  <c r="H1536" i="1"/>
  <c r="H1424" i="1"/>
  <c r="H707" i="1"/>
  <c r="H1036" i="1"/>
  <c r="H791" i="1"/>
  <c r="H941" i="1"/>
  <c r="H1286" i="1"/>
  <c r="H620" i="1"/>
  <c r="H1488" i="1"/>
  <c r="H32" i="1"/>
  <c r="H1560" i="1"/>
  <c r="H902" i="1"/>
  <c r="H603" i="1"/>
  <c r="H999" i="1"/>
  <c r="H1348" i="1"/>
  <c r="H1204" i="1"/>
  <c r="H729" i="1"/>
  <c r="H1446" i="1"/>
  <c r="H377" i="1"/>
  <c r="H505" i="1"/>
  <c r="H506" i="1"/>
  <c r="H1060" i="1"/>
  <c r="H1467" i="1"/>
  <c r="H1519" i="1"/>
  <c r="H448" i="1"/>
  <c r="H272" i="1"/>
  <c r="H116" i="1"/>
  <c r="H1149" i="1"/>
  <c r="H162" i="1"/>
  <c r="H974" i="1"/>
  <c r="H1307" i="1"/>
  <c r="H1375" i="1"/>
  <c r="H52" i="1"/>
  <c r="H1287" i="1"/>
  <c r="H792" i="1"/>
  <c r="H793" i="1"/>
  <c r="H1537" i="1"/>
  <c r="H33" i="1"/>
  <c r="H1489" i="1"/>
  <c r="H1490" i="1"/>
  <c r="H1425" i="1"/>
  <c r="H1037" i="1"/>
  <c r="H1107" i="1"/>
  <c r="H942" i="1"/>
  <c r="H621" i="1"/>
  <c r="H708" i="1"/>
  <c r="H1205" i="1"/>
  <c r="H1447" i="1"/>
  <c r="H1000" i="1"/>
  <c r="H1061" i="1"/>
  <c r="H1349" i="1"/>
  <c r="H903" i="1"/>
  <c r="H604" i="1"/>
  <c r="H378" i="1"/>
  <c r="H1561" i="1"/>
  <c r="H730" i="1"/>
  <c r="H1520" i="1"/>
  <c r="H1521" i="1"/>
  <c r="H1468" i="1"/>
  <c r="H449" i="1"/>
  <c r="H117" i="1"/>
  <c r="H274" i="1"/>
  <c r="H273" i="1"/>
  <c r="H163" i="1"/>
  <c r="H975" i="1"/>
  <c r="H1376" i="1"/>
  <c r="H1308" i="1"/>
  <c r="H53" i="1"/>
  <c r="H1150" i="1"/>
  <c r="H1108" i="1"/>
  <c r="H1038" i="1"/>
  <c r="H622" i="1"/>
  <c r="H1426" i="1"/>
  <c r="H34" i="1"/>
  <c r="H1538" i="1"/>
  <c r="H943" i="1"/>
  <c r="H1288" i="1"/>
  <c r="H605" i="1"/>
  <c r="H904" i="1"/>
  <c r="H1062" i="1"/>
  <c r="H1448" i="1"/>
  <c r="H1562" i="1"/>
  <c r="H1001" i="1"/>
  <c r="H379" i="1"/>
  <c r="H380" i="1"/>
  <c r="H732" i="1"/>
  <c r="H731" i="1"/>
  <c r="H1350" i="1"/>
  <c r="H1206" i="1"/>
  <c r="H1469" i="1"/>
  <c r="H1470" i="1"/>
  <c r="H450" i="1"/>
  <c r="H119" i="1"/>
  <c r="H118" i="1"/>
  <c r="H1309" i="1"/>
  <c r="H55" i="1"/>
  <c r="H54" i="1"/>
  <c r="H1377" i="1"/>
  <c r="H976" i="1"/>
  <c r="H1151" i="1"/>
  <c r="H164" i="1"/>
  <c r="H35" i="1"/>
  <c r="H1427" i="1"/>
  <c r="H1289" i="1"/>
  <c r="H944" i="1"/>
  <c r="H1539" i="1"/>
  <c r="H1039" i="1"/>
  <c r="H624" i="1"/>
  <c r="H623" i="1"/>
  <c r="H1109" i="1"/>
  <c r="H1003" i="1"/>
  <c r="H1002" i="1"/>
  <c r="H1449" i="1"/>
  <c r="H1351" i="1"/>
  <c r="H1063" i="1"/>
  <c r="H1207" i="1"/>
  <c r="H905" i="1"/>
  <c r="H451" i="1"/>
  <c r="H165" i="1"/>
  <c r="H977" i="1"/>
  <c r="H1310" i="1"/>
  <c r="H1152" i="1"/>
  <c r="H1378" i="1"/>
  <c r="H1428" i="1"/>
  <c r="H945" i="1"/>
  <c r="H946" i="1"/>
  <c r="H1110" i="1"/>
  <c r="H1290" i="1"/>
  <c r="H1040" i="1"/>
  <c r="H1540" i="1"/>
  <c r="H36" i="1"/>
  <c r="H37" i="1"/>
  <c r="H1208" i="1"/>
  <c r="H1352" i="1"/>
  <c r="H1450" i="1"/>
  <c r="H1064" i="1"/>
  <c r="H906" i="1"/>
  <c r="H452" i="1"/>
  <c r="H1153" i="1"/>
  <c r="H978" i="1"/>
  <c r="H1311" i="1"/>
  <c r="H166" i="1"/>
  <c r="H1379" i="1"/>
  <c r="H1541" i="1"/>
  <c r="H1542" i="1"/>
  <c r="H1291" i="1"/>
  <c r="H1292" i="1"/>
  <c r="H1430" i="1"/>
  <c r="H1429" i="1"/>
  <c r="H1111" i="1"/>
  <c r="H1041" i="1"/>
  <c r="H1353" i="1"/>
  <c r="H1209" i="1"/>
  <c r="H907" i="1"/>
  <c r="H1065" i="1"/>
  <c r="H1451" i="1"/>
  <c r="H453" i="1"/>
  <c r="H167" i="1"/>
  <c r="H1313" i="1"/>
  <c r="H1312" i="1"/>
  <c r="H1380" i="1"/>
  <c r="H979" i="1"/>
  <c r="H1154" i="1"/>
  <c r="H1042" i="1"/>
  <c r="H1112" i="1"/>
  <c r="H1210" i="1"/>
  <c r="H1066" i="1"/>
  <c r="H908" i="1"/>
  <c r="H1452" i="1"/>
  <c r="H1354" i="1"/>
  <c r="H454" i="1"/>
  <c r="H455" i="1"/>
  <c r="H1155" i="1"/>
  <c r="H1381" i="1"/>
  <c r="H980" i="1"/>
  <c r="H168" i="1"/>
  <c r="H1113" i="1"/>
  <c r="H1043" i="1"/>
  <c r="H1355" i="1"/>
  <c r="H1211" i="1"/>
  <c r="H909" i="1"/>
  <c r="H1067" i="1"/>
  <c r="H169" i="1"/>
  <c r="H981" i="1"/>
  <c r="H982" i="1"/>
  <c r="H1382" i="1"/>
  <c r="H1156" i="1"/>
  <c r="H1044" i="1"/>
  <c r="H1045" i="1"/>
  <c r="H1114" i="1"/>
  <c r="H1356" i="1"/>
  <c r="H910" i="1"/>
  <c r="H1212" i="1"/>
  <c r="H1068" i="1"/>
  <c r="H1383" i="1"/>
  <c r="H1157" i="1"/>
  <c r="H170" i="1"/>
  <c r="H1115" i="1"/>
  <c r="H1069" i="1"/>
  <c r="H1213" i="1"/>
  <c r="H911" i="1"/>
  <c r="H1357" i="1"/>
  <c r="H171" i="1"/>
  <c r="H1158" i="1"/>
  <c r="H1384" i="1"/>
  <c r="H1116" i="1"/>
  <c r="H1358" i="1"/>
  <c r="H912" i="1"/>
  <c r="H1214" i="1"/>
  <c r="H1070" i="1"/>
  <c r="H1159" i="1"/>
  <c r="H1385" i="1"/>
  <c r="H172" i="1"/>
  <c r="H1117" i="1"/>
  <c r="H1071" i="1"/>
  <c r="H913" i="1"/>
  <c r="H1215" i="1"/>
  <c r="H173" i="1"/>
  <c r="H1160" i="1"/>
  <c r="H1386" i="1"/>
  <c r="H1118" i="1"/>
  <c r="H1216" i="1"/>
  <c r="H914" i="1"/>
  <c r="H1072" i="1"/>
  <c r="H1387" i="1"/>
  <c r="H1161" i="1"/>
  <c r="H174" i="1"/>
  <c r="H1119" i="1"/>
  <c r="H1073" i="1"/>
  <c r="H915" i="1"/>
  <c r="H1217" i="1"/>
  <c r="H175" i="1"/>
  <c r="H1162" i="1"/>
  <c r="H1388" i="1"/>
  <c r="H1120" i="1"/>
  <c r="H1074" i="1"/>
  <c r="H1218" i="1"/>
  <c r="H916" i="1"/>
  <c r="H1389" i="1"/>
  <c r="H1163" i="1"/>
  <c r="H176" i="1"/>
  <c r="H1121" i="1"/>
  <c r="H917" i="1"/>
  <c r="H1219" i="1"/>
  <c r="H1075" i="1"/>
  <c r="H1164" i="1"/>
  <c r="H177" i="1"/>
  <c r="H1390" i="1"/>
  <c r="H1122" i="1"/>
  <c r="H1220" i="1"/>
  <c r="H918" i="1"/>
  <c r="H1076" i="1"/>
  <c r="H1391" i="1"/>
  <c r="H178" i="1"/>
  <c r="H1165" i="1"/>
  <c r="H1123" i="1"/>
  <c r="H1077" i="1"/>
  <c r="H919" i="1"/>
  <c r="H1221" i="1"/>
  <c r="H1166" i="1"/>
  <c r="H179" i="1"/>
  <c r="H1392" i="1"/>
  <c r="H1393" i="1"/>
  <c r="H1124" i="1"/>
  <c r="H920" i="1"/>
  <c r="H1222" i="1"/>
  <c r="H1078" i="1"/>
  <c r="H180" i="1"/>
  <c r="H1167" i="1"/>
  <c r="H1125" i="1"/>
  <c r="H1223" i="1"/>
  <c r="H1079" i="1"/>
  <c r="H921" i="1"/>
  <c r="H181" i="1"/>
  <c r="H1168" i="1"/>
  <c r="H1126" i="1"/>
  <c r="H922" i="1"/>
  <c r="H1224" i="1"/>
  <c r="H1080" i="1"/>
  <c r="H182" i="1"/>
  <c r="H1169" i="1"/>
  <c r="H1127" i="1"/>
  <c r="H1081" i="1"/>
  <c r="H1225" i="1"/>
  <c r="H923" i="1"/>
  <c r="H1170" i="1"/>
  <c r="H183" i="1"/>
  <c r="H1128" i="1"/>
  <c r="H925" i="1"/>
  <c r="H924" i="1"/>
  <c r="H1226" i="1"/>
  <c r="H1082" i="1"/>
  <c r="H184" i="1"/>
  <c r="H1171" i="1"/>
  <c r="H1129" i="1"/>
  <c r="H1227" i="1"/>
  <c r="H1083" i="1"/>
  <c r="H1172" i="1"/>
  <c r="H185" i="1"/>
  <c r="H1130" i="1"/>
  <c r="H1228" i="1"/>
  <c r="H1084" i="1"/>
  <c r="H1173" i="1"/>
  <c r="H186" i="1"/>
  <c r="H1131" i="1"/>
  <c r="H1085" i="1"/>
  <c r="H187" i="1"/>
  <c r="H1174" i="1"/>
  <c r="H1132" i="1"/>
  <c r="H1086" i="1"/>
  <c r="H1175" i="1"/>
  <c r="H188" i="1"/>
  <c r="H1133" i="1"/>
  <c r="H1087" i="1"/>
  <c r="H189" i="1"/>
  <c r="H1176" i="1"/>
  <c r="H1088" i="1"/>
  <c r="H1177" i="1"/>
  <c r="H190" i="1"/>
  <c r="H1089" i="1"/>
  <c r="H191" i="1"/>
  <c r="H1178" i="1"/>
  <c r="H1090" i="1"/>
  <c r="H1179" i="1"/>
  <c r="H192" i="1"/>
  <c r="H1091" i="1"/>
  <c r="H193" i="1"/>
  <c r="H1180" i="1"/>
  <c r="H1092" i="1"/>
  <c r="H1181" i="1"/>
  <c r="H194" i="1"/>
  <c r="H1182" i="1"/>
  <c r="H195" i="1"/>
  <c r="H196" i="1"/>
  <c r="H1183" i="1"/>
  <c r="H1184" i="1"/>
  <c r="H197" i="1"/>
  <c r="H198" i="1"/>
  <c r="H1185" i="1"/>
  <c r="H1186" i="1"/>
  <c r="H199" i="1"/>
  <c r="H200" i="1"/>
  <c r="H1187" i="1"/>
  <c r="H1188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6" i="1"/>
  <c r="H215" i="1"/>
  <c r="E5" i="98"/>
  <c r="AF41" i="51"/>
  <c r="AG28" i="49"/>
  <c r="AF28" i="100"/>
  <c r="AD14" i="49"/>
  <c r="AE51" i="100"/>
  <c r="AF11" i="49"/>
  <c r="AD19" i="100"/>
  <c r="AH29" i="51" a="1"/>
  <c r="AH29" i="51" s="1"/>
  <c r="AE45" i="51"/>
  <c r="AH51" i="100" a="1"/>
  <c r="AH51" i="100" s="1"/>
  <c r="AG23" i="100"/>
  <c r="AH54" i="51" a="1"/>
  <c r="AH54" i="51" s="1"/>
  <c r="AD43" i="100"/>
  <c r="AF46" i="101"/>
  <c r="AG52" i="101"/>
  <c r="AH33" i="101" a="1"/>
  <c r="AH33" i="101" s="1"/>
  <c r="AD8" i="101"/>
  <c r="AE51" i="101"/>
  <c r="AH43" i="101" a="1"/>
  <c r="AH43" i="101" s="1"/>
  <c r="AG43" i="101"/>
  <c r="AH45" i="101" a="1"/>
  <c r="AH45" i="101" s="1"/>
  <c r="AF27" i="101"/>
  <c r="AE22" i="49"/>
  <c r="AE31" i="51"/>
  <c r="AE39" i="100"/>
  <c r="AF23" i="101"/>
  <c r="AG7" i="101"/>
  <c r="AF12" i="101"/>
  <c r="AG49" i="101"/>
  <c r="AH37" i="51" a="1"/>
  <c r="AH37" i="51" s="1"/>
  <c r="AG44" i="48"/>
  <c r="AG12" i="51"/>
  <c r="AF27" i="100"/>
  <c r="AG36" i="100"/>
  <c r="AE22" i="100"/>
  <c r="AF28" i="101"/>
  <c r="AD28" i="101"/>
  <c r="AH18" i="51" a="1"/>
  <c r="AH18" i="51" s="1"/>
  <c r="AE18" i="51"/>
  <c r="AD18" i="51"/>
  <c r="AG37" i="101"/>
  <c r="AF15" i="49"/>
  <c r="AH52" i="100" a="1"/>
  <c r="AH52" i="100" s="1"/>
  <c r="AF52" i="100"/>
  <c r="AD52" i="100"/>
  <c r="AG24" i="101"/>
  <c r="AH31" i="51" a="1"/>
  <c r="AH31" i="51" s="1"/>
  <c r="AG48" i="101"/>
  <c r="AG29" i="51"/>
  <c r="AE47" i="100"/>
  <c r="AD33" i="101"/>
  <c r="AF34" i="49"/>
  <c r="AE20" i="100"/>
  <c r="AE12" i="101"/>
  <c r="AH12" i="101" a="1"/>
  <c r="AH12" i="101" s="1"/>
  <c r="AD15" i="51"/>
  <c r="AF32" i="49"/>
  <c r="AE49" i="100"/>
  <c r="AH43" i="100" a="1"/>
  <c r="AH43" i="100" s="1"/>
  <c r="AG35" i="101"/>
  <c r="AD43" i="101"/>
  <c r="AE20" i="101"/>
  <c r="AG14" i="101"/>
  <c r="AF22" i="101"/>
  <c r="AF52" i="101"/>
  <c r="AD50" i="51"/>
  <c r="AF14" i="49"/>
  <c r="AG27" i="48"/>
  <c r="AD54" i="101"/>
  <c r="AG28" i="100"/>
  <c r="AE45" i="100"/>
  <c r="AH45" i="100" a="1"/>
  <c r="AH45" i="100" s="1"/>
  <c r="AG45" i="100"/>
  <c r="AD11" i="51"/>
  <c r="AD50" i="101"/>
  <c r="AF50" i="101"/>
  <c r="AH50" i="101" a="1"/>
  <c r="AH50" i="101" s="1"/>
  <c r="AF8" i="51"/>
  <c r="AD8" i="51"/>
  <c r="AD38" i="49"/>
  <c r="AD38" i="100"/>
  <c r="AE31" i="101"/>
  <c r="AD16" i="51"/>
  <c r="AF16" i="51"/>
  <c r="AH6" i="51" a="1"/>
  <c r="AH6" i="51" s="1"/>
  <c r="AF50" i="100"/>
  <c r="AH34" i="51" a="1"/>
  <c r="AH34" i="51" s="1"/>
  <c r="AF53" i="51"/>
  <c r="AH12" i="49" a="1"/>
  <c r="AH12" i="49" s="1"/>
  <c r="AD17" i="51"/>
  <c r="AE52" i="49"/>
  <c r="AH22" i="101" a="1"/>
  <c r="AH22" i="101" s="1"/>
  <c r="AF50" i="51"/>
  <c r="AE14" i="101"/>
  <c r="AD36" i="100"/>
  <c r="AG15" i="49"/>
  <c r="AH15" i="49" a="1"/>
  <c r="AH15" i="49" s="1"/>
  <c r="AH48" i="100" a="1"/>
  <c r="AH48" i="100" s="1"/>
  <c r="AE54" i="49"/>
  <c r="AD40" i="100"/>
  <c r="AD28" i="49"/>
  <c r="AG47" i="101"/>
  <c r="AH38" i="101" a="1"/>
  <c r="AH38" i="101" s="1"/>
  <c r="AE38" i="101"/>
  <c r="AG38" i="101"/>
  <c r="AD42" i="101"/>
  <c r="AH39" i="49" a="1"/>
  <c r="AH39" i="49" s="1"/>
  <c r="AE13" i="49"/>
  <c r="AF42" i="51"/>
  <c r="AG51" i="51"/>
  <c r="AH30" i="51" a="1"/>
  <c r="AH30" i="51" s="1"/>
  <c r="AE30" i="101"/>
  <c r="AF53" i="48"/>
  <c r="AD53" i="48"/>
  <c r="AH38" i="48" a="1"/>
  <c r="AH38" i="48" s="1"/>
  <c r="AG25" i="101"/>
  <c r="AE44" i="101"/>
  <c r="AH44" i="101"/>
  <c r="AG34" i="100"/>
  <c r="AH34" i="100" a="1"/>
  <c r="AH34" i="100" s="1"/>
  <c r="AE27" i="48"/>
  <c r="AE7" i="51"/>
  <c r="AE37" i="100"/>
  <c r="AH14" i="49" a="1"/>
  <c r="AH14" i="49" s="1"/>
  <c r="AE14" i="49"/>
  <c r="AD47" i="100"/>
  <c r="AE49" i="101"/>
  <c r="AF26" i="101"/>
  <c r="AG26" i="101"/>
  <c r="AH26" i="101" a="1"/>
  <c r="AH26" i="101" s="1"/>
  <c r="AF54" i="49"/>
  <c r="AF37" i="49"/>
  <c r="AD12" i="101"/>
  <c r="AE19" i="51"/>
  <c r="AG19" i="51"/>
  <c r="AE21" i="101"/>
  <c r="AE43" i="48"/>
  <c r="AD26" i="51"/>
  <c r="AG27" i="100"/>
  <c r="AE35" i="48"/>
  <c r="AD43" i="51"/>
  <c r="AF17" i="100"/>
  <c r="AD26" i="100"/>
  <c r="AG50" i="100"/>
  <c r="AE8" i="101"/>
  <c r="AH19" i="100" a="1"/>
  <c r="AH19" i="100" s="1"/>
  <c r="AE54" i="51"/>
  <c r="AG54" i="51"/>
  <c r="AE29" i="51"/>
  <c r="AG16" i="51"/>
  <c r="AH36" i="100" a="1"/>
  <c r="AH36" i="100" s="1"/>
  <c r="AE35" i="101"/>
  <c r="AF18" i="49"/>
  <c r="AD37" i="100"/>
  <c r="AH49" i="100" a="1"/>
  <c r="AH49" i="100" s="1"/>
  <c r="AG49" i="100"/>
  <c r="AF16" i="49"/>
  <c r="AH53" i="48" a="1"/>
  <c r="AH53" i="48" s="1"/>
  <c r="AD51" i="100"/>
  <c r="AH33" i="51" a="1"/>
  <c r="AH33" i="51" s="1"/>
  <c r="AF7" i="101"/>
  <c r="AE7" i="101"/>
  <c r="AG31" i="101"/>
  <c r="AH42" i="51" a="1"/>
  <c r="AH42" i="51" s="1"/>
  <c r="AD42" i="51"/>
  <c r="AF26" i="51"/>
  <c r="AD39" i="49"/>
  <c r="AG50" i="51"/>
  <c r="AG41" i="51"/>
  <c r="AD13" i="49"/>
  <c r="AH46" i="101" a="1"/>
  <c r="AH46" i="101" s="1"/>
  <c r="AH54" i="101" a="1"/>
  <c r="AH54" i="101" s="1"/>
  <c r="AG54" i="101"/>
  <c r="AE50" i="48"/>
  <c r="AD16" i="101"/>
  <c r="AF44" i="48"/>
  <c r="AH17" i="51" a="1"/>
  <c r="AH17" i="51" s="1"/>
  <c r="AD32" i="100"/>
  <c r="AG32" i="100"/>
  <c r="AF32" i="100"/>
  <c r="AF23" i="49"/>
  <c r="AH23" i="49" a="1"/>
  <c r="AH23" i="49" s="1"/>
  <c r="AG23" i="49"/>
  <c r="AE46" i="100"/>
  <c r="AH46" i="100" a="1"/>
  <c r="AH46" i="100" s="1"/>
  <c r="AF46" i="100"/>
  <c r="AD24" i="49"/>
  <c r="AE24" i="49"/>
  <c r="AF24" i="49"/>
  <c r="AD48" i="48"/>
  <c r="AG48" i="48"/>
  <c r="AH13" i="51" a="1"/>
  <c r="AH13" i="51" s="1"/>
  <c r="AD13" i="51"/>
  <c r="AD18" i="101"/>
  <c r="AE18" i="101"/>
  <c r="AD40" i="51"/>
  <c r="AG39" i="51"/>
  <c r="AG47" i="49"/>
  <c r="AE47" i="49"/>
  <c r="AH47" i="49" a="1"/>
  <c r="AH47" i="49" s="1"/>
  <c r="AH30" i="101" a="1"/>
  <c r="AH30" i="101" s="1"/>
  <c r="AH35" i="51" a="1"/>
  <c r="AH35" i="51" s="1"/>
  <c r="AF44" i="100"/>
  <c r="AD23" i="101"/>
  <c r="AH23" i="101" a="1"/>
  <c r="AH23" i="101" s="1"/>
  <c r="AH35" i="100" a="1"/>
  <c r="AH35" i="100" s="1"/>
  <c r="AF35" i="100"/>
  <c r="AE35" i="100"/>
  <c r="AD45" i="101"/>
  <c r="AG45" i="101"/>
  <c r="AG41" i="100"/>
  <c r="AD33" i="100"/>
  <c r="AF33" i="100"/>
  <c r="AE47" i="101"/>
  <c r="AF30" i="48"/>
  <c r="AG30" i="48"/>
  <c r="AF28" i="51"/>
  <c r="AD21" i="49"/>
  <c r="AH44" i="51" a="1"/>
  <c r="AH44" i="51" s="1"/>
  <c r="AG17" i="51"/>
  <c r="AD45" i="100"/>
  <c r="AF54" i="100"/>
  <c r="AE53" i="51"/>
  <c r="AG43" i="51"/>
  <c r="AG6" i="51"/>
  <c r="AE38" i="100"/>
  <c r="AF22" i="100"/>
  <c r="AD22" i="100"/>
  <c r="AG39" i="100"/>
  <c r="AF47" i="51"/>
  <c r="AE47" i="51"/>
  <c r="AF48" i="49"/>
  <c r="AH51" i="101" a="1"/>
  <c r="AH51" i="101" s="1"/>
  <c r="AH24" i="101" a="1"/>
  <c r="AH24" i="101" s="1"/>
  <c r="AF47" i="100"/>
  <c r="AF20" i="101"/>
  <c r="AF33" i="101"/>
  <c r="AE32" i="49"/>
  <c r="AG32" i="49"/>
  <c r="AG22" i="51"/>
  <c r="AF22" i="51"/>
  <c r="AF11" i="101"/>
  <c r="AD11" i="101"/>
  <c r="AG34" i="49"/>
  <c r="AF52" i="48"/>
  <c r="AH34" i="49" a="1"/>
  <c r="AH34" i="49" s="1"/>
  <c r="AG42" i="49"/>
  <c r="AE34" i="49"/>
  <c r="AF39" i="101"/>
  <c r="AD39" i="101"/>
  <c r="AG39" i="101"/>
  <c r="AH10" i="101" a="1"/>
  <c r="AH10" i="101" s="1"/>
  <c r="AF10" i="101"/>
  <c r="AD6" i="101"/>
  <c r="AF6" i="101"/>
  <c r="AH6" i="101" a="1"/>
  <c r="AH6" i="101" s="1"/>
  <c r="AE6" i="101"/>
  <c r="AE38" i="51"/>
  <c r="AF9" i="101"/>
  <c r="AD9" i="101"/>
  <c r="AH9" i="101" a="1"/>
  <c r="AH9" i="101" s="1"/>
  <c r="AD29" i="101"/>
  <c r="AH29" i="101" a="1"/>
  <c r="AH29" i="101" s="1"/>
  <c r="AE29" i="101"/>
  <c r="AG29" i="101"/>
  <c r="AF19" i="101"/>
  <c r="AH19" i="101" a="1"/>
  <c r="AH19" i="101" s="1"/>
  <c r="AD19" i="101"/>
  <c r="AG19" i="101"/>
  <c r="AD42" i="100"/>
  <c r="AH42" i="100" a="1"/>
  <c r="AH42" i="100" s="1"/>
  <c r="AG42" i="100"/>
  <c r="AF42" i="100"/>
  <c r="AG21" i="100"/>
  <c r="AE21" i="100"/>
  <c r="AD17" i="49"/>
  <c r="AE17" i="49"/>
  <c r="AG17" i="49"/>
  <c r="AF34" i="101"/>
  <c r="AD21" i="100"/>
  <c r="AH21" i="100" a="1"/>
  <c r="AH21" i="100" s="1"/>
  <c r="AF31" i="48"/>
  <c r="AD31" i="48"/>
  <c r="AE8" i="51"/>
  <c r="AG8" i="51"/>
  <c r="AE10" i="101"/>
  <c r="AE15" i="49"/>
  <c r="AF38" i="101"/>
  <c r="AD38" i="101"/>
  <c r="AF34" i="100"/>
  <c r="AE34" i="100"/>
  <c r="AE23" i="49"/>
  <c r="AD23" i="49"/>
  <c r="AH13" i="49" a="1"/>
  <c r="AH13" i="49" s="1"/>
  <c r="AG13" i="49"/>
  <c r="AH48" i="48" a="1"/>
  <c r="AH48" i="48" s="1"/>
  <c r="AF48" i="48"/>
  <c r="AD11" i="49"/>
  <c r="AE11" i="49"/>
  <c r="AG46" i="100"/>
  <c r="AD46" i="100"/>
  <c r="AH52" i="49" a="1"/>
  <c r="AH52" i="49" s="1"/>
  <c r="AF52" i="49"/>
  <c r="AD52" i="49"/>
  <c r="AH42" i="101" a="1"/>
  <c r="AH42" i="101" s="1"/>
  <c r="AF42" i="101"/>
  <c r="AH8" i="51" a="1"/>
  <c r="AH8" i="51" s="1"/>
  <c r="AF36" i="101"/>
  <c r="AE43" i="51"/>
  <c r="AG33" i="51"/>
  <c r="AF33" i="51"/>
  <c r="AH22" i="51" a="1"/>
  <c r="AH22" i="51" s="1"/>
  <c r="AD18" i="100"/>
  <c r="AF18" i="100"/>
  <c r="AE28" i="100"/>
  <c r="AH28" i="100" a="1"/>
  <c r="AH28" i="100" s="1"/>
  <c r="AH40" i="100" a="1"/>
  <c r="AH40" i="100" s="1"/>
  <c r="AE40" i="100"/>
  <c r="AH8" i="101" a="1"/>
  <c r="AH8" i="101" s="1"/>
  <c r="AG8" i="101"/>
  <c r="AH16" i="101" a="1"/>
  <c r="AH16" i="101" s="1"/>
  <c r="AF16" i="101"/>
  <c r="AD44" i="101"/>
  <c r="AF44" i="101"/>
  <c r="AG44" i="101"/>
  <c r="AE54" i="48"/>
  <c r="AG54" i="48"/>
  <c r="AH28" i="48" a="1"/>
  <c r="AH28" i="48" s="1"/>
  <c r="AE45" i="101"/>
  <c r="AH17" i="49" a="1"/>
  <c r="AH17" i="49" s="1"/>
  <c r="AG36" i="48"/>
  <c r="AG18" i="51"/>
  <c r="AE17" i="51"/>
  <c r="AE36" i="48"/>
  <c r="AH38" i="49" a="1"/>
  <c r="AH38" i="49" s="1"/>
  <c r="AF48" i="51"/>
  <c r="AG28" i="51"/>
  <c r="AH27" i="48" a="1"/>
  <c r="AH27" i="48" s="1"/>
  <c r="AD48" i="49"/>
  <c r="AH48" i="49" a="1"/>
  <c r="AH48" i="49" s="1"/>
  <c r="AE48" i="49"/>
  <c r="AD37" i="49"/>
  <c r="AG26" i="100"/>
  <c r="AF35" i="48"/>
  <c r="AG25" i="51"/>
  <c r="AH37" i="100" a="1"/>
  <c r="AH37" i="100" s="1"/>
  <c r="AG37" i="100"/>
  <c r="AF37" i="100"/>
  <c r="AE44" i="48"/>
  <c r="AH44" i="48" a="1"/>
  <c r="AH44" i="48" s="1"/>
  <c r="AH29" i="100" a="1"/>
  <c r="AH29" i="100" s="1"/>
  <c r="AG41" i="101"/>
  <c r="AE30" i="100"/>
  <c r="AF30" i="100"/>
  <c r="AG30" i="100"/>
  <c r="AH30" i="100" a="1"/>
  <c r="AH30" i="100" s="1"/>
  <c r="AG18" i="101"/>
  <c r="AH18" i="101" a="1"/>
  <c r="AH18" i="101" s="1"/>
  <c r="AE12" i="51"/>
  <c r="AH32" i="49" a="1"/>
  <c r="AH32" i="49" s="1"/>
  <c r="AD32" i="49"/>
  <c r="AD27" i="101"/>
  <c r="AH27" i="101" a="1"/>
  <c r="AH27" i="101" s="1"/>
  <c r="AH41" i="51" a="1"/>
  <c r="AH41" i="51" s="1"/>
  <c r="AD7" i="101"/>
  <c r="AF39" i="48"/>
  <c r="AD39" i="48"/>
  <c r="AE40" i="51"/>
  <c r="AF40" i="51"/>
  <c r="AH40" i="51" a="1"/>
  <c r="AH40" i="51" s="1"/>
  <c r="AE33" i="100"/>
  <c r="AG33" i="100"/>
  <c r="AH33" i="100" a="1"/>
  <c r="AH33" i="100" s="1"/>
  <c r="AG21" i="101"/>
  <c r="AH21" i="101" a="1"/>
  <c r="AH21" i="101" s="1"/>
  <c r="AD21" i="101"/>
  <c r="AF37" i="101"/>
  <c r="AE37" i="101"/>
  <c r="AH37" i="101" a="1"/>
  <c r="AH37" i="101" s="1"/>
  <c r="AF38" i="48"/>
  <c r="AG38" i="48"/>
  <c r="AE38" i="48"/>
  <c r="AF29" i="48"/>
  <c r="AG29" i="48"/>
  <c r="AG39" i="49"/>
  <c r="AD30" i="101"/>
  <c r="AH26" i="51" a="1"/>
  <c r="AH26" i="51" s="1"/>
  <c r="AH19" i="51" a="1"/>
  <c r="AH19" i="51" s="1"/>
  <c r="AH18" i="100" a="1"/>
  <c r="AH18" i="100" s="1"/>
  <c r="AG18" i="100"/>
  <c r="AF24" i="51"/>
  <c r="AG19" i="100"/>
  <c r="AF19" i="100"/>
  <c r="AF48" i="100"/>
  <c r="AG48" i="100"/>
  <c r="AG15" i="51"/>
  <c r="AF31" i="101"/>
  <c r="AD31" i="101"/>
  <c r="AH16" i="49" a="1"/>
  <c r="AH16" i="49" s="1"/>
  <c r="AE52" i="100"/>
  <c r="AG52" i="100"/>
  <c r="AE38" i="49"/>
  <c r="AD13" i="101"/>
  <c r="AH50" i="48" a="1"/>
  <c r="AH50" i="48" s="1"/>
  <c r="AE34" i="48"/>
  <c r="AE17" i="100"/>
  <c r="AD17" i="100"/>
  <c r="AH17" i="100" a="1"/>
  <c r="AH17" i="100" s="1"/>
  <c r="AF31" i="100"/>
  <c r="AD31" i="100"/>
  <c r="AD41" i="48"/>
  <c r="AG41" i="48"/>
  <c r="AH41" i="48" a="1"/>
  <c r="AH41" i="48" s="1"/>
  <c r="AF46" i="49"/>
  <c r="AH46" i="49" a="1"/>
  <c r="AH46" i="49" s="1"/>
  <c r="AG46" i="49"/>
  <c r="AD25" i="49"/>
  <c r="AE25" i="49"/>
  <c r="AH25" i="49" a="1"/>
  <c r="AH25" i="49" s="1"/>
  <c r="AH49" i="51" a="1"/>
  <c r="AH49" i="51" s="1"/>
  <c r="AE49" i="51"/>
  <c r="AF49" i="51"/>
  <c r="AD49" i="51"/>
  <c r="AG49" i="51"/>
  <c r="AH10" i="51" a="1"/>
  <c r="AH10" i="51" s="1"/>
  <c r="AD46" i="48"/>
  <c r="AE44" i="51"/>
  <c r="AG53" i="51"/>
  <c r="AH46" i="48" a="1"/>
  <c r="AH46" i="48" s="1"/>
  <c r="AE10" i="51"/>
  <c r="AF9" i="51"/>
  <c r="AD10" i="49"/>
  <c r="AG9" i="51"/>
  <c r="AF10" i="51"/>
  <c r="AF35" i="51"/>
  <c r="AG49" i="49"/>
  <c r="AE49" i="49"/>
  <c r="AD50" i="49"/>
  <c r="AE9" i="51"/>
  <c r="AF40" i="49"/>
  <c r="AF33" i="49"/>
  <c r="AE39" i="49"/>
  <c r="AD9" i="51"/>
  <c r="AD21" i="51"/>
  <c r="AG35" i="51"/>
  <c r="AE52" i="51"/>
  <c r="AF54" i="51"/>
  <c r="AH49" i="49" a="1"/>
  <c r="AH49" i="49" s="1"/>
  <c r="AH36" i="48" a="1"/>
  <c r="AH36" i="48" s="1"/>
  <c r="AD33" i="51"/>
  <c r="AH21" i="49" a="1"/>
  <c r="AH21" i="49" s="1"/>
  <c r="AD53" i="51"/>
  <c r="AE22" i="51"/>
  <c r="AH43" i="51" a="1"/>
  <c r="AH43" i="51" s="1"/>
  <c r="AD20" i="51"/>
  <c r="AG20" i="51"/>
  <c r="AE20" i="51"/>
  <c r="AH20" i="51" a="1"/>
  <c r="AH20" i="51" s="1"/>
  <c r="AF20" i="51"/>
  <c r="AH15" i="101" a="1"/>
  <c r="AH15" i="101" s="1"/>
  <c r="AD15" i="101"/>
  <c r="AE15" i="101"/>
  <c r="AD33" i="48"/>
  <c r="AE33" i="48"/>
  <c r="AG33" i="48"/>
  <c r="AF27" i="49"/>
  <c r="AD27" i="49"/>
  <c r="AE27" i="49"/>
  <c r="AG27" i="49"/>
  <c r="AH27" i="49" a="1"/>
  <c r="AH27" i="49" s="1"/>
  <c r="AG26" i="49"/>
  <c r="AF26" i="49"/>
  <c r="AE26" i="49"/>
  <c r="AD26" i="49"/>
  <c r="AH26" i="49" a="1"/>
  <c r="AH26" i="49" s="1"/>
  <c r="AF36" i="49"/>
  <c r="AG36" i="49"/>
  <c r="AH36" i="49" a="1"/>
  <c r="AH36" i="49" s="1"/>
  <c r="AD14" i="51"/>
  <c r="AG14" i="51"/>
  <c r="AD44" i="49"/>
  <c r="AG44" i="49"/>
  <c r="AD43" i="49"/>
  <c r="AH43" i="49" a="1"/>
  <c r="AH43" i="49" s="1"/>
  <c r="AF43" i="49"/>
  <c r="AE43" i="49"/>
  <c r="AG43" i="49"/>
  <c r="AF51" i="49"/>
  <c r="AH51" i="49" a="1"/>
  <c r="AH51" i="49" s="1"/>
  <c r="AF37" i="48"/>
  <c r="AH37" i="48" a="1"/>
  <c r="AH37" i="48" s="1"/>
  <c r="AF33" i="48"/>
  <c r="AH33" i="48" a="1"/>
  <c r="AH33" i="48" s="1"/>
  <c r="AG38" i="49"/>
  <c r="AF38" i="49"/>
  <c r="AF30" i="49"/>
  <c r="AH30" i="49" a="1"/>
  <c r="AH30" i="49" s="1"/>
  <c r="AG11" i="49"/>
  <c r="AH11" i="49" a="1"/>
  <c r="AH11" i="49" s="1"/>
  <c r="AG38" i="100"/>
  <c r="AH38" i="100" a="1"/>
  <c r="AH38" i="100" s="1"/>
  <c r="AF38" i="100"/>
  <c r="AE32" i="101"/>
  <c r="AD6" i="51"/>
  <c r="AE6" i="51"/>
  <c r="AF6" i="51"/>
  <c r="AE21" i="49"/>
  <c r="AG21" i="49"/>
  <c r="AH27" i="100" a="1"/>
  <c r="AH27" i="100" s="1"/>
  <c r="AE27" i="100"/>
  <c r="AD27" i="100"/>
  <c r="AF54" i="48"/>
  <c r="AD54" i="48"/>
  <c r="AG16" i="49"/>
  <c r="AG19" i="49"/>
  <c r="AG22" i="49"/>
  <c r="AG24" i="49"/>
  <c r="AG33" i="49"/>
  <c r="AG54" i="49"/>
  <c r="AG9" i="101"/>
  <c r="AE9" i="101"/>
  <c r="AG29" i="100"/>
  <c r="AE29" i="100"/>
  <c r="AH52" i="48" a="1"/>
  <c r="AH52" i="48" s="1"/>
  <c r="AE52" i="48"/>
  <c r="AF31" i="51"/>
  <c r="AD31" i="51"/>
  <c r="AG31" i="51"/>
  <c r="AF29" i="51"/>
  <c r="AD29" i="51"/>
  <c r="AD16" i="49"/>
  <c r="AG49" i="48"/>
  <c r="AG22" i="100"/>
  <c r="AH22" i="100" a="1"/>
  <c r="AH22" i="100" s="1"/>
  <c r="AF34" i="51"/>
  <c r="AE34" i="51"/>
  <c r="AF35" i="101"/>
  <c r="AD35" i="101"/>
  <c r="AD47" i="49"/>
  <c r="AF47" i="49"/>
  <c r="AE26" i="101"/>
  <c r="AD26" i="101"/>
  <c r="AE46" i="48"/>
  <c r="AG46" i="48"/>
  <c r="AF28" i="48"/>
  <c r="AE28" i="48"/>
  <c r="AF51" i="51"/>
  <c r="AE51" i="51"/>
  <c r="AH51" i="51" a="1"/>
  <c r="AH51" i="51" s="1"/>
  <c r="AF22" i="49"/>
  <c r="AG28" i="101"/>
  <c r="AE28" i="101"/>
  <c r="AH50" i="100" a="1"/>
  <c r="AH50" i="100" s="1"/>
  <c r="AE50" i="100"/>
  <c r="AD50" i="100"/>
  <c r="AE53" i="49"/>
  <c r="AF53" i="49"/>
  <c r="AG10" i="101"/>
  <c r="AD10" i="101"/>
  <c r="AG51" i="101"/>
  <c r="AD51" i="101"/>
  <c r="AF51" i="101"/>
  <c r="AD39" i="51"/>
  <c r="AH39" i="51" a="1"/>
  <c r="AH39" i="51" s="1"/>
  <c r="AD47" i="51"/>
  <c r="AD18" i="49"/>
  <c r="AE18" i="49"/>
  <c r="AF43" i="100"/>
  <c r="AG43" i="100"/>
  <c r="AH54" i="100" a="1"/>
  <c r="AH54" i="100" s="1"/>
  <c r="AD27" i="51"/>
  <c r="AG33" i="101"/>
  <c r="AE33" i="101"/>
  <c r="AD33" i="49"/>
  <c r="AD52" i="48"/>
  <c r="AG52" i="48"/>
  <c r="AD37" i="48"/>
  <c r="AD54" i="49"/>
  <c r="AH54" i="49" a="1"/>
  <c r="AH54" i="49" s="1"/>
  <c r="AD45" i="48"/>
  <c r="AE45" i="48"/>
  <c r="AH45" i="48" a="1"/>
  <c r="AH45" i="48" s="1"/>
  <c r="AG52" i="51"/>
  <c r="AH52" i="51" a="1"/>
  <c r="AH52" i="51" s="1"/>
  <c r="AF52" i="51"/>
  <c r="AH32" i="51" a="1"/>
  <c r="AH32" i="51" s="1"/>
  <c r="AD17" i="101"/>
  <c r="AG17" i="101"/>
  <c r="AG45" i="51"/>
  <c r="AF45" i="51"/>
  <c r="AH23" i="51" a="1"/>
  <c r="AH23" i="51" s="1"/>
  <c r="AE23" i="51"/>
  <c r="AH24" i="49" a="1"/>
  <c r="AH24" i="49" s="1"/>
  <c r="AD35" i="100"/>
  <c r="AG35" i="100"/>
  <c r="AH44" i="100" a="1"/>
  <c r="AH44" i="100" s="1"/>
  <c r="AG44" i="100"/>
  <c r="AD44" i="100"/>
  <c r="AG27" i="101"/>
  <c r="AE27" i="101"/>
  <c r="AG42" i="101"/>
  <c r="AE42" i="101"/>
  <c r="AF43" i="48"/>
  <c r="AH43" i="48" a="1"/>
  <c r="AH43" i="48" s="1"/>
  <c r="AD43" i="48"/>
  <c r="AG43" i="48"/>
  <c r="AF44" i="51"/>
  <c r="AG44" i="51"/>
  <c r="AH20" i="100" a="1"/>
  <c r="AH20" i="100" s="1"/>
  <c r="AG20" i="100"/>
  <c r="AF36" i="100"/>
  <c r="AE36" i="100"/>
  <c r="AE43" i="101"/>
  <c r="AF43" i="101"/>
  <c r="K6" i="31" a="1"/>
  <c r="F80" i="31" s="1" a="1"/>
  <c r="F80" i="31" s="1"/>
  <c r="AF50" i="48"/>
  <c r="AG42" i="48"/>
  <c r="AF42" i="48"/>
  <c r="AH42" i="48" a="1"/>
  <c r="AH42" i="48" s="1"/>
  <c r="AD30" i="51"/>
  <c r="AF30" i="51"/>
  <c r="AG5" i="101"/>
  <c r="AE5" i="101"/>
  <c r="AH52" i="101" a="1"/>
  <c r="AH52" i="101" s="1"/>
  <c r="AD52" i="101"/>
  <c r="AE52" i="101"/>
  <c r="AG34" i="48"/>
  <c r="AH34" i="48" a="1"/>
  <c r="AH34" i="48" s="1"/>
  <c r="AG37" i="51"/>
  <c r="AF37" i="51"/>
  <c r="AE15" i="51"/>
  <c r="AF15" i="51"/>
  <c r="AF7" i="51"/>
  <c r="AH47" i="100" a="1"/>
  <c r="AH47" i="100" s="1"/>
  <c r="AG47" i="100"/>
  <c r="AF36" i="51"/>
  <c r="AF10" i="49"/>
  <c r="AD48" i="100"/>
  <c r="AE48" i="100"/>
  <c r="AE13" i="101"/>
  <c r="AG13" i="101"/>
  <c r="AH28" i="51" a="1"/>
  <c r="AH28" i="51" s="1"/>
  <c r="AD28" i="51"/>
  <c r="AE28" i="51"/>
  <c r="AF50" i="49"/>
  <c r="AH50" i="49" a="1"/>
  <c r="AH50" i="49" s="1"/>
  <c r="AE50" i="49"/>
  <c r="AH39" i="100" a="1"/>
  <c r="AH39" i="100" s="1"/>
  <c r="AD39" i="100"/>
  <c r="AE46" i="101"/>
  <c r="AF13" i="51"/>
  <c r="AE13" i="51"/>
  <c r="AG13" i="51"/>
  <c r="AG23" i="101"/>
  <c r="AE23" i="101"/>
  <c r="AH47" i="101" a="1"/>
  <c r="AH47" i="101" s="1"/>
  <c r="AG53" i="48"/>
  <c r="AE53" i="48"/>
  <c r="AG47" i="48"/>
  <c r="AH47" i="48" a="1"/>
  <c r="AH47" i="48" s="1"/>
  <c r="AE31" i="48"/>
  <c r="AH31" i="48" a="1"/>
  <c r="AH31" i="48" s="1"/>
  <c r="AG31" i="48"/>
  <c r="AG48" i="51"/>
  <c r="AH48" i="51" a="1"/>
  <c r="AH48" i="51" s="1"/>
  <c r="AD48" i="51"/>
  <c r="AF19" i="51"/>
  <c r="AD19" i="51"/>
  <c r="AD42" i="49"/>
  <c r="AE41" i="100"/>
  <c r="AD41" i="100"/>
  <c r="AF24" i="101"/>
  <c r="AD24" i="101"/>
  <c r="AF48" i="101"/>
  <c r="AD48" i="101"/>
  <c r="AG26" i="51"/>
  <c r="AE26" i="51"/>
  <c r="AH11" i="51" a="1"/>
  <c r="AH11" i="51" s="1"/>
  <c r="AG11" i="51"/>
  <c r="AG51" i="100"/>
  <c r="AE24" i="100"/>
  <c r="AF24" i="100"/>
  <c r="AE32" i="100"/>
  <c r="AH32" i="100" a="1"/>
  <c r="AH32" i="100" s="1"/>
  <c r="AF51" i="100"/>
  <c r="AD49" i="101"/>
  <c r="AH49" i="101" a="1"/>
  <c r="AH49" i="101" s="1"/>
  <c r="AF49" i="101"/>
  <c r="AE42" i="49" l="1"/>
  <c r="AD46" i="101"/>
  <c r="AF12" i="49"/>
  <c r="AE19" i="49"/>
  <c r="AH47" i="51" a="1"/>
  <c r="AH47" i="51" s="1"/>
  <c r="AH19" i="49" a="1"/>
  <c r="AH19" i="49" s="1"/>
  <c r="AE35" i="51"/>
  <c r="AE31" i="100"/>
  <c r="AG38" i="51"/>
  <c r="AG28" i="48"/>
  <c r="AG31" i="100"/>
  <c r="AH22" i="49" a="1"/>
  <c r="AH22" i="49" s="1"/>
  <c r="AH14" i="101" a="1"/>
  <c r="AH14" i="101" s="1"/>
  <c r="AD25" i="101"/>
  <c r="AH42" i="49" a="1"/>
  <c r="AH42" i="49" s="1"/>
  <c r="AD12" i="49"/>
  <c r="AF19" i="49"/>
  <c r="AD14" i="101"/>
  <c r="AE36" i="101"/>
  <c r="AG12" i="49"/>
  <c r="AG36" i="51"/>
  <c r="AH40" i="49" a="1"/>
  <c r="AH40" i="49" s="1"/>
  <c r="AH33" i="49" a="1"/>
  <c r="AH33" i="49" s="1"/>
  <c r="AF38" i="51"/>
  <c r="AD36" i="101"/>
  <c r="AE30" i="49"/>
  <c r="AF23" i="51"/>
  <c r="AH41" i="49" a="1"/>
  <c r="AH41" i="49" s="1"/>
  <c r="AD54" i="100"/>
  <c r="AD47" i="101"/>
  <c r="AE30" i="48"/>
  <c r="AD40" i="49"/>
  <c r="AH36" i="101" a="1"/>
  <c r="AH36" i="101" s="1"/>
  <c r="AH49" i="48" a="1"/>
  <c r="AH49" i="48" s="1"/>
  <c r="AG15" i="101"/>
  <c r="AF49" i="48"/>
  <c r="AH18" i="49" a="1"/>
  <c r="AH18" i="49" s="1"/>
  <c r="AH38" i="51" a="1"/>
  <c r="AH38" i="51" s="1"/>
  <c r="AD30" i="49"/>
  <c r="AG23" i="51"/>
  <c r="AG54" i="100"/>
  <c r="AF20" i="100"/>
  <c r="AD30" i="48"/>
  <c r="AE40" i="49"/>
  <c r="AD49" i="48"/>
  <c r="AG46" i="51"/>
  <c r="AE16" i="51"/>
  <c r="AE25" i="100"/>
  <c r="AF25" i="100"/>
  <c r="AH25" i="100" a="1"/>
  <c r="AH25" i="100" s="1"/>
  <c r="AD25" i="100"/>
  <c r="AG25" i="100"/>
  <c r="AD40" i="101"/>
  <c r="AE40" i="101"/>
  <c r="AG40" i="101"/>
  <c r="AF40" i="101"/>
  <c r="AH40" i="101" a="1"/>
  <c r="AH40" i="101" s="1"/>
  <c r="AG32" i="48"/>
  <c r="AE32" i="48"/>
  <c r="AH32" i="48" a="1"/>
  <c r="AH32" i="48" s="1"/>
  <c r="AF32" i="48"/>
  <c r="AD32" i="48"/>
  <c r="AG51" i="48"/>
  <c r="AH51" i="48" a="1"/>
  <c r="AH51" i="48" s="1"/>
  <c r="AE51" i="48"/>
  <c r="AF51" i="48"/>
  <c r="AD51" i="48"/>
  <c r="AG40" i="48"/>
  <c r="AH40" i="48" a="1"/>
  <c r="AH40" i="48" s="1"/>
  <c r="AF40" i="48"/>
  <c r="AE40" i="48"/>
  <c r="AD40" i="48"/>
  <c r="D93" i="25"/>
  <c r="H8" i="77" a="1"/>
  <c r="H8" i="77" s="1"/>
  <c r="B10" i="77" s="1"/>
  <c r="H5" i="77" a="1"/>
  <c r="H5" i="77" s="1"/>
  <c r="C14" i="77" s="1"/>
  <c r="H7" i="77" a="1"/>
  <c r="H7" i="77" s="1"/>
  <c r="E22" i="77" s="1"/>
  <c r="H3" i="77" a="1"/>
  <c r="H3" i="77" s="1"/>
  <c r="E9" i="77" s="1"/>
  <c r="AG35" i="49"/>
  <c r="AF35" i="49"/>
  <c r="AE35" i="49"/>
  <c r="AD35" i="49"/>
  <c r="AH35" i="49" a="1"/>
  <c r="AH35" i="49" s="1"/>
  <c r="AG45" i="49"/>
  <c r="AH45" i="49" a="1"/>
  <c r="AH45" i="49" s="1"/>
  <c r="AF45" i="49"/>
  <c r="AE45" i="49"/>
  <c r="AD45" i="49"/>
  <c r="AF53" i="101"/>
  <c r="AD53" i="101"/>
  <c r="AH53" i="101" a="1"/>
  <c r="AH53" i="101" s="1"/>
  <c r="AE53" i="101"/>
  <c r="AG53" i="101"/>
  <c r="AE31" i="49"/>
  <c r="AD31" i="49"/>
  <c r="AG31" i="49"/>
  <c r="AH31" i="49" a="1"/>
  <c r="AH31" i="49" s="1"/>
  <c r="AF31" i="49"/>
  <c r="AD20" i="49"/>
  <c r="AF20" i="49"/>
  <c r="AG20" i="49"/>
  <c r="AE20" i="49"/>
  <c r="AH20" i="49" a="1"/>
  <c r="AH20" i="49" s="1"/>
  <c r="A12" i="31" a="1"/>
  <c r="A12" i="31" s="1"/>
  <c r="E12" i="31" s="1"/>
  <c r="C91" i="25"/>
  <c r="A42" i="31" a="1"/>
  <c r="A42" i="31" s="1"/>
  <c r="E42" i="31" s="1"/>
  <c r="F61" i="14" a="1"/>
  <c r="F61" i="14" s="1"/>
  <c r="A77" i="31" a="1"/>
  <c r="A77" i="31" s="1"/>
  <c r="C77" i="31" s="1"/>
  <c r="F26" i="31" a="1"/>
  <c r="F26" i="31" s="1"/>
  <c r="F7" i="14" a="1"/>
  <c r="F7" i="14" s="1"/>
  <c r="A63" i="14" a="1"/>
  <c r="A63" i="14" s="1"/>
  <c r="E63" i="14" s="1"/>
  <c r="D91" i="25"/>
  <c r="A32" i="31" a="1"/>
  <c r="A32" i="31" s="1"/>
  <c r="C32" i="31" s="1"/>
  <c r="F66" i="14" a="1"/>
  <c r="F66" i="14" s="1"/>
  <c r="A47" i="14" a="1"/>
  <c r="A47" i="14" s="1"/>
  <c r="G47" i="14" s="1"/>
  <c r="F58" i="14" a="1"/>
  <c r="F58" i="14" s="1"/>
  <c r="G32" i="31"/>
  <c r="D32" i="31"/>
  <c r="B42" i="31"/>
  <c r="D42" i="31"/>
  <c r="C42" i="31"/>
  <c r="E44" i="14"/>
  <c r="D44" i="14"/>
  <c r="C44" i="14"/>
  <c r="G44" i="14"/>
  <c r="B44" i="14"/>
  <c r="A42" i="14" a="1"/>
  <c r="A42" i="14" s="1"/>
  <c r="A71" i="14" a="1"/>
  <c r="A71" i="14" s="1"/>
  <c r="A37" i="31" a="1"/>
  <c r="A37" i="31" s="1"/>
  <c r="A79" i="31" a="1"/>
  <c r="A79" i="31" s="1"/>
  <c r="A74" i="31" a="1"/>
  <c r="A74" i="31" s="1"/>
  <c r="A82" i="31" a="1"/>
  <c r="A82" i="31" s="1"/>
  <c r="F28" i="31" a="1"/>
  <c r="F28" i="31" s="1"/>
  <c r="A85" i="31" a="1"/>
  <c r="A85" i="31" s="1"/>
  <c r="D85" i="31" s="1"/>
  <c r="A11" i="14" a="1"/>
  <c r="A11" i="14" s="1"/>
  <c r="F36" i="14" a="1"/>
  <c r="F36" i="14" s="1"/>
  <c r="F14" i="14" a="1"/>
  <c r="F14" i="14" s="1"/>
  <c r="A32" i="14" a="1"/>
  <c r="A32" i="14" s="1"/>
  <c r="F84" i="14" a="1"/>
  <c r="F84" i="14" s="1"/>
  <c r="A18" i="14" a="1"/>
  <c r="A18" i="14" s="1"/>
  <c r="E18" i="14" s="1"/>
  <c r="A46" i="31" a="1"/>
  <c r="A46" i="31" s="1"/>
  <c r="F46" i="31" a="1"/>
  <c r="F46" i="31" s="1"/>
  <c r="A47" i="31" a="1"/>
  <c r="A47" i="31" s="1"/>
  <c r="A29" i="31" a="1"/>
  <c r="A29" i="31" s="1"/>
  <c r="A75" i="31" a="1"/>
  <c r="A75" i="31" s="1"/>
  <c r="F20" i="31" a="1"/>
  <c r="F20" i="31" s="1"/>
  <c r="F12" i="14" a="1"/>
  <c r="F12" i="14" s="1"/>
  <c r="A19" i="14" a="1"/>
  <c r="A19" i="14" s="1"/>
  <c r="A58" i="14" a="1"/>
  <c r="A58" i="14" s="1"/>
  <c r="A29" i="14" a="1"/>
  <c r="A29" i="14" s="1"/>
  <c r="A79" i="14" a="1"/>
  <c r="A79" i="14" s="1"/>
  <c r="A64" i="14" a="1"/>
  <c r="A64" i="14" s="1"/>
  <c r="AE17" i="101"/>
  <c r="AH17" i="101" a="1"/>
  <c r="AH17" i="101" s="1"/>
  <c r="AF17" i="101"/>
  <c r="A62" i="31" a="1"/>
  <c r="A62" i="31" s="1"/>
  <c r="A35" i="31" a="1"/>
  <c r="A35" i="31" s="1"/>
  <c r="F22" i="14" a="1"/>
  <c r="F22" i="14" s="1"/>
  <c r="A16" i="14" a="1"/>
  <c r="A16" i="14" s="1"/>
  <c r="A57" i="14" a="1"/>
  <c r="A57" i="14" s="1"/>
  <c r="F31" i="14" a="1"/>
  <c r="F31" i="14" s="1"/>
  <c r="F68" i="14" a="1"/>
  <c r="F68" i="14" s="1"/>
  <c r="A35" i="14" a="1"/>
  <c r="A35" i="14" s="1"/>
  <c r="F70" i="14" a="1"/>
  <c r="F70" i="14" s="1"/>
  <c r="F41" i="14" a="1"/>
  <c r="F41" i="14" s="1"/>
  <c r="F81" i="14" a="1"/>
  <c r="F81" i="14" s="1"/>
  <c r="F37" i="14" a="1"/>
  <c r="F37" i="14" s="1"/>
  <c r="A25" i="14" a="1"/>
  <c r="A25" i="14" s="1"/>
  <c r="A38" i="14" a="1"/>
  <c r="A38" i="14" s="1"/>
  <c r="F6" i="14" a="1"/>
  <c r="F6" i="14" s="1"/>
  <c r="F52" i="14" a="1"/>
  <c r="F52" i="14" s="1"/>
  <c r="A75" i="14" a="1"/>
  <c r="A75" i="14" s="1"/>
  <c r="F62" i="14" a="1"/>
  <c r="F62" i="14" s="1"/>
  <c r="A60" i="14" a="1"/>
  <c r="A60" i="14" s="1"/>
  <c r="A22" i="14" a="1"/>
  <c r="A22" i="14" s="1"/>
  <c r="B22" i="14" s="1"/>
  <c r="A26" i="14" a="1"/>
  <c r="A26" i="14" s="1"/>
  <c r="B26" i="14" s="1"/>
  <c r="F79" i="14" a="1"/>
  <c r="F79" i="14" s="1"/>
  <c r="F71" i="14" a="1"/>
  <c r="F71" i="14" s="1"/>
  <c r="A85" i="14" a="1"/>
  <c r="A85" i="14" s="1"/>
  <c r="D85" i="14" s="1"/>
  <c r="F11" i="14" a="1"/>
  <c r="F11" i="14" s="1"/>
  <c r="F73" i="14" a="1"/>
  <c r="F73" i="14" s="1"/>
  <c r="F53" i="14" a="1"/>
  <c r="F53" i="14" s="1"/>
  <c r="A72" i="14" a="1"/>
  <c r="A72" i="14" s="1"/>
  <c r="F7" i="31" a="1"/>
  <c r="F7" i="31" s="1"/>
  <c r="A10" i="31" a="1"/>
  <c r="A10" i="31" s="1"/>
  <c r="A63" i="31" a="1"/>
  <c r="A63" i="31" s="1"/>
  <c r="F66" i="31" a="1"/>
  <c r="F66" i="31" s="1"/>
  <c r="F82" i="31" a="1"/>
  <c r="F82" i="31" s="1"/>
  <c r="F40" i="14" a="1"/>
  <c r="F40" i="14" s="1"/>
  <c r="F50" i="14" a="1"/>
  <c r="F50" i="14" s="1"/>
  <c r="F16" i="14" a="1"/>
  <c r="F16" i="14" s="1"/>
  <c r="F47" i="14" a="1"/>
  <c r="F47" i="14" s="1"/>
  <c r="F57" i="14" a="1"/>
  <c r="F57" i="14" s="1"/>
  <c r="A45" i="14" a="1"/>
  <c r="A45" i="14" s="1"/>
  <c r="A80" i="31" a="1"/>
  <c r="A80" i="31" s="1"/>
  <c r="D80" i="31" s="1"/>
  <c r="A20" i="14" a="1"/>
  <c r="A20" i="14" s="1"/>
  <c r="F22" i="31" a="1"/>
  <c r="F22" i="31" s="1"/>
  <c r="F69" i="31" a="1"/>
  <c r="F69" i="31" s="1"/>
  <c r="A65" i="31" a="1"/>
  <c r="A65" i="31" s="1"/>
  <c r="E65" i="31" s="1"/>
  <c r="F10" i="31" a="1"/>
  <c r="F10" i="31" s="1"/>
  <c r="A13" i="14" a="1"/>
  <c r="A13" i="14" s="1"/>
  <c r="A34" i="14" a="1"/>
  <c r="A34" i="14" s="1"/>
  <c r="E34" i="14" s="1"/>
  <c r="A36" i="14" a="1"/>
  <c r="A36" i="14" s="1"/>
  <c r="F25" i="14" a="1"/>
  <c r="F25" i="14" s="1"/>
  <c r="A48" i="14" a="1"/>
  <c r="A48" i="14" s="1"/>
  <c r="F43" i="14" a="1"/>
  <c r="F43" i="14" s="1"/>
  <c r="F35" i="14" a="1"/>
  <c r="F35" i="14" s="1"/>
  <c r="F48" i="31" a="1"/>
  <c r="F48" i="31" s="1"/>
  <c r="F72" i="31" a="1"/>
  <c r="F72" i="31" s="1"/>
  <c r="A76" i="31" a="1"/>
  <c r="A76" i="31" s="1"/>
  <c r="F76" i="31" a="1"/>
  <c r="F76" i="31" s="1"/>
  <c r="F24" i="31" a="1"/>
  <c r="F24" i="31" s="1"/>
  <c r="F28" i="14" a="1"/>
  <c r="F28" i="14" s="1"/>
  <c r="A55" i="14" a="1"/>
  <c r="A55" i="14" s="1"/>
  <c r="A74" i="14" a="1"/>
  <c r="A74" i="14" s="1"/>
  <c r="A23" i="14" a="1"/>
  <c r="A23" i="14" s="1"/>
  <c r="F54" i="14" a="1"/>
  <c r="F54" i="14" s="1"/>
  <c r="F74" i="14" a="1"/>
  <c r="F74" i="14" s="1"/>
  <c r="AE46" i="51"/>
  <c r="AD46" i="51"/>
  <c r="AH46" i="51" a="1"/>
  <c r="AH46" i="51" s="1"/>
  <c r="A27" i="14" a="1"/>
  <c r="A27" i="14" s="1"/>
  <c r="F67" i="14" a="1"/>
  <c r="F67" i="14" s="1"/>
  <c r="A26" i="31" a="1"/>
  <c r="A26" i="31" s="1"/>
  <c r="F31" i="31" a="1"/>
  <c r="F31" i="31" s="1"/>
  <c r="F15" i="31" a="1"/>
  <c r="F15" i="31" s="1"/>
  <c r="A7" i="31" a="1"/>
  <c r="A7" i="31" s="1"/>
  <c r="F38" i="31" a="1"/>
  <c r="F38" i="31" s="1"/>
  <c r="A69" i="14" a="1"/>
  <c r="A69" i="14" s="1"/>
  <c r="A8" i="14" a="1"/>
  <c r="A8" i="14" s="1"/>
  <c r="A12" i="14" a="1"/>
  <c r="A12" i="14" s="1"/>
  <c r="A49" i="14" a="1"/>
  <c r="A49" i="14" s="1"/>
  <c r="F13" i="14" a="1"/>
  <c r="F13" i="14" s="1"/>
  <c r="A24" i="14" a="1"/>
  <c r="A24" i="14" s="1"/>
  <c r="A53" i="14" a="1"/>
  <c r="A53" i="14" s="1"/>
  <c r="AG51" i="49"/>
  <c r="AD51" i="49"/>
  <c r="AE51" i="49"/>
  <c r="F61" i="31" a="1"/>
  <c r="F61" i="31" s="1"/>
  <c r="A61" i="31" a="1"/>
  <c r="A61" i="31" s="1"/>
  <c r="A43" i="31" a="1"/>
  <c r="A43" i="31" s="1"/>
  <c r="F10" i="14" a="1"/>
  <c r="F10" i="14" s="1"/>
  <c r="A56" i="14" a="1"/>
  <c r="A56" i="14" s="1"/>
  <c r="G56" i="14" s="1"/>
  <c r="F85" i="14" a="1"/>
  <c r="F85" i="14" s="1"/>
  <c r="F47" i="31" a="1"/>
  <c r="F47" i="31" s="1"/>
  <c r="A36" i="31" a="1"/>
  <c r="A36" i="31" s="1"/>
  <c r="G36" i="31" s="1"/>
  <c r="A69" i="31" a="1"/>
  <c r="A69" i="31" s="1"/>
  <c r="D69" i="31" s="1"/>
  <c r="F79" i="31" a="1"/>
  <c r="F79" i="31" s="1"/>
  <c r="A13" i="31" a="1"/>
  <c r="A13" i="31" s="1"/>
  <c r="A80" i="14" a="1"/>
  <c r="A80" i="14" s="1"/>
  <c r="A15" i="14" a="1"/>
  <c r="A15" i="14" s="1"/>
  <c r="A62" i="14" a="1"/>
  <c r="A62" i="14" s="1"/>
  <c r="A33" i="14" a="1"/>
  <c r="A33" i="14" s="1"/>
  <c r="A51" i="14" a="1"/>
  <c r="A51" i="14" s="1"/>
  <c r="F59" i="14" a="1"/>
  <c r="F59" i="14" s="1"/>
  <c r="F78" i="14" a="1"/>
  <c r="F78" i="14" s="1"/>
  <c r="AE11" i="101"/>
  <c r="AH11" i="101" a="1"/>
  <c r="AH11" i="101" s="1"/>
  <c r="AG11" i="101"/>
  <c r="AD32" i="101"/>
  <c r="AG32" i="101"/>
  <c r="AH32" i="101" a="1"/>
  <c r="AH32" i="101" s="1"/>
  <c r="AF32" i="101"/>
  <c r="A33" i="31" a="1"/>
  <c r="A33" i="31" s="1"/>
  <c r="F29" i="31" a="1"/>
  <c r="F29" i="31" s="1"/>
  <c r="A41" i="31" a="1"/>
  <c r="A41" i="31" s="1"/>
  <c r="D41" i="31" s="1"/>
  <c r="A57" i="31" a="1"/>
  <c r="A57" i="31" s="1"/>
  <c r="E57" i="31" s="1"/>
  <c r="A31" i="14" a="1"/>
  <c r="A31" i="14" s="1"/>
  <c r="F19" i="14" a="1"/>
  <c r="F19" i="14" s="1"/>
  <c r="F17" i="14" a="1"/>
  <c r="F17" i="14" s="1"/>
  <c r="F56" i="14" a="1"/>
  <c r="F56" i="14" s="1"/>
  <c r="A7" i="14" a="1"/>
  <c r="A7" i="14" s="1"/>
  <c r="A66" i="14" a="1"/>
  <c r="A66" i="14" s="1"/>
  <c r="K6" i="14"/>
  <c r="A6" i="14" s="1" a="1"/>
  <c r="A6" i="14" s="1"/>
  <c r="C6" i="14" s="1"/>
  <c r="E91" i="25"/>
  <c r="B91" i="25"/>
  <c r="F45" i="31" a="1"/>
  <c r="F45" i="31" s="1"/>
  <c r="F25" i="31" a="1"/>
  <c r="F25" i="31" s="1"/>
  <c r="A72" i="31" a="1"/>
  <c r="A72" i="31" s="1"/>
  <c r="F32" i="31" a="1"/>
  <c r="F32" i="31" s="1"/>
  <c r="F77" i="31" a="1"/>
  <c r="F77" i="31" s="1"/>
  <c r="F23" i="31" a="1"/>
  <c r="F23" i="31" s="1"/>
  <c r="A31" i="31" a="1"/>
  <c r="A31" i="31" s="1"/>
  <c r="F57" i="31" a="1"/>
  <c r="F57" i="31" s="1"/>
  <c r="K6" i="31"/>
  <c r="A6" i="31" s="1" a="1"/>
  <c r="A6" i="31" s="1"/>
  <c r="E6" i="31" s="1"/>
  <c r="A73" i="31" a="1"/>
  <c r="A73" i="31" s="1"/>
  <c r="C73" i="31" s="1"/>
  <c r="A20" i="31" a="1"/>
  <c r="A20" i="31" s="1"/>
  <c r="C20" i="31" s="1"/>
  <c r="F55" i="31" a="1"/>
  <c r="F55" i="31" s="1"/>
  <c r="F50" i="31" a="1"/>
  <c r="F50" i="31" s="1"/>
  <c r="A48" i="31" a="1"/>
  <c r="A48" i="31" s="1"/>
  <c r="D48" i="31" s="1"/>
  <c r="AD29" i="49"/>
  <c r="AG29" i="49"/>
  <c r="AH29" i="49" a="1"/>
  <c r="AH29" i="49" s="1"/>
  <c r="AE29" i="49"/>
  <c r="AF41" i="100"/>
  <c r="AH41" i="100" a="1"/>
  <c r="AH41" i="100" s="1"/>
  <c r="AE34" i="101"/>
  <c r="AH34" i="101" a="1"/>
  <c r="AH34" i="101" s="1"/>
  <c r="AG34" i="101"/>
  <c r="AD34" i="101"/>
  <c r="AH53" i="100" a="1"/>
  <c r="AH53" i="100" s="1"/>
  <c r="AG53" i="100"/>
  <c r="AE53" i="100"/>
  <c r="AD53" i="100"/>
  <c r="R13" i="14" a="1"/>
  <c r="R13" i="14" s="1"/>
  <c r="K6" i="96" a="1"/>
  <c r="A18" i="96" s="1" a="1"/>
  <c r="A18" i="96" s="1"/>
  <c r="R13" i="44" a="1"/>
  <c r="R13" i="44" s="1"/>
  <c r="R13" i="91" a="1"/>
  <c r="R13" i="91" s="1"/>
  <c r="R13" i="31" a="1"/>
  <c r="R13" i="31" s="1"/>
  <c r="F78" i="31" a="1"/>
  <c r="F78" i="31" s="1"/>
  <c r="A39" i="31" a="1"/>
  <c r="A39" i="31" s="1"/>
  <c r="A51" i="31" a="1"/>
  <c r="A51" i="31" s="1"/>
  <c r="A55" i="31" a="1"/>
  <c r="A55" i="31" s="1"/>
  <c r="F42" i="31" a="1"/>
  <c r="F42" i="31" s="1"/>
  <c r="A40" i="31" a="1"/>
  <c r="A40" i="31" s="1"/>
  <c r="F51" i="14" a="1"/>
  <c r="F51" i="14" s="1"/>
  <c r="F20" i="14" a="1"/>
  <c r="F20" i="14" s="1"/>
  <c r="A37" i="14" a="1"/>
  <c r="A37" i="14" s="1"/>
  <c r="F60" i="14" a="1"/>
  <c r="F60" i="14" s="1"/>
  <c r="B93" i="25"/>
  <c r="G20" i="31"/>
  <c r="E85" i="14"/>
  <c r="C85" i="14"/>
  <c r="G85" i="14"/>
  <c r="B85" i="14"/>
  <c r="D77" i="31"/>
  <c r="E77" i="31"/>
  <c r="B77" i="31"/>
  <c r="E26" i="14"/>
  <c r="D26" i="14"/>
  <c r="C26" i="14"/>
  <c r="D22" i="14"/>
  <c r="D79" i="31"/>
  <c r="B79" i="31"/>
  <c r="B7" i="31"/>
  <c r="G7" i="31"/>
  <c r="C7" i="31"/>
  <c r="C60" i="14"/>
  <c r="E60" i="14"/>
  <c r="B60" i="14"/>
  <c r="G18" i="14"/>
  <c r="B18" i="14"/>
  <c r="B75" i="14"/>
  <c r="G75" i="14"/>
  <c r="C65" i="31"/>
  <c r="C18" i="14"/>
  <c r="E76" i="31"/>
  <c r="B76" i="31"/>
  <c r="C48" i="31"/>
  <c r="D18" i="14"/>
  <c r="E80" i="31"/>
  <c r="B80" i="31"/>
  <c r="D47" i="31"/>
  <c r="G34" i="14"/>
  <c r="G13" i="31"/>
  <c r="B25" i="14"/>
  <c r="C24" i="14"/>
  <c r="C74" i="14"/>
  <c r="B69" i="31"/>
  <c r="C12" i="31"/>
  <c r="C31" i="31"/>
  <c r="D13" i="31"/>
  <c r="G35" i="14"/>
  <c r="B74" i="14"/>
  <c r="C85" i="31"/>
  <c r="D57" i="31"/>
  <c r="E56" i="14"/>
  <c r="D64" i="14"/>
  <c r="B64" i="14"/>
  <c r="C26" i="31"/>
  <c r="E26" i="31"/>
  <c r="G26" i="31"/>
  <c r="C72" i="31"/>
  <c r="G31" i="31"/>
  <c r="C34" i="14"/>
  <c r="E10" i="31"/>
  <c r="G29" i="14"/>
  <c r="E35" i="14"/>
  <c r="E29" i="14"/>
  <c r="A17" i="31" a="1"/>
  <c r="A17" i="31" s="1"/>
  <c r="F85" i="31" a="1"/>
  <c r="F85" i="31" s="1"/>
  <c r="A16" i="31" a="1"/>
  <c r="A16" i="31" s="1"/>
  <c r="F6" i="31" a="1"/>
  <c r="F6" i="31" s="1"/>
  <c r="B6" i="31" s="1"/>
  <c r="F53" i="31" a="1"/>
  <c r="F53" i="31" s="1"/>
  <c r="A60" i="31" a="1"/>
  <c r="A60" i="31" s="1"/>
  <c r="F44" i="31" a="1"/>
  <c r="F44" i="31" s="1"/>
  <c r="A70" i="31" a="1"/>
  <c r="A70" i="31" s="1"/>
  <c r="F52" i="31" a="1"/>
  <c r="F52" i="31" s="1"/>
  <c r="F72" i="14" a="1"/>
  <c r="F72" i="14" s="1"/>
  <c r="A61" i="14" a="1"/>
  <c r="A61" i="14" s="1"/>
  <c r="F38" i="14" a="1"/>
  <c r="F38" i="14" s="1"/>
  <c r="F82" i="14" a="1"/>
  <c r="F82" i="14" s="1"/>
  <c r="F45" i="14" a="1"/>
  <c r="F45" i="14" s="1"/>
  <c r="F26" i="14" a="1"/>
  <c r="F26" i="14" s="1"/>
  <c r="A46" i="14" a="1"/>
  <c r="A46" i="14" s="1"/>
  <c r="A14" i="14" a="1"/>
  <c r="A14" i="14" s="1"/>
  <c r="F39" i="14" a="1"/>
  <c r="F39" i="14" s="1"/>
  <c r="A21" i="14" a="1"/>
  <c r="A21" i="14" s="1"/>
  <c r="F23" i="14" a="1"/>
  <c r="F23" i="14" s="1"/>
  <c r="A81" i="14" a="1"/>
  <c r="A81" i="14" s="1"/>
  <c r="A28" i="31" a="1"/>
  <c r="A28" i="31" s="1"/>
  <c r="F83" i="31" a="1"/>
  <c r="F83" i="31" s="1"/>
  <c r="F35" i="31" a="1"/>
  <c r="F35" i="31" s="1"/>
  <c r="F70" i="31" a="1"/>
  <c r="F70" i="31" s="1"/>
  <c r="A21" i="31" a="1"/>
  <c r="A21" i="31" s="1"/>
  <c r="F68" i="31" a="1"/>
  <c r="F68" i="31" s="1"/>
  <c r="A49" i="31" a="1"/>
  <c r="A49" i="31" s="1"/>
  <c r="F27" i="31" a="1"/>
  <c r="F27" i="31" s="1"/>
  <c r="F29" i="14" a="1"/>
  <c r="F29" i="14" s="1"/>
  <c r="F48" i="14" a="1"/>
  <c r="F48" i="14" s="1"/>
  <c r="A82" i="14" a="1"/>
  <c r="A82" i="14" s="1"/>
  <c r="F9" i="14" a="1"/>
  <c r="F9" i="14" s="1"/>
  <c r="F8" i="14" a="1"/>
  <c r="F8" i="14" s="1"/>
  <c r="B8" i="14" s="1"/>
  <c r="F69" i="14" a="1"/>
  <c r="F69" i="14" s="1"/>
  <c r="F77" i="14" a="1"/>
  <c r="F77" i="14" s="1"/>
  <c r="F18" i="14" a="1"/>
  <c r="F18" i="14" s="1"/>
  <c r="F64" i="14" a="1"/>
  <c r="F64" i="14" s="1"/>
  <c r="F33" i="14" a="1"/>
  <c r="F33" i="14" s="1"/>
  <c r="A70" i="14" a="1"/>
  <c r="A70" i="14" s="1"/>
  <c r="F80" i="14" a="1"/>
  <c r="F80" i="14" s="1"/>
  <c r="F56" i="31" a="1"/>
  <c r="F56" i="31" s="1"/>
  <c r="F49" i="31" a="1"/>
  <c r="F49" i="31" s="1"/>
  <c r="A30" i="31" a="1"/>
  <c r="A30" i="31" s="1"/>
  <c r="A83" i="31" a="1"/>
  <c r="A83" i="31" s="1"/>
  <c r="A45" i="31" a="1"/>
  <c r="A45" i="31" s="1"/>
  <c r="A54" i="31" a="1"/>
  <c r="A54" i="31" s="1"/>
  <c r="F17" i="31" a="1"/>
  <c r="F17" i="31" s="1"/>
  <c r="A8" i="31" a="1"/>
  <c r="A8" i="31" s="1"/>
  <c r="F36" i="31" a="1"/>
  <c r="F36" i="31" s="1"/>
  <c r="A84" i="31" a="1"/>
  <c r="A84" i="31" s="1"/>
  <c r="F33" i="31" a="1"/>
  <c r="F33" i="31" s="1"/>
  <c r="F34" i="31" a="1"/>
  <c r="F34" i="31" s="1"/>
  <c r="F12" i="31" a="1"/>
  <c r="F12" i="31" s="1"/>
  <c r="A38" i="31" a="1"/>
  <c r="A38" i="31" s="1"/>
  <c r="F59" i="31" a="1"/>
  <c r="F59" i="31" s="1"/>
  <c r="F18" i="31" a="1"/>
  <c r="F18" i="31" s="1"/>
  <c r="A78" i="31" a="1"/>
  <c r="A78" i="31" s="1"/>
  <c r="F63" i="31" a="1"/>
  <c r="F63" i="31" s="1"/>
  <c r="F14" i="31" a="1"/>
  <c r="F14" i="31" s="1"/>
  <c r="F74" i="31" a="1"/>
  <c r="F74" i="31" s="1"/>
  <c r="A58" i="31" a="1"/>
  <c r="A58" i="31" s="1"/>
  <c r="F54" i="31" a="1"/>
  <c r="F54" i="31" s="1"/>
  <c r="F16" i="31" a="1"/>
  <c r="F16" i="31" s="1"/>
  <c r="F43" i="31" a="1"/>
  <c r="F43" i="31" s="1"/>
  <c r="F11" i="31" a="1"/>
  <c r="F11" i="31" s="1"/>
  <c r="A19" i="31" a="1"/>
  <c r="A19" i="31" s="1"/>
  <c r="F58" i="31" a="1"/>
  <c r="F58" i="31" s="1"/>
  <c r="A27" i="31" a="1"/>
  <c r="A27" i="31" s="1"/>
  <c r="F30" i="31" a="1"/>
  <c r="F30" i="31" s="1"/>
  <c r="F9" i="31" a="1"/>
  <c r="F9" i="31" s="1"/>
  <c r="A30" i="14" a="1"/>
  <c r="A30" i="14" s="1"/>
  <c r="F75" i="14" a="1"/>
  <c r="F75" i="14" s="1"/>
  <c r="A65" i="14" a="1"/>
  <c r="A65" i="14" s="1"/>
  <c r="F65" i="14" a="1"/>
  <c r="F65" i="14" s="1"/>
  <c r="A41" i="14" a="1"/>
  <c r="A41" i="14" s="1"/>
  <c r="A78" i="14" a="1"/>
  <c r="A78" i="14" s="1"/>
  <c r="F49" i="14" a="1"/>
  <c r="F49" i="14" s="1"/>
  <c r="A68" i="14" a="1"/>
  <c r="A68" i="14" s="1"/>
  <c r="A77" i="14" a="1"/>
  <c r="A77" i="14" s="1"/>
  <c r="F32" i="14" a="1"/>
  <c r="F32" i="14" s="1"/>
  <c r="F83" i="14" a="1"/>
  <c r="F83" i="14" s="1"/>
  <c r="A52" i="14" a="1"/>
  <c r="A52" i="14" s="1"/>
  <c r="F24" i="14" a="1"/>
  <c r="F24" i="14" s="1"/>
  <c r="F44" i="14" a="1"/>
  <c r="F44" i="14" s="1"/>
  <c r="A59" i="14" a="1"/>
  <c r="A59" i="14" s="1"/>
  <c r="A83" i="14" a="1"/>
  <c r="A83" i="14" s="1"/>
  <c r="A10" i="14" a="1"/>
  <c r="A10" i="14" s="1"/>
  <c r="F76" i="14" a="1"/>
  <c r="F76" i="14" s="1"/>
  <c r="F55" i="14" a="1"/>
  <c r="F55" i="14" s="1"/>
  <c r="F34" i="14" a="1"/>
  <c r="F34" i="14" s="1"/>
  <c r="A54" i="14" a="1"/>
  <c r="A54" i="14" s="1"/>
  <c r="A50" i="14" a="1"/>
  <c r="A50" i="14" s="1"/>
  <c r="F15" i="14" a="1"/>
  <c r="F15" i="14" s="1"/>
  <c r="A76" i="14" a="1"/>
  <c r="A76" i="14" s="1"/>
  <c r="F21" i="14" a="1"/>
  <c r="F21" i="14" s="1"/>
  <c r="F30" i="14" a="1"/>
  <c r="F30" i="14" s="1"/>
  <c r="A39" i="14" a="1"/>
  <c r="A39" i="14" s="1"/>
  <c r="A84" i="14" a="1"/>
  <c r="A84" i="14" s="1"/>
  <c r="F63" i="14" a="1"/>
  <c r="F63" i="14" s="1"/>
  <c r="A43" i="14" a="1"/>
  <c r="A43" i="14" s="1"/>
  <c r="A67" i="14" a="1"/>
  <c r="A67" i="14" s="1"/>
  <c r="A73" i="14" a="1"/>
  <c r="A73" i="14" s="1"/>
  <c r="A17" i="14" a="1"/>
  <c r="A17" i="14" s="1"/>
  <c r="F42" i="14" a="1"/>
  <c r="F42" i="14" s="1"/>
  <c r="A40" i="14" a="1"/>
  <c r="A40" i="14" s="1"/>
  <c r="A28" i="14" a="1"/>
  <c r="A28" i="14" s="1"/>
  <c r="A9" i="14" a="1"/>
  <c r="A9" i="14" s="1"/>
  <c r="F46" i="14" a="1"/>
  <c r="F46" i="14" s="1"/>
  <c r="F27" i="14" a="1"/>
  <c r="F27" i="14" s="1"/>
  <c r="H4" i="77" a="1"/>
  <c r="H4" i="77" s="1"/>
  <c r="B11" i="77" s="1"/>
  <c r="K6" i="24" a="1"/>
  <c r="F22" i="24" s="1" a="1"/>
  <c r="F22" i="24" s="1"/>
  <c r="Q6" i="53" a="1"/>
  <c r="K252" i="53" s="1" a="1"/>
  <c r="K252" i="53" s="1"/>
  <c r="K6" i="33" a="1"/>
  <c r="K6" i="91" a="1"/>
  <c r="A48" i="91" s="1" a="1"/>
  <c r="A48" i="91" s="1"/>
  <c r="K6" i="19" a="1"/>
  <c r="K6" i="25" a="1"/>
  <c r="P6" i="100" a="1"/>
  <c r="K6" i="34" a="1"/>
  <c r="A41" i="34" s="1" a="1"/>
  <c r="A41" i="34" s="1"/>
  <c r="R13" i="39" a="1"/>
  <c r="R13" i="39" s="1"/>
  <c r="R13" i="97" a="1"/>
  <c r="R13" i="97" s="1"/>
  <c r="R13" i="99" a="1"/>
  <c r="R13" i="99" s="1"/>
  <c r="R13" i="16" a="1"/>
  <c r="R13" i="16" s="1"/>
  <c r="Q6" i="50" a="1"/>
  <c r="R13" i="37" a="1"/>
  <c r="R13" i="37" s="1"/>
  <c r="R13" i="17" a="1"/>
  <c r="R13" i="17" s="1"/>
  <c r="R6" i="52" a="1"/>
  <c r="R13" i="96" a="1"/>
  <c r="R13" i="96" s="1"/>
  <c r="P6" i="101" a="1"/>
  <c r="R13" i="26" a="1"/>
  <c r="R13" i="26" s="1"/>
  <c r="AF49" i="100"/>
  <c r="AD49" i="100"/>
  <c r="AD29" i="48"/>
  <c r="AE29" i="48"/>
  <c r="AH29" i="48" a="1"/>
  <c r="AH29" i="48" s="1"/>
  <c r="AE39" i="51"/>
  <c r="AF39" i="51"/>
  <c r="AD36" i="49"/>
  <c r="AE36" i="49"/>
  <c r="AF30" i="101"/>
  <c r="AG30" i="101"/>
  <c r="AE39" i="101"/>
  <c r="AH39" i="101" a="1"/>
  <c r="AH39" i="101" s="1"/>
  <c r="AD27" i="48"/>
  <c r="AF27" i="48"/>
  <c r="AF36" i="48"/>
  <c r="AD36" i="48"/>
  <c r="AF45" i="48"/>
  <c r="AG45" i="48"/>
  <c r="AE36" i="51"/>
  <c r="AH36" i="51" a="1"/>
  <c r="AH36" i="51" s="1"/>
  <c r="AE14" i="51"/>
  <c r="AH14" i="51" a="1"/>
  <c r="AH14" i="51" s="1"/>
  <c r="AF14" i="51"/>
  <c r="AG22" i="101"/>
  <c r="AE22" i="101"/>
  <c r="AD22" i="101"/>
  <c r="AD34" i="48"/>
  <c r="AF34" i="48"/>
  <c r="R13" i="30" a="1"/>
  <c r="R13" i="30" s="1"/>
  <c r="R13" i="22" a="1"/>
  <c r="R13" i="22" s="1"/>
  <c r="R13" i="34" a="1"/>
  <c r="R13" i="34" s="1"/>
  <c r="R13" i="35" a="1"/>
  <c r="R13" i="35" s="1"/>
  <c r="R13" i="40" a="1"/>
  <c r="R13" i="40" s="1"/>
  <c r="P6" i="51" a="1"/>
  <c r="R13" i="33" a="1"/>
  <c r="R13" i="33" s="1"/>
  <c r="AH45" i="51" a="1"/>
  <c r="AH45" i="51" s="1"/>
  <c r="AD45" i="51"/>
  <c r="AD12" i="51"/>
  <c r="AF12" i="51"/>
  <c r="AH12" i="51" a="1"/>
  <c r="AH12" i="51" s="1"/>
  <c r="AF5" i="101"/>
  <c r="AD5" i="101"/>
  <c r="AH5" i="101" a="1"/>
  <c r="AH5" i="101" s="1"/>
  <c r="AD42" i="48"/>
  <c r="AE42" i="48"/>
  <c r="AE41" i="49"/>
  <c r="AF41" i="49"/>
  <c r="AD41" i="49"/>
  <c r="AE16" i="101"/>
  <c r="AG16" i="101"/>
  <c r="AF25" i="101"/>
  <c r="AE25" i="101"/>
  <c r="AD32" i="51"/>
  <c r="AF32" i="51"/>
  <c r="AG32" i="51"/>
  <c r="AE32" i="51"/>
  <c r="AH26" i="100" a="1"/>
  <c r="AH26" i="100" s="1"/>
  <c r="AF26" i="100"/>
  <c r="AE26" i="100"/>
  <c r="P6" i="49" a="1"/>
  <c r="AE42" i="51"/>
  <c r="AG42" i="51"/>
  <c r="AD49" i="49"/>
  <c r="AF49" i="49"/>
  <c r="K6" i="22" a="1"/>
  <c r="F73" i="22" s="1" a="1"/>
  <c r="F73" i="22" s="1"/>
  <c r="D92" i="25"/>
  <c r="B101" i="53" a="1"/>
  <c r="B101" i="53" s="1"/>
  <c r="B98" i="53" a="1"/>
  <c r="B98" i="53" s="1"/>
  <c r="C112" i="53" a="1"/>
  <c r="C112" i="53" s="1"/>
  <c r="B109" i="53" a="1"/>
  <c r="B109" i="53" s="1"/>
  <c r="K316" i="53" a="1"/>
  <c r="K316" i="53" s="1"/>
  <c r="K267" i="53" a="1"/>
  <c r="K267" i="53" s="1"/>
  <c r="A119" i="100" a="1"/>
  <c r="A119" i="100" s="1"/>
  <c r="A285" i="100" a="1"/>
  <c r="A285" i="100" s="1"/>
  <c r="J194" i="100" a="1"/>
  <c r="J194" i="100" s="1"/>
  <c r="AG50" i="48"/>
  <c r="AD50" i="48"/>
  <c r="AD10" i="51"/>
  <c r="AG10" i="51"/>
  <c r="AF25" i="49"/>
  <c r="AG25" i="49"/>
  <c r="K6" i="40" a="1"/>
  <c r="AD37" i="51"/>
  <c r="AE37" i="51"/>
  <c r="AF29" i="100"/>
  <c r="AD29" i="100"/>
  <c r="AH48" i="101" a="1"/>
  <c r="AH48" i="101" s="1"/>
  <c r="AE48" i="101"/>
  <c r="AE41" i="48"/>
  <c r="AF41" i="48"/>
  <c r="AG27" i="51"/>
  <c r="AE27" i="51"/>
  <c r="AF27" i="51"/>
  <c r="AF40" i="100"/>
  <c r="AG40" i="100"/>
  <c r="AD7" i="51"/>
  <c r="AH7" i="51" a="1"/>
  <c r="AH7" i="51" s="1"/>
  <c r="AG7" i="51"/>
  <c r="AE50" i="101"/>
  <c r="AG50" i="101"/>
  <c r="AE47" i="48"/>
  <c r="AF47" i="48"/>
  <c r="AE25" i="51"/>
  <c r="AF25" i="51"/>
  <c r="AD25" i="51"/>
  <c r="AH25" i="51" a="1"/>
  <c r="AH25" i="51" s="1"/>
  <c r="AF23" i="100"/>
  <c r="AE23" i="100"/>
  <c r="AD23" i="100"/>
  <c r="AH23" i="100" a="1"/>
  <c r="AH23" i="100" s="1"/>
  <c r="K6" i="13" a="1"/>
  <c r="AE39" i="48"/>
  <c r="AH39" i="48" a="1"/>
  <c r="AH39" i="48" s="1"/>
  <c r="AH50" i="51" a="1"/>
  <c r="AH50" i="51" s="1"/>
  <c r="AE50" i="51"/>
  <c r="AD34" i="51"/>
  <c r="AG34" i="51"/>
  <c r="AD24" i="51"/>
  <c r="AH24" i="51" a="1"/>
  <c r="AH24" i="51" s="1"/>
  <c r="AE24" i="51"/>
  <c r="AE46" i="49"/>
  <c r="AD46" i="49"/>
  <c r="AG24" i="100"/>
  <c r="AD24" i="100"/>
  <c r="AH24" i="100" a="1"/>
  <c r="AH24" i="100" s="1"/>
  <c r="AF41" i="101"/>
  <c r="AH41" i="101" a="1"/>
  <c r="AH41" i="101" s="1"/>
  <c r="AE41" i="101"/>
  <c r="AD41" i="101"/>
  <c r="K6" i="37" a="1"/>
  <c r="AD41" i="51"/>
  <c r="AE41" i="51"/>
  <c r="AE37" i="49"/>
  <c r="AH37" i="49" a="1"/>
  <c r="AH37" i="49" s="1"/>
  <c r="AG37" i="49"/>
  <c r="E92" i="25"/>
  <c r="G92" i="25"/>
  <c r="C92" i="25"/>
  <c r="R13" i="36" a="1"/>
  <c r="R13" i="36" s="1"/>
  <c r="AG37" i="48"/>
  <c r="AE37" i="48"/>
  <c r="AH53" i="49" a="1"/>
  <c r="AH53" i="49" s="1"/>
  <c r="AG53" i="49"/>
  <c r="AD53" i="49"/>
  <c r="K6" i="45" a="1"/>
  <c r="K6" i="39" a="1"/>
  <c r="F37" i="39" s="1" a="1"/>
  <c r="F37" i="39" s="1"/>
  <c r="R13" i="13" a="1"/>
  <c r="R13" i="13" s="1"/>
  <c r="R13" i="98" a="1"/>
  <c r="R13" i="98" s="1"/>
  <c r="P6" i="48" a="1"/>
  <c r="R13" i="25" a="1"/>
  <c r="R13" i="25" s="1"/>
  <c r="R13" i="24" a="1"/>
  <c r="R13" i="24" s="1"/>
  <c r="K6" i="35" a="1"/>
  <c r="F45" i="35" s="1" a="1"/>
  <c r="F45" i="35" s="1"/>
  <c r="K6" i="17" a="1"/>
  <c r="K6" i="36" a="1"/>
  <c r="F65" i="36" s="1" a="1"/>
  <c r="F65" i="36" s="1"/>
  <c r="K6" i="20" a="1"/>
  <c r="K6" i="97" a="1"/>
  <c r="K6" i="16" a="1"/>
  <c r="K6" i="44" a="1"/>
  <c r="F36" i="44" s="1" a="1"/>
  <c r="F36" i="44" s="1"/>
  <c r="K6" i="26" a="1"/>
  <c r="K6" i="21" a="1"/>
  <c r="A33" i="21" s="1" a="1"/>
  <c r="A33" i="21" s="1"/>
  <c r="K6" i="98" a="1"/>
  <c r="R13" i="21" a="1"/>
  <c r="R13" i="21" s="1"/>
  <c r="K6" i="30" a="1"/>
  <c r="F73" i="30" s="1" a="1"/>
  <c r="F73" i="30" s="1"/>
  <c r="R13" i="19" a="1"/>
  <c r="R13" i="19" s="1"/>
  <c r="K6" i="99" a="1"/>
  <c r="F52" i="99" s="1" a="1"/>
  <c r="F52" i="99" s="1"/>
  <c r="R13" i="45" a="1"/>
  <c r="R13" i="45" s="1"/>
  <c r="AF21" i="51"/>
  <c r="AG21" i="51"/>
  <c r="AH21" i="51" a="1"/>
  <c r="AH21" i="51" s="1"/>
  <c r="AE21" i="51"/>
  <c r="AE44" i="49"/>
  <c r="AH44" i="49" a="1"/>
  <c r="AH44" i="49" s="1"/>
  <c r="AF28" i="49"/>
  <c r="AE28" i="49"/>
  <c r="AH28" i="49" a="1"/>
  <c r="AH28" i="49" s="1"/>
  <c r="AG10" i="49"/>
  <c r="AE10" i="49"/>
  <c r="AE54" i="101"/>
  <c r="AF54" i="101"/>
  <c r="C93" i="25"/>
  <c r="G93" i="25"/>
  <c r="AH13" i="101" a="1"/>
  <c r="AH13" i="101" s="1"/>
  <c r="AF13" i="101"/>
  <c r="AG20" i="101"/>
  <c r="AD20" i="101"/>
  <c r="AH20" i="101" a="1"/>
  <c r="AH20" i="101" s="1"/>
  <c r="AG35" i="48"/>
  <c r="AD35" i="48"/>
  <c r="AH35" i="48" a="1"/>
  <c r="AH35" i="48" s="1"/>
  <c r="AG30" i="51"/>
  <c r="AE30" i="51"/>
  <c r="AF11" i="51"/>
  <c r="AE11" i="51"/>
  <c r="R13" i="20" a="1"/>
  <c r="R13" i="20" s="1"/>
  <c r="C285" i="100"/>
  <c r="I285" i="100"/>
  <c r="A67" i="31" a="1"/>
  <c r="A67" i="31" s="1"/>
  <c r="F21" i="31" a="1"/>
  <c r="F21" i="31" s="1"/>
  <c r="F84" i="31" a="1"/>
  <c r="F84" i="31" s="1"/>
  <c r="F40" i="31" a="1"/>
  <c r="F40" i="31" s="1"/>
  <c r="A44" i="31" a="1"/>
  <c r="A44" i="31" s="1"/>
  <c r="F8" i="31" a="1"/>
  <c r="F8" i="31" s="1"/>
  <c r="A64" i="31" a="1"/>
  <c r="A64" i="31" s="1"/>
  <c r="F13" i="31" a="1"/>
  <c r="F13" i="31" s="1"/>
  <c r="A18" i="31" a="1"/>
  <c r="A18" i="31" s="1"/>
  <c r="A68" i="31" a="1"/>
  <c r="A68" i="31" s="1"/>
  <c r="A53" i="31" a="1"/>
  <c r="A53" i="31" s="1"/>
  <c r="F71" i="31" a="1"/>
  <c r="F71" i="31" s="1"/>
  <c r="F67" i="31" a="1"/>
  <c r="F67" i="31" s="1"/>
  <c r="F41" i="31" a="1"/>
  <c r="F41" i="31" s="1"/>
  <c r="A22" i="31" a="1"/>
  <c r="A22" i="31" s="1"/>
  <c r="A23" i="31" a="1"/>
  <c r="A23" i="31" s="1"/>
  <c r="F62" i="31" a="1"/>
  <c r="F62" i="31" s="1"/>
  <c r="A66" i="31" a="1"/>
  <c r="A66" i="31" s="1"/>
  <c r="A50" i="31" a="1"/>
  <c r="A50" i="31" s="1"/>
  <c r="F75" i="31" a="1"/>
  <c r="F75" i="31" s="1"/>
  <c r="A52" i="31" a="1"/>
  <c r="A52" i="31" s="1"/>
  <c r="A56" i="31" a="1"/>
  <c r="A56" i="31" s="1"/>
  <c r="F51" i="31" a="1"/>
  <c r="F51" i="31" s="1"/>
  <c r="F19" i="31" a="1"/>
  <c r="F19" i="31" s="1"/>
  <c r="A14" i="31" a="1"/>
  <c r="A14" i="31" s="1"/>
  <c r="F64" i="31" a="1"/>
  <c r="F64" i="31" s="1"/>
  <c r="A59" i="31" a="1"/>
  <c r="A59" i="31" s="1"/>
  <c r="F65" i="31" a="1"/>
  <c r="F65" i="31" s="1"/>
  <c r="A9" i="31" a="1"/>
  <c r="A9" i="31" s="1"/>
  <c r="A24" i="31" a="1"/>
  <c r="A24" i="31" s="1"/>
  <c r="F81" i="31" a="1"/>
  <c r="F81" i="31" s="1"/>
  <c r="F60" i="31" a="1"/>
  <c r="F60" i="31" s="1"/>
  <c r="F39" i="31" a="1"/>
  <c r="F39" i="31" s="1"/>
  <c r="F73" i="31" a="1"/>
  <c r="F73" i="31" s="1"/>
  <c r="A81" i="31" a="1"/>
  <c r="A81" i="31" s="1"/>
  <c r="A25" i="31" a="1"/>
  <c r="A25" i="31" s="1"/>
  <c r="A34" i="31" a="1"/>
  <c r="A34" i="31" s="1"/>
  <c r="A71" i="31" a="1"/>
  <c r="A71" i="31" s="1"/>
  <c r="A11" i="31" a="1"/>
  <c r="A11" i="31" s="1"/>
  <c r="F37" i="31" a="1"/>
  <c r="F37" i="31" s="1"/>
  <c r="A15" i="31" a="1"/>
  <c r="A15" i="31" s="1"/>
  <c r="K191" i="53" a="1"/>
  <c r="K191" i="53" s="1"/>
  <c r="C78" i="53" a="1"/>
  <c r="C78" i="53" s="1"/>
  <c r="C127" i="53" a="1"/>
  <c r="C127" i="53" s="1"/>
  <c r="B144" i="53" a="1"/>
  <c r="B144" i="53" s="1"/>
  <c r="K197" i="53" a="1"/>
  <c r="K197" i="53" s="1"/>
  <c r="B203" i="53" a="1"/>
  <c r="B203" i="53" s="1"/>
  <c r="A32" i="53" a="1"/>
  <c r="A32" i="53" s="1"/>
  <c r="A259" i="53" a="1"/>
  <c r="A259" i="53" s="1"/>
  <c r="C171" i="53" a="1"/>
  <c r="C171" i="53" s="1"/>
  <c r="K257" i="53" a="1"/>
  <c r="K257" i="53" s="1"/>
  <c r="A260" i="53" a="1"/>
  <c r="A260" i="53" s="1"/>
  <c r="A12" i="53" a="1"/>
  <c r="A12" i="53" s="1"/>
  <c r="C197" i="53" a="1"/>
  <c r="C197" i="53" s="1"/>
  <c r="K41" i="53" a="1"/>
  <c r="K41" i="53" s="1"/>
  <c r="K92" i="53" a="1"/>
  <c r="K92" i="53" s="1"/>
  <c r="B58" i="53" a="1"/>
  <c r="B58" i="53" s="1"/>
  <c r="K127" i="53" a="1"/>
  <c r="K127" i="53" s="1"/>
  <c r="B199" i="53" a="1"/>
  <c r="B199" i="53" s="1"/>
  <c r="K78" i="53" a="1"/>
  <c r="K78" i="53" s="1"/>
  <c r="A282" i="53" a="1"/>
  <c r="A282" i="53" s="1"/>
  <c r="K313" i="53" a="1"/>
  <c r="K313" i="53" s="1"/>
  <c r="B7" i="53" a="1"/>
  <c r="B7" i="53" s="1"/>
  <c r="C248" i="53" a="1"/>
  <c r="C248" i="53" s="1"/>
  <c r="A190" i="53" a="1"/>
  <c r="A190" i="53" s="1"/>
  <c r="B82" i="53" a="1"/>
  <c r="B82" i="53" s="1"/>
  <c r="K284" i="53" a="1"/>
  <c r="K284" i="53" s="1"/>
  <c r="A98" i="53" a="1"/>
  <c r="A98" i="53" s="1"/>
  <c r="B40" i="53" a="1"/>
  <c r="B40" i="53" s="1"/>
  <c r="A338" i="53" a="1"/>
  <c r="A338" i="53" s="1"/>
  <c r="A95" i="53" a="1"/>
  <c r="A95" i="53" s="1"/>
  <c r="K335" i="53" a="1"/>
  <c r="K335" i="53" s="1"/>
  <c r="B111" i="53" a="1"/>
  <c r="B111" i="53" s="1"/>
  <c r="A145" i="53" a="1"/>
  <c r="A145" i="53" s="1"/>
  <c r="A276" i="53" a="1"/>
  <c r="A276" i="53" s="1"/>
  <c r="A300" i="53" a="1"/>
  <c r="A300" i="53" s="1"/>
  <c r="B180" i="53" a="1"/>
  <c r="B180" i="53" s="1"/>
  <c r="K307" i="53" a="1"/>
  <c r="K307" i="53" s="1"/>
  <c r="K128" i="53" a="1"/>
  <c r="K128" i="53" s="1"/>
  <c r="A113" i="53" a="1"/>
  <c r="A113" i="53" s="1"/>
  <c r="A196" i="53" a="1"/>
  <c r="A196" i="53" s="1"/>
  <c r="C235" i="53" a="1"/>
  <c r="C235" i="53" s="1"/>
  <c r="A322" i="53" a="1"/>
  <c r="A322" i="53" s="1"/>
  <c r="B291" i="53" a="1"/>
  <c r="B291" i="53" s="1"/>
  <c r="A341" i="53" a="1"/>
  <c r="A341" i="53" s="1"/>
  <c r="C263" i="53" a="1"/>
  <c r="C263" i="53" s="1"/>
  <c r="A344" i="53" a="1"/>
  <c r="A344" i="53" s="1"/>
  <c r="K204" i="53" a="1"/>
  <c r="K204" i="53" s="1"/>
  <c r="A55" i="53" a="1"/>
  <c r="A55" i="53" s="1"/>
  <c r="B19" i="53" a="1"/>
  <c r="B19" i="53" s="1"/>
  <c r="A237" i="53" a="1"/>
  <c r="A237" i="53" s="1"/>
  <c r="K266" i="53" a="1"/>
  <c r="K266" i="53" s="1"/>
  <c r="K248" i="53" a="1"/>
  <c r="K248" i="53" s="1"/>
  <c r="A66" i="53" a="1"/>
  <c r="A66" i="53" s="1"/>
  <c r="K288" i="53" a="1"/>
  <c r="K288" i="53" s="1"/>
  <c r="A334" i="53" a="1"/>
  <c r="A334" i="53" s="1"/>
  <c r="K55" i="53" a="1"/>
  <c r="K55" i="53" s="1"/>
  <c r="B263" i="53" a="1"/>
  <c r="B263" i="53" s="1"/>
  <c r="C83" i="53" a="1"/>
  <c r="C83" i="53" s="1"/>
  <c r="B105" i="53" a="1"/>
  <c r="B105" i="53" s="1"/>
  <c r="K211" i="53" a="1"/>
  <c r="K211" i="53" s="1"/>
  <c r="K194" i="53" a="1"/>
  <c r="K194" i="53" s="1"/>
  <c r="C177" i="53" a="1"/>
  <c r="C177" i="53" s="1"/>
  <c r="A186" i="53" a="1"/>
  <c r="A186" i="53" s="1"/>
  <c r="B221" i="53" a="1"/>
  <c r="B221" i="53" s="1"/>
  <c r="K162" i="53" a="1"/>
  <c r="K162" i="53" s="1"/>
  <c r="C35" i="53" a="1"/>
  <c r="C35" i="53" s="1"/>
  <c r="K14" i="53" a="1"/>
  <c r="K14" i="53" s="1"/>
  <c r="C137" i="53" a="1"/>
  <c r="C137" i="53" s="1"/>
  <c r="B192" i="53" a="1"/>
  <c r="B192" i="53" s="1"/>
  <c r="B14" i="53" a="1"/>
  <c r="B14" i="53" s="1"/>
  <c r="B64" i="53" a="1"/>
  <c r="B64" i="53" s="1"/>
  <c r="C214" i="53" a="1"/>
  <c r="C214" i="53" s="1"/>
  <c r="K178" i="53" a="1"/>
  <c r="K178" i="53" s="1"/>
  <c r="B212" i="53" a="1"/>
  <c r="B212" i="53" s="1"/>
  <c r="A111" i="53" a="1"/>
  <c r="A111" i="53" s="1"/>
  <c r="B286" i="53" a="1"/>
  <c r="B286" i="53" s="1"/>
  <c r="K94" i="53" a="1"/>
  <c r="K94" i="53" s="1"/>
  <c r="K259" i="53" a="1"/>
  <c r="K259" i="53" s="1"/>
  <c r="A87" i="53" a="1"/>
  <c r="A87" i="53" s="1"/>
  <c r="K272" i="53" a="1"/>
  <c r="K272" i="53" s="1"/>
  <c r="B168" i="53" a="1"/>
  <c r="B168" i="53" s="1"/>
  <c r="C119" i="53" a="1"/>
  <c r="C119" i="53" s="1"/>
  <c r="K43" i="53" a="1"/>
  <c r="K43" i="53" s="1"/>
  <c r="A256" i="53" a="1"/>
  <c r="A256" i="53" s="1"/>
  <c r="B48" i="53" a="1"/>
  <c r="B48" i="53" s="1"/>
  <c r="C279" i="53" a="1"/>
  <c r="C279" i="53" s="1"/>
  <c r="A68" i="53" a="1"/>
  <c r="A68" i="53" s="1"/>
  <c r="K9" i="53" a="1"/>
  <c r="K9" i="53" s="1"/>
  <c r="B197" i="53" a="1"/>
  <c r="B197" i="53" s="1"/>
  <c r="K303" i="53" a="1"/>
  <c r="K303" i="53" s="1"/>
  <c r="C134" i="53" a="1"/>
  <c r="C134" i="53" s="1"/>
  <c r="B191" i="53" a="1"/>
  <c r="B191" i="53" s="1"/>
  <c r="B50" i="53" a="1"/>
  <c r="B50" i="53" s="1"/>
  <c r="B29" i="53" a="1"/>
  <c r="B29" i="53" s="1"/>
  <c r="C71" i="53" a="1"/>
  <c r="C71" i="53" s="1"/>
  <c r="B308" i="53" a="1"/>
  <c r="B308" i="53" s="1"/>
  <c r="B85" i="53" a="1"/>
  <c r="B85" i="53" s="1"/>
  <c r="B254" i="53" a="1"/>
  <c r="B254" i="53" s="1"/>
  <c r="B251" i="53" a="1"/>
  <c r="B251" i="53" s="1"/>
  <c r="K28" i="53" a="1"/>
  <c r="K28" i="53" s="1"/>
  <c r="C355" i="53" a="1"/>
  <c r="C355" i="53" s="1"/>
  <c r="C283" i="53" a="1"/>
  <c r="C283" i="53" s="1"/>
  <c r="C91" i="53" a="1"/>
  <c r="C91" i="53" s="1"/>
  <c r="C116" i="53" a="1"/>
  <c r="C116" i="53" s="1"/>
  <c r="A274" i="53" a="1"/>
  <c r="A274" i="53" s="1"/>
  <c r="K318" i="53" a="1"/>
  <c r="K318" i="53" s="1"/>
  <c r="K157" i="53" a="1"/>
  <c r="K157" i="53" s="1"/>
  <c r="A10" i="53" a="1"/>
  <c r="A10" i="53" s="1"/>
  <c r="C56" i="53" a="1"/>
  <c r="C56" i="53" s="1"/>
  <c r="K214" i="53" a="1"/>
  <c r="K214" i="53" s="1"/>
  <c r="C309" i="53" a="1"/>
  <c r="C309" i="53" s="1"/>
  <c r="C115" i="53" a="1"/>
  <c r="C115" i="53" s="1"/>
  <c r="C97" i="53" a="1"/>
  <c r="C97" i="53" s="1"/>
  <c r="C57" i="53" a="1"/>
  <c r="C57" i="53" s="1"/>
  <c r="C342" i="53" a="1"/>
  <c r="C342" i="53" s="1"/>
  <c r="B30" i="53" a="1"/>
  <c r="B30" i="53" s="1"/>
  <c r="B210" i="53" a="1"/>
  <c r="B210" i="53" s="1"/>
  <c r="K167" i="53" a="1"/>
  <c r="K167" i="53" s="1"/>
  <c r="K10" i="53" a="1"/>
  <c r="K10" i="53" s="1"/>
  <c r="K149" i="53" a="1"/>
  <c r="K149" i="53" s="1"/>
  <c r="C38" i="53" a="1"/>
  <c r="C38" i="53" s="1"/>
  <c r="K87" i="53" a="1"/>
  <c r="K87" i="53" s="1"/>
  <c r="K285" i="53" a="1"/>
  <c r="K285" i="53" s="1"/>
  <c r="A34" i="53" a="1"/>
  <c r="A34" i="53" s="1"/>
  <c r="B335" i="53" a="1"/>
  <c r="B335" i="53" s="1"/>
  <c r="A149" i="53" a="1"/>
  <c r="A149" i="53" s="1"/>
  <c r="K27" i="53" a="1"/>
  <c r="K27" i="53" s="1"/>
  <c r="B174" i="53" a="1"/>
  <c r="B174" i="53" s="1"/>
  <c r="A100" i="53" a="1"/>
  <c r="A100" i="53" s="1"/>
  <c r="A14" i="53" a="1"/>
  <c r="A14" i="53" s="1"/>
  <c r="A133" i="53" a="1"/>
  <c r="A133" i="53" s="1"/>
  <c r="K188" i="53" a="1"/>
  <c r="K188" i="53" s="1"/>
  <c r="C316" i="53" a="1"/>
  <c r="C316" i="53" s="1"/>
  <c r="A185" i="53" a="1"/>
  <c r="A185" i="53" s="1"/>
  <c r="B116" i="53" a="1"/>
  <c r="B116" i="53" s="1"/>
  <c r="B33" i="53" a="1"/>
  <c r="B33" i="53" s="1"/>
  <c r="K6" i="53" a="1"/>
  <c r="K6" i="53" s="1"/>
  <c r="A198" i="53" a="1"/>
  <c r="A198" i="53" s="1"/>
  <c r="A229" i="53" a="1"/>
  <c r="A229" i="53" s="1"/>
  <c r="C218" i="53" a="1"/>
  <c r="C218" i="53" s="1"/>
  <c r="A104" i="53" a="1"/>
  <c r="A104" i="53" s="1"/>
  <c r="B131" i="53" a="1"/>
  <c r="B131" i="53" s="1"/>
  <c r="K146" i="53" a="1"/>
  <c r="K146" i="53" s="1"/>
  <c r="A176" i="53" a="1"/>
  <c r="A176" i="53" s="1"/>
  <c r="K74" i="53" a="1"/>
  <c r="K74" i="53" s="1"/>
  <c r="C113" i="53" a="1"/>
  <c r="C113" i="53" s="1"/>
  <c r="A27" i="53" a="1"/>
  <c r="A27" i="53" s="1"/>
  <c r="A195" i="53" a="1"/>
  <c r="A195" i="53" s="1"/>
  <c r="A92" i="53" a="1"/>
  <c r="A92" i="53" s="1"/>
  <c r="B225" i="53" a="1"/>
  <c r="B225" i="53" s="1"/>
  <c r="K306" i="53" a="1"/>
  <c r="K306" i="53" s="1"/>
  <c r="C213" i="53" a="1"/>
  <c r="C213" i="53" s="1"/>
  <c r="B77" i="53" a="1"/>
  <c r="B77" i="53" s="1"/>
  <c r="B159" i="53" a="1"/>
  <c r="B159" i="53" s="1"/>
  <c r="C239" i="53" a="1"/>
  <c r="C239" i="53" s="1"/>
  <c r="K205" i="53" a="1"/>
  <c r="K205" i="53" s="1"/>
  <c r="A120" i="53" a="1"/>
  <c r="A120" i="53" s="1"/>
  <c r="C300" i="53" a="1"/>
  <c r="C300" i="53" s="1"/>
  <c r="B318" i="53" a="1"/>
  <c r="B318" i="53" s="1"/>
  <c r="B312" i="53" a="1"/>
  <c r="B312" i="53" s="1"/>
  <c r="C317" i="53" a="1"/>
  <c r="C317" i="53" s="1"/>
  <c r="B181" i="53" a="1"/>
  <c r="B181" i="53" s="1"/>
  <c r="B256" i="53" a="1"/>
  <c r="B256" i="53" s="1"/>
  <c r="A296" i="53" a="1"/>
  <c r="A296" i="53" s="1"/>
  <c r="B104" i="53" a="1"/>
  <c r="B104" i="53" s="1"/>
  <c r="K245" i="53" a="1"/>
  <c r="K245" i="53" s="1"/>
  <c r="C111" i="53" a="1"/>
  <c r="C111" i="53" s="1"/>
  <c r="C188" i="53" a="1"/>
  <c r="C188" i="53" s="1"/>
  <c r="K337" i="53" a="1"/>
  <c r="K337" i="53" s="1"/>
  <c r="A64" i="53" a="1"/>
  <c r="A64" i="53" s="1"/>
  <c r="B282" i="53" a="1"/>
  <c r="B282" i="53" s="1"/>
  <c r="C51" i="53" a="1"/>
  <c r="C51" i="53" s="1"/>
  <c r="A234" i="53" a="1"/>
  <c r="A234" i="53" s="1"/>
  <c r="A84" i="53" a="1"/>
  <c r="A84" i="53" s="1"/>
  <c r="A288" i="53" a="1"/>
  <c r="A288" i="53" s="1"/>
  <c r="B229" i="53" a="1"/>
  <c r="B229" i="53" s="1"/>
  <c r="K326" i="53" a="1"/>
  <c r="K326" i="53" s="1"/>
  <c r="C59" i="53" a="1"/>
  <c r="C59" i="53" s="1"/>
  <c r="B169" i="53" a="1"/>
  <c r="B169" i="53" s="1"/>
  <c r="C44" i="53" a="1"/>
  <c r="C44" i="53" s="1"/>
  <c r="A290" i="53" a="1"/>
  <c r="A290" i="53" s="1"/>
  <c r="A275" i="53" a="1"/>
  <c r="A275" i="53" s="1"/>
  <c r="B173" i="53" a="1"/>
  <c r="B173" i="53" s="1"/>
  <c r="A97" i="53" a="1"/>
  <c r="A97" i="53" s="1"/>
  <c r="A211" i="53" a="1"/>
  <c r="A211" i="53" s="1"/>
  <c r="C338" i="53" a="1"/>
  <c r="C338" i="53" s="1"/>
  <c r="K173" i="53" a="1"/>
  <c r="K173" i="53" s="1"/>
  <c r="C284" i="53" a="1"/>
  <c r="C284" i="53" s="1"/>
  <c r="A312" i="53" a="1"/>
  <c r="A312" i="53" s="1"/>
  <c r="B302" i="53" a="1"/>
  <c r="B302" i="53" s="1"/>
  <c r="A314" i="53" a="1"/>
  <c r="A314" i="53" s="1"/>
  <c r="C326" i="53" a="1"/>
  <c r="C326" i="53" s="1"/>
  <c r="B117" i="53" a="1"/>
  <c r="B117" i="53" s="1"/>
  <c r="C31" i="53" a="1"/>
  <c r="C31" i="53" s="1"/>
  <c r="A86" i="53" a="1"/>
  <c r="A86" i="53" s="1"/>
  <c r="K81" i="53" a="1"/>
  <c r="K81" i="53" s="1"/>
  <c r="C206" i="53" a="1"/>
  <c r="C206" i="53" s="1"/>
  <c r="A317" i="53" a="1"/>
  <c r="A317" i="53" s="1"/>
  <c r="K47" i="53" a="1"/>
  <c r="K47" i="53" s="1"/>
  <c r="C48" i="53" a="1"/>
  <c r="C48" i="53" s="1"/>
  <c r="B196" i="53" a="1"/>
  <c r="B196" i="53" s="1"/>
  <c r="B16" i="53" a="1"/>
  <c r="B16" i="53" s="1"/>
  <c r="K282" i="53" a="1"/>
  <c r="K282" i="53" s="1"/>
  <c r="C26" i="53" a="1"/>
  <c r="C26" i="53" s="1"/>
  <c r="C174" i="53" a="1"/>
  <c r="C174" i="53" s="1"/>
  <c r="K260" i="53" a="1"/>
  <c r="K260" i="53" s="1"/>
  <c r="K228" i="53" a="1"/>
  <c r="K228" i="53" s="1"/>
  <c r="K247" i="53" a="1"/>
  <c r="K247" i="53" s="1"/>
  <c r="C145" i="53" a="1"/>
  <c r="C145" i="53" s="1"/>
  <c r="C194" i="53" a="1"/>
  <c r="C194" i="53" s="1"/>
  <c r="A53" i="53" a="1"/>
  <c r="A53" i="53" s="1"/>
  <c r="A85" i="53" a="1"/>
  <c r="A85" i="53" s="1"/>
  <c r="K280" i="53" a="1"/>
  <c r="K280" i="53" s="1"/>
  <c r="K113" i="53" a="1"/>
  <c r="K113" i="53" s="1"/>
  <c r="A18" i="53" a="1"/>
  <c r="A18" i="53" s="1"/>
  <c r="B258" i="53" a="1"/>
  <c r="B258" i="53" s="1"/>
  <c r="C302" i="53" a="1"/>
  <c r="C302" i="53" s="1"/>
  <c r="B120" i="53" a="1"/>
  <c r="B120" i="53" s="1"/>
  <c r="C117" i="53" a="1"/>
  <c r="C117" i="53" s="1"/>
  <c r="B298" i="53" a="1"/>
  <c r="B298" i="53" s="1"/>
  <c r="B325" i="53" a="1"/>
  <c r="B325" i="53" s="1"/>
  <c r="A151" i="53" a="1"/>
  <c r="A151" i="53" s="1"/>
  <c r="C108" i="53" a="1"/>
  <c r="C108" i="53" s="1"/>
  <c r="K249" i="53" a="1"/>
  <c r="K249" i="53" s="1"/>
  <c r="K221" i="53" a="1"/>
  <c r="K221" i="53" s="1"/>
  <c r="K183" i="53" a="1"/>
  <c r="K183" i="53" s="1"/>
  <c r="K39" i="53" a="1"/>
  <c r="K39" i="53" s="1"/>
  <c r="C325" i="53" a="1"/>
  <c r="C325" i="53" s="1"/>
  <c r="C55" i="53" a="1"/>
  <c r="C55" i="53" s="1"/>
  <c r="C84" i="53" a="1"/>
  <c r="C84" i="53" s="1"/>
  <c r="K35" i="53" a="1"/>
  <c r="K35" i="53" s="1"/>
  <c r="K258" i="53" a="1"/>
  <c r="K258" i="53" s="1"/>
  <c r="A153" i="53" a="1"/>
  <c r="A153" i="53" s="1"/>
  <c r="B44" i="53" a="1"/>
  <c r="B44" i="53" s="1"/>
  <c r="B43" i="53" a="1"/>
  <c r="B43" i="53" s="1"/>
  <c r="K287" i="53" a="1"/>
  <c r="K287" i="53" s="1"/>
  <c r="C102" i="53" a="1"/>
  <c r="C102" i="53" s="1"/>
  <c r="K133" i="53" a="1"/>
  <c r="K133" i="53" s="1"/>
  <c r="A271" i="53" a="1"/>
  <c r="A271" i="53" s="1"/>
  <c r="A310" i="53" a="1"/>
  <c r="A310" i="53" s="1"/>
  <c r="B130" i="53" a="1"/>
  <c r="B130" i="53" s="1"/>
  <c r="C173" i="53" a="1"/>
  <c r="C173" i="53" s="1"/>
  <c r="C244" i="53" a="1"/>
  <c r="C244" i="53" s="1"/>
  <c r="B331" i="53" a="1"/>
  <c r="B331" i="53" s="1"/>
  <c r="A202" i="53" a="1"/>
  <c r="A202" i="53" s="1"/>
  <c r="A264" i="53" a="1"/>
  <c r="A264" i="53" s="1"/>
  <c r="K70" i="53" a="1"/>
  <c r="K70" i="53" s="1"/>
  <c r="C52" i="53" a="1"/>
  <c r="C52" i="53" s="1"/>
  <c r="K226" i="53" a="1"/>
  <c r="K226" i="53" s="1"/>
  <c r="A332" i="53" a="1"/>
  <c r="A332" i="53" s="1"/>
  <c r="K333" i="53" a="1"/>
  <c r="K333" i="53" s="1"/>
  <c r="B230" i="53" a="1"/>
  <c r="B230" i="53" s="1"/>
  <c r="K195" i="53" a="1"/>
  <c r="K195" i="53" s="1"/>
  <c r="K346" i="53" a="1"/>
  <c r="K346" i="53" s="1"/>
  <c r="C172" i="53" a="1"/>
  <c r="C172" i="53" s="1"/>
  <c r="B90" i="53" a="1"/>
  <c r="B90" i="53" s="1"/>
  <c r="B6" i="53" a="1"/>
  <c r="B6" i="53" s="1"/>
  <c r="B353" i="53" a="1"/>
  <c r="B353" i="53" s="1"/>
  <c r="A22" i="53" a="1"/>
  <c r="A22" i="53" s="1"/>
  <c r="K182" i="53" a="1"/>
  <c r="K182" i="53" s="1"/>
  <c r="C39" i="53" a="1"/>
  <c r="C39" i="53" s="1"/>
  <c r="A61" i="34" a="1"/>
  <c r="A61" i="34" s="1"/>
  <c r="F52" i="34" a="1"/>
  <c r="F52" i="34" s="1"/>
  <c r="A44" i="34" a="1"/>
  <c r="A44" i="34" s="1"/>
  <c r="A71" i="34" a="1"/>
  <c r="A71" i="34" s="1"/>
  <c r="F48" i="34" a="1"/>
  <c r="F48" i="34" s="1"/>
  <c r="F39" i="34" a="1"/>
  <c r="F39" i="34" s="1"/>
  <c r="F80" i="34" a="1"/>
  <c r="F80" i="34" s="1"/>
  <c r="F15" i="34" a="1"/>
  <c r="F15" i="34" s="1"/>
  <c r="F19" i="34" a="1"/>
  <c r="F19" i="34" s="1"/>
  <c r="A27" i="34" a="1"/>
  <c r="A27" i="34" s="1"/>
  <c r="F17" i="34" a="1"/>
  <c r="F17" i="34" s="1"/>
  <c r="F33" i="34" a="1"/>
  <c r="F33" i="34" s="1"/>
  <c r="F23" i="34" a="1"/>
  <c r="F23" i="34" s="1"/>
  <c r="F6" i="34" a="1"/>
  <c r="F6" i="34" s="1"/>
  <c r="F75" i="34" a="1"/>
  <c r="F75" i="34" s="1"/>
  <c r="F50" i="34" a="1"/>
  <c r="F50" i="34" s="1"/>
  <c r="F11" i="34" a="1"/>
  <c r="F11" i="34" s="1"/>
  <c r="F65" i="34" a="1"/>
  <c r="F65" i="34" s="1"/>
  <c r="A66" i="34" a="1"/>
  <c r="A66" i="34" s="1"/>
  <c r="A65" i="34" a="1"/>
  <c r="A65" i="34" s="1"/>
  <c r="F62" i="34" a="1"/>
  <c r="F62" i="34" s="1"/>
  <c r="F12" i="34" a="1"/>
  <c r="F12" i="34" s="1"/>
  <c r="A48" i="34" a="1"/>
  <c r="A48" i="34" s="1"/>
  <c r="F57" i="34" a="1"/>
  <c r="F57" i="34" s="1"/>
  <c r="F36" i="34" a="1"/>
  <c r="F36" i="34" s="1"/>
  <c r="A51" i="19" a="1"/>
  <c r="A51" i="19" s="1"/>
  <c r="F56" i="19" a="1"/>
  <c r="F56" i="19" s="1"/>
  <c r="A19" i="19" a="1"/>
  <c r="A19" i="19" s="1"/>
  <c r="F79" i="19" a="1"/>
  <c r="F79" i="19" s="1"/>
  <c r="A58" i="19" a="1"/>
  <c r="A58" i="19" s="1"/>
  <c r="A11" i="19" a="1"/>
  <c r="A11" i="19" s="1"/>
  <c r="B41" i="31" l="1"/>
  <c r="B12" i="31"/>
  <c r="E32" i="31"/>
  <c r="B20" i="31"/>
  <c r="E47" i="14"/>
  <c r="C245" i="53" a="1"/>
  <c r="C245" i="53" s="1"/>
  <c r="G26" i="14"/>
  <c r="C41" i="31"/>
  <c r="B65" i="31"/>
  <c r="B73" i="31"/>
  <c r="A45" i="91" a="1"/>
  <c r="A45" i="91" s="1"/>
  <c r="C56" i="14"/>
  <c r="D20" i="31"/>
  <c r="E41" i="31"/>
  <c r="D73" i="31"/>
  <c r="G41" i="31"/>
  <c r="E73" i="31"/>
  <c r="B11" i="14"/>
  <c r="A257" i="53" a="1"/>
  <c r="A257" i="53" s="1"/>
  <c r="C47" i="14"/>
  <c r="B32" i="31"/>
  <c r="C63" i="14"/>
  <c r="B63" i="14"/>
  <c r="C353" i="53" a="1"/>
  <c r="C353" i="53" s="1"/>
  <c r="C211" i="53" a="1"/>
  <c r="C211" i="53" s="1"/>
  <c r="B79" i="53" a="1"/>
  <c r="B79" i="53" s="1"/>
  <c r="B261" i="53" a="1"/>
  <c r="B261" i="53" s="1"/>
  <c r="K324" i="53" a="1"/>
  <c r="K324" i="53" s="1"/>
  <c r="B205" i="53" a="1"/>
  <c r="B205" i="53" s="1"/>
  <c r="C66" i="53" a="1"/>
  <c r="C66" i="53" s="1"/>
  <c r="B31" i="53" a="1"/>
  <c r="B31" i="53" s="1"/>
  <c r="A201" i="53" a="1"/>
  <c r="A201" i="53" s="1"/>
  <c r="A57" i="53" a="1"/>
  <c r="A57" i="53" s="1"/>
  <c r="B124" i="53" a="1"/>
  <c r="B124" i="53" s="1"/>
  <c r="A343" i="53" a="1"/>
  <c r="A343" i="53" s="1"/>
  <c r="B176" i="53" a="1"/>
  <c r="B176" i="53" s="1"/>
  <c r="A9" i="53" a="1"/>
  <c r="A9" i="53" s="1"/>
  <c r="B25" i="53" a="1"/>
  <c r="B25" i="53" s="1"/>
  <c r="B200" i="53" a="1"/>
  <c r="B200" i="53" s="1"/>
  <c r="C246" i="53" a="1"/>
  <c r="C246" i="53" s="1"/>
  <c r="A47" i="53" a="1"/>
  <c r="A47" i="53" s="1"/>
  <c r="A242" i="53" a="1"/>
  <c r="A242" i="53" s="1"/>
  <c r="A278" i="53" a="1"/>
  <c r="A278" i="53" s="1"/>
  <c r="C322" i="53" a="1"/>
  <c r="C322" i="53" s="1"/>
  <c r="K203" i="53" a="1"/>
  <c r="K203" i="53" s="1"/>
  <c r="B345" i="53" a="1"/>
  <c r="B345" i="53" s="1"/>
  <c r="C249" i="53" a="1"/>
  <c r="C249" i="53" s="1"/>
  <c r="C121" i="53" a="1"/>
  <c r="C121" i="53" s="1"/>
  <c r="B36" i="53" a="1"/>
  <c r="B36" i="53" s="1"/>
  <c r="A263" i="53" a="1"/>
  <c r="A263" i="53" s="1"/>
  <c r="B38" i="53" a="1"/>
  <c r="B38" i="53" s="1"/>
  <c r="G73" i="31"/>
  <c r="G77" i="31"/>
  <c r="E14" i="77"/>
  <c r="A63" i="96" a="1"/>
  <c r="A63" i="96" s="1"/>
  <c r="C154" i="53" a="1"/>
  <c r="C154" i="53" s="1"/>
  <c r="A14" i="96" a="1"/>
  <c r="A14" i="96" s="1"/>
  <c r="A9" i="96" a="1"/>
  <c r="A9" i="96" s="1"/>
  <c r="E48" i="31"/>
  <c r="C22" i="14"/>
  <c r="E20" i="31"/>
  <c r="G63" i="14"/>
  <c r="F47" i="96" a="1"/>
  <c r="F47" i="96" s="1"/>
  <c r="B48" i="31"/>
  <c r="D47" i="14"/>
  <c r="B47" i="14"/>
  <c r="G42" i="31"/>
  <c r="A96" i="53" a="1"/>
  <c r="A96" i="53" s="1"/>
  <c r="B327" i="53" a="1"/>
  <c r="B327" i="53" s="1"/>
  <c r="F44" i="96" a="1"/>
  <c r="F44" i="96" s="1"/>
  <c r="D63" i="14"/>
  <c r="D12" i="31"/>
  <c r="F35" i="96" a="1"/>
  <c r="F35" i="96" s="1"/>
  <c r="G12" i="31"/>
  <c r="F25" i="96" a="1"/>
  <c r="F25" i="96" s="1"/>
  <c r="A66" i="96" a="1"/>
  <c r="A66" i="96" s="1"/>
  <c r="F71" i="96" a="1"/>
  <c r="F71" i="96" s="1"/>
  <c r="F23" i="96" a="1"/>
  <c r="F23" i="96" s="1"/>
  <c r="F81" i="96" a="1"/>
  <c r="F81" i="96" s="1"/>
  <c r="C37" i="14"/>
  <c r="E37" i="14"/>
  <c r="B37" i="14"/>
  <c r="D37" i="14"/>
  <c r="G37" i="14"/>
  <c r="E6" i="14"/>
  <c r="D6" i="14"/>
  <c r="E62" i="14"/>
  <c r="C62" i="14"/>
  <c r="B62" i="14"/>
  <c r="D62" i="14"/>
  <c r="G62" i="14"/>
  <c r="B43" i="31"/>
  <c r="D43" i="31"/>
  <c r="E43" i="31"/>
  <c r="C43" i="31"/>
  <c r="G43" i="31"/>
  <c r="E8" i="14"/>
  <c r="D63" i="31"/>
  <c r="B63" i="31"/>
  <c r="C63" i="31"/>
  <c r="G63" i="31"/>
  <c r="E63" i="31"/>
  <c r="E22" i="14"/>
  <c r="G22" i="14"/>
  <c r="E74" i="31"/>
  <c r="D74" i="31"/>
  <c r="B74" i="31"/>
  <c r="C74" i="31"/>
  <c r="G74" i="31"/>
  <c r="F43" i="44" a="1"/>
  <c r="F43" i="44" s="1"/>
  <c r="A41" i="96" a="1"/>
  <c r="A41" i="96" s="1"/>
  <c r="F43" i="96" a="1"/>
  <c r="F43" i="96" s="1"/>
  <c r="F80" i="96" a="1"/>
  <c r="F80" i="96" s="1"/>
  <c r="F49" i="96" a="1"/>
  <c r="F49" i="96" s="1"/>
  <c r="F15" i="96" a="1"/>
  <c r="F15" i="96" s="1"/>
  <c r="A80" i="96" a="1"/>
  <c r="A80" i="96" s="1"/>
  <c r="F77" i="96" a="1"/>
  <c r="F77" i="96" s="1"/>
  <c r="A58" i="96" a="1"/>
  <c r="A58" i="96" s="1"/>
  <c r="F27" i="96" a="1"/>
  <c r="F27" i="96" s="1"/>
  <c r="A24" i="96" a="1"/>
  <c r="A24" i="96" s="1"/>
  <c r="F72" i="96" a="1"/>
  <c r="F72" i="96" s="1"/>
  <c r="F12" i="96" a="1"/>
  <c r="F12" i="96" s="1"/>
  <c r="A36" i="96" a="1"/>
  <c r="A36" i="96" s="1"/>
  <c r="F70" i="96" a="1"/>
  <c r="F70" i="96" s="1"/>
  <c r="F69" i="96" a="1"/>
  <c r="F69" i="96" s="1"/>
  <c r="F67" i="96" a="1"/>
  <c r="F67" i="96" s="1"/>
  <c r="A60" i="96" a="1"/>
  <c r="A60" i="96" s="1"/>
  <c r="A45" i="96" a="1"/>
  <c r="A45" i="96" s="1"/>
  <c r="A23" i="96" a="1"/>
  <c r="A23" i="96" s="1"/>
  <c r="A29" i="96" a="1"/>
  <c r="A29" i="96" s="1"/>
  <c r="A11" i="96" a="1"/>
  <c r="A11" i="96" s="1"/>
  <c r="F73" i="96" a="1"/>
  <c r="F73" i="96" s="1"/>
  <c r="A75" i="96" a="1"/>
  <c r="A75" i="96" s="1"/>
  <c r="A48" i="96" a="1"/>
  <c r="A48" i="96" s="1"/>
  <c r="A65" i="96" a="1"/>
  <c r="A65" i="96" s="1"/>
  <c r="A64" i="96" a="1"/>
  <c r="A64" i="96" s="1"/>
  <c r="A50" i="96" a="1"/>
  <c r="A50" i="96" s="1"/>
  <c r="A19" i="96" a="1"/>
  <c r="A19" i="96" s="1"/>
  <c r="A30" i="96" a="1"/>
  <c r="A30" i="96" s="1"/>
  <c r="F28" i="96" a="1"/>
  <c r="F28" i="96" s="1"/>
  <c r="F10" i="96" a="1"/>
  <c r="F10" i="96" s="1"/>
  <c r="F31" i="96" a="1"/>
  <c r="F31" i="96" s="1"/>
  <c r="A27" i="96" a="1"/>
  <c r="A27" i="96" s="1"/>
  <c r="F17" i="96" a="1"/>
  <c r="F17" i="96" s="1"/>
  <c r="A7" i="96" a="1"/>
  <c r="A7" i="96" s="1"/>
  <c r="F41" i="96" a="1"/>
  <c r="F41" i="96" s="1"/>
  <c r="F84" i="96" a="1"/>
  <c r="F84" i="96" s="1"/>
  <c r="F20" i="96" a="1"/>
  <c r="F20" i="96" s="1"/>
  <c r="F42" i="96" a="1"/>
  <c r="F42" i="96" s="1"/>
  <c r="F13" i="96" a="1"/>
  <c r="F13" i="96" s="1"/>
  <c r="F37" i="96" a="1"/>
  <c r="F37" i="96" s="1"/>
  <c r="A25" i="96" a="1"/>
  <c r="A25" i="96" s="1"/>
  <c r="B25" i="96" s="1"/>
  <c r="F64" i="96" a="1"/>
  <c r="F64" i="96" s="1"/>
  <c r="A49" i="96" a="1"/>
  <c r="A49" i="96" s="1"/>
  <c r="F30" i="96" a="1"/>
  <c r="F30" i="96" s="1"/>
  <c r="A34" i="96" a="1"/>
  <c r="A34" i="96" s="1"/>
  <c r="A81" i="96" a="1"/>
  <c r="A81" i="96" s="1"/>
  <c r="A68" i="96" a="1"/>
  <c r="A68" i="96" s="1"/>
  <c r="F11" i="96" a="1"/>
  <c r="F11" i="96" s="1"/>
  <c r="F46" i="96" a="1"/>
  <c r="F46" i="96" s="1"/>
  <c r="F54" i="96" a="1"/>
  <c r="F54" i="96" s="1"/>
  <c r="F66" i="96" a="1"/>
  <c r="F66" i="96" s="1"/>
  <c r="F19" i="96" a="1"/>
  <c r="F19" i="96" s="1"/>
  <c r="A40" i="96" a="1"/>
  <c r="A40" i="96" s="1"/>
  <c r="F24" i="96" a="1"/>
  <c r="F24" i="96" s="1"/>
  <c r="F32" i="96" a="1"/>
  <c r="F32" i="96" s="1"/>
  <c r="K6" i="96"/>
  <c r="A6" i="96" s="1" a="1"/>
  <c r="A6" i="96" s="1"/>
  <c r="F79" i="96" a="1"/>
  <c r="F79" i="96" s="1"/>
  <c r="F8" i="96" a="1"/>
  <c r="F8" i="96" s="1"/>
  <c r="F29" i="96" a="1"/>
  <c r="F29" i="96" s="1"/>
  <c r="F75" i="96" a="1"/>
  <c r="F75" i="96" s="1"/>
  <c r="A38" i="96" a="1"/>
  <c r="A38" i="96" s="1"/>
  <c r="A77" i="96" a="1"/>
  <c r="A77" i="96" s="1"/>
  <c r="F14" i="96" a="1"/>
  <c r="F14" i="96" s="1"/>
  <c r="F39" i="96" a="1"/>
  <c r="F39" i="96" s="1"/>
  <c r="A26" i="96" a="1"/>
  <c r="A26" i="96" s="1"/>
  <c r="A56" i="96" a="1"/>
  <c r="A56" i="96" s="1"/>
  <c r="F22" i="96" a="1"/>
  <c r="F22" i="96" s="1"/>
  <c r="F74" i="96" a="1"/>
  <c r="F74" i="96" s="1"/>
  <c r="F51" i="96" a="1"/>
  <c r="F51" i="96" s="1"/>
  <c r="F85" i="96" a="1"/>
  <c r="F85" i="96" s="1"/>
  <c r="F83" i="96" a="1"/>
  <c r="F83" i="96" s="1"/>
  <c r="F57" i="96" a="1"/>
  <c r="F57" i="96" s="1"/>
  <c r="F34" i="96" a="1"/>
  <c r="F34" i="96" s="1"/>
  <c r="A73" i="96" a="1"/>
  <c r="A73" i="96" s="1"/>
  <c r="A72" i="96" a="1"/>
  <c r="A72" i="96" s="1"/>
  <c r="A62" i="96" a="1"/>
  <c r="A62" i="96" s="1"/>
  <c r="F61" i="96" a="1"/>
  <c r="F61" i="96" s="1"/>
  <c r="F48" i="96" a="1"/>
  <c r="F48" i="96" s="1"/>
  <c r="A82" i="96" a="1"/>
  <c r="A82" i="96" s="1"/>
  <c r="A8" i="96" a="1"/>
  <c r="A8" i="96" s="1"/>
  <c r="F68" i="96" a="1"/>
  <c r="F68" i="96" s="1"/>
  <c r="F58" i="96" a="1"/>
  <c r="F58" i="96" s="1"/>
  <c r="F55" i="96" a="1"/>
  <c r="F55" i="96" s="1"/>
  <c r="F59" i="96" a="1"/>
  <c r="F59" i="96" s="1"/>
  <c r="A79" i="96" a="1"/>
  <c r="A79" i="96" s="1"/>
  <c r="A20" i="96" a="1"/>
  <c r="A20" i="96" s="1"/>
  <c r="A47" i="96" a="1"/>
  <c r="A47" i="96" s="1"/>
  <c r="F60" i="96" a="1"/>
  <c r="F60" i="96" s="1"/>
  <c r="D66" i="14"/>
  <c r="E66" i="14"/>
  <c r="C66" i="14"/>
  <c r="B66" i="14"/>
  <c r="G66" i="14"/>
  <c r="B15" i="14"/>
  <c r="D15" i="14"/>
  <c r="E15" i="14"/>
  <c r="G15" i="14"/>
  <c r="C15" i="14"/>
  <c r="D61" i="31"/>
  <c r="G61" i="31"/>
  <c r="B61" i="31"/>
  <c r="E61" i="31"/>
  <c r="C61" i="31"/>
  <c r="B69" i="14"/>
  <c r="C69" i="14"/>
  <c r="E69" i="14"/>
  <c r="G69" i="14"/>
  <c r="D69" i="14"/>
  <c r="C20" i="14"/>
  <c r="G20" i="14"/>
  <c r="B20" i="14"/>
  <c r="E20" i="14"/>
  <c r="D20" i="14"/>
  <c r="C10" i="31"/>
  <c r="G10" i="31"/>
  <c r="B10" i="31"/>
  <c r="D10" i="31"/>
  <c r="G60" i="14"/>
  <c r="D60" i="14"/>
  <c r="D35" i="14"/>
  <c r="C35" i="14"/>
  <c r="B35" i="14"/>
  <c r="C64" i="14"/>
  <c r="E64" i="14"/>
  <c r="G64" i="14"/>
  <c r="D46" i="31"/>
  <c r="E46" i="31"/>
  <c r="C46" i="31"/>
  <c r="B46" i="31"/>
  <c r="G46" i="31"/>
  <c r="E79" i="31"/>
  <c r="C79" i="31"/>
  <c r="G79" i="31"/>
  <c r="A40" i="44" a="1"/>
  <c r="A40" i="44" s="1"/>
  <c r="A59" i="96" a="1"/>
  <c r="A59" i="96" s="1"/>
  <c r="A17" i="96" a="1"/>
  <c r="A17" i="96" s="1"/>
  <c r="A42" i="96" a="1"/>
  <c r="A42" i="96" s="1"/>
  <c r="F36" i="96" a="1"/>
  <c r="F36" i="96" s="1"/>
  <c r="A83" i="96" a="1"/>
  <c r="A83" i="96" s="1"/>
  <c r="F21" i="96" a="1"/>
  <c r="F21" i="96" s="1"/>
  <c r="B31" i="31"/>
  <c r="D31" i="31"/>
  <c r="E31" i="31"/>
  <c r="E7" i="14"/>
  <c r="D7" i="14"/>
  <c r="C7" i="14"/>
  <c r="B7" i="14"/>
  <c r="C80" i="14"/>
  <c r="D80" i="14"/>
  <c r="E80" i="14"/>
  <c r="G80" i="14"/>
  <c r="B80" i="14"/>
  <c r="C80" i="31"/>
  <c r="G80" i="31"/>
  <c r="E79" i="14"/>
  <c r="D79" i="14"/>
  <c r="G79" i="14"/>
  <c r="B79" i="14"/>
  <c r="C79" i="14"/>
  <c r="G37" i="31"/>
  <c r="B37" i="31"/>
  <c r="E37" i="31"/>
  <c r="C37" i="31"/>
  <c r="D37" i="31"/>
  <c r="A78" i="44" a="1"/>
  <c r="A78" i="44" s="1"/>
  <c r="A61" i="44" a="1"/>
  <c r="A61" i="44" s="1"/>
  <c r="C96" i="53" a="1"/>
  <c r="C96" i="53" s="1"/>
  <c r="C161" i="53" a="1"/>
  <c r="C161" i="53" s="1"/>
  <c r="A61" i="96" a="1"/>
  <c r="A61" i="96" s="1"/>
  <c r="A15" i="96" a="1"/>
  <c r="A15" i="96" s="1"/>
  <c r="F18" i="96" a="1"/>
  <c r="F18" i="96" s="1"/>
  <c r="A84" i="96" a="1"/>
  <c r="A84" i="96" s="1"/>
  <c r="A85" i="96" a="1"/>
  <c r="A85" i="96" s="1"/>
  <c r="A32" i="96" a="1"/>
  <c r="A32" i="96" s="1"/>
  <c r="A33" i="96" a="1"/>
  <c r="A33" i="96" s="1"/>
  <c r="D40" i="31"/>
  <c r="G40" i="31"/>
  <c r="E40" i="31"/>
  <c r="C40" i="31"/>
  <c r="B40" i="31"/>
  <c r="E13" i="31"/>
  <c r="C13" i="31"/>
  <c r="B13" i="31"/>
  <c r="D7" i="31"/>
  <c r="E7" i="31"/>
  <c r="C23" i="14"/>
  <c r="B23" i="14"/>
  <c r="G23" i="14"/>
  <c r="D23" i="14"/>
  <c r="E23" i="14"/>
  <c r="G48" i="14"/>
  <c r="C48" i="14"/>
  <c r="B48" i="14"/>
  <c r="D48" i="14"/>
  <c r="E48" i="14"/>
  <c r="D45" i="14"/>
  <c r="E45" i="14"/>
  <c r="C45" i="14"/>
  <c r="B45" i="14"/>
  <c r="G45" i="14"/>
  <c r="C72" i="14"/>
  <c r="D72" i="14"/>
  <c r="B72" i="14"/>
  <c r="E72" i="14"/>
  <c r="G72" i="14"/>
  <c r="E75" i="14"/>
  <c r="D75" i="14"/>
  <c r="C75" i="14"/>
  <c r="B29" i="14"/>
  <c r="C29" i="14"/>
  <c r="D29" i="14"/>
  <c r="G71" i="14"/>
  <c r="E71" i="14"/>
  <c r="B71" i="14"/>
  <c r="C71" i="14"/>
  <c r="D71" i="14"/>
  <c r="F84" i="44" a="1"/>
  <c r="F84" i="44" s="1"/>
  <c r="F21" i="34" a="1"/>
  <c r="F21" i="34" s="1"/>
  <c r="F31" i="34" a="1"/>
  <c r="F31" i="34" s="1"/>
  <c r="K115" i="53" a="1"/>
  <c r="K115" i="53" s="1"/>
  <c r="C21" i="53" a="1"/>
  <c r="C21" i="53" s="1"/>
  <c r="A307" i="53" a="1"/>
  <c r="A307" i="53" s="1"/>
  <c r="C62" i="53" a="1"/>
  <c r="C62" i="53" s="1"/>
  <c r="B60" i="53" a="1"/>
  <c r="B60" i="53" s="1"/>
  <c r="A105" i="53" a="1"/>
  <c r="A105" i="53" s="1"/>
  <c r="A168" i="53" a="1"/>
  <c r="A168" i="53" s="1"/>
  <c r="K62" i="53" a="1"/>
  <c r="K62" i="53" s="1"/>
  <c r="C100" i="53" a="1"/>
  <c r="C100" i="53" s="1"/>
  <c r="A134" i="53" a="1"/>
  <c r="A134" i="53" s="1"/>
  <c r="B355" i="53" a="1"/>
  <c r="B355" i="53" s="1"/>
  <c r="C253" i="53" a="1"/>
  <c r="C253" i="53" s="1"/>
  <c r="B275" i="53" a="1"/>
  <c r="B275" i="53" s="1"/>
  <c r="K102" i="53" a="1"/>
  <c r="K102" i="53" s="1"/>
  <c r="K163" i="53" a="1"/>
  <c r="K163" i="53" s="1"/>
  <c r="B257" i="53" a="1"/>
  <c r="B257" i="53" s="1"/>
  <c r="C50" i="53" a="1"/>
  <c r="C50" i="53" s="1"/>
  <c r="A254" i="53" a="1"/>
  <c r="A254" i="53" s="1"/>
  <c r="C25" i="53" a="1"/>
  <c r="C25" i="53" s="1"/>
  <c r="K66" i="53" a="1"/>
  <c r="K66" i="53" s="1"/>
  <c r="K286" i="53" a="1"/>
  <c r="K286" i="53" s="1"/>
  <c r="K349" i="53" a="1"/>
  <c r="K349" i="53" s="1"/>
  <c r="K20" i="53" a="1"/>
  <c r="K20" i="53" s="1"/>
  <c r="A188" i="53" a="1"/>
  <c r="A188" i="53" s="1"/>
  <c r="B241" i="53" a="1"/>
  <c r="B241" i="53" s="1"/>
  <c r="A118" i="53" a="1"/>
  <c r="A118" i="53" s="1"/>
  <c r="B54" i="53" a="1"/>
  <c r="B54" i="53" s="1"/>
  <c r="A333" i="53" a="1"/>
  <c r="A333" i="53" s="1"/>
  <c r="K99" i="53" a="1"/>
  <c r="K99" i="53" s="1"/>
  <c r="F77" i="44" a="1"/>
  <c r="F77" i="44" s="1"/>
  <c r="K142" i="53" a="1"/>
  <c r="K142" i="53" s="1"/>
  <c r="F7" i="96" a="1"/>
  <c r="F7" i="96" s="1"/>
  <c r="A52" i="96" a="1"/>
  <c r="A52" i="96" s="1"/>
  <c r="F63" i="96" a="1"/>
  <c r="F63" i="96" s="1"/>
  <c r="A22" i="96" a="1"/>
  <c r="A22" i="96" s="1"/>
  <c r="A53" i="96" a="1"/>
  <c r="A53" i="96" s="1"/>
  <c r="A35" i="96" a="1"/>
  <c r="A35" i="96" s="1"/>
  <c r="G74" i="14"/>
  <c r="D74" i="14"/>
  <c r="E74" i="14"/>
  <c r="C57" i="14"/>
  <c r="G57" i="14"/>
  <c r="D57" i="14"/>
  <c r="E57" i="14"/>
  <c r="B57" i="14"/>
  <c r="E58" i="14"/>
  <c r="C58" i="14"/>
  <c r="G58" i="14"/>
  <c r="B58" i="14"/>
  <c r="D58" i="14"/>
  <c r="C32" i="14"/>
  <c r="D32" i="14"/>
  <c r="E32" i="14"/>
  <c r="B32" i="14"/>
  <c r="G32" i="14"/>
  <c r="E42" i="14"/>
  <c r="D42" i="14"/>
  <c r="G42" i="14"/>
  <c r="B42" i="14"/>
  <c r="C42" i="14"/>
  <c r="A85" i="44" a="1"/>
  <c r="A85" i="44" s="1"/>
  <c r="C207" i="53" a="1"/>
  <c r="C207" i="53" s="1"/>
  <c r="A13" i="96" a="1"/>
  <c r="A13" i="96" s="1"/>
  <c r="F45" i="96" a="1"/>
  <c r="F45" i="96" s="1"/>
  <c r="B45" i="96" s="1"/>
  <c r="A55" i="96" a="1"/>
  <c r="A55" i="96" s="1"/>
  <c r="C55" i="96" s="1"/>
  <c r="F40" i="96" a="1"/>
  <c r="F40" i="96" s="1"/>
  <c r="A57" i="96" a="1"/>
  <c r="A57" i="96" s="1"/>
  <c r="E5" i="96"/>
  <c r="F52" i="96" a="1"/>
  <c r="F52" i="96" s="1"/>
  <c r="G55" i="31"/>
  <c r="E55" i="31"/>
  <c r="B55" i="31"/>
  <c r="D55" i="31"/>
  <c r="C55" i="31"/>
  <c r="G69" i="31"/>
  <c r="E69" i="31"/>
  <c r="G55" i="14"/>
  <c r="D55" i="14"/>
  <c r="B55" i="14"/>
  <c r="E55" i="14"/>
  <c r="C55" i="14"/>
  <c r="E36" i="14"/>
  <c r="C36" i="14"/>
  <c r="D36" i="14"/>
  <c r="B36" i="14"/>
  <c r="G36" i="14"/>
  <c r="B6" i="14"/>
  <c r="C16" i="14"/>
  <c r="D16" i="14"/>
  <c r="B16" i="14"/>
  <c r="E16" i="14"/>
  <c r="G16" i="14"/>
  <c r="E19" i="14"/>
  <c r="C19" i="14"/>
  <c r="G19" i="14"/>
  <c r="B19" i="14"/>
  <c r="D19" i="14"/>
  <c r="A28" i="96" a="1"/>
  <c r="A28" i="96" s="1"/>
  <c r="F76" i="96" a="1"/>
  <c r="F76" i="96" s="1"/>
  <c r="A31" i="96" a="1"/>
  <c r="A31" i="96" s="1"/>
  <c r="F16" i="96" a="1"/>
  <c r="F16" i="96" s="1"/>
  <c r="A16" i="96" a="1"/>
  <c r="A16" i="96" s="1"/>
  <c r="A44" i="96" a="1"/>
  <c r="A44" i="96" s="1"/>
  <c r="A21" i="96" a="1"/>
  <c r="A21" i="96" s="1"/>
  <c r="B51" i="31"/>
  <c r="G51" i="31"/>
  <c r="C51" i="31"/>
  <c r="E51" i="31"/>
  <c r="D51" i="31"/>
  <c r="D72" i="31"/>
  <c r="B72" i="31"/>
  <c r="E72" i="31"/>
  <c r="G72" i="31"/>
  <c r="C31" i="14"/>
  <c r="D31" i="14"/>
  <c r="E31" i="14"/>
  <c r="B31" i="14"/>
  <c r="G31" i="14"/>
  <c r="B36" i="31"/>
  <c r="E36" i="31"/>
  <c r="C53" i="14"/>
  <c r="B53" i="14"/>
  <c r="D53" i="14"/>
  <c r="G53" i="14"/>
  <c r="E53" i="14"/>
  <c r="D26" i="31"/>
  <c r="B26" i="31"/>
  <c r="D34" i="14"/>
  <c r="B34" i="14"/>
  <c r="G38" i="14"/>
  <c r="E38" i="14"/>
  <c r="C38" i="14"/>
  <c r="B38" i="14"/>
  <c r="D38" i="14"/>
  <c r="F50" i="91" a="1"/>
  <c r="F50" i="91" s="1"/>
  <c r="A46" i="96" a="1"/>
  <c r="A46" i="96" s="1"/>
  <c r="A12" i="96" a="1"/>
  <c r="A12" i="96" s="1"/>
  <c r="A43" i="96" a="1"/>
  <c r="A43" i="96" s="1"/>
  <c r="A69" i="96" a="1"/>
  <c r="A69" i="96" s="1"/>
  <c r="F62" i="96" a="1"/>
  <c r="F62" i="96" s="1"/>
  <c r="F53" i="96" a="1"/>
  <c r="F53" i="96" s="1"/>
  <c r="B53" i="96" s="1"/>
  <c r="F26" i="96" a="1"/>
  <c r="F26" i="96" s="1"/>
  <c r="C26" i="96" s="1"/>
  <c r="D36" i="31"/>
  <c r="G48" i="31"/>
  <c r="C39" i="31"/>
  <c r="D39" i="31"/>
  <c r="B39" i="31"/>
  <c r="E39" i="31"/>
  <c r="G39" i="31"/>
  <c r="C57" i="31"/>
  <c r="G57" i="31"/>
  <c r="B57" i="31"/>
  <c r="D24" i="14"/>
  <c r="E24" i="14"/>
  <c r="G24" i="14"/>
  <c r="B24" i="14"/>
  <c r="E13" i="14"/>
  <c r="B13" i="14"/>
  <c r="C13" i="14"/>
  <c r="G13" i="14"/>
  <c r="D13" i="14"/>
  <c r="D25" i="14"/>
  <c r="C25" i="14"/>
  <c r="G25" i="14"/>
  <c r="E25" i="14"/>
  <c r="E35" i="31"/>
  <c r="D35" i="31"/>
  <c r="G35" i="31"/>
  <c r="C35" i="31"/>
  <c r="B35" i="31"/>
  <c r="D11" i="14"/>
  <c r="C11" i="14" s="1"/>
  <c r="F65" i="96" a="1"/>
  <c r="F65" i="96" s="1"/>
  <c r="A74" i="96" a="1"/>
  <c r="A74" i="96" s="1"/>
  <c r="A10" i="96" a="1"/>
  <c r="A10" i="96" s="1"/>
  <c r="E11" i="96" s="1"/>
  <c r="F6" i="96" a="1"/>
  <c r="F6" i="96" s="1"/>
  <c r="B6" i="96" s="1"/>
  <c r="A71" i="96" a="1"/>
  <c r="A71" i="96" s="1"/>
  <c r="F9" i="96" a="1"/>
  <c r="F9" i="96" s="1"/>
  <c r="A39" i="96" a="1"/>
  <c r="A39" i="96" s="1"/>
  <c r="C69" i="31"/>
  <c r="C36" i="31"/>
  <c r="C27" i="14"/>
  <c r="G27" i="14"/>
  <c r="D27" i="14"/>
  <c r="B27" i="14"/>
  <c r="E27" i="14"/>
  <c r="E62" i="31"/>
  <c r="G62" i="31"/>
  <c r="C62" i="31"/>
  <c r="D62" i="31"/>
  <c r="B62" i="31"/>
  <c r="E75" i="31"/>
  <c r="G75" i="31"/>
  <c r="D75" i="31"/>
  <c r="B75" i="31"/>
  <c r="C75" i="31"/>
  <c r="E85" i="31"/>
  <c r="B85" i="31"/>
  <c r="G85" i="31"/>
  <c r="F56" i="96" a="1"/>
  <c r="F56" i="96" s="1"/>
  <c r="A37" i="96" a="1"/>
  <c r="A37" i="96" s="1"/>
  <c r="A54" i="96" a="1"/>
  <c r="A54" i="96" s="1"/>
  <c r="C54" i="96" s="1"/>
  <c r="A67" i="96" a="1"/>
  <c r="A67" i="96" s="1"/>
  <c r="A76" i="96" a="1"/>
  <c r="A76" i="96" s="1"/>
  <c r="B76" i="96" s="1"/>
  <c r="A51" i="96" a="1"/>
  <c r="A51" i="96" s="1"/>
  <c r="F33" i="96" a="1"/>
  <c r="F33" i="96" s="1"/>
  <c r="C33" i="96" s="1"/>
  <c r="B51" i="14"/>
  <c r="C51" i="14"/>
  <c r="G51" i="14"/>
  <c r="E51" i="14"/>
  <c r="D51" i="14"/>
  <c r="D56" i="14"/>
  <c r="B56" i="14"/>
  <c r="B49" i="14"/>
  <c r="G49" i="14"/>
  <c r="D49" i="14"/>
  <c r="E49" i="14"/>
  <c r="C49" i="14"/>
  <c r="D76" i="31"/>
  <c r="C76" i="31"/>
  <c r="G76" i="31"/>
  <c r="G65" i="31"/>
  <c r="D65" i="31"/>
  <c r="B29" i="31"/>
  <c r="E29" i="31"/>
  <c r="C29" i="31"/>
  <c r="D29" i="31"/>
  <c r="G29" i="31"/>
  <c r="F50" i="96" a="1"/>
  <c r="F50" i="96" s="1"/>
  <c r="B50" i="96" s="1"/>
  <c r="F82" i="96" a="1"/>
  <c r="F82" i="96" s="1"/>
  <c r="F78" i="96" a="1"/>
  <c r="F78" i="96" s="1"/>
  <c r="A78" i="96" a="1"/>
  <c r="A78" i="96" s="1"/>
  <c r="F38" i="96" a="1"/>
  <c r="F38" i="96" s="1"/>
  <c r="C38" i="96" s="1"/>
  <c r="A70" i="96" a="1"/>
  <c r="A70" i="96" s="1"/>
  <c r="G33" i="31"/>
  <c r="C33" i="31"/>
  <c r="D33" i="31"/>
  <c r="B33" i="31"/>
  <c r="E33" i="31"/>
  <c r="E33" i="14"/>
  <c r="D33" i="14"/>
  <c r="B33" i="14"/>
  <c r="C33" i="14"/>
  <c r="G33" i="14"/>
  <c r="D12" i="14"/>
  <c r="B12" i="14"/>
  <c r="C47" i="31"/>
  <c r="B47" i="31"/>
  <c r="G47" i="31"/>
  <c r="E47" i="31"/>
  <c r="D82" i="31"/>
  <c r="B82" i="31"/>
  <c r="G82" i="31"/>
  <c r="C82" i="31"/>
  <c r="E82" i="31"/>
  <c r="B51" i="101" a="1"/>
  <c r="B51" i="101" s="1"/>
  <c r="B129" i="101" a="1"/>
  <c r="B129" i="101" s="1"/>
  <c r="B243" i="101" a="1"/>
  <c r="B243" i="101" s="1"/>
  <c r="A300" i="101" a="1"/>
  <c r="A300" i="101" s="1"/>
  <c r="F63" i="91" a="1"/>
  <c r="F63" i="91" s="1"/>
  <c r="C43" i="14"/>
  <c r="G43" i="14"/>
  <c r="D43" i="14"/>
  <c r="E43" i="14"/>
  <c r="B43" i="14"/>
  <c r="B68" i="14"/>
  <c r="C68" i="14"/>
  <c r="G68" i="14"/>
  <c r="E68" i="14"/>
  <c r="D68" i="14"/>
  <c r="G45" i="31"/>
  <c r="C45" i="31"/>
  <c r="D45" i="31"/>
  <c r="B45" i="31"/>
  <c r="E45" i="31"/>
  <c r="B59" i="96"/>
  <c r="C59" i="96"/>
  <c r="E59" i="96"/>
  <c r="G59" i="96"/>
  <c r="D59" i="96"/>
  <c r="D17" i="96"/>
  <c r="C17" i="96"/>
  <c r="B17" i="96"/>
  <c r="C42" i="96"/>
  <c r="D42" i="96"/>
  <c r="B42" i="96"/>
  <c r="B36" i="96"/>
  <c r="C36" i="96"/>
  <c r="D83" i="96"/>
  <c r="B83" i="96"/>
  <c r="C83" i="96"/>
  <c r="E83" i="96"/>
  <c r="G83" i="96"/>
  <c r="J244" i="101" a="1"/>
  <c r="J244" i="101" s="1"/>
  <c r="B60" i="101" a="1"/>
  <c r="B60" i="101" s="1"/>
  <c r="F77" i="35" a="1"/>
  <c r="F77" i="35" s="1"/>
  <c r="A12" i="35" a="1"/>
  <c r="A12" i="35" s="1"/>
  <c r="F13" i="35" a="1"/>
  <c r="F13" i="35" s="1"/>
  <c r="F26" i="35" a="1"/>
  <c r="F26" i="35" s="1"/>
  <c r="F18" i="35" a="1"/>
  <c r="F18" i="35" s="1"/>
  <c r="A32" i="35" a="1"/>
  <c r="A32" i="35" s="1"/>
  <c r="A67" i="35" a="1"/>
  <c r="A67" i="35" s="1"/>
  <c r="A320" i="101" a="1"/>
  <c r="A320" i="101" s="1"/>
  <c r="F80" i="36" a="1"/>
  <c r="F80" i="36" s="1"/>
  <c r="A52" i="35" a="1"/>
  <c r="A52" i="35" s="1"/>
  <c r="A83" i="35" a="1"/>
  <c r="A83" i="35" s="1"/>
  <c r="A79" i="35" a="1"/>
  <c r="A79" i="35" s="1"/>
  <c r="A43" i="35" a="1"/>
  <c r="A43" i="35" s="1"/>
  <c r="F80" i="35" a="1"/>
  <c r="F80" i="35" s="1"/>
  <c r="F31" i="35" a="1"/>
  <c r="F31" i="35" s="1"/>
  <c r="A44" i="35" a="1"/>
  <c r="A44" i="35" s="1"/>
  <c r="F64" i="35" a="1"/>
  <c r="F64" i="35" s="1"/>
  <c r="A170" i="101" a="1"/>
  <c r="A170" i="101" s="1"/>
  <c r="J49" i="101" a="1"/>
  <c r="J49" i="101" s="1"/>
  <c r="J243" i="101" a="1"/>
  <c r="J243" i="101" s="1"/>
  <c r="A57" i="35" a="1"/>
  <c r="A57" i="35" s="1"/>
  <c r="A66" i="35" a="1"/>
  <c r="A66" i="35" s="1"/>
  <c r="A65" i="35" a="1"/>
  <c r="A65" i="35" s="1"/>
  <c r="F27" i="35" a="1"/>
  <c r="F27" i="35" s="1"/>
  <c r="F65" i="35" a="1"/>
  <c r="F65" i="35" s="1"/>
  <c r="F68" i="35" a="1"/>
  <c r="F68" i="35" s="1"/>
  <c r="F8" i="35" a="1"/>
  <c r="F8" i="35" s="1"/>
  <c r="F81" i="35" a="1"/>
  <c r="F81" i="35" s="1"/>
  <c r="A164" i="101" a="1"/>
  <c r="A164" i="101" s="1"/>
  <c r="J90" i="101" a="1"/>
  <c r="J90" i="101" s="1"/>
  <c r="F39" i="35" a="1"/>
  <c r="F39" i="35" s="1"/>
  <c r="A84" i="35" a="1"/>
  <c r="A84" i="35" s="1"/>
  <c r="F47" i="35" a="1"/>
  <c r="F47" i="35" s="1"/>
  <c r="A22" i="35" a="1"/>
  <c r="A22" i="35" s="1"/>
  <c r="F25" i="35" a="1"/>
  <c r="F25" i="35" s="1"/>
  <c r="F43" i="35" a="1"/>
  <c r="F43" i="35" s="1"/>
  <c r="A61" i="35" a="1"/>
  <c r="A61" i="35" s="1"/>
  <c r="A245" i="101" a="1"/>
  <c r="A245" i="101" s="1"/>
  <c r="A273" i="101" a="1"/>
  <c r="A273" i="101" s="1"/>
  <c r="A49" i="35" a="1"/>
  <c r="A49" i="35" s="1"/>
  <c r="A13" i="35" a="1"/>
  <c r="A13" i="35" s="1"/>
  <c r="F69" i="35" a="1"/>
  <c r="F69" i="35" s="1"/>
  <c r="A14" i="35" a="1"/>
  <c r="A14" i="35" s="1"/>
  <c r="F82" i="35" a="1"/>
  <c r="F82" i="35" s="1"/>
  <c r="A53" i="35" a="1"/>
  <c r="A53" i="35" s="1"/>
  <c r="F74" i="35" a="1"/>
  <c r="F74" i="35" s="1"/>
  <c r="J291" i="101" a="1"/>
  <c r="J291" i="101" s="1"/>
  <c r="F58" i="91" a="1"/>
  <c r="F58" i="91" s="1"/>
  <c r="D19" i="31"/>
  <c r="C19" i="31"/>
  <c r="B19" i="31"/>
  <c r="G19" i="31"/>
  <c r="E19" i="31"/>
  <c r="G83" i="31"/>
  <c r="D83" i="31"/>
  <c r="E83" i="31"/>
  <c r="C83" i="31"/>
  <c r="B83" i="31"/>
  <c r="G17" i="31"/>
  <c r="E17" i="31"/>
  <c r="B17" i="31"/>
  <c r="D17" i="31"/>
  <c r="C17" i="31"/>
  <c r="C61" i="96"/>
  <c r="B61" i="96"/>
  <c r="G61" i="96"/>
  <c r="D61" i="96"/>
  <c r="E61" i="96"/>
  <c r="B15" i="96"/>
  <c r="C15" i="96"/>
  <c r="D15" i="96"/>
  <c r="C84" i="96"/>
  <c r="D84" i="96"/>
  <c r="E84" i="96"/>
  <c r="B84" i="96"/>
  <c r="G84" i="96"/>
  <c r="C85" i="96"/>
  <c r="E85" i="96"/>
  <c r="B85" i="96"/>
  <c r="G85" i="96"/>
  <c r="D85" i="96"/>
  <c r="D32" i="96"/>
  <c r="C32" i="96"/>
  <c r="B32" i="96"/>
  <c r="B33" i="96"/>
  <c r="D33" i="96"/>
  <c r="C8" i="14"/>
  <c r="J135" i="101" a="1"/>
  <c r="J135" i="101" s="1"/>
  <c r="F84" i="35" a="1"/>
  <c r="F84" i="35" s="1"/>
  <c r="A21" i="35" a="1"/>
  <c r="A21" i="35" s="1"/>
  <c r="A55" i="35" a="1"/>
  <c r="A55" i="35" s="1"/>
  <c r="A34" i="35" a="1"/>
  <c r="A34" i="35" s="1"/>
  <c r="F78" i="35" a="1"/>
  <c r="F78" i="35" s="1"/>
  <c r="A85" i="35" a="1"/>
  <c r="A85" i="35" s="1"/>
  <c r="A45" i="35" a="1"/>
  <c r="A45" i="35" s="1"/>
  <c r="J346" i="101" a="1"/>
  <c r="J346" i="101" s="1"/>
  <c r="A286" i="101" a="1"/>
  <c r="A286" i="101" s="1"/>
  <c r="A73" i="24" a="1"/>
  <c r="A73" i="24" s="1"/>
  <c r="A20" i="35" a="1"/>
  <c r="A20" i="35" s="1"/>
  <c r="F66" i="35" a="1"/>
  <c r="F66" i="35" s="1"/>
  <c r="F35" i="35" a="1"/>
  <c r="F35" i="35" s="1"/>
  <c r="A7" i="35" a="1"/>
  <c r="A7" i="35" s="1"/>
  <c r="A58" i="35" a="1"/>
  <c r="A58" i="35" s="1"/>
  <c r="F61" i="35" a="1"/>
  <c r="F61" i="35" s="1"/>
  <c r="A11" i="35" a="1"/>
  <c r="A11" i="35" s="1"/>
  <c r="J206" i="101" a="1"/>
  <c r="J206" i="101" s="1"/>
  <c r="F7" i="91" a="1"/>
  <c r="F7" i="91" s="1"/>
  <c r="B84" i="14"/>
  <c r="C84" i="14"/>
  <c r="D84" i="14"/>
  <c r="G84" i="14"/>
  <c r="E84" i="14"/>
  <c r="D10" i="14"/>
  <c r="B10" i="14"/>
  <c r="E10" i="14"/>
  <c r="C10" i="14"/>
  <c r="D78" i="14"/>
  <c r="C78" i="14"/>
  <c r="G78" i="14"/>
  <c r="E78" i="14"/>
  <c r="B78" i="14"/>
  <c r="D38" i="31"/>
  <c r="G38" i="31"/>
  <c r="C38" i="31"/>
  <c r="B38" i="31"/>
  <c r="E38" i="31"/>
  <c r="D30" i="31"/>
  <c r="B30" i="31"/>
  <c r="G30" i="31"/>
  <c r="E30" i="31"/>
  <c r="C30" i="31"/>
  <c r="B28" i="31"/>
  <c r="D28" i="31"/>
  <c r="E28" i="31"/>
  <c r="C28" i="31"/>
  <c r="G28" i="31"/>
  <c r="B61" i="14"/>
  <c r="C61" i="14"/>
  <c r="E61" i="14"/>
  <c r="G61" i="14"/>
  <c r="D61" i="14"/>
  <c r="D13" i="96"/>
  <c r="C13" i="96"/>
  <c r="B13" i="96"/>
  <c r="E52" i="96"/>
  <c r="D52" i="96"/>
  <c r="B52" i="96"/>
  <c r="C52" i="96"/>
  <c r="C22" i="96"/>
  <c r="D22" i="96"/>
  <c r="B22" i="96"/>
  <c r="C53" i="96"/>
  <c r="E35" i="96"/>
  <c r="B35" i="96"/>
  <c r="D35" i="96"/>
  <c r="C35" i="96"/>
  <c r="D8" i="14"/>
  <c r="B39" i="14"/>
  <c r="C39" i="14"/>
  <c r="E39" i="14"/>
  <c r="G39" i="14"/>
  <c r="D39" i="14"/>
  <c r="C83" i="14"/>
  <c r="B83" i="14"/>
  <c r="D83" i="14"/>
  <c r="E83" i="14"/>
  <c r="G83" i="14"/>
  <c r="B41" i="14"/>
  <c r="G41" i="14"/>
  <c r="E41" i="14"/>
  <c r="D41" i="14"/>
  <c r="C41" i="14"/>
  <c r="B82" i="14"/>
  <c r="G82" i="14"/>
  <c r="E82" i="14"/>
  <c r="D82" i="14"/>
  <c r="C82" i="14"/>
  <c r="G81" i="14"/>
  <c r="D81" i="14"/>
  <c r="E81" i="14"/>
  <c r="B81" i="14"/>
  <c r="C81" i="14"/>
  <c r="D28" i="96"/>
  <c r="B28" i="96"/>
  <c r="C28" i="96"/>
  <c r="D55" i="96"/>
  <c r="B55" i="96"/>
  <c r="G57" i="96"/>
  <c r="B57" i="96"/>
  <c r="C57" i="96"/>
  <c r="E57" i="96"/>
  <c r="D57" i="96"/>
  <c r="B126" i="101" a="1"/>
  <c r="B126" i="101" s="1"/>
  <c r="A56" i="35" a="1"/>
  <c r="A56" i="35" s="1"/>
  <c r="F46" i="35" a="1"/>
  <c r="F46" i="35" s="1"/>
  <c r="A76" i="35" a="1"/>
  <c r="A76" i="35" s="1"/>
  <c r="F44" i="35" a="1"/>
  <c r="F44" i="35" s="1"/>
  <c r="F67" i="35" a="1"/>
  <c r="F67" i="35" s="1"/>
  <c r="A39" i="35" a="1"/>
  <c r="A39" i="35" s="1"/>
  <c r="F50" i="35" a="1"/>
  <c r="F50" i="35" s="1"/>
  <c r="B52" i="101" a="1"/>
  <c r="B52" i="101" s="1"/>
  <c r="A47" i="101" a="1"/>
  <c r="A47" i="101" s="1"/>
  <c r="A31" i="91" a="1"/>
  <c r="A31" i="91" s="1"/>
  <c r="D9" i="14"/>
  <c r="E9" i="14"/>
  <c r="C9" i="14"/>
  <c r="B9" i="14"/>
  <c r="E12" i="14"/>
  <c r="E11" i="14"/>
  <c r="D59" i="14"/>
  <c r="G59" i="14"/>
  <c r="E59" i="14"/>
  <c r="B59" i="14"/>
  <c r="C59" i="14"/>
  <c r="B46" i="96"/>
  <c r="C46" i="96"/>
  <c r="D46" i="96"/>
  <c r="D6" i="96"/>
  <c r="C31" i="96"/>
  <c r="D31" i="96"/>
  <c r="B31" i="96"/>
  <c r="B16" i="96"/>
  <c r="D16" i="96"/>
  <c r="C16" i="96"/>
  <c r="E16" i="96"/>
  <c r="C44" i="96"/>
  <c r="D44" i="96"/>
  <c r="B44" i="96"/>
  <c r="D21" i="96"/>
  <c r="B21" i="96"/>
  <c r="C21" i="96"/>
  <c r="B28" i="14"/>
  <c r="E28" i="14"/>
  <c r="C28" i="14"/>
  <c r="D28" i="14"/>
  <c r="G28" i="14"/>
  <c r="E65" i="14"/>
  <c r="D65" i="14"/>
  <c r="G65" i="14"/>
  <c r="C65" i="14"/>
  <c r="B65" i="14"/>
  <c r="D21" i="14"/>
  <c r="B21" i="14"/>
  <c r="C21" i="14"/>
  <c r="G21" i="14"/>
  <c r="E21" i="14"/>
  <c r="E70" i="31"/>
  <c r="D70" i="31"/>
  <c r="G70" i="31"/>
  <c r="B70" i="31"/>
  <c r="C70" i="31"/>
  <c r="E56" i="96"/>
  <c r="D12" i="96"/>
  <c r="C12" i="96"/>
  <c r="B12" i="96"/>
  <c r="E12" i="96"/>
  <c r="C43" i="96"/>
  <c r="B43" i="96"/>
  <c r="D43" i="96"/>
  <c r="D69" i="96"/>
  <c r="E69" i="96"/>
  <c r="B69" i="96"/>
  <c r="G69" i="96"/>
  <c r="C69" i="96"/>
  <c r="B40" i="14"/>
  <c r="G40" i="14"/>
  <c r="C40" i="14"/>
  <c r="D40" i="14"/>
  <c r="E40" i="14"/>
  <c r="E76" i="14"/>
  <c r="G76" i="14"/>
  <c r="B76" i="14"/>
  <c r="C76" i="14"/>
  <c r="D76" i="14"/>
  <c r="B58" i="31"/>
  <c r="E58" i="31"/>
  <c r="G58" i="31"/>
  <c r="D58" i="31"/>
  <c r="C58" i="31"/>
  <c r="G84" i="31"/>
  <c r="D84" i="31"/>
  <c r="C84" i="31"/>
  <c r="B84" i="31"/>
  <c r="E84" i="31"/>
  <c r="G70" i="14"/>
  <c r="E70" i="14"/>
  <c r="D70" i="14"/>
  <c r="C70" i="14"/>
  <c r="B70" i="14"/>
  <c r="D56" i="96"/>
  <c r="E20" i="96"/>
  <c r="C74" i="96"/>
  <c r="D74" i="96"/>
  <c r="B74" i="96"/>
  <c r="E74" i="96"/>
  <c r="G74" i="96"/>
  <c r="E10" i="96"/>
  <c r="C10" i="96"/>
  <c r="D10" i="96"/>
  <c r="B10" i="96"/>
  <c r="E71" i="96"/>
  <c r="G71" i="96"/>
  <c r="D71" i="96"/>
  <c r="B71" i="96"/>
  <c r="C71" i="96"/>
  <c r="D39" i="96"/>
  <c r="B39" i="96"/>
  <c r="C39" i="96"/>
  <c r="E39" i="96"/>
  <c r="E26" i="96"/>
  <c r="E27" i="96"/>
  <c r="B40" i="96"/>
  <c r="E45" i="96"/>
  <c r="A16" i="35" a="1"/>
  <c r="A16" i="35" s="1"/>
  <c r="F33" i="35" a="1"/>
  <c r="F33" i="35" s="1"/>
  <c r="F22" i="35" a="1"/>
  <c r="F22" i="35" s="1"/>
  <c r="A73" i="35" a="1"/>
  <c r="A73" i="35" s="1"/>
  <c r="F9" i="35" a="1"/>
  <c r="F9" i="35" s="1"/>
  <c r="F42" i="35" a="1"/>
  <c r="F42" i="35" s="1"/>
  <c r="A30" i="35" a="1"/>
  <c r="A30" i="35" s="1"/>
  <c r="B52" i="14"/>
  <c r="D52" i="14"/>
  <c r="C52" i="14"/>
  <c r="G52" i="14"/>
  <c r="E52" i="14"/>
  <c r="B30" i="14"/>
  <c r="G30" i="14"/>
  <c r="C30" i="14"/>
  <c r="D30" i="14"/>
  <c r="E30" i="14"/>
  <c r="B49" i="31"/>
  <c r="G49" i="31"/>
  <c r="D49" i="31"/>
  <c r="E49" i="31"/>
  <c r="C49" i="31"/>
  <c r="G14" i="14"/>
  <c r="D14" i="14"/>
  <c r="C14" i="14"/>
  <c r="E14" i="14"/>
  <c r="B14" i="14"/>
  <c r="B60" i="31"/>
  <c r="C60" i="31"/>
  <c r="E60" i="31"/>
  <c r="D60" i="31"/>
  <c r="G60" i="31"/>
  <c r="E36" i="96"/>
  <c r="C37" i="96"/>
  <c r="B37" i="96"/>
  <c r="E37" i="96"/>
  <c r="D37" i="96"/>
  <c r="E54" i="96"/>
  <c r="B54" i="96"/>
  <c r="D54" i="96"/>
  <c r="D67" i="96"/>
  <c r="C67" i="96"/>
  <c r="B67" i="96"/>
  <c r="E67" i="96"/>
  <c r="G67" i="96"/>
  <c r="C76" i="96"/>
  <c r="E76" i="96"/>
  <c r="G76" i="96"/>
  <c r="D76" i="96"/>
  <c r="D51" i="96"/>
  <c r="C51" i="96"/>
  <c r="B51" i="96"/>
  <c r="E51" i="96"/>
  <c r="B26" i="96"/>
  <c r="C40" i="96"/>
  <c r="C45" i="96"/>
  <c r="C47" i="96"/>
  <c r="D17" i="14"/>
  <c r="E17" i="14"/>
  <c r="B17" i="14"/>
  <c r="G17" i="14"/>
  <c r="C17" i="14"/>
  <c r="E50" i="14"/>
  <c r="D50" i="14"/>
  <c r="C50" i="14"/>
  <c r="G50" i="14"/>
  <c r="B50" i="14"/>
  <c r="E8" i="31"/>
  <c r="B8" i="31"/>
  <c r="C8" i="31"/>
  <c r="D8" i="31"/>
  <c r="G8" i="31"/>
  <c r="G46" i="14"/>
  <c r="B46" i="14"/>
  <c r="C46" i="14"/>
  <c r="E46" i="14"/>
  <c r="D46" i="14"/>
  <c r="A3" i="96"/>
  <c r="C78" i="96"/>
  <c r="E78" i="96"/>
  <c r="B78" i="96"/>
  <c r="D78" i="96"/>
  <c r="G78" i="96"/>
  <c r="E70" i="96"/>
  <c r="B70" i="96"/>
  <c r="D70" i="96"/>
  <c r="C70" i="96"/>
  <c r="G70" i="96"/>
  <c r="A3" i="14"/>
  <c r="D45" i="96"/>
  <c r="E47" i="96"/>
  <c r="F12" i="35" a="1"/>
  <c r="F12" i="35" s="1"/>
  <c r="F29" i="35" a="1"/>
  <c r="F29" i="35" s="1"/>
  <c r="F20" i="35" a="1"/>
  <c r="F20" i="35" s="1"/>
  <c r="F56" i="35" a="1"/>
  <c r="F56" i="35" s="1"/>
  <c r="A18" i="35" a="1"/>
  <c r="A18" i="35" s="1"/>
  <c r="F36" i="35" a="1"/>
  <c r="F36" i="35" s="1"/>
  <c r="F14" i="35" a="1"/>
  <c r="F14" i="35" s="1"/>
  <c r="A41" i="35" a="1"/>
  <c r="A41" i="35" s="1"/>
  <c r="A24" i="35" a="1"/>
  <c r="A24" i="35" s="1"/>
  <c r="A78" i="35" a="1"/>
  <c r="A78" i="35" s="1"/>
  <c r="F17" i="35" a="1"/>
  <c r="F17" i="35" s="1"/>
  <c r="F37" i="35" a="1"/>
  <c r="F37" i="35" s="1"/>
  <c r="F52" i="35" a="1"/>
  <c r="F52" i="35" s="1"/>
  <c r="F83" i="35" a="1"/>
  <c r="F83" i="35" s="1"/>
  <c r="F34" i="35" a="1"/>
  <c r="F34" i="35" s="1"/>
  <c r="G73" i="14"/>
  <c r="E73" i="14"/>
  <c r="B73" i="14"/>
  <c r="D73" i="14"/>
  <c r="C73" i="14"/>
  <c r="E54" i="14"/>
  <c r="D54" i="14"/>
  <c r="G54" i="14"/>
  <c r="B54" i="14"/>
  <c r="C54" i="14"/>
  <c r="G21" i="31"/>
  <c r="C21" i="31"/>
  <c r="E21" i="31"/>
  <c r="D21" i="31"/>
  <c r="B21" i="31"/>
  <c r="C7" i="96"/>
  <c r="C25" i="96"/>
  <c r="D25" i="96"/>
  <c r="B66" i="96"/>
  <c r="G66" i="96"/>
  <c r="E66" i="96"/>
  <c r="C66" i="96"/>
  <c r="D66" i="96"/>
  <c r="B18" i="96"/>
  <c r="D18" i="96"/>
  <c r="E18" i="96"/>
  <c r="C18" i="96"/>
  <c r="D23" i="96"/>
  <c r="D6" i="31"/>
  <c r="C67" i="14"/>
  <c r="G67" i="14"/>
  <c r="E67" i="14"/>
  <c r="B67" i="14"/>
  <c r="D67" i="14"/>
  <c r="D77" i="14"/>
  <c r="B77" i="14"/>
  <c r="C77" i="14"/>
  <c r="G77" i="14"/>
  <c r="E77" i="14"/>
  <c r="C27" i="31"/>
  <c r="B27" i="31"/>
  <c r="E27" i="31"/>
  <c r="G27" i="31"/>
  <c r="D27" i="31"/>
  <c r="B78" i="31"/>
  <c r="E78" i="31"/>
  <c r="D78" i="31"/>
  <c r="C78" i="31"/>
  <c r="G78" i="31"/>
  <c r="D54" i="31"/>
  <c r="C54" i="31"/>
  <c r="E54" i="31"/>
  <c r="G54" i="31"/>
  <c r="B54" i="31"/>
  <c r="G16" i="31"/>
  <c r="B16" i="31"/>
  <c r="C16" i="31"/>
  <c r="E16" i="31"/>
  <c r="D16" i="31"/>
  <c r="B56" i="96"/>
  <c r="G63" i="96"/>
  <c r="C63" i="96"/>
  <c r="D63" i="96"/>
  <c r="E63" i="96"/>
  <c r="B63" i="96"/>
  <c r="B14" i="96"/>
  <c r="C14" i="96"/>
  <c r="D14" i="96"/>
  <c r="E14" i="96"/>
  <c r="D9" i="96"/>
  <c r="B9" i="96"/>
  <c r="E41" i="96"/>
  <c r="C9" i="96"/>
  <c r="E9" i="96"/>
  <c r="E24" i="96"/>
  <c r="E49" i="96"/>
  <c r="E40" i="96"/>
  <c r="E23" i="96"/>
  <c r="E19" i="96"/>
  <c r="A23" i="22" a="1"/>
  <c r="A23" i="22" s="1"/>
  <c r="F52" i="22" a="1"/>
  <c r="F52" i="22" s="1"/>
  <c r="F64" i="22" a="1"/>
  <c r="F64" i="22" s="1"/>
  <c r="A37" i="22" a="1"/>
  <c r="A37" i="22" s="1"/>
  <c r="F38" i="91" a="1"/>
  <c r="F38" i="91" s="1"/>
  <c r="J26" i="51" a="1"/>
  <c r="J26" i="51" s="1"/>
  <c r="A74" i="51" a="1"/>
  <c r="A74" i="51" s="1"/>
  <c r="A61" i="51" a="1"/>
  <c r="A61" i="51" s="1"/>
  <c r="B35" i="51" a="1"/>
  <c r="B35" i="51" s="1"/>
  <c r="A85" i="51" a="1"/>
  <c r="A85" i="51" s="1"/>
  <c r="J61" i="51" a="1"/>
  <c r="J61" i="51" s="1"/>
  <c r="A10" i="51" a="1"/>
  <c r="A10" i="51" s="1"/>
  <c r="A76" i="51" a="1"/>
  <c r="A76" i="51" s="1"/>
  <c r="J66" i="51" a="1"/>
  <c r="J66" i="51" s="1"/>
  <c r="J77" i="51" a="1"/>
  <c r="J77" i="51" s="1"/>
  <c r="J37" i="51" a="1"/>
  <c r="J37" i="51" s="1"/>
  <c r="A57" i="51" a="1"/>
  <c r="A57" i="51" s="1"/>
  <c r="A53" i="51" a="1"/>
  <c r="A53" i="51" s="1"/>
  <c r="A59" i="51" a="1"/>
  <c r="A59" i="51" s="1"/>
  <c r="J18" i="51" a="1"/>
  <c r="J18" i="51" s="1"/>
  <c r="B18" i="51" a="1"/>
  <c r="B18" i="51" s="1"/>
  <c r="A70" i="51" a="1"/>
  <c r="A70" i="51" s="1"/>
  <c r="J60" i="51" a="1"/>
  <c r="J60" i="51" s="1"/>
  <c r="A17" i="51" a="1"/>
  <c r="A17" i="51" s="1"/>
  <c r="B54" i="51" a="1"/>
  <c r="B54" i="51" s="1"/>
  <c r="J62" i="51" a="1"/>
  <c r="J62" i="51" s="1"/>
  <c r="B79" i="51" a="1"/>
  <c r="B79" i="51" s="1"/>
  <c r="B76" i="51" a="1"/>
  <c r="B76" i="51" s="1"/>
  <c r="J21" i="51" a="1"/>
  <c r="J21" i="51" s="1"/>
  <c r="J45" i="51" a="1"/>
  <c r="J45" i="51" s="1"/>
  <c r="J17" i="51" a="1"/>
  <c r="J17" i="51" s="1"/>
  <c r="A35" i="51" a="1"/>
  <c r="A35" i="51" s="1"/>
  <c r="J36" i="51" a="1"/>
  <c r="J36" i="51" s="1"/>
  <c r="A39" i="51" a="1"/>
  <c r="A39" i="51" s="1"/>
  <c r="B26" i="51" a="1"/>
  <c r="B26" i="51" s="1"/>
  <c r="B82" i="51" a="1"/>
  <c r="B82" i="51" s="1"/>
  <c r="B9" i="51" a="1"/>
  <c r="B9" i="51" s="1"/>
  <c r="J27" i="51" a="1"/>
  <c r="J27" i="51" s="1"/>
  <c r="B44" i="51" a="1"/>
  <c r="B44" i="51" s="1"/>
  <c r="B50" i="51" a="1"/>
  <c r="B50" i="51" s="1"/>
  <c r="B6" i="51" a="1"/>
  <c r="B6" i="51" s="1"/>
  <c r="J19" i="51" a="1"/>
  <c r="J19" i="51" s="1"/>
  <c r="J50" i="51" a="1"/>
  <c r="J50" i="51" s="1"/>
  <c r="A37" i="51" a="1"/>
  <c r="A37" i="51" s="1"/>
  <c r="J56" i="51" a="1"/>
  <c r="J56" i="51" s="1"/>
  <c r="B25" i="51" a="1"/>
  <c r="B25" i="51" s="1"/>
  <c r="J51" i="51" a="1"/>
  <c r="J51" i="51" s="1"/>
  <c r="B7" i="51" a="1"/>
  <c r="B7" i="51" s="1"/>
  <c r="J10" i="51" a="1"/>
  <c r="J10" i="51" s="1"/>
  <c r="B20" i="51" a="1"/>
  <c r="B20" i="51" s="1"/>
  <c r="J38" i="51" a="1"/>
  <c r="J38" i="51" s="1"/>
  <c r="B73" i="51" a="1"/>
  <c r="B73" i="51" s="1"/>
  <c r="J49" i="51" a="1"/>
  <c r="J49" i="51" s="1"/>
  <c r="A18" i="51" a="1"/>
  <c r="A18" i="51" s="1"/>
  <c r="J12" i="51" a="1"/>
  <c r="J12" i="51" s="1"/>
  <c r="J54" i="51" a="1"/>
  <c r="J54" i="51" s="1"/>
  <c r="B69" i="51" a="1"/>
  <c r="B69" i="51" s="1"/>
  <c r="B10" i="51" a="1"/>
  <c r="B10" i="51" s="1"/>
  <c r="A75" i="51" a="1"/>
  <c r="A75" i="51" s="1"/>
  <c r="B36" i="51" a="1"/>
  <c r="B36" i="51" s="1"/>
  <c r="A52" i="51" a="1"/>
  <c r="A52" i="51" s="1"/>
  <c r="A38" i="51" a="1"/>
  <c r="A38" i="51" s="1"/>
  <c r="B46" i="51" a="1"/>
  <c r="B46" i="51" s="1"/>
  <c r="A44" i="51" a="1"/>
  <c r="A44" i="51" s="1"/>
  <c r="B72" i="51" a="1"/>
  <c r="B72" i="51" s="1"/>
  <c r="A26" i="51" a="1"/>
  <c r="A26" i="51" s="1"/>
  <c r="B74" i="51" a="1"/>
  <c r="B74" i="51" s="1"/>
  <c r="J76" i="51" a="1"/>
  <c r="J76" i="51" s="1"/>
  <c r="B19" i="51" a="1"/>
  <c r="B19" i="51" s="1"/>
  <c r="J52" i="51" a="1"/>
  <c r="J52" i="51" s="1"/>
  <c r="A83" i="51" a="1"/>
  <c r="A83" i="51" s="1"/>
  <c r="J32" i="51" a="1"/>
  <c r="J32" i="51" s="1"/>
  <c r="B31" i="51" a="1"/>
  <c r="B31" i="51" s="1"/>
  <c r="J15" i="51" a="1"/>
  <c r="J15" i="51" s="1"/>
  <c r="B60" i="51" a="1"/>
  <c r="B60" i="51" s="1"/>
  <c r="B49" i="51" a="1"/>
  <c r="B49" i="51" s="1"/>
  <c r="J59" i="51" a="1"/>
  <c r="J59" i="51" s="1"/>
  <c r="J30" i="51" a="1"/>
  <c r="J30" i="51" s="1"/>
  <c r="J67" i="51" a="1"/>
  <c r="J67" i="51" s="1"/>
  <c r="A66" i="51" a="1"/>
  <c r="A66" i="51" s="1"/>
  <c r="J16" i="51" a="1"/>
  <c r="J16" i="51" s="1"/>
  <c r="A43" i="51" a="1"/>
  <c r="A43" i="51" s="1"/>
  <c r="A25" i="51" a="1"/>
  <c r="A25" i="51" s="1"/>
  <c r="A11" i="51" a="1"/>
  <c r="A11" i="51" s="1"/>
  <c r="A14" i="51" a="1"/>
  <c r="A14" i="51" s="1"/>
  <c r="J68" i="51" a="1"/>
  <c r="J68" i="51" s="1"/>
  <c r="B21" i="51" a="1"/>
  <c r="B21" i="51" s="1"/>
  <c r="B43" i="51" a="1"/>
  <c r="B43" i="51" s="1"/>
  <c r="B47" i="51" a="1"/>
  <c r="B47" i="51" s="1"/>
  <c r="J9" i="51" a="1"/>
  <c r="J9" i="51" s="1"/>
  <c r="A22" i="51" a="1"/>
  <c r="A22" i="51" s="1"/>
  <c r="J25" i="51" a="1"/>
  <c r="J25" i="51" s="1"/>
  <c r="B85" i="51" a="1"/>
  <c r="B85" i="51" s="1"/>
  <c r="A46" i="51" a="1"/>
  <c r="A46" i="51" s="1"/>
  <c r="B77" i="51" a="1"/>
  <c r="B77" i="51" s="1"/>
  <c r="A54" i="51" a="1"/>
  <c r="A54" i="51" s="1"/>
  <c r="A40" i="51" a="1"/>
  <c r="A40" i="51" s="1"/>
  <c r="J73" i="51" a="1"/>
  <c r="J73" i="51" s="1"/>
  <c r="B84" i="51" a="1"/>
  <c r="B84" i="51" s="1"/>
  <c r="P6" i="51"/>
  <c r="A6" i="51" s="1" a="1"/>
  <c r="A6" i="51" s="1"/>
  <c r="J64" i="51" a="1"/>
  <c r="J64" i="51" s="1"/>
  <c r="A36" i="51" a="1"/>
  <c r="A36" i="51" s="1"/>
  <c r="B33" i="51" a="1"/>
  <c r="B33" i="51" s="1"/>
  <c r="J63" i="51" a="1"/>
  <c r="J63" i="51" s="1"/>
  <c r="J8" i="51" a="1"/>
  <c r="J8" i="51" s="1"/>
  <c r="J57" i="51" a="1"/>
  <c r="J57" i="51" s="1"/>
  <c r="A8" i="51" a="1"/>
  <c r="A8" i="51" s="1"/>
  <c r="B59" i="51" a="1"/>
  <c r="B59" i="51" s="1"/>
  <c r="B40" i="51" a="1"/>
  <c r="B40" i="51" s="1"/>
  <c r="B81" i="51" a="1"/>
  <c r="B81" i="51" s="1"/>
  <c r="J84" i="51" a="1"/>
  <c r="J84" i="51" s="1"/>
  <c r="A29" i="51" a="1"/>
  <c r="A29" i="51" s="1"/>
  <c r="J35" i="51" a="1"/>
  <c r="J35" i="51" s="1"/>
  <c r="B75" i="51" a="1"/>
  <c r="B75" i="51" s="1"/>
  <c r="J53" i="51" a="1"/>
  <c r="J53" i="51" s="1"/>
  <c r="A72" i="51" a="1"/>
  <c r="A72" i="51" s="1"/>
  <c r="J70" i="51" a="1"/>
  <c r="J70" i="51" s="1"/>
  <c r="J28" i="51" a="1"/>
  <c r="J28" i="51" s="1"/>
  <c r="A24" i="51" a="1"/>
  <c r="A24" i="51" s="1"/>
  <c r="B15" i="51" a="1"/>
  <c r="B15" i="51" s="1"/>
  <c r="J74" i="51" a="1"/>
  <c r="J74" i="51" s="1"/>
  <c r="A67" i="51" a="1"/>
  <c r="A67" i="51" s="1"/>
  <c r="B63" i="51" a="1"/>
  <c r="B63" i="51" s="1"/>
  <c r="J83" i="51" a="1"/>
  <c r="J83" i="51" s="1"/>
  <c r="B12" i="51" a="1"/>
  <c r="B12" i="51" s="1"/>
  <c r="A34" i="51" a="1"/>
  <c r="A34" i="51" s="1"/>
  <c r="A73" i="51" a="1"/>
  <c r="A73" i="51" s="1"/>
  <c r="B48" i="51" a="1"/>
  <c r="B48" i="51" s="1"/>
  <c r="A77" i="51" a="1"/>
  <c r="A77" i="51" s="1"/>
  <c r="B67" i="51" a="1"/>
  <c r="B67" i="51" s="1"/>
  <c r="J23" i="51" a="1"/>
  <c r="J23" i="51" s="1"/>
  <c r="B70" i="51" a="1"/>
  <c r="B70" i="51" s="1"/>
  <c r="A64" i="51" a="1"/>
  <c r="A64" i="51" s="1"/>
  <c r="B14" i="51" a="1"/>
  <c r="B14" i="51" s="1"/>
  <c r="B13" i="51" a="1"/>
  <c r="B13" i="51" s="1"/>
  <c r="A49" i="51" a="1"/>
  <c r="A49" i="51" s="1"/>
  <c r="B39" i="51" a="1"/>
  <c r="B39" i="51" s="1"/>
  <c r="A81" i="51" a="1"/>
  <c r="A81" i="51" s="1"/>
  <c r="J44" i="51" a="1"/>
  <c r="J44" i="51" s="1"/>
  <c r="B57" i="51" a="1"/>
  <c r="B57" i="51" s="1"/>
  <c r="J47" i="51" a="1"/>
  <c r="J47" i="51" s="1"/>
  <c r="B28" i="51" a="1"/>
  <c r="B28" i="51" s="1"/>
  <c r="J71" i="51" a="1"/>
  <c r="J71" i="51" s="1"/>
  <c r="J6" i="51" a="1"/>
  <c r="J6" i="51" s="1"/>
  <c r="A48" i="51" a="1"/>
  <c r="A48" i="51" s="1"/>
  <c r="B34" i="51" a="1"/>
  <c r="B34" i="51" s="1"/>
  <c r="J40" i="51" a="1"/>
  <c r="J40" i="51" s="1"/>
  <c r="B30" i="51" a="1"/>
  <c r="B30" i="51" s="1"/>
  <c r="B68" i="51" a="1"/>
  <c r="B68" i="51" s="1"/>
  <c r="A16" i="51" a="1"/>
  <c r="A16" i="51" s="1"/>
  <c r="A12" i="51" a="1"/>
  <c r="A12" i="51" s="1"/>
  <c r="B51" i="51" a="1"/>
  <c r="B51" i="51" s="1"/>
  <c r="A21" i="51" a="1"/>
  <c r="A21" i="51" s="1"/>
  <c r="A80" i="51" a="1"/>
  <c r="A80" i="51" s="1"/>
  <c r="A45" i="51" a="1"/>
  <c r="A45" i="51" s="1"/>
  <c r="A60" i="51" a="1"/>
  <c r="A60" i="51" s="1"/>
  <c r="J41" i="51" a="1"/>
  <c r="J41" i="51" s="1"/>
  <c r="B56" i="51" a="1"/>
  <c r="B56" i="51" s="1"/>
  <c r="J7" i="51" a="1"/>
  <c r="J7" i="51" s="1"/>
  <c r="A68" i="51" a="1"/>
  <c r="A68" i="51" s="1"/>
  <c r="J39" i="51" a="1"/>
  <c r="J39" i="51" s="1"/>
  <c r="J81" i="51" a="1"/>
  <c r="J81" i="51" s="1"/>
  <c r="B53" i="51" a="1"/>
  <c r="B53" i="51" s="1"/>
  <c r="J79" i="51" a="1"/>
  <c r="J79" i="51" s="1"/>
  <c r="A50" i="51" a="1"/>
  <c r="A50" i="51" s="1"/>
  <c r="J72" i="51" a="1"/>
  <c r="J72" i="51" s="1"/>
  <c r="B8" i="51" a="1"/>
  <c r="B8" i="51" s="1"/>
  <c r="J42" i="51" a="1"/>
  <c r="J42" i="51" s="1"/>
  <c r="B78" i="51" a="1"/>
  <c r="B78" i="51" s="1"/>
  <c r="B11" i="51" a="1"/>
  <c r="B11" i="51" s="1"/>
  <c r="J69" i="51" a="1"/>
  <c r="J69" i="51" s="1"/>
  <c r="A51" i="51" a="1"/>
  <c r="A51" i="51" s="1"/>
  <c r="B37" i="51" a="1"/>
  <c r="B37" i="51" s="1"/>
  <c r="J29" i="51" a="1"/>
  <c r="J29" i="51" s="1"/>
  <c r="J11" i="51" a="1"/>
  <c r="J11" i="51" s="1"/>
  <c r="J13" i="51" a="1"/>
  <c r="J13" i="51" s="1"/>
  <c r="A20" i="51" a="1"/>
  <c r="A20" i="51" s="1"/>
  <c r="B66" i="51" a="1"/>
  <c r="B66" i="51" s="1"/>
  <c r="B16" i="51" a="1"/>
  <c r="B16" i="51" s="1"/>
  <c r="B52" i="51" a="1"/>
  <c r="B52" i="51" s="1"/>
  <c r="B61" i="51" a="1"/>
  <c r="B61" i="51" s="1"/>
  <c r="J75" i="51" a="1"/>
  <c r="J75" i="51" s="1"/>
  <c r="A69" i="51" a="1"/>
  <c r="A69" i="51" s="1"/>
  <c r="J82" i="51" a="1"/>
  <c r="J82" i="51" s="1"/>
  <c r="B80" i="51" a="1"/>
  <c r="B80" i="51" s="1"/>
  <c r="B83" i="51" a="1"/>
  <c r="B83" i="51" s="1"/>
  <c r="J48" i="51" a="1"/>
  <c r="J48" i="51" s="1"/>
  <c r="A7" i="51" a="1"/>
  <c r="A7" i="51" s="1"/>
  <c r="A65" i="51" a="1"/>
  <c r="A65" i="51" s="1"/>
  <c r="B55" i="51" a="1"/>
  <c r="B55" i="51" s="1"/>
  <c r="A13" i="51" a="1"/>
  <c r="A13" i="51" s="1"/>
  <c r="B42" i="51" a="1"/>
  <c r="B42" i="51" s="1"/>
  <c r="B29" i="51" a="1"/>
  <c r="B29" i="51" s="1"/>
  <c r="J20" i="51" a="1"/>
  <c r="J20" i="51" s="1"/>
  <c r="J24" i="51" a="1"/>
  <c r="J24" i="51" s="1"/>
  <c r="J80" i="51" a="1"/>
  <c r="J80" i="51" s="1"/>
  <c r="A41" i="51" a="1"/>
  <c r="A41" i="51" s="1"/>
  <c r="J55" i="51" a="1"/>
  <c r="J55" i="51" s="1"/>
  <c r="B41" i="51" a="1"/>
  <c r="B41" i="51" s="1"/>
  <c r="A79" i="51" a="1"/>
  <c r="A79" i="51" s="1"/>
  <c r="A71" i="51" a="1"/>
  <c r="A71" i="51" s="1"/>
  <c r="A58" i="51" a="1"/>
  <c r="A58" i="51" s="1"/>
  <c r="B65" i="51" a="1"/>
  <c r="B65" i="51" s="1"/>
  <c r="A42" i="51" a="1"/>
  <c r="A42" i="51" s="1"/>
  <c r="A31" i="51" a="1"/>
  <c r="A31" i="51" s="1"/>
  <c r="J85" i="51" a="1"/>
  <c r="J85" i="51" s="1"/>
  <c r="B17" i="51" a="1"/>
  <c r="B17" i="51" s="1"/>
  <c r="J43" i="51" a="1"/>
  <c r="J43" i="51" s="1"/>
  <c r="B45" i="51" a="1"/>
  <c r="B45" i="51" s="1"/>
  <c r="J58" i="51" a="1"/>
  <c r="J58" i="51" s="1"/>
  <c r="B62" i="51" a="1"/>
  <c r="B62" i="51" s="1"/>
  <c r="A55" i="51" a="1"/>
  <c r="A55" i="51" s="1"/>
  <c r="J31" i="51" a="1"/>
  <c r="J31" i="51" s="1"/>
  <c r="J78" i="51" a="1"/>
  <c r="J78" i="51" s="1"/>
  <c r="B24" i="51" a="1"/>
  <c r="B24" i="51" s="1"/>
  <c r="A82" i="51" a="1"/>
  <c r="A82" i="51" s="1"/>
  <c r="A62" i="51" a="1"/>
  <c r="A62" i="51" s="1"/>
  <c r="A27" i="51" a="1"/>
  <c r="A27" i="51" s="1"/>
  <c r="J46" i="51" a="1"/>
  <c r="J46" i="51" s="1"/>
  <c r="A63" i="51" a="1"/>
  <c r="A63" i="51" s="1"/>
  <c r="B32" i="51" a="1"/>
  <c r="B32" i="51" s="1"/>
  <c r="B38" i="51" a="1"/>
  <c r="B38" i="51" s="1"/>
  <c r="A19" i="51" a="1"/>
  <c r="A19" i="51" s="1"/>
  <c r="A30" i="51" a="1"/>
  <c r="A30" i="51" s="1"/>
  <c r="B64" i="51" a="1"/>
  <c r="B64" i="51" s="1"/>
  <c r="A23" i="51" a="1"/>
  <c r="A23" i="51" s="1"/>
  <c r="J65" i="51" a="1"/>
  <c r="J65" i="51" s="1"/>
  <c r="A15" i="51" a="1"/>
  <c r="A15" i="51" s="1"/>
  <c r="A32" i="51" a="1"/>
  <c r="A32" i="51" s="1"/>
  <c r="J22" i="51" a="1"/>
  <c r="J22" i="51" s="1"/>
  <c r="J33" i="51" a="1"/>
  <c r="J33" i="51" s="1"/>
  <c r="B27" i="51" a="1"/>
  <c r="B27" i="51" s="1"/>
  <c r="J34" i="51" a="1"/>
  <c r="J34" i="51" s="1"/>
  <c r="B58" i="51" a="1"/>
  <c r="B58" i="51" s="1"/>
  <c r="A28" i="51" a="1"/>
  <c r="A28" i="51" s="1"/>
  <c r="A56" i="51" a="1"/>
  <c r="A56" i="51" s="1"/>
  <c r="A47" i="51" a="1"/>
  <c r="A47" i="51" s="1"/>
  <c r="A84" i="51" a="1"/>
  <c r="A84" i="51" s="1"/>
  <c r="B22" i="51" a="1"/>
  <c r="B22" i="51" s="1"/>
  <c r="A9" i="51" a="1"/>
  <c r="A9" i="51" s="1"/>
  <c r="B71" i="51" a="1"/>
  <c r="B71" i="51" s="1"/>
  <c r="A33" i="51" a="1"/>
  <c r="A33" i="51" s="1"/>
  <c r="B23" i="51" a="1"/>
  <c r="B23" i="51" s="1"/>
  <c r="A78" i="51" a="1"/>
  <c r="A78" i="51" s="1"/>
  <c r="J14" i="51" a="1"/>
  <c r="J14" i="51" s="1"/>
  <c r="A64" i="22" a="1"/>
  <c r="A64" i="22" s="1"/>
  <c r="F66" i="22" a="1"/>
  <c r="F66" i="22" s="1"/>
  <c r="F10" i="22" a="1"/>
  <c r="F10" i="22" s="1"/>
  <c r="A13" i="22" a="1"/>
  <c r="A13" i="22" s="1"/>
  <c r="F74" i="22" a="1"/>
  <c r="F74" i="22" s="1"/>
  <c r="F55" i="22" a="1"/>
  <c r="F55" i="22" s="1"/>
  <c r="A40" i="22" a="1"/>
  <c r="A40" i="22" s="1"/>
  <c r="A48" i="22" a="1"/>
  <c r="A48" i="22" s="1"/>
  <c r="A53" i="22" a="1"/>
  <c r="A53" i="22" s="1"/>
  <c r="A17" i="91" a="1"/>
  <c r="A17" i="91" s="1"/>
  <c r="A58" i="22" a="1"/>
  <c r="A58" i="22" s="1"/>
  <c r="A21" i="22" a="1"/>
  <c r="A21" i="22" s="1"/>
  <c r="F57" i="22" a="1"/>
  <c r="F57" i="22" s="1"/>
  <c r="F40" i="22" a="1"/>
  <c r="F40" i="22" s="1"/>
  <c r="A59" i="22" a="1"/>
  <c r="A59" i="22" s="1"/>
  <c r="F46" i="22" a="1"/>
  <c r="F46" i="22" s="1"/>
  <c r="F28" i="22" a="1"/>
  <c r="F28" i="22" s="1"/>
  <c r="F23" i="22" a="1"/>
  <c r="F23" i="22" s="1"/>
  <c r="A31" i="22" a="1"/>
  <c r="A31" i="22" s="1"/>
  <c r="A80" i="22" a="1"/>
  <c r="A80" i="22" s="1"/>
  <c r="F25" i="22" a="1"/>
  <c r="F25" i="22" s="1"/>
  <c r="F83" i="22" a="1"/>
  <c r="F83" i="22" s="1"/>
  <c r="A25" i="22" a="1"/>
  <c r="A25" i="22" s="1"/>
  <c r="A15" i="22" a="1"/>
  <c r="A15" i="22" s="1"/>
  <c r="F85" i="22" a="1"/>
  <c r="F85" i="22" s="1"/>
  <c r="F62" i="22" a="1"/>
  <c r="F62" i="22" s="1"/>
  <c r="F26" i="22" a="1"/>
  <c r="F26" i="22" s="1"/>
  <c r="A14" i="22" a="1"/>
  <c r="A14" i="22" s="1"/>
  <c r="F43" i="22" a="1"/>
  <c r="F43" i="22" s="1"/>
  <c r="A75" i="22" a="1"/>
  <c r="A75" i="22" s="1"/>
  <c r="A18" i="22" a="1"/>
  <c r="A18" i="22" s="1"/>
  <c r="A12" i="22" a="1"/>
  <c r="A12" i="22" s="1"/>
  <c r="A9" i="22" a="1"/>
  <c r="A9" i="22" s="1"/>
  <c r="F70" i="22" a="1"/>
  <c r="F70" i="22" s="1"/>
  <c r="A22" i="22" a="1"/>
  <c r="A22" i="22" s="1"/>
  <c r="A65" i="22" a="1"/>
  <c r="A65" i="22" s="1"/>
  <c r="F12" i="22" a="1"/>
  <c r="F12" i="22" s="1"/>
  <c r="A83" i="22" a="1"/>
  <c r="A83" i="22" s="1"/>
  <c r="F75" i="22" a="1"/>
  <c r="F75" i="22" s="1"/>
  <c r="A67" i="22" a="1"/>
  <c r="A67" i="22" s="1"/>
  <c r="F21" i="22" a="1"/>
  <c r="F21" i="22" s="1"/>
  <c r="F50" i="22" a="1"/>
  <c r="F50" i="22" s="1"/>
  <c r="F17" i="22" a="1"/>
  <c r="F17" i="22" s="1"/>
  <c r="A26" i="22" a="1"/>
  <c r="A26" i="22" s="1"/>
  <c r="F79" i="22" a="1"/>
  <c r="F79" i="22" s="1"/>
  <c r="A72" i="22" a="1"/>
  <c r="A72" i="22" s="1"/>
  <c r="A76" i="22" a="1"/>
  <c r="A76" i="22" s="1"/>
  <c r="A11" i="22" a="1"/>
  <c r="A11" i="22" s="1"/>
  <c r="F61" i="22" a="1"/>
  <c r="F61" i="22" s="1"/>
  <c r="A36" i="22" a="1"/>
  <c r="A36" i="22" s="1"/>
  <c r="F8" i="22" a="1"/>
  <c r="F8" i="22" s="1"/>
  <c r="F20" i="22" a="1"/>
  <c r="F20" i="22" s="1"/>
  <c r="A62" i="22" a="1"/>
  <c r="A62" i="22" s="1"/>
  <c r="A45" i="22" a="1"/>
  <c r="A45" i="22" s="1"/>
  <c r="F9" i="22" a="1"/>
  <c r="F9" i="22" s="1"/>
  <c r="K6" i="22"/>
  <c r="A6" i="22" s="1" a="1"/>
  <c r="A6" i="22" s="1"/>
  <c r="A35" i="22" a="1"/>
  <c r="A35" i="22" s="1"/>
  <c r="F41" i="22" a="1"/>
  <c r="F41" i="22" s="1"/>
  <c r="A47" i="22" a="1"/>
  <c r="A47" i="22" s="1"/>
  <c r="A29" i="22" a="1"/>
  <c r="A29" i="22" s="1"/>
  <c r="F16" i="22" a="1"/>
  <c r="F16" i="22" s="1"/>
  <c r="A63" i="22" a="1"/>
  <c r="A63" i="22" s="1"/>
  <c r="F44" i="22" a="1"/>
  <c r="F44" i="22" s="1"/>
  <c r="A8" i="22" a="1"/>
  <c r="A8" i="22" s="1"/>
  <c r="F59" i="22" a="1"/>
  <c r="F59" i="22" s="1"/>
  <c r="F69" i="22" a="1"/>
  <c r="F69" i="22" s="1"/>
  <c r="F72" i="22" a="1"/>
  <c r="F72" i="22" s="1"/>
  <c r="A50" i="22" a="1"/>
  <c r="A50" i="22" s="1"/>
  <c r="F60" i="22" a="1"/>
  <c r="F60" i="22" s="1"/>
  <c r="F42" i="22" a="1"/>
  <c r="F42" i="22" s="1"/>
  <c r="F84" i="22" a="1"/>
  <c r="F84" i="22" s="1"/>
  <c r="F27" i="22" a="1"/>
  <c r="F27" i="22" s="1"/>
  <c r="A32" i="22" a="1"/>
  <c r="A32" i="22" s="1"/>
  <c r="A70" i="22" a="1"/>
  <c r="A70" i="22" s="1"/>
  <c r="A41" i="22" a="1"/>
  <c r="A41" i="22" s="1"/>
  <c r="F63" i="22" a="1"/>
  <c r="F63" i="22" s="1"/>
  <c r="A42" i="22" a="1"/>
  <c r="A42" i="22" s="1"/>
  <c r="F24" i="22" a="1"/>
  <c r="F24" i="22" s="1"/>
  <c r="F15" i="22" a="1"/>
  <c r="F15" i="22" s="1"/>
  <c r="F53" i="22" a="1"/>
  <c r="F53" i="22" s="1"/>
  <c r="F38" i="22" a="1"/>
  <c r="F38" i="22" s="1"/>
  <c r="F18" i="22" a="1"/>
  <c r="F18" i="22" s="1"/>
  <c r="F65" i="22" a="1"/>
  <c r="F65" i="22" s="1"/>
  <c r="A61" i="22" a="1"/>
  <c r="A61" i="22" s="1"/>
  <c r="F76" i="22" a="1"/>
  <c r="F76" i="22" s="1"/>
  <c r="A17" i="22" a="1"/>
  <c r="A17" i="22" s="1"/>
  <c r="F58" i="22" a="1"/>
  <c r="F58" i="22" s="1"/>
  <c r="F48" i="22" a="1"/>
  <c r="F48" i="22" s="1"/>
  <c r="F77" i="22" a="1"/>
  <c r="F77" i="22" s="1"/>
  <c r="A68" i="22" a="1"/>
  <c r="A68" i="22" s="1"/>
  <c r="F81" i="22" a="1"/>
  <c r="F81" i="22" s="1"/>
  <c r="F54" i="22" a="1"/>
  <c r="F54" i="22" s="1"/>
  <c r="F35" i="22" a="1"/>
  <c r="F35" i="22" s="1"/>
  <c r="F67" i="22" a="1"/>
  <c r="F67" i="22" s="1"/>
  <c r="F33" i="22" a="1"/>
  <c r="F33" i="22" s="1"/>
  <c r="F22" i="22" a="1"/>
  <c r="F22" i="22" s="1"/>
  <c r="F49" i="22" a="1"/>
  <c r="F49" i="22" s="1"/>
  <c r="F6" i="22" a="1"/>
  <c r="F6" i="22" s="1"/>
  <c r="F39" i="22" a="1"/>
  <c r="F39" i="22" s="1"/>
  <c r="A49" i="22" a="1"/>
  <c r="A49" i="22" s="1"/>
  <c r="A84" i="22" a="1"/>
  <c r="A84" i="22" s="1"/>
  <c r="A66" i="22" a="1"/>
  <c r="A66" i="22" s="1"/>
  <c r="A69" i="22" a="1"/>
  <c r="A69" i="22" s="1"/>
  <c r="F14" i="22" a="1"/>
  <c r="F14" i="22" s="1"/>
  <c r="F31" i="22" a="1"/>
  <c r="F31" i="22" s="1"/>
  <c r="F80" i="22" a="1"/>
  <c r="F80" i="22" s="1"/>
  <c r="A28" i="22" a="1"/>
  <c r="A28" i="22" s="1"/>
  <c r="F68" i="22" a="1"/>
  <c r="F68" i="22" s="1"/>
  <c r="A79" i="22" a="1"/>
  <c r="A79" i="22" s="1"/>
  <c r="A85" i="22" a="1"/>
  <c r="A85" i="22" s="1"/>
  <c r="F37" i="22" a="1"/>
  <c r="F37" i="22" s="1"/>
  <c r="A24" i="22" a="1"/>
  <c r="A24" i="22" s="1"/>
  <c r="F36" i="22" a="1"/>
  <c r="F36" i="22" s="1"/>
  <c r="F78" i="22" a="1"/>
  <c r="F78" i="22" s="1"/>
  <c r="A34" i="22" a="1"/>
  <c r="A34" i="22" s="1"/>
  <c r="A55" i="22" a="1"/>
  <c r="A55" i="22" s="1"/>
  <c r="A54" i="22" a="1"/>
  <c r="A54" i="22" s="1"/>
  <c r="F13" i="22" a="1"/>
  <c r="F13" i="22" s="1"/>
  <c r="E5" i="22"/>
  <c r="A20" i="22" a="1"/>
  <c r="A20" i="22" s="1"/>
  <c r="A81" i="22" a="1"/>
  <c r="A81" i="22" s="1"/>
  <c r="F45" i="34" a="1"/>
  <c r="F45" i="34" s="1"/>
  <c r="F8" i="34" a="1"/>
  <c r="F8" i="34" s="1"/>
  <c r="F38" i="34" a="1"/>
  <c r="F38" i="34" s="1"/>
  <c r="F16" i="34" a="1"/>
  <c r="F16" i="34" s="1"/>
  <c r="F63" i="34" a="1"/>
  <c r="F63" i="34" s="1"/>
  <c r="F60" i="34" a="1"/>
  <c r="F60" i="34" s="1"/>
  <c r="F55" i="34" a="1"/>
  <c r="F55" i="34" s="1"/>
  <c r="F68" i="34" a="1"/>
  <c r="F68" i="34" s="1"/>
  <c r="A32" i="34" a="1"/>
  <c r="A32" i="34" s="1"/>
  <c r="A15" i="34" a="1"/>
  <c r="A15" i="34" s="1"/>
  <c r="A46" i="34" a="1"/>
  <c r="A46" i="34" s="1"/>
  <c r="F73" i="34" a="1"/>
  <c r="F73" i="34" s="1"/>
  <c r="A51" i="34" a="1"/>
  <c r="A51" i="34" s="1"/>
  <c r="F10" i="34" a="1"/>
  <c r="F10" i="34" s="1"/>
  <c r="F27" i="34" a="1"/>
  <c r="F27" i="34" s="1"/>
  <c r="A50" i="34" a="1"/>
  <c r="A50" i="34" s="1"/>
  <c r="F40" i="34" a="1"/>
  <c r="F40" i="34" s="1"/>
  <c r="F58" i="34" a="1"/>
  <c r="F58" i="34" s="1"/>
  <c r="F84" i="34" a="1"/>
  <c r="F84" i="34" s="1"/>
  <c r="A8" i="34" a="1"/>
  <c r="A8" i="34" s="1"/>
  <c r="A85" i="34" a="1"/>
  <c r="A85" i="34" s="1"/>
  <c r="A81" i="34" a="1"/>
  <c r="A81" i="34" s="1"/>
  <c r="A17" i="34" a="1"/>
  <c r="A17" i="34" s="1"/>
  <c r="F82" i="34" a="1"/>
  <c r="F82" i="34" s="1"/>
  <c r="F20" i="34" a="1"/>
  <c r="F20" i="34" s="1"/>
  <c r="F25" i="34" a="1"/>
  <c r="F25" i="34" s="1"/>
  <c r="A75" i="34" a="1"/>
  <c r="A75" i="34" s="1"/>
  <c r="K6" i="34"/>
  <c r="A6" i="34" s="1" a="1"/>
  <c r="A6" i="34" s="1"/>
  <c r="A30" i="34" a="1"/>
  <c r="A30" i="34" s="1"/>
  <c r="A52" i="34" a="1"/>
  <c r="A52" i="34" s="1"/>
  <c r="A80" i="34" a="1"/>
  <c r="A80" i="34" s="1"/>
  <c r="F83" i="34" a="1"/>
  <c r="F83" i="34" s="1"/>
  <c r="F35" i="34" a="1"/>
  <c r="F35" i="34" s="1"/>
  <c r="F66" i="34" a="1"/>
  <c r="F66" i="34" s="1"/>
  <c r="A28" i="34" a="1"/>
  <c r="A28" i="34" s="1"/>
  <c r="F18" i="34" a="1"/>
  <c r="F18" i="34" s="1"/>
  <c r="A54" i="34" a="1"/>
  <c r="A54" i="34" s="1"/>
  <c r="F47" i="34" a="1"/>
  <c r="F47" i="34" s="1"/>
  <c r="F24" i="34" a="1"/>
  <c r="F24" i="34" s="1"/>
  <c r="A20" i="34" a="1"/>
  <c r="A20" i="34" s="1"/>
  <c r="F41" i="34" a="1"/>
  <c r="F41" i="34" s="1"/>
  <c r="F81" i="34" a="1"/>
  <c r="F81" i="34" s="1"/>
  <c r="F72" i="34" a="1"/>
  <c r="F72" i="34" s="1"/>
  <c r="F77" i="34" a="1"/>
  <c r="F77" i="34" s="1"/>
  <c r="A43" i="34" a="1"/>
  <c r="A43" i="34" s="1"/>
  <c r="A26" i="34" a="1"/>
  <c r="A26" i="34" s="1"/>
  <c r="A14" i="34" a="1"/>
  <c r="A14" i="34" s="1"/>
  <c r="A9" i="34" a="1"/>
  <c r="A9" i="34" s="1"/>
  <c r="F76" i="34" a="1"/>
  <c r="F76" i="34" s="1"/>
  <c r="F61" i="34" a="1"/>
  <c r="F61" i="34" s="1"/>
  <c r="A62" i="34" a="1"/>
  <c r="A62" i="34" s="1"/>
  <c r="F14" i="34" a="1"/>
  <c r="F14" i="34" s="1"/>
  <c r="A47" i="34" a="1"/>
  <c r="A47" i="34" s="1"/>
  <c r="A55" i="34" a="1"/>
  <c r="A55" i="34" s="1"/>
  <c r="A56" i="34" a="1"/>
  <c r="A56" i="34" s="1"/>
  <c r="F51" i="34" a="1"/>
  <c r="F51" i="34" s="1"/>
  <c r="A67" i="34" a="1"/>
  <c r="A67" i="34" s="1"/>
  <c r="A64" i="34" a="1"/>
  <c r="A64" i="34" s="1"/>
  <c r="A29" i="34" a="1"/>
  <c r="A29" i="34" s="1"/>
  <c r="F59" i="34" a="1"/>
  <c r="F59" i="34" s="1"/>
  <c r="A78" i="34" a="1"/>
  <c r="A78" i="34" s="1"/>
  <c r="F30" i="34" a="1"/>
  <c r="F30" i="34" s="1"/>
  <c r="F71" i="34" a="1"/>
  <c r="F71" i="34" s="1"/>
  <c r="A53" i="34" a="1"/>
  <c r="A53" i="34" s="1"/>
  <c r="F70" i="34" a="1"/>
  <c r="F70" i="34" s="1"/>
  <c r="A63" i="34" a="1"/>
  <c r="A63" i="34" s="1"/>
  <c r="F74" i="34" a="1"/>
  <c r="F74" i="34" s="1"/>
  <c r="A49" i="34" a="1"/>
  <c r="A49" i="34" s="1"/>
  <c r="A31" i="34" a="1"/>
  <c r="A31" i="34" s="1"/>
  <c r="F28" i="34" a="1"/>
  <c r="F28" i="34" s="1"/>
  <c r="A73" i="34" a="1"/>
  <c r="A73" i="34" s="1"/>
  <c r="A34" i="34" a="1"/>
  <c r="A34" i="34" s="1"/>
  <c r="A37" i="34" a="1"/>
  <c r="A37" i="34" s="1"/>
  <c r="F42" i="34" a="1"/>
  <c r="F42" i="34" s="1"/>
  <c r="F67" i="34" a="1"/>
  <c r="F67" i="34" s="1"/>
  <c r="A23" i="34" a="1"/>
  <c r="A23" i="34" s="1"/>
  <c r="F54" i="34" a="1"/>
  <c r="F54" i="34" s="1"/>
  <c r="A13" i="34" a="1"/>
  <c r="A13" i="34" s="1"/>
  <c r="A22" i="34" a="1"/>
  <c r="A22" i="34" s="1"/>
  <c r="A84" i="34" a="1"/>
  <c r="A84" i="34" s="1"/>
  <c r="F56" i="34" a="1"/>
  <c r="F56" i="34" s="1"/>
  <c r="F7" i="34" a="1"/>
  <c r="F7" i="34" s="1"/>
  <c r="A74" i="34" a="1"/>
  <c r="A74" i="34" s="1"/>
  <c r="A70" i="34" a="1"/>
  <c r="A70" i="34" s="1"/>
  <c r="A10" i="34" a="1"/>
  <c r="A10" i="34" s="1"/>
  <c r="A58" i="34" a="1"/>
  <c r="A58" i="34" s="1"/>
  <c r="F9" i="34" a="1"/>
  <c r="F9" i="34" s="1"/>
  <c r="A68" i="34" a="1"/>
  <c r="A68" i="34" s="1"/>
  <c r="F43" i="34" a="1"/>
  <c r="F43" i="34" s="1"/>
  <c r="A16" i="34" a="1"/>
  <c r="A16" i="34" s="1"/>
  <c r="A7" i="34" a="1"/>
  <c r="A7" i="34" s="1"/>
  <c r="A21" i="34" a="1"/>
  <c r="A21" i="34" s="1"/>
  <c r="F78" i="34" a="1"/>
  <c r="F78" i="34" s="1"/>
  <c r="A25" i="34" a="1"/>
  <c r="A25" i="34" s="1"/>
  <c r="A79" i="34" a="1"/>
  <c r="A79" i="34" s="1"/>
  <c r="F53" i="34" a="1"/>
  <c r="F53" i="34" s="1"/>
  <c r="F44" i="34" a="1"/>
  <c r="F44" i="34" s="1"/>
  <c r="A40" i="34" a="1"/>
  <c r="A40" i="34" s="1"/>
  <c r="A18" i="34" a="1"/>
  <c r="A18" i="34" s="1"/>
  <c r="A35" i="34" a="1"/>
  <c r="A35" i="34" s="1"/>
  <c r="A42" i="34" a="1"/>
  <c r="A42" i="34" s="1"/>
  <c r="A24" i="34" a="1"/>
  <c r="A24" i="34" s="1"/>
  <c r="A69" i="34" a="1"/>
  <c r="A69" i="34" s="1"/>
  <c r="A60" i="34" a="1"/>
  <c r="A60" i="34" s="1"/>
  <c r="F46" i="34" a="1"/>
  <c r="F46" i="34" s="1"/>
  <c r="A11" i="34" a="1"/>
  <c r="A11" i="34" s="1"/>
  <c r="F49" i="34" a="1"/>
  <c r="F49" i="34" s="1"/>
  <c r="F79" i="34" a="1"/>
  <c r="F79" i="34" s="1"/>
  <c r="A38" i="34" a="1"/>
  <c r="A38" i="34" s="1"/>
  <c r="F85" i="34" a="1"/>
  <c r="F85" i="34" s="1"/>
  <c r="F34" i="34" a="1"/>
  <c r="F34" i="34" s="1"/>
  <c r="A57" i="34" a="1"/>
  <c r="A57" i="34" s="1"/>
  <c r="A83" i="34" a="1"/>
  <c r="A83" i="34" s="1"/>
  <c r="A72" i="34" a="1"/>
  <c r="A72" i="34" s="1"/>
  <c r="A82" i="34" a="1"/>
  <c r="A82" i="34" s="1"/>
  <c r="A59" i="34" a="1"/>
  <c r="A59" i="34" s="1"/>
  <c r="F69" i="34" a="1"/>
  <c r="F69" i="34" s="1"/>
  <c r="A77" i="34" a="1"/>
  <c r="A77" i="34" s="1"/>
  <c r="A76" i="34" a="1"/>
  <c r="A76" i="34" s="1"/>
  <c r="F64" i="34" a="1"/>
  <c r="F64" i="34" s="1"/>
  <c r="F29" i="34" a="1"/>
  <c r="F29" i="34" s="1"/>
  <c r="A33" i="34" a="1"/>
  <c r="A33" i="34" s="1"/>
  <c r="A19" i="34" a="1"/>
  <c r="A19" i="34" s="1"/>
  <c r="A12" i="34" a="1"/>
  <c r="A12" i="34" s="1"/>
  <c r="F26" i="34" a="1"/>
  <c r="F26" i="34" s="1"/>
  <c r="F22" i="34" a="1"/>
  <c r="F22" i="34" s="1"/>
  <c r="F13" i="34" a="1"/>
  <c r="F13" i="34" s="1"/>
  <c r="A39" i="34" a="1"/>
  <c r="A39" i="34" s="1"/>
  <c r="A36" i="34" a="1"/>
  <c r="A36" i="34" s="1"/>
  <c r="A45" i="34" a="1"/>
  <c r="A45" i="34" s="1"/>
  <c r="F37" i="34" a="1"/>
  <c r="F37" i="34" s="1"/>
  <c r="F32" i="34" a="1"/>
  <c r="F32" i="34" s="1"/>
  <c r="A10" i="22" a="1"/>
  <c r="A10" i="22" s="1"/>
  <c r="A52" i="22" a="1"/>
  <c r="A52" i="22" s="1"/>
  <c r="F51" i="22" a="1"/>
  <c r="F51" i="22" s="1"/>
  <c r="B143" i="101" a="1"/>
  <c r="B143" i="101" s="1"/>
  <c r="A163" i="101" a="1"/>
  <c r="A163" i="101" s="1"/>
  <c r="B135" i="101" a="1"/>
  <c r="B135" i="101" s="1"/>
  <c r="J349" i="101" a="1"/>
  <c r="J349" i="101" s="1"/>
  <c r="B21" i="101" a="1"/>
  <c r="B21" i="101" s="1"/>
  <c r="J323" i="101" a="1"/>
  <c r="J323" i="101" s="1"/>
  <c r="B177" i="101" a="1"/>
  <c r="B177" i="101" s="1"/>
  <c r="J117" i="101" a="1"/>
  <c r="J117" i="101" s="1"/>
  <c r="A78" i="101" a="1"/>
  <c r="A78" i="101" s="1"/>
  <c r="B47" i="101" a="1"/>
  <c r="B47" i="101" s="1"/>
  <c r="J13" i="101" a="1"/>
  <c r="J13" i="101" s="1"/>
  <c r="J236" i="101" a="1"/>
  <c r="J236" i="101" s="1"/>
  <c r="J99" i="101" a="1"/>
  <c r="J99" i="101" s="1"/>
  <c r="A108" i="101" a="1"/>
  <c r="A108" i="101" s="1"/>
  <c r="B125" i="101" a="1"/>
  <c r="B125" i="101" s="1"/>
  <c r="A335" i="101" a="1"/>
  <c r="A335" i="101" s="1"/>
  <c r="J302" i="101" a="1"/>
  <c r="J302" i="101" s="1"/>
  <c r="A223" i="101" a="1"/>
  <c r="A223" i="101" s="1"/>
  <c r="A246" i="101" a="1"/>
  <c r="A246" i="101" s="1"/>
  <c r="B339" i="101" a="1"/>
  <c r="B339" i="101" s="1"/>
  <c r="J173" i="101" a="1"/>
  <c r="J173" i="101" s="1"/>
  <c r="J177" i="101" a="1"/>
  <c r="J177" i="101" s="1"/>
  <c r="A325" i="101" a="1"/>
  <c r="A325" i="101" s="1"/>
  <c r="J18" i="101" a="1"/>
  <c r="J18" i="101" s="1"/>
  <c r="B295" i="101" a="1"/>
  <c r="B295" i="101" s="1"/>
  <c r="J190" i="101" a="1"/>
  <c r="J190" i="101" s="1"/>
  <c r="J250" i="101" a="1"/>
  <c r="J250" i="101" s="1"/>
  <c r="J301" i="101" a="1"/>
  <c r="J301" i="101" s="1"/>
  <c r="B45" i="101" a="1"/>
  <c r="B45" i="101" s="1"/>
  <c r="J87" i="101" a="1"/>
  <c r="J87" i="101" s="1"/>
  <c r="J330" i="101" a="1"/>
  <c r="J330" i="101" s="1"/>
  <c r="A272" i="101" a="1"/>
  <c r="A272" i="101" s="1"/>
  <c r="B182" i="101" a="1"/>
  <c r="B182" i="101" s="1"/>
  <c r="J68" i="101" a="1"/>
  <c r="J68" i="101" s="1"/>
  <c r="A103" i="101" a="1"/>
  <c r="A103" i="101" s="1"/>
  <c r="A20" i="101" a="1"/>
  <c r="A20" i="101" s="1"/>
  <c r="B219" i="101" a="1"/>
  <c r="B219" i="101" s="1"/>
  <c r="A39" i="101" a="1"/>
  <c r="A39" i="101" s="1"/>
  <c r="J84" i="101" a="1"/>
  <c r="J84" i="101" s="1"/>
  <c r="A117" i="101" a="1"/>
  <c r="A117" i="101" s="1"/>
  <c r="A218" i="101" a="1"/>
  <c r="A218" i="101" s="1"/>
  <c r="J147" i="101" a="1"/>
  <c r="J147" i="101" s="1"/>
  <c r="B167" i="101" a="1"/>
  <c r="B167" i="101" s="1"/>
  <c r="J204" i="101" a="1"/>
  <c r="J204" i="101" s="1"/>
  <c r="J104" i="101" a="1"/>
  <c r="J104" i="101" s="1"/>
  <c r="B124" i="101" a="1"/>
  <c r="B124" i="101" s="1"/>
  <c r="A86" i="101" a="1"/>
  <c r="A86" i="101" s="1"/>
  <c r="B117" i="101" a="1"/>
  <c r="B117" i="101" s="1"/>
  <c r="B237" i="101" a="1"/>
  <c r="B237" i="101" s="1"/>
  <c r="J307" i="101" a="1"/>
  <c r="J307" i="101" s="1"/>
  <c r="A61" i="101" a="1"/>
  <c r="A61" i="101" s="1"/>
  <c r="A188" i="101" a="1"/>
  <c r="A188" i="101" s="1"/>
  <c r="A13" i="101" a="1"/>
  <c r="A13" i="101" s="1"/>
  <c r="A267" i="101" a="1"/>
  <c r="A267" i="101" s="1"/>
  <c r="A328" i="101" a="1"/>
  <c r="A328" i="101" s="1"/>
  <c r="B337" i="101" a="1"/>
  <c r="B337" i="101" s="1"/>
  <c r="B216" i="101" a="1"/>
  <c r="B216" i="101" s="1"/>
  <c r="A251" i="101" a="1"/>
  <c r="A251" i="101" s="1"/>
  <c r="A319" i="101" a="1"/>
  <c r="A319" i="101" s="1"/>
  <c r="J339" i="101" a="1"/>
  <c r="J339" i="101" s="1"/>
  <c r="A225" i="101" a="1"/>
  <c r="A225" i="101" s="1"/>
  <c r="A189" i="101" a="1"/>
  <c r="A189" i="101" s="1"/>
  <c r="J126" i="101" a="1"/>
  <c r="J126" i="101" s="1"/>
  <c r="B181" i="101" a="1"/>
  <c r="B181" i="101" s="1"/>
  <c r="J164" i="101" a="1"/>
  <c r="J164" i="101" s="1"/>
  <c r="J106" i="101" a="1"/>
  <c r="J106" i="101" s="1"/>
  <c r="A315" i="101" a="1"/>
  <c r="A315" i="101" s="1"/>
  <c r="J182" i="101" a="1"/>
  <c r="J182" i="101" s="1"/>
  <c r="A222" i="101" a="1"/>
  <c r="A222" i="101" s="1"/>
  <c r="J297" i="101" a="1"/>
  <c r="J297" i="101" s="1"/>
  <c r="A234" i="101" a="1"/>
  <c r="A234" i="101" s="1"/>
  <c r="B153" i="101" a="1"/>
  <c r="B153" i="101" s="1"/>
  <c r="A19" i="101" a="1"/>
  <c r="A19" i="101" s="1"/>
  <c r="B142" i="101" a="1"/>
  <c r="B142" i="101" s="1"/>
  <c r="A123" i="101" a="1"/>
  <c r="A123" i="101" s="1"/>
  <c r="A173" i="101" a="1"/>
  <c r="A173" i="101" s="1"/>
  <c r="A174" i="101" a="1"/>
  <c r="A174" i="101" s="1"/>
  <c r="B73" i="101" a="1"/>
  <c r="B73" i="101" s="1"/>
  <c r="B288" i="101" a="1"/>
  <c r="B288" i="101" s="1"/>
  <c r="B208" i="101" a="1"/>
  <c r="B208" i="101" s="1"/>
  <c r="B166" i="101" a="1"/>
  <c r="B166" i="101" s="1"/>
  <c r="B178" i="101" a="1"/>
  <c r="B178" i="101" s="1"/>
  <c r="J316" i="101" a="1"/>
  <c r="J316" i="101" s="1"/>
  <c r="B221" i="101" a="1"/>
  <c r="B221" i="101" s="1"/>
  <c r="J170" i="101" a="1"/>
  <c r="J170" i="101" s="1"/>
  <c r="A42" i="101" a="1"/>
  <c r="A42" i="101" s="1"/>
  <c r="J110" i="101" a="1"/>
  <c r="J110" i="101" s="1"/>
  <c r="A9" i="101" a="1"/>
  <c r="A9" i="101" s="1"/>
  <c r="A191" i="101" a="1"/>
  <c r="A191" i="101" s="1"/>
  <c r="A253" i="101" a="1"/>
  <c r="A253" i="101" s="1"/>
  <c r="B22" i="101" a="1"/>
  <c r="B22" i="101" s="1"/>
  <c r="J203" i="101" a="1"/>
  <c r="J203" i="101" s="1"/>
  <c r="B240" i="101" a="1"/>
  <c r="B240" i="101" s="1"/>
  <c r="A255" i="101" a="1"/>
  <c r="A255" i="101" s="1"/>
  <c r="J187" i="101" a="1"/>
  <c r="J187" i="101" s="1"/>
  <c r="B197" i="101" a="1"/>
  <c r="B197" i="101" s="1"/>
  <c r="B269" i="101" a="1"/>
  <c r="B269" i="101" s="1"/>
  <c r="A96" i="101" a="1"/>
  <c r="A96" i="101" s="1"/>
  <c r="A116" i="101" a="1"/>
  <c r="A116" i="101" s="1"/>
  <c r="A235" i="101" a="1"/>
  <c r="A235" i="101" s="1"/>
  <c r="A291" i="101" a="1"/>
  <c r="A291" i="101" s="1"/>
  <c r="A224" i="101" a="1"/>
  <c r="A224" i="101" s="1"/>
  <c r="B57" i="101" a="1"/>
  <c r="B57" i="101" s="1"/>
  <c r="A336" i="101" a="1"/>
  <c r="A336" i="101" s="1"/>
  <c r="A156" i="101" a="1"/>
  <c r="A156" i="101" s="1"/>
  <c r="B89" i="101" a="1"/>
  <c r="B89" i="101" s="1"/>
  <c r="J82" i="101" a="1"/>
  <c r="J82" i="101" s="1"/>
  <c r="B280" i="101" a="1"/>
  <c r="B280" i="101" s="1"/>
  <c r="A192" i="101" a="1"/>
  <c r="A192" i="101" s="1"/>
  <c r="J60" i="101" a="1"/>
  <c r="J60" i="101" s="1"/>
  <c r="A88" i="101" a="1"/>
  <c r="A88" i="101" s="1"/>
  <c r="A59" i="101" a="1"/>
  <c r="A59" i="101" s="1"/>
  <c r="B49" i="101" a="1"/>
  <c r="B49" i="101" s="1"/>
  <c r="A270" i="101" a="1"/>
  <c r="A270" i="101" s="1"/>
  <c r="J123" i="101" a="1"/>
  <c r="J123" i="101" s="1"/>
  <c r="J64" i="101" a="1"/>
  <c r="J64" i="101" s="1"/>
  <c r="J232" i="101" a="1"/>
  <c r="J232" i="101" s="1"/>
  <c r="B6" i="101" a="1"/>
  <c r="B6" i="101" s="1"/>
  <c r="A249" i="101" a="1"/>
  <c r="A249" i="101" s="1"/>
  <c r="J189" i="101" a="1"/>
  <c r="J189" i="101" s="1"/>
  <c r="B105" i="101" a="1"/>
  <c r="B105" i="101" s="1"/>
  <c r="B229" i="101" a="1"/>
  <c r="B229" i="101" s="1"/>
  <c r="J134" i="101" a="1"/>
  <c r="J134" i="101" s="1"/>
  <c r="A98" i="101" a="1"/>
  <c r="A98" i="101" s="1"/>
  <c r="B251" i="101" a="1"/>
  <c r="B251" i="101" s="1"/>
  <c r="A132" i="101" a="1"/>
  <c r="A132" i="101" s="1"/>
  <c r="B113" i="101" a="1"/>
  <c r="B113" i="101" s="1"/>
  <c r="B8" i="101" a="1"/>
  <c r="B8" i="101" s="1"/>
  <c r="A146" i="101" a="1"/>
  <c r="A146" i="101" s="1"/>
  <c r="J63" i="101" a="1"/>
  <c r="J63" i="101" s="1"/>
  <c r="A76" i="101" a="1"/>
  <c r="A76" i="101" s="1"/>
  <c r="B350" i="101" a="1"/>
  <c r="B350" i="101" s="1"/>
  <c r="A298" i="101" a="1"/>
  <c r="A298" i="101" s="1"/>
  <c r="J233" i="101" a="1"/>
  <c r="J233" i="101" s="1"/>
  <c r="B263" i="101" a="1"/>
  <c r="B263" i="101" s="1"/>
  <c r="B320" i="101" a="1"/>
  <c r="B320" i="101" s="1"/>
  <c r="B223" i="101" a="1"/>
  <c r="B223" i="101" s="1"/>
  <c r="B14" i="101" a="1"/>
  <c r="B14" i="101" s="1"/>
  <c r="J194" i="101" a="1"/>
  <c r="J194" i="101" s="1"/>
  <c r="B316" i="101" a="1"/>
  <c r="B316" i="101" s="1"/>
  <c r="A230" i="101" a="1"/>
  <c r="A230" i="101" s="1"/>
  <c r="J336" i="101" a="1"/>
  <c r="J336" i="101" s="1"/>
  <c r="J41" i="101" a="1"/>
  <c r="J41" i="101" s="1"/>
  <c r="J21" i="101" a="1"/>
  <c r="J21" i="101" s="1"/>
  <c r="J286" i="101" a="1"/>
  <c r="J286" i="101" s="1"/>
  <c r="J310" i="101" a="1"/>
  <c r="J310" i="101" s="1"/>
  <c r="B258" i="101" a="1"/>
  <c r="B258" i="101" s="1"/>
  <c r="J8" i="101" a="1"/>
  <c r="J8" i="101" s="1"/>
  <c r="B330" i="101" a="1"/>
  <c r="B330" i="101" s="1"/>
  <c r="B152" i="101" a="1"/>
  <c r="B152" i="101" s="1"/>
  <c r="J200" i="101" a="1"/>
  <c r="J200" i="101" s="1"/>
  <c r="B58" i="101" a="1"/>
  <c r="B58" i="101" s="1"/>
  <c r="J207" i="101" a="1"/>
  <c r="J207" i="101" s="1"/>
  <c r="J229" i="101" a="1"/>
  <c r="J229" i="101" s="1"/>
  <c r="A113" i="101" a="1"/>
  <c r="A113" i="101" s="1"/>
  <c r="J234" i="101" a="1"/>
  <c r="J234" i="101" s="1"/>
  <c r="A168" i="101" a="1"/>
  <c r="A168" i="101" s="1"/>
  <c r="J107" i="101" a="1"/>
  <c r="J107" i="101" s="1"/>
  <c r="J118" i="101" a="1"/>
  <c r="J118" i="101" s="1"/>
  <c r="A122" i="101" a="1"/>
  <c r="A122" i="101" s="1"/>
  <c r="A268" i="101" a="1"/>
  <c r="A268" i="101" s="1"/>
  <c r="A18" i="101" a="1"/>
  <c r="A18" i="101" s="1"/>
  <c r="J139" i="101" a="1"/>
  <c r="J139" i="101" s="1"/>
  <c r="A105" i="101" a="1"/>
  <c r="A105" i="101" s="1"/>
  <c r="J311" i="101" a="1"/>
  <c r="J311" i="101" s="1"/>
  <c r="A260" i="101" a="1"/>
  <c r="A260" i="101" s="1"/>
  <c r="B76" i="101" a="1"/>
  <c r="B76" i="101" s="1"/>
  <c r="B169" i="101" a="1"/>
  <c r="B169" i="101" s="1"/>
  <c r="A22" i="101" a="1"/>
  <c r="A22" i="101" s="1"/>
  <c r="B150" i="101" a="1"/>
  <c r="B150" i="101" s="1"/>
  <c r="J251" i="101" a="1"/>
  <c r="J251" i="101" s="1"/>
  <c r="B341" i="101" a="1"/>
  <c r="B341" i="101" s="1"/>
  <c r="J155" i="101" a="1"/>
  <c r="J155" i="101" s="1"/>
  <c r="B304" i="101" a="1"/>
  <c r="B304" i="101" s="1"/>
  <c r="B299" i="101" a="1"/>
  <c r="B299" i="101" s="1"/>
  <c r="J333" i="101" a="1"/>
  <c r="J333" i="101" s="1"/>
  <c r="J280" i="101" a="1"/>
  <c r="J280" i="101" s="1"/>
  <c r="A342" i="101" a="1"/>
  <c r="A342" i="101" s="1"/>
  <c r="J160" i="101" a="1"/>
  <c r="J160" i="101" s="1"/>
  <c r="A150" i="101" a="1"/>
  <c r="A150" i="101" s="1"/>
  <c r="A37" i="101" a="1"/>
  <c r="A37" i="101" s="1"/>
  <c r="B245" i="101" a="1"/>
  <c r="B245" i="101" s="1"/>
  <c r="A133" i="101" a="1"/>
  <c r="A133" i="101" s="1"/>
  <c r="B17" i="101" a="1"/>
  <c r="B17" i="101" s="1"/>
  <c r="B62" i="101" a="1"/>
  <c r="B62" i="101" s="1"/>
  <c r="A228" i="101" a="1"/>
  <c r="A228" i="101" s="1"/>
  <c r="B250" i="101" a="1"/>
  <c r="B250" i="101" s="1"/>
  <c r="J121" i="101" a="1"/>
  <c r="J121" i="101" s="1"/>
  <c r="A283" i="101" a="1"/>
  <c r="A283" i="101" s="1"/>
  <c r="B348" i="101" a="1"/>
  <c r="B348" i="101" s="1"/>
  <c r="A32" i="101" a="1"/>
  <c r="A32" i="101" s="1"/>
  <c r="A201" i="101" a="1"/>
  <c r="A201" i="101" s="1"/>
  <c r="B118" i="101" a="1"/>
  <c r="B118" i="101" s="1"/>
  <c r="B109" i="101" a="1"/>
  <c r="B109" i="101" s="1"/>
  <c r="J25" i="101" a="1"/>
  <c r="J25" i="101" s="1"/>
  <c r="A275" i="101" a="1"/>
  <c r="A275" i="101" s="1"/>
  <c r="A296" i="101" a="1"/>
  <c r="A296" i="101" s="1"/>
  <c r="A54" i="101" a="1"/>
  <c r="A54" i="101" s="1"/>
  <c r="J201" i="101" a="1"/>
  <c r="J201" i="101" s="1"/>
  <c r="J193" i="101" a="1"/>
  <c r="J193" i="101" s="1"/>
  <c r="J51" i="101" a="1"/>
  <c r="J51" i="101" s="1"/>
  <c r="B56" i="101" a="1"/>
  <c r="B56" i="101" s="1"/>
  <c r="J15" i="101" a="1"/>
  <c r="J15" i="101" s="1"/>
  <c r="B29" i="101" a="1"/>
  <c r="B29" i="101" s="1"/>
  <c r="A238" i="101" a="1"/>
  <c r="A238" i="101" s="1"/>
  <c r="B106" i="101" a="1"/>
  <c r="B106" i="101" s="1"/>
  <c r="B214" i="101" a="1"/>
  <c r="B214" i="101" s="1"/>
  <c r="J262" i="101" a="1"/>
  <c r="J262" i="101" s="1"/>
  <c r="B162" i="101" a="1"/>
  <c r="B162" i="101" s="1"/>
  <c r="B275" i="101" a="1"/>
  <c r="B275" i="101" s="1"/>
  <c r="B203" i="101" a="1"/>
  <c r="B203" i="101" s="1"/>
  <c r="A63" i="101" a="1"/>
  <c r="A63" i="101" s="1"/>
  <c r="J235" i="101" a="1"/>
  <c r="J235" i="101" s="1"/>
  <c r="B349" i="101" a="1"/>
  <c r="B349" i="101" s="1"/>
  <c r="J103" i="101" a="1"/>
  <c r="J103" i="101" s="1"/>
  <c r="A308" i="101" a="1"/>
  <c r="A308" i="101" s="1"/>
  <c r="J324" i="101" a="1"/>
  <c r="J324" i="101" s="1"/>
  <c r="J58" i="101" a="1"/>
  <c r="J58" i="101" s="1"/>
  <c r="J178" i="101" a="1"/>
  <c r="J178" i="101" s="1"/>
  <c r="J315" i="101" a="1"/>
  <c r="J315" i="101" s="1"/>
  <c r="A323" i="101" a="1"/>
  <c r="A323" i="101" s="1"/>
  <c r="B64" i="101" a="1"/>
  <c r="B64" i="101" s="1"/>
  <c r="B230" i="101" a="1"/>
  <c r="B230" i="101" s="1"/>
  <c r="J130" i="101" a="1"/>
  <c r="J130" i="101" s="1"/>
  <c r="B114" i="101" a="1"/>
  <c r="B114" i="101" s="1"/>
  <c r="B13" i="101" a="1"/>
  <c r="B13" i="101" s="1"/>
  <c r="B102" i="101" a="1"/>
  <c r="B102" i="101" s="1"/>
  <c r="B281" i="101" a="1"/>
  <c r="B281" i="101" s="1"/>
  <c r="J131" i="101" a="1"/>
  <c r="J131" i="101" s="1"/>
  <c r="J26" i="101" a="1"/>
  <c r="J26" i="101" s="1"/>
  <c r="B346" i="101" a="1"/>
  <c r="B346" i="101" s="1"/>
  <c r="A143" i="101" a="1"/>
  <c r="A143" i="101" s="1"/>
  <c r="B313" i="101" a="1"/>
  <c r="B313" i="101" s="1"/>
  <c r="J140" i="101" a="1"/>
  <c r="J140" i="101" s="1"/>
  <c r="A106" i="101" a="1"/>
  <c r="A106" i="101" s="1"/>
  <c r="B154" i="101" a="1"/>
  <c r="B154" i="101" s="1"/>
  <c r="A147" i="101" a="1"/>
  <c r="A147" i="101" s="1"/>
  <c r="A160" i="101" a="1"/>
  <c r="A160" i="101" s="1"/>
  <c r="J172" i="101" a="1"/>
  <c r="J172" i="101" s="1"/>
  <c r="J70" i="101" a="1"/>
  <c r="J70" i="101" s="1"/>
  <c r="A355" i="101" a="1"/>
  <c r="A355" i="101" s="1"/>
  <c r="J44" i="101" a="1"/>
  <c r="J44" i="101" s="1"/>
  <c r="J247" i="101" a="1"/>
  <c r="J247" i="101" s="1"/>
  <c r="J284" i="101" a="1"/>
  <c r="J284" i="101" s="1"/>
  <c r="B207" i="101" a="1"/>
  <c r="B207" i="101" s="1"/>
  <c r="A194" i="101" a="1"/>
  <c r="A194" i="101" s="1"/>
  <c r="B309" i="101" a="1"/>
  <c r="B309" i="101" s="1"/>
  <c r="J278" i="101" a="1"/>
  <c r="J278" i="101" s="1"/>
  <c r="J171" i="101" a="1"/>
  <c r="J171" i="101" s="1"/>
  <c r="B31" i="101" a="1"/>
  <c r="B31" i="101" s="1"/>
  <c r="B307" i="101" a="1"/>
  <c r="B307" i="101" s="1"/>
  <c r="A12" i="101" a="1"/>
  <c r="A12" i="101" s="1"/>
  <c r="A220" i="101" a="1"/>
  <c r="A220" i="101" s="1"/>
  <c r="A151" i="101" a="1"/>
  <c r="A151" i="101" s="1"/>
  <c r="J102" i="101" a="1"/>
  <c r="J102" i="101" s="1"/>
  <c r="J196" i="101" a="1"/>
  <c r="J196" i="101" s="1"/>
  <c r="B30" i="101" a="1"/>
  <c r="B30" i="101" s="1"/>
  <c r="B50" i="101" a="1"/>
  <c r="B50" i="101" s="1"/>
  <c r="B148" i="101" a="1"/>
  <c r="B148" i="101" s="1"/>
  <c r="A159" i="101" a="1"/>
  <c r="A159" i="101" s="1"/>
  <c r="A213" i="101" a="1"/>
  <c r="A213" i="101" s="1"/>
  <c r="B88" i="101" a="1"/>
  <c r="B88" i="101" s="1"/>
  <c r="J11" i="101" a="1"/>
  <c r="J11" i="101" s="1"/>
  <c r="B331" i="101" a="1"/>
  <c r="B331" i="101" s="1"/>
  <c r="J296" i="101" a="1"/>
  <c r="J296" i="101" s="1"/>
  <c r="J279" i="101" a="1"/>
  <c r="J279" i="101" s="1"/>
  <c r="B158" i="101" a="1"/>
  <c r="B158" i="101" s="1"/>
  <c r="J38" i="101" a="1"/>
  <c r="J38" i="101" s="1"/>
  <c r="J265" i="101" a="1"/>
  <c r="J265" i="101" s="1"/>
  <c r="A303" i="101" a="1"/>
  <c r="A303" i="101" s="1"/>
  <c r="B282" i="101" a="1"/>
  <c r="B282" i="101" s="1"/>
  <c r="A330" i="101" a="1"/>
  <c r="A330" i="101" s="1"/>
  <c r="J30" i="101" a="1"/>
  <c r="J30" i="101" s="1"/>
  <c r="A165" i="101" a="1"/>
  <c r="A165" i="101" s="1"/>
  <c r="A280" i="101" a="1"/>
  <c r="A280" i="101" s="1"/>
  <c r="A43" i="101" a="1"/>
  <c r="A43" i="101" s="1"/>
  <c r="B63" i="101" a="1"/>
  <c r="B63" i="101" s="1"/>
  <c r="B327" i="101" a="1"/>
  <c r="B327" i="101" s="1"/>
  <c r="B278" i="101" a="1"/>
  <c r="B278" i="101" s="1"/>
  <c r="B200" i="101" a="1"/>
  <c r="B200" i="101" s="1"/>
  <c r="B99" i="101" a="1"/>
  <c r="B99" i="101" s="1"/>
  <c r="B120" i="101" a="1"/>
  <c r="B120" i="101" s="1"/>
  <c r="B33" i="101" a="1"/>
  <c r="B33" i="101" s="1"/>
  <c r="J27" i="101" a="1"/>
  <c r="J27" i="101" s="1"/>
  <c r="J185" i="101" a="1"/>
  <c r="J185" i="101" s="1"/>
  <c r="B180" i="101" a="1"/>
  <c r="B180" i="101" s="1"/>
  <c r="J237" i="101" a="1"/>
  <c r="J237" i="101" s="1"/>
  <c r="A269" i="101" a="1"/>
  <c r="A269" i="101" s="1"/>
  <c r="A183" i="101" a="1"/>
  <c r="A183" i="101" s="1"/>
  <c r="B209" i="101" a="1"/>
  <c r="B209" i="101" s="1"/>
  <c r="J188" i="101" a="1"/>
  <c r="J188" i="101" s="1"/>
  <c r="B312" i="101" a="1"/>
  <c r="B312" i="101" s="1"/>
  <c r="B273" i="101" a="1"/>
  <c r="B273" i="101" s="1"/>
  <c r="B338" i="101" a="1"/>
  <c r="B338" i="101" s="1"/>
  <c r="B284" i="101" a="1"/>
  <c r="B284" i="101" s="1"/>
  <c r="A75" i="101" a="1"/>
  <c r="A75" i="101" s="1"/>
  <c r="J24" i="101" a="1"/>
  <c r="J24" i="101" s="1"/>
  <c r="A60" i="101" a="1"/>
  <c r="A60" i="101" s="1"/>
  <c r="J159" i="101" a="1"/>
  <c r="J159" i="101" s="1"/>
  <c r="A217" i="101" a="1"/>
  <c r="A217" i="101" s="1"/>
  <c r="B264" i="101" a="1"/>
  <c r="B264" i="101" s="1"/>
  <c r="B111" i="101" a="1"/>
  <c r="B111" i="101" s="1"/>
  <c r="A337" i="101" a="1"/>
  <c r="A337" i="101" s="1"/>
  <c r="J39" i="101" a="1"/>
  <c r="J39" i="101" s="1"/>
  <c r="B24" i="101" a="1"/>
  <c r="B24" i="101" s="1"/>
  <c r="A233" i="101" a="1"/>
  <c r="A233" i="101" s="1"/>
  <c r="A81" i="101" a="1"/>
  <c r="A81" i="101" s="1"/>
  <c r="B130" i="101" a="1"/>
  <c r="B130" i="101" s="1"/>
  <c r="B188" i="101" a="1"/>
  <c r="B188" i="101" s="1"/>
  <c r="J225" i="101" a="1"/>
  <c r="J225" i="101" s="1"/>
  <c r="J264" i="101" a="1"/>
  <c r="J264" i="101" s="1"/>
  <c r="B87" i="101" a="1"/>
  <c r="B87" i="101" s="1"/>
  <c r="B260" i="101" a="1"/>
  <c r="B260" i="101" s="1"/>
  <c r="J263" i="101" a="1"/>
  <c r="J263" i="101" s="1"/>
  <c r="J305" i="101" a="1"/>
  <c r="J305" i="101" s="1"/>
  <c r="A124" i="101" a="1"/>
  <c r="A124" i="101" s="1"/>
  <c r="A185" i="101" a="1"/>
  <c r="A185" i="101" s="1"/>
  <c r="J100" i="101" a="1"/>
  <c r="J100" i="101" s="1"/>
  <c r="B84" i="101" a="1"/>
  <c r="B84" i="101" s="1"/>
  <c r="B329" i="101" a="1"/>
  <c r="B329" i="101" s="1"/>
  <c r="J73" i="101" a="1"/>
  <c r="J73" i="101" s="1"/>
  <c r="J321" i="101" a="1"/>
  <c r="J321" i="101" s="1"/>
  <c r="B55" i="101" a="1"/>
  <c r="B55" i="101" s="1"/>
  <c r="A139" i="101" a="1"/>
  <c r="A139" i="101" s="1"/>
  <c r="B259" i="101" a="1"/>
  <c r="B259" i="101" s="1"/>
  <c r="J57" i="101" a="1"/>
  <c r="J57" i="101" s="1"/>
  <c r="J62" i="101" a="1"/>
  <c r="J62" i="101" s="1"/>
  <c r="A73" i="101" a="1"/>
  <c r="A73" i="101" s="1"/>
  <c r="A221" i="101" a="1"/>
  <c r="A221" i="101" s="1"/>
  <c r="B213" i="101" a="1"/>
  <c r="B213" i="101" s="1"/>
  <c r="J47" i="101" a="1"/>
  <c r="J47" i="101" s="1"/>
  <c r="J108" i="101" a="1"/>
  <c r="J108" i="101" s="1"/>
  <c r="J16" i="101" a="1"/>
  <c r="J16" i="101" s="1"/>
  <c r="B347" i="101" a="1"/>
  <c r="B347" i="101" s="1"/>
  <c r="A340" i="101" a="1"/>
  <c r="A340" i="101" s="1"/>
  <c r="B277" i="101" a="1"/>
  <c r="B277" i="101" s="1"/>
  <c r="B206" i="101" a="1"/>
  <c r="B206" i="101" s="1"/>
  <c r="J45" i="101" a="1"/>
  <c r="J45" i="101" s="1"/>
  <c r="A169" i="101" a="1"/>
  <c r="A169" i="101" s="1"/>
  <c r="J304" i="101" a="1"/>
  <c r="J304" i="101" s="1"/>
  <c r="J151" i="101" a="1"/>
  <c r="J151" i="101" s="1"/>
  <c r="B222" i="101" a="1"/>
  <c r="B222" i="101" s="1"/>
  <c r="B242" i="101" a="1"/>
  <c r="B242" i="101" s="1"/>
  <c r="B15" i="101" a="1"/>
  <c r="B15" i="101" s="1"/>
  <c r="B61" i="101" a="1"/>
  <c r="B61" i="101" s="1"/>
  <c r="B319" i="101" a="1"/>
  <c r="B319" i="101" s="1"/>
  <c r="B321" i="101" a="1"/>
  <c r="B321" i="101" s="1"/>
  <c r="B132" i="101" a="1"/>
  <c r="B132" i="101" s="1"/>
  <c r="J133" i="101" a="1"/>
  <c r="J133" i="101" s="1"/>
  <c r="J183" i="101" a="1"/>
  <c r="J183" i="101" s="1"/>
  <c r="J239" i="101" a="1"/>
  <c r="J239" i="101" s="1"/>
  <c r="J96" i="101" a="1"/>
  <c r="J96" i="101" s="1"/>
  <c r="B27" i="101" a="1"/>
  <c r="B27" i="101" s="1"/>
  <c r="B323" i="101" a="1"/>
  <c r="B323" i="101" s="1"/>
  <c r="J221" i="101" a="1"/>
  <c r="J221" i="101" s="1"/>
  <c r="B185" i="101" a="1"/>
  <c r="B185" i="101" s="1"/>
  <c r="B286" i="101" a="1"/>
  <c r="B286" i="101" s="1"/>
  <c r="B134" i="101" a="1"/>
  <c r="B134" i="101" s="1"/>
  <c r="J319" i="101" a="1"/>
  <c r="J319" i="101" s="1"/>
  <c r="A144" i="101" a="1"/>
  <c r="A144" i="101" s="1"/>
  <c r="B187" i="101" a="1"/>
  <c r="B187" i="101" s="1"/>
  <c r="J145" i="101" a="1"/>
  <c r="J145" i="101" s="1"/>
  <c r="J142" i="101" a="1"/>
  <c r="J142" i="101" s="1"/>
  <c r="B23" i="101" a="1"/>
  <c r="B23" i="101" s="1"/>
  <c r="A247" i="101" a="1"/>
  <c r="A247" i="101" s="1"/>
  <c r="A23" i="101" a="1"/>
  <c r="A23" i="101" s="1"/>
  <c r="J6" i="101" a="1"/>
  <c r="J6" i="101" s="1"/>
  <c r="J149" i="101" a="1"/>
  <c r="J149" i="101" s="1"/>
  <c r="A126" i="101" a="1"/>
  <c r="A126" i="101" s="1"/>
  <c r="J261" i="101" a="1"/>
  <c r="J261" i="101" s="1"/>
  <c r="B195" i="101" a="1"/>
  <c r="B195" i="101" s="1"/>
  <c r="B215" i="101" a="1"/>
  <c r="B215" i="101" s="1"/>
  <c r="J33" i="101" a="1"/>
  <c r="J33" i="101" s="1"/>
  <c r="A137" i="101" a="1"/>
  <c r="A137" i="101" s="1"/>
  <c r="J217" i="101" a="1"/>
  <c r="J217" i="101" s="1"/>
  <c r="A128" i="101" a="1"/>
  <c r="A128" i="101" s="1"/>
  <c r="J158" i="101" a="1"/>
  <c r="J158" i="101" s="1"/>
  <c r="B161" i="101" a="1"/>
  <c r="B161" i="101" s="1"/>
  <c r="J162" i="101" a="1"/>
  <c r="J162" i="101" s="1"/>
  <c r="B194" i="101" a="1"/>
  <c r="B194" i="101" s="1"/>
  <c r="A50" i="101" a="1"/>
  <c r="A50" i="101" s="1"/>
  <c r="J7" i="101" a="1"/>
  <c r="J7" i="101" s="1"/>
  <c r="B25" i="101" a="1"/>
  <c r="B25" i="101" s="1"/>
  <c r="J36" i="101" a="1"/>
  <c r="J36" i="101" s="1"/>
  <c r="J354" i="101" a="1"/>
  <c r="J354" i="101" s="1"/>
  <c r="J174" i="101" a="1"/>
  <c r="J174" i="101" s="1"/>
  <c r="B300" i="101" a="1"/>
  <c r="B300" i="101" s="1"/>
  <c r="B53" i="101" a="1"/>
  <c r="B53" i="101" s="1"/>
  <c r="J77" i="101" a="1"/>
  <c r="J77" i="101" s="1"/>
  <c r="B246" i="101" a="1"/>
  <c r="B246" i="101" s="1"/>
  <c r="A316" i="101" a="1"/>
  <c r="A316" i="101" s="1"/>
  <c r="B296" i="101" a="1"/>
  <c r="B296" i="101" s="1"/>
  <c r="J148" i="101" a="1"/>
  <c r="J148" i="101" s="1"/>
  <c r="A120" i="101" a="1"/>
  <c r="A120" i="101" s="1"/>
  <c r="A125" i="101" a="1"/>
  <c r="A125" i="101" s="1"/>
  <c r="J260" i="101" a="1"/>
  <c r="J260" i="101" s="1"/>
  <c r="B265" i="101" a="1"/>
  <c r="B265" i="101" s="1"/>
  <c r="B202" i="101" a="1"/>
  <c r="B202" i="101" s="1"/>
  <c r="B217" i="101" a="1"/>
  <c r="B217" i="101" s="1"/>
  <c r="A182" i="101" a="1"/>
  <c r="A182" i="101" s="1"/>
  <c r="B317" i="101" a="1"/>
  <c r="B317" i="101" s="1"/>
  <c r="A141" i="101" a="1"/>
  <c r="A141" i="101" s="1"/>
  <c r="B28" i="101" a="1"/>
  <c r="B28" i="101" s="1"/>
  <c r="B353" i="101" a="1"/>
  <c r="B353" i="101" s="1"/>
  <c r="B297" i="101" a="1"/>
  <c r="B297" i="101" s="1"/>
  <c r="J29" i="101" a="1"/>
  <c r="J29" i="101" s="1"/>
  <c r="A259" i="101" a="1"/>
  <c r="A259" i="101" s="1"/>
  <c r="B103" i="101" a="1"/>
  <c r="B103" i="101" s="1"/>
  <c r="B26" i="101" a="1"/>
  <c r="B26" i="101" s="1"/>
  <c r="A57" i="101" a="1"/>
  <c r="A57" i="101" s="1"/>
  <c r="J299" i="101" a="1"/>
  <c r="J299" i="101" s="1"/>
  <c r="A314" i="101" a="1"/>
  <c r="A314" i="101" s="1"/>
  <c r="B155" i="101" a="1"/>
  <c r="B155" i="101" s="1"/>
  <c r="J105" i="101" a="1"/>
  <c r="J105" i="101" s="1"/>
  <c r="B112" i="101" a="1"/>
  <c r="B112" i="101" s="1"/>
  <c r="J76" i="101" a="1"/>
  <c r="J76" i="101" s="1"/>
  <c r="J109" i="101" a="1"/>
  <c r="J109" i="101" s="1"/>
  <c r="A119" i="101" a="1"/>
  <c r="A119" i="101" s="1"/>
  <c r="J312" i="101" a="1"/>
  <c r="J312" i="101" s="1"/>
  <c r="J9" i="101" a="1"/>
  <c r="J9" i="101" s="1"/>
  <c r="J205" i="101" a="1"/>
  <c r="J205" i="101" s="1"/>
  <c r="A205" i="101" a="1"/>
  <c r="A205" i="101" s="1"/>
  <c r="B279" i="101" a="1"/>
  <c r="B279" i="101" s="1"/>
  <c r="B333" i="101" a="1"/>
  <c r="B333" i="101" s="1"/>
  <c r="A203" i="101" a="1"/>
  <c r="A203" i="101" s="1"/>
  <c r="B326" i="101" a="1"/>
  <c r="B326" i="101" s="1"/>
  <c r="B110" i="101" a="1"/>
  <c r="B110" i="101" s="1"/>
  <c r="A258" i="101" a="1"/>
  <c r="A258" i="101" s="1"/>
  <c r="J32" i="101" a="1"/>
  <c r="J32" i="101" s="1"/>
  <c r="B119" i="101" a="1"/>
  <c r="B119" i="101" s="1"/>
  <c r="B212" i="101" a="1"/>
  <c r="B212" i="101" s="1"/>
  <c r="J309" i="101" a="1"/>
  <c r="J309" i="101" s="1"/>
  <c r="B324" i="101" a="1"/>
  <c r="B324" i="101" s="1"/>
  <c r="A261" i="101" a="1"/>
  <c r="A261" i="101" s="1"/>
  <c r="B128" i="101" a="1"/>
  <c r="B128" i="101" s="1"/>
  <c r="J350" i="101" a="1"/>
  <c r="J350" i="101" s="1"/>
  <c r="A211" i="101" a="1"/>
  <c r="A211" i="101" s="1"/>
  <c r="B122" i="101" a="1"/>
  <c r="B122" i="101" s="1"/>
  <c r="A154" i="101" a="1"/>
  <c r="A154" i="101" s="1"/>
  <c r="J14" i="101" a="1"/>
  <c r="J14" i="101" s="1"/>
  <c r="B241" i="101" a="1"/>
  <c r="B241" i="101" s="1"/>
  <c r="A99" i="101" a="1"/>
  <c r="A99" i="101" s="1"/>
  <c r="B305" i="101" a="1"/>
  <c r="B305" i="101" s="1"/>
  <c r="J161" i="101" a="1"/>
  <c r="J161" i="101" s="1"/>
  <c r="J144" i="101" a="1"/>
  <c r="J144" i="101" s="1"/>
  <c r="A70" i="101" a="1"/>
  <c r="A70" i="101" s="1"/>
  <c r="J54" i="101" a="1"/>
  <c r="J54" i="101" s="1"/>
  <c r="B315" i="101" a="1"/>
  <c r="B315" i="101" s="1"/>
  <c r="J195" i="101" a="1"/>
  <c r="J195" i="101" s="1"/>
  <c r="J97" i="101" a="1"/>
  <c r="J97" i="101" s="1"/>
  <c r="A196" i="101" a="1"/>
  <c r="A196" i="101" s="1"/>
  <c r="B270" i="101" a="1"/>
  <c r="B270" i="101" s="1"/>
  <c r="A232" i="101" a="1"/>
  <c r="A232" i="101" s="1"/>
  <c r="J124" i="101" a="1"/>
  <c r="J124" i="101" s="1"/>
  <c r="A276" i="101" a="1"/>
  <c r="A276" i="101" s="1"/>
  <c r="B199" i="101" a="1"/>
  <c r="B199" i="101" s="1"/>
  <c r="J326" i="101" a="1"/>
  <c r="J326" i="101" s="1"/>
  <c r="A27" i="101" a="1"/>
  <c r="A27" i="101" s="1"/>
  <c r="B165" i="101" a="1"/>
  <c r="B165" i="101" s="1"/>
  <c r="A304" i="101" a="1"/>
  <c r="A304" i="101" s="1"/>
  <c r="B95" i="101" a="1"/>
  <c r="B95" i="101" s="1"/>
  <c r="A256" i="101" a="1"/>
  <c r="A256" i="101" s="1"/>
  <c r="J306" i="101" a="1"/>
  <c r="J306" i="101" s="1"/>
  <c r="A349" i="101" a="1"/>
  <c r="A349" i="101" s="1"/>
  <c r="B334" i="101" a="1"/>
  <c r="B334" i="101" s="1"/>
  <c r="J231" i="101" a="1"/>
  <c r="J231" i="101" s="1"/>
  <c r="A187" i="101" a="1"/>
  <c r="A187" i="101" s="1"/>
  <c r="A186" i="101" a="1"/>
  <c r="A186" i="101" s="1"/>
  <c r="J31" i="101" a="1"/>
  <c r="J31" i="101" s="1"/>
  <c r="A79" i="101" a="1"/>
  <c r="A79" i="101" s="1"/>
  <c r="A289" i="101" a="1"/>
  <c r="A289" i="101" s="1"/>
  <c r="B144" i="101" a="1"/>
  <c r="B144" i="101" s="1"/>
  <c r="A274" i="101" a="1"/>
  <c r="A274" i="101" s="1"/>
  <c r="J79" i="101" a="1"/>
  <c r="J79" i="101" s="1"/>
  <c r="A97" i="101" a="1"/>
  <c r="A97" i="101" s="1"/>
  <c r="A302" i="101" a="1"/>
  <c r="A302" i="101" s="1"/>
  <c r="J150" i="101" a="1"/>
  <c r="J150" i="101" s="1"/>
  <c r="A80" i="101" a="1"/>
  <c r="A80" i="101" s="1"/>
  <c r="J75" i="101" a="1"/>
  <c r="J75" i="101" s="1"/>
  <c r="J327" i="101" a="1"/>
  <c r="J327" i="101" s="1"/>
  <c r="J114" i="101" a="1"/>
  <c r="J114" i="101" s="1"/>
  <c r="J289" i="101" a="1"/>
  <c r="J289" i="101" s="1"/>
  <c r="A229" i="101" a="1"/>
  <c r="A229" i="101" s="1"/>
  <c r="A29" i="101" a="1"/>
  <c r="A29" i="101" s="1"/>
  <c r="A152" i="101" a="1"/>
  <c r="A152" i="101" s="1"/>
  <c r="A198" i="101" a="1"/>
  <c r="A198" i="101" s="1"/>
  <c r="A199" i="101" a="1"/>
  <c r="A199" i="101" s="1"/>
  <c r="A135" i="101" a="1"/>
  <c r="A135" i="101" s="1"/>
  <c r="J198" i="101" a="1"/>
  <c r="J198" i="101" s="1"/>
  <c r="A130" i="101" a="1"/>
  <c r="A130" i="101" s="1"/>
  <c r="J318" i="101" a="1"/>
  <c r="J318" i="101" s="1"/>
  <c r="A171" i="101" a="1"/>
  <c r="A171" i="101" s="1"/>
  <c r="J214" i="101" a="1"/>
  <c r="J214" i="101" s="1"/>
  <c r="J355" i="101" a="1"/>
  <c r="J355" i="101" s="1"/>
  <c r="A107" i="101" a="1"/>
  <c r="A107" i="101" s="1"/>
  <c r="B151" i="101" a="1"/>
  <c r="B151" i="101" s="1"/>
  <c r="J276" i="101" a="1"/>
  <c r="J276" i="101" s="1"/>
  <c r="B83" i="101" a="1"/>
  <c r="B83" i="101" s="1"/>
  <c r="B93" i="101" a="1"/>
  <c r="B93" i="101" s="1"/>
  <c r="A313" i="101" a="1"/>
  <c r="A313" i="101" s="1"/>
  <c r="B193" i="101" a="1"/>
  <c r="B193" i="101" s="1"/>
  <c r="A11" i="101" a="1"/>
  <c r="A11" i="101" s="1"/>
  <c r="B266" i="101" a="1"/>
  <c r="B266" i="101" s="1"/>
  <c r="A338" i="101" a="1"/>
  <c r="A338" i="101" s="1"/>
  <c r="B168" i="101" a="1"/>
  <c r="B168" i="101" s="1"/>
  <c r="J331" i="101" a="1"/>
  <c r="J331" i="101" s="1"/>
  <c r="A66" i="101" a="1"/>
  <c r="A66" i="101" s="1"/>
  <c r="B94" i="101" a="1"/>
  <c r="B94" i="101" s="1"/>
  <c r="A52" i="101" a="1"/>
  <c r="A52" i="101" s="1"/>
  <c r="A131" i="101" a="1"/>
  <c r="A131" i="101" s="1"/>
  <c r="B224" i="101" a="1"/>
  <c r="B224" i="101" s="1"/>
  <c r="A38" i="101" a="1"/>
  <c r="A38" i="101" s="1"/>
  <c r="A242" i="101" a="1"/>
  <c r="A242" i="101" s="1"/>
  <c r="J125" i="101" a="1"/>
  <c r="J125" i="101" s="1"/>
  <c r="J322" i="101" a="1"/>
  <c r="J322" i="101" s="1"/>
  <c r="B235" i="101" a="1"/>
  <c r="B235" i="101" s="1"/>
  <c r="A231" i="101" a="1"/>
  <c r="A231" i="101" s="1"/>
  <c r="B183" i="101" a="1"/>
  <c r="B183" i="101" s="1"/>
  <c r="A67" i="101" a="1"/>
  <c r="A67" i="101" s="1"/>
  <c r="B252" i="101" a="1"/>
  <c r="B252" i="101" s="1"/>
  <c r="A74" i="101" a="1"/>
  <c r="A74" i="101" s="1"/>
  <c r="J335" i="101" a="1"/>
  <c r="J335" i="101" s="1"/>
  <c r="J345" i="101" a="1"/>
  <c r="J345" i="101" s="1"/>
  <c r="J295" i="101" a="1"/>
  <c r="J295" i="101" s="1"/>
  <c r="J191" i="101" a="1"/>
  <c r="J191" i="101" s="1"/>
  <c r="B171" i="101" a="1"/>
  <c r="B171" i="101" s="1"/>
  <c r="B86" i="101" a="1"/>
  <c r="B86" i="101" s="1"/>
  <c r="A292" i="101" a="1"/>
  <c r="A292" i="101" s="1"/>
  <c r="B127" i="101" a="1"/>
  <c r="B127" i="101" s="1"/>
  <c r="B210" i="101" a="1"/>
  <c r="B210" i="101" s="1"/>
  <c r="B79" i="101" a="1"/>
  <c r="B79" i="101" s="1"/>
  <c r="J258" i="101" a="1"/>
  <c r="J258" i="101" s="1"/>
  <c r="B238" i="101" a="1"/>
  <c r="B238" i="101" s="1"/>
  <c r="A161" i="101" a="1"/>
  <c r="A161" i="101" s="1"/>
  <c r="B65" i="101" a="1"/>
  <c r="B65" i="101" s="1"/>
  <c r="A353" i="101" a="1"/>
  <c r="A353" i="101" s="1"/>
  <c r="B255" i="101" a="1"/>
  <c r="B255" i="101" s="1"/>
  <c r="B35" i="101" a="1"/>
  <c r="B35" i="101" s="1"/>
  <c r="B287" i="101" a="1"/>
  <c r="B287" i="101" s="1"/>
  <c r="J348" i="101" a="1"/>
  <c r="J348" i="101" s="1"/>
  <c r="B262" i="101" a="1"/>
  <c r="B262" i="101" s="1"/>
  <c r="A311" i="101" a="1"/>
  <c r="A311" i="101" s="1"/>
  <c r="J343" i="101" a="1"/>
  <c r="J343" i="101" s="1"/>
  <c r="B179" i="101" a="1"/>
  <c r="B179" i="101" s="1"/>
  <c r="B201" i="101" a="1"/>
  <c r="B201" i="101" s="1"/>
  <c r="A195" i="101" a="1"/>
  <c r="A195" i="101" s="1"/>
  <c r="J282" i="101" a="1"/>
  <c r="J282" i="101" s="1"/>
  <c r="A271" i="101" a="1"/>
  <c r="A271" i="101" s="1"/>
  <c r="B336" i="101" a="1"/>
  <c r="B336" i="101" s="1"/>
  <c r="A333" i="101" a="1"/>
  <c r="A333" i="101" s="1"/>
  <c r="B147" i="101" a="1"/>
  <c r="B147" i="101" s="1"/>
  <c r="A21" i="101" a="1"/>
  <c r="A21" i="101" s="1"/>
  <c r="J111" i="101" a="1"/>
  <c r="J111" i="101" s="1"/>
  <c r="J230" i="101" a="1"/>
  <c r="J230" i="101" s="1"/>
  <c r="B249" i="101" a="1"/>
  <c r="B249" i="101" s="1"/>
  <c r="A204" i="101" a="1"/>
  <c r="A204" i="101" s="1"/>
  <c r="A53" i="101" a="1"/>
  <c r="A53" i="101" s="1"/>
  <c r="A212" i="101" a="1"/>
  <c r="A212" i="101" s="1"/>
  <c r="B32" i="101" a="1"/>
  <c r="B32" i="101" s="1"/>
  <c r="A100" i="101" a="1"/>
  <c r="A100" i="101" s="1"/>
  <c r="A285" i="101" a="1"/>
  <c r="A285" i="101" s="1"/>
  <c r="A34" i="101" a="1"/>
  <c r="A34" i="101" s="1"/>
  <c r="B274" i="101" a="1"/>
  <c r="B274" i="101" s="1"/>
  <c r="B43" i="101" a="1"/>
  <c r="B43" i="101" s="1"/>
  <c r="J215" i="101" a="1"/>
  <c r="J215" i="101" s="1"/>
  <c r="J61" i="101" a="1"/>
  <c r="J61" i="101" s="1"/>
  <c r="A241" i="101" a="1"/>
  <c r="A241" i="101" s="1"/>
  <c r="J288" i="101" a="1"/>
  <c r="J288" i="101" s="1"/>
  <c r="J275" i="101" a="1"/>
  <c r="J275" i="101" s="1"/>
  <c r="J334" i="101" a="1"/>
  <c r="J334" i="101" s="1"/>
  <c r="A346" i="101" a="1"/>
  <c r="A346" i="101" s="1"/>
  <c r="A252" i="101" a="1"/>
  <c r="A252" i="101" s="1"/>
  <c r="J12" i="101" a="1"/>
  <c r="J12" i="101" s="1"/>
  <c r="A85" i="101" a="1"/>
  <c r="A85" i="101" s="1"/>
  <c r="B294" i="101" a="1"/>
  <c r="B294" i="101" s="1"/>
  <c r="A215" i="101" a="1"/>
  <c r="A215" i="101" s="1"/>
  <c r="J78" i="101" a="1"/>
  <c r="J78" i="101" s="1"/>
  <c r="J112" i="101" a="1"/>
  <c r="J112" i="101" s="1"/>
  <c r="B141" i="101" a="1"/>
  <c r="B141" i="101" s="1"/>
  <c r="J85" i="101" a="1"/>
  <c r="J85" i="101" s="1"/>
  <c r="A95" i="101" a="1"/>
  <c r="A95" i="101" s="1"/>
  <c r="A166" i="101" a="1"/>
  <c r="A166" i="101" s="1"/>
  <c r="J254" i="101" a="1"/>
  <c r="J254" i="101" s="1"/>
  <c r="J219" i="101" a="1"/>
  <c r="J219" i="101" s="1"/>
  <c r="B107" i="101" a="1"/>
  <c r="B107" i="101" s="1"/>
  <c r="A318" i="101" a="1"/>
  <c r="A318" i="101" s="1"/>
  <c r="J317" i="101" a="1"/>
  <c r="J317" i="101" s="1"/>
  <c r="J86" i="101" a="1"/>
  <c r="J86" i="101" s="1"/>
  <c r="B322" i="101" a="1"/>
  <c r="B322" i="101" s="1"/>
  <c r="A322" i="101" a="1"/>
  <c r="A322" i="101" s="1"/>
  <c r="A56" i="101" a="1"/>
  <c r="A56" i="101" s="1"/>
  <c r="A30" i="101" a="1"/>
  <c r="A30" i="101" s="1"/>
  <c r="J337" i="101" a="1"/>
  <c r="J337" i="101" s="1"/>
  <c r="A312" i="101" a="1"/>
  <c r="A312" i="101" s="1"/>
  <c r="J95" i="101" a="1"/>
  <c r="J95" i="101" s="1"/>
  <c r="A175" i="101" a="1"/>
  <c r="A175" i="101" s="1"/>
  <c r="B261" i="101" a="1"/>
  <c r="B261" i="101" s="1"/>
  <c r="A115" i="101" a="1"/>
  <c r="A115" i="101" s="1"/>
  <c r="J268" i="101" a="1"/>
  <c r="J268" i="101" s="1"/>
  <c r="J22" i="101" a="1"/>
  <c r="J22" i="101" s="1"/>
  <c r="J298" i="101" a="1"/>
  <c r="J298" i="101" s="1"/>
  <c r="A7" i="101" a="1"/>
  <c r="A7" i="101" s="1"/>
  <c r="B308" i="101" a="1"/>
  <c r="B308" i="101" s="1"/>
  <c r="J181" i="101" a="1"/>
  <c r="J181" i="101" s="1"/>
  <c r="A177" i="101" a="1"/>
  <c r="A177" i="101" s="1"/>
  <c r="J169" i="101" a="1"/>
  <c r="J169" i="101" s="1"/>
  <c r="J165" i="101" a="1"/>
  <c r="J165" i="101" s="1"/>
  <c r="J238" i="101" a="1"/>
  <c r="J238" i="101" s="1"/>
  <c r="J338" i="101" a="1"/>
  <c r="J338" i="101" s="1"/>
  <c r="J344" i="101" a="1"/>
  <c r="J344" i="101" s="1"/>
  <c r="B318" i="101" a="1"/>
  <c r="B318" i="101" s="1"/>
  <c r="A16" i="101" a="1"/>
  <c r="A16" i="101" s="1"/>
  <c r="A90" i="101" a="1"/>
  <c r="A90" i="101" s="1"/>
  <c r="J46" i="101" a="1"/>
  <c r="J46" i="101" s="1"/>
  <c r="A136" i="101" a="1"/>
  <c r="A136" i="101" s="1"/>
  <c r="J303" i="101" a="1"/>
  <c r="J303" i="101" s="1"/>
  <c r="J308" i="101" a="1"/>
  <c r="J308" i="101" s="1"/>
  <c r="B146" i="101" a="1"/>
  <c r="B146" i="101" s="1"/>
  <c r="A250" i="101" a="1"/>
  <c r="A250" i="101" s="1"/>
  <c r="J17" i="101" a="1"/>
  <c r="J17" i="101" s="1"/>
  <c r="B227" i="101" a="1"/>
  <c r="B227" i="101" s="1"/>
  <c r="B225" i="101" a="1"/>
  <c r="B225" i="101" s="1"/>
  <c r="A118" i="101" a="1"/>
  <c r="A118" i="101" s="1"/>
  <c r="J136" i="101" a="1"/>
  <c r="J136" i="101" s="1"/>
  <c r="J89" i="101" a="1"/>
  <c r="J89" i="101" s="1"/>
  <c r="B314" i="101" a="1"/>
  <c r="B314" i="101" s="1"/>
  <c r="B345" i="101" a="1"/>
  <c r="B345" i="101" s="1"/>
  <c r="B184" i="101" a="1"/>
  <c r="B184" i="101" s="1"/>
  <c r="B303" i="101" a="1"/>
  <c r="B303" i="101" s="1"/>
  <c r="A101" i="101" a="1"/>
  <c r="A101" i="101" s="1"/>
  <c r="J332" i="101" a="1"/>
  <c r="J332" i="101" s="1"/>
  <c r="J281" i="101" a="1"/>
  <c r="J281" i="101" s="1"/>
  <c r="B271" i="101" a="1"/>
  <c r="B271" i="101" s="1"/>
  <c r="A172" i="101" a="1"/>
  <c r="A172" i="101" s="1"/>
  <c r="B139" i="101" a="1"/>
  <c r="B139" i="101" s="1"/>
  <c r="B7" i="101" a="1"/>
  <c r="B7" i="101" s="1"/>
  <c r="B104" i="101" a="1"/>
  <c r="B104" i="101" s="1"/>
  <c r="B98" i="101" a="1"/>
  <c r="B98" i="101" s="1"/>
  <c r="P6" i="101"/>
  <c r="A6" i="101" s="1" a="1"/>
  <c r="A6" i="101" s="1"/>
  <c r="J202" i="101" a="1"/>
  <c r="J202" i="101" s="1"/>
  <c r="B16" i="101" a="1"/>
  <c r="B16" i="101" s="1"/>
  <c r="B145" i="101" a="1"/>
  <c r="B145" i="101" s="1"/>
  <c r="A200" i="101" a="1"/>
  <c r="A200" i="101" s="1"/>
  <c r="A8" i="101" a="1"/>
  <c r="A8" i="101" s="1"/>
  <c r="J246" i="101" a="1"/>
  <c r="J246" i="101" s="1"/>
  <c r="J294" i="101" a="1"/>
  <c r="J294" i="101" s="1"/>
  <c r="J277" i="101" a="1"/>
  <c r="J277" i="101" s="1"/>
  <c r="A157" i="101" a="1"/>
  <c r="A157" i="101" s="1"/>
  <c r="B310" i="101" a="1"/>
  <c r="B310" i="101" s="1"/>
  <c r="A301" i="101" a="1"/>
  <c r="A301" i="101" s="1"/>
  <c r="J175" i="101" a="1"/>
  <c r="J175" i="101" s="1"/>
  <c r="A158" i="101" a="1"/>
  <c r="A158" i="101" s="1"/>
  <c r="J274" i="101" a="1"/>
  <c r="J274" i="101" s="1"/>
  <c r="B115" i="101" a="1"/>
  <c r="B115" i="101" s="1"/>
  <c r="B354" i="101" a="1"/>
  <c r="B354" i="101" s="1"/>
  <c r="J341" i="101" a="1"/>
  <c r="J341" i="101" s="1"/>
  <c r="B351" i="101" a="1"/>
  <c r="B351" i="101" s="1"/>
  <c r="B205" i="101" a="1"/>
  <c r="B205" i="101" s="1"/>
  <c r="J55" i="101" a="1"/>
  <c r="J55" i="101" s="1"/>
  <c r="A28" i="101" a="1"/>
  <c r="A28" i="101" s="1"/>
  <c r="J228" i="101" a="1"/>
  <c r="J228" i="101" s="1"/>
  <c r="B228" i="101" a="1"/>
  <c r="B228" i="101" s="1"/>
  <c r="B196" i="101" a="1"/>
  <c r="B196" i="101" s="1"/>
  <c r="B256" i="101" a="1"/>
  <c r="B256" i="101" s="1"/>
  <c r="J168" i="101" a="1"/>
  <c r="J168" i="101" s="1"/>
  <c r="J320" i="101" a="1"/>
  <c r="J320" i="101" s="1"/>
  <c r="A162" i="101" a="1"/>
  <c r="A162" i="101" s="1"/>
  <c r="A214" i="101" a="1"/>
  <c r="A214" i="101" s="1"/>
  <c r="J210" i="101" a="1"/>
  <c r="J210" i="101" s="1"/>
  <c r="B247" i="101" a="1"/>
  <c r="B247" i="101" s="1"/>
  <c r="A167" i="101" a="1"/>
  <c r="A167" i="101" s="1"/>
  <c r="A129" i="101" a="1"/>
  <c r="A129" i="101" s="1"/>
  <c r="A281" i="101" a="1"/>
  <c r="A281" i="101" s="1"/>
  <c r="J98" i="101" a="1"/>
  <c r="J98" i="101" s="1"/>
  <c r="A327" i="101" a="1"/>
  <c r="A327" i="101" s="1"/>
  <c r="J216" i="101" a="1"/>
  <c r="J216" i="101" s="1"/>
  <c r="A226" i="101" a="1"/>
  <c r="A226" i="101" s="1"/>
  <c r="A262" i="101" a="1"/>
  <c r="A262" i="101" s="1"/>
  <c r="A40" i="101" a="1"/>
  <c r="A40" i="101" s="1"/>
  <c r="B159" i="101" a="1"/>
  <c r="B159" i="101" s="1"/>
  <c r="J115" i="101" a="1"/>
  <c r="J115" i="101" s="1"/>
  <c r="J241" i="101" a="1"/>
  <c r="J241" i="101" s="1"/>
  <c r="A345" i="101" a="1"/>
  <c r="A345" i="101" s="1"/>
  <c r="A26" i="101" a="1"/>
  <c r="A26" i="101" s="1"/>
  <c r="A297" i="101" a="1"/>
  <c r="A297" i="101" s="1"/>
  <c r="B272" i="101" a="1"/>
  <c r="B272" i="101" s="1"/>
  <c r="J213" i="101" a="1"/>
  <c r="J213" i="101" s="1"/>
  <c r="A84" i="101" a="1"/>
  <c r="A84" i="101" s="1"/>
  <c r="B192" i="101" a="1"/>
  <c r="B192" i="101" s="1"/>
  <c r="B293" i="101" a="1"/>
  <c r="B293" i="101" s="1"/>
  <c r="A248" i="101" a="1"/>
  <c r="A248" i="101" s="1"/>
  <c r="B75" i="101" a="1"/>
  <c r="B75" i="101" s="1"/>
  <c r="B42" i="101" a="1"/>
  <c r="B42" i="101" s="1"/>
  <c r="A309" i="101" a="1"/>
  <c r="A309" i="101" s="1"/>
  <c r="A92" i="101" a="1"/>
  <c r="A92" i="101" s="1"/>
  <c r="A348" i="101" a="1"/>
  <c r="A348" i="101" s="1"/>
  <c r="J56" i="101" a="1"/>
  <c r="J56" i="101" s="1"/>
  <c r="A102" i="101" a="1"/>
  <c r="A102" i="101" s="1"/>
  <c r="B236" i="101" a="1"/>
  <c r="B236" i="101" s="1"/>
  <c r="J313" i="101" a="1"/>
  <c r="J313" i="101" s="1"/>
  <c r="B96" i="101" a="1"/>
  <c r="B96" i="101" s="1"/>
  <c r="B100" i="101" a="1"/>
  <c r="B100" i="101" s="1"/>
  <c r="J220" i="101" a="1"/>
  <c r="J220" i="101" s="1"/>
  <c r="A82" i="101" a="1"/>
  <c r="A82" i="101" s="1"/>
  <c r="B69" i="101" a="1"/>
  <c r="B69" i="101" s="1"/>
  <c r="B20" i="101" a="1"/>
  <c r="B20" i="101" s="1"/>
  <c r="J253" i="101" a="1"/>
  <c r="J253" i="101" s="1"/>
  <c r="A15" i="101" a="1"/>
  <c r="A15" i="101" s="1"/>
  <c r="A24" i="101" a="1"/>
  <c r="A24" i="101" s="1"/>
  <c r="A33" i="101" a="1"/>
  <c r="A33" i="101" s="1"/>
  <c r="B352" i="101" a="1"/>
  <c r="B352" i="101" s="1"/>
  <c r="B133" i="101" a="1"/>
  <c r="B133" i="101" s="1"/>
  <c r="A44" i="101" a="1"/>
  <c r="A44" i="101" s="1"/>
  <c r="A299" i="101" a="1"/>
  <c r="A299" i="101" s="1"/>
  <c r="A351" i="101" a="1"/>
  <c r="A351" i="101" s="1"/>
  <c r="J10" i="101" a="1"/>
  <c r="J10" i="101" s="1"/>
  <c r="J273" i="101" a="1"/>
  <c r="J273" i="101" s="1"/>
  <c r="B11" i="101" a="1"/>
  <c r="B11" i="101" s="1"/>
  <c r="B311" i="101" a="1"/>
  <c r="B311" i="101" s="1"/>
  <c r="A109" i="101" a="1"/>
  <c r="A109" i="101" s="1"/>
  <c r="B244" i="101" a="1"/>
  <c r="B244" i="101" s="1"/>
  <c r="B72" i="101" a="1"/>
  <c r="B72" i="101" s="1"/>
  <c r="A190" i="101" a="1"/>
  <c r="A190" i="101" s="1"/>
  <c r="A293" i="101" a="1"/>
  <c r="A293" i="101" s="1"/>
  <c r="A48" i="101" a="1"/>
  <c r="A48" i="101" s="1"/>
  <c r="B232" i="101" a="1"/>
  <c r="B232" i="101" s="1"/>
  <c r="B220" i="101" a="1"/>
  <c r="B220" i="101" s="1"/>
  <c r="J293" i="101" a="1"/>
  <c r="J293" i="101" s="1"/>
  <c r="A71" i="101" a="1"/>
  <c r="A71" i="101" s="1"/>
  <c r="A331" i="101" a="1"/>
  <c r="A331" i="101" s="1"/>
  <c r="B176" i="101" a="1"/>
  <c r="B176" i="101" s="1"/>
  <c r="J184" i="101" a="1"/>
  <c r="J184" i="101" s="1"/>
  <c r="A243" i="101" a="1"/>
  <c r="A243" i="101" s="1"/>
  <c r="B78" i="101" a="1"/>
  <c r="B78" i="101" s="1"/>
  <c r="B44" i="101" a="1"/>
  <c r="B44" i="101" s="1"/>
  <c r="J154" i="101" a="1"/>
  <c r="J154" i="101" s="1"/>
  <c r="B90" i="101" a="1"/>
  <c r="B90" i="101" s="1"/>
  <c r="A111" i="101" a="1"/>
  <c r="A111" i="101" s="1"/>
  <c r="A219" i="101" a="1"/>
  <c r="A219" i="101" s="1"/>
  <c r="B71" i="101" a="1"/>
  <c r="B71" i="101" s="1"/>
  <c r="A324" i="101" a="1"/>
  <c r="A324" i="101" s="1"/>
  <c r="A25" i="101" a="1"/>
  <c r="A25" i="101" s="1"/>
  <c r="J208" i="101" a="1"/>
  <c r="J208" i="101" s="1"/>
  <c r="A93" i="101" a="1"/>
  <c r="A93" i="101" s="1"/>
  <c r="J66" i="101" a="1"/>
  <c r="J66" i="101" s="1"/>
  <c r="B140" i="101" a="1"/>
  <c r="B140" i="101" s="1"/>
  <c r="B211" i="101" a="1"/>
  <c r="B211" i="101" s="1"/>
  <c r="J199" i="101" a="1"/>
  <c r="J199" i="101" s="1"/>
  <c r="B239" i="101" a="1"/>
  <c r="B239" i="101" s="1"/>
  <c r="B101" i="101" a="1"/>
  <c r="B101" i="101" s="1"/>
  <c r="A62" i="101" a="1"/>
  <c r="A62" i="101" s="1"/>
  <c r="B10" i="101" a="1"/>
  <c r="B10" i="101" s="1"/>
  <c r="B189" i="101" a="1"/>
  <c r="B189" i="101" s="1"/>
  <c r="B157" i="101" a="1"/>
  <c r="B157" i="101" s="1"/>
  <c r="J179" i="101" a="1"/>
  <c r="J179" i="101" s="1"/>
  <c r="B285" i="101" a="1"/>
  <c r="B285" i="101" s="1"/>
  <c r="J120" i="101" a="1"/>
  <c r="J120" i="101" s="1"/>
  <c r="A153" i="101" a="1"/>
  <c r="A153" i="101" s="1"/>
  <c r="A89" i="101" a="1"/>
  <c r="A89" i="101" s="1"/>
  <c r="B163" i="101" a="1"/>
  <c r="B163" i="101" s="1"/>
  <c r="B164" i="101" a="1"/>
  <c r="B164" i="101" s="1"/>
  <c r="A64" i="101" a="1"/>
  <c r="A64" i="101" s="1"/>
  <c r="J328" i="101" a="1"/>
  <c r="J328" i="101" s="1"/>
  <c r="J167" i="101" a="1"/>
  <c r="J167" i="101" s="1"/>
  <c r="J163" i="101" a="1"/>
  <c r="J163" i="101" s="1"/>
  <c r="A266" i="101" a="1"/>
  <c r="A266" i="101" s="1"/>
  <c r="A58" i="101" a="1"/>
  <c r="A58" i="101" s="1"/>
  <c r="B46" i="101" a="1"/>
  <c r="B46" i="101" s="1"/>
  <c r="J353" i="101" a="1"/>
  <c r="J353" i="101" s="1"/>
  <c r="J255" i="101" a="1"/>
  <c r="J255" i="101" s="1"/>
  <c r="B123" i="101" a="1"/>
  <c r="B123" i="101" s="1"/>
  <c r="A354" i="101" a="1"/>
  <c r="A354" i="101" s="1"/>
  <c r="J23" i="101" a="1"/>
  <c r="J23" i="101" s="1"/>
  <c r="B172" i="101" a="1"/>
  <c r="B172" i="101" s="1"/>
  <c r="A36" i="101" a="1"/>
  <c r="A36" i="101" s="1"/>
  <c r="B137" i="101" a="1"/>
  <c r="B137" i="101" s="1"/>
  <c r="A91" i="101" a="1"/>
  <c r="A91" i="101" s="1"/>
  <c r="A279" i="101" a="1"/>
  <c r="A279" i="101" s="1"/>
  <c r="A206" i="101" a="1"/>
  <c r="A206" i="101" s="1"/>
  <c r="J141" i="101" a="1"/>
  <c r="J141" i="101" s="1"/>
  <c r="A306" i="101" a="1"/>
  <c r="A306" i="101" s="1"/>
  <c r="A72" i="101" a="1"/>
  <c r="A72" i="101" s="1"/>
  <c r="J35" i="101" a="1"/>
  <c r="J35" i="101" s="1"/>
  <c r="A46" i="101" a="1"/>
  <c r="A46" i="101" s="1"/>
  <c r="J340" i="101" a="1"/>
  <c r="J340" i="101" s="1"/>
  <c r="B234" i="101" a="1"/>
  <c r="B234" i="101" s="1"/>
  <c r="J352" i="101" a="1"/>
  <c r="J352" i="101" s="1"/>
  <c r="J222" i="101" a="1"/>
  <c r="J222" i="101" s="1"/>
  <c r="A239" i="101" a="1"/>
  <c r="A239" i="101" s="1"/>
  <c r="A155" i="101" a="1"/>
  <c r="A155" i="101" s="1"/>
  <c r="J292" i="101" a="1"/>
  <c r="J292" i="101" s="1"/>
  <c r="J113" i="101" a="1"/>
  <c r="J113" i="101" s="1"/>
  <c r="B92" i="101" a="1"/>
  <c r="B92" i="101" s="1"/>
  <c r="A193" i="101" a="1"/>
  <c r="A193" i="101" s="1"/>
  <c r="J71" i="101" a="1"/>
  <c r="J71" i="101" s="1"/>
  <c r="A197" i="101" a="1"/>
  <c r="A197" i="101" s="1"/>
  <c r="A326" i="101" a="1"/>
  <c r="A326" i="101" s="1"/>
  <c r="J80" i="101" a="1"/>
  <c r="J80" i="101" s="1"/>
  <c r="A317" i="101" a="1"/>
  <c r="A317" i="101" s="1"/>
  <c r="J69" i="101" a="1"/>
  <c r="J69" i="101" s="1"/>
  <c r="A94" i="101" a="1"/>
  <c r="A94" i="101" s="1"/>
  <c r="J94" i="101" a="1"/>
  <c r="J94" i="101" s="1"/>
  <c r="A287" i="101" a="1"/>
  <c r="A287" i="101" s="1"/>
  <c r="A350" i="101" a="1"/>
  <c r="A350" i="101" s="1"/>
  <c r="J269" i="101" a="1"/>
  <c r="J269" i="101" s="1"/>
  <c r="B74" i="101" a="1"/>
  <c r="B74" i="101" s="1"/>
  <c r="J119" i="101" a="1"/>
  <c r="J119" i="101" s="1"/>
  <c r="B108" i="101" a="1"/>
  <c r="B108" i="101" s="1"/>
  <c r="J290" i="101" a="1"/>
  <c r="J290" i="101" s="1"/>
  <c r="J224" i="101" a="1"/>
  <c r="J224" i="101" s="1"/>
  <c r="B41" i="101" a="1"/>
  <c r="B41" i="101" s="1"/>
  <c r="B9" i="101" a="1"/>
  <c r="B9" i="101" s="1"/>
  <c r="A263" i="101" a="1"/>
  <c r="A263" i="101" s="1"/>
  <c r="A278" i="101" a="1"/>
  <c r="A278" i="101" s="1"/>
  <c r="B80" i="101" a="1"/>
  <c r="B80" i="101" s="1"/>
  <c r="A69" i="101" a="1"/>
  <c r="A69" i="101" s="1"/>
  <c r="B66" i="101" a="1"/>
  <c r="B66" i="101" s="1"/>
  <c r="J122" i="101" a="1"/>
  <c r="J122" i="101" s="1"/>
  <c r="J259" i="101" a="1"/>
  <c r="J259" i="101" s="1"/>
  <c r="A209" i="101" a="1"/>
  <c r="A209" i="101" s="1"/>
  <c r="J20" i="101" a="1"/>
  <c r="J20" i="101" s="1"/>
  <c r="J156" i="101" a="1"/>
  <c r="J156" i="101" s="1"/>
  <c r="A207" i="101" a="1"/>
  <c r="A207" i="101" s="1"/>
  <c r="J153" i="101" a="1"/>
  <c r="J153" i="101" s="1"/>
  <c r="J48" i="101" a="1"/>
  <c r="J48" i="101" s="1"/>
  <c r="J192" i="101" a="1"/>
  <c r="J192" i="101" s="1"/>
  <c r="J266" i="101" a="1"/>
  <c r="J266" i="101" s="1"/>
  <c r="A277" i="101" a="1"/>
  <c r="A277" i="101" s="1"/>
  <c r="J59" i="101" a="1"/>
  <c r="J59" i="101" s="1"/>
  <c r="J270" i="101" a="1"/>
  <c r="J270" i="101" s="1"/>
  <c r="B48" i="101" a="1"/>
  <c r="B48" i="101" s="1"/>
  <c r="B231" i="101" a="1"/>
  <c r="B231" i="101" s="1"/>
  <c r="J67" i="101" a="1"/>
  <c r="J67" i="101" s="1"/>
  <c r="A55" i="101" a="1"/>
  <c r="A55" i="101" s="1"/>
  <c r="J91" i="101" a="1"/>
  <c r="J91" i="101" s="1"/>
  <c r="B18" i="101" a="1"/>
  <c r="B18" i="101" s="1"/>
  <c r="B257" i="101" a="1"/>
  <c r="B257" i="101" s="1"/>
  <c r="J116" i="101" a="1"/>
  <c r="J116" i="101" s="1"/>
  <c r="A352" i="101" a="1"/>
  <c r="A352" i="101" s="1"/>
  <c r="A264" i="101" a="1"/>
  <c r="A264" i="101" s="1"/>
  <c r="J93" i="101" a="1"/>
  <c r="J93" i="101" s="1"/>
  <c r="A295" i="101" a="1"/>
  <c r="A295" i="101" s="1"/>
  <c r="A83" i="101" a="1"/>
  <c r="A83" i="101" s="1"/>
  <c r="B248" i="101" a="1"/>
  <c r="B248" i="101" s="1"/>
  <c r="J101" i="101" a="1"/>
  <c r="J101" i="101" s="1"/>
  <c r="A49" i="101" a="1"/>
  <c r="A49" i="101" s="1"/>
  <c r="A41" i="101" a="1"/>
  <c r="A41" i="101" s="1"/>
  <c r="A257" i="101" a="1"/>
  <c r="A257" i="101" s="1"/>
  <c r="J152" i="101" a="1"/>
  <c r="J152" i="101" s="1"/>
  <c r="A237" i="101" a="1"/>
  <c r="A237" i="101" s="1"/>
  <c r="B175" i="101" a="1"/>
  <c r="B175" i="101" s="1"/>
  <c r="J138" i="101" a="1"/>
  <c r="J138" i="101" s="1"/>
  <c r="B91" i="101" a="1"/>
  <c r="B91" i="101" s="1"/>
  <c r="A181" i="101" a="1"/>
  <c r="A181" i="101" s="1"/>
  <c r="J186" i="101" a="1"/>
  <c r="J186" i="101" s="1"/>
  <c r="A344" i="101" a="1"/>
  <c r="A344" i="101" s="1"/>
  <c r="J209" i="101" a="1"/>
  <c r="J209" i="101" s="1"/>
  <c r="A244" i="101" a="1"/>
  <c r="A244" i="101" s="1"/>
  <c r="J37" i="101" a="1"/>
  <c r="J37" i="101" s="1"/>
  <c r="J347" i="101" a="1"/>
  <c r="J347" i="101" s="1"/>
  <c r="J314" i="101" a="1"/>
  <c r="J314" i="101" s="1"/>
  <c r="J252" i="101" a="1"/>
  <c r="J252" i="101" s="1"/>
  <c r="A45" i="101" a="1"/>
  <c r="A45" i="101" s="1"/>
  <c r="J351" i="101" a="1"/>
  <c r="J351" i="101" s="1"/>
  <c r="J34" i="101" a="1"/>
  <c r="J34" i="101" s="1"/>
  <c r="B174" i="101" a="1"/>
  <c r="B174" i="101" s="1"/>
  <c r="J40" i="101" a="1"/>
  <c r="J40" i="101" s="1"/>
  <c r="B59" i="101" a="1"/>
  <c r="B59" i="101" s="1"/>
  <c r="B170" i="101" a="1"/>
  <c r="B170" i="101" s="1"/>
  <c r="A339" i="101" a="1"/>
  <c r="A339" i="101" s="1"/>
  <c r="A184" i="101" a="1"/>
  <c r="A184" i="101" s="1"/>
  <c r="A210" i="101" a="1"/>
  <c r="A210" i="101" s="1"/>
  <c r="J180" i="101" a="1"/>
  <c r="J180" i="101" s="1"/>
  <c r="B34" i="101" a="1"/>
  <c r="B34" i="101" s="1"/>
  <c r="B254" i="101" a="1"/>
  <c r="B254" i="101" s="1"/>
  <c r="J240" i="101" a="1"/>
  <c r="J240" i="101" s="1"/>
  <c r="A305" i="101" a="1"/>
  <c r="A305" i="101" s="1"/>
  <c r="J128" i="101" a="1"/>
  <c r="J128" i="101" s="1"/>
  <c r="J197" i="101" a="1"/>
  <c r="J197" i="101" s="1"/>
  <c r="J28" i="101" a="1"/>
  <c r="J28" i="101" s="1"/>
  <c r="J146" i="101" a="1"/>
  <c r="J146" i="101" s="1"/>
  <c r="A290" i="101" a="1"/>
  <c r="A290" i="101" s="1"/>
  <c r="A112" i="101" a="1"/>
  <c r="A112" i="101" s="1"/>
  <c r="B292" i="101" a="1"/>
  <c r="B292" i="101" s="1"/>
  <c r="A134" i="101" a="1"/>
  <c r="A134" i="101" s="1"/>
  <c r="B302" i="101" a="1"/>
  <c r="B302" i="101" s="1"/>
  <c r="B54" i="101" a="1"/>
  <c r="B54" i="101" s="1"/>
  <c r="J129" i="101" a="1"/>
  <c r="J129" i="101" s="1"/>
  <c r="J74" i="101" a="1"/>
  <c r="J74" i="101" s="1"/>
  <c r="B68" i="101" a="1"/>
  <c r="B68" i="101" s="1"/>
  <c r="A110" i="101" a="1"/>
  <c r="A110" i="101" s="1"/>
  <c r="A14" i="101" a="1"/>
  <c r="A14" i="101" s="1"/>
  <c r="J176" i="101" a="1"/>
  <c r="J176" i="101" s="1"/>
  <c r="A240" i="101" a="1"/>
  <c r="A240" i="101" s="1"/>
  <c r="B218" i="101" a="1"/>
  <c r="B218" i="101" s="1"/>
  <c r="A216" i="101" a="1"/>
  <c r="A216" i="101" s="1"/>
  <c r="J226" i="101" a="1"/>
  <c r="J226" i="101" s="1"/>
  <c r="B342" i="101" a="1"/>
  <c r="B342" i="101" s="1"/>
  <c r="B291" i="101" a="1"/>
  <c r="B291" i="101" s="1"/>
  <c r="A127" i="101" a="1"/>
  <c r="A127" i="101" s="1"/>
  <c r="B39" i="101" a="1"/>
  <c r="B39" i="101" s="1"/>
  <c r="B198" i="101" a="1"/>
  <c r="B198" i="101" s="1"/>
  <c r="B343" i="101" a="1"/>
  <c r="B343" i="101" s="1"/>
  <c r="A282" i="101" a="1"/>
  <c r="A282" i="101" s="1"/>
  <c r="A341" i="101" a="1"/>
  <c r="A341" i="101" s="1"/>
  <c r="J53" i="101" a="1"/>
  <c r="J53" i="101" s="1"/>
  <c r="B276" i="101" a="1"/>
  <c r="B276" i="101" s="1"/>
  <c r="J157" i="101" a="1"/>
  <c r="J157" i="101" s="1"/>
  <c r="J256" i="101" a="1"/>
  <c r="J256" i="101" s="1"/>
  <c r="B70" i="101" a="1"/>
  <c r="B70" i="101" s="1"/>
  <c r="A140" i="101" a="1"/>
  <c r="A140" i="101" s="1"/>
  <c r="A17" i="101" a="1"/>
  <c r="A17" i="101" s="1"/>
  <c r="J42" i="101" a="1"/>
  <c r="J42" i="101" s="1"/>
  <c r="J300" i="101" a="1"/>
  <c r="J300" i="101" s="1"/>
  <c r="J211" i="101" a="1"/>
  <c r="J211" i="101" s="1"/>
  <c r="J65" i="101" a="1"/>
  <c r="J65" i="101" s="1"/>
  <c r="A179" i="101" a="1"/>
  <c r="A179" i="101" s="1"/>
  <c r="B253" i="101" a="1"/>
  <c r="B253" i="101" s="1"/>
  <c r="J43" i="101" a="1"/>
  <c r="J43" i="101" s="1"/>
  <c r="J249" i="101" a="1"/>
  <c r="J249" i="101" s="1"/>
  <c r="B204" i="101" a="1"/>
  <c r="B204" i="101" s="1"/>
  <c r="A227" i="101" a="1"/>
  <c r="A227" i="101" s="1"/>
  <c r="A51" i="101" a="1"/>
  <c r="A51" i="101" s="1"/>
  <c r="A294" i="101" a="1"/>
  <c r="A294" i="101" s="1"/>
  <c r="A142" i="101" a="1"/>
  <c r="A142" i="101" s="1"/>
  <c r="B340" i="101" a="1"/>
  <c r="B340" i="101" s="1"/>
  <c r="B190" i="101" a="1"/>
  <c r="B190" i="101" s="1"/>
  <c r="B149" i="101" a="1"/>
  <c r="B149" i="101" s="1"/>
  <c r="B325" i="101" a="1"/>
  <c r="B325" i="101" s="1"/>
  <c r="J92" i="101" a="1"/>
  <c r="J92" i="101" s="1"/>
  <c r="A176" i="101" a="1"/>
  <c r="A176" i="101" s="1"/>
  <c r="J223" i="101" a="1"/>
  <c r="J223" i="101" s="1"/>
  <c r="A321" i="101" a="1"/>
  <c r="A321" i="101" s="1"/>
  <c r="J329" i="101" a="1"/>
  <c r="J329" i="101" s="1"/>
  <c r="J325" i="101" a="1"/>
  <c r="J325" i="101" s="1"/>
  <c r="A178" i="101" a="1"/>
  <c r="A178" i="101" s="1"/>
  <c r="A236" i="101" a="1"/>
  <c r="A236" i="101" s="1"/>
  <c r="J245" i="101" a="1"/>
  <c r="J245" i="101" s="1"/>
  <c r="J127" i="101" a="1"/>
  <c r="J127" i="101" s="1"/>
  <c r="A265" i="101" a="1"/>
  <c r="A265" i="101" s="1"/>
  <c r="B226" i="101" a="1"/>
  <c r="B226" i="101" s="1"/>
  <c r="A104" i="101" a="1"/>
  <c r="A104" i="101" s="1"/>
  <c r="A10" i="101" a="1"/>
  <c r="A10" i="101" s="1"/>
  <c r="B344" i="101" a="1"/>
  <c r="B344" i="101" s="1"/>
  <c r="A329" i="101" a="1"/>
  <c r="A329" i="101" s="1"/>
  <c r="B156" i="101" a="1"/>
  <c r="B156" i="101" s="1"/>
  <c r="J72" i="101" a="1"/>
  <c r="J72" i="101" s="1"/>
  <c r="A68" i="101" a="1"/>
  <c r="A68" i="101" s="1"/>
  <c r="B85" i="101" a="1"/>
  <c r="B85" i="101" s="1"/>
  <c r="A149" i="101" a="1"/>
  <c r="A149" i="101" s="1"/>
  <c r="B290" i="101" a="1"/>
  <c r="B290" i="101" s="1"/>
  <c r="B82" i="101" a="1"/>
  <c r="B82" i="101" s="1"/>
  <c r="B97" i="101" a="1"/>
  <c r="B97" i="101" s="1"/>
  <c r="B116" i="101" a="1"/>
  <c r="B116" i="101" s="1"/>
  <c r="A332" i="101" a="1"/>
  <c r="A332" i="101" s="1"/>
  <c r="J166" i="101" a="1"/>
  <c r="J166" i="101" s="1"/>
  <c r="A138" i="101" a="1"/>
  <c r="A138" i="101" s="1"/>
  <c r="B301" i="101" a="1"/>
  <c r="B301" i="101" s="1"/>
  <c r="J248" i="101" a="1"/>
  <c r="J248" i="101" s="1"/>
  <c r="A254" i="101" a="1"/>
  <c r="A254" i="101" s="1"/>
  <c r="A31" i="101" a="1"/>
  <c r="A31" i="101" s="1"/>
  <c r="A307" i="101" a="1"/>
  <c r="A307" i="101" s="1"/>
  <c r="J81" i="101" a="1"/>
  <c r="J81" i="101" s="1"/>
  <c r="B186" i="101" a="1"/>
  <c r="B186" i="101" s="1"/>
  <c r="A87" i="101" a="1"/>
  <c r="A87" i="101" s="1"/>
  <c r="B12" i="101" a="1"/>
  <c r="B12" i="101" s="1"/>
  <c r="J212" i="101" a="1"/>
  <c r="J212" i="101" s="1"/>
  <c r="B81" i="101" a="1"/>
  <c r="B81" i="101" s="1"/>
  <c r="B136" i="101" a="1"/>
  <c r="B136" i="101" s="1"/>
  <c r="J227" i="101" a="1"/>
  <c r="J227" i="101" s="1"/>
  <c r="A347" i="101" a="1"/>
  <c r="A347" i="101" s="1"/>
  <c r="B37" i="101" a="1"/>
  <c r="B37" i="101" s="1"/>
  <c r="J19" i="101" a="1"/>
  <c r="J19" i="101" s="1"/>
  <c r="B67" i="101" a="1"/>
  <c r="B67" i="101" s="1"/>
  <c r="A310" i="101" a="1"/>
  <c r="A310" i="101" s="1"/>
  <c r="A77" i="101" a="1"/>
  <c r="A77" i="101" s="1"/>
  <c r="B131" i="101" a="1"/>
  <c r="B131" i="101" s="1"/>
  <c r="B355" i="101" a="1"/>
  <c r="B355" i="101" s="1"/>
  <c r="J242" i="101" a="1"/>
  <c r="J242" i="101" s="1"/>
  <c r="B160" i="101" a="1"/>
  <c r="B160" i="101" s="1"/>
  <c r="A208" i="101" a="1"/>
  <c r="A208" i="101" s="1"/>
  <c r="A148" i="101" a="1"/>
  <c r="A148" i="101" s="1"/>
  <c r="B283" i="101" a="1"/>
  <c r="B283" i="101" s="1"/>
  <c r="J143" i="101" a="1"/>
  <c r="J143" i="101" s="1"/>
  <c r="B19" i="101" a="1"/>
  <c r="B19" i="101" s="1"/>
  <c r="B267" i="101" a="1"/>
  <c r="B267" i="101" s="1"/>
  <c r="A334" i="101" a="1"/>
  <c r="A334" i="101" s="1"/>
  <c r="J342" i="101" a="1"/>
  <c r="J342" i="101" s="1"/>
  <c r="A121" i="101" a="1"/>
  <c r="A121" i="101" s="1"/>
  <c r="B289" i="101" a="1"/>
  <c r="B289" i="101" s="1"/>
  <c r="A343" i="101" a="1"/>
  <c r="A343" i="101" s="1"/>
  <c r="J218" i="101" a="1"/>
  <c r="J218" i="101" s="1"/>
  <c r="A65" i="101" a="1"/>
  <c r="A65" i="101" s="1"/>
  <c r="J257" i="101" a="1"/>
  <c r="J257" i="101" s="1"/>
  <c r="A145" i="101" a="1"/>
  <c r="A145" i="101" s="1"/>
  <c r="J132" i="101" a="1"/>
  <c r="J132" i="101" s="1"/>
  <c r="B306" i="101" a="1"/>
  <c r="B306" i="101" s="1"/>
  <c r="B268" i="101" a="1"/>
  <c r="B268" i="101" s="1"/>
  <c r="J271" i="101" a="1"/>
  <c r="J271" i="101" s="1"/>
  <c r="J267" i="101" a="1"/>
  <c r="J267" i="101" s="1"/>
  <c r="B191" i="101" a="1"/>
  <c r="B191" i="101" s="1"/>
  <c r="A284" i="101" a="1"/>
  <c r="A284" i="101" s="1"/>
  <c r="J52" i="101" a="1"/>
  <c r="J52" i="101" s="1"/>
  <c r="J88" i="101" a="1"/>
  <c r="J88" i="101" s="1"/>
  <c r="A35" i="101" a="1"/>
  <c r="A35" i="101" s="1"/>
  <c r="J285" i="101" a="1"/>
  <c r="J285" i="101" s="1"/>
  <c r="J137" i="101" a="1"/>
  <c r="J137" i="101" s="1"/>
  <c r="B77" i="101" a="1"/>
  <c r="B77" i="101" s="1"/>
  <c r="B332" i="101" a="1"/>
  <c r="B332" i="101" s="1"/>
  <c r="J272" i="101" a="1"/>
  <c r="J272" i="101" s="1"/>
  <c r="A202" i="101" a="1"/>
  <c r="A202" i="101" s="1"/>
  <c r="J283" i="101" a="1"/>
  <c r="J283" i="101" s="1"/>
  <c r="B335" i="101" a="1"/>
  <c r="B335" i="101" s="1"/>
  <c r="B298" i="101" a="1"/>
  <c r="B298" i="101" s="1"/>
  <c r="B138" i="101" a="1"/>
  <c r="B138" i="101" s="1"/>
  <c r="J287" i="101" a="1"/>
  <c r="J287" i="101" s="1"/>
  <c r="B40" i="101" a="1"/>
  <c r="B40" i="101" s="1"/>
  <c r="J50" i="101" a="1"/>
  <c r="J50" i="101" s="1"/>
  <c r="A180" i="101" a="1"/>
  <c r="A180" i="101" s="1"/>
  <c r="B233" i="101" a="1"/>
  <c r="B233" i="101" s="1"/>
  <c r="J83" i="101" a="1"/>
  <c r="J83" i="101" s="1"/>
  <c r="A288" i="101" a="1"/>
  <c r="A288" i="101" s="1"/>
  <c r="B38" i="101" a="1"/>
  <c r="B38" i="101" s="1"/>
  <c r="B36" i="101" a="1"/>
  <c r="B36" i="101" s="1"/>
  <c r="B328" i="101" a="1"/>
  <c r="B328" i="101" s="1"/>
  <c r="B173" i="101" a="1"/>
  <c r="B173" i="101" s="1"/>
  <c r="A114" i="101" a="1"/>
  <c r="A114" i="101" s="1"/>
  <c r="B121" i="101" a="1"/>
  <c r="B121" i="101" s="1"/>
  <c r="J226" i="100" a="1"/>
  <c r="J226" i="100" s="1"/>
  <c r="B173" i="100" a="1"/>
  <c r="B173" i="100" s="1"/>
  <c r="A275" i="100" a="1"/>
  <c r="A275" i="100" s="1"/>
  <c r="J80" i="100" a="1"/>
  <c r="J80" i="100" s="1"/>
  <c r="A241" i="100" a="1"/>
  <c r="A241" i="100" s="1"/>
  <c r="B87" i="100" a="1"/>
  <c r="B87" i="100" s="1"/>
  <c r="P6" i="100"/>
  <c r="A6" i="100" s="1" a="1"/>
  <c r="A6" i="100" s="1"/>
  <c r="J19" i="100" a="1"/>
  <c r="J19" i="100" s="1"/>
  <c r="J168" i="100" a="1"/>
  <c r="J168" i="100" s="1"/>
  <c r="A215" i="100" a="1"/>
  <c r="A215" i="100" s="1"/>
  <c r="J13" i="100" a="1"/>
  <c r="J13" i="100" s="1"/>
  <c r="J27" i="100" a="1"/>
  <c r="J27" i="100" s="1"/>
  <c r="J149" i="100" a="1"/>
  <c r="J149" i="100" s="1"/>
  <c r="B261" i="100" a="1"/>
  <c r="B261" i="100" s="1"/>
  <c r="J242" i="100" a="1"/>
  <c r="J242" i="100" s="1"/>
  <c r="B39" i="100" a="1"/>
  <c r="B39" i="100" s="1"/>
  <c r="A55" i="100" a="1"/>
  <c r="A55" i="100" s="1"/>
  <c r="B201" i="100" a="1"/>
  <c r="B201" i="100" s="1"/>
  <c r="B97" i="100" a="1"/>
  <c r="B97" i="100" s="1"/>
  <c r="B141" i="100" a="1"/>
  <c r="B141" i="100" s="1"/>
  <c r="A25" i="100" a="1"/>
  <c r="A25" i="100" s="1"/>
  <c r="J347" i="100" a="1"/>
  <c r="J347" i="100" s="1"/>
  <c r="A321" i="100" a="1"/>
  <c r="A321" i="100" s="1"/>
  <c r="B166" i="100" a="1"/>
  <c r="B166" i="100" s="1"/>
  <c r="J354" i="100" a="1"/>
  <c r="J354" i="100" s="1"/>
  <c r="B138" i="100" a="1"/>
  <c r="B138" i="100" s="1"/>
  <c r="A166" i="100" a="1"/>
  <c r="A166" i="100" s="1"/>
  <c r="A192" i="100" a="1"/>
  <c r="A192" i="100" s="1"/>
  <c r="J287" i="100" a="1"/>
  <c r="J287" i="100" s="1"/>
  <c r="B327" i="100" a="1"/>
  <c r="B327" i="100" s="1"/>
  <c r="B195" i="100" a="1"/>
  <c r="B195" i="100" s="1"/>
  <c r="J176" i="100" a="1"/>
  <c r="J176" i="100" s="1"/>
  <c r="J116" i="100" a="1"/>
  <c r="J116" i="100" s="1"/>
  <c r="B130" i="100" a="1"/>
  <c r="B130" i="100" s="1"/>
  <c r="J320" i="100" a="1"/>
  <c r="J320" i="100" s="1"/>
  <c r="A113" i="100" a="1"/>
  <c r="A113" i="100" s="1"/>
  <c r="A58" i="100" a="1"/>
  <c r="A58" i="100" s="1"/>
  <c r="A141" i="100" a="1"/>
  <c r="A141" i="100" s="1"/>
  <c r="A312" i="100" a="1"/>
  <c r="A312" i="100" s="1"/>
  <c r="B175" i="100" a="1"/>
  <c r="B175" i="100" s="1"/>
  <c r="J229" i="100" a="1"/>
  <c r="J229" i="100" s="1"/>
  <c r="J37" i="100" a="1"/>
  <c r="J37" i="100" s="1"/>
  <c r="B71" i="100" a="1"/>
  <c r="B71" i="100" s="1"/>
  <c r="J66" i="100" a="1"/>
  <c r="J66" i="100" s="1"/>
  <c r="B192" i="100" a="1"/>
  <c r="B192" i="100" s="1"/>
  <c r="B22" i="100" a="1"/>
  <c r="B22" i="100" s="1"/>
  <c r="A61" i="100" a="1"/>
  <c r="A61" i="100" s="1"/>
  <c r="J209" i="100" a="1"/>
  <c r="J209" i="100" s="1"/>
  <c r="A155" i="100" a="1"/>
  <c r="A155" i="100" s="1"/>
  <c r="J187" i="100" a="1"/>
  <c r="J187" i="100" s="1"/>
  <c r="A254" i="100" a="1"/>
  <c r="A254" i="100" s="1"/>
  <c r="B260" i="100" a="1"/>
  <c r="B260" i="100" s="1"/>
  <c r="A149" i="100" a="1"/>
  <c r="A149" i="100" s="1"/>
  <c r="B23" i="100" a="1"/>
  <c r="B23" i="100" s="1"/>
  <c r="B341" i="100" a="1"/>
  <c r="B341" i="100" s="1"/>
  <c r="J245" i="100" a="1"/>
  <c r="J245" i="100" s="1"/>
  <c r="J41" i="100" a="1"/>
  <c r="J41" i="100" s="1"/>
  <c r="B272" i="100" a="1"/>
  <c r="B272" i="100" s="1"/>
  <c r="A115" i="100" a="1"/>
  <c r="A115" i="100" s="1"/>
  <c r="A293" i="100" a="1"/>
  <c r="A293" i="100" s="1"/>
  <c r="B171" i="100" a="1"/>
  <c r="B171" i="100" s="1"/>
  <c r="A257" i="100" a="1"/>
  <c r="A257" i="100" s="1"/>
  <c r="J76" i="100" a="1"/>
  <c r="J76" i="100" s="1"/>
  <c r="J251" i="100" a="1"/>
  <c r="J251" i="100" s="1"/>
  <c r="J280" i="100" a="1"/>
  <c r="J280" i="100" s="1"/>
  <c r="J332" i="100" a="1"/>
  <c r="J332" i="100" s="1"/>
  <c r="B170" i="100" a="1"/>
  <c r="B170" i="100" s="1"/>
  <c r="B77" i="100" a="1"/>
  <c r="B77" i="100" s="1"/>
  <c r="A110" i="100" a="1"/>
  <c r="A110" i="100" s="1"/>
  <c r="A176" i="100" a="1"/>
  <c r="A176" i="100" s="1"/>
  <c r="B285" i="100" a="1"/>
  <c r="B285" i="100" s="1"/>
  <c r="J135" i="100" a="1"/>
  <c r="J135" i="100" s="1"/>
  <c r="B103" i="100" a="1"/>
  <c r="B103" i="100" s="1"/>
  <c r="J225" i="100" a="1"/>
  <c r="J225" i="100" s="1"/>
  <c r="J58" i="100" a="1"/>
  <c r="J58" i="100" s="1"/>
  <c r="A142" i="100" a="1"/>
  <c r="A142" i="100" s="1"/>
  <c r="A310" i="100" a="1"/>
  <c r="A310" i="100" s="1"/>
  <c r="J256" i="100" a="1"/>
  <c r="J256" i="100" s="1"/>
  <c r="J151" i="100" a="1"/>
  <c r="J151" i="100" s="1"/>
  <c r="A164" i="100" a="1"/>
  <c r="A164" i="100" s="1"/>
  <c r="J103" i="100" a="1"/>
  <c r="J103" i="100" s="1"/>
  <c r="B326" i="100" a="1"/>
  <c r="B326" i="100" s="1"/>
  <c r="A121" i="100" a="1"/>
  <c r="A121" i="100" s="1"/>
  <c r="B329" i="100" a="1"/>
  <c r="B329" i="100" s="1"/>
  <c r="B230" i="100" a="1"/>
  <c r="B230" i="100" s="1"/>
  <c r="A68" i="100" a="1"/>
  <c r="A68" i="100" s="1"/>
  <c r="A205" i="100" a="1"/>
  <c r="A205" i="100" s="1"/>
  <c r="J22" i="100" a="1"/>
  <c r="J22" i="100" s="1"/>
  <c r="B15" i="100" a="1"/>
  <c r="B15" i="100" s="1"/>
  <c r="A181" i="100" a="1"/>
  <c r="A181" i="100" s="1"/>
  <c r="A133" i="100" a="1"/>
  <c r="A133" i="100" s="1"/>
  <c r="J273" i="100" a="1"/>
  <c r="J273" i="100" s="1"/>
  <c r="A22" i="100" a="1"/>
  <c r="A22" i="100" s="1"/>
  <c r="J330" i="100" a="1"/>
  <c r="J330" i="100" s="1"/>
  <c r="B68" i="100" a="1"/>
  <c r="B68" i="100" s="1"/>
  <c r="B117" i="100" a="1"/>
  <c r="B117" i="100" s="1"/>
  <c r="B193" i="100" a="1"/>
  <c r="B193" i="100" s="1"/>
  <c r="J129" i="100" a="1"/>
  <c r="J129" i="100" s="1"/>
  <c r="B259" i="100" a="1"/>
  <c r="B259" i="100" s="1"/>
  <c r="A255" i="100" a="1"/>
  <c r="A255" i="100" s="1"/>
  <c r="J121" i="100" a="1"/>
  <c r="J121" i="100" s="1"/>
  <c r="B236" i="100" a="1"/>
  <c r="B236" i="100" s="1"/>
  <c r="A130" i="100" a="1"/>
  <c r="A130" i="100" s="1"/>
  <c r="A66" i="100" a="1"/>
  <c r="A66" i="100" s="1"/>
  <c r="A53" i="100" a="1"/>
  <c r="A53" i="100" s="1"/>
  <c r="J92" i="100" a="1"/>
  <c r="J92" i="100" s="1"/>
  <c r="A193" i="100" a="1"/>
  <c r="A193" i="100" s="1"/>
  <c r="B273" i="100" a="1"/>
  <c r="B273" i="100" s="1"/>
  <c r="A236" i="100" a="1"/>
  <c r="A236" i="100" s="1"/>
  <c r="B32" i="100" a="1"/>
  <c r="B32" i="100" s="1"/>
  <c r="J208" i="100" a="1"/>
  <c r="J208" i="100" s="1"/>
  <c r="A148" i="100" a="1"/>
  <c r="A148" i="100" s="1"/>
  <c r="B43" i="100" a="1"/>
  <c r="B43" i="100" s="1"/>
  <c r="J158" i="100" a="1"/>
  <c r="J158" i="100" s="1"/>
  <c r="A14" i="100" a="1"/>
  <c r="A14" i="100" s="1"/>
  <c r="B229" i="100" a="1"/>
  <c r="B229" i="100" s="1"/>
  <c r="A300" i="100" a="1"/>
  <c r="A300" i="100" s="1"/>
  <c r="A190" i="100" a="1"/>
  <c r="A190" i="100" s="1"/>
  <c r="B263" i="100" a="1"/>
  <c r="B263" i="100" s="1"/>
  <c r="A152" i="100" a="1"/>
  <c r="A152" i="100" s="1"/>
  <c r="B252" i="100" a="1"/>
  <c r="B252" i="100" s="1"/>
  <c r="A45" i="100" a="1"/>
  <c r="A45" i="100" s="1"/>
  <c r="B257" i="100" a="1"/>
  <c r="B257" i="100" s="1"/>
  <c r="B114" i="100" a="1"/>
  <c r="B114" i="100" s="1"/>
  <c r="B197" i="100" a="1"/>
  <c r="B197" i="100" s="1"/>
  <c r="J303" i="100" a="1"/>
  <c r="J303" i="100" s="1"/>
  <c r="A201" i="100" a="1"/>
  <c r="A201" i="100" s="1"/>
  <c r="A41" i="100" a="1"/>
  <c r="A41" i="100" s="1"/>
  <c r="B219" i="100" a="1"/>
  <c r="B219" i="100" s="1"/>
  <c r="A163" i="100" a="1"/>
  <c r="A163" i="100" s="1"/>
  <c r="J334" i="100" a="1"/>
  <c r="J334" i="100" s="1"/>
  <c r="B105" i="100" a="1"/>
  <c r="B105" i="100" s="1"/>
  <c r="A35" i="100" a="1"/>
  <c r="A35" i="100" s="1"/>
  <c r="A47" i="100" a="1"/>
  <c r="A47" i="100" s="1"/>
  <c r="J333" i="100" a="1"/>
  <c r="J333" i="100" s="1"/>
  <c r="J23" i="100" a="1"/>
  <c r="J23" i="100" s="1"/>
  <c r="J211" i="100" a="1"/>
  <c r="J211" i="100" s="1"/>
  <c r="J57" i="100" a="1"/>
  <c r="J57" i="100" s="1"/>
  <c r="J353" i="100" a="1"/>
  <c r="J353" i="100" s="1"/>
  <c r="J105" i="100" a="1"/>
  <c r="J105" i="100" s="1"/>
  <c r="J63" i="100" a="1"/>
  <c r="J63" i="100" s="1"/>
  <c r="A151" i="100" a="1"/>
  <c r="A151" i="100" s="1"/>
  <c r="B66" i="100" a="1"/>
  <c r="B66" i="100" s="1"/>
  <c r="B122" i="100" a="1"/>
  <c r="B122" i="100" s="1"/>
  <c r="A139" i="100" a="1"/>
  <c r="A139" i="100" s="1"/>
  <c r="A286" i="100" a="1"/>
  <c r="A286" i="100" s="1"/>
  <c r="J221" i="100" a="1"/>
  <c r="J221" i="100" s="1"/>
  <c r="J321" i="100" a="1"/>
  <c r="J321" i="100" s="1"/>
  <c r="B161" i="100" a="1"/>
  <c r="B161" i="100" s="1"/>
  <c r="B125" i="100" a="1"/>
  <c r="B125" i="100" s="1"/>
  <c r="J7" i="100" a="1"/>
  <c r="J7" i="100" s="1"/>
  <c r="A87" i="100" a="1"/>
  <c r="A87" i="100" s="1"/>
  <c r="J180" i="100" a="1"/>
  <c r="J180" i="100" s="1"/>
  <c r="J322" i="100" a="1"/>
  <c r="J322" i="100" s="1"/>
  <c r="J39" i="100" a="1"/>
  <c r="J39" i="100" s="1"/>
  <c r="A319" i="100" a="1"/>
  <c r="A319" i="100" s="1"/>
  <c r="B99" i="100" a="1"/>
  <c r="B99" i="100" s="1"/>
  <c r="A332" i="100" a="1"/>
  <c r="A332" i="100" s="1"/>
  <c r="B73" i="100" a="1"/>
  <c r="B73" i="100" s="1"/>
  <c r="B9" i="100" a="1"/>
  <c r="B9" i="100" s="1"/>
  <c r="B254" i="100" a="1"/>
  <c r="B254" i="100" s="1"/>
  <c r="B140" i="100" a="1"/>
  <c r="B140" i="100" s="1"/>
  <c r="A324" i="100" a="1"/>
  <c r="A324" i="100" s="1"/>
  <c r="B59" i="100" a="1"/>
  <c r="B59" i="100" s="1"/>
  <c r="B189" i="100" a="1"/>
  <c r="B189" i="100" s="1"/>
  <c r="B58" i="100" a="1"/>
  <c r="B58" i="100" s="1"/>
  <c r="A94" i="100" a="1"/>
  <c r="A94" i="100" s="1"/>
  <c r="B294" i="100" a="1"/>
  <c r="B294" i="100" s="1"/>
  <c r="J138" i="100" a="1"/>
  <c r="J138" i="100" s="1"/>
  <c r="J120" i="100" a="1"/>
  <c r="J120" i="100" s="1"/>
  <c r="J62" i="100" a="1"/>
  <c r="J62" i="100" s="1"/>
  <c r="J127" i="100" a="1"/>
  <c r="J127" i="100" s="1"/>
  <c r="A344" i="100" a="1"/>
  <c r="A344" i="100" s="1"/>
  <c r="B231" i="100" a="1"/>
  <c r="B231" i="100" s="1"/>
  <c r="A140" i="100" a="1"/>
  <c r="A140" i="100" s="1"/>
  <c r="A221" i="100" a="1"/>
  <c r="A221" i="100" s="1"/>
  <c r="A27" i="100" a="1"/>
  <c r="A27" i="100" s="1"/>
  <c r="A57" i="100" a="1"/>
  <c r="A57" i="100" s="1"/>
  <c r="A52" i="100" a="1"/>
  <c r="A52" i="100" s="1"/>
  <c r="J270" i="100" a="1"/>
  <c r="J270" i="100" s="1"/>
  <c r="A114" i="100" a="1"/>
  <c r="A114" i="100" s="1"/>
  <c r="B98" i="100" a="1"/>
  <c r="B98" i="100" s="1"/>
  <c r="B248" i="100" a="1"/>
  <c r="B248" i="100" s="1"/>
  <c r="B242" i="100" a="1"/>
  <c r="B242" i="100" s="1"/>
  <c r="A118" i="100" a="1"/>
  <c r="A118" i="100" s="1"/>
  <c r="B288" i="100" a="1"/>
  <c r="B288" i="100" s="1"/>
  <c r="J88" i="100" a="1"/>
  <c r="J88" i="100" s="1"/>
  <c r="A224" i="100" a="1"/>
  <c r="A224" i="100" s="1"/>
  <c r="B33" i="100" a="1"/>
  <c r="B33" i="100" s="1"/>
  <c r="A248" i="100" a="1"/>
  <c r="A248" i="100" s="1"/>
  <c r="J306" i="100" a="1"/>
  <c r="J306" i="100" s="1"/>
  <c r="B299" i="100" a="1"/>
  <c r="B299" i="100" s="1"/>
  <c r="J21" i="100" a="1"/>
  <c r="J21" i="100" s="1"/>
  <c r="J297" i="100" a="1"/>
  <c r="J297" i="100" s="1"/>
  <c r="J147" i="100" a="1"/>
  <c r="J147" i="100" s="1"/>
  <c r="B241" i="100" a="1"/>
  <c r="B241" i="100" s="1"/>
  <c r="J10" i="100" a="1"/>
  <c r="J10" i="100" s="1"/>
  <c r="B330" i="100" a="1"/>
  <c r="B330" i="100" s="1"/>
  <c r="B235" i="100" a="1"/>
  <c r="B235" i="100" s="1"/>
  <c r="A253" i="100" a="1"/>
  <c r="A253" i="100" s="1"/>
  <c r="A213" i="100" a="1"/>
  <c r="A213" i="100" s="1"/>
  <c r="A51" i="100" a="1"/>
  <c r="A51" i="100" s="1"/>
  <c r="B13" i="100" a="1"/>
  <c r="B13" i="100" s="1"/>
  <c r="J213" i="100" a="1"/>
  <c r="J213" i="100" s="1"/>
  <c r="B209" i="100" a="1"/>
  <c r="B209" i="100" s="1"/>
  <c r="B234" i="100" a="1"/>
  <c r="B234" i="100" s="1"/>
  <c r="J282" i="100" a="1"/>
  <c r="J282" i="100" s="1"/>
  <c r="B31" i="100" a="1"/>
  <c r="B31" i="100" s="1"/>
  <c r="B215" i="100" a="1"/>
  <c r="B215" i="100" s="1"/>
  <c r="J338" i="100" a="1"/>
  <c r="J338" i="100" s="1"/>
  <c r="J82" i="100" a="1"/>
  <c r="J82" i="100" s="1"/>
  <c r="B45" i="100" a="1"/>
  <c r="B45" i="100" s="1"/>
  <c r="J268" i="100" a="1"/>
  <c r="J268" i="100" s="1"/>
  <c r="J219" i="100" a="1"/>
  <c r="J219" i="100" s="1"/>
  <c r="B317" i="100" a="1"/>
  <c r="B317" i="100" s="1"/>
  <c r="B30" i="100" a="1"/>
  <c r="B30" i="100" s="1"/>
  <c r="J264" i="100" a="1"/>
  <c r="J264" i="100" s="1"/>
  <c r="B286" i="100" a="1"/>
  <c r="B286" i="100" s="1"/>
  <c r="A216" i="100" a="1"/>
  <c r="A216" i="100" s="1"/>
  <c r="B348" i="100" a="1"/>
  <c r="B348" i="100" s="1"/>
  <c r="A297" i="100" a="1"/>
  <c r="A297" i="100" s="1"/>
  <c r="B20" i="100" a="1"/>
  <c r="B20" i="100" s="1"/>
  <c r="A295" i="100" a="1"/>
  <c r="A295" i="100" s="1"/>
  <c r="B343" i="100" a="1"/>
  <c r="B343" i="100" s="1"/>
  <c r="B314" i="100" a="1"/>
  <c r="B314" i="100" s="1"/>
  <c r="B16" i="100" a="1"/>
  <c r="B16" i="100" s="1"/>
  <c r="A292" i="100" a="1"/>
  <c r="A292" i="100" s="1"/>
  <c r="J100" i="100" a="1"/>
  <c r="J100" i="100" s="1"/>
  <c r="A243" i="100" a="1"/>
  <c r="A243" i="100" s="1"/>
  <c r="B180" i="100" a="1"/>
  <c r="B180" i="100" s="1"/>
  <c r="J134" i="100" a="1"/>
  <c r="J134" i="100" s="1"/>
  <c r="A233" i="100" a="1"/>
  <c r="A233" i="100" s="1"/>
  <c r="B129" i="100" a="1"/>
  <c r="B129" i="100" s="1"/>
  <c r="J81" i="100" a="1"/>
  <c r="J81" i="100" s="1"/>
  <c r="B74" i="100" a="1"/>
  <c r="B74" i="100" s="1"/>
  <c r="J91" i="100" a="1"/>
  <c r="J91" i="100" s="1"/>
  <c r="B300" i="100" a="1"/>
  <c r="B300" i="100" s="1"/>
  <c r="J249" i="100" a="1"/>
  <c r="J249" i="100" s="1"/>
  <c r="J87" i="100" a="1"/>
  <c r="J87" i="100" s="1"/>
  <c r="A173" i="100" a="1"/>
  <c r="A173" i="100" s="1"/>
  <c r="B42" i="100" a="1"/>
  <c r="B42" i="100" s="1"/>
  <c r="J89" i="100" a="1"/>
  <c r="J89" i="100" s="1"/>
  <c r="J136" i="100" a="1"/>
  <c r="J136" i="100" s="1"/>
  <c r="B132" i="100" a="1"/>
  <c r="B132" i="100" s="1"/>
  <c r="J99" i="100" a="1"/>
  <c r="J99" i="100" s="1"/>
  <c r="J255" i="100" a="1"/>
  <c r="J255" i="100" s="1"/>
  <c r="A223" i="100" a="1"/>
  <c r="A223" i="100" s="1"/>
  <c r="B293" i="100" a="1"/>
  <c r="B293" i="100" s="1"/>
  <c r="J108" i="100" a="1"/>
  <c r="J108" i="100" s="1"/>
  <c r="A144" i="100" a="1"/>
  <c r="A144" i="100" s="1"/>
  <c r="B156" i="100" a="1"/>
  <c r="B156" i="100" s="1"/>
  <c r="J128" i="100" a="1"/>
  <c r="J128" i="100" s="1"/>
  <c r="B324" i="100" a="1"/>
  <c r="B324" i="100" s="1"/>
  <c r="J162" i="100" a="1"/>
  <c r="J162" i="100" s="1"/>
  <c r="B204" i="100" a="1"/>
  <c r="B204" i="100" s="1"/>
  <c r="J186" i="100" a="1"/>
  <c r="J186" i="100" s="1"/>
  <c r="B82" i="100" a="1"/>
  <c r="B82" i="100" s="1"/>
  <c r="A50" i="100" a="1"/>
  <c r="A50" i="100" s="1"/>
  <c r="J182" i="100" a="1"/>
  <c r="J182" i="100" s="1"/>
  <c r="B270" i="100" a="1"/>
  <c r="B270" i="100" s="1"/>
  <c r="B269" i="100" a="1"/>
  <c r="B269" i="100" s="1"/>
  <c r="B186" i="100" a="1"/>
  <c r="B186" i="100" s="1"/>
  <c r="J150" i="100" a="1"/>
  <c r="J150" i="100" s="1"/>
  <c r="B337" i="100" a="1"/>
  <c r="B337" i="100" s="1"/>
  <c r="B121" i="100" a="1"/>
  <c r="B121" i="100" s="1"/>
  <c r="B162" i="100" a="1"/>
  <c r="B162" i="100" s="1"/>
  <c r="A345" i="100" a="1"/>
  <c r="A345" i="100" s="1"/>
  <c r="B334" i="100" a="1"/>
  <c r="B334" i="100" s="1"/>
  <c r="B11" i="100" a="1"/>
  <c r="B11" i="100" s="1"/>
  <c r="A175" i="100" a="1"/>
  <c r="A175" i="100" s="1"/>
  <c r="A147" i="100" a="1"/>
  <c r="A147" i="100" s="1"/>
  <c r="J148" i="100" a="1"/>
  <c r="J148" i="100" s="1"/>
  <c r="J159" i="100" a="1"/>
  <c r="J159" i="100" s="1"/>
  <c r="J107" i="100" a="1"/>
  <c r="J107" i="100" s="1"/>
  <c r="J214" i="100" a="1"/>
  <c r="J214" i="100" s="1"/>
  <c r="J9" i="100" a="1"/>
  <c r="J9" i="100" s="1"/>
  <c r="B134" i="100" a="1"/>
  <c r="B134" i="100" s="1"/>
  <c r="B243" i="100" a="1"/>
  <c r="B243" i="100" s="1"/>
  <c r="A188" i="100" a="1"/>
  <c r="A188" i="100" s="1"/>
  <c r="A334" i="100" a="1"/>
  <c r="A334" i="100" s="1"/>
  <c r="B335" i="100" a="1"/>
  <c r="B335" i="100" s="1"/>
  <c r="J337" i="100" a="1"/>
  <c r="J337" i="100" s="1"/>
  <c r="J278" i="100" a="1"/>
  <c r="J278" i="100" s="1"/>
  <c r="B313" i="100" a="1"/>
  <c r="B313" i="100" s="1"/>
  <c r="J341" i="100" a="1"/>
  <c r="J341" i="100" s="1"/>
  <c r="B223" i="100" a="1"/>
  <c r="B223" i="100" s="1"/>
  <c r="J218" i="100" a="1"/>
  <c r="J218" i="100" s="1"/>
  <c r="B321" i="100" a="1"/>
  <c r="B321" i="100" s="1"/>
  <c r="J237" i="100" a="1"/>
  <c r="J237" i="100" s="1"/>
  <c r="B52" i="100" a="1"/>
  <c r="B52" i="100" s="1"/>
  <c r="B36" i="100" a="1"/>
  <c r="B36" i="100" s="1"/>
  <c r="A74" i="100" a="1"/>
  <c r="A74" i="100" s="1"/>
  <c r="B70" i="100" a="1"/>
  <c r="B70" i="100" s="1"/>
  <c r="J244" i="100" a="1"/>
  <c r="J244" i="100" s="1"/>
  <c r="A340" i="100" a="1"/>
  <c r="A340" i="100" s="1"/>
  <c r="B323" i="100" a="1"/>
  <c r="B323" i="100" s="1"/>
  <c r="J336" i="100" a="1"/>
  <c r="J336" i="100" s="1"/>
  <c r="B60" i="100" a="1"/>
  <c r="B60" i="100" s="1"/>
  <c r="J8" i="100" a="1"/>
  <c r="J8" i="100" s="1"/>
  <c r="B183" i="100" a="1"/>
  <c r="B183" i="100" s="1"/>
  <c r="A355" i="100" a="1"/>
  <c r="A355" i="100" s="1"/>
  <c r="A100" i="100" a="1"/>
  <c r="A100" i="100" s="1"/>
  <c r="J179" i="100" a="1"/>
  <c r="J179" i="100" s="1"/>
  <c r="B100" i="100" a="1"/>
  <c r="B100" i="100" s="1"/>
  <c r="J191" i="100" a="1"/>
  <c r="J191" i="100" s="1"/>
  <c r="B55" i="100" a="1"/>
  <c r="B55" i="100" s="1"/>
  <c r="J329" i="100" a="1"/>
  <c r="J329" i="100" s="1"/>
  <c r="A354" i="100" a="1"/>
  <c r="A354" i="100" s="1"/>
  <c r="J146" i="100" a="1"/>
  <c r="J146" i="100" s="1"/>
  <c r="A273" i="100" a="1"/>
  <c r="A273" i="100" s="1"/>
  <c r="A238" i="100" a="1"/>
  <c r="A238" i="100" s="1"/>
  <c r="B211" i="100" a="1"/>
  <c r="B211" i="100" s="1"/>
  <c r="J304" i="100" a="1"/>
  <c r="J304" i="100" s="1"/>
  <c r="B146" i="100" a="1"/>
  <c r="B146" i="100" s="1"/>
  <c r="J243" i="100" a="1"/>
  <c r="J243" i="100" s="1"/>
  <c r="B318" i="100" a="1"/>
  <c r="B318" i="100" s="1"/>
  <c r="J51" i="100" a="1"/>
  <c r="J51" i="100" s="1"/>
  <c r="B126" i="100" a="1"/>
  <c r="B126" i="100" s="1"/>
  <c r="J71" i="100" a="1"/>
  <c r="J71" i="100" s="1"/>
  <c r="A104" i="100" a="1"/>
  <c r="A104" i="100" s="1"/>
  <c r="B85" i="100" a="1"/>
  <c r="B85" i="100" s="1"/>
  <c r="B34" i="100" a="1"/>
  <c r="B34" i="100" s="1"/>
  <c r="J196" i="100" a="1"/>
  <c r="J196" i="100" s="1"/>
  <c r="J206" i="100" a="1"/>
  <c r="J206" i="100" s="1"/>
  <c r="J272" i="100" a="1"/>
  <c r="J272" i="100" s="1"/>
  <c r="A8" i="100" a="1"/>
  <c r="A8" i="100" s="1"/>
  <c r="A329" i="100" a="1"/>
  <c r="A329" i="100" s="1"/>
  <c r="B51" i="100" a="1"/>
  <c r="B51" i="100" s="1"/>
  <c r="A249" i="100" a="1"/>
  <c r="A249" i="100" s="1"/>
  <c r="B163" i="100" a="1"/>
  <c r="B163" i="100" s="1"/>
  <c r="J319" i="100" a="1"/>
  <c r="J319" i="100" s="1"/>
  <c r="J49" i="100" a="1"/>
  <c r="J49" i="100" s="1"/>
  <c r="A16" i="100" a="1"/>
  <c r="A16" i="100" s="1"/>
  <c r="J64" i="100" a="1"/>
  <c r="J64" i="100" s="1"/>
  <c r="B40" i="100" a="1"/>
  <c r="B40" i="100" s="1"/>
  <c r="B113" i="100" a="1"/>
  <c r="B113" i="100" s="1"/>
  <c r="B346" i="100" a="1"/>
  <c r="B346" i="100" s="1"/>
  <c r="A274" i="100" a="1"/>
  <c r="A274" i="100" s="1"/>
  <c r="A135" i="100" a="1"/>
  <c r="A135" i="100" s="1"/>
  <c r="J59" i="100" a="1"/>
  <c r="J59" i="100" s="1"/>
  <c r="A76" i="100" a="1"/>
  <c r="A76" i="100" s="1"/>
  <c r="A337" i="100" a="1"/>
  <c r="A337" i="100" s="1"/>
  <c r="B316" i="100" a="1"/>
  <c r="B316" i="100" s="1"/>
  <c r="A229" i="100" a="1"/>
  <c r="A229" i="100" s="1"/>
  <c r="A85" i="100" a="1"/>
  <c r="A85" i="100" s="1"/>
  <c r="B185" i="100" a="1"/>
  <c r="B185" i="100" s="1"/>
  <c r="A123" i="100" a="1"/>
  <c r="A123" i="100" s="1"/>
  <c r="A32" i="100" a="1"/>
  <c r="A32" i="100" s="1"/>
  <c r="J293" i="100" a="1"/>
  <c r="J293" i="100" s="1"/>
  <c r="A36" i="100" a="1"/>
  <c r="A36" i="100" s="1"/>
  <c r="A352" i="100" a="1"/>
  <c r="A352" i="100" s="1"/>
  <c r="J189" i="100" a="1"/>
  <c r="J189" i="100" s="1"/>
  <c r="A200" i="100" a="1"/>
  <c r="A200" i="100" s="1"/>
  <c r="A111" i="100" a="1"/>
  <c r="A111" i="100" s="1"/>
  <c r="B339" i="100" a="1"/>
  <c r="B339" i="100" s="1"/>
  <c r="B104" i="100" a="1"/>
  <c r="B104" i="100" s="1"/>
  <c r="J118" i="100" a="1"/>
  <c r="J118" i="100" s="1"/>
  <c r="A331" i="100" a="1"/>
  <c r="A331" i="100" s="1"/>
  <c r="B178" i="100" a="1"/>
  <c r="B178" i="100" s="1"/>
  <c r="J181" i="100" a="1"/>
  <c r="J181" i="100" s="1"/>
  <c r="A143" i="100" a="1"/>
  <c r="A143" i="100" s="1"/>
  <c r="B53" i="100" a="1"/>
  <c r="B53" i="100" s="1"/>
  <c r="B191" i="100" a="1"/>
  <c r="B191" i="100" s="1"/>
  <c r="B174" i="100" a="1"/>
  <c r="B174" i="100" s="1"/>
  <c r="A276" i="100" a="1"/>
  <c r="A276" i="100" s="1"/>
  <c r="A186" i="100" a="1"/>
  <c r="A186" i="100" s="1"/>
  <c r="A157" i="100" a="1"/>
  <c r="A157" i="100" s="1"/>
  <c r="A160" i="100" a="1"/>
  <c r="A160" i="100" s="1"/>
  <c r="A289" i="100" a="1"/>
  <c r="A289" i="100" s="1"/>
  <c r="J44" i="100" a="1"/>
  <c r="J44" i="100" s="1"/>
  <c r="A172" i="100" a="1"/>
  <c r="A172" i="100" s="1"/>
  <c r="A308" i="100" a="1"/>
  <c r="A308" i="100" s="1"/>
  <c r="J28" i="100" a="1"/>
  <c r="J28" i="100" s="1"/>
  <c r="J185" i="100" a="1"/>
  <c r="J185" i="100" s="1"/>
  <c r="J298" i="100" a="1"/>
  <c r="J298" i="100" s="1"/>
  <c r="A313" i="100" a="1"/>
  <c r="A313" i="100" s="1"/>
  <c r="B50" i="100" a="1"/>
  <c r="B50" i="100" s="1"/>
  <c r="B89" i="100" a="1"/>
  <c r="B89" i="100" s="1"/>
  <c r="A12" i="100" a="1"/>
  <c r="A12" i="100" s="1"/>
  <c r="J84" i="100" a="1"/>
  <c r="J84" i="100" s="1"/>
  <c r="A108" i="100" a="1"/>
  <c r="A108" i="100" s="1"/>
  <c r="J234" i="100" a="1"/>
  <c r="J234" i="100" s="1"/>
  <c r="B46" i="100" a="1"/>
  <c r="B46" i="100" s="1"/>
  <c r="J85" i="100" a="1"/>
  <c r="J85" i="100" s="1"/>
  <c r="B136" i="100" a="1"/>
  <c r="B136" i="100" s="1"/>
  <c r="J17" i="100" a="1"/>
  <c r="J17" i="100" s="1"/>
  <c r="J117" i="100" a="1"/>
  <c r="J117" i="100" s="1"/>
  <c r="A120" i="100" a="1"/>
  <c r="A120" i="100" s="1"/>
  <c r="A44" i="100" a="1"/>
  <c r="A44" i="100" s="1"/>
  <c r="A21" i="100" a="1"/>
  <c r="A21" i="100" s="1"/>
  <c r="J12" i="100" a="1"/>
  <c r="J12" i="100" s="1"/>
  <c r="B344" i="100" a="1"/>
  <c r="B344" i="100" s="1"/>
  <c r="A112" i="100" a="1"/>
  <c r="A112" i="100" s="1"/>
  <c r="B307" i="100" a="1"/>
  <c r="B307" i="100" s="1"/>
  <c r="B26" i="100" a="1"/>
  <c r="B26" i="100" s="1"/>
  <c r="J301" i="100" a="1"/>
  <c r="J301" i="100" s="1"/>
  <c r="A178" i="100" a="1"/>
  <c r="A178" i="100" s="1"/>
  <c r="A225" i="100" a="1"/>
  <c r="A225" i="100" s="1"/>
  <c r="B61" i="100" a="1"/>
  <c r="B61" i="100" s="1"/>
  <c r="B21" i="100" a="1"/>
  <c r="B21" i="100" s="1"/>
  <c r="J269" i="100" a="1"/>
  <c r="J269" i="100" s="1"/>
  <c r="A281" i="100" a="1"/>
  <c r="A281" i="100" s="1"/>
  <c r="A301" i="100" a="1"/>
  <c r="A301" i="100" s="1"/>
  <c r="J183" i="100" a="1"/>
  <c r="J183" i="100" s="1"/>
  <c r="B274" i="100" a="1"/>
  <c r="B274" i="100" s="1"/>
  <c r="A89" i="100" a="1"/>
  <c r="A89" i="100" s="1"/>
  <c r="J153" i="100" a="1"/>
  <c r="J153" i="100" s="1"/>
  <c r="J299" i="100" a="1"/>
  <c r="J299" i="100" s="1"/>
  <c r="A156" i="100" a="1"/>
  <c r="A156" i="100" s="1"/>
  <c r="A214" i="100" a="1"/>
  <c r="A214" i="100" s="1"/>
  <c r="A306" i="100" a="1"/>
  <c r="A306" i="100" s="1"/>
  <c r="A180" i="100" a="1"/>
  <c r="A180" i="100" s="1"/>
  <c r="B292" i="100" a="1"/>
  <c r="B292" i="100" s="1"/>
  <c r="A96" i="100" a="1"/>
  <c r="A96" i="100" s="1"/>
  <c r="J261" i="100" a="1"/>
  <c r="J261" i="100" s="1"/>
  <c r="J131" i="100" a="1"/>
  <c r="J131" i="100" s="1"/>
  <c r="B169" i="100" a="1"/>
  <c r="B169" i="100" s="1"/>
  <c r="J34" i="100" a="1"/>
  <c r="J34" i="100" s="1"/>
  <c r="J193" i="100" a="1"/>
  <c r="J193" i="100" s="1"/>
  <c r="A20" i="100" a="1"/>
  <c r="A20" i="100" s="1"/>
  <c r="A282" i="100" a="1"/>
  <c r="A282" i="100" s="1"/>
  <c r="A67" i="100" a="1"/>
  <c r="A67" i="100" s="1"/>
  <c r="B291" i="100" a="1"/>
  <c r="B291" i="100" s="1"/>
  <c r="J296" i="100" a="1"/>
  <c r="J296" i="100" s="1"/>
  <c r="A305" i="100" a="1"/>
  <c r="A305" i="100" s="1"/>
  <c r="B152" i="100" a="1"/>
  <c r="B152" i="100" s="1"/>
  <c r="B157" i="100" a="1"/>
  <c r="B157" i="100" s="1"/>
  <c r="B94" i="100" a="1"/>
  <c r="B94" i="100" s="1"/>
  <c r="A132" i="100" a="1"/>
  <c r="A132" i="100" s="1"/>
  <c r="J46" i="100" a="1"/>
  <c r="J46" i="100" s="1"/>
  <c r="A95" i="100" a="1"/>
  <c r="A95" i="100" s="1"/>
  <c r="J253" i="100" a="1"/>
  <c r="J253" i="100" s="1"/>
  <c r="B347" i="100" a="1"/>
  <c r="B347" i="100" s="1"/>
  <c r="B345" i="100" a="1"/>
  <c r="B345" i="100" s="1"/>
  <c r="J165" i="100" a="1"/>
  <c r="J165" i="100" s="1"/>
  <c r="J323" i="100" a="1"/>
  <c r="J323" i="100" s="1"/>
  <c r="B14" i="100" a="1"/>
  <c r="B14" i="100" s="1"/>
  <c r="A279" i="100" a="1"/>
  <c r="A279" i="100" s="1"/>
  <c r="J40" i="100" a="1"/>
  <c r="J40" i="100" s="1"/>
  <c r="A18" i="100" a="1"/>
  <c r="A18" i="100" s="1"/>
  <c r="B143" i="100" a="1"/>
  <c r="B143" i="100" s="1"/>
  <c r="B81" i="100" a="1"/>
  <c r="B81" i="100" s="1"/>
  <c r="B203" i="100" a="1"/>
  <c r="B203" i="100" s="1"/>
  <c r="B280" i="100" a="1"/>
  <c r="B280" i="100" s="1"/>
  <c r="B128" i="100" a="1"/>
  <c r="B128" i="100" s="1"/>
  <c r="A81" i="100" a="1"/>
  <c r="A81" i="100" s="1"/>
  <c r="J345" i="100" a="1"/>
  <c r="J345" i="100" s="1"/>
  <c r="B133" i="100" a="1"/>
  <c r="B133" i="100" s="1"/>
  <c r="A314" i="100" a="1"/>
  <c r="A314" i="100" s="1"/>
  <c r="J50" i="100" a="1"/>
  <c r="J50" i="100" s="1"/>
  <c r="B75" i="100" a="1"/>
  <c r="B75" i="100" s="1"/>
  <c r="A72" i="100" a="1"/>
  <c r="A72" i="100" s="1"/>
  <c r="B102" i="100" a="1"/>
  <c r="B102" i="100" s="1"/>
  <c r="B205" i="100" a="1"/>
  <c r="B205" i="100" s="1"/>
  <c r="B119" i="100" a="1"/>
  <c r="B119" i="100" s="1"/>
  <c r="B7" i="100" a="1"/>
  <c r="B7" i="100" s="1"/>
  <c r="B109" i="100" a="1"/>
  <c r="B109" i="100" s="1"/>
  <c r="J318" i="100" a="1"/>
  <c r="J318" i="100" s="1"/>
  <c r="B24" i="100" a="1"/>
  <c r="B24" i="100" s="1"/>
  <c r="J166" i="100" a="1"/>
  <c r="J166" i="100" s="1"/>
  <c r="J260" i="100" a="1"/>
  <c r="J260" i="100" s="1"/>
  <c r="B62" i="100" a="1"/>
  <c r="B62" i="100" s="1"/>
  <c r="A102" i="100" a="1"/>
  <c r="A102" i="100" s="1"/>
  <c r="J324" i="100" a="1"/>
  <c r="J324" i="100" s="1"/>
  <c r="J142" i="100" a="1"/>
  <c r="J142" i="100" s="1"/>
  <c r="A167" i="100" a="1"/>
  <c r="A167" i="100" s="1"/>
  <c r="J68" i="100" a="1"/>
  <c r="J68" i="100" s="1"/>
  <c r="J310" i="100" a="1"/>
  <c r="J310" i="100" s="1"/>
  <c r="J126" i="100" a="1"/>
  <c r="J126" i="100" s="1"/>
  <c r="J79" i="100" a="1"/>
  <c r="J79" i="100" s="1"/>
  <c r="J302" i="100" a="1"/>
  <c r="J302" i="100" s="1"/>
  <c r="A33" i="100" a="1"/>
  <c r="A33" i="100" s="1"/>
  <c r="A204" i="100" a="1"/>
  <c r="A204" i="100" s="1"/>
  <c r="B10" i="100" a="1"/>
  <c r="B10" i="100" s="1"/>
  <c r="A179" i="100" a="1"/>
  <c r="A179" i="100" s="1"/>
  <c r="B118" i="100" a="1"/>
  <c r="B118" i="100" s="1"/>
  <c r="J311" i="100" a="1"/>
  <c r="J311" i="100" s="1"/>
  <c r="J15" i="100" a="1"/>
  <c r="J15" i="100" s="1"/>
  <c r="A290" i="100" a="1"/>
  <c r="A290" i="100" s="1"/>
  <c r="A116" i="100" a="1"/>
  <c r="A116" i="100" s="1"/>
  <c r="B303" i="100" a="1"/>
  <c r="B303" i="100" s="1"/>
  <c r="J216" i="100" a="1"/>
  <c r="J216" i="100" s="1"/>
  <c r="J288" i="100" a="1"/>
  <c r="J288" i="100" s="1"/>
  <c r="J223" i="100" a="1"/>
  <c r="J223" i="100" s="1"/>
  <c r="A343" i="100" a="1"/>
  <c r="A343" i="100" s="1"/>
  <c r="A42" i="100" a="1"/>
  <c r="A42" i="100" s="1"/>
  <c r="J315" i="100" a="1"/>
  <c r="J315" i="100" s="1"/>
  <c r="B179" i="100" a="1"/>
  <c r="B179" i="100" s="1"/>
  <c r="A251" i="100" a="1"/>
  <c r="A251" i="100" s="1"/>
  <c r="J30" i="100" a="1"/>
  <c r="J30" i="100" s="1"/>
  <c r="J274" i="100" a="1"/>
  <c r="J274" i="100" s="1"/>
  <c r="J93" i="100" a="1"/>
  <c r="J93" i="100" s="1"/>
  <c r="B29" i="100" a="1"/>
  <c r="B29" i="100" s="1"/>
  <c r="B353" i="100" a="1"/>
  <c r="B353" i="100" s="1"/>
  <c r="B142" i="100" a="1"/>
  <c r="B142" i="100" s="1"/>
  <c r="A31" i="100" a="1"/>
  <c r="A31" i="100" s="1"/>
  <c r="J114" i="100" a="1"/>
  <c r="J114" i="100" s="1"/>
  <c r="B131" i="100" a="1"/>
  <c r="B131" i="100" s="1"/>
  <c r="J247" i="100" a="1"/>
  <c r="J247" i="100" s="1"/>
  <c r="A64" i="100" a="1"/>
  <c r="A64" i="100" s="1"/>
  <c r="B38" i="100" a="1"/>
  <c r="B38" i="100" s="1"/>
  <c r="J277" i="100" a="1"/>
  <c r="J277" i="100" s="1"/>
  <c r="B217" i="100" a="1"/>
  <c r="B217" i="100" s="1"/>
  <c r="A288" i="100" a="1"/>
  <c r="A288" i="100" s="1"/>
  <c r="B340" i="100" a="1"/>
  <c r="B340" i="100" s="1"/>
  <c r="J200" i="100" a="1"/>
  <c r="J200" i="100" s="1"/>
  <c r="J346" i="100" a="1"/>
  <c r="J346" i="100" s="1"/>
  <c r="J174" i="100" a="1"/>
  <c r="J174" i="100" s="1"/>
  <c r="J145" i="100" a="1"/>
  <c r="J145" i="100" s="1"/>
  <c r="J210" i="100" a="1"/>
  <c r="J210" i="100" s="1"/>
  <c r="J78" i="100" a="1"/>
  <c r="J78" i="100" s="1"/>
  <c r="A342" i="100" a="1"/>
  <c r="A342" i="100" s="1"/>
  <c r="B216" i="100" a="1"/>
  <c r="B216" i="100" s="1"/>
  <c r="B220" i="100" a="1"/>
  <c r="B220" i="100" s="1"/>
  <c r="A131" i="100" a="1"/>
  <c r="A131" i="100" s="1"/>
  <c r="A86" i="100" a="1"/>
  <c r="A86" i="100" s="1"/>
  <c r="B238" i="100" a="1"/>
  <c r="B238" i="100" s="1"/>
  <c r="A73" i="100" a="1"/>
  <c r="A73" i="100" s="1"/>
  <c r="B135" i="100" a="1"/>
  <c r="B135" i="100" s="1"/>
  <c r="J203" i="100" a="1"/>
  <c r="J203" i="100" s="1"/>
  <c r="A194" i="100" a="1"/>
  <c r="A194" i="100" s="1"/>
  <c r="J250" i="100" a="1"/>
  <c r="J250" i="100" s="1"/>
  <c r="A54" i="100" a="1"/>
  <c r="A54" i="100" s="1"/>
  <c r="B305" i="100" a="1"/>
  <c r="B305" i="100" s="1"/>
  <c r="J69" i="100" a="1"/>
  <c r="J69" i="100" s="1"/>
  <c r="B283" i="100" a="1"/>
  <c r="B283" i="100" s="1"/>
  <c r="B150" i="100" a="1"/>
  <c r="B150" i="100" s="1"/>
  <c r="A217" i="100" a="1"/>
  <c r="A217" i="100" s="1"/>
  <c r="B164" i="100" a="1"/>
  <c r="B164" i="100" s="1"/>
  <c r="B308" i="100" a="1"/>
  <c r="B308" i="100" s="1"/>
  <c r="B54" i="100" a="1"/>
  <c r="B54" i="100" s="1"/>
  <c r="B80" i="100" a="1"/>
  <c r="B80" i="100" s="1"/>
  <c r="B19" i="100" a="1"/>
  <c r="B19" i="100" s="1"/>
  <c r="J207" i="100" a="1"/>
  <c r="J207" i="100" s="1"/>
  <c r="J125" i="100" a="1"/>
  <c r="J125" i="100" s="1"/>
  <c r="J308" i="100" a="1"/>
  <c r="J308" i="100" s="1"/>
  <c r="A185" i="100" a="1"/>
  <c r="A185" i="100" s="1"/>
  <c r="J26" i="100" a="1"/>
  <c r="J26" i="100" s="1"/>
  <c r="A341" i="100" a="1"/>
  <c r="A341" i="100" s="1"/>
  <c r="J167" i="100" a="1"/>
  <c r="J167" i="100" s="1"/>
  <c r="J60" i="100" a="1"/>
  <c r="J60" i="100" s="1"/>
  <c r="J130" i="100" a="1"/>
  <c r="J130" i="100" s="1"/>
  <c r="B210" i="100" a="1"/>
  <c r="B210" i="100" s="1"/>
  <c r="A296" i="100" a="1"/>
  <c r="A296" i="100" s="1"/>
  <c r="J344" i="100" a="1"/>
  <c r="J344" i="100" s="1"/>
  <c r="A283" i="100" a="1"/>
  <c r="A283" i="100" s="1"/>
  <c r="J248" i="100" a="1"/>
  <c r="J248" i="100" s="1"/>
  <c r="J33" i="100" a="1"/>
  <c r="J33" i="100" s="1"/>
  <c r="J178" i="100" a="1"/>
  <c r="J178" i="100" s="1"/>
  <c r="J220" i="100" a="1"/>
  <c r="J220" i="100" s="1"/>
  <c r="J98" i="100" a="1"/>
  <c r="J98" i="100" s="1"/>
  <c r="J313" i="100" a="1"/>
  <c r="J313" i="100" s="1"/>
  <c r="B290" i="100" a="1"/>
  <c r="B290" i="100" s="1"/>
  <c r="B233" i="100" a="1"/>
  <c r="B233" i="100" s="1"/>
  <c r="A250" i="100" a="1"/>
  <c r="A250" i="100" s="1"/>
  <c r="B67" i="100" a="1"/>
  <c r="B67" i="100" s="1"/>
  <c r="B262" i="100" a="1"/>
  <c r="B262" i="100" s="1"/>
  <c r="A34" i="100" a="1"/>
  <c r="A34" i="100" s="1"/>
  <c r="B65" i="100" a="1"/>
  <c r="B65" i="100" s="1"/>
  <c r="J70" i="100" a="1"/>
  <c r="J70" i="100" s="1"/>
  <c r="B319" i="100" a="1"/>
  <c r="B319" i="100" s="1"/>
  <c r="J281" i="100" a="1"/>
  <c r="J281" i="100" s="1"/>
  <c r="B28" i="100" a="1"/>
  <c r="B28" i="100" s="1"/>
  <c r="J101" i="100" a="1"/>
  <c r="J101" i="100" s="1"/>
  <c r="A83" i="100" a="1"/>
  <c r="A83" i="100" s="1"/>
  <c r="J24" i="100" a="1"/>
  <c r="J24" i="100" s="1"/>
  <c r="J65" i="100" a="1"/>
  <c r="J65" i="100" s="1"/>
  <c r="B266" i="100" a="1"/>
  <c r="B266" i="100" s="1"/>
  <c r="J164" i="100" a="1"/>
  <c r="J164" i="100" s="1"/>
  <c r="B232" i="100" a="1"/>
  <c r="B232" i="100" s="1"/>
  <c r="A353" i="100" a="1"/>
  <c r="A353" i="100" s="1"/>
  <c r="A165" i="100" a="1"/>
  <c r="A165" i="100" s="1"/>
  <c r="J163" i="100" a="1"/>
  <c r="J163" i="100" s="1"/>
  <c r="J109" i="100" a="1"/>
  <c r="J109" i="100" s="1"/>
  <c r="B6" i="100" a="1"/>
  <c r="B6" i="100" s="1"/>
  <c r="J122" i="100" a="1"/>
  <c r="J122" i="100" s="1"/>
  <c r="J61" i="100" a="1"/>
  <c r="J61" i="100" s="1"/>
  <c r="A320" i="100" a="1"/>
  <c r="A320" i="100" s="1"/>
  <c r="A207" i="100" a="1"/>
  <c r="A207" i="100" s="1"/>
  <c r="B198" i="100" a="1"/>
  <c r="B198" i="100" s="1"/>
  <c r="B127" i="100" a="1"/>
  <c r="B127" i="100" s="1"/>
  <c r="J257" i="100" a="1"/>
  <c r="J257" i="100" s="1"/>
  <c r="B64" i="100" a="1"/>
  <c r="B64" i="100" s="1"/>
  <c r="A153" i="100" a="1"/>
  <c r="A153" i="100" s="1"/>
  <c r="B325" i="100" a="1"/>
  <c r="B325" i="100" s="1"/>
  <c r="A138" i="100" a="1"/>
  <c r="A138" i="100" s="1"/>
  <c r="B8" i="100" a="1"/>
  <c r="B8" i="100" s="1"/>
  <c r="A240" i="100" a="1"/>
  <c r="A240" i="100" s="1"/>
  <c r="A82" i="100" a="1"/>
  <c r="A82" i="100" s="1"/>
  <c r="A237" i="100" a="1"/>
  <c r="A237" i="100" s="1"/>
  <c r="B158" i="100" a="1"/>
  <c r="B158" i="100" s="1"/>
  <c r="A129" i="100" a="1"/>
  <c r="A129" i="100" s="1"/>
  <c r="B312" i="100" a="1"/>
  <c r="B312" i="100" s="1"/>
  <c r="A63" i="100" a="1"/>
  <c r="A63" i="100" s="1"/>
  <c r="B106" i="100" a="1"/>
  <c r="B106" i="100" s="1"/>
  <c r="A317" i="100" a="1"/>
  <c r="A317" i="100" s="1"/>
  <c r="B310" i="100" a="1"/>
  <c r="B310" i="100" s="1"/>
  <c r="J16" i="100" a="1"/>
  <c r="J16" i="100" s="1"/>
  <c r="J18" i="100" a="1"/>
  <c r="J18" i="100" s="1"/>
  <c r="A322" i="100" a="1"/>
  <c r="A322" i="100" s="1"/>
  <c r="J155" i="100" a="1"/>
  <c r="J155" i="100" s="1"/>
  <c r="A105" i="100" a="1"/>
  <c r="A105" i="100" s="1"/>
  <c r="B239" i="100" a="1"/>
  <c r="B239" i="100" s="1"/>
  <c r="J169" i="100" a="1"/>
  <c r="J169" i="100" s="1"/>
  <c r="B311" i="100" a="1"/>
  <c r="B311" i="100" s="1"/>
  <c r="A62" i="100" a="1"/>
  <c r="A62" i="100" s="1"/>
  <c r="A231" i="100" a="1"/>
  <c r="A231" i="100" s="1"/>
  <c r="B320" i="100" a="1"/>
  <c r="B320" i="100" s="1"/>
  <c r="J20" i="100" a="1"/>
  <c r="J20" i="100" s="1"/>
  <c r="J331" i="100" a="1"/>
  <c r="J331" i="100" s="1"/>
  <c r="A227" i="100" a="1"/>
  <c r="A227" i="100" s="1"/>
  <c r="A71" i="100" a="1"/>
  <c r="A71" i="100" s="1"/>
  <c r="B184" i="100" a="1"/>
  <c r="B184" i="100" s="1"/>
  <c r="A182" i="100" a="1"/>
  <c r="A182" i="100" s="1"/>
  <c r="J161" i="100" a="1"/>
  <c r="J161" i="100" s="1"/>
  <c r="B244" i="100" a="1"/>
  <c r="B244" i="100" s="1"/>
  <c r="B194" i="100" a="1"/>
  <c r="B194" i="100" s="1"/>
  <c r="A117" i="100" a="1"/>
  <c r="A117" i="100" s="1"/>
  <c r="A189" i="100" a="1"/>
  <c r="A189" i="100" s="1"/>
  <c r="B139" i="100" a="1"/>
  <c r="B139" i="100" s="1"/>
  <c r="B202" i="100" a="1"/>
  <c r="B202" i="100" s="1"/>
  <c r="A338" i="100" a="1"/>
  <c r="A338" i="100" s="1"/>
  <c r="A261" i="100" a="1"/>
  <c r="A261" i="100" s="1"/>
  <c r="A49" i="100" a="1"/>
  <c r="A49" i="100" s="1"/>
  <c r="J173" i="100" a="1"/>
  <c r="J173" i="100" s="1"/>
  <c r="A134" i="100" a="1"/>
  <c r="A134" i="100" s="1"/>
  <c r="B309" i="100" a="1"/>
  <c r="B309" i="100" s="1"/>
  <c r="J284" i="100" a="1"/>
  <c r="J284" i="100" s="1"/>
  <c r="J160" i="100" a="1"/>
  <c r="J160" i="100" s="1"/>
  <c r="A269" i="100" a="1"/>
  <c r="A269" i="100" s="1"/>
  <c r="B265" i="100" a="1"/>
  <c r="B265" i="100" s="1"/>
  <c r="J205" i="100" a="1"/>
  <c r="J205" i="100" s="1"/>
  <c r="B214" i="100" a="1"/>
  <c r="B214" i="100" s="1"/>
  <c r="J291" i="100" a="1"/>
  <c r="J291" i="100" s="1"/>
  <c r="A327" i="100" a="1"/>
  <c r="A327" i="100" s="1"/>
  <c r="J195" i="100" a="1"/>
  <c r="J195" i="100" s="1"/>
  <c r="J171" i="100" a="1"/>
  <c r="J171" i="100" s="1"/>
  <c r="J95" i="100" a="1"/>
  <c r="J95" i="100" s="1"/>
  <c r="B200" i="100" a="1"/>
  <c r="B200" i="100" s="1"/>
  <c r="B165" i="100" a="1"/>
  <c r="B165" i="100" s="1"/>
  <c r="J156" i="100" a="1"/>
  <c r="J156" i="100" s="1"/>
  <c r="B159" i="100" a="1"/>
  <c r="B159" i="100" s="1"/>
  <c r="B315" i="100" a="1"/>
  <c r="B315" i="100" s="1"/>
  <c r="B297" i="100" a="1"/>
  <c r="B297" i="100" s="1"/>
  <c r="A187" i="100" a="1"/>
  <c r="A187" i="100" s="1"/>
  <c r="J106" i="100" a="1"/>
  <c r="J106" i="100" s="1"/>
  <c r="A158" i="100" a="1"/>
  <c r="A158" i="100" s="1"/>
  <c r="A97" i="100" a="1"/>
  <c r="A97" i="100" s="1"/>
  <c r="A46" i="100" a="1"/>
  <c r="A46" i="100" s="1"/>
  <c r="A101" i="100" a="1"/>
  <c r="A101" i="100" s="1"/>
  <c r="J307" i="100" a="1"/>
  <c r="J307" i="100" s="1"/>
  <c r="J317" i="100" a="1"/>
  <c r="J317" i="100" s="1"/>
  <c r="A330" i="100" a="1"/>
  <c r="A330" i="100" s="1"/>
  <c r="B101" i="100" a="1"/>
  <c r="B101" i="100" s="1"/>
  <c r="J238" i="100" a="1"/>
  <c r="J238" i="100" s="1"/>
  <c r="A48" i="100" a="1"/>
  <c r="A48" i="100" s="1"/>
  <c r="B251" i="100" a="1"/>
  <c r="B251" i="100" s="1"/>
  <c r="J283" i="100" a="1"/>
  <c r="J283" i="100" s="1"/>
  <c r="B182" i="100" a="1"/>
  <c r="B182" i="100" s="1"/>
  <c r="A161" i="100" a="1"/>
  <c r="A161" i="100" s="1"/>
  <c r="J29" i="100" a="1"/>
  <c r="J29" i="100" s="1"/>
  <c r="A302" i="100" a="1"/>
  <c r="A302" i="100" s="1"/>
  <c r="B268" i="100" a="1"/>
  <c r="B268" i="100" s="1"/>
  <c r="J35" i="100" a="1"/>
  <c r="J35" i="100" s="1"/>
  <c r="J25" i="100" a="1"/>
  <c r="J25" i="100" s="1"/>
  <c r="B95" i="100" a="1"/>
  <c r="B95" i="100" s="1"/>
  <c r="A278" i="100" a="1"/>
  <c r="A278" i="100" s="1"/>
  <c r="J258" i="100" a="1"/>
  <c r="J258" i="100" s="1"/>
  <c r="A197" i="100" a="1"/>
  <c r="A197" i="100" s="1"/>
  <c r="B289" i="100" a="1"/>
  <c r="B289" i="100" s="1"/>
  <c r="A84" i="100" a="1"/>
  <c r="A84" i="100" s="1"/>
  <c r="A91" i="100" a="1"/>
  <c r="A91" i="100" s="1"/>
  <c r="A280" i="100" a="1"/>
  <c r="A280" i="100" s="1"/>
  <c r="B296" i="100" a="1"/>
  <c r="B296" i="100" s="1"/>
  <c r="A56" i="100" a="1"/>
  <c r="A56" i="100" s="1"/>
  <c r="B84" i="100" a="1"/>
  <c r="B84" i="100" s="1"/>
  <c r="B86" i="100" a="1"/>
  <c r="B86" i="100" s="1"/>
  <c r="A244" i="100" a="1"/>
  <c r="A244" i="100" s="1"/>
  <c r="A70" i="100" a="1"/>
  <c r="A70" i="100" s="1"/>
  <c r="A126" i="100" a="1"/>
  <c r="A126" i="100" s="1"/>
  <c r="A228" i="100" a="1"/>
  <c r="A228" i="100" s="1"/>
  <c r="J241" i="100" a="1"/>
  <c r="J241" i="100" s="1"/>
  <c r="B148" i="100" a="1"/>
  <c r="B148" i="100" s="1"/>
  <c r="A294" i="100" a="1"/>
  <c r="A294" i="100" s="1"/>
  <c r="B304" i="100" a="1"/>
  <c r="B304" i="100" s="1"/>
  <c r="J56" i="100" a="1"/>
  <c r="J56" i="100" s="1"/>
  <c r="J295" i="100" a="1"/>
  <c r="J295" i="100" s="1"/>
  <c r="A307" i="100" a="1"/>
  <c r="A307" i="100" s="1"/>
  <c r="J252" i="100" a="1"/>
  <c r="J252" i="100" s="1"/>
  <c r="J137" i="100" a="1"/>
  <c r="J137" i="100" s="1"/>
  <c r="A208" i="100" a="1"/>
  <c r="A208" i="100" s="1"/>
  <c r="B41" i="100" a="1"/>
  <c r="B41" i="100" s="1"/>
  <c r="A177" i="100" a="1"/>
  <c r="A177" i="100" s="1"/>
  <c r="J227" i="100" a="1"/>
  <c r="J227" i="100" s="1"/>
  <c r="A78" i="100" a="1"/>
  <c r="A78" i="100" s="1"/>
  <c r="B69" i="100" a="1"/>
  <c r="B69" i="100" s="1"/>
  <c r="J349" i="100" a="1"/>
  <c r="J349" i="100" s="1"/>
  <c r="B256" i="100" a="1"/>
  <c r="B256" i="100" s="1"/>
  <c r="B92" i="100" a="1"/>
  <c r="B92" i="100" s="1"/>
  <c r="A168" i="100" a="1"/>
  <c r="A168" i="100" s="1"/>
  <c r="A37" i="100" a="1"/>
  <c r="A37" i="100" s="1"/>
  <c r="A75" i="100" a="1"/>
  <c r="A75" i="100" s="1"/>
  <c r="A211" i="100" a="1"/>
  <c r="A211" i="100" s="1"/>
  <c r="B76" i="100" a="1"/>
  <c r="B76" i="100" s="1"/>
  <c r="J96" i="100" a="1"/>
  <c r="J96" i="100" s="1"/>
  <c r="A106" i="100" a="1"/>
  <c r="A106" i="100" s="1"/>
  <c r="B144" i="100" a="1"/>
  <c r="B144" i="100" s="1"/>
  <c r="A77" i="100" a="1"/>
  <c r="A77" i="100" s="1"/>
  <c r="A103" i="100" a="1"/>
  <c r="A103" i="100" s="1"/>
  <c r="B221" i="100" a="1"/>
  <c r="B221" i="100" s="1"/>
  <c r="J72" i="100" a="1"/>
  <c r="J72" i="100" s="1"/>
  <c r="B63" i="100" a="1"/>
  <c r="B63" i="100" s="1"/>
  <c r="A262" i="100" a="1"/>
  <c r="A262" i="100" s="1"/>
  <c r="A260" i="100" a="1"/>
  <c r="A260" i="100" s="1"/>
  <c r="B145" i="100" a="1"/>
  <c r="B145" i="100" s="1"/>
  <c r="A212" i="100" a="1"/>
  <c r="A212" i="100" s="1"/>
  <c r="B93" i="100" a="1"/>
  <c r="B93" i="100" s="1"/>
  <c r="J239" i="100" a="1"/>
  <c r="J239" i="100" s="1"/>
  <c r="J343" i="100" a="1"/>
  <c r="J343" i="100" s="1"/>
  <c r="J327" i="100" a="1"/>
  <c r="J327" i="100" s="1"/>
  <c r="B196" i="100" a="1"/>
  <c r="B196" i="100" s="1"/>
  <c r="A348" i="100" a="1"/>
  <c r="A348" i="100" s="1"/>
  <c r="B90" i="100" a="1"/>
  <c r="B90" i="100" s="1"/>
  <c r="J188" i="100" a="1"/>
  <c r="J188" i="100" s="1"/>
  <c r="A191" i="100" a="1"/>
  <c r="A191" i="100" s="1"/>
  <c r="A323" i="100" a="1"/>
  <c r="A323" i="100" s="1"/>
  <c r="J217" i="100" a="1"/>
  <c r="J217" i="100" s="1"/>
  <c r="B96" i="100" a="1"/>
  <c r="B96" i="100" s="1"/>
  <c r="B155" i="100" a="1"/>
  <c r="B155" i="100" s="1"/>
  <c r="J170" i="100" a="1"/>
  <c r="J170" i="100" s="1"/>
  <c r="J328" i="100" a="1"/>
  <c r="J328" i="100" s="1"/>
  <c r="B49" i="100" a="1"/>
  <c r="B49" i="100" s="1"/>
  <c r="J294" i="100" a="1"/>
  <c r="J294" i="100" s="1"/>
  <c r="J279" i="100" a="1"/>
  <c r="J279" i="100" s="1"/>
  <c r="B264" i="100" a="1"/>
  <c r="B264" i="100" s="1"/>
  <c r="B277" i="100" a="1"/>
  <c r="B277" i="100" s="1"/>
  <c r="A339" i="100" a="1"/>
  <c r="A339" i="100" s="1"/>
  <c r="A80" i="100" a="1"/>
  <c r="A80" i="100" s="1"/>
  <c r="B247" i="100" a="1"/>
  <c r="B247" i="100" s="1"/>
  <c r="A247" i="100" a="1"/>
  <c r="A247" i="100" s="1"/>
  <c r="A271" i="100" a="1"/>
  <c r="A271" i="100" s="1"/>
  <c r="B199" i="100" a="1"/>
  <c r="B199" i="100" s="1"/>
  <c r="A309" i="100" a="1"/>
  <c r="A309" i="100" s="1"/>
  <c r="B237" i="100" a="1"/>
  <c r="B237" i="100" s="1"/>
  <c r="B245" i="100" a="1"/>
  <c r="B245" i="100" s="1"/>
  <c r="A195" i="100" a="1"/>
  <c r="A195" i="100" s="1"/>
  <c r="J286" i="100" a="1"/>
  <c r="J286" i="100" s="1"/>
  <c r="A92" i="100" a="1"/>
  <c r="A92" i="100" s="1"/>
  <c r="J74" i="100" a="1"/>
  <c r="J74" i="100" s="1"/>
  <c r="B47" i="100" a="1"/>
  <c r="B47" i="100" s="1"/>
  <c r="B110" i="100" a="1"/>
  <c r="B110" i="100" s="1"/>
  <c r="J262" i="100" a="1"/>
  <c r="J262" i="100" s="1"/>
  <c r="A98" i="100" a="1"/>
  <c r="A98" i="100" s="1"/>
  <c r="B246" i="100" a="1"/>
  <c r="B246" i="100" s="1"/>
  <c r="B302" i="100" a="1"/>
  <c r="B302" i="100" s="1"/>
  <c r="A171" i="100" a="1"/>
  <c r="A171" i="100" s="1"/>
  <c r="J276" i="100" a="1"/>
  <c r="J276" i="100" s="1"/>
  <c r="B177" i="100" a="1"/>
  <c r="B177" i="100" s="1"/>
  <c r="J104" i="100" a="1"/>
  <c r="J104" i="100" s="1"/>
  <c r="J271" i="100" a="1"/>
  <c r="J271" i="100" s="1"/>
  <c r="J32" i="100" a="1"/>
  <c r="J32" i="100" s="1"/>
  <c r="A284" i="100" a="1"/>
  <c r="A284" i="100" s="1"/>
  <c r="J201" i="100" a="1"/>
  <c r="J201" i="100" s="1"/>
  <c r="B187" i="100" a="1"/>
  <c r="B187" i="100" s="1"/>
  <c r="J112" i="100" a="1"/>
  <c r="J112" i="100" s="1"/>
  <c r="J143" i="100" a="1"/>
  <c r="J143" i="100" s="1"/>
  <c r="B124" i="100" a="1"/>
  <c r="B124" i="100" s="1"/>
  <c r="A315" i="100" a="1"/>
  <c r="A315" i="100" s="1"/>
  <c r="J177" i="100" a="1"/>
  <c r="J177" i="100" s="1"/>
  <c r="J204" i="100" a="1"/>
  <c r="J204" i="100" s="1"/>
  <c r="B17" i="100" a="1"/>
  <c r="B17" i="100" s="1"/>
  <c r="J36" i="100" a="1"/>
  <c r="J36" i="100" s="1"/>
  <c r="A230" i="100" a="1"/>
  <c r="A230" i="100" s="1"/>
  <c r="A333" i="100" a="1"/>
  <c r="A333" i="100" s="1"/>
  <c r="J45" i="100" a="1"/>
  <c r="J45" i="100" s="1"/>
  <c r="A239" i="100" a="1"/>
  <c r="A239" i="100" s="1"/>
  <c r="J202" i="100" a="1"/>
  <c r="J202" i="100" s="1"/>
  <c r="B227" i="100" a="1"/>
  <c r="B227" i="100" s="1"/>
  <c r="B212" i="100" a="1"/>
  <c r="B212" i="100" s="1"/>
  <c r="B275" i="100" a="1"/>
  <c r="B275" i="100" s="1"/>
  <c r="J350" i="100" a="1"/>
  <c r="J350" i="100" s="1"/>
  <c r="J312" i="100" a="1"/>
  <c r="J312" i="100" s="1"/>
  <c r="B222" i="100" a="1"/>
  <c r="B222" i="100" s="1"/>
  <c r="B151" i="100" a="1"/>
  <c r="B151" i="100" s="1"/>
  <c r="B225" i="100" a="1"/>
  <c r="B225" i="100" s="1"/>
  <c r="B331" i="100" a="1"/>
  <c r="B331" i="100" s="1"/>
  <c r="A226" i="100" a="1"/>
  <c r="A226" i="100" s="1"/>
  <c r="B137" i="100" a="1"/>
  <c r="B137" i="100" s="1"/>
  <c r="B56" i="100" a="1"/>
  <c r="B56" i="100" s="1"/>
  <c r="J6" i="100" a="1"/>
  <c r="J6" i="100" s="1"/>
  <c r="J11" i="100" a="1"/>
  <c r="J11" i="100" s="1"/>
  <c r="J292" i="100" a="1"/>
  <c r="J292" i="100" s="1"/>
  <c r="B240" i="100" a="1"/>
  <c r="B240" i="100" s="1"/>
  <c r="A299" i="100" a="1"/>
  <c r="A299" i="100" s="1"/>
  <c r="A15" i="100" a="1"/>
  <c r="A15" i="100" s="1"/>
  <c r="J285" i="100" a="1"/>
  <c r="J285" i="100" s="1"/>
  <c r="K285" i="100" s="1" a="1"/>
  <c r="K285" i="100" s="1"/>
  <c r="J132" i="100" a="1"/>
  <c r="J132" i="100" s="1"/>
  <c r="A234" i="100" a="1"/>
  <c r="A234" i="100" s="1"/>
  <c r="J254" i="100" a="1"/>
  <c r="J254" i="100" s="1"/>
  <c r="J55" i="100" a="1"/>
  <c r="J55" i="100" s="1"/>
  <c r="A69" i="100" a="1"/>
  <c r="A69" i="100" s="1"/>
  <c r="J123" i="100" a="1"/>
  <c r="J123" i="100" s="1"/>
  <c r="J305" i="100" a="1"/>
  <c r="J305" i="100" s="1"/>
  <c r="J124" i="100" a="1"/>
  <c r="J124" i="100" s="1"/>
  <c r="B298" i="100" a="1"/>
  <c r="B298" i="100" s="1"/>
  <c r="A325" i="100" a="1"/>
  <c r="A325" i="100" s="1"/>
  <c r="J316" i="100" a="1"/>
  <c r="J316" i="100" s="1"/>
  <c r="A137" i="100" a="1"/>
  <c r="A137" i="100" s="1"/>
  <c r="J342" i="100" a="1"/>
  <c r="J342" i="100" s="1"/>
  <c r="A263" i="100" a="1"/>
  <c r="A263" i="100" s="1"/>
  <c r="A24" i="100" a="1"/>
  <c r="A24" i="100" s="1"/>
  <c r="B228" i="100" a="1"/>
  <c r="B228" i="100" s="1"/>
  <c r="A7" i="100" a="1"/>
  <c r="A7" i="100" s="1"/>
  <c r="A220" i="100" a="1"/>
  <c r="A220" i="100" s="1"/>
  <c r="B208" i="100" a="1"/>
  <c r="B208" i="100" s="1"/>
  <c r="A252" i="100" a="1"/>
  <c r="A252" i="100" s="1"/>
  <c r="A184" i="100" a="1"/>
  <c r="A184" i="100" s="1"/>
  <c r="B12" i="100" a="1"/>
  <c r="B12" i="100" s="1"/>
  <c r="J335" i="100" a="1"/>
  <c r="J335" i="100" s="1"/>
  <c r="J259" i="100" a="1"/>
  <c r="J259" i="100" s="1"/>
  <c r="A136" i="100" a="1"/>
  <c r="A136" i="100" s="1"/>
  <c r="J232" i="100" a="1"/>
  <c r="J232" i="100" s="1"/>
  <c r="J102" i="100" a="1"/>
  <c r="J102" i="100" s="1"/>
  <c r="A266" i="100" a="1"/>
  <c r="A266" i="100" s="1"/>
  <c r="A26" i="100" a="1"/>
  <c r="A26" i="100" s="1"/>
  <c r="J31" i="100" a="1"/>
  <c r="J31" i="100" s="1"/>
  <c r="A150" i="100" a="1"/>
  <c r="A150" i="100" s="1"/>
  <c r="A268" i="100" a="1"/>
  <c r="A268" i="100" s="1"/>
  <c r="B112" i="100" a="1"/>
  <c r="B112" i="100" s="1"/>
  <c r="J263" i="100" a="1"/>
  <c r="J263" i="100" s="1"/>
  <c r="A202" i="100" a="1"/>
  <c r="A202" i="100" s="1"/>
  <c r="B249" i="100" a="1"/>
  <c r="B249" i="100" s="1"/>
  <c r="B338" i="100" a="1"/>
  <c r="B338" i="100" s="1"/>
  <c r="A11" i="100" a="1"/>
  <c r="A11" i="100" s="1"/>
  <c r="B287" i="100" a="1"/>
  <c r="B287" i="100" s="1"/>
  <c r="B48" i="100" a="1"/>
  <c r="B48" i="100" s="1"/>
  <c r="A145" i="100" a="1"/>
  <c r="A145" i="100" s="1"/>
  <c r="A183" i="100" a="1"/>
  <c r="A183" i="100" s="1"/>
  <c r="J267" i="100" a="1"/>
  <c r="J267" i="100" s="1"/>
  <c r="J224" i="100" a="1"/>
  <c r="J224" i="100" s="1"/>
  <c r="B18" i="100" a="1"/>
  <c r="B18" i="100" s="1"/>
  <c r="J119" i="100" a="1"/>
  <c r="J119" i="100" s="1"/>
  <c r="K119" i="100" s="1" a="1"/>
  <c r="K119" i="100" s="1"/>
  <c r="A10" i="100" a="1"/>
  <c r="A10" i="100" s="1"/>
  <c r="A298" i="100" a="1"/>
  <c r="A298" i="100" s="1"/>
  <c r="A218" i="100" a="1"/>
  <c r="A218" i="100" s="1"/>
  <c r="J139" i="100" a="1"/>
  <c r="J139" i="100" s="1"/>
  <c r="J77" i="100" a="1"/>
  <c r="J77" i="100" s="1"/>
  <c r="B218" i="100" a="1"/>
  <c r="B218" i="100" s="1"/>
  <c r="A40" i="100" a="1"/>
  <c r="A40" i="100" s="1"/>
  <c r="B328" i="100" a="1"/>
  <c r="B328" i="100" s="1"/>
  <c r="B190" i="100" a="1"/>
  <c r="B190" i="100" s="1"/>
  <c r="J97" i="100" a="1"/>
  <c r="J97" i="100" s="1"/>
  <c r="J75" i="100" a="1"/>
  <c r="J75" i="100" s="1"/>
  <c r="J290" i="100" a="1"/>
  <c r="J290" i="100" s="1"/>
  <c r="A267" i="100" a="1"/>
  <c r="A267" i="100" s="1"/>
  <c r="B332" i="100" a="1"/>
  <c r="B332" i="100" s="1"/>
  <c r="J340" i="100" a="1"/>
  <c r="J340" i="100" s="1"/>
  <c r="A328" i="100" a="1"/>
  <c r="A328" i="100" s="1"/>
  <c r="A246" i="100" a="1"/>
  <c r="A246" i="100" s="1"/>
  <c r="A346" i="100" a="1"/>
  <c r="A346" i="100" s="1"/>
  <c r="A199" i="100" a="1"/>
  <c r="A199" i="100" s="1"/>
  <c r="J325" i="100" a="1"/>
  <c r="J325" i="100" s="1"/>
  <c r="J300" i="100" a="1"/>
  <c r="J300" i="100" s="1"/>
  <c r="B115" i="100" a="1"/>
  <c r="B115" i="100" s="1"/>
  <c r="B355" i="100" a="1"/>
  <c r="B355" i="100" s="1"/>
  <c r="A28" i="100" a="1"/>
  <c r="A28" i="100" s="1"/>
  <c r="J111" i="100" a="1"/>
  <c r="J111" i="100" s="1"/>
  <c r="B284" i="100" a="1"/>
  <c r="B284" i="100" s="1"/>
  <c r="J235" i="100" a="1"/>
  <c r="J235" i="100" s="1"/>
  <c r="J140" i="100" a="1"/>
  <c r="J140" i="100" s="1"/>
  <c r="A128" i="100" a="1"/>
  <c r="A128" i="100" s="1"/>
  <c r="J230" i="100" a="1"/>
  <c r="J230" i="100" s="1"/>
  <c r="A210" i="100" a="1"/>
  <c r="A210" i="100" s="1"/>
  <c r="A203" i="100" a="1"/>
  <c r="A203" i="100" s="1"/>
  <c r="J42" i="100" a="1"/>
  <c r="J42" i="100" s="1"/>
  <c r="A347" i="100" a="1"/>
  <c r="A347" i="100" s="1"/>
  <c r="J266" i="100" a="1"/>
  <c r="J266" i="100" s="1"/>
  <c r="J309" i="100" a="1"/>
  <c r="J309" i="100" s="1"/>
  <c r="A316" i="100" a="1"/>
  <c r="A316" i="100" s="1"/>
  <c r="J38" i="100" a="1"/>
  <c r="J38" i="100" s="1"/>
  <c r="A109" i="100" a="1"/>
  <c r="A109" i="100" s="1"/>
  <c r="J52" i="100" a="1"/>
  <c r="J52" i="100" s="1"/>
  <c r="B253" i="100" a="1"/>
  <c r="B253" i="100" s="1"/>
  <c r="B154" i="100" a="1"/>
  <c r="B154" i="100" s="1"/>
  <c r="B35" i="100" a="1"/>
  <c r="B35" i="100" s="1"/>
  <c r="A65" i="100" a="1"/>
  <c r="A65" i="100" s="1"/>
  <c r="A350" i="100" a="1"/>
  <c r="A350" i="100" s="1"/>
  <c r="A222" i="100" a="1"/>
  <c r="A222" i="100" s="1"/>
  <c r="A335" i="100" a="1"/>
  <c r="A335" i="100" s="1"/>
  <c r="J14" i="100" a="1"/>
  <c r="J14" i="100" s="1"/>
  <c r="B78" i="100" a="1"/>
  <c r="B78" i="100" s="1"/>
  <c r="B352" i="100" a="1"/>
  <c r="B352" i="100" s="1"/>
  <c r="B276" i="100" a="1"/>
  <c r="B276" i="100" s="1"/>
  <c r="J233" i="100" a="1"/>
  <c r="J233" i="100" s="1"/>
  <c r="B108" i="100" a="1"/>
  <c r="B108" i="100" s="1"/>
  <c r="B188" i="100" a="1"/>
  <c r="B188" i="100" s="1"/>
  <c r="J141" i="100" a="1"/>
  <c r="J141" i="100" s="1"/>
  <c r="A349" i="100" a="1"/>
  <c r="A349" i="100" s="1"/>
  <c r="A303" i="100" a="1"/>
  <c r="A303" i="100" s="1"/>
  <c r="B116" i="100" a="1"/>
  <c r="B116" i="100" s="1"/>
  <c r="B83" i="100" a="1"/>
  <c r="B83" i="100" s="1"/>
  <c r="A107" i="100" a="1"/>
  <c r="A107" i="100" s="1"/>
  <c r="B57" i="100" a="1"/>
  <c r="B57" i="100" s="1"/>
  <c r="B25" i="100" a="1"/>
  <c r="B25" i="100" s="1"/>
  <c r="J222" i="100" a="1"/>
  <c r="J222" i="100" s="1"/>
  <c r="A38" i="100" a="1"/>
  <c r="A38" i="100" s="1"/>
  <c r="B271" i="100" a="1"/>
  <c r="B271" i="100" s="1"/>
  <c r="B206" i="100" a="1"/>
  <c r="B206" i="100" s="1"/>
  <c r="J154" i="100" a="1"/>
  <c r="J154" i="100" s="1"/>
  <c r="J90" i="100" a="1"/>
  <c r="J90" i="100" s="1"/>
  <c r="A60" i="100" a="1"/>
  <c r="A60" i="100" s="1"/>
  <c r="B354" i="100" a="1"/>
  <c r="B354" i="100" s="1"/>
  <c r="J198" i="100" a="1"/>
  <c r="J198" i="100" s="1"/>
  <c r="J53" i="100" a="1"/>
  <c r="J53" i="100" s="1"/>
  <c r="A264" i="100" a="1"/>
  <c r="A264" i="100" s="1"/>
  <c r="A209" i="100" a="1"/>
  <c r="A209" i="100" s="1"/>
  <c r="J67" i="100" a="1"/>
  <c r="J67" i="100" s="1"/>
  <c r="A318" i="100" a="1"/>
  <c r="A318" i="100" s="1"/>
  <c r="J83" i="100" a="1"/>
  <c r="J83" i="100" s="1"/>
  <c r="B172" i="100" a="1"/>
  <c r="B172" i="100" s="1"/>
  <c r="J314" i="100" a="1"/>
  <c r="J314" i="100" s="1"/>
  <c r="B176" i="100" a="1"/>
  <c r="B176" i="100" s="1"/>
  <c r="J43" i="100" a="1"/>
  <c r="J43" i="100" s="1"/>
  <c r="J152" i="100" a="1"/>
  <c r="J152" i="100" s="1"/>
  <c r="J197" i="100" a="1"/>
  <c r="J197" i="100" s="1"/>
  <c r="J157" i="100" a="1"/>
  <c r="J157" i="100" s="1"/>
  <c r="A287" i="100" a="1"/>
  <c r="A287" i="100" s="1"/>
  <c r="J326" i="100" a="1"/>
  <c r="J326" i="100" s="1"/>
  <c r="A259" i="100" a="1"/>
  <c r="A259" i="100" s="1"/>
  <c r="B91" i="100" a="1"/>
  <c r="B91" i="100" s="1"/>
  <c r="A256" i="100" a="1"/>
  <c r="A256" i="100" s="1"/>
  <c r="A169" i="100" a="1"/>
  <c r="A169" i="100" s="1"/>
  <c r="A174" i="100" a="1"/>
  <c r="A174" i="100" s="1"/>
  <c r="A29" i="100" a="1"/>
  <c r="A29" i="100" s="1"/>
  <c r="B153" i="100" a="1"/>
  <c r="B153" i="100" s="1"/>
  <c r="B79" i="100" a="1"/>
  <c r="B79" i="100" s="1"/>
  <c r="J73" i="100" a="1"/>
  <c r="J73" i="100" s="1"/>
  <c r="A17" i="100" a="1"/>
  <c r="A17" i="100" s="1"/>
  <c r="A258" i="100" a="1"/>
  <c r="A258" i="100" s="1"/>
  <c r="B250" i="100" a="1"/>
  <c r="B250" i="100" s="1"/>
  <c r="A23" i="100" a="1"/>
  <c r="A23" i="100" s="1"/>
  <c r="J355" i="100" a="1"/>
  <c r="J355" i="100" s="1"/>
  <c r="J144" i="100" a="1"/>
  <c r="J144" i="100" s="1"/>
  <c r="B27" i="100" a="1"/>
  <c r="B27" i="100" s="1"/>
  <c r="A270" i="100" a="1"/>
  <c r="A270" i="100" s="1"/>
  <c r="B342" i="100" a="1"/>
  <c r="B342" i="100" s="1"/>
  <c r="A245" i="100" a="1"/>
  <c r="A245" i="100" s="1"/>
  <c r="A304" i="100" a="1"/>
  <c r="A304" i="100" s="1"/>
  <c r="B224" i="100" a="1"/>
  <c r="B224" i="100" s="1"/>
  <c r="J113" i="100" a="1"/>
  <c r="J113" i="100" s="1"/>
  <c r="A291" i="100" a="1"/>
  <c r="A291" i="100" s="1"/>
  <c r="A59" i="100" a="1"/>
  <c r="A59" i="100" s="1"/>
  <c r="B123" i="100" a="1"/>
  <c r="B123" i="100" s="1"/>
  <c r="B160" i="100" a="1"/>
  <c r="B160" i="100" s="1"/>
  <c r="B306" i="100" a="1"/>
  <c r="B306" i="100" s="1"/>
  <c r="A351" i="100" a="1"/>
  <c r="A351" i="100" s="1"/>
  <c r="A170" i="100" a="1"/>
  <c r="A170" i="100" s="1"/>
  <c r="B301" i="100" a="1"/>
  <c r="B301" i="100" s="1"/>
  <c r="A125" i="100" a="1"/>
  <c r="A125" i="100" s="1"/>
  <c r="A99" i="100" a="1"/>
  <c r="A99" i="100" s="1"/>
  <c r="J190" i="100" a="1"/>
  <c r="J190" i="100" s="1"/>
  <c r="J289" i="100" a="1"/>
  <c r="J289" i="100" s="1"/>
  <c r="J228" i="100" a="1"/>
  <c r="J228" i="100" s="1"/>
  <c r="A88" i="100" a="1"/>
  <c r="A88" i="100" s="1"/>
  <c r="J172" i="100" a="1"/>
  <c r="J172" i="100" s="1"/>
  <c r="A30" i="100" a="1"/>
  <c r="A30" i="100" s="1"/>
  <c r="B322" i="100" a="1"/>
  <c r="B322" i="100" s="1"/>
  <c r="B37" i="100" a="1"/>
  <c r="B37" i="100" s="1"/>
  <c r="B279" i="100" a="1"/>
  <c r="B279" i="100" s="1"/>
  <c r="J275" i="100" a="1"/>
  <c r="J275" i="100" s="1"/>
  <c r="B333" i="100" a="1"/>
  <c r="B333" i="100" s="1"/>
  <c r="J215" i="100" a="1"/>
  <c r="J215" i="100" s="1"/>
  <c r="J265" i="100" a="1"/>
  <c r="J265" i="100" s="1"/>
  <c r="B258" i="100" a="1"/>
  <c r="B258" i="100" s="1"/>
  <c r="B149" i="100" a="1"/>
  <c r="B149" i="100" s="1"/>
  <c r="B120" i="100" a="1"/>
  <c r="B120" i="100" s="1"/>
  <c r="J175" i="100" a="1"/>
  <c r="J175" i="100" s="1"/>
  <c r="B72" i="100" a="1"/>
  <c r="B72" i="100" s="1"/>
  <c r="A242" i="100" a="1"/>
  <c r="A242" i="100" s="1"/>
  <c r="B226" i="100" a="1"/>
  <c r="B226" i="100" s="1"/>
  <c r="J48" i="100" a="1"/>
  <c r="J48" i="100" s="1"/>
  <c r="J246" i="100" a="1"/>
  <c r="J246" i="100" s="1"/>
  <c r="A93" i="100" a="1"/>
  <c r="A93" i="100" s="1"/>
  <c r="J110" i="100" a="1"/>
  <c r="J110" i="100" s="1"/>
  <c r="B207" i="100" a="1"/>
  <c r="B207" i="100" s="1"/>
  <c r="A39" i="100" a="1"/>
  <c r="A39" i="100" s="1"/>
  <c r="B88" i="100" a="1"/>
  <c r="B88" i="100" s="1"/>
  <c r="B111" i="100" a="1"/>
  <c r="B111" i="100" s="1"/>
  <c r="J352" i="100" a="1"/>
  <c r="J352" i="100" s="1"/>
  <c r="J115" i="100" a="1"/>
  <c r="J115" i="100" s="1"/>
  <c r="B282" i="100" a="1"/>
  <c r="B282" i="100" s="1"/>
  <c r="A124" i="100" a="1"/>
  <c r="A124" i="100" s="1"/>
  <c r="A146" i="100" a="1"/>
  <c r="A146" i="100" s="1"/>
  <c r="J339" i="100" a="1"/>
  <c r="J339" i="100" s="1"/>
  <c r="J86" i="100" a="1"/>
  <c r="J86" i="100" s="1"/>
  <c r="A159" i="100" a="1"/>
  <c r="A159" i="100" s="1"/>
  <c r="B167" i="100" a="1"/>
  <c r="B167" i="100" s="1"/>
  <c r="J240" i="100" a="1"/>
  <c r="J240" i="100" s="1"/>
  <c r="B44" i="100" a="1"/>
  <c r="B44" i="100" s="1"/>
  <c r="B147" i="100" a="1"/>
  <c r="B147" i="100" s="1"/>
  <c r="J231" i="100" a="1"/>
  <c r="J231" i="100" s="1"/>
  <c r="B168" i="100" a="1"/>
  <c r="B168" i="100" s="1"/>
  <c r="A196" i="100" a="1"/>
  <c r="A196" i="100" s="1"/>
  <c r="B336" i="100" a="1"/>
  <c r="B336" i="100" s="1"/>
  <c r="A13" i="100" a="1"/>
  <c r="A13" i="100" s="1"/>
  <c r="B107" i="100" a="1"/>
  <c r="B107" i="100" s="1"/>
  <c r="B181" i="100" a="1"/>
  <c r="B181" i="100" s="1"/>
  <c r="J54" i="100" a="1"/>
  <c r="J54" i="100" s="1"/>
  <c r="A336" i="100" a="1"/>
  <c r="A336" i="100" s="1"/>
  <c r="J348" i="100" a="1"/>
  <c r="J348" i="100" s="1"/>
  <c r="A90" i="100" a="1"/>
  <c r="A90" i="100" s="1"/>
  <c r="A235" i="100" a="1"/>
  <c r="A235" i="100" s="1"/>
  <c r="J351" i="100" a="1"/>
  <c r="J351" i="100" s="1"/>
  <c r="J199" i="100" a="1"/>
  <c r="J199" i="100" s="1"/>
  <c r="A326" i="100" a="1"/>
  <c r="A326" i="100" s="1"/>
  <c r="A79" i="100" a="1"/>
  <c r="A79" i="100" s="1"/>
  <c r="A162" i="100" a="1"/>
  <c r="A162" i="100" s="1"/>
  <c r="B281" i="100" a="1"/>
  <c r="B281" i="100" s="1"/>
  <c r="A154" i="100" a="1"/>
  <c r="A154" i="100" s="1"/>
  <c r="A19" i="100" a="1"/>
  <c r="A19" i="100" s="1"/>
  <c r="B350" i="100" a="1"/>
  <c r="B350" i="100" s="1"/>
  <c r="J133" i="100" a="1"/>
  <c r="J133" i="100" s="1"/>
  <c r="A277" i="100" a="1"/>
  <c r="A277" i="100" s="1"/>
  <c r="J212" i="100" a="1"/>
  <c r="J212" i="100" s="1"/>
  <c r="A127" i="100" a="1"/>
  <c r="A127" i="100" s="1"/>
  <c r="J47" i="100" a="1"/>
  <c r="J47" i="100" s="1"/>
  <c r="B267" i="100" a="1"/>
  <c r="B267" i="100" s="1"/>
  <c r="B255" i="100" a="1"/>
  <c r="B255" i="100" s="1"/>
  <c r="A206" i="100" a="1"/>
  <c r="A206" i="100" s="1"/>
  <c r="A122" i="100" a="1"/>
  <c r="A122" i="100" s="1"/>
  <c r="A232" i="100" a="1"/>
  <c r="A232" i="100" s="1"/>
  <c r="B349" i="100" a="1"/>
  <c r="B349" i="100" s="1"/>
  <c r="B295" i="100" a="1"/>
  <c r="B295" i="100" s="1"/>
  <c r="J94" i="100" a="1"/>
  <c r="J94" i="100" s="1"/>
  <c r="B213" i="100" a="1"/>
  <c r="B213" i="100" s="1"/>
  <c r="A311" i="100" a="1"/>
  <c r="A311" i="100" s="1"/>
  <c r="J192" i="100" a="1"/>
  <c r="J192" i="100" s="1"/>
  <c r="B351" i="100" a="1"/>
  <c r="B351" i="100" s="1"/>
  <c r="A272" i="100" a="1"/>
  <c r="A272" i="100" s="1"/>
  <c r="J184" i="100" a="1"/>
  <c r="J184" i="100" s="1"/>
  <c r="B278" i="100" a="1"/>
  <c r="B278" i="100" s="1"/>
  <c r="A43" i="100" a="1"/>
  <c r="A43" i="100" s="1"/>
  <c r="A198" i="100" a="1"/>
  <c r="A198" i="100" s="1"/>
  <c r="A9" i="100" a="1"/>
  <c r="A9" i="100" s="1"/>
  <c r="A265" i="100" a="1"/>
  <c r="A265" i="100" s="1"/>
  <c r="A219" i="100" a="1"/>
  <c r="A219" i="100" s="1"/>
  <c r="J236" i="100" a="1"/>
  <c r="J236" i="100" s="1"/>
  <c r="A7" i="22" a="1"/>
  <c r="A7" i="22" s="1"/>
  <c r="E11" i="22" s="1"/>
  <c r="F82" i="22" a="1"/>
  <c r="F82" i="22" s="1"/>
  <c r="A71" i="22" a="1"/>
  <c r="A71" i="22" s="1"/>
  <c r="D71" i="22" s="1"/>
  <c r="A62" i="25" a="1"/>
  <c r="A62" i="25" s="1"/>
  <c r="A61" i="25" a="1"/>
  <c r="A61" i="25" s="1"/>
  <c r="F56" i="25" a="1"/>
  <c r="F56" i="25" s="1"/>
  <c r="A34" i="25" a="1"/>
  <c r="A34" i="25" s="1"/>
  <c r="A15" i="25" a="1"/>
  <c r="A15" i="25" s="1"/>
  <c r="A10" i="25" a="1"/>
  <c r="A10" i="25" s="1"/>
  <c r="A83" i="25" a="1"/>
  <c r="A83" i="25" s="1"/>
  <c r="F16" i="25" a="1"/>
  <c r="F16" i="25" s="1"/>
  <c r="F42" i="25" a="1"/>
  <c r="F42" i="25" s="1"/>
  <c r="F45" i="25" a="1"/>
  <c r="F45" i="25" s="1"/>
  <c r="A25" i="25" a="1"/>
  <c r="A25" i="25" s="1"/>
  <c r="F25" i="25" a="1"/>
  <c r="F25" i="25" s="1"/>
  <c r="F73" i="25" a="1"/>
  <c r="F73" i="25" s="1"/>
  <c r="F31" i="25" a="1"/>
  <c r="F31" i="25" s="1"/>
  <c r="F72" i="25" a="1"/>
  <c r="F72" i="25" s="1"/>
  <c r="A13" i="25" a="1"/>
  <c r="A13" i="25" s="1"/>
  <c r="A49" i="25" a="1"/>
  <c r="A49" i="25" s="1"/>
  <c r="A74" i="25" a="1"/>
  <c r="A74" i="25" s="1"/>
  <c r="A72" i="25" a="1"/>
  <c r="A72" i="25" s="1"/>
  <c r="K6" i="25"/>
  <c r="A6" i="25" s="1" a="1"/>
  <c r="A6" i="25" s="1"/>
  <c r="A68" i="25" a="1"/>
  <c r="A68" i="25" s="1"/>
  <c r="F41" i="25" a="1"/>
  <c r="F41" i="25" s="1"/>
  <c r="A78" i="25" a="1"/>
  <c r="A78" i="25" s="1"/>
  <c r="F50" i="25" a="1"/>
  <c r="F50" i="25" s="1"/>
  <c r="A82" i="25" a="1"/>
  <c r="A82" i="25" s="1"/>
  <c r="A69" i="25" a="1"/>
  <c r="A69" i="25" s="1"/>
  <c r="F79" i="25" a="1"/>
  <c r="F79" i="25" s="1"/>
  <c r="F19" i="25" a="1"/>
  <c r="F19" i="25" s="1"/>
  <c r="F67" i="25" a="1"/>
  <c r="F67" i="25" s="1"/>
  <c r="A76" i="25" a="1"/>
  <c r="A76" i="25" s="1"/>
  <c r="A84" i="25" a="1"/>
  <c r="A84" i="25" s="1"/>
  <c r="F22" i="25" a="1"/>
  <c r="F22" i="25" s="1"/>
  <c r="F38" i="25" a="1"/>
  <c r="F38" i="25" s="1"/>
  <c r="F62" i="25" a="1"/>
  <c r="F62" i="25" s="1"/>
  <c r="F84" i="25" a="1"/>
  <c r="F84" i="25" s="1"/>
  <c r="F77" i="25" a="1"/>
  <c r="F77" i="25" s="1"/>
  <c r="A8" i="25" a="1"/>
  <c r="A8" i="25" s="1"/>
  <c r="A35" i="25" a="1"/>
  <c r="A35" i="25" s="1"/>
  <c r="A29" i="25" a="1"/>
  <c r="A29" i="25" s="1"/>
  <c r="F81" i="25" a="1"/>
  <c r="F81" i="25" s="1"/>
  <c r="A26" i="25" a="1"/>
  <c r="A26" i="25" s="1"/>
  <c r="A17" i="25" a="1"/>
  <c r="A17" i="25" s="1"/>
  <c r="F8" i="25" a="1"/>
  <c r="F8" i="25" s="1"/>
  <c r="A32" i="25" a="1"/>
  <c r="A32" i="25" s="1"/>
  <c r="A42" i="25" a="1"/>
  <c r="A42" i="25" s="1"/>
  <c r="A51" i="25" a="1"/>
  <c r="A51" i="25" s="1"/>
  <c r="F33" i="25" a="1"/>
  <c r="F33" i="25" s="1"/>
  <c r="F37" i="25" a="1"/>
  <c r="F37" i="25" s="1"/>
  <c r="A39" i="25" a="1"/>
  <c r="A39" i="25" s="1"/>
  <c r="A60" i="25" a="1"/>
  <c r="A60" i="25" s="1"/>
  <c r="F49" i="25" a="1"/>
  <c r="F49" i="25" s="1"/>
  <c r="F75" i="25" a="1"/>
  <c r="F75" i="25" s="1"/>
  <c r="A53" i="25" a="1"/>
  <c r="A53" i="25" s="1"/>
  <c r="A38" i="25" a="1"/>
  <c r="A38" i="25" s="1"/>
  <c r="A54" i="25" a="1"/>
  <c r="A54" i="25" s="1"/>
  <c r="A37" i="25" a="1"/>
  <c r="A37" i="25" s="1"/>
  <c r="F18" i="25" a="1"/>
  <c r="F18" i="25" s="1"/>
  <c r="F78" i="25" a="1"/>
  <c r="F78" i="25" s="1"/>
  <c r="F68" i="25" a="1"/>
  <c r="F68" i="25" s="1"/>
  <c r="A9" i="25" a="1"/>
  <c r="A9" i="25" s="1"/>
  <c r="F17" i="25" a="1"/>
  <c r="F17" i="25" s="1"/>
  <c r="F28" i="25" a="1"/>
  <c r="F28" i="25" s="1"/>
  <c r="A33" i="25" a="1"/>
  <c r="A33" i="25" s="1"/>
  <c r="F69" i="25" a="1"/>
  <c r="F69" i="25" s="1"/>
  <c r="A52" i="25" a="1"/>
  <c r="A52" i="25" s="1"/>
  <c r="A75" i="25" a="1"/>
  <c r="A75" i="25" s="1"/>
  <c r="F21" i="25" a="1"/>
  <c r="F21" i="25" s="1"/>
  <c r="F9" i="25" a="1"/>
  <c r="F9" i="25" s="1"/>
  <c r="F29" i="25" a="1"/>
  <c r="F29" i="25" s="1"/>
  <c r="F53" i="25" a="1"/>
  <c r="F53" i="25" s="1"/>
  <c r="F6" i="25" a="1"/>
  <c r="F6" i="25" s="1"/>
  <c r="A40" i="25" a="1"/>
  <c r="A40" i="25" s="1"/>
  <c r="F15" i="25" a="1"/>
  <c r="F15" i="25" s="1"/>
  <c r="A67" i="25" a="1"/>
  <c r="A67" i="25" s="1"/>
  <c r="F14" i="25" a="1"/>
  <c r="F14" i="25" s="1"/>
  <c r="A73" i="25" a="1"/>
  <c r="A73" i="25" s="1"/>
  <c r="A27" i="25" a="1"/>
  <c r="A27" i="25" s="1"/>
  <c r="F76" i="25" a="1"/>
  <c r="F76" i="25" s="1"/>
  <c r="A79" i="25" a="1"/>
  <c r="A79" i="25" s="1"/>
  <c r="A64" i="25" a="1"/>
  <c r="A64" i="25" s="1"/>
  <c r="A21" i="25" a="1"/>
  <c r="A21" i="25" s="1"/>
  <c r="F44" i="25" a="1"/>
  <c r="F44" i="25" s="1"/>
  <c r="F24" i="25" a="1"/>
  <c r="F24" i="25" s="1"/>
  <c r="F83" i="25" a="1"/>
  <c r="F83" i="25" s="1"/>
  <c r="A81" i="25" a="1"/>
  <c r="A81" i="25" s="1"/>
  <c r="A43" i="25" a="1"/>
  <c r="A43" i="25" s="1"/>
  <c r="A18" i="25" a="1"/>
  <c r="A18" i="25" s="1"/>
  <c r="A36" i="25" a="1"/>
  <c r="A36" i="25" s="1"/>
  <c r="A70" i="25" a="1"/>
  <c r="A70" i="25" s="1"/>
  <c r="A48" i="25" a="1"/>
  <c r="A48" i="25" s="1"/>
  <c r="A28" i="25" a="1"/>
  <c r="A28" i="25" s="1"/>
  <c r="F43" i="25" a="1"/>
  <c r="F43" i="25" s="1"/>
  <c r="F35" i="25" a="1"/>
  <c r="F35" i="25" s="1"/>
  <c r="F57" i="25" a="1"/>
  <c r="F57" i="25" s="1"/>
  <c r="F40" i="25" a="1"/>
  <c r="F40" i="25" s="1"/>
  <c r="F80" i="25" a="1"/>
  <c r="F80" i="25" s="1"/>
  <c r="F12" i="25" a="1"/>
  <c r="F12" i="25" s="1"/>
  <c r="F30" i="25" a="1"/>
  <c r="F30" i="25" s="1"/>
  <c r="F85" i="25" a="1"/>
  <c r="F85" i="25" s="1"/>
  <c r="F63" i="25" a="1"/>
  <c r="F63" i="25" s="1"/>
  <c r="A47" i="25" a="1"/>
  <c r="A47" i="25" s="1"/>
  <c r="A55" i="25" a="1"/>
  <c r="A55" i="25" s="1"/>
  <c r="F23" i="25" a="1"/>
  <c r="F23" i="25" s="1"/>
  <c r="F20" i="25" a="1"/>
  <c r="F20" i="25" s="1"/>
  <c r="A59" i="25" a="1"/>
  <c r="A59" i="25" s="1"/>
  <c r="A80" i="25" a="1"/>
  <c r="A80" i="25" s="1"/>
  <c r="F36" i="25" a="1"/>
  <c r="F36" i="25" s="1"/>
  <c r="F26" i="25" a="1"/>
  <c r="F26" i="25" s="1"/>
  <c r="A20" i="25" a="1"/>
  <c r="A20" i="25" s="1"/>
  <c r="A85" i="25" a="1"/>
  <c r="A85" i="25" s="1"/>
  <c r="F58" i="25" a="1"/>
  <c r="F58" i="25" s="1"/>
  <c r="F48" i="25" a="1"/>
  <c r="F48" i="25" s="1"/>
  <c r="A71" i="25" a="1"/>
  <c r="A71" i="25" s="1"/>
  <c r="F32" i="25" a="1"/>
  <c r="F32" i="25" s="1"/>
  <c r="A56" i="25" a="1"/>
  <c r="A56" i="25" s="1"/>
  <c r="F70" i="25" a="1"/>
  <c r="F70" i="25" s="1"/>
  <c r="A44" i="25" a="1"/>
  <c r="A44" i="25" s="1"/>
  <c r="F61" i="25" a="1"/>
  <c r="F61" i="25" s="1"/>
  <c r="F52" i="25" a="1"/>
  <c r="F52" i="25" s="1"/>
  <c r="F39" i="25" a="1"/>
  <c r="F39" i="25" s="1"/>
  <c r="F66" i="25" a="1"/>
  <c r="F66" i="25" s="1"/>
  <c r="A22" i="25" a="1"/>
  <c r="A22" i="25" s="1"/>
  <c r="A77" i="25" a="1"/>
  <c r="A77" i="25" s="1"/>
  <c r="F71" i="25" a="1"/>
  <c r="F71" i="25" s="1"/>
  <c r="F65" i="25" a="1"/>
  <c r="F65" i="25" s="1"/>
  <c r="F7" i="25" a="1"/>
  <c r="F7" i="25" s="1"/>
  <c r="F10" i="25" a="1"/>
  <c r="F10" i="25" s="1"/>
  <c r="F47" i="25" a="1"/>
  <c r="F47" i="25" s="1"/>
  <c r="F60" i="25" a="1"/>
  <c r="F60" i="25" s="1"/>
  <c r="A24" i="25" a="1"/>
  <c r="A24" i="25" s="1"/>
  <c r="A63" i="25" a="1"/>
  <c r="A63" i="25" s="1"/>
  <c r="A31" i="25" a="1"/>
  <c r="A31" i="25" s="1"/>
  <c r="A65" i="25" a="1"/>
  <c r="A65" i="25" s="1"/>
  <c r="A41" i="25" a="1"/>
  <c r="A41" i="25" s="1"/>
  <c r="A16" i="25" a="1"/>
  <c r="A16" i="25" s="1"/>
  <c r="A57" i="25" a="1"/>
  <c r="A57" i="25" s="1"/>
  <c r="F11" i="25" a="1"/>
  <c r="F11" i="25" s="1"/>
  <c r="F74" i="25" a="1"/>
  <c r="F74" i="25" s="1"/>
  <c r="F55" i="25" a="1"/>
  <c r="F55" i="25" s="1"/>
  <c r="F54" i="25" a="1"/>
  <c r="F54" i="25" s="1"/>
  <c r="A66" i="25" a="1"/>
  <c r="A66" i="25" s="1"/>
  <c r="F13" i="25" a="1"/>
  <c r="F13" i="25" s="1"/>
  <c r="F27" i="25" a="1"/>
  <c r="F27" i="25" s="1"/>
  <c r="F82" i="25" a="1"/>
  <c r="F82" i="25" s="1"/>
  <c r="A58" i="25" a="1"/>
  <c r="A58" i="25" s="1"/>
  <c r="F51" i="25" a="1"/>
  <c r="F51" i="25" s="1"/>
  <c r="F64" i="25" a="1"/>
  <c r="F64" i="25" s="1"/>
  <c r="A11" i="25" a="1"/>
  <c r="A11" i="25" s="1"/>
  <c r="A23" i="25" a="1"/>
  <c r="A23" i="25" s="1"/>
  <c r="F34" i="25" a="1"/>
  <c r="F34" i="25" s="1"/>
  <c r="F59" i="25" a="1"/>
  <c r="F59" i="25" s="1"/>
  <c r="A14" i="25" a="1"/>
  <c r="A14" i="25" s="1"/>
  <c r="F46" i="25" a="1"/>
  <c r="F46" i="25" s="1"/>
  <c r="A7" i="25" a="1"/>
  <c r="A7" i="25" s="1"/>
  <c r="A45" i="25" a="1"/>
  <c r="A45" i="25" s="1"/>
  <c r="A50" i="25" a="1"/>
  <c r="A50" i="25" s="1"/>
  <c r="A19" i="25" a="1"/>
  <c r="A19" i="25" s="1"/>
  <c r="A12" i="25" a="1"/>
  <c r="A12" i="25" s="1"/>
  <c r="A30" i="25" a="1"/>
  <c r="A30" i="25" s="1"/>
  <c r="A46" i="25" a="1"/>
  <c r="A46" i="25" s="1"/>
  <c r="F32" i="22" a="1"/>
  <c r="F32" i="22" s="1"/>
  <c r="F11" i="22" a="1"/>
  <c r="F11" i="22" s="1"/>
  <c r="A82" i="22" a="1"/>
  <c r="A82" i="22" s="1"/>
  <c r="G82" i="22" s="1"/>
  <c r="K202" i="52" a="1"/>
  <c r="K202" i="52" s="1"/>
  <c r="A285" i="52" a="1"/>
  <c r="A285" i="52" s="1"/>
  <c r="K289" i="52" a="1"/>
  <c r="K289" i="52" s="1"/>
  <c r="A47" i="52" a="1"/>
  <c r="A47" i="52" s="1"/>
  <c r="A218" i="52" a="1"/>
  <c r="A218" i="52" s="1"/>
  <c r="B130" i="52" a="1"/>
  <c r="B130" i="52" s="1"/>
  <c r="K238" i="52" a="1"/>
  <c r="K238" i="52" s="1"/>
  <c r="A207" i="52" a="1"/>
  <c r="A207" i="52" s="1"/>
  <c r="A149" i="52" a="1"/>
  <c r="A149" i="52" s="1"/>
  <c r="A22" i="52" a="1"/>
  <c r="A22" i="52" s="1"/>
  <c r="A40" i="52" a="1"/>
  <c r="A40" i="52" s="1"/>
  <c r="K14" i="52" a="1"/>
  <c r="K14" i="52" s="1"/>
  <c r="K142" i="52" a="1"/>
  <c r="K142" i="52" s="1"/>
  <c r="A176" i="52" a="1"/>
  <c r="A176" i="52" s="1"/>
  <c r="B325" i="52" a="1"/>
  <c r="B325" i="52" s="1"/>
  <c r="B28" i="52" a="1"/>
  <c r="B28" i="52" s="1"/>
  <c r="K295" i="52" a="1"/>
  <c r="K295" i="52" s="1"/>
  <c r="B274" i="52" a="1"/>
  <c r="B274" i="52" s="1"/>
  <c r="A120" i="52" a="1"/>
  <c r="A120" i="52" s="1"/>
  <c r="K300" i="52" a="1"/>
  <c r="K300" i="52" s="1"/>
  <c r="K126" i="52" a="1"/>
  <c r="K126" i="52" s="1"/>
  <c r="K116" i="52" a="1"/>
  <c r="K116" i="52" s="1"/>
  <c r="K61" i="52" a="1"/>
  <c r="K61" i="52" s="1"/>
  <c r="K270" i="52" a="1"/>
  <c r="K270" i="52" s="1"/>
  <c r="B308" i="52" a="1"/>
  <c r="B308" i="52" s="1"/>
  <c r="K325" i="52" a="1"/>
  <c r="K325" i="52" s="1"/>
  <c r="B78" i="52" a="1"/>
  <c r="B78" i="52" s="1"/>
  <c r="K284" i="52" a="1"/>
  <c r="K284" i="52" s="1"/>
  <c r="B147" i="52" a="1"/>
  <c r="B147" i="52" s="1"/>
  <c r="A325" i="52" a="1"/>
  <c r="A325" i="52" s="1"/>
  <c r="A297" i="52" a="1"/>
  <c r="A297" i="52" s="1"/>
  <c r="K230" i="52" a="1"/>
  <c r="K230" i="52" s="1"/>
  <c r="A294" i="52" a="1"/>
  <c r="A294" i="52" s="1"/>
  <c r="K55" i="52" a="1"/>
  <c r="K55" i="52" s="1"/>
  <c r="B59" i="52" a="1"/>
  <c r="B59" i="52" s="1"/>
  <c r="K245" i="52" a="1"/>
  <c r="K245" i="52" s="1"/>
  <c r="A101" i="52" a="1"/>
  <c r="A101" i="52" s="1"/>
  <c r="A36" i="52" a="1"/>
  <c r="A36" i="52" s="1"/>
  <c r="B307" i="52" a="1"/>
  <c r="B307" i="52" s="1"/>
  <c r="K113" i="52" a="1"/>
  <c r="K113" i="52" s="1"/>
  <c r="K129" i="52" a="1"/>
  <c r="K129" i="52" s="1"/>
  <c r="K185" i="52" a="1"/>
  <c r="K185" i="52" s="1"/>
  <c r="B309" i="52" a="1"/>
  <c r="B309" i="52" s="1"/>
  <c r="K148" i="52" a="1"/>
  <c r="K148" i="52" s="1"/>
  <c r="B262" i="52" a="1"/>
  <c r="B262" i="52" s="1"/>
  <c r="A243" i="52" a="1"/>
  <c r="A243" i="52" s="1"/>
  <c r="A333" i="52" a="1"/>
  <c r="A333" i="52" s="1"/>
  <c r="A67" i="52" a="1"/>
  <c r="A67" i="52" s="1"/>
  <c r="K80" i="52" a="1"/>
  <c r="K80" i="52" s="1"/>
  <c r="B280" i="52" a="1"/>
  <c r="B280" i="52" s="1"/>
  <c r="K76" i="52" a="1"/>
  <c r="K76" i="52" s="1"/>
  <c r="A14" i="52" a="1"/>
  <c r="A14" i="52" s="1"/>
  <c r="B97" i="52" a="1"/>
  <c r="B97" i="52" s="1"/>
  <c r="A227" i="52" a="1"/>
  <c r="A227" i="52" s="1"/>
  <c r="B336" i="52" a="1"/>
  <c r="B336" i="52" s="1"/>
  <c r="A224" i="52" a="1"/>
  <c r="A224" i="52" s="1"/>
  <c r="A49" i="52" a="1"/>
  <c r="A49" i="52" s="1"/>
  <c r="K338" i="52" a="1"/>
  <c r="K338" i="52" s="1"/>
  <c r="K46" i="52" a="1"/>
  <c r="K46" i="52" s="1"/>
  <c r="A205" i="52" a="1"/>
  <c r="A205" i="52" s="1"/>
  <c r="B317" i="52" a="1"/>
  <c r="B317" i="52" s="1"/>
  <c r="B238" i="52" a="1"/>
  <c r="B238" i="52" s="1"/>
  <c r="K49" i="52" a="1"/>
  <c r="K49" i="52" s="1"/>
  <c r="K181" i="52" a="1"/>
  <c r="K181" i="52" s="1"/>
  <c r="A10" i="52" a="1"/>
  <c r="A10" i="52" s="1"/>
  <c r="B241" i="52" a="1"/>
  <c r="B241" i="52" s="1"/>
  <c r="A241" i="52" a="1"/>
  <c r="A241" i="52" s="1"/>
  <c r="A18" i="52" a="1"/>
  <c r="A18" i="52" s="1"/>
  <c r="A24" i="52" a="1"/>
  <c r="A24" i="52" s="1"/>
  <c r="B242" i="52" a="1"/>
  <c r="B242" i="52" s="1"/>
  <c r="K318" i="52" a="1"/>
  <c r="K318" i="52" s="1"/>
  <c r="B345" i="52" a="1"/>
  <c r="B345" i="52" s="1"/>
  <c r="B296" i="52" a="1"/>
  <c r="B296" i="52" s="1"/>
  <c r="B301" i="52" a="1"/>
  <c r="B301" i="52" s="1"/>
  <c r="B339" i="52" a="1"/>
  <c r="B339" i="52" s="1"/>
  <c r="K141" i="52" a="1"/>
  <c r="K141" i="52" s="1"/>
  <c r="K229" i="52" a="1"/>
  <c r="K229" i="52" s="1"/>
  <c r="K273" i="52" a="1"/>
  <c r="K273" i="52" s="1"/>
  <c r="A214" i="52" a="1"/>
  <c r="A214" i="52" s="1"/>
  <c r="B352" i="52" a="1"/>
  <c r="B352" i="52" s="1"/>
  <c r="K307" i="52" a="1"/>
  <c r="K307" i="52" s="1"/>
  <c r="A111" i="52" a="1"/>
  <c r="A111" i="52" s="1"/>
  <c r="K131" i="52" a="1"/>
  <c r="K131" i="52" s="1"/>
  <c r="A340" i="52" a="1"/>
  <c r="A340" i="52" s="1"/>
  <c r="B320" i="52" a="1"/>
  <c r="B320" i="52" s="1"/>
  <c r="A65" i="52" a="1"/>
  <c r="A65" i="52" s="1"/>
  <c r="A290" i="52" a="1"/>
  <c r="A290" i="52" s="1"/>
  <c r="K100" i="52" a="1"/>
  <c r="K100" i="52" s="1"/>
  <c r="B36" i="52" a="1"/>
  <c r="B36" i="52" s="1"/>
  <c r="K39" i="52" a="1"/>
  <c r="K39" i="52" s="1"/>
  <c r="A222" i="52" a="1"/>
  <c r="A222" i="52" s="1"/>
  <c r="B82" i="52" a="1"/>
  <c r="B82" i="52" s="1"/>
  <c r="A260" i="52" a="1"/>
  <c r="A260" i="52" s="1"/>
  <c r="B206" i="52" a="1"/>
  <c r="B206" i="52" s="1"/>
  <c r="K101" i="52" a="1"/>
  <c r="K101" i="52" s="1"/>
  <c r="K315" i="52" a="1"/>
  <c r="K315" i="52" s="1"/>
  <c r="K95" i="52" a="1"/>
  <c r="K95" i="52" s="1"/>
  <c r="B96" i="52" a="1"/>
  <c r="B96" i="52" s="1"/>
  <c r="K104" i="52" a="1"/>
  <c r="K104" i="52" s="1"/>
  <c r="A173" i="52" a="1"/>
  <c r="A173" i="52" s="1"/>
  <c r="K45" i="52" a="1"/>
  <c r="K45" i="52" s="1"/>
  <c r="A284" i="52" a="1"/>
  <c r="A284" i="52" s="1"/>
  <c r="A38" i="52" a="1"/>
  <c r="A38" i="52" s="1"/>
  <c r="K138" i="52" a="1"/>
  <c r="K138" i="52" s="1"/>
  <c r="K87" i="52" a="1"/>
  <c r="K87" i="52" s="1"/>
  <c r="B232" i="52" a="1"/>
  <c r="B232" i="52" s="1"/>
  <c r="K311" i="52" a="1"/>
  <c r="K311" i="52" s="1"/>
  <c r="B321" i="52" a="1"/>
  <c r="B321" i="52" s="1"/>
  <c r="B249" i="52" a="1"/>
  <c r="B249" i="52" s="1"/>
  <c r="B212" i="52" a="1"/>
  <c r="B212" i="52" s="1"/>
  <c r="K213" i="52" a="1"/>
  <c r="K213" i="52" s="1"/>
  <c r="K36" i="52" a="1"/>
  <c r="K36" i="52" s="1"/>
  <c r="A115" i="52" a="1"/>
  <c r="A115" i="52" s="1"/>
  <c r="A51" i="52" a="1"/>
  <c r="A51" i="52" s="1"/>
  <c r="A99" i="52" a="1"/>
  <c r="A99" i="52" s="1"/>
  <c r="K156" i="52" a="1"/>
  <c r="K156" i="52" s="1"/>
  <c r="A90" i="52" a="1"/>
  <c r="A90" i="52" s="1"/>
  <c r="K170" i="52" a="1"/>
  <c r="K170" i="52" s="1"/>
  <c r="K149" i="52" a="1"/>
  <c r="K149" i="52" s="1"/>
  <c r="B103" i="52" a="1"/>
  <c r="B103" i="52" s="1"/>
  <c r="B118" i="52" a="1"/>
  <c r="B118" i="52" s="1"/>
  <c r="B338" i="52" a="1"/>
  <c r="B338" i="52" s="1"/>
  <c r="K323" i="52" a="1"/>
  <c r="K323" i="52" s="1"/>
  <c r="B71" i="52" a="1"/>
  <c r="B71" i="52" s="1"/>
  <c r="A236" i="52" a="1"/>
  <c r="A236" i="52" s="1"/>
  <c r="K332" i="52" a="1"/>
  <c r="K332" i="52" s="1"/>
  <c r="B86" i="52" a="1"/>
  <c r="B86" i="52" s="1"/>
  <c r="A280" i="52" a="1"/>
  <c r="A280" i="52" s="1"/>
  <c r="K227" i="52" a="1"/>
  <c r="K227" i="52" s="1"/>
  <c r="A113" i="52" a="1"/>
  <c r="A113" i="52" s="1"/>
  <c r="B62" i="52" a="1"/>
  <c r="B62" i="52" s="1"/>
  <c r="A19" i="52" a="1"/>
  <c r="A19" i="52" s="1"/>
  <c r="K125" i="52" a="1"/>
  <c r="K125" i="52" s="1"/>
  <c r="K69" i="52" a="1"/>
  <c r="K69" i="52" s="1"/>
  <c r="A41" i="52" a="1"/>
  <c r="A41" i="52" s="1"/>
  <c r="A57" i="52" a="1"/>
  <c r="A57" i="52" s="1"/>
  <c r="B52" i="52" a="1"/>
  <c r="B52" i="52" s="1"/>
  <c r="A134" i="52" a="1"/>
  <c r="A134" i="52" s="1"/>
  <c r="A151" i="52" a="1"/>
  <c r="A151" i="52" s="1"/>
  <c r="B312" i="52" a="1"/>
  <c r="B312" i="52" s="1"/>
  <c r="B319" i="52" a="1"/>
  <c r="B319" i="52" s="1"/>
  <c r="B10" i="52" a="1"/>
  <c r="B10" i="52" s="1"/>
  <c r="B153" i="52" a="1"/>
  <c r="B153" i="52" s="1"/>
  <c r="B205" i="52" a="1"/>
  <c r="B205" i="52" s="1"/>
  <c r="B155" i="52" a="1"/>
  <c r="B155" i="52" s="1"/>
  <c r="A29" i="52" a="1"/>
  <c r="A29" i="52" s="1"/>
  <c r="K91" i="52" a="1"/>
  <c r="K91" i="52" s="1"/>
  <c r="A43" i="52" a="1"/>
  <c r="A43" i="52" s="1"/>
  <c r="K254" i="52" a="1"/>
  <c r="K254" i="52" s="1"/>
  <c r="A321" i="52" a="1"/>
  <c r="A321" i="52" s="1"/>
  <c r="K130" i="52" a="1"/>
  <c r="K130" i="52" s="1"/>
  <c r="B269" i="52" a="1"/>
  <c r="B269" i="52" s="1"/>
  <c r="B263" i="52" a="1"/>
  <c r="B263" i="52" s="1"/>
  <c r="A26" i="52" a="1"/>
  <c r="A26" i="52" s="1"/>
  <c r="A324" i="52" a="1"/>
  <c r="A324" i="52" s="1"/>
  <c r="K119" i="52" a="1"/>
  <c r="K119" i="52" s="1"/>
  <c r="K306" i="52" a="1"/>
  <c r="K306" i="52" s="1"/>
  <c r="A184" i="52" a="1"/>
  <c r="A184" i="52" s="1"/>
  <c r="B164" i="52" a="1"/>
  <c r="B164" i="52" s="1"/>
  <c r="A88" i="52" a="1"/>
  <c r="A88" i="52" s="1"/>
  <c r="K350" i="52" a="1"/>
  <c r="K350" i="52" s="1"/>
  <c r="B79" i="52" a="1"/>
  <c r="B79" i="52" s="1"/>
  <c r="B151" i="52" a="1"/>
  <c r="B151" i="52" s="1"/>
  <c r="A93" i="52" a="1"/>
  <c r="A93" i="52" s="1"/>
  <c r="K86" i="52" a="1"/>
  <c r="K86" i="52" s="1"/>
  <c r="K51" i="52" a="1"/>
  <c r="K51" i="52" s="1"/>
  <c r="K194" i="52" a="1"/>
  <c r="K194" i="52" s="1"/>
  <c r="K355" i="52" a="1"/>
  <c r="K355" i="52" s="1"/>
  <c r="K313" i="52" a="1"/>
  <c r="K313" i="52" s="1"/>
  <c r="A132" i="52" a="1"/>
  <c r="A132" i="52" s="1"/>
  <c r="B355" i="52" a="1"/>
  <c r="B355" i="52" s="1"/>
  <c r="K172" i="52" a="1"/>
  <c r="K172" i="52" s="1"/>
  <c r="K304" i="52" a="1"/>
  <c r="K304" i="52" s="1"/>
  <c r="B93" i="52" a="1"/>
  <c r="B93" i="52" s="1"/>
  <c r="A282" i="52" a="1"/>
  <c r="A282" i="52" s="1"/>
  <c r="K353" i="52" a="1"/>
  <c r="K353" i="52" s="1"/>
  <c r="B230" i="52" a="1"/>
  <c r="B230" i="52" s="1"/>
  <c r="K281" i="52" a="1"/>
  <c r="K281" i="52" s="1"/>
  <c r="A249" i="52" a="1"/>
  <c r="A249" i="52" s="1"/>
  <c r="K114" i="52" a="1"/>
  <c r="K114" i="52" s="1"/>
  <c r="B60" i="52" a="1"/>
  <c r="B60" i="52" s="1"/>
  <c r="A199" i="52" a="1"/>
  <c r="A199" i="52" s="1"/>
  <c r="B285" i="52" a="1"/>
  <c r="B285" i="52" s="1"/>
  <c r="A129" i="52" a="1"/>
  <c r="A129" i="52" s="1"/>
  <c r="B57" i="52" a="1"/>
  <c r="B57" i="52" s="1"/>
  <c r="B267" i="52" a="1"/>
  <c r="B267" i="52" s="1"/>
  <c r="A94" i="52" a="1"/>
  <c r="A94" i="52" s="1"/>
  <c r="A182" i="52" a="1"/>
  <c r="A182" i="52" s="1"/>
  <c r="B220" i="52" a="1"/>
  <c r="B220" i="52" s="1"/>
  <c r="B35" i="52" a="1"/>
  <c r="B35" i="52" s="1"/>
  <c r="K8" i="52" a="1"/>
  <c r="K8" i="52" s="1"/>
  <c r="K285" i="52" a="1"/>
  <c r="K285" i="52" s="1"/>
  <c r="K345" i="52" a="1"/>
  <c r="K345" i="52" s="1"/>
  <c r="K277" i="52" a="1"/>
  <c r="K277" i="52" s="1"/>
  <c r="B196" i="52" a="1"/>
  <c r="B196" i="52" s="1"/>
  <c r="B314" i="52" a="1"/>
  <c r="B314" i="52" s="1"/>
  <c r="A76" i="52" a="1"/>
  <c r="A76" i="52" s="1"/>
  <c r="A15" i="52" a="1"/>
  <c r="A15" i="52" s="1"/>
  <c r="K220" i="52" a="1"/>
  <c r="K220" i="52" s="1"/>
  <c r="K103" i="52" a="1"/>
  <c r="K103" i="52" s="1"/>
  <c r="A192" i="52" a="1"/>
  <c r="A192" i="52" s="1"/>
  <c r="B55" i="52" a="1"/>
  <c r="B55" i="52" s="1"/>
  <c r="K268" i="52" a="1"/>
  <c r="K268" i="52" s="1"/>
  <c r="B128" i="52" a="1"/>
  <c r="B128" i="52" s="1"/>
  <c r="A74" i="52" a="1"/>
  <c r="A74" i="52" s="1"/>
  <c r="A342" i="52" a="1"/>
  <c r="A342" i="52" s="1"/>
  <c r="B163" i="52" a="1"/>
  <c r="B163" i="52" s="1"/>
  <c r="K24" i="52" a="1"/>
  <c r="K24" i="52" s="1"/>
  <c r="B158" i="52" a="1"/>
  <c r="B158" i="52" s="1"/>
  <c r="K27" i="52" a="1"/>
  <c r="K27" i="52" s="1"/>
  <c r="B160" i="52" a="1"/>
  <c r="B160" i="52" s="1"/>
  <c r="A327" i="52" a="1"/>
  <c r="A327" i="52" s="1"/>
  <c r="A80" i="52" a="1"/>
  <c r="A80" i="52" s="1"/>
  <c r="A221" i="52" a="1"/>
  <c r="A221" i="52" s="1"/>
  <c r="B7" i="52" a="1"/>
  <c r="B7" i="52" s="1"/>
  <c r="A100" i="52" a="1"/>
  <c r="A100" i="52" s="1"/>
  <c r="A296" i="52" a="1"/>
  <c r="A296" i="52" s="1"/>
  <c r="B244" i="52" a="1"/>
  <c r="B244" i="52" s="1"/>
  <c r="K162" i="52" a="1"/>
  <c r="K162" i="52" s="1"/>
  <c r="A187" i="52" a="1"/>
  <c r="A187" i="52" s="1"/>
  <c r="A314" i="52" a="1"/>
  <c r="A314" i="52" s="1"/>
  <c r="B270" i="52" a="1"/>
  <c r="B270" i="52" s="1"/>
  <c r="A319" i="52" a="1"/>
  <c r="A319" i="52" s="1"/>
  <c r="K234" i="52" a="1"/>
  <c r="K234" i="52" s="1"/>
  <c r="A308" i="52" a="1"/>
  <c r="A308" i="52" s="1"/>
  <c r="A106" i="52" a="1"/>
  <c r="A106" i="52" s="1"/>
  <c r="K217" i="52" a="1"/>
  <c r="K217" i="52" s="1"/>
  <c r="A156" i="52" a="1"/>
  <c r="A156" i="52" s="1"/>
  <c r="A58" i="52" a="1"/>
  <c r="A58" i="52" s="1"/>
  <c r="B193" i="52" a="1"/>
  <c r="B193" i="52" s="1"/>
  <c r="A323" i="52" a="1"/>
  <c r="A323" i="52" s="1"/>
  <c r="B40" i="52" a="1"/>
  <c r="B40" i="52" s="1"/>
  <c r="K276" i="52" a="1"/>
  <c r="K276" i="52" s="1"/>
  <c r="A126" i="52" a="1"/>
  <c r="A126" i="52" s="1"/>
  <c r="A71" i="52" a="1"/>
  <c r="A71" i="52" s="1"/>
  <c r="B272" i="52" a="1"/>
  <c r="B272" i="52" s="1"/>
  <c r="B188" i="52" a="1"/>
  <c r="B188" i="52" s="1"/>
  <c r="K70" i="52" a="1"/>
  <c r="K70" i="52" s="1"/>
  <c r="A178" i="52" a="1"/>
  <c r="A178" i="52" s="1"/>
  <c r="B195" i="52" a="1"/>
  <c r="B195" i="52" s="1"/>
  <c r="A326" i="52" a="1"/>
  <c r="A326" i="52" s="1"/>
  <c r="K308" i="52" a="1"/>
  <c r="K308" i="52" s="1"/>
  <c r="A267" i="52" a="1"/>
  <c r="A267" i="52" s="1"/>
  <c r="K243" i="52" a="1"/>
  <c r="K243" i="52" s="1"/>
  <c r="A160" i="52" a="1"/>
  <c r="A160" i="52" s="1"/>
  <c r="K327" i="52" a="1"/>
  <c r="K327" i="52" s="1"/>
  <c r="B286" i="52" a="1"/>
  <c r="B286" i="52" s="1"/>
  <c r="A289" i="52" a="1"/>
  <c r="A289" i="52" s="1"/>
  <c r="A226" i="52" a="1"/>
  <c r="A226" i="52" s="1"/>
  <c r="A276" i="52" a="1"/>
  <c r="A276" i="52" s="1"/>
  <c r="B48" i="52" a="1"/>
  <c r="B48" i="52" s="1"/>
  <c r="A167" i="52" a="1"/>
  <c r="A167" i="52" s="1"/>
  <c r="B318" i="52" a="1"/>
  <c r="B318" i="52" s="1"/>
  <c r="A161" i="52" a="1"/>
  <c r="A161" i="52" s="1"/>
  <c r="K160" i="52" a="1"/>
  <c r="K160" i="52" s="1"/>
  <c r="A274" i="52" a="1"/>
  <c r="A274" i="52" s="1"/>
  <c r="A239" i="52" a="1"/>
  <c r="A239" i="52" s="1"/>
  <c r="K342" i="52" a="1"/>
  <c r="K342" i="52" s="1"/>
  <c r="K146" i="52" a="1"/>
  <c r="K146" i="52" s="1"/>
  <c r="K253" i="52" a="1"/>
  <c r="K253" i="52" s="1"/>
  <c r="B140" i="52" a="1"/>
  <c r="B140" i="52" s="1"/>
  <c r="A240" i="52" a="1"/>
  <c r="A240" i="52" s="1"/>
  <c r="K240" i="52" a="1"/>
  <c r="K240" i="52" s="1"/>
  <c r="A144" i="52" a="1"/>
  <c r="A144" i="52" s="1"/>
  <c r="A92" i="52" a="1"/>
  <c r="A92" i="52" s="1"/>
  <c r="K134" i="52" a="1"/>
  <c r="K134" i="52" s="1"/>
  <c r="B70" i="52" a="1"/>
  <c r="B70" i="52" s="1"/>
  <c r="K207" i="52" a="1"/>
  <c r="K207" i="52" s="1"/>
  <c r="B67" i="52" a="1"/>
  <c r="B67" i="52" s="1"/>
  <c r="A220" i="52" a="1"/>
  <c r="A220" i="52" s="1"/>
  <c r="B157" i="52" a="1"/>
  <c r="B157" i="52" s="1"/>
  <c r="K176" i="52" a="1"/>
  <c r="K176" i="52" s="1"/>
  <c r="A31" i="52" a="1"/>
  <c r="A31" i="52" s="1"/>
  <c r="B284" i="52" a="1"/>
  <c r="B284" i="52" s="1"/>
  <c r="B313" i="52" a="1"/>
  <c r="B313" i="52" s="1"/>
  <c r="A87" i="52" a="1"/>
  <c r="A87" i="52" s="1"/>
  <c r="B9" i="52" a="1"/>
  <c r="B9" i="52" s="1"/>
  <c r="B139" i="52" a="1"/>
  <c r="B139" i="52" s="1"/>
  <c r="A337" i="52" a="1"/>
  <c r="A337" i="52" s="1"/>
  <c r="K153" i="52" a="1"/>
  <c r="K153" i="52" s="1"/>
  <c r="B146" i="52" a="1"/>
  <c r="B146" i="52" s="1"/>
  <c r="B300" i="52" a="1"/>
  <c r="B300" i="52" s="1"/>
  <c r="B120" i="52" a="1"/>
  <c r="B120" i="52" s="1"/>
  <c r="A85" i="52" a="1"/>
  <c r="A85" i="52" s="1"/>
  <c r="B100" i="52" a="1"/>
  <c r="B100" i="52" s="1"/>
  <c r="B154" i="52" a="1"/>
  <c r="B154" i="52" s="1"/>
  <c r="B316" i="52" a="1"/>
  <c r="B316" i="52" s="1"/>
  <c r="B192" i="52" a="1"/>
  <c r="B192" i="52" s="1"/>
  <c r="K218" i="52" a="1"/>
  <c r="K218" i="52" s="1"/>
  <c r="A247" i="52" a="1"/>
  <c r="A247" i="52" s="1"/>
  <c r="B176" i="52" a="1"/>
  <c r="B176" i="52" s="1"/>
  <c r="B295" i="52" a="1"/>
  <c r="B295" i="52" s="1"/>
  <c r="B113" i="52" a="1"/>
  <c r="B113" i="52" s="1"/>
  <c r="K58" i="52" a="1"/>
  <c r="K58" i="52" s="1"/>
  <c r="K144" i="52" a="1"/>
  <c r="K144" i="52" s="1"/>
  <c r="A232" i="52" a="1"/>
  <c r="A232" i="52" s="1"/>
  <c r="K299" i="52" a="1"/>
  <c r="K299" i="52" s="1"/>
  <c r="B204" i="52" a="1"/>
  <c r="B204" i="52" s="1"/>
  <c r="A81" i="52" a="1"/>
  <c r="A81" i="52" s="1"/>
  <c r="K287" i="52" a="1"/>
  <c r="K287" i="52" s="1"/>
  <c r="K279" i="52" a="1"/>
  <c r="K279" i="52" s="1"/>
  <c r="K282" i="52" a="1"/>
  <c r="K282" i="52" s="1"/>
  <c r="A217" i="52" a="1"/>
  <c r="A217" i="52" s="1"/>
  <c r="A263" i="52" a="1"/>
  <c r="A263" i="52" s="1"/>
  <c r="A270" i="52" a="1"/>
  <c r="A270" i="52" s="1"/>
  <c r="B42" i="52" a="1"/>
  <c r="B42" i="52" s="1"/>
  <c r="K22" i="52" a="1"/>
  <c r="K22" i="52" s="1"/>
  <c r="K93" i="52" a="1"/>
  <c r="K93" i="52" s="1"/>
  <c r="A112" i="52" a="1"/>
  <c r="A112" i="52" s="1"/>
  <c r="B148" i="52" a="1"/>
  <c r="B148" i="52" s="1"/>
  <c r="B58" i="52" a="1"/>
  <c r="B58" i="52" s="1"/>
  <c r="B88" i="52" a="1"/>
  <c r="B88" i="52" s="1"/>
  <c r="A56" i="52" a="1"/>
  <c r="A56" i="52" s="1"/>
  <c r="K68" i="52" a="1"/>
  <c r="K68" i="52" s="1"/>
  <c r="K122" i="52" a="1"/>
  <c r="K122" i="52" s="1"/>
  <c r="K139" i="52" a="1"/>
  <c r="K139" i="52" s="1"/>
  <c r="B264" i="52" a="1"/>
  <c r="B264" i="52" s="1"/>
  <c r="B337" i="52" a="1"/>
  <c r="B337" i="52" s="1"/>
  <c r="B253" i="52" a="1"/>
  <c r="B253" i="52" s="1"/>
  <c r="A318" i="52" a="1"/>
  <c r="A318" i="52" s="1"/>
  <c r="B168" i="52" a="1"/>
  <c r="B168" i="52" s="1"/>
  <c r="K54" i="52" a="1"/>
  <c r="K54" i="52" s="1"/>
  <c r="A317" i="52" a="1"/>
  <c r="A317" i="52" s="1"/>
  <c r="K124" i="52" a="1"/>
  <c r="K124" i="52" s="1"/>
  <c r="K267" i="52" a="1"/>
  <c r="K267" i="52" s="1"/>
  <c r="K293" i="52" a="1"/>
  <c r="K293" i="52" s="1"/>
  <c r="A309" i="52" a="1"/>
  <c r="A309" i="52" s="1"/>
  <c r="A166" i="52" a="1"/>
  <c r="A166" i="52" s="1"/>
  <c r="A328" i="52" a="1"/>
  <c r="A328" i="52" s="1"/>
  <c r="B245" i="52" a="1"/>
  <c r="B245" i="52" s="1"/>
  <c r="B255" i="52" a="1"/>
  <c r="B255" i="52" s="1"/>
  <c r="A141" i="52" a="1"/>
  <c r="A141" i="52" s="1"/>
  <c r="B344" i="52" a="1"/>
  <c r="B344" i="52" s="1"/>
  <c r="K31" i="52" a="1"/>
  <c r="K31" i="52" s="1"/>
  <c r="B149" i="52" a="1"/>
  <c r="B149" i="52" s="1"/>
  <c r="B21" i="52" a="1"/>
  <c r="B21" i="52" s="1"/>
  <c r="K216" i="52" a="1"/>
  <c r="K216" i="52" s="1"/>
  <c r="A332" i="52" a="1"/>
  <c r="A332" i="52" s="1"/>
  <c r="A21" i="52" a="1"/>
  <c r="A21" i="52" s="1"/>
  <c r="A235" i="52" a="1"/>
  <c r="A235" i="52" s="1"/>
  <c r="B123" i="52" a="1"/>
  <c r="B123" i="52" s="1"/>
  <c r="A83" i="52" a="1"/>
  <c r="A83" i="52" s="1"/>
  <c r="K290" i="52" a="1"/>
  <c r="K290" i="52" s="1"/>
  <c r="B231" i="52" a="1"/>
  <c r="B231" i="52" s="1"/>
  <c r="A123" i="52" a="1"/>
  <c r="A123" i="52" s="1"/>
  <c r="B134" i="52" a="1"/>
  <c r="B134" i="52" s="1"/>
  <c r="B334" i="52" a="1"/>
  <c r="B334" i="52" s="1"/>
  <c r="A311" i="52" a="1"/>
  <c r="A311" i="52" s="1"/>
  <c r="A298" i="52" a="1"/>
  <c r="A298" i="52" s="1"/>
  <c r="K75" i="52" a="1"/>
  <c r="K75" i="52" s="1"/>
  <c r="K56" i="52" a="1"/>
  <c r="K56" i="52" s="1"/>
  <c r="A266" i="52" a="1"/>
  <c r="A266" i="52" s="1"/>
  <c r="B13" i="52" a="1"/>
  <c r="B13" i="52" s="1"/>
  <c r="K210" i="52" a="1"/>
  <c r="K210" i="52" s="1"/>
  <c r="B233" i="52" a="1"/>
  <c r="B233" i="52" s="1"/>
  <c r="B281" i="52" a="1"/>
  <c r="B281" i="52" s="1"/>
  <c r="A44" i="52" a="1"/>
  <c r="A44" i="52" s="1"/>
  <c r="K223" i="52" a="1"/>
  <c r="K223" i="52" s="1"/>
  <c r="K89" i="52" a="1"/>
  <c r="K89" i="52" s="1"/>
  <c r="K262" i="52" a="1"/>
  <c r="K262" i="52" s="1"/>
  <c r="A183" i="52" a="1"/>
  <c r="A183" i="52" s="1"/>
  <c r="B276" i="52" a="1"/>
  <c r="B276" i="52" s="1"/>
  <c r="K261" i="52" a="1"/>
  <c r="K261" i="52" s="1"/>
  <c r="K143" i="52" a="1"/>
  <c r="K143" i="52" s="1"/>
  <c r="K159" i="52" a="1"/>
  <c r="K159" i="52" s="1"/>
  <c r="B90" i="52" a="1"/>
  <c r="B90" i="52" s="1"/>
  <c r="K42" i="52" a="1"/>
  <c r="K42" i="52" s="1"/>
  <c r="K79" i="52" a="1"/>
  <c r="K79" i="52" s="1"/>
  <c r="A143" i="52" a="1"/>
  <c r="A143" i="52" s="1"/>
  <c r="K349" i="52" a="1"/>
  <c r="K349" i="52" s="1"/>
  <c r="K226" i="52" a="1"/>
  <c r="K226" i="52" s="1"/>
  <c r="A108" i="52" a="1"/>
  <c r="A108" i="52" s="1"/>
  <c r="A198" i="52" a="1"/>
  <c r="A198" i="52" s="1"/>
  <c r="A138" i="52" a="1"/>
  <c r="A138" i="52" s="1"/>
  <c r="B288" i="52" a="1"/>
  <c r="B288" i="52" s="1"/>
  <c r="K239" i="52" a="1"/>
  <c r="K239" i="52" s="1"/>
  <c r="A159" i="52" a="1"/>
  <c r="A159" i="52" s="1"/>
  <c r="K264" i="52" a="1"/>
  <c r="K264" i="52" s="1"/>
  <c r="A336" i="52" a="1"/>
  <c r="A336" i="52" s="1"/>
  <c r="A251" i="52" a="1"/>
  <c r="A251" i="52" s="1"/>
  <c r="K72" i="52" a="1"/>
  <c r="K72" i="52" s="1"/>
  <c r="A275" i="52" a="1"/>
  <c r="A275" i="52" s="1"/>
  <c r="B27" i="52" a="1"/>
  <c r="B27" i="52" s="1"/>
  <c r="A137" i="52" a="1"/>
  <c r="A137" i="52" s="1"/>
  <c r="K115" i="52" a="1"/>
  <c r="K115" i="52" s="1"/>
  <c r="A310" i="52" a="1"/>
  <c r="A310" i="52" s="1"/>
  <c r="K64" i="52" a="1"/>
  <c r="K64" i="52" s="1"/>
  <c r="B260" i="52" a="1"/>
  <c r="B260" i="52" s="1"/>
  <c r="B107" i="52" a="1"/>
  <c r="B107" i="52" s="1"/>
  <c r="B131" i="52" a="1"/>
  <c r="B131" i="52" s="1"/>
  <c r="B142" i="52" a="1"/>
  <c r="B142" i="52" s="1"/>
  <c r="K53" i="52" a="1"/>
  <c r="K53" i="52" s="1"/>
  <c r="A30" i="52" a="1"/>
  <c r="A30" i="52" s="1"/>
  <c r="A165" i="52" a="1"/>
  <c r="A165" i="52" s="1"/>
  <c r="A313" i="52" a="1"/>
  <c r="A313" i="52" s="1"/>
  <c r="A209" i="52" a="1"/>
  <c r="A209" i="52" s="1"/>
  <c r="A347" i="52" a="1"/>
  <c r="A347" i="52" s="1"/>
  <c r="B177" i="52" a="1"/>
  <c r="B177" i="52" s="1"/>
  <c r="A245" i="52" a="1"/>
  <c r="A245" i="52" s="1"/>
  <c r="B258" i="52" a="1"/>
  <c r="B258" i="52" s="1"/>
  <c r="B102" i="52" a="1"/>
  <c r="B102" i="52" s="1"/>
  <c r="B287" i="52" a="1"/>
  <c r="B287" i="52" s="1"/>
  <c r="B175" i="52" a="1"/>
  <c r="B175" i="52" s="1"/>
  <c r="B191" i="52" a="1"/>
  <c r="B191" i="52" s="1"/>
  <c r="K118" i="52" a="1"/>
  <c r="K118" i="52" s="1"/>
  <c r="A213" i="52" a="1"/>
  <c r="A213" i="52" s="1"/>
  <c r="K320" i="52" a="1"/>
  <c r="K320" i="52" s="1"/>
  <c r="A304" i="52" a="1"/>
  <c r="A304" i="52" s="1"/>
  <c r="K155" i="52" a="1"/>
  <c r="K155" i="52" s="1"/>
  <c r="B225" i="52" a="1"/>
  <c r="B225" i="52" s="1"/>
  <c r="K255" i="52" a="1"/>
  <c r="K255" i="52" s="1"/>
  <c r="K30" i="52" a="1"/>
  <c r="K30" i="52" s="1"/>
  <c r="B117" i="52" a="1"/>
  <c r="B117" i="52" s="1"/>
  <c r="K67" i="52" a="1"/>
  <c r="K67" i="52" s="1"/>
  <c r="A103" i="52" a="1"/>
  <c r="A103" i="52" s="1"/>
  <c r="K269" i="52" a="1"/>
  <c r="K269" i="52" s="1"/>
  <c r="B348" i="52" a="1"/>
  <c r="B348" i="52" s="1"/>
  <c r="A98" i="52" a="1"/>
  <c r="A98" i="52" s="1"/>
  <c r="B278" i="52" a="1"/>
  <c r="B278" i="52" s="1"/>
  <c r="B293" i="52" a="1"/>
  <c r="B293" i="52" s="1"/>
  <c r="B111" i="52" a="1"/>
  <c r="B111" i="52" s="1"/>
  <c r="K309" i="52" a="1"/>
  <c r="K309" i="52" s="1"/>
  <c r="B84" i="52" a="1"/>
  <c r="B84" i="52" s="1"/>
  <c r="A163" i="52" a="1"/>
  <c r="A163" i="52" s="1"/>
  <c r="A140" i="52" a="1"/>
  <c r="A140" i="52" s="1"/>
  <c r="B289" i="52" a="1"/>
  <c r="B289" i="52" s="1"/>
  <c r="K310" i="52" a="1"/>
  <c r="K310" i="52" s="1"/>
  <c r="K228" i="52" a="1"/>
  <c r="K228" i="52" s="1"/>
  <c r="A295" i="52" a="1"/>
  <c r="A295" i="52" s="1"/>
  <c r="K38" i="52" a="1"/>
  <c r="K38" i="52" s="1"/>
  <c r="A201" i="52" a="1"/>
  <c r="A201" i="52" s="1"/>
  <c r="A196" i="52" a="1"/>
  <c r="A196" i="52" s="1"/>
  <c r="K305" i="52" a="1"/>
  <c r="K305" i="52" s="1"/>
  <c r="K82" i="52" a="1"/>
  <c r="K82" i="52" s="1"/>
  <c r="B63" i="52" a="1"/>
  <c r="B63" i="52" s="1"/>
  <c r="K178" i="52" a="1"/>
  <c r="K178" i="52" s="1"/>
  <c r="B310" i="52" a="1"/>
  <c r="B310" i="52" s="1"/>
  <c r="B135" i="52" a="1"/>
  <c r="B135" i="52" s="1"/>
  <c r="A346" i="52" a="1"/>
  <c r="A346" i="52" s="1"/>
  <c r="A189" i="52" a="1"/>
  <c r="A189" i="52" s="1"/>
  <c r="K165" i="52" a="1"/>
  <c r="K165" i="52" s="1"/>
  <c r="A20" i="52" a="1"/>
  <c r="A20" i="52" s="1"/>
  <c r="A252" i="52" a="1"/>
  <c r="A252" i="52" s="1"/>
  <c r="A216" i="52" a="1"/>
  <c r="A216" i="52" s="1"/>
  <c r="B64" i="52" a="1"/>
  <c r="B64" i="52" s="1"/>
  <c r="A230" i="52" a="1"/>
  <c r="A230" i="52" s="1"/>
  <c r="A320" i="52" a="1"/>
  <c r="A320" i="52" s="1"/>
  <c r="A341" i="52" a="1"/>
  <c r="A341" i="52" s="1"/>
  <c r="K94" i="52" a="1"/>
  <c r="K94" i="52" s="1"/>
  <c r="K191" i="52" a="1"/>
  <c r="K191" i="52" s="1"/>
  <c r="A250" i="52" a="1"/>
  <c r="A250" i="52" s="1"/>
  <c r="A62" i="52" a="1"/>
  <c r="A62" i="52" s="1"/>
  <c r="K11" i="52" a="1"/>
  <c r="K11" i="52" s="1"/>
  <c r="B209" i="52" a="1"/>
  <c r="B209" i="52" s="1"/>
  <c r="B211" i="52" a="1"/>
  <c r="B211" i="52" s="1"/>
  <c r="K340" i="52" a="1"/>
  <c r="K340" i="52" s="1"/>
  <c r="A229" i="52" a="1"/>
  <c r="A229" i="52" s="1"/>
  <c r="B292" i="52" a="1"/>
  <c r="B292" i="52" s="1"/>
  <c r="K205" i="52" a="1"/>
  <c r="K205" i="52" s="1"/>
  <c r="A70" i="52" a="1"/>
  <c r="A70" i="52" s="1"/>
  <c r="B136" i="52" a="1"/>
  <c r="B136" i="52" s="1"/>
  <c r="B46" i="52" a="1"/>
  <c r="B46" i="52" s="1"/>
  <c r="B77" i="52" a="1"/>
  <c r="B77" i="52" s="1"/>
  <c r="A169" i="52" a="1"/>
  <c r="A169" i="52" s="1"/>
  <c r="K15" i="52" a="1"/>
  <c r="K15" i="52" s="1"/>
  <c r="A16" i="52" a="1"/>
  <c r="A16" i="52" s="1"/>
  <c r="K199" i="52" a="1"/>
  <c r="K199" i="52" s="1"/>
  <c r="K291" i="52" a="1"/>
  <c r="K291" i="52" s="1"/>
  <c r="A305" i="52" a="1"/>
  <c r="A305" i="52" s="1"/>
  <c r="B44" i="52" a="1"/>
  <c r="B44" i="52" s="1"/>
  <c r="A291" i="52" a="1"/>
  <c r="A291" i="52" s="1"/>
  <c r="K175" i="52" a="1"/>
  <c r="K175" i="52" s="1"/>
  <c r="K249" i="52" a="1"/>
  <c r="K249" i="52" s="1"/>
  <c r="K44" i="52" a="1"/>
  <c r="K44" i="52" s="1"/>
  <c r="B89" i="52" a="1"/>
  <c r="B89" i="52" s="1"/>
  <c r="K280" i="52" a="1"/>
  <c r="K280" i="52" s="1"/>
  <c r="K10" i="52" a="1"/>
  <c r="K10" i="52" s="1"/>
  <c r="A248" i="52" a="1"/>
  <c r="A248" i="52" s="1"/>
  <c r="A34" i="52" a="1"/>
  <c r="A34" i="52" s="1"/>
  <c r="A354" i="52" a="1"/>
  <c r="A354" i="52" s="1"/>
  <c r="B185" i="52" a="1"/>
  <c r="B185" i="52" s="1"/>
  <c r="K18" i="52" a="1"/>
  <c r="K18" i="52" s="1"/>
  <c r="A287" i="52" a="1"/>
  <c r="A287" i="52" s="1"/>
  <c r="K265" i="52" a="1"/>
  <c r="K265" i="52" s="1"/>
  <c r="B76" i="52" a="1"/>
  <c r="B76" i="52" s="1"/>
  <c r="A331" i="52" a="1"/>
  <c r="A331" i="52" s="1"/>
  <c r="B16" i="52" a="1"/>
  <c r="B16" i="52" s="1"/>
  <c r="A268" i="52" a="1"/>
  <c r="A268" i="52" s="1"/>
  <c r="A264" i="52" a="1"/>
  <c r="A264" i="52" s="1"/>
  <c r="B104" i="52" a="1"/>
  <c r="B104" i="52" s="1"/>
  <c r="B222" i="52" a="1"/>
  <c r="B222" i="52" s="1"/>
  <c r="B24" i="52" a="1"/>
  <c r="B24" i="52" s="1"/>
  <c r="B186" i="52" a="1"/>
  <c r="B186" i="52" s="1"/>
  <c r="A261" i="52" a="1"/>
  <c r="A261" i="52" s="1"/>
  <c r="K65" i="52" a="1"/>
  <c r="K65" i="52" s="1"/>
  <c r="B173" i="52" a="1"/>
  <c r="B173" i="52" s="1"/>
  <c r="B290" i="52" a="1"/>
  <c r="B290" i="52" s="1"/>
  <c r="A273" i="52" a="1"/>
  <c r="A273" i="52" s="1"/>
  <c r="K164" i="52" a="1"/>
  <c r="K164" i="52" s="1"/>
  <c r="B98" i="52" a="1"/>
  <c r="B98" i="52" s="1"/>
  <c r="K314" i="52" a="1"/>
  <c r="K314" i="52" s="1"/>
  <c r="B246" i="52" a="1"/>
  <c r="B246" i="52" s="1"/>
  <c r="B306" i="52" a="1"/>
  <c r="B306" i="52" s="1"/>
  <c r="B141" i="52" a="1"/>
  <c r="B141" i="52" s="1"/>
  <c r="K48" i="52" a="1"/>
  <c r="K48" i="52" s="1"/>
  <c r="K212" i="52" a="1"/>
  <c r="K212" i="52" s="1"/>
  <c r="A91" i="52" a="1"/>
  <c r="A91" i="52" s="1"/>
  <c r="B240" i="52" a="1"/>
  <c r="B240" i="52" s="1"/>
  <c r="K107" i="52" a="1"/>
  <c r="K107" i="52" s="1"/>
  <c r="A122" i="52" a="1"/>
  <c r="A122" i="52" s="1"/>
  <c r="A215" i="52" a="1"/>
  <c r="A215" i="52" s="1"/>
  <c r="K43" i="52" a="1"/>
  <c r="K43" i="52" s="1"/>
  <c r="K120" i="52" a="1"/>
  <c r="K120" i="52" s="1"/>
  <c r="A269" i="52" a="1"/>
  <c r="A269" i="52" s="1"/>
  <c r="A344" i="52" a="1"/>
  <c r="A344" i="52" s="1"/>
  <c r="A25" i="52" a="1"/>
  <c r="A25" i="52" s="1"/>
  <c r="K346" i="52" a="1"/>
  <c r="K346" i="52" s="1"/>
  <c r="K248" i="52" a="1"/>
  <c r="K248" i="52" s="1"/>
  <c r="A27" i="52" a="1"/>
  <c r="A27" i="52" s="1"/>
  <c r="B38" i="52" a="1"/>
  <c r="B38" i="52" s="1"/>
  <c r="B323" i="52" a="1"/>
  <c r="B323" i="52" s="1"/>
  <c r="B150" i="52" a="1"/>
  <c r="B150" i="52" s="1"/>
  <c r="K211" i="52" a="1"/>
  <c r="K211" i="52" s="1"/>
  <c r="K198" i="52" a="1"/>
  <c r="K198" i="52" s="1"/>
  <c r="A286" i="52" a="1"/>
  <c r="A286" i="52" s="1"/>
  <c r="B20" i="52" a="1"/>
  <c r="B20" i="52" s="1"/>
  <c r="A48" i="52" a="1"/>
  <c r="A48" i="52" s="1"/>
  <c r="A194" i="52" a="1"/>
  <c r="A194" i="52" s="1"/>
  <c r="A177" i="52" a="1"/>
  <c r="A177" i="52" s="1"/>
  <c r="K271" i="52" a="1"/>
  <c r="K271" i="52" s="1"/>
  <c r="B322" i="52" a="1"/>
  <c r="B322" i="52" s="1"/>
  <c r="B268" i="52" a="1"/>
  <c r="B268" i="52" s="1"/>
  <c r="A202" i="52" a="1"/>
  <c r="A202" i="52" s="1"/>
  <c r="A329" i="52" a="1"/>
  <c r="A329" i="52" s="1"/>
  <c r="A188" i="52" a="1"/>
  <c r="A188" i="52" s="1"/>
  <c r="B165" i="52" a="1"/>
  <c r="B165" i="52" s="1"/>
  <c r="B81" i="52" a="1"/>
  <c r="B81" i="52" s="1"/>
  <c r="A154" i="52" a="1"/>
  <c r="A154" i="52" s="1"/>
  <c r="K128" i="52" a="1"/>
  <c r="K128" i="52" s="1"/>
  <c r="K294" i="52" a="1"/>
  <c r="K294" i="52" s="1"/>
  <c r="K12" i="52" a="1"/>
  <c r="K12" i="52" s="1"/>
  <c r="B273" i="52" a="1"/>
  <c r="B273" i="52" s="1"/>
  <c r="B291" i="52" a="1"/>
  <c r="B291" i="52" s="1"/>
  <c r="K135" i="52" a="1"/>
  <c r="K135" i="52" s="1"/>
  <c r="K25" i="52" a="1"/>
  <c r="K25" i="52" s="1"/>
  <c r="A355" i="52" a="1"/>
  <c r="A355" i="52" s="1"/>
  <c r="A54" i="52" a="1"/>
  <c r="A54" i="52" s="1"/>
  <c r="K99" i="52" a="1"/>
  <c r="K99" i="52" s="1"/>
  <c r="B179" i="52" a="1"/>
  <c r="B179" i="52" s="1"/>
  <c r="B311" i="52" a="1"/>
  <c r="B311" i="52" s="1"/>
  <c r="B34" i="52" a="1"/>
  <c r="B34" i="52" s="1"/>
  <c r="K151" i="52" a="1"/>
  <c r="K151" i="52" s="1"/>
  <c r="B252" i="52" a="1"/>
  <c r="B252" i="52" s="1"/>
  <c r="K81" i="52" a="1"/>
  <c r="K81" i="52" s="1"/>
  <c r="B219" i="52" a="1"/>
  <c r="B219" i="52" s="1"/>
  <c r="A179" i="52" a="1"/>
  <c r="A179" i="52" s="1"/>
  <c r="K319" i="52" a="1"/>
  <c r="K319" i="52" s="1"/>
  <c r="A299" i="52" a="1"/>
  <c r="A299" i="52" s="1"/>
  <c r="A105" i="52" a="1"/>
  <c r="A105" i="52" s="1"/>
  <c r="K214" i="52" a="1"/>
  <c r="K214" i="52" s="1"/>
  <c r="B159" i="52" a="1"/>
  <c r="B159" i="52" s="1"/>
  <c r="A244" i="52" a="1"/>
  <c r="A244" i="52" s="1"/>
  <c r="B315" i="52" a="1"/>
  <c r="B315" i="52" s="1"/>
  <c r="A12" i="52" a="1"/>
  <c r="A12" i="52" s="1"/>
  <c r="A277" i="52" a="1"/>
  <c r="A277" i="52" s="1"/>
  <c r="B143" i="52" a="1"/>
  <c r="B143" i="52" s="1"/>
  <c r="B171" i="52" a="1"/>
  <c r="B171" i="52" s="1"/>
  <c r="K133" i="52" a="1"/>
  <c r="K133" i="52" s="1"/>
  <c r="K127" i="52" a="1"/>
  <c r="K127" i="52" s="1"/>
  <c r="A170" i="52" a="1"/>
  <c r="A170" i="52" s="1"/>
  <c r="A131" i="52" a="1"/>
  <c r="A131" i="52" s="1"/>
  <c r="A259" i="52" a="1"/>
  <c r="A259" i="52" s="1"/>
  <c r="K20" i="52" a="1"/>
  <c r="K20" i="52" s="1"/>
  <c r="A168" i="52" a="1"/>
  <c r="A168" i="52" s="1"/>
  <c r="K188" i="52" a="1"/>
  <c r="K188" i="52" s="1"/>
  <c r="B169" i="52" a="1"/>
  <c r="B169" i="52" s="1"/>
  <c r="A32" i="52" a="1"/>
  <c r="A32" i="52" s="1"/>
  <c r="K236" i="52" a="1"/>
  <c r="K236" i="52" s="1"/>
  <c r="B331" i="52" a="1"/>
  <c r="B331" i="52" s="1"/>
  <c r="B243" i="52" a="1"/>
  <c r="B243" i="52" s="1"/>
  <c r="B259" i="52" a="1"/>
  <c r="B259" i="52" s="1"/>
  <c r="B99" i="52" a="1"/>
  <c r="B99" i="52" s="1"/>
  <c r="K187" i="52" a="1"/>
  <c r="K187" i="52" s="1"/>
  <c r="K252" i="52" a="1"/>
  <c r="K252" i="52" s="1"/>
  <c r="A246" i="52" a="1"/>
  <c r="A246" i="52" s="1"/>
  <c r="A231" i="52" a="1"/>
  <c r="A231" i="52" s="1"/>
  <c r="A114" i="52" a="1"/>
  <c r="A114" i="52" s="1"/>
  <c r="B170" i="52" a="1"/>
  <c r="B170" i="52" s="1"/>
  <c r="B180" i="52" a="1"/>
  <c r="B180" i="52" s="1"/>
  <c r="A254" i="52" a="1"/>
  <c r="A254" i="52" s="1"/>
  <c r="B218" i="52" a="1"/>
  <c r="B218" i="52" s="1"/>
  <c r="K6" i="52" a="1"/>
  <c r="K6" i="52" s="1"/>
  <c r="K21" i="52" a="1"/>
  <c r="K21" i="52" s="1"/>
  <c r="K286" i="52" a="1"/>
  <c r="K286" i="52" s="1"/>
  <c r="A9" i="52" a="1"/>
  <c r="A9" i="52" s="1"/>
  <c r="A61" i="52" a="1"/>
  <c r="A61" i="52" s="1"/>
  <c r="K302" i="52" a="1"/>
  <c r="K302" i="52" s="1"/>
  <c r="A133" i="52" a="1"/>
  <c r="A133" i="52" s="1"/>
  <c r="A46" i="52" a="1"/>
  <c r="A46" i="52" s="1"/>
  <c r="B221" i="52" a="1"/>
  <c r="B221" i="52" s="1"/>
  <c r="A127" i="52" a="1"/>
  <c r="A127" i="52" s="1"/>
  <c r="B235" i="52" a="1"/>
  <c r="B235" i="52" s="1"/>
  <c r="A257" i="52" a="1"/>
  <c r="A257" i="52" s="1"/>
  <c r="A211" i="52" a="1"/>
  <c r="A211" i="52" s="1"/>
  <c r="K250" i="52" a="1"/>
  <c r="K250" i="52" s="1"/>
  <c r="A155" i="52" a="1"/>
  <c r="A155" i="52" s="1"/>
  <c r="K204" i="52" a="1"/>
  <c r="K204" i="52" s="1"/>
  <c r="B203" i="52" a="1"/>
  <c r="B203" i="52" s="1"/>
  <c r="K9" i="52" a="1"/>
  <c r="K9" i="52" s="1"/>
  <c r="A315" i="52" a="1"/>
  <c r="A315" i="52" s="1"/>
  <c r="B138" i="52" a="1"/>
  <c r="B138" i="52" s="1"/>
  <c r="K97" i="52" a="1"/>
  <c r="K97" i="52" s="1"/>
  <c r="K96" i="52" a="1"/>
  <c r="K96" i="52" s="1"/>
  <c r="B172" i="52" a="1"/>
  <c r="B172" i="52" s="1"/>
  <c r="K326" i="52" a="1"/>
  <c r="K326" i="52" s="1"/>
  <c r="A300" i="52" a="1"/>
  <c r="A300" i="52" s="1"/>
  <c r="B227" i="52" a="1"/>
  <c r="B227" i="52" s="1"/>
  <c r="B181" i="52" a="1"/>
  <c r="B181" i="52" s="1"/>
  <c r="A33" i="52" a="1"/>
  <c r="A33" i="52" s="1"/>
  <c r="B214" i="52" a="1"/>
  <c r="B214" i="52" s="1"/>
  <c r="K206" i="52" a="1"/>
  <c r="K206" i="52" s="1"/>
  <c r="K237" i="52" a="1"/>
  <c r="K237" i="52" s="1"/>
  <c r="A86" i="52" a="1"/>
  <c r="A86" i="52" s="1"/>
  <c r="K102" i="52" a="1"/>
  <c r="K102" i="52" s="1"/>
  <c r="A190" i="52" a="1"/>
  <c r="A190" i="52" s="1"/>
  <c r="A255" i="52" a="1"/>
  <c r="A255" i="52" s="1"/>
  <c r="K121" i="52" a="1"/>
  <c r="K121" i="52" s="1"/>
  <c r="B328" i="52" a="1"/>
  <c r="B328" i="52" s="1"/>
  <c r="K221" i="52" a="1"/>
  <c r="K221" i="52" s="1"/>
  <c r="A288" i="52" a="1"/>
  <c r="A288" i="52" s="1"/>
  <c r="B335" i="52" a="1"/>
  <c r="B335" i="52" s="1"/>
  <c r="A77" i="52" a="1"/>
  <c r="A77" i="52" s="1"/>
  <c r="B194" i="52" a="1"/>
  <c r="B194" i="52" s="1"/>
  <c r="K169" i="52" a="1"/>
  <c r="K169" i="52" s="1"/>
  <c r="B216" i="52" a="1"/>
  <c r="B216" i="52" s="1"/>
  <c r="K189" i="52" a="1"/>
  <c r="K189" i="52" s="1"/>
  <c r="A293" i="52" a="1"/>
  <c r="A293" i="52" s="1"/>
  <c r="A193" i="52" a="1"/>
  <c r="A193" i="52" s="1"/>
  <c r="K26" i="52" a="1"/>
  <c r="K26" i="52" s="1"/>
  <c r="B31" i="52" a="1"/>
  <c r="B31" i="52" s="1"/>
  <c r="K242" i="52" a="1"/>
  <c r="K242" i="52" s="1"/>
  <c r="B127" i="52" a="1"/>
  <c r="B127" i="52" s="1"/>
  <c r="A104" i="52" a="1"/>
  <c r="A104" i="52" s="1"/>
  <c r="K331" i="52" a="1"/>
  <c r="K331" i="52" s="1"/>
  <c r="A335" i="52" a="1"/>
  <c r="A335" i="52" s="1"/>
  <c r="B72" i="52" a="1"/>
  <c r="B72" i="52" s="1"/>
  <c r="B184" i="52" a="1"/>
  <c r="B184" i="52" s="1"/>
  <c r="B92" i="52" a="1"/>
  <c r="B92" i="52" s="1"/>
  <c r="B346" i="52" a="1"/>
  <c r="B346" i="52" s="1"/>
  <c r="K63" i="52" a="1"/>
  <c r="K63" i="52" s="1"/>
  <c r="K209" i="52" a="1"/>
  <c r="K209" i="52" s="1"/>
  <c r="B112" i="52" a="1"/>
  <c r="B112" i="52" s="1"/>
  <c r="A204" i="52" a="1"/>
  <c r="A204" i="52" s="1"/>
  <c r="K110" i="52" a="1"/>
  <c r="K110" i="52" s="1"/>
  <c r="K343" i="52" a="1"/>
  <c r="K343" i="52" s="1"/>
  <c r="B198" i="52" a="1"/>
  <c r="B198" i="52" s="1"/>
  <c r="K351" i="52" a="1"/>
  <c r="K351" i="52" s="1"/>
  <c r="K16" i="52" a="1"/>
  <c r="K16" i="52" s="1"/>
  <c r="A35" i="52" a="1"/>
  <c r="A35" i="52" s="1"/>
  <c r="A157" i="52" a="1"/>
  <c r="A157" i="52" s="1"/>
  <c r="K244" i="52" a="1"/>
  <c r="K244" i="52" s="1"/>
  <c r="B8" i="52" a="1"/>
  <c r="B8" i="52" s="1"/>
  <c r="K74" i="52" a="1"/>
  <c r="K74" i="52" s="1"/>
  <c r="K109" i="52" a="1"/>
  <c r="K109" i="52" s="1"/>
  <c r="K296" i="52" a="1"/>
  <c r="K296" i="52" s="1"/>
  <c r="K32" i="52" a="1"/>
  <c r="K32" i="52" s="1"/>
  <c r="A210" i="52" a="1"/>
  <c r="A210" i="52" s="1"/>
  <c r="A89" i="52" a="1"/>
  <c r="A89" i="52" s="1"/>
  <c r="K256" i="52" a="1"/>
  <c r="K256" i="52" s="1"/>
  <c r="K336" i="52" a="1"/>
  <c r="K336" i="52" s="1"/>
  <c r="A352" i="52" a="1"/>
  <c r="A352" i="52" s="1"/>
  <c r="K85" i="52" a="1"/>
  <c r="K85" i="52" s="1"/>
  <c r="B297" i="52" a="1"/>
  <c r="B297" i="52" s="1"/>
  <c r="K171" i="52" a="1"/>
  <c r="K171" i="52" s="1"/>
  <c r="K288" i="52" a="1"/>
  <c r="K288" i="52" s="1"/>
  <c r="B182" i="52" a="1"/>
  <c r="B182" i="52" s="1"/>
  <c r="B66" i="52" a="1"/>
  <c r="B66" i="52" s="1"/>
  <c r="A119" i="52" a="1"/>
  <c r="A119" i="52" s="1"/>
  <c r="K259" i="52" a="1"/>
  <c r="K259" i="52" s="1"/>
  <c r="B61" i="52" a="1"/>
  <c r="B61" i="52" s="1"/>
  <c r="A283" i="52" a="1"/>
  <c r="A283" i="52" s="1"/>
  <c r="A102" i="52" a="1"/>
  <c r="A102" i="52" s="1"/>
  <c r="B166" i="52" a="1"/>
  <c r="B166" i="52" s="1"/>
  <c r="K283" i="52" a="1"/>
  <c r="K283" i="52" s="1"/>
  <c r="A96" i="52" a="1"/>
  <c r="A96" i="52" s="1"/>
  <c r="K348" i="52" a="1"/>
  <c r="K348" i="52" s="1"/>
  <c r="K232" i="52" a="1"/>
  <c r="K232" i="52" s="1"/>
  <c r="A84" i="52" a="1"/>
  <c r="A84" i="52" s="1"/>
  <c r="B342" i="52" a="1"/>
  <c r="B342" i="52" s="1"/>
  <c r="K235" i="52" a="1"/>
  <c r="K235" i="52" s="1"/>
  <c r="B354" i="52" a="1"/>
  <c r="B354" i="52" s="1"/>
  <c r="B116" i="52" a="1"/>
  <c r="B116" i="52" s="1"/>
  <c r="K78" i="52" a="1"/>
  <c r="K78" i="52" s="1"/>
  <c r="K73" i="52" a="1"/>
  <c r="K73" i="52" s="1"/>
  <c r="B167" i="52" a="1"/>
  <c r="B167" i="52" s="1"/>
  <c r="A307" i="52" a="1"/>
  <c r="A307" i="52" s="1"/>
  <c r="B197" i="52" a="1"/>
  <c r="B197" i="52" s="1"/>
  <c r="K180" i="52" a="1"/>
  <c r="K180" i="52" s="1"/>
  <c r="A233" i="52" a="1"/>
  <c r="A233" i="52" s="1"/>
  <c r="K157" i="52" a="1"/>
  <c r="K157" i="52" s="1"/>
  <c r="K140" i="52" a="1"/>
  <c r="K140" i="52" s="1"/>
  <c r="K50" i="52" a="1"/>
  <c r="K50" i="52" s="1"/>
  <c r="K145" i="52" a="1"/>
  <c r="K145" i="52" s="1"/>
  <c r="B353" i="52" a="1"/>
  <c r="B353" i="52" s="1"/>
  <c r="B237" i="52" a="1"/>
  <c r="B237" i="52" s="1"/>
  <c r="A322" i="52" a="1"/>
  <c r="A322" i="52" s="1"/>
  <c r="K317" i="52" a="1"/>
  <c r="K317" i="52" s="1"/>
  <c r="B32" i="52" a="1"/>
  <c r="B32" i="52" s="1"/>
  <c r="A125" i="52" a="1"/>
  <c r="A125" i="52" s="1"/>
  <c r="A175" i="52" a="1"/>
  <c r="A175" i="52" s="1"/>
  <c r="K192" i="52" a="1"/>
  <c r="K192" i="52" s="1"/>
  <c r="A17" i="52" a="1"/>
  <c r="A17" i="52" s="1"/>
  <c r="A212" i="52" a="1"/>
  <c r="A212" i="52" s="1"/>
  <c r="K106" i="52" a="1"/>
  <c r="K106" i="52" s="1"/>
  <c r="A234" i="52" a="1"/>
  <c r="A234" i="52" s="1"/>
  <c r="B125" i="52" a="1"/>
  <c r="B125" i="52" s="1"/>
  <c r="K161" i="52" a="1"/>
  <c r="K161" i="52" s="1"/>
  <c r="B271" i="52" a="1"/>
  <c r="B271" i="52" s="1"/>
  <c r="B101" i="52" a="1"/>
  <c r="B101" i="52" s="1"/>
  <c r="K62" i="52" a="1"/>
  <c r="K62" i="52" s="1"/>
  <c r="K247" i="52" a="1"/>
  <c r="K247" i="52" s="1"/>
  <c r="B202" i="52" a="1"/>
  <c r="B202" i="52" s="1"/>
  <c r="K200" i="52" a="1"/>
  <c r="K200" i="52" s="1"/>
  <c r="B174" i="52" a="1"/>
  <c r="B174" i="52" s="1"/>
  <c r="K177" i="52" a="1"/>
  <c r="K177" i="52" s="1"/>
  <c r="B115" i="52" a="1"/>
  <c r="B115" i="52" s="1"/>
  <c r="A265" i="52" a="1"/>
  <c r="A265" i="52" s="1"/>
  <c r="B251" i="52" a="1"/>
  <c r="B251" i="52" s="1"/>
  <c r="A191" i="52" a="1"/>
  <c r="A191" i="52" s="1"/>
  <c r="B126" i="52" a="1"/>
  <c r="B126" i="52" s="1"/>
  <c r="K303" i="52" a="1"/>
  <c r="K303" i="52" s="1"/>
  <c r="B210" i="52" a="1"/>
  <c r="B210" i="52" s="1"/>
  <c r="B91" i="52" a="1"/>
  <c r="B91" i="52" s="1"/>
  <c r="K201" i="52" a="1"/>
  <c r="K201" i="52" s="1"/>
  <c r="K33" i="52" a="1"/>
  <c r="K33" i="52" s="1"/>
  <c r="A345" i="52" a="1"/>
  <c r="A345" i="52" s="1"/>
  <c r="K222" i="52" a="1"/>
  <c r="K222" i="52" s="1"/>
  <c r="K196" i="52" a="1"/>
  <c r="K196" i="52" s="1"/>
  <c r="K347" i="52" a="1"/>
  <c r="K347" i="52" s="1"/>
  <c r="B23" i="52" a="1"/>
  <c r="B23" i="52" s="1"/>
  <c r="K150" i="52" a="1"/>
  <c r="K150" i="52" s="1"/>
  <c r="B95" i="52" a="1"/>
  <c r="B95" i="52" s="1"/>
  <c r="A136" i="52" a="1"/>
  <c r="A136" i="52" s="1"/>
  <c r="K57" i="52" a="1"/>
  <c r="K57" i="52" s="1"/>
  <c r="A50" i="52" a="1"/>
  <c r="A50" i="52" s="1"/>
  <c r="A39" i="52" a="1"/>
  <c r="A39" i="52" s="1"/>
  <c r="B51" i="52" a="1"/>
  <c r="B51" i="52" s="1"/>
  <c r="A45" i="52" a="1"/>
  <c r="A45" i="52" s="1"/>
  <c r="B162" i="52" a="1"/>
  <c r="B162" i="52" s="1"/>
  <c r="B332" i="52" a="1"/>
  <c r="B332" i="52" s="1"/>
  <c r="K195" i="52" a="1"/>
  <c r="K195" i="52" s="1"/>
  <c r="B329" i="52" a="1"/>
  <c r="B329" i="52" s="1"/>
  <c r="B229" i="52" a="1"/>
  <c r="B229" i="52" s="1"/>
  <c r="B239" i="52" a="1"/>
  <c r="B239" i="52" s="1"/>
  <c r="B282" i="52" a="1"/>
  <c r="B282" i="52" s="1"/>
  <c r="K59" i="52" a="1"/>
  <c r="K59" i="52" s="1"/>
  <c r="A139" i="52" a="1"/>
  <c r="A139" i="52" s="1"/>
  <c r="A330" i="52" a="1"/>
  <c r="A330" i="52" s="1"/>
  <c r="A145" i="52" a="1"/>
  <c r="A145" i="52" s="1"/>
  <c r="A63" i="52" a="1"/>
  <c r="A63" i="52" s="1"/>
  <c r="B53" i="52" a="1"/>
  <c r="B53" i="52" s="1"/>
  <c r="A121" i="52" a="1"/>
  <c r="A121" i="52" s="1"/>
  <c r="K34" i="52" a="1"/>
  <c r="K34" i="52" s="1"/>
  <c r="B201" i="52" a="1"/>
  <c r="B201" i="52" s="1"/>
  <c r="K111" i="52" a="1"/>
  <c r="K111" i="52" s="1"/>
  <c r="K258" i="52" a="1"/>
  <c r="K258" i="52" s="1"/>
  <c r="A124" i="52" a="1"/>
  <c r="A124" i="52" s="1"/>
  <c r="A171" i="52" a="1"/>
  <c r="A171" i="52" s="1"/>
  <c r="B248" i="52" a="1"/>
  <c r="B248" i="52" s="1"/>
  <c r="K168" i="52" a="1"/>
  <c r="K168" i="52" s="1"/>
  <c r="K47" i="52" a="1"/>
  <c r="K47" i="52" s="1"/>
  <c r="B351" i="52" a="1"/>
  <c r="B351" i="52" s="1"/>
  <c r="K137" i="52" a="1"/>
  <c r="K137" i="52" s="1"/>
  <c r="B187" i="52" a="1"/>
  <c r="B187" i="52" s="1"/>
  <c r="K321" i="52" a="1"/>
  <c r="K321" i="52" s="1"/>
  <c r="K224" i="52" a="1"/>
  <c r="K224" i="52" s="1"/>
  <c r="A153" i="52" a="1"/>
  <c r="A153" i="52" s="1"/>
  <c r="B279" i="52" a="1"/>
  <c r="B279" i="52" s="1"/>
  <c r="B22" i="52" a="1"/>
  <c r="B22" i="52" s="1"/>
  <c r="K83" i="52" a="1"/>
  <c r="K83" i="52" s="1"/>
  <c r="B94" i="52" a="1"/>
  <c r="B94" i="52" s="1"/>
  <c r="B217" i="52" a="1"/>
  <c r="B217" i="52" s="1"/>
  <c r="K328" i="52" a="1"/>
  <c r="K328" i="52" s="1"/>
  <c r="B133" i="52" a="1"/>
  <c r="B133" i="52" s="1"/>
  <c r="K77" i="52" a="1"/>
  <c r="K77" i="52" s="1"/>
  <c r="A279" i="52" a="1"/>
  <c r="A279" i="52" s="1"/>
  <c r="A147" i="52" a="1"/>
  <c r="A147" i="52" s="1"/>
  <c r="B261" i="52" a="1"/>
  <c r="B261" i="52" s="1"/>
  <c r="B341" i="52" a="1"/>
  <c r="B341" i="52" s="1"/>
  <c r="A82" i="52" a="1"/>
  <c r="A82" i="52" s="1"/>
  <c r="A301" i="52" a="1"/>
  <c r="A301" i="52" s="1"/>
  <c r="A338" i="52" a="1"/>
  <c r="A338" i="52" s="1"/>
  <c r="B33" i="52" a="1"/>
  <c r="B33" i="52" s="1"/>
  <c r="B190" i="52" a="1"/>
  <c r="B190" i="52" s="1"/>
  <c r="A312" i="52" a="1"/>
  <c r="A312" i="52" s="1"/>
  <c r="B37" i="52" a="1"/>
  <c r="B37" i="52" s="1"/>
  <c r="B265" i="52" a="1"/>
  <c r="B265" i="52" s="1"/>
  <c r="A164" i="52" a="1"/>
  <c r="A164" i="52" s="1"/>
  <c r="A110" i="52" a="1"/>
  <c r="A110" i="52" s="1"/>
  <c r="B324" i="52" a="1"/>
  <c r="B324" i="52" s="1"/>
  <c r="A303" i="52" a="1"/>
  <c r="A303" i="52" s="1"/>
  <c r="K60" i="52" a="1"/>
  <c r="K60" i="52" s="1"/>
  <c r="A66" i="52" a="1"/>
  <c r="A66" i="52" s="1"/>
  <c r="K117" i="52" a="1"/>
  <c r="K117" i="52" s="1"/>
  <c r="B144" i="52" a="1"/>
  <c r="B144" i="52" s="1"/>
  <c r="B47" i="52" a="1"/>
  <c r="B47" i="52" s="1"/>
  <c r="A350" i="52" a="1"/>
  <c r="A350" i="52" s="1"/>
  <c r="B109" i="52" a="1"/>
  <c r="B109" i="52" s="1"/>
  <c r="K132" i="52" a="1"/>
  <c r="K132" i="52" s="1"/>
  <c r="A262" i="52" a="1"/>
  <c r="A262" i="52" s="1"/>
  <c r="B114" i="52" a="1"/>
  <c r="B114" i="52" s="1"/>
  <c r="B56" i="52" a="1"/>
  <c r="B56" i="52" s="1"/>
  <c r="K344" i="52" a="1"/>
  <c r="K344" i="52" s="1"/>
  <c r="A28" i="52" a="1"/>
  <c r="A28" i="52" s="1"/>
  <c r="B106" i="52" a="1"/>
  <c r="B106" i="52" s="1"/>
  <c r="B330" i="52" a="1"/>
  <c r="B330" i="52" s="1"/>
  <c r="K301" i="52" a="1"/>
  <c r="K301" i="52" s="1"/>
  <c r="A52" i="52" a="1"/>
  <c r="A52" i="52" s="1"/>
  <c r="B223" i="52" a="1"/>
  <c r="B223" i="52" s="1"/>
  <c r="A180" i="52" a="1"/>
  <c r="A180" i="52" s="1"/>
  <c r="K37" i="52" a="1"/>
  <c r="K37" i="52" s="1"/>
  <c r="K29" i="52" a="1"/>
  <c r="K29" i="52" s="1"/>
  <c r="B11" i="52" a="1"/>
  <c r="B11" i="52" s="1"/>
  <c r="B74" i="52" a="1"/>
  <c r="B74" i="52" s="1"/>
  <c r="B121" i="52" a="1"/>
  <c r="B121" i="52" s="1"/>
  <c r="B132" i="52" a="1"/>
  <c r="B132" i="52" s="1"/>
  <c r="B69" i="52" a="1"/>
  <c r="B69" i="52" s="1"/>
  <c r="A109" i="52" a="1"/>
  <c r="A109" i="52" s="1"/>
  <c r="A225" i="52" a="1"/>
  <c r="A225" i="52" s="1"/>
  <c r="B208" i="52" a="1"/>
  <c r="B208" i="52" s="1"/>
  <c r="K219" i="52" a="1"/>
  <c r="K219" i="52" s="1"/>
  <c r="B50" i="52" a="1"/>
  <c r="B50" i="52" s="1"/>
  <c r="K66" i="52" a="1"/>
  <c r="K66" i="52" s="1"/>
  <c r="A150" i="52" a="1"/>
  <c r="A150" i="52" s="1"/>
  <c r="A351" i="52" a="1"/>
  <c r="A351" i="52" s="1"/>
  <c r="A53" i="52" a="1"/>
  <c r="A53" i="52" s="1"/>
  <c r="K167" i="52" a="1"/>
  <c r="K167" i="52" s="1"/>
  <c r="K334" i="52" a="1"/>
  <c r="K334" i="52" s="1"/>
  <c r="B129" i="52" a="1"/>
  <c r="B129" i="52" s="1"/>
  <c r="K7" i="52" a="1"/>
  <c r="K7" i="52" s="1"/>
  <c r="B178" i="52" a="1"/>
  <c r="B178" i="52" s="1"/>
  <c r="K19" i="52" a="1"/>
  <c r="K19" i="52" s="1"/>
  <c r="B199" i="52" a="1"/>
  <c r="B199" i="52" s="1"/>
  <c r="A253" i="52" a="1"/>
  <c r="A253" i="52" s="1"/>
  <c r="B277" i="52" a="1"/>
  <c r="B277" i="52" s="1"/>
  <c r="K324" i="52" a="1"/>
  <c r="K324" i="52" s="1"/>
  <c r="B266" i="52" a="1"/>
  <c r="B266" i="52" s="1"/>
  <c r="B213" i="52" a="1"/>
  <c r="B213" i="52" s="1"/>
  <c r="A185" i="52" a="1"/>
  <c r="A185" i="52" s="1"/>
  <c r="B183" i="52" a="1"/>
  <c r="B183" i="52" s="1"/>
  <c r="K260" i="52" a="1"/>
  <c r="K260" i="52" s="1"/>
  <c r="B75" i="52" a="1"/>
  <c r="B75" i="52" s="1"/>
  <c r="B108" i="52" a="1"/>
  <c r="B108" i="52" s="1"/>
  <c r="A13" i="52" a="1"/>
  <c r="A13" i="52" s="1"/>
  <c r="B145" i="52" a="1"/>
  <c r="B145" i="52" s="1"/>
  <c r="B73" i="52" a="1"/>
  <c r="B73" i="52" s="1"/>
  <c r="B12" i="52" a="1"/>
  <c r="B12" i="52" s="1"/>
  <c r="A219" i="52" a="1"/>
  <c r="A219" i="52" s="1"/>
  <c r="B83" i="52" a="1"/>
  <c r="B83" i="52" s="1"/>
  <c r="A60" i="52" a="1"/>
  <c r="A60" i="52" s="1"/>
  <c r="A73" i="52" a="1"/>
  <c r="A73" i="52" s="1"/>
  <c r="K330" i="52" a="1"/>
  <c r="K330" i="52" s="1"/>
  <c r="K275" i="52" a="1"/>
  <c r="K275" i="52" s="1"/>
  <c r="K215" i="52" a="1"/>
  <c r="K215" i="52" s="1"/>
  <c r="K90" i="52" a="1"/>
  <c r="K90" i="52" s="1"/>
  <c r="B85" i="52" a="1"/>
  <c r="B85" i="52" s="1"/>
  <c r="A116" i="52" a="1"/>
  <c r="A116" i="52" s="1"/>
  <c r="K154" i="52" a="1"/>
  <c r="K154" i="52" s="1"/>
  <c r="B156" i="52" a="1"/>
  <c r="B156" i="52" s="1"/>
  <c r="A206" i="52" a="1"/>
  <c r="A206" i="52" s="1"/>
  <c r="B302" i="52" a="1"/>
  <c r="B302" i="52" s="1"/>
  <c r="K354" i="52" a="1"/>
  <c r="K354" i="52" s="1"/>
  <c r="B41" i="52" a="1"/>
  <c r="B41" i="52" s="1"/>
  <c r="A152" i="52" a="1"/>
  <c r="A152" i="52" s="1"/>
  <c r="K203" i="52" a="1"/>
  <c r="K203" i="52" s="1"/>
  <c r="A75" i="52" a="1"/>
  <c r="A75" i="52" s="1"/>
  <c r="B105" i="52" a="1"/>
  <c r="B105" i="52" s="1"/>
  <c r="B234" i="52" a="1"/>
  <c r="B234" i="52" s="1"/>
  <c r="A162" i="52" a="1"/>
  <c r="A162" i="52" s="1"/>
  <c r="B333" i="52" a="1"/>
  <c r="B333" i="52" s="1"/>
  <c r="B224" i="52" a="1"/>
  <c r="B224" i="52" s="1"/>
  <c r="A117" i="52" a="1"/>
  <c r="A117" i="52" s="1"/>
  <c r="A181" i="52" a="1"/>
  <c r="A181" i="52" s="1"/>
  <c r="A223" i="52" a="1"/>
  <c r="A223" i="52" s="1"/>
  <c r="B110" i="52" a="1"/>
  <c r="B110" i="52" s="1"/>
  <c r="A334" i="52" a="1"/>
  <c r="A334" i="52" s="1"/>
  <c r="R6" i="52"/>
  <c r="A6" i="52" s="1" a="1"/>
  <c r="A6" i="52" s="1"/>
  <c r="B152" i="52" a="1"/>
  <c r="B152" i="52" s="1"/>
  <c r="K297" i="52" a="1"/>
  <c r="K297" i="52" s="1"/>
  <c r="K341" i="52" a="1"/>
  <c r="K341" i="52" s="1"/>
  <c r="B303" i="52" a="1"/>
  <c r="B303" i="52" s="1"/>
  <c r="A343" i="52" a="1"/>
  <c r="A343" i="52" s="1"/>
  <c r="K316" i="52" a="1"/>
  <c r="K316" i="52" s="1"/>
  <c r="A55" i="52" a="1"/>
  <c r="A55" i="52" s="1"/>
  <c r="K251" i="52" a="1"/>
  <c r="K251" i="52" s="1"/>
  <c r="A281" i="52" a="1"/>
  <c r="A281" i="52" s="1"/>
  <c r="K84" i="52" a="1"/>
  <c r="K84" i="52" s="1"/>
  <c r="K105" i="52" a="1"/>
  <c r="K105" i="52" s="1"/>
  <c r="A8" i="52" a="1"/>
  <c r="A8" i="52" s="1"/>
  <c r="K108" i="52" a="1"/>
  <c r="K108" i="52" s="1"/>
  <c r="B124" i="52" a="1"/>
  <c r="B124" i="52" s="1"/>
  <c r="B19" i="52" a="1"/>
  <c r="B19" i="52" s="1"/>
  <c r="A148" i="52" a="1"/>
  <c r="A148" i="52" s="1"/>
  <c r="A339" i="52" a="1"/>
  <c r="A339" i="52" s="1"/>
  <c r="K158" i="52" a="1"/>
  <c r="K158" i="52" s="1"/>
  <c r="A203" i="52" a="1"/>
  <c r="A203" i="52" s="1"/>
  <c r="B215" i="52" a="1"/>
  <c r="B215" i="52" s="1"/>
  <c r="B189" i="52" a="1"/>
  <c r="B189" i="52" s="1"/>
  <c r="K337" i="52" a="1"/>
  <c r="K337" i="52" s="1"/>
  <c r="A242" i="52" a="1"/>
  <c r="A242" i="52" s="1"/>
  <c r="B65" i="52" a="1"/>
  <c r="B65" i="52" s="1"/>
  <c r="B228" i="52" a="1"/>
  <c r="B228" i="52" s="1"/>
  <c r="K183" i="52" a="1"/>
  <c r="K183" i="52" s="1"/>
  <c r="K322" i="52" a="1"/>
  <c r="K322" i="52" s="1"/>
  <c r="A107" i="52" a="1"/>
  <c r="A107" i="52" s="1"/>
  <c r="B119" i="52" a="1"/>
  <c r="B119" i="52" s="1"/>
  <c r="K193" i="52" a="1"/>
  <c r="K193" i="52" s="1"/>
  <c r="K241" i="52" a="1"/>
  <c r="K241" i="52" s="1"/>
  <c r="A142" i="52" a="1"/>
  <c r="A142" i="52" s="1"/>
  <c r="K166" i="52" a="1"/>
  <c r="K166" i="52" s="1"/>
  <c r="K40" i="52" a="1"/>
  <c r="K40" i="52" s="1"/>
  <c r="B226" i="52" a="1"/>
  <c r="B226" i="52" s="1"/>
  <c r="K208" i="52" a="1"/>
  <c r="K208" i="52" s="1"/>
  <c r="A146" i="52" a="1"/>
  <c r="A146" i="52" s="1"/>
  <c r="K182" i="52" a="1"/>
  <c r="K182" i="52" s="1"/>
  <c r="B87" i="52" a="1"/>
  <c r="B87" i="52" s="1"/>
  <c r="K266" i="52" a="1"/>
  <c r="K266" i="52" s="1"/>
  <c r="A42" i="52" a="1"/>
  <c r="A42" i="52" s="1"/>
  <c r="A11" i="52" a="1"/>
  <c r="A11" i="52" s="1"/>
  <c r="B30" i="52" a="1"/>
  <c r="B30" i="52" s="1"/>
  <c r="B257" i="52" a="1"/>
  <c r="B257" i="52" s="1"/>
  <c r="B122" i="52" a="1"/>
  <c r="B122" i="52" s="1"/>
  <c r="A238" i="52" a="1"/>
  <c r="A238" i="52" s="1"/>
  <c r="B43" i="52" a="1"/>
  <c r="B43" i="52" s="1"/>
  <c r="B49" i="52" a="1"/>
  <c r="B49" i="52" s="1"/>
  <c r="K123" i="52" a="1"/>
  <c r="K123" i="52" s="1"/>
  <c r="B236" i="52" a="1"/>
  <c r="B236" i="52" s="1"/>
  <c r="A237" i="52" a="1"/>
  <c r="A237" i="52" s="1"/>
  <c r="A256" i="52" a="1"/>
  <c r="A256" i="52" s="1"/>
  <c r="B298" i="52" a="1"/>
  <c r="B298" i="52" s="1"/>
  <c r="K292" i="52" a="1"/>
  <c r="K292" i="52" s="1"/>
  <c r="K92" i="52" a="1"/>
  <c r="K92" i="52" s="1"/>
  <c r="K231" i="52" a="1"/>
  <c r="K231" i="52" s="1"/>
  <c r="A68" i="52" a="1"/>
  <c r="A68" i="52" s="1"/>
  <c r="B137" i="52" a="1"/>
  <c r="B137" i="52" s="1"/>
  <c r="B247" i="52" a="1"/>
  <c r="B247" i="52" s="1"/>
  <c r="K274" i="52" a="1"/>
  <c r="K274" i="52" s="1"/>
  <c r="A228" i="52" a="1"/>
  <c r="A228" i="52" s="1"/>
  <c r="K190" i="52" a="1"/>
  <c r="K190" i="52" s="1"/>
  <c r="A174" i="52" a="1"/>
  <c r="A174" i="52" s="1"/>
  <c r="A306" i="52" a="1"/>
  <c r="A306" i="52" s="1"/>
  <c r="K278" i="52" a="1"/>
  <c r="K278" i="52" s="1"/>
  <c r="A95" i="52" a="1"/>
  <c r="A95" i="52" s="1"/>
  <c r="B26" i="52" a="1"/>
  <c r="B26" i="52" s="1"/>
  <c r="K225" i="52" a="1"/>
  <c r="K225" i="52" s="1"/>
  <c r="B68" i="52" a="1"/>
  <c r="B68" i="52" s="1"/>
  <c r="K52" i="52" a="1"/>
  <c r="K52" i="52" s="1"/>
  <c r="B200" i="52" a="1"/>
  <c r="B200" i="52" s="1"/>
  <c r="B305" i="52" a="1"/>
  <c r="B305" i="52" s="1"/>
  <c r="B349" i="52" a="1"/>
  <c r="B349" i="52" s="1"/>
  <c r="B29" i="52" a="1"/>
  <c r="B29" i="52" s="1"/>
  <c r="A59" i="52" a="1"/>
  <c r="A59" i="52" s="1"/>
  <c r="K233" i="52" a="1"/>
  <c r="K233" i="52" s="1"/>
  <c r="A348" i="52" a="1"/>
  <c r="A348" i="52" s="1"/>
  <c r="B327" i="52" a="1"/>
  <c r="B327" i="52" s="1"/>
  <c r="K179" i="52" a="1"/>
  <c r="K179" i="52" s="1"/>
  <c r="K257" i="52" a="1"/>
  <c r="K257" i="52" s="1"/>
  <c r="A200" i="52" a="1"/>
  <c r="A200" i="52" s="1"/>
  <c r="K163" i="52" a="1"/>
  <c r="K163" i="52" s="1"/>
  <c r="B18" i="52" a="1"/>
  <c r="B18" i="52" s="1"/>
  <c r="A78" i="52" a="1"/>
  <c r="A78" i="52" s="1"/>
  <c r="B340" i="52" a="1"/>
  <c r="B340" i="52" s="1"/>
  <c r="K173" i="52" a="1"/>
  <c r="K173" i="52" s="1"/>
  <c r="K174" i="52" a="1"/>
  <c r="K174" i="52" s="1"/>
  <c r="K13" i="52" a="1"/>
  <c r="K13" i="52" s="1"/>
  <c r="A349" i="52" a="1"/>
  <c r="A349" i="52" s="1"/>
  <c r="K333" i="52" a="1"/>
  <c r="K333" i="52" s="1"/>
  <c r="K88" i="52" a="1"/>
  <c r="K88" i="52" s="1"/>
  <c r="K184" i="52" a="1"/>
  <c r="K184" i="52" s="1"/>
  <c r="K272" i="52" a="1"/>
  <c r="K272" i="52" s="1"/>
  <c r="A130" i="52" a="1"/>
  <c r="A130" i="52" s="1"/>
  <c r="A37" i="52" a="1"/>
  <c r="A37" i="52" s="1"/>
  <c r="A195" i="52" a="1"/>
  <c r="A195" i="52" s="1"/>
  <c r="A64" i="52" a="1"/>
  <c r="A64" i="52" s="1"/>
  <c r="A128" i="52" a="1"/>
  <c r="A128" i="52" s="1"/>
  <c r="K28" i="52" a="1"/>
  <c r="K28" i="52" s="1"/>
  <c r="B250" i="52" a="1"/>
  <c r="B250" i="52" s="1"/>
  <c r="B207" i="52" a="1"/>
  <c r="B207" i="52" s="1"/>
  <c r="A97" i="52" a="1"/>
  <c r="A97" i="52" s="1"/>
  <c r="K152" i="52" a="1"/>
  <c r="K152" i="52" s="1"/>
  <c r="B54" i="52" a="1"/>
  <c r="B54" i="52" s="1"/>
  <c r="A272" i="52" a="1"/>
  <c r="A272" i="52" s="1"/>
  <c r="A79" i="52" a="1"/>
  <c r="A79" i="52" s="1"/>
  <c r="A158" i="52" a="1"/>
  <c r="A158" i="52" s="1"/>
  <c r="B14" i="52" a="1"/>
  <c r="B14" i="52" s="1"/>
  <c r="A186" i="52" a="1"/>
  <c r="A186" i="52" s="1"/>
  <c r="B6" i="52" a="1"/>
  <c r="B6" i="52" s="1"/>
  <c r="B347" i="52" a="1"/>
  <c r="B347" i="52" s="1"/>
  <c r="B294" i="52" a="1"/>
  <c r="B294" i="52" s="1"/>
  <c r="K112" i="52" a="1"/>
  <c r="K112" i="52" s="1"/>
  <c r="A271" i="52" a="1"/>
  <c r="A271" i="52" s="1"/>
  <c r="A302" i="52" a="1"/>
  <c r="A302" i="52" s="1"/>
  <c r="B80" i="52" a="1"/>
  <c r="B80" i="52" s="1"/>
  <c r="B17" i="52" a="1"/>
  <c r="B17" i="52" s="1"/>
  <c r="A23" i="52" a="1"/>
  <c r="A23" i="52" s="1"/>
  <c r="K35" i="52" a="1"/>
  <c r="K35" i="52" s="1"/>
  <c r="A135" i="52" a="1"/>
  <c r="A135" i="52" s="1"/>
  <c r="A292" i="52" a="1"/>
  <c r="A292" i="52" s="1"/>
  <c r="A7" i="52" a="1"/>
  <c r="A7" i="52" s="1"/>
  <c r="A172" i="52" a="1"/>
  <c r="A172" i="52" s="1"/>
  <c r="B256" i="52" a="1"/>
  <c r="B256" i="52" s="1"/>
  <c r="K335" i="52" a="1"/>
  <c r="K335" i="52" s="1"/>
  <c r="A353" i="52" a="1"/>
  <c r="A353" i="52" s="1"/>
  <c r="K186" i="52" a="1"/>
  <c r="K186" i="52" s="1"/>
  <c r="K352" i="52" a="1"/>
  <c r="K352" i="52" s="1"/>
  <c r="K41" i="52" a="1"/>
  <c r="K41" i="52" s="1"/>
  <c r="B25" i="52" a="1"/>
  <c r="B25" i="52" s="1"/>
  <c r="B45" i="52" a="1"/>
  <c r="B45" i="52" s="1"/>
  <c r="B254" i="52" a="1"/>
  <c r="B254" i="52" s="1"/>
  <c r="K329" i="52" a="1"/>
  <c r="K329" i="52" s="1"/>
  <c r="B15" i="52" a="1"/>
  <c r="B15" i="52" s="1"/>
  <c r="B299" i="52" a="1"/>
  <c r="B299" i="52" s="1"/>
  <c r="A118" i="52" a="1"/>
  <c r="A118" i="52" s="1"/>
  <c r="B304" i="52" a="1"/>
  <c r="B304" i="52" s="1"/>
  <c r="B283" i="52" a="1"/>
  <c r="B283" i="52" s="1"/>
  <c r="K246" i="52" a="1"/>
  <c r="K246" i="52" s="1"/>
  <c r="A69" i="52" a="1"/>
  <c r="A69" i="52" s="1"/>
  <c r="A278" i="52" a="1"/>
  <c r="A278" i="52" s="1"/>
  <c r="B275" i="52" a="1"/>
  <c r="B275" i="52" s="1"/>
  <c r="A316" i="52" a="1"/>
  <c r="A316" i="52" s="1"/>
  <c r="K136" i="52" a="1"/>
  <c r="K136" i="52" s="1"/>
  <c r="A72" i="52" a="1"/>
  <c r="A72" i="52" s="1"/>
  <c r="K23" i="52" a="1"/>
  <c r="K23" i="52" s="1"/>
  <c r="B326" i="52" a="1"/>
  <c r="B326" i="52" s="1"/>
  <c r="B39" i="52" a="1"/>
  <c r="B39" i="52" s="1"/>
  <c r="K71" i="52" a="1"/>
  <c r="K71" i="52" s="1"/>
  <c r="K17" i="52" a="1"/>
  <c r="K17" i="52" s="1"/>
  <c r="K197" i="52" a="1"/>
  <c r="K197" i="52" s="1"/>
  <c r="B350" i="52" a="1"/>
  <c r="B350" i="52" s="1"/>
  <c r="K339" i="52" a="1"/>
  <c r="K339" i="52" s="1"/>
  <c r="A197" i="52" a="1"/>
  <c r="A197" i="52" s="1"/>
  <c r="B161" i="52" a="1"/>
  <c r="B161" i="52" s="1"/>
  <c r="B343" i="52" a="1"/>
  <c r="B343" i="52" s="1"/>
  <c r="K98" i="52" a="1"/>
  <c r="K98" i="52" s="1"/>
  <c r="K298" i="52" a="1"/>
  <c r="K298" i="52" s="1"/>
  <c r="K312" i="52" a="1"/>
  <c r="K312" i="52" s="1"/>
  <c r="A258" i="52" a="1"/>
  <c r="A258" i="52" s="1"/>
  <c r="K263" i="52" a="1"/>
  <c r="K263" i="52" s="1"/>
  <c r="K147" i="52" a="1"/>
  <c r="K147" i="52" s="1"/>
  <c r="A208" i="52" a="1"/>
  <c r="A208" i="52" s="1"/>
  <c r="A15" i="19" a="1"/>
  <c r="A15" i="19" s="1"/>
  <c r="F76" i="19" a="1"/>
  <c r="F76" i="19" s="1"/>
  <c r="F55" i="19" a="1"/>
  <c r="F55" i="19" s="1"/>
  <c r="A32" i="19" a="1"/>
  <c r="A32" i="19" s="1"/>
  <c r="A49" i="19" a="1"/>
  <c r="A49" i="19" s="1"/>
  <c r="A9" i="19" a="1"/>
  <c r="A9" i="19" s="1"/>
  <c r="A27" i="19" a="1"/>
  <c r="A27" i="19" s="1"/>
  <c r="A56" i="19" a="1"/>
  <c r="A56" i="19" s="1"/>
  <c r="A24" i="19" a="1"/>
  <c r="A24" i="19" s="1"/>
  <c r="F53" i="19" a="1"/>
  <c r="F53" i="19" s="1"/>
  <c r="F40" i="19" a="1"/>
  <c r="F40" i="19" s="1"/>
  <c r="A28" i="19" a="1"/>
  <c r="A28" i="19" s="1"/>
  <c r="K6" i="19"/>
  <c r="A6" i="19" s="1" a="1"/>
  <c r="A6" i="19" s="1"/>
  <c r="A34" i="19" a="1"/>
  <c r="A34" i="19" s="1"/>
  <c r="F77" i="19" a="1"/>
  <c r="F77" i="19" s="1"/>
  <c r="A30" i="19" a="1"/>
  <c r="A30" i="19" s="1"/>
  <c r="A31" i="19" a="1"/>
  <c r="A31" i="19" s="1"/>
  <c r="F24" i="19" a="1"/>
  <c r="F24" i="19" s="1"/>
  <c r="A79" i="19" a="1"/>
  <c r="A79" i="19" s="1"/>
  <c r="A39" i="19" a="1"/>
  <c r="A39" i="19" s="1"/>
  <c r="A8" i="19" a="1"/>
  <c r="A8" i="19" s="1"/>
  <c r="A45" i="19" a="1"/>
  <c r="A45" i="19" s="1"/>
  <c r="A84" i="19" a="1"/>
  <c r="A84" i="19" s="1"/>
  <c r="F65" i="19" a="1"/>
  <c r="F65" i="19" s="1"/>
  <c r="A73" i="19" a="1"/>
  <c r="A73" i="19" s="1"/>
  <c r="A59" i="19" a="1"/>
  <c r="A59" i="19" s="1"/>
  <c r="F20" i="19" a="1"/>
  <c r="F20" i="19" s="1"/>
  <c r="A54" i="19" a="1"/>
  <c r="A54" i="19" s="1"/>
  <c r="A47" i="19" a="1"/>
  <c r="A47" i="19" s="1"/>
  <c r="F9" i="19" a="1"/>
  <c r="F9" i="19" s="1"/>
  <c r="F19" i="19" a="1"/>
  <c r="F19" i="19" s="1"/>
  <c r="F60" i="19" a="1"/>
  <c r="F60" i="19" s="1"/>
  <c r="A53" i="19" a="1"/>
  <c r="A53" i="19" s="1"/>
  <c r="A21" i="19" a="1"/>
  <c r="A21" i="19" s="1"/>
  <c r="F44" i="19" a="1"/>
  <c r="F44" i="19" s="1"/>
  <c r="F30" i="19" a="1"/>
  <c r="F30" i="19" s="1"/>
  <c r="F39" i="19" a="1"/>
  <c r="F39" i="19" s="1"/>
  <c r="A44" i="19" a="1"/>
  <c r="A44" i="19" s="1"/>
  <c r="A10" i="19" a="1"/>
  <c r="A10" i="19" s="1"/>
  <c r="A48" i="19" a="1"/>
  <c r="A48" i="19" s="1"/>
  <c r="F69" i="19" a="1"/>
  <c r="F69" i="19" s="1"/>
  <c r="F23" i="19" a="1"/>
  <c r="F23" i="19" s="1"/>
  <c r="A62" i="19" a="1"/>
  <c r="A62" i="19" s="1"/>
  <c r="F74" i="19" a="1"/>
  <c r="F74" i="19" s="1"/>
  <c r="F75" i="19" a="1"/>
  <c r="F75" i="19" s="1"/>
  <c r="A81" i="19" a="1"/>
  <c r="A81" i="19" s="1"/>
  <c r="F29" i="19" a="1"/>
  <c r="F29" i="19" s="1"/>
  <c r="F71" i="19" a="1"/>
  <c r="F71" i="19" s="1"/>
  <c r="A12" i="19" a="1"/>
  <c r="A12" i="19" s="1"/>
  <c r="A75" i="19" a="1"/>
  <c r="A75" i="19" s="1"/>
  <c r="F84" i="19" a="1"/>
  <c r="F84" i="19" s="1"/>
  <c r="F70" i="19" a="1"/>
  <c r="F70" i="19" s="1"/>
  <c r="A69" i="19" a="1"/>
  <c r="A69" i="19" s="1"/>
  <c r="F42" i="19" a="1"/>
  <c r="F42" i="19" s="1"/>
  <c r="A80" i="19" a="1"/>
  <c r="A80" i="19" s="1"/>
  <c r="F43" i="19" a="1"/>
  <c r="F43" i="19" s="1"/>
  <c r="F7" i="19" a="1"/>
  <c r="F7" i="19" s="1"/>
  <c r="A37" i="19" a="1"/>
  <c r="A37" i="19" s="1"/>
  <c r="F35" i="19" a="1"/>
  <c r="F35" i="19" s="1"/>
  <c r="A18" i="19" a="1"/>
  <c r="A18" i="19" s="1"/>
  <c r="F66" i="19" a="1"/>
  <c r="F66" i="19" s="1"/>
  <c r="A23" i="19" a="1"/>
  <c r="A23" i="19" s="1"/>
  <c r="F46" i="19" a="1"/>
  <c r="F46" i="19" s="1"/>
  <c r="F6" i="19" a="1"/>
  <c r="F6" i="19" s="1"/>
  <c r="A64" i="19" a="1"/>
  <c r="A64" i="19" s="1"/>
  <c r="F58" i="19" a="1"/>
  <c r="F58" i="19" s="1"/>
  <c r="A33" i="19" a="1"/>
  <c r="A33" i="19" s="1"/>
  <c r="A77" i="19" a="1"/>
  <c r="A77" i="19" s="1"/>
  <c r="A71" i="19" a="1"/>
  <c r="A71" i="19" s="1"/>
  <c r="F73" i="19" a="1"/>
  <c r="F73" i="19" s="1"/>
  <c r="F81" i="19" a="1"/>
  <c r="F81" i="19" s="1"/>
  <c r="A83" i="19" a="1"/>
  <c r="A83" i="19" s="1"/>
  <c r="F10" i="19" a="1"/>
  <c r="F10" i="19" s="1"/>
  <c r="A38" i="19" a="1"/>
  <c r="A38" i="19" s="1"/>
  <c r="F62" i="19" a="1"/>
  <c r="F62" i="19" s="1"/>
  <c r="F33" i="19" a="1"/>
  <c r="F33" i="19" s="1"/>
  <c r="F83" i="19" a="1"/>
  <c r="F83" i="19" s="1"/>
  <c r="F85" i="19" a="1"/>
  <c r="F85" i="19" s="1"/>
  <c r="A22" i="19" a="1"/>
  <c r="A22" i="19" s="1"/>
  <c r="A57" i="19" a="1"/>
  <c r="A57" i="19" s="1"/>
  <c r="A85" i="19" a="1"/>
  <c r="A85" i="19" s="1"/>
  <c r="A67" i="19" a="1"/>
  <c r="A67" i="19" s="1"/>
  <c r="A17" i="19" a="1"/>
  <c r="A17" i="19" s="1"/>
  <c r="F8" i="19" a="1"/>
  <c r="F8" i="19" s="1"/>
  <c r="F14" i="19" a="1"/>
  <c r="F14" i="19" s="1"/>
  <c r="F18" i="19" a="1"/>
  <c r="F18" i="19" s="1"/>
  <c r="A25" i="19" a="1"/>
  <c r="A25" i="19" s="1"/>
  <c r="F59" i="19" a="1"/>
  <c r="F59" i="19" s="1"/>
  <c r="A46" i="19" a="1"/>
  <c r="A46" i="19" s="1"/>
  <c r="F15" i="19" a="1"/>
  <c r="F15" i="19" s="1"/>
  <c r="F21" i="19" a="1"/>
  <c r="F21" i="19" s="1"/>
  <c r="A36" i="19" a="1"/>
  <c r="A36" i="19" s="1"/>
  <c r="A20" i="19" a="1"/>
  <c r="A20" i="19" s="1"/>
  <c r="F12" i="19" a="1"/>
  <c r="F12" i="19" s="1"/>
  <c r="A43" i="19" a="1"/>
  <c r="A43" i="19" s="1"/>
  <c r="F61" i="19" a="1"/>
  <c r="F61" i="19" s="1"/>
  <c r="F31" i="19" a="1"/>
  <c r="F31" i="19" s="1"/>
  <c r="F48" i="19" a="1"/>
  <c r="F48" i="19" s="1"/>
  <c r="A70" i="19" a="1"/>
  <c r="A70" i="19" s="1"/>
  <c r="F32" i="19" a="1"/>
  <c r="F32" i="19" s="1"/>
  <c r="A82" i="19" a="1"/>
  <c r="A82" i="19" s="1"/>
  <c r="F27" i="19" a="1"/>
  <c r="F27" i="19" s="1"/>
  <c r="A40" i="19" a="1"/>
  <c r="A40" i="19" s="1"/>
  <c r="F17" i="19" a="1"/>
  <c r="F17" i="19" s="1"/>
  <c r="F67" i="19" a="1"/>
  <c r="F67" i="19" s="1"/>
  <c r="A78" i="19" a="1"/>
  <c r="A78" i="19" s="1"/>
  <c r="A50" i="19" a="1"/>
  <c r="A50" i="19" s="1"/>
  <c r="F72" i="19" a="1"/>
  <c r="F72" i="19" s="1"/>
  <c r="F37" i="19" a="1"/>
  <c r="F37" i="19" s="1"/>
  <c r="F51" i="19" a="1"/>
  <c r="F51" i="19" s="1"/>
  <c r="F49" i="19" a="1"/>
  <c r="F49" i="19" s="1"/>
  <c r="A74" i="19" a="1"/>
  <c r="A74" i="19" s="1"/>
  <c r="F50" i="19" a="1"/>
  <c r="F50" i="19" s="1"/>
  <c r="F52" i="19" a="1"/>
  <c r="F52" i="19" s="1"/>
  <c r="A29" i="19" a="1"/>
  <c r="A29" i="19" s="1"/>
  <c r="F54" i="19" a="1"/>
  <c r="F54" i="19" s="1"/>
  <c r="A55" i="19" a="1"/>
  <c r="A55" i="19" s="1"/>
  <c r="A13" i="19" a="1"/>
  <c r="A13" i="19" s="1"/>
  <c r="F13" i="19" a="1"/>
  <c r="F13" i="19" s="1"/>
  <c r="F41" i="19" a="1"/>
  <c r="F41" i="19" s="1"/>
  <c r="F36" i="19" a="1"/>
  <c r="F36" i="19" s="1"/>
  <c r="F82" i="19" a="1"/>
  <c r="F82" i="19" s="1"/>
  <c r="F28" i="19" a="1"/>
  <c r="F28" i="19" s="1"/>
  <c r="A35" i="19" a="1"/>
  <c r="A35" i="19" s="1"/>
  <c r="A72" i="19" a="1"/>
  <c r="A72" i="19" s="1"/>
  <c r="A7" i="19" a="1"/>
  <c r="A7" i="19" s="1"/>
  <c r="F34" i="19" a="1"/>
  <c r="F34" i="19" s="1"/>
  <c r="A76" i="19" a="1"/>
  <c r="A76" i="19" s="1"/>
  <c r="A63" i="19" a="1"/>
  <c r="A63" i="19" s="1"/>
  <c r="F63" i="19" a="1"/>
  <c r="F63" i="19" s="1"/>
  <c r="F38" i="19" a="1"/>
  <c r="F38" i="19" s="1"/>
  <c r="A61" i="19" a="1"/>
  <c r="A61" i="19" s="1"/>
  <c r="A16" i="19" a="1"/>
  <c r="A16" i="19" s="1"/>
  <c r="F78" i="19" a="1"/>
  <c r="F78" i="19" s="1"/>
  <c r="F11" i="19" a="1"/>
  <c r="F11" i="19" s="1"/>
  <c r="A42" i="19" a="1"/>
  <c r="A42" i="19" s="1"/>
  <c r="F25" i="19" a="1"/>
  <c r="F25" i="19" s="1"/>
  <c r="F45" i="19" a="1"/>
  <c r="F45" i="19" s="1"/>
  <c r="F16" i="19" a="1"/>
  <c r="F16" i="19" s="1"/>
  <c r="F57" i="19" a="1"/>
  <c r="F57" i="19" s="1"/>
  <c r="A26" i="19" a="1"/>
  <c r="A26" i="19" s="1"/>
  <c r="F68" i="19" a="1"/>
  <c r="F68" i="19" s="1"/>
  <c r="A66" i="19" a="1"/>
  <c r="A66" i="19" s="1"/>
  <c r="F26" i="19" a="1"/>
  <c r="F26" i="19" s="1"/>
  <c r="F47" i="19" a="1"/>
  <c r="F47" i="19" s="1"/>
  <c r="F80" i="19" a="1"/>
  <c r="F80" i="19" s="1"/>
  <c r="F22" i="19" a="1"/>
  <c r="F22" i="19" s="1"/>
  <c r="A14" i="19" a="1"/>
  <c r="A14" i="19" s="1"/>
  <c r="A65" i="19" a="1"/>
  <c r="A65" i="19" s="1"/>
  <c r="A60" i="19" a="1"/>
  <c r="A60" i="19" s="1"/>
  <c r="A68" i="19" a="1"/>
  <c r="A68" i="19" s="1"/>
  <c r="A52" i="19" a="1"/>
  <c r="A52" i="19" s="1"/>
  <c r="A41" i="19" a="1"/>
  <c r="A41" i="19" s="1"/>
  <c r="F64" i="19" a="1"/>
  <c r="F64" i="19" s="1"/>
  <c r="F29" i="22" a="1"/>
  <c r="F29" i="22" s="1"/>
  <c r="F32" i="21" a="1"/>
  <c r="F32" i="21" s="1"/>
  <c r="A72" i="21" a="1"/>
  <c r="A72" i="21" s="1"/>
  <c r="F71" i="22" a="1"/>
  <c r="F71" i="22" s="1"/>
  <c r="A47" i="21" a="1"/>
  <c r="A47" i="21" s="1"/>
  <c r="F34" i="22" a="1"/>
  <c r="F34" i="22" s="1"/>
  <c r="A74" i="22" a="1"/>
  <c r="A74" i="22" s="1"/>
  <c r="E74" i="22" s="1"/>
  <c r="A38" i="22" a="1"/>
  <c r="A38" i="22" s="1"/>
  <c r="E38" i="22" s="1"/>
  <c r="A56" i="22" a="1"/>
  <c r="A56" i="22" s="1"/>
  <c r="G56" i="22" s="1"/>
  <c r="A73" i="22" a="1"/>
  <c r="A73" i="22" s="1"/>
  <c r="F52" i="91" a="1"/>
  <c r="F52" i="91" s="1"/>
  <c r="F74" i="91" a="1"/>
  <c r="F74" i="91" s="1"/>
  <c r="F13" i="91" a="1"/>
  <c r="F13" i="91" s="1"/>
  <c r="A63" i="91" a="1"/>
  <c r="A63" i="91" s="1"/>
  <c r="F10" i="91" a="1"/>
  <c r="F10" i="91" s="1"/>
  <c r="A35" i="91" a="1"/>
  <c r="A35" i="91" s="1"/>
  <c r="A44" i="91" a="1"/>
  <c r="A44" i="91" s="1"/>
  <c r="A75" i="91" a="1"/>
  <c r="A75" i="91" s="1"/>
  <c r="F47" i="91" a="1"/>
  <c r="F47" i="91" s="1"/>
  <c r="A59" i="91" a="1"/>
  <c r="A59" i="91" s="1"/>
  <c r="F71" i="91" a="1"/>
  <c r="F71" i="91" s="1"/>
  <c r="A73" i="91" a="1"/>
  <c r="A73" i="91" s="1"/>
  <c r="A15" i="91" a="1"/>
  <c r="A15" i="91" s="1"/>
  <c r="A55" i="91" a="1"/>
  <c r="A55" i="91" s="1"/>
  <c r="F23" i="91" a="1"/>
  <c r="F23" i="91" s="1"/>
  <c r="A74" i="91" a="1"/>
  <c r="A74" i="91" s="1"/>
  <c r="F60" i="91" a="1"/>
  <c r="F60" i="91" s="1"/>
  <c r="A65" i="91" a="1"/>
  <c r="A65" i="91" s="1"/>
  <c r="F21" i="91" a="1"/>
  <c r="F21" i="91" s="1"/>
  <c r="F70" i="91" a="1"/>
  <c r="F70" i="91" s="1"/>
  <c r="A33" i="91" a="1"/>
  <c r="A33" i="91" s="1"/>
  <c r="A36" i="91" a="1"/>
  <c r="A36" i="91" s="1"/>
  <c r="F78" i="91" a="1"/>
  <c r="F78" i="91" s="1"/>
  <c r="F8" i="91" a="1"/>
  <c r="F8" i="91" s="1"/>
  <c r="F39" i="91" a="1"/>
  <c r="F39" i="91" s="1"/>
  <c r="A28" i="91" a="1"/>
  <c r="A28" i="91" s="1"/>
  <c r="A58" i="91" a="1"/>
  <c r="A58" i="91" s="1"/>
  <c r="F42" i="91" a="1"/>
  <c r="F42" i="91" s="1"/>
  <c r="A11" i="91" a="1"/>
  <c r="A11" i="91" s="1"/>
  <c r="A67" i="91" a="1"/>
  <c r="A67" i="91" s="1"/>
  <c r="A85" i="91" a="1"/>
  <c r="A85" i="91" s="1"/>
  <c r="A29" i="91" a="1"/>
  <c r="A29" i="91" s="1"/>
  <c r="F29" i="91" a="1"/>
  <c r="F29" i="91" s="1"/>
  <c r="F69" i="91" a="1"/>
  <c r="F69" i="91" s="1"/>
  <c r="F57" i="91" a="1"/>
  <c r="F57" i="91" s="1"/>
  <c r="A64" i="91" a="1"/>
  <c r="A64" i="91" s="1"/>
  <c r="A23" i="91" a="1"/>
  <c r="A23" i="91" s="1"/>
  <c r="A77" i="91" a="1"/>
  <c r="A77" i="91" s="1"/>
  <c r="F46" i="91" a="1"/>
  <c r="F46" i="91" s="1"/>
  <c r="F66" i="91" a="1"/>
  <c r="F66" i="91" s="1"/>
  <c r="F14" i="91" a="1"/>
  <c r="F14" i="91" s="1"/>
  <c r="F9" i="91" a="1"/>
  <c r="F9" i="91" s="1"/>
  <c r="A60" i="91" a="1"/>
  <c r="A60" i="91" s="1"/>
  <c r="F73" i="91" a="1"/>
  <c r="F73" i="91" s="1"/>
  <c r="F83" i="91" a="1"/>
  <c r="F83" i="91" s="1"/>
  <c r="A32" i="91" a="1"/>
  <c r="A32" i="91" s="1"/>
  <c r="F18" i="91" a="1"/>
  <c r="F18" i="91" s="1"/>
  <c r="A34" i="91" a="1"/>
  <c r="A34" i="91" s="1"/>
  <c r="A16" i="91" a="1"/>
  <c r="A16" i="91" s="1"/>
  <c r="A76" i="91" a="1"/>
  <c r="A76" i="91" s="1"/>
  <c r="F53" i="91" a="1"/>
  <c r="F53" i="91" s="1"/>
  <c r="F20" i="91" a="1"/>
  <c r="F20" i="91" s="1"/>
  <c r="F65" i="91" a="1"/>
  <c r="F65" i="91" s="1"/>
  <c r="F85" i="91" a="1"/>
  <c r="F85" i="91" s="1"/>
  <c r="A37" i="91" a="1"/>
  <c r="A37" i="91" s="1"/>
  <c r="A24" i="91" a="1"/>
  <c r="A24" i="91" s="1"/>
  <c r="F48" i="91" a="1"/>
  <c r="F48" i="91" s="1"/>
  <c r="F32" i="91" a="1"/>
  <c r="F32" i="91" s="1"/>
  <c r="A81" i="91" a="1"/>
  <c r="A81" i="91" s="1"/>
  <c r="F84" i="91" a="1"/>
  <c r="F84" i="91" s="1"/>
  <c r="A38" i="91" a="1"/>
  <c r="A38" i="91" s="1"/>
  <c r="A30" i="91" a="1"/>
  <c r="A30" i="91" s="1"/>
  <c r="A79" i="91" a="1"/>
  <c r="A79" i="91" s="1"/>
  <c r="F51" i="91" a="1"/>
  <c r="F51" i="91" s="1"/>
  <c r="A40" i="91" a="1"/>
  <c r="A40" i="91" s="1"/>
  <c r="A70" i="91" a="1"/>
  <c r="A70" i="91" s="1"/>
  <c r="A41" i="91" a="1"/>
  <c r="A41" i="91" s="1"/>
  <c r="F67" i="91" a="1"/>
  <c r="F67" i="91" s="1"/>
  <c r="A68" i="91" a="1"/>
  <c r="A68" i="91" s="1"/>
  <c r="A69" i="91" a="1"/>
  <c r="A69" i="91" s="1"/>
  <c r="A14" i="91" a="1"/>
  <c r="A14" i="91" s="1"/>
  <c r="F77" i="91" a="1"/>
  <c r="F77" i="91" s="1"/>
  <c r="F35" i="91" a="1"/>
  <c r="F35" i="91" s="1"/>
  <c r="A21" i="91" a="1"/>
  <c r="A21" i="91" s="1"/>
  <c r="A72" i="91" a="1"/>
  <c r="A72" i="91" s="1"/>
  <c r="F25" i="91" a="1"/>
  <c r="F25" i="91" s="1"/>
  <c r="F36" i="91" a="1"/>
  <c r="F36" i="91" s="1"/>
  <c r="F17" i="91" a="1"/>
  <c r="F17" i="91" s="1"/>
  <c r="A47" i="91" a="1"/>
  <c r="A47" i="91" s="1"/>
  <c r="A42" i="91" a="1"/>
  <c r="A42" i="91" s="1"/>
  <c r="A57" i="91" a="1"/>
  <c r="A57" i="91" s="1"/>
  <c r="F54" i="91" a="1"/>
  <c r="F54" i="91" s="1"/>
  <c r="F28" i="91" a="1"/>
  <c r="F28" i="91" s="1"/>
  <c r="A22" i="91" a="1"/>
  <c r="A22" i="91" s="1"/>
  <c r="A39" i="91" a="1"/>
  <c r="A39" i="91" s="1"/>
  <c r="F44" i="91" a="1"/>
  <c r="F44" i="91" s="1"/>
  <c r="F72" i="91" a="1"/>
  <c r="F72" i="91" s="1"/>
  <c r="F41" i="91" a="1"/>
  <c r="F41" i="91" s="1"/>
  <c r="F19" i="91" a="1"/>
  <c r="F19" i="91" s="1"/>
  <c r="F30" i="91" a="1"/>
  <c r="F30" i="91" s="1"/>
  <c r="F45" i="91" a="1"/>
  <c r="F45" i="91" s="1"/>
  <c r="A43" i="91" a="1"/>
  <c r="A43" i="91" s="1"/>
  <c r="A66" i="91" a="1"/>
  <c r="A66" i="91" s="1"/>
  <c r="K6" i="91"/>
  <c r="A6" i="91" s="1" a="1"/>
  <c r="A6" i="91" s="1"/>
  <c r="A9" i="91" a="1"/>
  <c r="A9" i="91" s="1"/>
  <c r="F22" i="91" a="1"/>
  <c r="F22" i="91" s="1"/>
  <c r="A20" i="91" a="1"/>
  <c r="A20" i="91" s="1"/>
  <c r="A80" i="91" a="1"/>
  <c r="A80" i="91" s="1"/>
  <c r="A12" i="91" a="1"/>
  <c r="A12" i="91" s="1"/>
  <c r="A25" i="91" a="1"/>
  <c r="A25" i="91" s="1"/>
  <c r="F56" i="91" a="1"/>
  <c r="F56" i="91" s="1"/>
  <c r="F79" i="91" a="1"/>
  <c r="F79" i="91" s="1"/>
  <c r="F40" i="91" a="1"/>
  <c r="F40" i="91" s="1"/>
  <c r="A18" i="91" a="1"/>
  <c r="A18" i="91" s="1"/>
  <c r="A84" i="91" a="1"/>
  <c r="A84" i="91" s="1"/>
  <c r="F49" i="91" a="1"/>
  <c r="F49" i="91" s="1"/>
  <c r="F64" i="91" a="1"/>
  <c r="F64" i="91" s="1"/>
  <c r="F59" i="91" a="1"/>
  <c r="F59" i="91" s="1"/>
  <c r="F80" i="91" a="1"/>
  <c r="F80" i="91" s="1"/>
  <c r="A13" i="91" a="1"/>
  <c r="A13" i="91" s="1"/>
  <c r="A51" i="91" a="1"/>
  <c r="A51" i="91" s="1"/>
  <c r="A54" i="91" a="1"/>
  <c r="A54" i="91" s="1"/>
  <c r="A7" i="91" a="1"/>
  <c r="A7" i="91" s="1"/>
  <c r="B7" i="91" s="1"/>
  <c r="F16" i="91" a="1"/>
  <c r="F16" i="91" s="1"/>
  <c r="F26" i="91" a="1"/>
  <c r="F26" i="91" s="1"/>
  <c r="A82" i="91" a="1"/>
  <c r="A82" i="91" s="1"/>
  <c r="F82" i="91" a="1"/>
  <c r="F82" i="91" s="1"/>
  <c r="F24" i="91" a="1"/>
  <c r="F24" i="91" s="1"/>
  <c r="A56" i="91" a="1"/>
  <c r="A56" i="91" s="1"/>
  <c r="A78" i="91" a="1"/>
  <c r="A78" i="91" s="1"/>
  <c r="F81" i="91" a="1"/>
  <c r="F81" i="91" s="1"/>
  <c r="A83" i="91" a="1"/>
  <c r="A83" i="91" s="1"/>
  <c r="F75" i="91" a="1"/>
  <c r="F75" i="91" s="1"/>
  <c r="F11" i="91" a="1"/>
  <c r="F11" i="91" s="1"/>
  <c r="F55" i="91" a="1"/>
  <c r="F55" i="91" s="1"/>
  <c r="A49" i="91" a="1"/>
  <c r="A49" i="91" s="1"/>
  <c r="F34" i="91" a="1"/>
  <c r="F34" i="91" s="1"/>
  <c r="A62" i="91" a="1"/>
  <c r="A62" i="91" s="1"/>
  <c r="F68" i="91" a="1"/>
  <c r="F68" i="91" s="1"/>
  <c r="A27" i="91" a="1"/>
  <c r="A27" i="91" s="1"/>
  <c r="F15" i="91" a="1"/>
  <c r="F15" i="91" s="1"/>
  <c r="A52" i="91" a="1"/>
  <c r="A52" i="91" s="1"/>
  <c r="F33" i="91" a="1"/>
  <c r="F33" i="91" s="1"/>
  <c r="F62" i="91" a="1"/>
  <c r="F62" i="91" s="1"/>
  <c r="A46" i="91" a="1"/>
  <c r="A46" i="91" s="1"/>
  <c r="A53" i="91" a="1"/>
  <c r="A53" i="91" s="1"/>
  <c r="F31" i="91" a="1"/>
  <c r="F31" i="91" s="1"/>
  <c r="F6" i="91" a="1"/>
  <c r="F6" i="91" s="1"/>
  <c r="A61" i="91" a="1"/>
  <c r="A61" i="91" s="1"/>
  <c r="A10" i="91" a="1"/>
  <c r="A10" i="91" s="1"/>
  <c r="F43" i="91" a="1"/>
  <c r="F43" i="91" s="1"/>
  <c r="A26" i="91" a="1"/>
  <c r="A26" i="91" s="1"/>
  <c r="A8" i="91" a="1"/>
  <c r="A8" i="91" s="1"/>
  <c r="F27" i="91" a="1"/>
  <c r="F27" i="91" s="1"/>
  <c r="F61" i="91" a="1"/>
  <c r="F61" i="91" s="1"/>
  <c r="F76" i="91" a="1"/>
  <c r="F76" i="91" s="1"/>
  <c r="A50" i="91" a="1"/>
  <c r="A50" i="91" s="1"/>
  <c r="F12" i="91" a="1"/>
  <c r="F12" i="91" s="1"/>
  <c r="A19" i="91" a="1"/>
  <c r="A19" i="91" s="1"/>
  <c r="A60" i="22" a="1"/>
  <c r="A60" i="22" s="1"/>
  <c r="B60" i="22" s="1"/>
  <c r="A33" i="22" a="1"/>
  <c r="A33" i="22" s="1"/>
  <c r="F56" i="22" a="1"/>
  <c r="F56" i="22" s="1"/>
  <c r="F19" i="22" a="1"/>
  <c r="F19" i="22" s="1"/>
  <c r="J287" i="49" a="1"/>
  <c r="J287" i="49" s="1"/>
  <c r="A208" i="49" a="1"/>
  <c r="A208" i="49" s="1"/>
  <c r="J63" i="49" a="1"/>
  <c r="J63" i="49" s="1"/>
  <c r="B226" i="49" a="1"/>
  <c r="B226" i="49" s="1"/>
  <c r="B77" i="49" a="1"/>
  <c r="B77" i="49" s="1"/>
  <c r="A229" i="49" a="1"/>
  <c r="A229" i="49" s="1"/>
  <c r="J35" i="49" a="1"/>
  <c r="J35" i="49" s="1"/>
  <c r="A192" i="49" a="1"/>
  <c r="A192" i="49" s="1"/>
  <c r="B109" i="49" a="1"/>
  <c r="B109" i="49" s="1"/>
  <c r="A116" i="49" a="1"/>
  <c r="A116" i="49" s="1"/>
  <c r="B185" i="49" a="1"/>
  <c r="B185" i="49" s="1"/>
  <c r="B105" i="49" a="1"/>
  <c r="B105" i="49" s="1"/>
  <c r="J153" i="49" a="1"/>
  <c r="J153" i="49" s="1"/>
  <c r="A66" i="49" a="1"/>
  <c r="A66" i="49" s="1"/>
  <c r="B318" i="49" a="1"/>
  <c r="B318" i="49" s="1"/>
  <c r="A52" i="49" a="1"/>
  <c r="A52" i="49" s="1"/>
  <c r="J286" i="49" a="1"/>
  <c r="J286" i="49" s="1"/>
  <c r="B334" i="49" a="1"/>
  <c r="B334" i="49" s="1"/>
  <c r="J20" i="49" a="1"/>
  <c r="J20" i="49" s="1"/>
  <c r="A119" i="49" a="1"/>
  <c r="A119" i="49" s="1"/>
  <c r="B275" i="49" a="1"/>
  <c r="B275" i="49" s="1"/>
  <c r="A352" i="49" a="1"/>
  <c r="A352" i="49" s="1"/>
  <c r="A200" i="49" a="1"/>
  <c r="A200" i="49" s="1"/>
  <c r="J283" i="49" a="1"/>
  <c r="J283" i="49" s="1"/>
  <c r="B98" i="49" a="1"/>
  <c r="B98" i="49" s="1"/>
  <c r="A68" i="49" a="1"/>
  <c r="A68" i="49" s="1"/>
  <c r="A342" i="49" a="1"/>
  <c r="A342" i="49" s="1"/>
  <c r="A129" i="49" a="1"/>
  <c r="A129" i="49" s="1"/>
  <c r="B104" i="49" a="1"/>
  <c r="B104" i="49" s="1"/>
  <c r="J159" i="49" a="1"/>
  <c r="J159" i="49" s="1"/>
  <c r="A45" i="49" a="1"/>
  <c r="A45" i="49" s="1"/>
  <c r="B327" i="49" a="1"/>
  <c r="B327" i="49" s="1"/>
  <c r="B210" i="49" a="1"/>
  <c r="B210" i="49" s="1"/>
  <c r="B29" i="49" a="1"/>
  <c r="B29" i="49" s="1"/>
  <c r="A282" i="49" a="1"/>
  <c r="A282" i="49" s="1"/>
  <c r="B110" i="49" a="1"/>
  <c r="B110" i="49" s="1"/>
  <c r="A53" i="49" a="1"/>
  <c r="A53" i="49" s="1"/>
  <c r="A142" i="49" a="1"/>
  <c r="A142" i="49" s="1"/>
  <c r="A80" i="49" a="1"/>
  <c r="A80" i="49" s="1"/>
  <c r="B44" i="49" a="1"/>
  <c r="B44" i="49" s="1"/>
  <c r="A221" i="49" a="1"/>
  <c r="A221" i="49" s="1"/>
  <c r="J134" i="49" a="1"/>
  <c r="J134" i="49" s="1"/>
  <c r="A155" i="49" a="1"/>
  <c r="A155" i="49" s="1"/>
  <c r="J161" i="49" a="1"/>
  <c r="J161" i="49" s="1"/>
  <c r="B106" i="49" a="1"/>
  <c r="B106" i="49" s="1"/>
  <c r="J28" i="49" a="1"/>
  <c r="J28" i="49" s="1"/>
  <c r="A346" i="49" a="1"/>
  <c r="A346" i="49" s="1"/>
  <c r="B247" i="49" a="1"/>
  <c r="B247" i="49" s="1"/>
  <c r="J152" i="49" a="1"/>
  <c r="J152" i="49" s="1"/>
  <c r="B64" i="49" a="1"/>
  <c r="B64" i="49" s="1"/>
  <c r="A306" i="49" a="1"/>
  <c r="A306" i="49" s="1"/>
  <c r="A223" i="49" a="1"/>
  <c r="A223" i="49" s="1"/>
  <c r="J34" i="49" a="1"/>
  <c r="J34" i="49" s="1"/>
  <c r="A188" i="49" a="1"/>
  <c r="A188" i="49" s="1"/>
  <c r="J58" i="49" a="1"/>
  <c r="J58" i="49" s="1"/>
  <c r="A186" i="49" a="1"/>
  <c r="A186" i="49" s="1"/>
  <c r="B67" i="49" a="1"/>
  <c r="B67" i="49" s="1"/>
  <c r="A41" i="49" a="1"/>
  <c r="A41" i="49" s="1"/>
  <c r="A271" i="49" a="1"/>
  <c r="A271" i="49" s="1"/>
  <c r="B325" i="49" a="1"/>
  <c r="B325" i="49" s="1"/>
  <c r="B183" i="49" a="1"/>
  <c r="B183" i="49" s="1"/>
  <c r="B159" i="49" a="1"/>
  <c r="B159" i="49" s="1"/>
  <c r="A98" i="49" a="1"/>
  <c r="A98" i="49" s="1"/>
  <c r="J79" i="49" a="1"/>
  <c r="J79" i="49" s="1"/>
  <c r="A330" i="49" a="1"/>
  <c r="A330" i="49" s="1"/>
  <c r="J215" i="49" a="1"/>
  <c r="J215" i="49" s="1"/>
  <c r="J305" i="49" a="1"/>
  <c r="J305" i="49" s="1"/>
  <c r="B222" i="49" a="1"/>
  <c r="B222" i="49" s="1"/>
  <c r="B264" i="49" a="1"/>
  <c r="B264" i="49" s="1"/>
  <c r="B85" i="49" a="1"/>
  <c r="B85" i="49" s="1"/>
  <c r="J96" i="49" a="1"/>
  <c r="J96" i="49" s="1"/>
  <c r="A236" i="49" a="1"/>
  <c r="A236" i="49" s="1"/>
  <c r="A105" i="49" a="1"/>
  <c r="A105" i="49" s="1"/>
  <c r="B126" i="49" a="1"/>
  <c r="B126" i="49" s="1"/>
  <c r="A225" i="49" a="1"/>
  <c r="A225" i="49" s="1"/>
  <c r="B242" i="49" a="1"/>
  <c r="B242" i="49" s="1"/>
  <c r="A27" i="49" a="1"/>
  <c r="A27" i="49" s="1"/>
  <c r="J308" i="49" a="1"/>
  <c r="J308" i="49" s="1"/>
  <c r="B209" i="49" a="1"/>
  <c r="B209" i="49" s="1"/>
  <c r="B158" i="49" a="1"/>
  <c r="B158" i="49" s="1"/>
  <c r="B234" i="49" a="1"/>
  <c r="B234" i="49" s="1"/>
  <c r="B78" i="49" a="1"/>
  <c r="B78" i="49" s="1"/>
  <c r="B38" i="49" a="1"/>
  <c r="B38" i="49" s="1"/>
  <c r="J24" i="49" a="1"/>
  <c r="J24" i="49" s="1"/>
  <c r="A262" i="49" a="1"/>
  <c r="A262" i="49" s="1"/>
  <c r="J204" i="49" a="1"/>
  <c r="J204" i="49" s="1"/>
  <c r="J220" i="49" a="1"/>
  <c r="J220" i="49" s="1"/>
  <c r="B56" i="49" a="1"/>
  <c r="B56" i="49" s="1"/>
  <c r="B28" i="49" a="1"/>
  <c r="B28" i="49" s="1"/>
  <c r="J100" i="49" a="1"/>
  <c r="J100" i="49" s="1"/>
  <c r="B18" i="49" a="1"/>
  <c r="B18" i="49" s="1"/>
  <c r="J105" i="49" a="1"/>
  <c r="J105" i="49" s="1"/>
  <c r="B223" i="49" a="1"/>
  <c r="B223" i="49" s="1"/>
  <c r="B152" i="49" a="1"/>
  <c r="B152" i="49" s="1"/>
  <c r="J189" i="49" a="1"/>
  <c r="J189" i="49" s="1"/>
  <c r="A12" i="49" a="1"/>
  <c r="A12" i="49" s="1"/>
  <c r="B142" i="49" a="1"/>
  <c r="B142" i="49" s="1"/>
  <c r="A297" i="49" a="1"/>
  <c r="A297" i="49" s="1"/>
  <c r="B212" i="49" a="1"/>
  <c r="B212" i="49" s="1"/>
  <c r="B138" i="49" a="1"/>
  <c r="B138" i="49" s="1"/>
  <c r="A177" i="49" a="1"/>
  <c r="A177" i="49" s="1"/>
  <c r="A165" i="49" a="1"/>
  <c r="A165" i="49" s="1"/>
  <c r="J203" i="49" a="1"/>
  <c r="J203" i="49" s="1"/>
  <c r="B349" i="49" a="1"/>
  <c r="B349" i="49" s="1"/>
  <c r="J262" i="49" a="1"/>
  <c r="J262" i="49" s="1"/>
  <c r="B186" i="49" a="1"/>
  <c r="B186" i="49" s="1"/>
  <c r="B191" i="49" a="1"/>
  <c r="B191" i="49" s="1"/>
  <c r="B319" i="49" a="1"/>
  <c r="B319" i="49" s="1"/>
  <c r="J294" i="49" a="1"/>
  <c r="J294" i="49" s="1"/>
  <c r="J116" i="49" a="1"/>
  <c r="J116" i="49" s="1"/>
  <c r="B46" i="49" a="1"/>
  <c r="B46" i="49" s="1"/>
  <c r="A218" i="49" a="1"/>
  <c r="A218" i="49" s="1"/>
  <c r="A89" i="49" a="1"/>
  <c r="A89" i="49" s="1"/>
  <c r="B21" i="49" a="1"/>
  <c r="B21" i="49" s="1"/>
  <c r="A331" i="49" a="1"/>
  <c r="A331" i="49" s="1"/>
  <c r="A67" i="49" a="1"/>
  <c r="A67" i="49" s="1"/>
  <c r="A109" i="49" a="1"/>
  <c r="A109" i="49" s="1"/>
  <c r="B316" i="49" a="1"/>
  <c r="B316" i="49" s="1"/>
  <c r="A58" i="49" a="1"/>
  <c r="A58" i="49" s="1"/>
  <c r="B36" i="49" a="1"/>
  <c r="B36" i="49" s="1"/>
  <c r="J146" i="49" a="1"/>
  <c r="J146" i="49" s="1"/>
  <c r="B181" i="49" a="1"/>
  <c r="B181" i="49" s="1"/>
  <c r="B343" i="49" a="1"/>
  <c r="B343" i="49" s="1"/>
  <c r="A324" i="49" a="1"/>
  <c r="A324" i="49" s="1"/>
  <c r="J155" i="49" a="1"/>
  <c r="J155" i="49" s="1"/>
  <c r="B260" i="49" a="1"/>
  <c r="B260" i="49" s="1"/>
  <c r="A278" i="49" a="1"/>
  <c r="A278" i="49" s="1"/>
  <c r="A104" i="49" a="1"/>
  <c r="A104" i="49" s="1"/>
  <c r="A170" i="49" a="1"/>
  <c r="A170" i="49" s="1"/>
  <c r="A15" i="49" a="1"/>
  <c r="A15" i="49" s="1"/>
  <c r="J205" i="49" a="1"/>
  <c r="J205" i="49" s="1"/>
  <c r="A270" i="49" a="1"/>
  <c r="A270" i="49" s="1"/>
  <c r="B55" i="49" a="1"/>
  <c r="B55" i="49" s="1"/>
  <c r="A244" i="49" a="1"/>
  <c r="A244" i="49" s="1"/>
  <c r="B248" i="49" a="1"/>
  <c r="B248" i="49" s="1"/>
  <c r="A14" i="49" a="1"/>
  <c r="A14" i="49" s="1"/>
  <c r="J325" i="49" a="1"/>
  <c r="J325" i="49" s="1"/>
  <c r="B261" i="49" a="1"/>
  <c r="B261" i="49" s="1"/>
  <c r="A160" i="49" a="1"/>
  <c r="A160" i="49" s="1"/>
  <c r="B228" i="49" a="1"/>
  <c r="B228" i="49" s="1"/>
  <c r="J6" i="49" a="1"/>
  <c r="J6" i="49" s="1"/>
  <c r="A154" i="49" a="1"/>
  <c r="A154" i="49" s="1"/>
  <c r="J74" i="49" a="1"/>
  <c r="J74" i="49" s="1"/>
  <c r="J301" i="49" a="1"/>
  <c r="J301" i="49" s="1"/>
  <c r="A232" i="49" a="1"/>
  <c r="A232" i="49" s="1"/>
  <c r="J32" i="49" a="1"/>
  <c r="J32" i="49" s="1"/>
  <c r="B304" i="49" a="1"/>
  <c r="B304" i="49" s="1"/>
  <c r="A247" i="49" a="1"/>
  <c r="A247" i="49" s="1"/>
  <c r="J73" i="49" a="1"/>
  <c r="J73" i="49" s="1"/>
  <c r="B221" i="49" a="1"/>
  <c r="B221" i="49" s="1"/>
  <c r="J223" i="49" a="1"/>
  <c r="J223" i="49" s="1"/>
  <c r="J246" i="49" a="1"/>
  <c r="J246" i="49" s="1"/>
  <c r="A26" i="49" a="1"/>
  <c r="A26" i="49" s="1"/>
  <c r="J138" i="49" a="1"/>
  <c r="J138" i="49" s="1"/>
  <c r="J333" i="49" a="1"/>
  <c r="J333" i="49" s="1"/>
  <c r="J109" i="49" a="1"/>
  <c r="J109" i="49" s="1"/>
  <c r="B169" i="49" a="1"/>
  <c r="B169" i="49" s="1"/>
  <c r="J300" i="49" a="1"/>
  <c r="J300" i="49" s="1"/>
  <c r="B32" i="49" a="1"/>
  <c r="B32" i="49" s="1"/>
  <c r="B312" i="49" a="1"/>
  <c r="B312" i="49" s="1"/>
  <c r="A56" i="49" a="1"/>
  <c r="A56" i="49" s="1"/>
  <c r="A181" i="49" a="1"/>
  <c r="A181" i="49" s="1"/>
  <c r="B95" i="49" a="1"/>
  <c r="B95" i="49" s="1"/>
  <c r="B306" i="49" a="1"/>
  <c r="B306" i="49" s="1"/>
  <c r="B14" i="49" a="1"/>
  <c r="B14" i="49" s="1"/>
  <c r="B175" i="49" a="1"/>
  <c r="B175" i="49" s="1"/>
  <c r="J30" i="49" a="1"/>
  <c r="J30" i="49" s="1"/>
  <c r="A110" i="49" a="1"/>
  <c r="A110" i="49" s="1"/>
  <c r="B301" i="49" a="1"/>
  <c r="B301" i="49" s="1"/>
  <c r="A290" i="49" a="1"/>
  <c r="A290" i="49" s="1"/>
  <c r="J15" i="49" a="1"/>
  <c r="J15" i="49" s="1"/>
  <c r="B100" i="49" a="1"/>
  <c r="B100" i="49" s="1"/>
  <c r="B148" i="49" a="1"/>
  <c r="B148" i="49" s="1"/>
  <c r="J198" i="49" a="1"/>
  <c r="J198" i="49" s="1"/>
  <c r="B244" i="49" a="1"/>
  <c r="B244" i="49" s="1"/>
  <c r="A344" i="49" a="1"/>
  <c r="A344" i="49" s="1"/>
  <c r="B153" i="49" a="1"/>
  <c r="B153" i="49" s="1"/>
  <c r="B87" i="49" a="1"/>
  <c r="B87" i="49" s="1"/>
  <c r="B335" i="49" a="1"/>
  <c r="B335" i="49" s="1"/>
  <c r="J102" i="49" a="1"/>
  <c r="J102" i="49" s="1"/>
  <c r="A178" i="49" a="1"/>
  <c r="A178" i="49" s="1"/>
  <c r="B37" i="49" a="1"/>
  <c r="B37" i="49" s="1"/>
  <c r="A46" i="49" a="1"/>
  <c r="A46" i="49" s="1"/>
  <c r="J176" i="49" a="1"/>
  <c r="J176" i="49" s="1"/>
  <c r="B263" i="49" a="1"/>
  <c r="B263" i="49" s="1"/>
  <c r="J326" i="49" a="1"/>
  <c r="J326" i="49" s="1"/>
  <c r="J142" i="49" a="1"/>
  <c r="J142" i="49" s="1"/>
  <c r="A220" i="49" a="1"/>
  <c r="A220" i="49" s="1"/>
  <c r="B154" i="49" a="1"/>
  <c r="B154" i="49" s="1"/>
  <c r="J123" i="49" a="1"/>
  <c r="J123" i="49" s="1"/>
  <c r="B157" i="49" a="1"/>
  <c r="B157" i="49" s="1"/>
  <c r="J114" i="49" a="1"/>
  <c r="J114" i="49" s="1"/>
  <c r="J93" i="49" a="1"/>
  <c r="J93" i="49" s="1"/>
  <c r="A173" i="49" a="1"/>
  <c r="A173" i="49" s="1"/>
  <c r="A317" i="49" a="1"/>
  <c r="A317" i="49" s="1"/>
  <c r="J202" i="49" a="1"/>
  <c r="J202" i="49" s="1"/>
  <c r="J129" i="49" a="1"/>
  <c r="J129" i="49" s="1"/>
  <c r="J162" i="49" a="1"/>
  <c r="J162" i="49" s="1"/>
  <c r="J199" i="49" a="1"/>
  <c r="J199" i="49" s="1"/>
  <c r="J167" i="49" a="1"/>
  <c r="J167" i="49" s="1"/>
  <c r="B42" i="49" a="1"/>
  <c r="B42" i="49" s="1"/>
  <c r="A75" i="49" a="1"/>
  <c r="A75" i="49" s="1"/>
  <c r="A35" i="49" a="1"/>
  <c r="A35" i="49" s="1"/>
  <c r="B180" i="49" a="1"/>
  <c r="B180" i="49" s="1"/>
  <c r="B256" i="49" a="1"/>
  <c r="B256" i="49" s="1"/>
  <c r="J339" i="49" a="1"/>
  <c r="J339" i="49" s="1"/>
  <c r="J33" i="49" a="1"/>
  <c r="J33" i="49" s="1"/>
  <c r="A265" i="49" a="1"/>
  <c r="A265" i="49" s="1"/>
  <c r="B166" i="49" a="1"/>
  <c r="B166" i="49" s="1"/>
  <c r="J7" i="49" a="1"/>
  <c r="J7" i="49" s="1"/>
  <c r="B285" i="49" a="1"/>
  <c r="B285" i="49" s="1"/>
  <c r="B230" i="49" a="1"/>
  <c r="B230" i="49" s="1"/>
  <c r="A279" i="49" a="1"/>
  <c r="A279" i="49" s="1"/>
  <c r="B167" i="49" a="1"/>
  <c r="B167" i="49" s="1"/>
  <c r="J329" i="49" a="1"/>
  <c r="J329" i="49" s="1"/>
  <c r="A23" i="49" a="1"/>
  <c r="A23" i="49" s="1"/>
  <c r="J249" i="49" a="1"/>
  <c r="J249" i="49" s="1"/>
  <c r="J126" i="49" a="1"/>
  <c r="J126" i="49" s="1"/>
  <c r="B341" i="49" a="1"/>
  <c r="B341" i="49" s="1"/>
  <c r="A335" i="49" a="1"/>
  <c r="A335" i="49" s="1"/>
  <c r="B178" i="49" a="1"/>
  <c r="B178" i="49" s="1"/>
  <c r="A190" i="49" a="1"/>
  <c r="A190" i="49" s="1"/>
  <c r="B27" i="49" a="1"/>
  <c r="B27" i="49" s="1"/>
  <c r="B112" i="49" a="1"/>
  <c r="B112" i="49" s="1"/>
  <c r="A126" i="49" a="1"/>
  <c r="A126" i="49" s="1"/>
  <c r="J103" i="49" a="1"/>
  <c r="J103" i="49" s="1"/>
  <c r="B277" i="49" a="1"/>
  <c r="B277" i="49" s="1"/>
  <c r="B15" i="49" a="1"/>
  <c r="B15" i="49" s="1"/>
  <c r="B149" i="49" a="1"/>
  <c r="B149" i="49" s="1"/>
  <c r="B265" i="49" a="1"/>
  <c r="B265" i="49" s="1"/>
  <c r="B249" i="49" a="1"/>
  <c r="B249" i="49" s="1"/>
  <c r="A108" i="49" a="1"/>
  <c r="A108" i="49" s="1"/>
  <c r="B66" i="49" a="1"/>
  <c r="B66" i="49" s="1"/>
  <c r="A166" i="49" a="1"/>
  <c r="A166" i="49" s="1"/>
  <c r="B39" i="49" a="1"/>
  <c r="B39" i="49" s="1"/>
  <c r="A96" i="49" a="1"/>
  <c r="A96" i="49" s="1"/>
  <c r="J221" i="49" a="1"/>
  <c r="J221" i="49" s="1"/>
  <c r="J336" i="49" a="1"/>
  <c r="J336" i="49" s="1"/>
  <c r="J164" i="49" a="1"/>
  <c r="J164" i="49" s="1"/>
  <c r="B71" i="49" a="1"/>
  <c r="B71" i="49" s="1"/>
  <c r="A284" i="49" a="1"/>
  <c r="A284" i="49" s="1"/>
  <c r="A57" i="49" a="1"/>
  <c r="A57" i="49" s="1"/>
  <c r="A63" i="49" a="1"/>
  <c r="A63" i="49" s="1"/>
  <c r="A120" i="49" a="1"/>
  <c r="A120" i="49" s="1"/>
  <c r="J263" i="49" a="1"/>
  <c r="J263" i="49" s="1"/>
  <c r="J64" i="49" a="1"/>
  <c r="J64" i="49" s="1"/>
  <c r="J255" i="49" a="1"/>
  <c r="J255" i="49" s="1"/>
  <c r="B124" i="49" a="1"/>
  <c r="B124" i="49" s="1"/>
  <c r="J267" i="49" a="1"/>
  <c r="J267" i="49" s="1"/>
  <c r="A304" i="49" a="1"/>
  <c r="A304" i="49" s="1"/>
  <c r="A29" i="49" a="1"/>
  <c r="A29" i="49" s="1"/>
  <c r="A128" i="49" a="1"/>
  <c r="A128" i="49" s="1"/>
  <c r="J42" i="49" a="1"/>
  <c r="J42" i="49" s="1"/>
  <c r="J173" i="49" a="1"/>
  <c r="J173" i="49" s="1"/>
  <c r="A349" i="49" a="1"/>
  <c r="A349" i="49" s="1"/>
  <c r="J233" i="49" a="1"/>
  <c r="J233" i="49" s="1"/>
  <c r="J54" i="49" a="1"/>
  <c r="J54" i="49" s="1"/>
  <c r="J113" i="49" a="1"/>
  <c r="J113" i="49" s="1"/>
  <c r="B101" i="49" a="1"/>
  <c r="B101" i="49" s="1"/>
  <c r="A294" i="49" a="1"/>
  <c r="A294" i="49" s="1"/>
  <c r="B348" i="49" a="1"/>
  <c r="B348" i="49" s="1"/>
  <c r="B86" i="49" a="1"/>
  <c r="B86" i="49" s="1"/>
  <c r="A231" i="49" a="1"/>
  <c r="A231" i="49" s="1"/>
  <c r="J348" i="49" a="1"/>
  <c r="J348" i="49" s="1"/>
  <c r="A211" i="49" a="1"/>
  <c r="A211" i="49" s="1"/>
  <c r="A214" i="49" a="1"/>
  <c r="A214" i="49" s="1"/>
  <c r="J16" i="49" a="1"/>
  <c r="J16" i="49" s="1"/>
  <c r="A298" i="49" a="1"/>
  <c r="A298" i="49" s="1"/>
  <c r="B257" i="49" a="1"/>
  <c r="B257" i="49" s="1"/>
  <c r="J341" i="49" a="1"/>
  <c r="J341" i="49" s="1"/>
  <c r="J130" i="49" a="1"/>
  <c r="J130" i="49" s="1"/>
  <c r="A240" i="49" a="1"/>
  <c r="A240" i="49" s="1"/>
  <c r="B259" i="49" a="1"/>
  <c r="B259" i="49" s="1"/>
  <c r="J355" i="49" a="1"/>
  <c r="J355" i="49" s="1"/>
  <c r="J121" i="49" a="1"/>
  <c r="J121" i="49" s="1"/>
  <c r="A44" i="49" a="1"/>
  <c r="A44" i="49" s="1"/>
  <c r="B141" i="49" a="1"/>
  <c r="B141" i="49" s="1"/>
  <c r="J82" i="49" a="1"/>
  <c r="J82" i="49" s="1"/>
  <c r="A151" i="49" a="1"/>
  <c r="A151" i="49" s="1"/>
  <c r="A310" i="49" a="1"/>
  <c r="A310" i="49" s="1"/>
  <c r="B243" i="49" a="1"/>
  <c r="B243" i="49" s="1"/>
  <c r="A312" i="49" a="1"/>
  <c r="A312" i="49" s="1"/>
  <c r="A213" i="49" a="1"/>
  <c r="A213" i="49" s="1"/>
  <c r="B355" i="49" a="1"/>
  <c r="B355" i="49" s="1"/>
  <c r="J322" i="49" a="1"/>
  <c r="J322" i="49" s="1"/>
  <c r="J72" i="49" a="1"/>
  <c r="J72" i="49" s="1"/>
  <c r="A121" i="49" a="1"/>
  <c r="A121" i="49" s="1"/>
  <c r="J228" i="49" a="1"/>
  <c r="J228" i="49" s="1"/>
  <c r="A145" i="49" a="1"/>
  <c r="A145" i="49" s="1"/>
  <c r="B224" i="49" a="1"/>
  <c r="B224" i="49" s="1"/>
  <c r="J274" i="49" a="1"/>
  <c r="J274" i="49" s="1"/>
  <c r="A347" i="49" a="1"/>
  <c r="A347" i="49" s="1"/>
  <c r="J268" i="49" a="1"/>
  <c r="J268" i="49" s="1"/>
  <c r="A325" i="49" a="1"/>
  <c r="A325" i="49" s="1"/>
  <c r="B168" i="49" a="1"/>
  <c r="B168" i="49" s="1"/>
  <c r="A42" i="49" a="1"/>
  <c r="A42" i="49" s="1"/>
  <c r="B279" i="49" a="1"/>
  <c r="B279" i="49" s="1"/>
  <c r="J50" i="49" a="1"/>
  <c r="J50" i="49" s="1"/>
  <c r="B115" i="49" a="1"/>
  <c r="B115" i="49" s="1"/>
  <c r="B177" i="49" a="1"/>
  <c r="B177" i="49" s="1"/>
  <c r="B262" i="49" a="1"/>
  <c r="B262" i="49" s="1"/>
  <c r="A47" i="49" a="1"/>
  <c r="A47" i="49" s="1"/>
  <c r="J67" i="49" a="1"/>
  <c r="J67" i="49" s="1"/>
  <c r="B329" i="49" a="1"/>
  <c r="B329" i="49" s="1"/>
  <c r="J282" i="49" a="1"/>
  <c r="J282" i="49" s="1"/>
  <c r="J343" i="49" a="1"/>
  <c r="J343" i="49" s="1"/>
  <c r="B31" i="49" a="1"/>
  <c r="B31" i="49" s="1"/>
  <c r="B10" i="49" a="1"/>
  <c r="B10" i="49" s="1"/>
  <c r="J183" i="49" a="1"/>
  <c r="J183" i="49" s="1"/>
  <c r="J219" i="49" a="1"/>
  <c r="J219" i="49" s="1"/>
  <c r="J327" i="49" a="1"/>
  <c r="J327" i="49" s="1"/>
  <c r="A332" i="49" a="1"/>
  <c r="A332" i="49" s="1"/>
  <c r="A60" i="49" a="1"/>
  <c r="A60" i="49" s="1"/>
  <c r="J62" i="49" a="1"/>
  <c r="J62" i="49" s="1"/>
  <c r="A39" i="49" a="1"/>
  <c r="A39" i="49" s="1"/>
  <c r="A326" i="49" a="1"/>
  <c r="A326" i="49" s="1"/>
  <c r="J75" i="49" a="1"/>
  <c r="J75" i="49" s="1"/>
  <c r="J196" i="49" a="1"/>
  <c r="J196" i="49" s="1"/>
  <c r="A134" i="49" a="1"/>
  <c r="A134" i="49" s="1"/>
  <c r="B196" i="49" a="1"/>
  <c r="B196" i="49" s="1"/>
  <c r="B8" i="49" a="1"/>
  <c r="B8" i="49" s="1"/>
  <c r="J157" i="49" a="1"/>
  <c r="J157" i="49" s="1"/>
  <c r="J83" i="49" a="1"/>
  <c r="J83" i="49" s="1"/>
  <c r="J296" i="49" a="1"/>
  <c r="J296" i="49" s="1"/>
  <c r="A261" i="49" a="1"/>
  <c r="A261" i="49" s="1"/>
  <c r="B337" i="49" a="1"/>
  <c r="B337" i="49" s="1"/>
  <c r="J179" i="49" a="1"/>
  <c r="J179" i="49" s="1"/>
  <c r="A194" i="49" a="1"/>
  <c r="A194" i="49" s="1"/>
  <c r="J17" i="49" a="1"/>
  <c r="J17" i="49" s="1"/>
  <c r="A161" i="49" a="1"/>
  <c r="A161" i="49" s="1"/>
  <c r="B219" i="49" a="1"/>
  <c r="B219" i="49" s="1"/>
  <c r="A269" i="49" a="1"/>
  <c r="A269" i="49" s="1"/>
  <c r="J59" i="49" a="1"/>
  <c r="J59" i="49" s="1"/>
  <c r="A167" i="49" a="1"/>
  <c r="A167" i="49" s="1"/>
  <c r="J265" i="49" a="1"/>
  <c r="J265" i="49" s="1"/>
  <c r="A73" i="49" a="1"/>
  <c r="A73" i="49" s="1"/>
  <c r="J314" i="49" a="1"/>
  <c r="J314" i="49" s="1"/>
  <c r="A228" i="49" a="1"/>
  <c r="A228" i="49" s="1"/>
  <c r="B123" i="49" a="1"/>
  <c r="B123" i="49" s="1"/>
  <c r="A163" i="49" a="1"/>
  <c r="A163" i="49" s="1"/>
  <c r="A353" i="49" a="1"/>
  <c r="A353" i="49" s="1"/>
  <c r="J230" i="49" a="1"/>
  <c r="J230" i="49" s="1"/>
  <c r="B280" i="49" a="1"/>
  <c r="B280" i="49" s="1"/>
  <c r="J131" i="49" a="1"/>
  <c r="J131" i="49" s="1"/>
  <c r="A264" i="49" a="1"/>
  <c r="A264" i="49" s="1"/>
  <c r="J338" i="49" a="1"/>
  <c r="J338" i="49" s="1"/>
  <c r="B276" i="49" a="1"/>
  <c r="B276" i="49" s="1"/>
  <c r="J331" i="49" a="1"/>
  <c r="J331" i="49" s="1"/>
  <c r="A222" i="49" a="1"/>
  <c r="A222" i="49" s="1"/>
  <c r="A333" i="49" a="1"/>
  <c r="A333" i="49" s="1"/>
  <c r="B11" i="49" a="1"/>
  <c r="B11" i="49" s="1"/>
  <c r="A337" i="49" a="1"/>
  <c r="A337" i="49" s="1"/>
  <c r="J118" i="49" a="1"/>
  <c r="J118" i="49" s="1"/>
  <c r="A64" i="49" a="1"/>
  <c r="A64" i="49" s="1"/>
  <c r="B128" i="49" a="1"/>
  <c r="B128" i="49" s="1"/>
  <c r="J36" i="49" a="1"/>
  <c r="J36" i="49" s="1"/>
  <c r="B33" i="49" a="1"/>
  <c r="B33" i="49" s="1"/>
  <c r="J318" i="49" a="1"/>
  <c r="J318" i="49" s="1"/>
  <c r="J57" i="49" a="1"/>
  <c r="J57" i="49" s="1"/>
  <c r="A149" i="49" a="1"/>
  <c r="A149" i="49" s="1"/>
  <c r="J295" i="49" a="1"/>
  <c r="J295" i="49" s="1"/>
  <c r="J298" i="49" a="1"/>
  <c r="J298" i="49" s="1"/>
  <c r="B48" i="49" a="1"/>
  <c r="B48" i="49" s="1"/>
  <c r="B131" i="49" a="1"/>
  <c r="B131" i="49" s="1"/>
  <c r="J303" i="49" a="1"/>
  <c r="J303" i="49" s="1"/>
  <c r="J207" i="49" a="1"/>
  <c r="J207" i="49" s="1"/>
  <c r="J195" i="49" a="1"/>
  <c r="J195" i="49" s="1"/>
  <c r="J26" i="49" a="1"/>
  <c r="J26" i="49" s="1"/>
  <c r="B330" i="49" a="1"/>
  <c r="B330" i="49" s="1"/>
  <c r="B233" i="49" a="1"/>
  <c r="B233" i="49" s="1"/>
  <c r="B103" i="49" a="1"/>
  <c r="B103" i="49" s="1"/>
  <c r="B250" i="49" a="1"/>
  <c r="B250" i="49" s="1"/>
  <c r="B320" i="49" a="1"/>
  <c r="B320" i="49" s="1"/>
  <c r="J90" i="49" a="1"/>
  <c r="J90" i="49" s="1"/>
  <c r="J213" i="49" a="1"/>
  <c r="J213" i="49" s="1"/>
  <c r="B314" i="49" a="1"/>
  <c r="B314" i="49" s="1"/>
  <c r="B190" i="49" a="1"/>
  <c r="B190" i="49" s="1"/>
  <c r="J51" i="49" a="1"/>
  <c r="J51" i="49" s="1"/>
  <c r="A238" i="49" a="1"/>
  <c r="A238" i="49" s="1"/>
  <c r="A305" i="49" a="1"/>
  <c r="A305" i="49" s="1"/>
  <c r="B281" i="49" a="1"/>
  <c r="B281" i="49" s="1"/>
  <c r="A132" i="49" a="1"/>
  <c r="A132" i="49" s="1"/>
  <c r="B162" i="49" a="1"/>
  <c r="B162" i="49" s="1"/>
  <c r="B155" i="49" a="1"/>
  <c r="B155" i="49" s="1"/>
  <c r="B40" i="49" a="1"/>
  <c r="B40" i="49" s="1"/>
  <c r="J60" i="49" a="1"/>
  <c r="J60" i="49" s="1"/>
  <c r="B322" i="49" a="1"/>
  <c r="B322" i="49" s="1"/>
  <c r="J78" i="49" a="1"/>
  <c r="J78" i="49" s="1"/>
  <c r="B143" i="49" a="1"/>
  <c r="B143" i="49" s="1"/>
  <c r="A103" i="49" a="1"/>
  <c r="A103" i="49" s="1"/>
  <c r="A322" i="49" a="1"/>
  <c r="A322" i="49" s="1"/>
  <c r="J288" i="49" a="1"/>
  <c r="J288" i="49" s="1"/>
  <c r="J190" i="49" a="1"/>
  <c r="J190" i="49" s="1"/>
  <c r="A91" i="49" a="1"/>
  <c r="A91" i="49" s="1"/>
  <c r="B194" i="49" a="1"/>
  <c r="B194" i="49" s="1"/>
  <c r="A201" i="49" a="1"/>
  <c r="A201" i="49" s="1"/>
  <c r="J353" i="49" a="1"/>
  <c r="J353" i="49" s="1"/>
  <c r="J239" i="49" a="1"/>
  <c r="J239" i="49" s="1"/>
  <c r="J342" i="49" a="1"/>
  <c r="J342" i="49" s="1"/>
  <c r="J69" i="49" a="1"/>
  <c r="J69" i="49" s="1"/>
  <c r="A22" i="49" a="1"/>
  <c r="A22" i="49" s="1"/>
  <c r="J320" i="49" a="1"/>
  <c r="J320" i="49" s="1"/>
  <c r="A195" i="49" a="1"/>
  <c r="A195" i="49" s="1"/>
  <c r="A34" i="49" a="1"/>
  <c r="A34" i="49" s="1"/>
  <c r="J211" i="49" a="1"/>
  <c r="J211" i="49" s="1"/>
  <c r="J242" i="49" a="1"/>
  <c r="J242" i="49" s="1"/>
  <c r="J302" i="49" a="1"/>
  <c r="J302" i="49" s="1"/>
  <c r="A131" i="49" a="1"/>
  <c r="A131" i="49" s="1"/>
  <c r="A215" i="49" a="1"/>
  <c r="A215" i="49" s="1"/>
  <c r="J271" i="49" a="1"/>
  <c r="J271" i="49" s="1"/>
  <c r="A234" i="49" a="1"/>
  <c r="A234" i="49" s="1"/>
  <c r="A341" i="49" a="1"/>
  <c r="A341" i="49" s="1"/>
  <c r="J171" i="49" a="1"/>
  <c r="J171" i="49" s="1"/>
  <c r="J46" i="49" a="1"/>
  <c r="J46" i="49" s="1"/>
  <c r="J270" i="49" a="1"/>
  <c r="J270" i="49" s="1"/>
  <c r="B164" i="49" a="1"/>
  <c r="B164" i="49" s="1"/>
  <c r="B52" i="49" a="1"/>
  <c r="B52" i="49" s="1"/>
  <c r="J71" i="49" a="1"/>
  <c r="J71" i="49" s="1"/>
  <c r="A159" i="49" a="1"/>
  <c r="A159" i="49" s="1"/>
  <c r="J293" i="49" a="1"/>
  <c r="J293" i="49" s="1"/>
  <c r="A61" i="49" a="1"/>
  <c r="A61" i="49" s="1"/>
  <c r="B297" i="49" a="1"/>
  <c r="B297" i="49" s="1"/>
  <c r="B294" i="49" a="1"/>
  <c r="B294" i="49" s="1"/>
  <c r="B346" i="49" a="1"/>
  <c r="B346" i="49" s="1"/>
  <c r="J332" i="49" a="1"/>
  <c r="J332" i="49" s="1"/>
  <c r="A250" i="49" a="1"/>
  <c r="A250" i="49" s="1"/>
  <c r="B54" i="49" a="1"/>
  <c r="B54" i="49" s="1"/>
  <c r="J236" i="49" a="1"/>
  <c r="J236" i="49" s="1"/>
  <c r="B252" i="49" a="1"/>
  <c r="B252" i="49" s="1"/>
  <c r="A133" i="49" a="1"/>
  <c r="A133" i="49" s="1"/>
  <c r="B315" i="49" a="1"/>
  <c r="B315" i="49" s="1"/>
  <c r="J163" i="49" a="1"/>
  <c r="J163" i="49" s="1"/>
  <c r="A266" i="49" a="1"/>
  <c r="A266" i="49" s="1"/>
  <c r="J258" i="49" a="1"/>
  <c r="J258" i="49" s="1"/>
  <c r="B179" i="49" a="1"/>
  <c r="B179" i="49" s="1"/>
  <c r="B198" i="49" a="1"/>
  <c r="B198" i="49" s="1"/>
  <c r="B352" i="49" a="1"/>
  <c r="B352" i="49" s="1"/>
  <c r="J257" i="49" a="1"/>
  <c r="J257" i="49" s="1"/>
  <c r="B245" i="49" a="1"/>
  <c r="B245" i="49" s="1"/>
  <c r="B283" i="49" a="1"/>
  <c r="B283" i="49" s="1"/>
  <c r="J135" i="49" a="1"/>
  <c r="J135" i="49" s="1"/>
  <c r="A253" i="49" a="1"/>
  <c r="A253" i="49" s="1"/>
  <c r="J178" i="49" a="1"/>
  <c r="J178" i="49" s="1"/>
  <c r="J177" i="49" a="1"/>
  <c r="J177" i="49" s="1"/>
  <c r="A106" i="49" a="1"/>
  <c r="A106" i="49" s="1"/>
  <c r="A252" i="49" a="1"/>
  <c r="A252" i="49" s="1"/>
  <c r="J186" i="49" a="1"/>
  <c r="J186" i="49" s="1"/>
  <c r="A143" i="49" a="1"/>
  <c r="A143" i="49" s="1"/>
  <c r="B80" i="49" a="1"/>
  <c r="B80" i="49" s="1"/>
  <c r="B7" i="49" a="1"/>
  <c r="B7" i="49" s="1"/>
  <c r="A37" i="49" a="1"/>
  <c r="A37" i="49" s="1"/>
  <c r="B237" i="49" a="1"/>
  <c r="B237" i="49" s="1"/>
  <c r="J201" i="49" a="1"/>
  <c r="J201" i="49" s="1"/>
  <c r="B30" i="49" a="1"/>
  <c r="B30" i="49" s="1"/>
  <c r="A117" i="49" a="1"/>
  <c r="A117" i="49" s="1"/>
  <c r="J115" i="49" a="1"/>
  <c r="J115" i="49" s="1"/>
  <c r="A205" i="49" a="1"/>
  <c r="A205" i="49" s="1"/>
  <c r="A259" i="49" a="1"/>
  <c r="A259" i="49" s="1"/>
  <c r="B22" i="49" a="1"/>
  <c r="B22" i="49" s="1"/>
  <c r="J139" i="49" a="1"/>
  <c r="J139" i="49" s="1"/>
  <c r="A141" i="49" a="1"/>
  <c r="A141" i="49" s="1"/>
  <c r="A125" i="49" a="1"/>
  <c r="A125" i="49" s="1"/>
  <c r="A99" i="49" a="1"/>
  <c r="A99" i="49" s="1"/>
  <c r="B83" i="49" a="1"/>
  <c r="B83" i="49" s="1"/>
  <c r="A118" i="49" a="1"/>
  <c r="A118" i="49" s="1"/>
  <c r="J216" i="49" a="1"/>
  <c r="J216" i="49" s="1"/>
  <c r="B267" i="49" a="1"/>
  <c r="B267" i="49" s="1"/>
  <c r="B136" i="49" a="1"/>
  <c r="B136" i="49" s="1"/>
  <c r="B125" i="49" a="1"/>
  <c r="B125" i="49" s="1"/>
  <c r="J175" i="49" a="1"/>
  <c r="J175" i="49" s="1"/>
  <c r="B34" i="49" a="1"/>
  <c r="B34" i="49" s="1"/>
  <c r="A162" i="49" a="1"/>
  <c r="A162" i="49" s="1"/>
  <c r="A285" i="49" a="1"/>
  <c r="A285" i="49" s="1"/>
  <c r="A256" i="49" a="1"/>
  <c r="A256" i="49" s="1"/>
  <c r="J86" i="49" a="1"/>
  <c r="J86" i="49" s="1"/>
  <c r="J38" i="49" a="1"/>
  <c r="J38" i="49" s="1"/>
  <c r="B282" i="49" a="1"/>
  <c r="B282" i="49" s="1"/>
  <c r="J259" i="49" a="1"/>
  <c r="J259" i="49" s="1"/>
  <c r="J307" i="49" a="1"/>
  <c r="J307" i="49" s="1"/>
  <c r="A185" i="49" a="1"/>
  <c r="A185" i="49" s="1"/>
  <c r="A311" i="49" a="1"/>
  <c r="A311" i="49" s="1"/>
  <c r="J11" i="49" a="1"/>
  <c r="J11" i="49" s="1"/>
  <c r="B127" i="49" a="1"/>
  <c r="B127" i="49" s="1"/>
  <c r="B93" i="49" a="1"/>
  <c r="B93" i="49" s="1"/>
  <c r="J144" i="49" a="1"/>
  <c r="J144" i="49" s="1"/>
  <c r="A65" i="49" a="1"/>
  <c r="A65" i="49" s="1"/>
  <c r="A303" i="49" a="1"/>
  <c r="A303" i="49" s="1"/>
  <c r="J148" i="49" a="1"/>
  <c r="J148" i="49" s="1"/>
  <c r="A84" i="49" a="1"/>
  <c r="A84" i="49" s="1"/>
  <c r="J244" i="49" a="1"/>
  <c r="J244" i="49" s="1"/>
  <c r="J217" i="49" a="1"/>
  <c r="J217" i="49" s="1"/>
  <c r="J235" i="49" a="1"/>
  <c r="J235" i="49" s="1"/>
  <c r="A241" i="49" a="1"/>
  <c r="A241" i="49" s="1"/>
  <c r="B81" i="49" a="1"/>
  <c r="B81" i="49" s="1"/>
  <c r="J334" i="49" a="1"/>
  <c r="J334" i="49" s="1"/>
  <c r="J47" i="49" a="1"/>
  <c r="J47" i="49" s="1"/>
  <c r="B229" i="49" a="1"/>
  <c r="B229" i="49" s="1"/>
  <c r="B200" i="49" a="1"/>
  <c r="B200" i="49" s="1"/>
  <c r="J158" i="49" a="1"/>
  <c r="J158" i="49" s="1"/>
  <c r="B92" i="49" a="1"/>
  <c r="B92" i="49" s="1"/>
  <c r="J140" i="49" a="1"/>
  <c r="J140" i="49" s="1"/>
  <c r="B24" i="49" a="1"/>
  <c r="B24" i="49" s="1"/>
  <c r="B338" i="49" a="1"/>
  <c r="B338" i="49" s="1"/>
  <c r="B288" i="49" a="1"/>
  <c r="B288" i="49" s="1"/>
  <c r="J25" i="49" a="1"/>
  <c r="J25" i="49" s="1"/>
  <c r="A321" i="49" a="1"/>
  <c r="A321" i="49" s="1"/>
  <c r="A36" i="49" a="1"/>
  <c r="A36" i="49" s="1"/>
  <c r="A258" i="49" a="1"/>
  <c r="A258" i="49" s="1"/>
  <c r="J48" i="49" a="1"/>
  <c r="J48" i="49" s="1"/>
  <c r="B133" i="49" a="1"/>
  <c r="B133" i="49" s="1"/>
  <c r="J276" i="49" a="1"/>
  <c r="J276" i="49" s="1"/>
  <c r="J347" i="49" a="1"/>
  <c r="J347" i="49" s="1"/>
  <c r="B160" i="49" a="1"/>
  <c r="B160" i="49" s="1"/>
  <c r="B321" i="49" a="1"/>
  <c r="B321" i="49" s="1"/>
  <c r="B184" i="49" a="1"/>
  <c r="B184" i="49" s="1"/>
  <c r="B49" i="49" a="1"/>
  <c r="B49" i="49" s="1"/>
  <c r="A328" i="49" a="1"/>
  <c r="A328" i="49" s="1"/>
  <c r="B205" i="49" a="1"/>
  <c r="B205" i="49" s="1"/>
  <c r="J194" i="49" a="1"/>
  <c r="J194" i="49" s="1"/>
  <c r="A77" i="49" a="1"/>
  <c r="A77" i="49" s="1"/>
  <c r="J188" i="49" a="1"/>
  <c r="J188" i="49" s="1"/>
  <c r="A144" i="49" a="1"/>
  <c r="A144" i="49" s="1"/>
  <c r="B232" i="49" a="1"/>
  <c r="B232" i="49" s="1"/>
  <c r="B43" i="49" a="1"/>
  <c r="B43" i="49" s="1"/>
  <c r="J237" i="49" a="1"/>
  <c r="J237" i="49" s="1"/>
  <c r="B290" i="49" a="1"/>
  <c r="B290" i="49" s="1"/>
  <c r="B331" i="49" a="1"/>
  <c r="B331" i="49" s="1"/>
  <c r="A49" i="49" a="1"/>
  <c r="A49" i="49" s="1"/>
  <c r="J349" i="49" a="1"/>
  <c r="J349" i="49" s="1"/>
  <c r="J210" i="49" a="1"/>
  <c r="J210" i="49" s="1"/>
  <c r="A50" i="49" a="1"/>
  <c r="A50" i="49" s="1"/>
  <c r="A112" i="49" a="1"/>
  <c r="A112" i="49" s="1"/>
  <c r="J88" i="49" a="1"/>
  <c r="J88" i="49" s="1"/>
  <c r="A314" i="49" a="1"/>
  <c r="A314" i="49" s="1"/>
  <c r="J209" i="49" a="1"/>
  <c r="J209" i="49" s="1"/>
  <c r="J53" i="49" a="1"/>
  <c r="J53" i="49" s="1"/>
  <c r="J250" i="49" a="1"/>
  <c r="J250" i="49" s="1"/>
  <c r="A43" i="49" a="1"/>
  <c r="A43" i="49" s="1"/>
  <c r="A175" i="49" a="1"/>
  <c r="A175" i="49" s="1"/>
  <c r="A32" i="49" a="1"/>
  <c r="A32" i="49" s="1"/>
  <c r="B246" i="49" a="1"/>
  <c r="B246" i="49" s="1"/>
  <c r="J101" i="49" a="1"/>
  <c r="J101" i="49" s="1"/>
  <c r="B57" i="49" a="1"/>
  <c r="B57" i="49" s="1"/>
  <c r="B291" i="49" a="1"/>
  <c r="B291" i="49" s="1"/>
  <c r="A313" i="49" a="1"/>
  <c r="A313" i="49" s="1"/>
  <c r="A280" i="49" a="1"/>
  <c r="A280" i="49" s="1"/>
  <c r="B163" i="49" a="1"/>
  <c r="B163" i="49" s="1"/>
  <c r="J9" i="49" a="1"/>
  <c r="J9" i="49" s="1"/>
  <c r="A302" i="49" a="1"/>
  <c r="A302" i="49" s="1"/>
  <c r="J76" i="49" a="1"/>
  <c r="J76" i="49" s="1"/>
  <c r="J65" i="49" a="1"/>
  <c r="J65" i="49" s="1"/>
  <c r="B25" i="49" a="1"/>
  <c r="B25" i="49" s="1"/>
  <c r="B114" i="49" a="1"/>
  <c r="B114" i="49" s="1"/>
  <c r="J14" i="49" a="1"/>
  <c r="J14" i="49" s="1"/>
  <c r="A189" i="49" a="1"/>
  <c r="A189" i="49" s="1"/>
  <c r="J214" i="49" a="1"/>
  <c r="J214" i="49" s="1"/>
  <c r="J143" i="49" a="1"/>
  <c r="J143" i="49" s="1"/>
  <c r="J328" i="49" a="1"/>
  <c r="J328" i="49" s="1"/>
  <c r="A226" i="49" a="1"/>
  <c r="A226" i="49" s="1"/>
  <c r="B17" i="49" a="1"/>
  <c r="B17" i="49" s="1"/>
  <c r="J147" i="49" a="1"/>
  <c r="J147" i="49" s="1"/>
  <c r="J245" i="49" a="1"/>
  <c r="J245" i="49" s="1"/>
  <c r="B268" i="49" a="1"/>
  <c r="B268" i="49" s="1"/>
  <c r="A295" i="49" a="1"/>
  <c r="A295" i="49" s="1"/>
  <c r="J37" i="49" a="1"/>
  <c r="J37" i="49" s="1"/>
  <c r="J99" i="49" a="1"/>
  <c r="J99" i="49" s="1"/>
  <c r="A275" i="49" a="1"/>
  <c r="A275" i="49" s="1"/>
  <c r="J269" i="49" a="1"/>
  <c r="J269" i="49" s="1"/>
  <c r="J169" i="49" a="1"/>
  <c r="J169" i="49" s="1"/>
  <c r="B300" i="49" a="1"/>
  <c r="B300" i="49" s="1"/>
  <c r="A172" i="49" a="1"/>
  <c r="A172" i="49" s="1"/>
  <c r="B295" i="49" a="1"/>
  <c r="B295" i="49" s="1"/>
  <c r="J18" i="49" a="1"/>
  <c r="J18" i="49" s="1"/>
  <c r="A204" i="49" a="1"/>
  <c r="A204" i="49" s="1"/>
  <c r="A255" i="49" a="1"/>
  <c r="A255" i="49" s="1"/>
  <c r="A87" i="49" a="1"/>
  <c r="A87" i="49" s="1"/>
  <c r="J104" i="49" a="1"/>
  <c r="J104" i="49" s="1"/>
  <c r="A237" i="49" a="1"/>
  <c r="A237" i="49" s="1"/>
  <c r="J29" i="49" a="1"/>
  <c r="J29" i="49" s="1"/>
  <c r="B211" i="49" a="1"/>
  <c r="B211" i="49" s="1"/>
  <c r="J55" i="49" a="1"/>
  <c r="J55" i="49" s="1"/>
  <c r="J70" i="49" a="1"/>
  <c r="J70" i="49" s="1"/>
  <c r="J323" i="49" a="1"/>
  <c r="J323" i="49" s="1"/>
  <c r="B197" i="49" a="1"/>
  <c r="B197" i="49" s="1"/>
  <c r="J40" i="49" a="1"/>
  <c r="J40" i="49" s="1"/>
  <c r="A248" i="49" a="1"/>
  <c r="A248" i="49" s="1"/>
  <c r="J156" i="49" a="1"/>
  <c r="J156" i="49" s="1"/>
  <c r="A157" i="49" a="1"/>
  <c r="A157" i="49" s="1"/>
  <c r="A78" i="49" a="1"/>
  <c r="A78" i="49" s="1"/>
  <c r="B137" i="49" a="1"/>
  <c r="B137" i="49" s="1"/>
  <c r="J275" i="49" a="1"/>
  <c r="J275" i="49" s="1"/>
  <c r="A124" i="49" a="1"/>
  <c r="A124" i="49" s="1"/>
  <c r="J31" i="49" a="1"/>
  <c r="J31" i="49" s="1"/>
  <c r="B255" i="49" a="1"/>
  <c r="B255" i="49" s="1"/>
  <c r="B270" i="49" a="1"/>
  <c r="B270" i="49" s="1"/>
  <c r="P6" i="49"/>
  <c r="A6" i="49" s="1" a="1"/>
  <c r="A6" i="49" s="1"/>
  <c r="B193" i="49" a="1"/>
  <c r="B193" i="49" s="1"/>
  <c r="A8" i="49" a="1"/>
  <c r="A8" i="49" s="1"/>
  <c r="J316" i="49" a="1"/>
  <c r="J316" i="49" s="1"/>
  <c r="B173" i="49" a="1"/>
  <c r="B173" i="49" s="1"/>
  <c r="B299" i="49" a="1"/>
  <c r="B299" i="49" s="1"/>
  <c r="J180" i="49" a="1"/>
  <c r="J180" i="49" s="1"/>
  <c r="B207" i="49" a="1"/>
  <c r="B207" i="49" s="1"/>
  <c r="B187" i="49" a="1"/>
  <c r="B187" i="49" s="1"/>
  <c r="J345" i="49" a="1"/>
  <c r="J345" i="49" s="1"/>
  <c r="B151" i="49" a="1"/>
  <c r="B151" i="49" s="1"/>
  <c r="B241" i="49" a="1"/>
  <c r="B241" i="49" s="1"/>
  <c r="A28" i="49" a="1"/>
  <c r="A28" i="49" s="1"/>
  <c r="J154" i="49" a="1"/>
  <c r="J154" i="49" s="1"/>
  <c r="J80" i="49" a="1"/>
  <c r="J80" i="49" s="1"/>
  <c r="B12" i="49" a="1"/>
  <c r="B12" i="49" s="1"/>
  <c r="A140" i="49" a="1"/>
  <c r="A140" i="49" s="1"/>
  <c r="A122" i="49" a="1"/>
  <c r="A122" i="49" s="1"/>
  <c r="B94" i="49" a="1"/>
  <c r="B94" i="49" s="1"/>
  <c r="B118" i="49" a="1"/>
  <c r="B118" i="49" s="1"/>
  <c r="A156" i="49" a="1"/>
  <c r="A156" i="49" s="1"/>
  <c r="J352" i="49" a="1"/>
  <c r="J352" i="49" s="1"/>
  <c r="B41" i="49" a="1"/>
  <c r="B41" i="49" s="1"/>
  <c r="A88" i="49" a="1"/>
  <c r="A88" i="49" s="1"/>
  <c r="J92" i="49" a="1"/>
  <c r="J92" i="49" s="1"/>
  <c r="A123" i="49" a="1"/>
  <c r="A123" i="49" s="1"/>
  <c r="B347" i="49" a="1"/>
  <c r="B347" i="49" s="1"/>
  <c r="A268" i="49" a="1"/>
  <c r="A268" i="49" s="1"/>
  <c r="B88" i="49" a="1"/>
  <c r="B88" i="49" s="1"/>
  <c r="A202" i="49" a="1"/>
  <c r="A202" i="49" s="1"/>
  <c r="A224" i="49" a="1"/>
  <c r="A224" i="49" s="1"/>
  <c r="A243" i="49" a="1"/>
  <c r="A243" i="49" s="1"/>
  <c r="A249" i="49" a="1"/>
  <c r="A249" i="49" s="1"/>
  <c r="A127" i="49" a="1"/>
  <c r="A127" i="49" s="1"/>
  <c r="J291" i="49" a="1"/>
  <c r="J291" i="49" s="1"/>
  <c r="B251" i="49" a="1"/>
  <c r="B251" i="49" s="1"/>
  <c r="J136" i="49" a="1"/>
  <c r="J136" i="49" s="1"/>
  <c r="J335" i="49" a="1"/>
  <c r="J335" i="49" s="1"/>
  <c r="B35" i="49" a="1"/>
  <c r="B35" i="49" s="1"/>
  <c r="A219" i="49" a="1"/>
  <c r="A219" i="49" s="1"/>
  <c r="J218" i="49" a="1"/>
  <c r="J218" i="49" s="1"/>
  <c r="A319" i="49" a="1"/>
  <c r="A319" i="49" s="1"/>
  <c r="B272" i="49" a="1"/>
  <c r="B272" i="49" s="1"/>
  <c r="B59" i="49" a="1"/>
  <c r="B59" i="49" s="1"/>
  <c r="A206" i="49" a="1"/>
  <c r="A206" i="49" s="1"/>
  <c r="J280" i="49" a="1"/>
  <c r="J280" i="49" s="1"/>
  <c r="A277" i="49" a="1"/>
  <c r="A277" i="49" s="1"/>
  <c r="J306" i="49" a="1"/>
  <c r="J306" i="49" s="1"/>
  <c r="A70" i="49" a="1"/>
  <c r="A70" i="49" s="1"/>
  <c r="J313" i="49" a="1"/>
  <c r="J313" i="49" s="1"/>
  <c r="A130" i="49" a="1"/>
  <c r="A130" i="49" s="1"/>
  <c r="B266" i="49" a="1"/>
  <c r="B266" i="49" s="1"/>
  <c r="B189" i="49" a="1"/>
  <c r="B189" i="49" s="1"/>
  <c r="B97" i="49" a="1"/>
  <c r="B97" i="49" s="1"/>
  <c r="A137" i="49" a="1"/>
  <c r="A137" i="49" s="1"/>
  <c r="A139" i="49" a="1"/>
  <c r="A139" i="49" s="1"/>
  <c r="B284" i="49" a="1"/>
  <c r="B284" i="49" s="1"/>
  <c r="B192" i="49" a="1"/>
  <c r="B192" i="49" s="1"/>
  <c r="A83" i="49" a="1"/>
  <c r="A83" i="49" s="1"/>
  <c r="A114" i="49" a="1"/>
  <c r="A114" i="49" s="1"/>
  <c r="B201" i="49" a="1"/>
  <c r="B201" i="49" s="1"/>
  <c r="J231" i="49" a="1"/>
  <c r="J231" i="49" s="1"/>
  <c r="J168" i="49" a="1"/>
  <c r="J168" i="49" s="1"/>
  <c r="B215" i="49" a="1"/>
  <c r="B215" i="49" s="1"/>
  <c r="B307" i="49" a="1"/>
  <c r="B307" i="49" s="1"/>
  <c r="J23" i="49" a="1"/>
  <c r="J23" i="49" s="1"/>
  <c r="A62" i="49" a="1"/>
  <c r="A62" i="49" s="1"/>
  <c r="B170" i="49" a="1"/>
  <c r="B170" i="49" s="1"/>
  <c r="A18" i="49" a="1"/>
  <c r="A18" i="49" s="1"/>
  <c r="A340" i="49" a="1"/>
  <c r="A340" i="49" s="1"/>
  <c r="A158" i="49" a="1"/>
  <c r="A158" i="49" s="1"/>
  <c r="B269" i="49" a="1"/>
  <c r="B269" i="49" s="1"/>
  <c r="B214" i="49" a="1"/>
  <c r="B214" i="49" s="1"/>
  <c r="J39" i="49" a="1"/>
  <c r="J39" i="49" s="1"/>
  <c r="B130" i="49" a="1"/>
  <c r="B130" i="49" s="1"/>
  <c r="A260" i="49" a="1"/>
  <c r="A260" i="49" s="1"/>
  <c r="J22" i="49" a="1"/>
  <c r="J22" i="49" s="1"/>
  <c r="J330" i="49" a="1"/>
  <c r="J330" i="49" s="1"/>
  <c r="A350" i="49" a="1"/>
  <c r="A350" i="49" s="1"/>
  <c r="B63" i="49" a="1"/>
  <c r="B63" i="49" s="1"/>
  <c r="B238" i="49" a="1"/>
  <c r="B238" i="49" s="1"/>
  <c r="J84" i="49" a="1"/>
  <c r="J84" i="49" s="1"/>
  <c r="B344" i="49" a="1"/>
  <c r="B344" i="49" s="1"/>
  <c r="J132" i="49" a="1"/>
  <c r="J132" i="49" s="1"/>
  <c r="B188" i="49" a="1"/>
  <c r="B188" i="49" s="1"/>
  <c r="B50" i="49" a="1"/>
  <c r="B50" i="49" s="1"/>
  <c r="B16" i="49" a="1"/>
  <c r="B16" i="49" s="1"/>
  <c r="J107" i="49" a="1"/>
  <c r="J107" i="49" s="1"/>
  <c r="J111" i="49" a="1"/>
  <c r="J111" i="49" s="1"/>
  <c r="B218" i="49" a="1"/>
  <c r="B218" i="49" s="1"/>
  <c r="B204" i="49" a="1"/>
  <c r="B204" i="49" s="1"/>
  <c r="J174" i="49" a="1"/>
  <c r="J174" i="49" s="1"/>
  <c r="A235" i="49" a="1"/>
  <c r="A235" i="49" s="1"/>
  <c r="B235" i="49" a="1"/>
  <c r="B235" i="49" s="1"/>
  <c r="A13" i="49" a="1"/>
  <c r="A13" i="49" s="1"/>
  <c r="A72" i="49" a="1"/>
  <c r="A72" i="49" s="1"/>
  <c r="J193" i="49" a="1"/>
  <c r="J193" i="49" s="1"/>
  <c r="B58" i="49" a="1"/>
  <c r="B58" i="49" s="1"/>
  <c r="B310" i="49" a="1"/>
  <c r="B310" i="49" s="1"/>
  <c r="A301" i="49" a="1"/>
  <c r="A301" i="49" s="1"/>
  <c r="J21" i="49" a="1"/>
  <c r="J21" i="49" s="1"/>
  <c r="J266" i="49" a="1"/>
  <c r="J266" i="49" s="1"/>
  <c r="B51" i="49" a="1"/>
  <c r="B51" i="49" s="1"/>
  <c r="B20" i="49" a="1"/>
  <c r="B20" i="49" s="1"/>
  <c r="J66" i="49" a="1"/>
  <c r="J66" i="49" s="1"/>
  <c r="J145" i="49" a="1"/>
  <c r="J145" i="49" s="1"/>
  <c r="J206" i="49" a="1"/>
  <c r="J206" i="49" s="1"/>
  <c r="B134" i="49" a="1"/>
  <c r="B134" i="49" s="1"/>
  <c r="J41" i="49" a="1"/>
  <c r="J41" i="49" s="1"/>
  <c r="B122" i="49" a="1"/>
  <c r="B122" i="49" s="1"/>
  <c r="B253" i="49" a="1"/>
  <c r="B253" i="49" s="1"/>
  <c r="J56" i="49" a="1"/>
  <c r="J56" i="49" s="1"/>
  <c r="B296" i="49" a="1"/>
  <c r="B296" i="49" s="1"/>
  <c r="A183" i="49" a="1"/>
  <c r="A183" i="49" s="1"/>
  <c r="A100" i="49" a="1"/>
  <c r="A100" i="49" s="1"/>
  <c r="B342" i="49" a="1"/>
  <c r="B342" i="49" s="1"/>
  <c r="J122" i="49" a="1"/>
  <c r="J122" i="49" s="1"/>
  <c r="A242" i="49" a="1"/>
  <c r="A242" i="49" s="1"/>
  <c r="A25" i="49" a="1"/>
  <c r="A25" i="49" s="1"/>
  <c r="A38" i="49" a="1"/>
  <c r="A38" i="49" s="1"/>
  <c r="B292" i="49" a="1"/>
  <c r="B292" i="49" s="1"/>
  <c r="A281" i="49" a="1"/>
  <c r="A281" i="49" s="1"/>
  <c r="B6" i="49" a="1"/>
  <c r="B6" i="49" s="1"/>
  <c r="B19" i="49" a="1"/>
  <c r="B19" i="49" s="1"/>
  <c r="J94" i="49" a="1"/>
  <c r="J94" i="49" s="1"/>
  <c r="A17" i="49" a="1"/>
  <c r="A17" i="49" s="1"/>
  <c r="J281" i="49" a="1"/>
  <c r="J281" i="49" s="1"/>
  <c r="B69" i="49" a="1"/>
  <c r="B69" i="49" s="1"/>
  <c r="J87" i="49" a="1"/>
  <c r="J87" i="49" s="1"/>
  <c r="A354" i="49" a="1"/>
  <c r="A354" i="49" s="1"/>
  <c r="J19" i="49" a="1"/>
  <c r="J19" i="49" s="1"/>
  <c r="B328" i="49" a="1"/>
  <c r="B328" i="49" s="1"/>
  <c r="B340" i="49" a="1"/>
  <c r="B340" i="49" s="1"/>
  <c r="B213" i="49" a="1"/>
  <c r="B213" i="49" s="1"/>
  <c r="J61" i="49" a="1"/>
  <c r="J61" i="49" s="1"/>
  <c r="B254" i="49" a="1"/>
  <c r="B254" i="49" s="1"/>
  <c r="J10" i="49" a="1"/>
  <c r="J10" i="49" s="1"/>
  <c r="A176" i="49" a="1"/>
  <c r="A176" i="49" s="1"/>
  <c r="B26" i="49" a="1"/>
  <c r="B26" i="49" s="1"/>
  <c r="A276" i="49" a="1"/>
  <c r="A276" i="49" s="1"/>
  <c r="A283" i="49" a="1"/>
  <c r="A283" i="49" s="1"/>
  <c r="B108" i="49" a="1"/>
  <c r="B108" i="49" s="1"/>
  <c r="B332" i="49" a="1"/>
  <c r="B332" i="49" s="1"/>
  <c r="A138" i="49" a="1"/>
  <c r="A138" i="49" s="1"/>
  <c r="B339" i="49" a="1"/>
  <c r="B339" i="49" s="1"/>
  <c r="A191" i="49" a="1"/>
  <c r="A191" i="49" s="1"/>
  <c r="J77" i="49" a="1"/>
  <c r="J77" i="49" s="1"/>
  <c r="J324" i="49" a="1"/>
  <c r="J324" i="49" s="1"/>
  <c r="J68" i="49" a="1"/>
  <c r="J68" i="49" s="1"/>
  <c r="J243" i="49" a="1"/>
  <c r="J243" i="49" s="1"/>
  <c r="A245" i="49" a="1"/>
  <c r="A245" i="49" s="1"/>
  <c r="A289" i="49" a="1"/>
  <c r="A289" i="49" s="1"/>
  <c r="A217" i="49" a="1"/>
  <c r="A217" i="49" s="1"/>
  <c r="A30" i="49" a="1"/>
  <c r="A30" i="49" s="1"/>
  <c r="A334" i="49" a="1"/>
  <c r="A334" i="49" s="1"/>
  <c r="J310" i="49" a="1"/>
  <c r="J310" i="49" s="1"/>
  <c r="A94" i="49" a="1"/>
  <c r="A94" i="49" s="1"/>
  <c r="A209" i="49" a="1"/>
  <c r="A209" i="49" s="1"/>
  <c r="A69" i="49" a="1"/>
  <c r="A69" i="49" s="1"/>
  <c r="A169" i="49" a="1"/>
  <c r="A169" i="49" s="1"/>
  <c r="B199" i="49" a="1"/>
  <c r="B199" i="49" s="1"/>
  <c r="A148" i="49" a="1"/>
  <c r="A148" i="49" s="1"/>
  <c r="A102" i="49" a="1"/>
  <c r="A102" i="49" s="1"/>
  <c r="A174" i="49" a="1"/>
  <c r="A174" i="49" s="1"/>
  <c r="B13" i="49" a="1"/>
  <c r="B13" i="49" s="1"/>
  <c r="J224" i="49" a="1"/>
  <c r="J224" i="49" s="1"/>
  <c r="B68" i="49" a="1"/>
  <c r="B68" i="49" s="1"/>
  <c r="B90" i="49" a="1"/>
  <c r="B90" i="49" s="1"/>
  <c r="A348" i="49" a="1"/>
  <c r="A348" i="49" s="1"/>
  <c r="J13" i="49" a="1"/>
  <c r="J13" i="49" s="1"/>
  <c r="J125" i="49" a="1"/>
  <c r="J125" i="49" s="1"/>
  <c r="J185" i="49" a="1"/>
  <c r="J185" i="49" s="1"/>
  <c r="J117" i="49" a="1"/>
  <c r="J117" i="49" s="1"/>
  <c r="B102" i="49" a="1"/>
  <c r="B102" i="49" s="1"/>
  <c r="B116" i="49" a="1"/>
  <c r="B116" i="49" s="1"/>
  <c r="J44" i="49" a="1"/>
  <c r="J44" i="49" s="1"/>
  <c r="A210" i="49" a="1"/>
  <c r="A210" i="49" s="1"/>
  <c r="J251" i="49" a="1"/>
  <c r="J251" i="49" s="1"/>
  <c r="A21" i="49" a="1"/>
  <c r="A21" i="49" s="1"/>
  <c r="A296" i="49" a="1"/>
  <c r="A296" i="49" s="1"/>
  <c r="A292" i="49" a="1"/>
  <c r="A292" i="49" s="1"/>
  <c r="J52" i="49" a="1"/>
  <c r="J52" i="49" s="1"/>
  <c r="B258" i="49" a="1"/>
  <c r="B258" i="49" s="1"/>
  <c r="B208" i="49" a="1"/>
  <c r="B208" i="49" s="1"/>
  <c r="A71" i="49" a="1"/>
  <c r="A71" i="49" s="1"/>
  <c r="B72" i="49" a="1"/>
  <c r="B72" i="49" s="1"/>
  <c r="A212" i="49" a="1"/>
  <c r="A212" i="49" s="1"/>
  <c r="A164" i="49" a="1"/>
  <c r="A164" i="49" s="1"/>
  <c r="B84" i="49" a="1"/>
  <c r="B84" i="49" s="1"/>
  <c r="J133" i="49" a="1"/>
  <c r="J133" i="49" s="1"/>
  <c r="J290" i="49" a="1"/>
  <c r="J290" i="49" s="1"/>
  <c r="A179" i="49" a="1"/>
  <c r="A179" i="49" s="1"/>
  <c r="A267" i="49" a="1"/>
  <c r="A267" i="49" s="1"/>
  <c r="B202" i="49" a="1"/>
  <c r="B202" i="49" s="1"/>
  <c r="A107" i="49" a="1"/>
  <c r="A107" i="49" s="1"/>
  <c r="A345" i="49" a="1"/>
  <c r="A345" i="49" s="1"/>
  <c r="J241" i="49" a="1"/>
  <c r="J241" i="49" s="1"/>
  <c r="J292" i="49" a="1"/>
  <c r="J292" i="49" s="1"/>
  <c r="A147" i="49" a="1"/>
  <c r="A147" i="49" s="1"/>
  <c r="A11" i="49" a="1"/>
  <c r="A11" i="49" s="1"/>
  <c r="A286" i="49" a="1"/>
  <c r="A286" i="49" s="1"/>
  <c r="J252" i="49" a="1"/>
  <c r="J252" i="49" s="1"/>
  <c r="B317" i="49" a="1"/>
  <c r="B317" i="49" s="1"/>
  <c r="B91" i="49" a="1"/>
  <c r="B91" i="49" s="1"/>
  <c r="J160" i="49" a="1"/>
  <c r="J160" i="49" s="1"/>
  <c r="A343" i="49" a="1"/>
  <c r="A343" i="49" s="1"/>
  <c r="A136" i="49" a="1"/>
  <c r="A136" i="49" s="1"/>
  <c r="B82" i="49" a="1"/>
  <c r="B82" i="49" s="1"/>
  <c r="J238" i="49" a="1"/>
  <c r="J238" i="49" s="1"/>
  <c r="A85" i="49" a="1"/>
  <c r="A85" i="49" s="1"/>
  <c r="A92" i="49" a="1"/>
  <c r="A92" i="49" s="1"/>
  <c r="A153" i="49" a="1"/>
  <c r="A153" i="49" s="1"/>
  <c r="B139" i="49" a="1"/>
  <c r="B139" i="49" s="1"/>
  <c r="A196" i="49" a="1"/>
  <c r="A196" i="49" s="1"/>
  <c r="A355" i="49" a="1"/>
  <c r="A355" i="49" s="1"/>
  <c r="J315" i="49" a="1"/>
  <c r="J315" i="49" s="1"/>
  <c r="B161" i="49" a="1"/>
  <c r="B161" i="49" s="1"/>
  <c r="A171" i="49" a="1"/>
  <c r="A171" i="49" s="1"/>
  <c r="A251" i="49" a="1"/>
  <c r="A251" i="49" s="1"/>
  <c r="J191" i="49" a="1"/>
  <c r="J191" i="49" s="1"/>
  <c r="B60" i="49" a="1"/>
  <c r="B60" i="49" s="1"/>
  <c r="J197" i="49" a="1"/>
  <c r="J197" i="49" s="1"/>
  <c r="J184" i="49" a="1"/>
  <c r="J184" i="49" s="1"/>
  <c r="J45" i="49" a="1"/>
  <c r="J45" i="49" s="1"/>
  <c r="B73" i="49" a="1"/>
  <c r="B73" i="49" s="1"/>
  <c r="B287" i="49" a="1"/>
  <c r="B287" i="49" s="1"/>
  <c r="A336" i="49" a="1"/>
  <c r="A336" i="49" s="1"/>
  <c r="A182" i="49" a="1"/>
  <c r="A182" i="49" s="1"/>
  <c r="B53" i="49" a="1"/>
  <c r="B53" i="49" s="1"/>
  <c r="J321" i="49" a="1"/>
  <c r="J321" i="49" s="1"/>
  <c r="B333" i="49" a="1"/>
  <c r="B333" i="49" s="1"/>
  <c r="B308" i="49" a="1"/>
  <c r="B308" i="49" s="1"/>
  <c r="A74" i="49" a="1"/>
  <c r="A74" i="49" s="1"/>
  <c r="J312" i="49" a="1"/>
  <c r="J312" i="49" s="1"/>
  <c r="B171" i="49" a="1"/>
  <c r="B171" i="49" s="1"/>
  <c r="J346" i="49" a="1"/>
  <c r="J346" i="49" s="1"/>
  <c r="B99" i="49" a="1"/>
  <c r="B99" i="49" s="1"/>
  <c r="A273" i="49" a="1"/>
  <c r="A273" i="49" s="1"/>
  <c r="A76" i="49" a="1"/>
  <c r="A76" i="49" s="1"/>
  <c r="A55" i="49" a="1"/>
  <c r="A55" i="49" s="1"/>
  <c r="B76" i="49" a="1"/>
  <c r="B76" i="49" s="1"/>
  <c r="B305" i="49" a="1"/>
  <c r="B305" i="49" s="1"/>
  <c r="J98" i="49" a="1"/>
  <c r="J98" i="49" s="1"/>
  <c r="A187" i="49" a="1"/>
  <c r="A187" i="49" s="1"/>
  <c r="A184" i="49" a="1"/>
  <c r="A184" i="49" s="1"/>
  <c r="J256" i="49" a="1"/>
  <c r="J256" i="49" s="1"/>
  <c r="A48" i="49" a="1"/>
  <c r="A48" i="49" s="1"/>
  <c r="J260" i="49" a="1"/>
  <c r="J260" i="49" s="1"/>
  <c r="B231" i="49" a="1"/>
  <c r="B231" i="49" s="1"/>
  <c r="J284" i="49" a="1"/>
  <c r="J284" i="49" s="1"/>
  <c r="A16" i="49" a="1"/>
  <c r="A16" i="49" s="1"/>
  <c r="J229" i="49" a="1"/>
  <c r="J229" i="49" s="1"/>
  <c r="B70" i="49" a="1"/>
  <c r="B70" i="49" s="1"/>
  <c r="A246" i="49" a="1"/>
  <c r="A246" i="49" s="1"/>
  <c r="A299" i="49" a="1"/>
  <c r="A299" i="49" s="1"/>
  <c r="B129" i="49" a="1"/>
  <c r="B129" i="49" s="1"/>
  <c r="B227" i="49" a="1"/>
  <c r="B227" i="49" s="1"/>
  <c r="J222" i="49" a="1"/>
  <c r="J222" i="49" s="1"/>
  <c r="J317" i="49" a="1"/>
  <c r="J317" i="49" s="1"/>
  <c r="A257" i="49" a="1"/>
  <c r="A257" i="49" s="1"/>
  <c r="A272" i="49" a="1"/>
  <c r="A272" i="49" s="1"/>
  <c r="A7" i="49" a="1"/>
  <c r="A7" i="49" s="1"/>
  <c r="A203" i="49" a="1"/>
  <c r="A203" i="49" s="1"/>
  <c r="A146" i="49" a="1"/>
  <c r="A146" i="49" s="1"/>
  <c r="J141" i="49" a="1"/>
  <c r="J141" i="49" s="1"/>
  <c r="B74" i="49" a="1"/>
  <c r="B74" i="49" s="1"/>
  <c r="A168" i="49" a="1"/>
  <c r="A168" i="49" s="1"/>
  <c r="J106" i="49" a="1"/>
  <c r="J106" i="49" s="1"/>
  <c r="J91" i="49" a="1"/>
  <c r="J91" i="49" s="1"/>
  <c r="B117" i="49" a="1"/>
  <c r="B117" i="49" s="1"/>
  <c r="J227" i="49" a="1"/>
  <c r="J227" i="49" s="1"/>
  <c r="J299" i="49" a="1"/>
  <c r="J299" i="49" s="1"/>
  <c r="B323" i="49" a="1"/>
  <c r="B323" i="49" s="1"/>
  <c r="J273" i="49" a="1"/>
  <c r="J273" i="49" s="1"/>
  <c r="B326" i="49" a="1"/>
  <c r="B326" i="49" s="1"/>
  <c r="B79" i="49" a="1"/>
  <c r="B79" i="49" s="1"/>
  <c r="A329" i="49" a="1"/>
  <c r="A329" i="49" s="1"/>
  <c r="B9" i="49" a="1"/>
  <c r="B9" i="49" s="1"/>
  <c r="A197" i="49" a="1"/>
  <c r="A197" i="49" s="1"/>
  <c r="B286" i="49" a="1"/>
  <c r="B286" i="49" s="1"/>
  <c r="A101" i="49" a="1"/>
  <c r="A101" i="49" s="1"/>
  <c r="B147" i="49" a="1"/>
  <c r="B147" i="49" s="1"/>
  <c r="A309" i="49" a="1"/>
  <c r="A309" i="49" s="1"/>
  <c r="J181" i="49" a="1"/>
  <c r="J181" i="49" s="1"/>
  <c r="A339" i="49" a="1"/>
  <c r="A339" i="49" s="1"/>
  <c r="J304" i="49" a="1"/>
  <c r="J304" i="49" s="1"/>
  <c r="A327" i="49" a="1"/>
  <c r="A327" i="49" s="1"/>
  <c r="J297" i="49" a="1"/>
  <c r="J297" i="49" s="1"/>
  <c r="B61" i="49" a="1"/>
  <c r="B61" i="49" s="1"/>
  <c r="A274" i="49" a="1"/>
  <c r="A274" i="49" s="1"/>
  <c r="J285" i="49" a="1"/>
  <c r="J285" i="49" s="1"/>
  <c r="J81" i="49" a="1"/>
  <c r="J81" i="49" s="1"/>
  <c r="A135" i="49" a="1"/>
  <c r="A135" i="49" s="1"/>
  <c r="J95" i="49" a="1"/>
  <c r="J95" i="49" s="1"/>
  <c r="A51" i="49" a="1"/>
  <c r="A51" i="49" s="1"/>
  <c r="B121" i="49" a="1"/>
  <c r="B121" i="49" s="1"/>
  <c r="B203" i="49" a="1"/>
  <c r="B203" i="49" s="1"/>
  <c r="B289" i="49" a="1"/>
  <c r="B289" i="49" s="1"/>
  <c r="B150" i="49" a="1"/>
  <c r="B150" i="49" s="1"/>
  <c r="A338" i="49" a="1"/>
  <c r="A338" i="49" s="1"/>
  <c r="B135" i="49" a="1"/>
  <c r="B135" i="49" s="1"/>
  <c r="B111" i="49" a="1"/>
  <c r="B111" i="49" s="1"/>
  <c r="B165" i="49" a="1"/>
  <c r="B165" i="49" s="1"/>
  <c r="A19" i="49" a="1"/>
  <c r="A19" i="49" s="1"/>
  <c r="B65" i="49" a="1"/>
  <c r="B65" i="49" s="1"/>
  <c r="A288" i="49" a="1"/>
  <c r="A288" i="49" s="1"/>
  <c r="J225" i="49" a="1"/>
  <c r="J225" i="49" s="1"/>
  <c r="J212" i="49" a="1"/>
  <c r="J212" i="49" s="1"/>
  <c r="B351" i="49" a="1"/>
  <c r="B351" i="49" s="1"/>
  <c r="J43" i="49" a="1"/>
  <c r="J43" i="49" s="1"/>
  <c r="J97" i="49" a="1"/>
  <c r="J97" i="49" s="1"/>
  <c r="A20" i="49" a="1"/>
  <c r="A20" i="49" s="1"/>
  <c r="A307" i="49" a="1"/>
  <c r="A307" i="49" s="1"/>
  <c r="B354" i="49" a="1"/>
  <c r="B354" i="49" s="1"/>
  <c r="J151" i="49" a="1"/>
  <c r="J151" i="49" s="1"/>
  <c r="J350" i="49" a="1"/>
  <c r="J350" i="49" s="1"/>
  <c r="J247" i="49" a="1"/>
  <c r="J247" i="49" s="1"/>
  <c r="J170" i="49" a="1"/>
  <c r="J170" i="49" s="1"/>
  <c r="B225" i="49" a="1"/>
  <c r="B225" i="49" s="1"/>
  <c r="A239" i="49" a="1"/>
  <c r="A239" i="49" s="1"/>
  <c r="J166" i="49" a="1"/>
  <c r="J166" i="49" s="1"/>
  <c r="J351" i="49" a="1"/>
  <c r="J351" i="49" s="1"/>
  <c r="A152" i="49" a="1"/>
  <c r="A152" i="49" s="1"/>
  <c r="A150" i="49" a="1"/>
  <c r="A150" i="49" s="1"/>
  <c r="A24" i="49" a="1"/>
  <c r="A24" i="49" s="1"/>
  <c r="A90" i="49" a="1"/>
  <c r="A90" i="49" s="1"/>
  <c r="A254" i="49" a="1"/>
  <c r="A254" i="49" s="1"/>
  <c r="B240" i="49" a="1"/>
  <c r="B240" i="49" s="1"/>
  <c r="B311" i="49" a="1"/>
  <c r="B311" i="49" s="1"/>
  <c r="B119" i="49" a="1"/>
  <c r="B119" i="49" s="1"/>
  <c r="J344" i="49" a="1"/>
  <c r="J344" i="49" s="1"/>
  <c r="A9" i="49" a="1"/>
  <c r="A9" i="49" s="1"/>
  <c r="J277" i="49" a="1"/>
  <c r="J277" i="49" s="1"/>
  <c r="B302" i="49" a="1"/>
  <c r="B302" i="49" s="1"/>
  <c r="B140" i="49" a="1"/>
  <c r="B140" i="49" s="1"/>
  <c r="J12" i="49" a="1"/>
  <c r="J12" i="49" s="1"/>
  <c r="A31" i="49" a="1"/>
  <c r="A31" i="49" s="1"/>
  <c r="B96" i="49" a="1"/>
  <c r="B96" i="49" s="1"/>
  <c r="J253" i="49" a="1"/>
  <c r="J253" i="49" s="1"/>
  <c r="B120" i="49" a="1"/>
  <c r="B120" i="49" s="1"/>
  <c r="B206" i="49" a="1"/>
  <c r="B206" i="49" s="1"/>
  <c r="B273" i="49" a="1"/>
  <c r="B273" i="49" s="1"/>
  <c r="B89" i="49" a="1"/>
  <c r="B89" i="49" s="1"/>
  <c r="J200" i="49" a="1"/>
  <c r="J200" i="49" s="1"/>
  <c r="B176" i="49" a="1"/>
  <c r="B176" i="49" s="1"/>
  <c r="A227" i="49" a="1"/>
  <c r="A227" i="49" s="1"/>
  <c r="J319" i="49" a="1"/>
  <c r="J319" i="49" s="1"/>
  <c r="A351" i="49" a="1"/>
  <c r="A351" i="49" s="1"/>
  <c r="B144" i="49" a="1"/>
  <c r="B144" i="49" s="1"/>
  <c r="A180" i="49" a="1"/>
  <c r="A180" i="49" s="1"/>
  <c r="B172" i="49" a="1"/>
  <c r="B172" i="49" s="1"/>
  <c r="B107" i="49" a="1"/>
  <c r="B107" i="49" s="1"/>
  <c r="A316" i="49" a="1"/>
  <c r="A316" i="49" s="1"/>
  <c r="A300" i="49" a="1"/>
  <c r="A300" i="49" s="1"/>
  <c r="J137" i="49" a="1"/>
  <c r="J137" i="49" s="1"/>
  <c r="J248" i="49" a="1"/>
  <c r="J248" i="49" s="1"/>
  <c r="A263" i="49" a="1"/>
  <c r="A263" i="49" s="1"/>
  <c r="J254" i="49" a="1"/>
  <c r="J254" i="49" s="1"/>
  <c r="A323" i="49" a="1"/>
  <c r="A323" i="49" s="1"/>
  <c r="J127" i="49" a="1"/>
  <c r="J127" i="49" s="1"/>
  <c r="J311" i="49" a="1"/>
  <c r="J311" i="49" s="1"/>
  <c r="J89" i="49" a="1"/>
  <c r="J89" i="49" s="1"/>
  <c r="A293" i="49" a="1"/>
  <c r="A293" i="49" s="1"/>
  <c r="J337" i="49" a="1"/>
  <c r="J337" i="49" s="1"/>
  <c r="J108" i="49" a="1"/>
  <c r="J108" i="49" s="1"/>
  <c r="A54" i="49" a="1"/>
  <c r="A54" i="49" s="1"/>
  <c r="J112" i="49" a="1"/>
  <c r="J112" i="49" s="1"/>
  <c r="A318" i="49" a="1"/>
  <c r="A318" i="49" s="1"/>
  <c r="B350" i="49" a="1"/>
  <c r="B350" i="49" s="1"/>
  <c r="B309" i="49" a="1"/>
  <c r="B309" i="49" s="1"/>
  <c r="A291" i="49" a="1"/>
  <c r="A291" i="49" s="1"/>
  <c r="J208" i="49" a="1"/>
  <c r="J208" i="49" s="1"/>
  <c r="B353" i="49" a="1"/>
  <c r="B353" i="49" s="1"/>
  <c r="J165" i="49" a="1"/>
  <c r="J165" i="49" s="1"/>
  <c r="J120" i="49" a="1"/>
  <c r="J120" i="49" s="1"/>
  <c r="J8" i="49" a="1"/>
  <c r="J8" i="49" s="1"/>
  <c r="B336" i="49" a="1"/>
  <c r="B336" i="49" s="1"/>
  <c r="J187" i="49" a="1"/>
  <c r="J187" i="49" s="1"/>
  <c r="B324" i="49" a="1"/>
  <c r="B324" i="49" s="1"/>
  <c r="B145" i="49" a="1"/>
  <c r="B145" i="49" s="1"/>
  <c r="B271" i="49" a="1"/>
  <c r="B271" i="49" s="1"/>
  <c r="B293" i="49" a="1"/>
  <c r="B293" i="49" s="1"/>
  <c r="A287" i="49" a="1"/>
  <c r="A287" i="49" s="1"/>
  <c r="J110" i="49" a="1"/>
  <c r="J110" i="49" s="1"/>
  <c r="J289" i="49" a="1"/>
  <c r="J289" i="49" s="1"/>
  <c r="J234" i="49" a="1"/>
  <c r="J234" i="49" s="1"/>
  <c r="B75" i="49" a="1"/>
  <c r="B75" i="49" s="1"/>
  <c r="J192" i="49" a="1"/>
  <c r="J192" i="49" s="1"/>
  <c r="A97" i="49" a="1"/>
  <c r="A97" i="49" s="1"/>
  <c r="A79" i="49" a="1"/>
  <c r="A79" i="49" s="1"/>
  <c r="J309" i="49" a="1"/>
  <c r="J309" i="49" s="1"/>
  <c r="J226" i="49" a="1"/>
  <c r="J226" i="49" s="1"/>
  <c r="B313" i="49" a="1"/>
  <c r="B313" i="49" s="1"/>
  <c r="J279" i="49" a="1"/>
  <c r="J279" i="49" s="1"/>
  <c r="A230" i="49" a="1"/>
  <c r="A230" i="49" s="1"/>
  <c r="J232" i="49" a="1"/>
  <c r="J232" i="49" s="1"/>
  <c r="B132" i="49" a="1"/>
  <c r="B132" i="49" s="1"/>
  <c r="B239" i="49" a="1"/>
  <c r="B239" i="49" s="1"/>
  <c r="A207" i="49" a="1"/>
  <c r="A207" i="49" s="1"/>
  <c r="J240" i="49" a="1"/>
  <c r="J240" i="49" s="1"/>
  <c r="A233" i="49" a="1"/>
  <c r="A233" i="49" s="1"/>
  <c r="A193" i="49" a="1"/>
  <c r="A193" i="49" s="1"/>
  <c r="A86" i="49" a="1"/>
  <c r="A86" i="49" s="1"/>
  <c r="J119" i="49" a="1"/>
  <c r="J119" i="49" s="1"/>
  <c r="J172" i="49" a="1"/>
  <c r="J172" i="49" s="1"/>
  <c r="B23" i="49" a="1"/>
  <c r="B23" i="49" s="1"/>
  <c r="A216" i="49" a="1"/>
  <c r="A216" i="49" s="1"/>
  <c r="J128" i="49" a="1"/>
  <c r="J128" i="49" s="1"/>
  <c r="J340" i="49" a="1"/>
  <c r="J340" i="49" s="1"/>
  <c r="J182" i="49" a="1"/>
  <c r="J182" i="49" s="1"/>
  <c r="B113" i="49" a="1"/>
  <c r="B113" i="49" s="1"/>
  <c r="J27" i="49" a="1"/>
  <c r="J27" i="49" s="1"/>
  <c r="B345" i="49" a="1"/>
  <c r="B345" i="49" s="1"/>
  <c r="A93" i="49" a="1"/>
  <c r="A93" i="49" s="1"/>
  <c r="A40" i="49" a="1"/>
  <c r="A40" i="49" s="1"/>
  <c r="B182" i="49" a="1"/>
  <c r="B182" i="49" s="1"/>
  <c r="B236" i="49" a="1"/>
  <c r="B236" i="49" s="1"/>
  <c r="B146" i="49" a="1"/>
  <c r="B146" i="49" s="1"/>
  <c r="A81" i="49" a="1"/>
  <c r="A81" i="49" s="1"/>
  <c r="B298" i="49" a="1"/>
  <c r="B298" i="49" s="1"/>
  <c r="A33" i="49" a="1"/>
  <c r="A33" i="49" s="1"/>
  <c r="J264" i="49" a="1"/>
  <c r="J264" i="49" s="1"/>
  <c r="A111" i="49" a="1"/>
  <c r="A111" i="49" s="1"/>
  <c r="A113" i="49" a="1"/>
  <c r="A113" i="49" s="1"/>
  <c r="A95" i="49" a="1"/>
  <c r="A95" i="49" s="1"/>
  <c r="A308" i="49" a="1"/>
  <c r="A308" i="49" s="1"/>
  <c r="B278" i="49" a="1"/>
  <c r="B278" i="49" s="1"/>
  <c r="J261" i="49" a="1"/>
  <c r="J261" i="49" s="1"/>
  <c r="A199" i="49" a="1"/>
  <c r="A199" i="49" s="1"/>
  <c r="J354" i="49" a="1"/>
  <c r="J354" i="49" s="1"/>
  <c r="B195" i="49" a="1"/>
  <c r="B195" i="49" s="1"/>
  <c r="A198" i="49" a="1"/>
  <c r="A198" i="49" s="1"/>
  <c r="J272" i="49" a="1"/>
  <c r="J272" i="49" s="1"/>
  <c r="B174" i="49" a="1"/>
  <c r="B174" i="49" s="1"/>
  <c r="J85" i="49" a="1"/>
  <c r="J85" i="49" s="1"/>
  <c r="A315" i="49" a="1"/>
  <c r="A315" i="49" s="1"/>
  <c r="B47" i="49" a="1"/>
  <c r="B47" i="49" s="1"/>
  <c r="A10" i="49" a="1"/>
  <c r="A10" i="49" s="1"/>
  <c r="B156" i="49" a="1"/>
  <c r="B156" i="49" s="1"/>
  <c r="A59" i="49" a="1"/>
  <c r="A59" i="49" s="1"/>
  <c r="J278" i="49" a="1"/>
  <c r="J278" i="49" s="1"/>
  <c r="J149" i="49" a="1"/>
  <c r="J149" i="49" s="1"/>
  <c r="B274" i="49" a="1"/>
  <c r="B274" i="49" s="1"/>
  <c r="B220" i="49" a="1"/>
  <c r="B220" i="49" s="1"/>
  <c r="B45" i="49" a="1"/>
  <c r="B45" i="49" s="1"/>
  <c r="A320" i="49" a="1"/>
  <c r="A320" i="49" s="1"/>
  <c r="A82" i="49" a="1"/>
  <c r="A82" i="49" s="1"/>
  <c r="B62" i="49" a="1"/>
  <c r="B62" i="49" s="1"/>
  <c r="A115" i="49" a="1"/>
  <c r="A115" i="49" s="1"/>
  <c r="B303" i="49" a="1"/>
  <c r="B303" i="49" s="1"/>
  <c r="B216" i="49" a="1"/>
  <c r="B216" i="49" s="1"/>
  <c r="B217" i="49" a="1"/>
  <c r="B217" i="49" s="1"/>
  <c r="J124" i="49" a="1"/>
  <c r="J124" i="49" s="1"/>
  <c r="J49" i="49" a="1"/>
  <c r="J49" i="49" s="1"/>
  <c r="J150" i="49" a="1"/>
  <c r="J150" i="49" s="1"/>
  <c r="F52" i="33" a="1"/>
  <c r="F52" i="33" s="1"/>
  <c r="K6" i="33"/>
  <c r="A6" i="33" s="1" a="1"/>
  <c r="A6" i="33" s="1"/>
  <c r="A31" i="33" a="1"/>
  <c r="A31" i="33" s="1"/>
  <c r="F53" i="33" a="1"/>
  <c r="F53" i="33" s="1"/>
  <c r="A70" i="33" a="1"/>
  <c r="A70" i="33" s="1"/>
  <c r="F47" i="33" a="1"/>
  <c r="F47" i="33" s="1"/>
  <c r="F85" i="33" a="1"/>
  <c r="F85" i="33" s="1"/>
  <c r="F10" i="33" a="1"/>
  <c r="F10" i="33" s="1"/>
  <c r="F38" i="33" a="1"/>
  <c r="F38" i="33" s="1"/>
  <c r="F66" i="33" a="1"/>
  <c r="F66" i="33" s="1"/>
  <c r="F50" i="33" a="1"/>
  <c r="F50" i="33" s="1"/>
  <c r="F6" i="33" a="1"/>
  <c r="F6" i="33" s="1"/>
  <c r="A18" i="33" a="1"/>
  <c r="A18" i="33" s="1"/>
  <c r="F12" i="33" a="1"/>
  <c r="F12" i="33" s="1"/>
  <c r="F9" i="33" a="1"/>
  <c r="F9" i="33" s="1"/>
  <c r="F24" i="33" a="1"/>
  <c r="F24" i="33" s="1"/>
  <c r="A40" i="33" a="1"/>
  <c r="A40" i="33" s="1"/>
  <c r="A16" i="33" a="1"/>
  <c r="A16" i="33" s="1"/>
  <c r="F82" i="33" a="1"/>
  <c r="F82" i="33" s="1"/>
  <c r="A65" i="33" a="1"/>
  <c r="A65" i="33" s="1"/>
  <c r="A68" i="33" a="1"/>
  <c r="A68" i="33" s="1"/>
  <c r="F84" i="33" a="1"/>
  <c r="F84" i="33" s="1"/>
  <c r="A13" i="33" a="1"/>
  <c r="A13" i="33" s="1"/>
  <c r="A44" i="33" a="1"/>
  <c r="A44" i="33" s="1"/>
  <c r="F13" i="33" a="1"/>
  <c r="F13" i="33" s="1"/>
  <c r="A85" i="33" a="1"/>
  <c r="A85" i="33" s="1"/>
  <c r="A55" i="33" a="1"/>
  <c r="A55" i="33" s="1"/>
  <c r="A56" i="33" a="1"/>
  <c r="A56" i="33" s="1"/>
  <c r="A9" i="33" a="1"/>
  <c r="A9" i="33" s="1"/>
  <c r="A52" i="33" a="1"/>
  <c r="A52" i="33" s="1"/>
  <c r="F72" i="33" a="1"/>
  <c r="F72" i="33" s="1"/>
  <c r="F31" i="33" a="1"/>
  <c r="F31" i="33" s="1"/>
  <c r="A66" i="33" a="1"/>
  <c r="A66" i="33" s="1"/>
  <c r="F55" i="33" a="1"/>
  <c r="F55" i="33" s="1"/>
  <c r="F69" i="33" a="1"/>
  <c r="F69" i="33" s="1"/>
  <c r="F81" i="33" a="1"/>
  <c r="F81" i="33" s="1"/>
  <c r="A62" i="33" a="1"/>
  <c r="A62" i="33" s="1"/>
  <c r="A82" i="33" a="1"/>
  <c r="A82" i="33" s="1"/>
  <c r="A75" i="33" a="1"/>
  <c r="A75" i="33" s="1"/>
  <c r="A15" i="33" a="1"/>
  <c r="A15" i="33" s="1"/>
  <c r="A48" i="33" a="1"/>
  <c r="A48" i="33" s="1"/>
  <c r="A11" i="33" a="1"/>
  <c r="A11" i="33" s="1"/>
  <c r="F46" i="33" a="1"/>
  <c r="F46" i="33" s="1"/>
  <c r="F64" i="33" a="1"/>
  <c r="F64" i="33" s="1"/>
  <c r="F70" i="33" a="1"/>
  <c r="F70" i="33" s="1"/>
  <c r="A8" i="33" a="1"/>
  <c r="A8" i="33" s="1"/>
  <c r="A63" i="33" a="1"/>
  <c r="A63" i="33" s="1"/>
  <c r="A26" i="33" a="1"/>
  <c r="A26" i="33" s="1"/>
  <c r="F77" i="33" a="1"/>
  <c r="F77" i="33" s="1"/>
  <c r="A22" i="33" a="1"/>
  <c r="A22" i="33" s="1"/>
  <c r="F57" i="33" a="1"/>
  <c r="F57" i="33" s="1"/>
  <c r="A73" i="33" a="1"/>
  <c r="A73" i="33" s="1"/>
  <c r="A17" i="33" a="1"/>
  <c r="A17" i="33" s="1"/>
  <c r="A30" i="33" a="1"/>
  <c r="A30" i="33" s="1"/>
  <c r="F59" i="33" a="1"/>
  <c r="F59" i="33" s="1"/>
  <c r="A78" i="33" a="1"/>
  <c r="A78" i="33" s="1"/>
  <c r="A21" i="33" a="1"/>
  <c r="A21" i="33" s="1"/>
  <c r="A27" i="33" a="1"/>
  <c r="A27" i="33" s="1"/>
  <c r="A23" i="33" a="1"/>
  <c r="A23" i="33" s="1"/>
  <c r="F45" i="33" a="1"/>
  <c r="F45" i="33" s="1"/>
  <c r="A72" i="33" a="1"/>
  <c r="A72" i="33" s="1"/>
  <c r="A45" i="33" a="1"/>
  <c r="A45" i="33" s="1"/>
  <c r="F65" i="33" a="1"/>
  <c r="F65" i="33" s="1"/>
  <c r="F67" i="33" a="1"/>
  <c r="F67" i="33" s="1"/>
  <c r="A36" i="33" a="1"/>
  <c r="A36" i="33" s="1"/>
  <c r="A54" i="33" a="1"/>
  <c r="A54" i="33" s="1"/>
  <c r="A7" i="33" a="1"/>
  <c r="A7" i="33" s="1"/>
  <c r="F71" i="33" a="1"/>
  <c r="F71" i="33" s="1"/>
  <c r="F83" i="33" a="1"/>
  <c r="F83" i="33" s="1"/>
  <c r="A61" i="33" a="1"/>
  <c r="A61" i="33" s="1"/>
  <c r="F42" i="33" a="1"/>
  <c r="F42" i="33" s="1"/>
  <c r="A29" i="33" a="1"/>
  <c r="A29" i="33" s="1"/>
  <c r="F23" i="33" a="1"/>
  <c r="F23" i="33" s="1"/>
  <c r="F44" i="33" a="1"/>
  <c r="F44" i="33" s="1"/>
  <c r="F43" i="33" a="1"/>
  <c r="F43" i="33" s="1"/>
  <c r="F60" i="33" a="1"/>
  <c r="F60" i="33" s="1"/>
  <c r="A38" i="33" a="1"/>
  <c r="A38" i="33" s="1"/>
  <c r="F27" i="33" a="1"/>
  <c r="F27" i="33" s="1"/>
  <c r="F62" i="33" a="1"/>
  <c r="F62" i="33" s="1"/>
  <c r="A80" i="33" a="1"/>
  <c r="A80" i="33" s="1"/>
  <c r="F30" i="33" a="1"/>
  <c r="F30" i="33" s="1"/>
  <c r="A42" i="33" a="1"/>
  <c r="A42" i="33" s="1"/>
  <c r="F56" i="33" a="1"/>
  <c r="F56" i="33" s="1"/>
  <c r="A71" i="33" a="1"/>
  <c r="A71" i="33" s="1"/>
  <c r="A32" i="33" a="1"/>
  <c r="A32" i="33" s="1"/>
  <c r="A53" i="33" a="1"/>
  <c r="A53" i="33" s="1"/>
  <c r="F63" i="33" a="1"/>
  <c r="F63" i="33" s="1"/>
  <c r="F51" i="33" a="1"/>
  <c r="F51" i="33" s="1"/>
  <c r="A81" i="33" a="1"/>
  <c r="A81" i="33" s="1"/>
  <c r="F76" i="33" a="1"/>
  <c r="F76" i="33" s="1"/>
  <c r="A20" i="33" a="1"/>
  <c r="A20" i="33" s="1"/>
  <c r="A43" i="33" a="1"/>
  <c r="A43" i="33" s="1"/>
  <c r="A24" i="33" a="1"/>
  <c r="A24" i="33" s="1"/>
  <c r="F58" i="33" a="1"/>
  <c r="F58" i="33" s="1"/>
  <c r="A47" i="33" a="1"/>
  <c r="A47" i="33" s="1"/>
  <c r="F22" i="33" a="1"/>
  <c r="F22" i="33" s="1"/>
  <c r="F11" i="33" a="1"/>
  <c r="F11" i="33" s="1"/>
  <c r="A34" i="33" a="1"/>
  <c r="A34" i="33" s="1"/>
  <c r="F54" i="33" a="1"/>
  <c r="F54" i="33" s="1"/>
  <c r="A14" i="33" a="1"/>
  <c r="A14" i="33" s="1"/>
  <c r="A77" i="33" a="1"/>
  <c r="A77" i="33" s="1"/>
  <c r="F39" i="33" a="1"/>
  <c r="F39" i="33" s="1"/>
  <c r="A28" i="33" a="1"/>
  <c r="A28" i="33" s="1"/>
  <c r="F25" i="33" a="1"/>
  <c r="F25" i="33" s="1"/>
  <c r="A60" i="33" a="1"/>
  <c r="A60" i="33" s="1"/>
  <c r="A12" i="33" a="1"/>
  <c r="A12" i="33" s="1"/>
  <c r="F48" i="33" a="1"/>
  <c r="F48" i="33" s="1"/>
  <c r="F79" i="33" a="1"/>
  <c r="F79" i="33" s="1"/>
  <c r="F21" i="33" a="1"/>
  <c r="F21" i="33" s="1"/>
  <c r="A25" i="33" a="1"/>
  <c r="A25" i="33" s="1"/>
  <c r="A50" i="33" a="1"/>
  <c r="A50" i="33" s="1"/>
  <c r="A83" i="33" a="1"/>
  <c r="A83" i="33" s="1"/>
  <c r="A19" i="33" a="1"/>
  <c r="A19" i="33" s="1"/>
  <c r="F20" i="33" a="1"/>
  <c r="F20" i="33" s="1"/>
  <c r="F34" i="33" a="1"/>
  <c r="F34" i="33" s="1"/>
  <c r="A79" i="33" a="1"/>
  <c r="A79" i="33" s="1"/>
  <c r="A84" i="33" a="1"/>
  <c r="A84" i="33" s="1"/>
  <c r="F78" i="33" a="1"/>
  <c r="F78" i="33" s="1"/>
  <c r="F49" i="33" a="1"/>
  <c r="F49" i="33" s="1"/>
  <c r="A33" i="33" a="1"/>
  <c r="A33" i="33" s="1"/>
  <c r="F37" i="33" a="1"/>
  <c r="F37" i="33" s="1"/>
  <c r="A67" i="33" a="1"/>
  <c r="A67" i="33" s="1"/>
  <c r="F16" i="33" a="1"/>
  <c r="F16" i="33" s="1"/>
  <c r="F35" i="33" a="1"/>
  <c r="F35" i="33" s="1"/>
  <c r="F68" i="33" a="1"/>
  <c r="F68" i="33" s="1"/>
  <c r="F73" i="33" a="1"/>
  <c r="F73" i="33" s="1"/>
  <c r="F36" i="33" a="1"/>
  <c r="F36" i="33" s="1"/>
  <c r="A10" i="33" a="1"/>
  <c r="A10" i="33" s="1"/>
  <c r="A37" i="33" a="1"/>
  <c r="A37" i="33" s="1"/>
  <c r="A39" i="33" a="1"/>
  <c r="A39" i="33" s="1"/>
  <c r="A58" i="33" a="1"/>
  <c r="A58" i="33" s="1"/>
  <c r="F61" i="33" a="1"/>
  <c r="F61" i="33" s="1"/>
  <c r="A51" i="33" a="1"/>
  <c r="A51" i="33" s="1"/>
  <c r="F29" i="33" a="1"/>
  <c r="F29" i="33" s="1"/>
  <c r="A35" i="33" a="1"/>
  <c r="A35" i="33" s="1"/>
  <c r="F74" i="33" a="1"/>
  <c r="F74" i="33" s="1"/>
  <c r="F15" i="33" a="1"/>
  <c r="F15" i="33" s="1"/>
  <c r="F28" i="33" a="1"/>
  <c r="F28" i="33" s="1"/>
  <c r="A59" i="33" a="1"/>
  <c r="A59" i="33" s="1"/>
  <c r="A41" i="33" a="1"/>
  <c r="A41" i="33" s="1"/>
  <c r="F8" i="33" a="1"/>
  <c r="F8" i="33" s="1"/>
  <c r="A57" i="33" a="1"/>
  <c r="A57" i="33" s="1"/>
  <c r="F18" i="33" a="1"/>
  <c r="F18" i="33" s="1"/>
  <c r="F7" i="33" a="1"/>
  <c r="F7" i="33" s="1"/>
  <c r="F40" i="33" a="1"/>
  <c r="F40" i="33" s="1"/>
  <c r="F14" i="33" a="1"/>
  <c r="F14" i="33" s="1"/>
  <c r="A74" i="33" a="1"/>
  <c r="A74" i="33" s="1"/>
  <c r="A49" i="33" a="1"/>
  <c r="A49" i="33" s="1"/>
  <c r="A76" i="33" a="1"/>
  <c r="A76" i="33" s="1"/>
  <c r="F26" i="33" a="1"/>
  <c r="F26" i="33" s="1"/>
  <c r="F17" i="33" a="1"/>
  <c r="F17" i="33" s="1"/>
  <c r="F80" i="33" a="1"/>
  <c r="F80" i="33" s="1"/>
  <c r="A69" i="33" a="1"/>
  <c r="A69" i="33" s="1"/>
  <c r="F32" i="33" a="1"/>
  <c r="F32" i="33" s="1"/>
  <c r="F19" i="33" a="1"/>
  <c r="F19" i="33" s="1"/>
  <c r="F41" i="33" a="1"/>
  <c r="F41" i="33" s="1"/>
  <c r="A64" i="33" a="1"/>
  <c r="A64" i="33" s="1"/>
  <c r="F33" i="33" a="1"/>
  <c r="F33" i="33" s="1"/>
  <c r="F75" i="33" a="1"/>
  <c r="F75" i="33" s="1"/>
  <c r="A46" i="33" a="1"/>
  <c r="A46" i="33" s="1"/>
  <c r="A39" i="22" a="1"/>
  <c r="A39" i="22" s="1"/>
  <c r="A78" i="22" a="1"/>
  <c r="A78" i="22" s="1"/>
  <c r="C78" i="22" s="1"/>
  <c r="A19" i="22" a="1"/>
  <c r="A19" i="22" s="1"/>
  <c r="A44" i="22" a="1"/>
  <c r="A44" i="22" s="1"/>
  <c r="E44" i="22" s="1"/>
  <c r="F45" i="22" a="1"/>
  <c r="F45" i="22" s="1"/>
  <c r="F37" i="91" a="1"/>
  <c r="F37" i="91" s="1"/>
  <c r="A150" i="50" a="1"/>
  <c r="A150" i="50" s="1"/>
  <c r="C38" i="50" a="1"/>
  <c r="C38" i="50" s="1"/>
  <c r="B37" i="50" a="1"/>
  <c r="B37" i="50" s="1"/>
  <c r="K259" i="50" a="1"/>
  <c r="K259" i="50" s="1"/>
  <c r="C300" i="50" a="1"/>
  <c r="C300" i="50" s="1"/>
  <c r="A179" i="50" a="1"/>
  <c r="A179" i="50" s="1"/>
  <c r="A298" i="50" a="1"/>
  <c r="A298" i="50" s="1"/>
  <c r="B234" i="50" a="1"/>
  <c r="B234" i="50" s="1"/>
  <c r="B156" i="50" a="1"/>
  <c r="B156" i="50" s="1"/>
  <c r="C336" i="50" a="1"/>
  <c r="C336" i="50" s="1"/>
  <c r="B88" i="50" a="1"/>
  <c r="B88" i="50" s="1"/>
  <c r="C331" i="50" a="1"/>
  <c r="C331" i="50" s="1"/>
  <c r="A255" i="50" a="1"/>
  <c r="A255" i="50" s="1"/>
  <c r="A249" i="50" a="1"/>
  <c r="A249" i="50" s="1"/>
  <c r="C95" i="50" a="1"/>
  <c r="C95" i="50" s="1"/>
  <c r="A209" i="50" a="1"/>
  <c r="A209" i="50" s="1"/>
  <c r="C324" i="50" a="1"/>
  <c r="C324" i="50" s="1"/>
  <c r="A109" i="50" a="1"/>
  <c r="A109" i="50" s="1"/>
  <c r="C103" i="50" a="1"/>
  <c r="C103" i="50" s="1"/>
  <c r="C309" i="50" a="1"/>
  <c r="C309" i="50" s="1"/>
  <c r="B89" i="50" a="1"/>
  <c r="B89" i="50" s="1"/>
  <c r="A119" i="50" a="1"/>
  <c r="A119" i="50" s="1"/>
  <c r="C247" i="50" a="1"/>
  <c r="C247" i="50" s="1"/>
  <c r="B180" i="50" a="1"/>
  <c r="B180" i="50" s="1"/>
  <c r="K270" i="50" a="1"/>
  <c r="K270" i="50" s="1"/>
  <c r="K295" i="50" a="1"/>
  <c r="K295" i="50" s="1"/>
  <c r="C149" i="50" a="1"/>
  <c r="C149" i="50" s="1"/>
  <c r="C276" i="50" a="1"/>
  <c r="C276" i="50" s="1"/>
  <c r="A92" i="50" a="1"/>
  <c r="A92" i="50" s="1"/>
  <c r="B354" i="50" a="1"/>
  <c r="B354" i="50" s="1"/>
  <c r="A18" i="50" a="1"/>
  <c r="A18" i="50" s="1"/>
  <c r="K75" i="50" a="1"/>
  <c r="K75" i="50" s="1"/>
  <c r="B290" i="50" a="1"/>
  <c r="B290" i="50" s="1"/>
  <c r="B229" i="50" a="1"/>
  <c r="B229" i="50" s="1"/>
  <c r="B277" i="50" a="1"/>
  <c r="B277" i="50" s="1"/>
  <c r="C164" i="50" a="1"/>
  <c r="C164" i="50" s="1"/>
  <c r="C267" i="50" a="1"/>
  <c r="C267" i="50" s="1"/>
  <c r="A157" i="50" a="1"/>
  <c r="A157" i="50" s="1"/>
  <c r="K226" i="50" a="1"/>
  <c r="K226" i="50" s="1"/>
  <c r="B322" i="50" a="1"/>
  <c r="B322" i="50" s="1"/>
  <c r="K241" i="50" a="1"/>
  <c r="K241" i="50" s="1"/>
  <c r="A67" i="50" a="1"/>
  <c r="A67" i="50" s="1"/>
  <c r="C108" i="50" a="1"/>
  <c r="C108" i="50" s="1"/>
  <c r="C41" i="50" a="1"/>
  <c r="C41" i="50" s="1"/>
  <c r="B182" i="50" a="1"/>
  <c r="B182" i="50" s="1"/>
  <c r="B249" i="50" a="1"/>
  <c r="B249" i="50" s="1"/>
  <c r="K129" i="50" a="1"/>
  <c r="K129" i="50" s="1"/>
  <c r="A135" i="50" a="1"/>
  <c r="A135" i="50" s="1"/>
  <c r="B236" i="50" a="1"/>
  <c r="B236" i="50" s="1"/>
  <c r="K128" i="50" a="1"/>
  <c r="K128" i="50" s="1"/>
  <c r="C344" i="50" a="1"/>
  <c r="C344" i="50" s="1"/>
  <c r="A9" i="50" a="1"/>
  <c r="A9" i="50" s="1"/>
  <c r="A263" i="50" a="1"/>
  <c r="A263" i="50" s="1"/>
  <c r="K47" i="50" a="1"/>
  <c r="K47" i="50" s="1"/>
  <c r="A88" i="50" a="1"/>
  <c r="A88" i="50" s="1"/>
  <c r="B228" i="50" a="1"/>
  <c r="B228" i="50" s="1"/>
  <c r="B189" i="50" a="1"/>
  <c r="B189" i="50" s="1"/>
  <c r="C219" i="50" a="1"/>
  <c r="C219" i="50" s="1"/>
  <c r="A320" i="50" a="1"/>
  <c r="A320" i="50" s="1"/>
  <c r="A272" i="50" a="1"/>
  <c r="A272" i="50" s="1"/>
  <c r="C176" i="50" a="1"/>
  <c r="C176" i="50" s="1"/>
  <c r="A306" i="50" a="1"/>
  <c r="A306" i="50" s="1"/>
  <c r="C257" i="50" a="1"/>
  <c r="C257" i="50" s="1"/>
  <c r="K309" i="50" a="1"/>
  <c r="K309" i="50" s="1"/>
  <c r="C153" i="50" a="1"/>
  <c r="C153" i="50" s="1"/>
  <c r="K144" i="50" a="1"/>
  <c r="K144" i="50" s="1"/>
  <c r="K119" i="50" a="1"/>
  <c r="K119" i="50" s="1"/>
  <c r="A333" i="50" a="1"/>
  <c r="A333" i="50" s="1"/>
  <c r="B82" i="50" a="1"/>
  <c r="B82" i="50" s="1"/>
  <c r="B57" i="50" a="1"/>
  <c r="B57" i="50" s="1"/>
  <c r="K59" i="50" a="1"/>
  <c r="K59" i="50" s="1"/>
  <c r="A169" i="50" a="1"/>
  <c r="A169" i="50" s="1"/>
  <c r="C10" i="50" a="1"/>
  <c r="C10" i="50" s="1"/>
  <c r="C196" i="50" a="1"/>
  <c r="C196" i="50" s="1"/>
  <c r="K90" i="50" a="1"/>
  <c r="K90" i="50" s="1"/>
  <c r="C178" i="50" a="1"/>
  <c r="C178" i="50" s="1"/>
  <c r="K232" i="50" a="1"/>
  <c r="K232" i="50" s="1"/>
  <c r="B175" i="50" a="1"/>
  <c r="B175" i="50" s="1"/>
  <c r="B283" i="50" a="1"/>
  <c r="B283" i="50" s="1"/>
  <c r="B120" i="50" a="1"/>
  <c r="B120" i="50" s="1"/>
  <c r="C160" i="50" a="1"/>
  <c r="C160" i="50" s="1"/>
  <c r="A174" i="50" a="1"/>
  <c r="A174" i="50" s="1"/>
  <c r="A295" i="50" a="1"/>
  <c r="A295" i="50" s="1"/>
  <c r="K234" i="50" a="1"/>
  <c r="K234" i="50" s="1"/>
  <c r="B196" i="50" a="1"/>
  <c r="B196" i="50" s="1"/>
  <c r="A264" i="50" a="1"/>
  <c r="A264" i="50" s="1"/>
  <c r="C40" i="50" a="1"/>
  <c r="C40" i="50" s="1"/>
  <c r="A340" i="50" a="1"/>
  <c r="A340" i="50" s="1"/>
  <c r="K163" i="50" a="1"/>
  <c r="K163" i="50" s="1"/>
  <c r="B291" i="50" a="1"/>
  <c r="B291" i="50" s="1"/>
  <c r="K203" i="50" a="1"/>
  <c r="K203" i="50" s="1"/>
  <c r="K97" i="50" a="1"/>
  <c r="K97" i="50" s="1"/>
  <c r="K40" i="50" a="1"/>
  <c r="K40" i="50" s="1"/>
  <c r="K320" i="50" a="1"/>
  <c r="K320" i="50" s="1"/>
  <c r="A91" i="50" a="1"/>
  <c r="A91" i="50" s="1"/>
  <c r="C298" i="50" a="1"/>
  <c r="C298" i="50" s="1"/>
  <c r="C301" i="50" a="1"/>
  <c r="C301" i="50" s="1"/>
  <c r="K173" i="50" a="1"/>
  <c r="K173" i="50" s="1"/>
  <c r="B51" i="50" a="1"/>
  <c r="B51" i="50" s="1"/>
  <c r="A106" i="50" a="1"/>
  <c r="A106" i="50" s="1"/>
  <c r="C325" i="50" a="1"/>
  <c r="C325" i="50" s="1"/>
  <c r="K294" i="50" a="1"/>
  <c r="K294" i="50" s="1"/>
  <c r="A285" i="50" a="1"/>
  <c r="A285" i="50" s="1"/>
  <c r="B66" i="50" a="1"/>
  <c r="B66" i="50" s="1"/>
  <c r="B265" i="50" a="1"/>
  <c r="B265" i="50" s="1"/>
  <c r="B327" i="50" a="1"/>
  <c r="B327" i="50" s="1"/>
  <c r="A147" i="50" a="1"/>
  <c r="A147" i="50" s="1"/>
  <c r="B128" i="50" a="1"/>
  <c r="B128" i="50" s="1"/>
  <c r="K290" i="50" a="1"/>
  <c r="K290" i="50" s="1"/>
  <c r="K287" i="50" a="1"/>
  <c r="K287" i="50" s="1"/>
  <c r="C326" i="50" a="1"/>
  <c r="C326" i="50" s="1"/>
  <c r="C93" i="50" a="1"/>
  <c r="C93" i="50" s="1"/>
  <c r="K338" i="50" a="1"/>
  <c r="K338" i="50" s="1"/>
  <c r="B204" i="50" a="1"/>
  <c r="B204" i="50" s="1"/>
  <c r="C284" i="50" a="1"/>
  <c r="C284" i="50" s="1"/>
  <c r="K7" i="50" a="1"/>
  <c r="K7" i="50" s="1"/>
  <c r="K146" i="50" a="1"/>
  <c r="K146" i="50" s="1"/>
  <c r="A223" i="50" a="1"/>
  <c r="A223" i="50" s="1"/>
  <c r="C116" i="50" a="1"/>
  <c r="C116" i="50" s="1"/>
  <c r="A216" i="50" a="1"/>
  <c r="A216" i="50" s="1"/>
  <c r="B90" i="50" a="1"/>
  <c r="B90" i="50" s="1"/>
  <c r="B328" i="50" a="1"/>
  <c r="B328" i="50" s="1"/>
  <c r="A39" i="50" a="1"/>
  <c r="A39" i="50" s="1"/>
  <c r="K261" i="50" a="1"/>
  <c r="K261" i="50" s="1"/>
  <c r="K326" i="50" a="1"/>
  <c r="K326" i="50" s="1"/>
  <c r="A129" i="50" a="1"/>
  <c r="A129" i="50" s="1"/>
  <c r="K44" i="50" a="1"/>
  <c r="K44" i="50" s="1"/>
  <c r="C243" i="50" a="1"/>
  <c r="C243" i="50" s="1"/>
  <c r="C234" i="50" a="1"/>
  <c r="C234" i="50" s="1"/>
  <c r="C304" i="50" a="1"/>
  <c r="C304" i="50" s="1"/>
  <c r="K31" i="50" a="1"/>
  <c r="K31" i="50" s="1"/>
  <c r="B22" i="50" a="1"/>
  <c r="B22" i="50" s="1"/>
  <c r="A252" i="50" a="1"/>
  <c r="A252" i="50" s="1"/>
  <c r="K278" i="50" a="1"/>
  <c r="K278" i="50" s="1"/>
  <c r="A74" i="50" a="1"/>
  <c r="A74" i="50" s="1"/>
  <c r="K132" i="50" a="1"/>
  <c r="K132" i="50" s="1"/>
  <c r="B279" i="50" a="1"/>
  <c r="B279" i="50" s="1"/>
  <c r="B114" i="50" a="1"/>
  <c r="B114" i="50" s="1"/>
  <c r="K73" i="50" a="1"/>
  <c r="K73" i="50" s="1"/>
  <c r="B325" i="50" a="1"/>
  <c r="B325" i="50" s="1"/>
  <c r="C150" i="50" a="1"/>
  <c r="C150" i="50" s="1"/>
  <c r="B233" i="50" a="1"/>
  <c r="B233" i="50" s="1"/>
  <c r="A276" i="50" a="1"/>
  <c r="A276" i="50" s="1"/>
  <c r="K110" i="50" a="1"/>
  <c r="K110" i="50" s="1"/>
  <c r="K275" i="50" a="1"/>
  <c r="K275" i="50" s="1"/>
  <c r="C135" i="50" a="1"/>
  <c r="C135" i="50" s="1"/>
  <c r="A89" i="50" a="1"/>
  <c r="A89" i="50" s="1"/>
  <c r="B308" i="50" a="1"/>
  <c r="B308" i="50" s="1"/>
  <c r="B161" i="50" a="1"/>
  <c r="B161" i="50" s="1"/>
  <c r="C212" i="50" a="1"/>
  <c r="C212" i="50" s="1"/>
  <c r="A327" i="50" a="1"/>
  <c r="A327" i="50" s="1"/>
  <c r="C179" i="50" a="1"/>
  <c r="C179" i="50" s="1"/>
  <c r="K101" i="50" a="1"/>
  <c r="K101" i="50" s="1"/>
  <c r="B16" i="50" a="1"/>
  <c r="B16" i="50" s="1"/>
  <c r="A38" i="50" a="1"/>
  <c r="A38" i="50" s="1"/>
  <c r="K274" i="50" a="1"/>
  <c r="K274" i="50" s="1"/>
  <c r="B267" i="50" a="1"/>
  <c r="B267" i="50" s="1"/>
  <c r="A309" i="50" a="1"/>
  <c r="A309" i="50" s="1"/>
  <c r="B190" i="50" a="1"/>
  <c r="B190" i="50" s="1"/>
  <c r="C278" i="50" a="1"/>
  <c r="C278" i="50" s="1"/>
  <c r="C54" i="50" a="1"/>
  <c r="C54" i="50" s="1"/>
  <c r="K89" i="50" a="1"/>
  <c r="K89" i="50" s="1"/>
  <c r="C239" i="50" a="1"/>
  <c r="C239" i="50" s="1"/>
  <c r="C210" i="50" a="1"/>
  <c r="C210" i="50" s="1"/>
  <c r="K267" i="50" a="1"/>
  <c r="K267" i="50" s="1"/>
  <c r="A321" i="50" a="1"/>
  <c r="A321" i="50" s="1"/>
  <c r="A98" i="50" a="1"/>
  <c r="A98" i="50" s="1"/>
  <c r="A261" i="50" a="1"/>
  <c r="A261" i="50" s="1"/>
  <c r="C158" i="50" a="1"/>
  <c r="C158" i="50" s="1"/>
  <c r="C203" i="50" a="1"/>
  <c r="C203" i="50" s="1"/>
  <c r="C166" i="50" a="1"/>
  <c r="C166" i="50" s="1"/>
  <c r="A200" i="50" a="1"/>
  <c r="A200" i="50" s="1"/>
  <c r="B238" i="50" a="1"/>
  <c r="B238" i="50" s="1"/>
  <c r="B217" i="50" a="1"/>
  <c r="B217" i="50" s="1"/>
  <c r="B288" i="50" a="1"/>
  <c r="B288" i="50" s="1"/>
  <c r="A51" i="50" a="1"/>
  <c r="A51" i="50" s="1"/>
  <c r="K272" i="50" a="1"/>
  <c r="K272" i="50" s="1"/>
  <c r="C28" i="50" a="1"/>
  <c r="C28" i="50" s="1"/>
  <c r="C343" i="50" a="1"/>
  <c r="C343" i="50" s="1"/>
  <c r="B177" i="50" a="1"/>
  <c r="B177" i="50" s="1"/>
  <c r="B198" i="50" a="1"/>
  <c r="B198" i="50" s="1"/>
  <c r="K265" i="50" a="1"/>
  <c r="K265" i="50" s="1"/>
  <c r="A326" i="50" a="1"/>
  <c r="A326" i="50" s="1"/>
  <c r="K228" i="50" a="1"/>
  <c r="K228" i="50" s="1"/>
  <c r="K135" i="50" a="1"/>
  <c r="K135" i="50" s="1"/>
  <c r="B300" i="50" a="1"/>
  <c r="B300" i="50" s="1"/>
  <c r="K134" i="50" a="1"/>
  <c r="K134" i="50" s="1"/>
  <c r="A61" i="50" a="1"/>
  <c r="A61" i="50" s="1"/>
  <c r="A284" i="50" a="1"/>
  <c r="A284" i="50" s="1"/>
  <c r="K341" i="50" a="1"/>
  <c r="K341" i="50" s="1"/>
  <c r="K328" i="50" a="1"/>
  <c r="K328" i="50" s="1"/>
  <c r="B281" i="50" a="1"/>
  <c r="B281" i="50" s="1"/>
  <c r="A217" i="50" a="1"/>
  <c r="A217" i="50" s="1"/>
  <c r="B326" i="50" a="1"/>
  <c r="B326" i="50" s="1"/>
  <c r="B240" i="50" a="1"/>
  <c r="B240" i="50" s="1"/>
  <c r="K151" i="50" a="1"/>
  <c r="K151" i="50" s="1"/>
  <c r="K182" i="50" a="1"/>
  <c r="K182" i="50" s="1"/>
  <c r="K138" i="50" a="1"/>
  <c r="K138" i="50" s="1"/>
  <c r="K28" i="50" a="1"/>
  <c r="K28" i="50" s="1"/>
  <c r="A99" i="50" a="1"/>
  <c r="A99" i="50" s="1"/>
  <c r="K162" i="50" a="1"/>
  <c r="K162" i="50" s="1"/>
  <c r="K143" i="50" a="1"/>
  <c r="K143" i="50" s="1"/>
  <c r="A230" i="50" a="1"/>
  <c r="A230" i="50" s="1"/>
  <c r="C181" i="50" a="1"/>
  <c r="C181" i="50" s="1"/>
  <c r="C350" i="50" a="1"/>
  <c r="C350" i="50" s="1"/>
  <c r="C302" i="50" a="1"/>
  <c r="C302" i="50" s="1"/>
  <c r="A140" i="50" a="1"/>
  <c r="A140" i="50" s="1"/>
  <c r="B166" i="50" a="1"/>
  <c r="B166" i="50" s="1"/>
  <c r="B139" i="50" a="1"/>
  <c r="B139" i="50" s="1"/>
  <c r="A131" i="50" a="1"/>
  <c r="A131" i="50" s="1"/>
  <c r="C85" i="50" a="1"/>
  <c r="C85" i="50" s="1"/>
  <c r="K339" i="50" a="1"/>
  <c r="K339" i="50" s="1"/>
  <c r="A350" i="50" a="1"/>
  <c r="A350" i="50" s="1"/>
  <c r="B150" i="50" a="1"/>
  <c r="B150" i="50" s="1"/>
  <c r="K336" i="50" a="1"/>
  <c r="K336" i="50" s="1"/>
  <c r="B84" i="50" a="1"/>
  <c r="B84" i="50" s="1"/>
  <c r="K155" i="50" a="1"/>
  <c r="K155" i="50" s="1"/>
  <c r="A65" i="50" a="1"/>
  <c r="A65" i="50" s="1"/>
  <c r="B259" i="50" a="1"/>
  <c r="B259" i="50" s="1"/>
  <c r="C187" i="50" a="1"/>
  <c r="C187" i="50" s="1"/>
  <c r="C295" i="50" a="1"/>
  <c r="C295" i="50" s="1"/>
  <c r="A235" i="50" a="1"/>
  <c r="A235" i="50" s="1"/>
  <c r="A117" i="50" a="1"/>
  <c r="A117" i="50" s="1"/>
  <c r="A132" i="50" a="1"/>
  <c r="A132" i="50" s="1"/>
  <c r="A233" i="50" a="1"/>
  <c r="A233" i="50" s="1"/>
  <c r="B131" i="50" a="1"/>
  <c r="B131" i="50" s="1"/>
  <c r="C322" i="50" a="1"/>
  <c r="C322" i="50" s="1"/>
  <c r="C129" i="50" a="1"/>
  <c r="C129" i="50" s="1"/>
  <c r="K345" i="50" a="1"/>
  <c r="K345" i="50" s="1"/>
  <c r="B256" i="50" a="1"/>
  <c r="B256" i="50" s="1"/>
  <c r="B14" i="50" a="1"/>
  <c r="B14" i="50" s="1"/>
  <c r="C226" i="50" a="1"/>
  <c r="C226" i="50" s="1"/>
  <c r="C34" i="50" a="1"/>
  <c r="C34" i="50" s="1"/>
  <c r="A245" i="50" a="1"/>
  <c r="A245" i="50" s="1"/>
  <c r="A10" i="50" a="1"/>
  <c r="A10" i="50" s="1"/>
  <c r="A56" i="50" a="1"/>
  <c r="A56" i="50" s="1"/>
  <c r="C345" i="50" a="1"/>
  <c r="C345" i="50" s="1"/>
  <c r="C60" i="50" a="1"/>
  <c r="C60" i="50" s="1"/>
  <c r="K288" i="50" a="1"/>
  <c r="K288" i="50" s="1"/>
  <c r="C119" i="50" a="1"/>
  <c r="C119" i="50" s="1"/>
  <c r="B241" i="50" a="1"/>
  <c r="B241" i="50" s="1"/>
  <c r="K349" i="50" a="1"/>
  <c r="K349" i="50" s="1"/>
  <c r="K88" i="50" a="1"/>
  <c r="K88" i="50" s="1"/>
  <c r="K179" i="50" a="1"/>
  <c r="K179" i="50" s="1"/>
  <c r="B237" i="50" a="1"/>
  <c r="B237" i="50" s="1"/>
  <c r="B307" i="50" a="1"/>
  <c r="B307" i="50" s="1"/>
  <c r="K147" i="50" a="1"/>
  <c r="K147" i="50" s="1"/>
  <c r="B208" i="50" a="1"/>
  <c r="B208" i="50" s="1"/>
  <c r="C9" i="50" a="1"/>
  <c r="C9" i="50" s="1"/>
  <c r="K260" i="50" a="1"/>
  <c r="K260" i="50" s="1"/>
  <c r="A153" i="50" a="1"/>
  <c r="A153" i="50" s="1"/>
  <c r="C27" i="50" a="1"/>
  <c r="C27" i="50" s="1"/>
  <c r="A69" i="50" a="1"/>
  <c r="A69" i="50" s="1"/>
  <c r="C17" i="50" a="1"/>
  <c r="C17" i="50" s="1"/>
  <c r="K26" i="50" a="1"/>
  <c r="K26" i="50" s="1"/>
  <c r="K114" i="50" a="1"/>
  <c r="K114" i="50" s="1"/>
  <c r="K217" i="50" a="1"/>
  <c r="K217" i="50" s="1"/>
  <c r="K43" i="50" a="1"/>
  <c r="K43" i="50" s="1"/>
  <c r="A97" i="50" a="1"/>
  <c r="A97" i="50" s="1"/>
  <c r="K185" i="50" a="1"/>
  <c r="K185" i="50" s="1"/>
  <c r="C161" i="50" a="1"/>
  <c r="C161" i="50" s="1"/>
  <c r="B264" i="50" a="1"/>
  <c r="B264" i="50" s="1"/>
  <c r="K45" i="50" a="1"/>
  <c r="K45" i="50" s="1"/>
  <c r="A166" i="50" a="1"/>
  <c r="A166" i="50" s="1"/>
  <c r="K297" i="50" a="1"/>
  <c r="K297" i="50" s="1"/>
  <c r="B72" i="50" a="1"/>
  <c r="B72" i="50" s="1"/>
  <c r="B295" i="50" a="1"/>
  <c r="B295" i="50" s="1"/>
  <c r="C110" i="50" a="1"/>
  <c r="C110" i="50" s="1"/>
  <c r="K169" i="50" a="1"/>
  <c r="K169" i="50" s="1"/>
  <c r="K41" i="50" a="1"/>
  <c r="K41" i="50" s="1"/>
  <c r="B239" i="50" a="1"/>
  <c r="B239" i="50" s="1"/>
  <c r="A81" i="50" a="1"/>
  <c r="A81" i="50" s="1"/>
  <c r="B56" i="50" a="1"/>
  <c r="B56" i="50" s="1"/>
  <c r="A258" i="50" a="1"/>
  <c r="A258" i="50" s="1"/>
  <c r="K254" i="50" a="1"/>
  <c r="K254" i="50" s="1"/>
  <c r="A105" i="50" a="1"/>
  <c r="A105" i="50" s="1"/>
  <c r="C317" i="50" a="1"/>
  <c r="C317" i="50" s="1"/>
  <c r="C140" i="50" a="1"/>
  <c r="C140" i="50" s="1"/>
  <c r="C340" i="50" a="1"/>
  <c r="C340" i="50" s="1"/>
  <c r="C285" i="50" a="1"/>
  <c r="C285" i="50" s="1"/>
  <c r="C99" i="50" a="1"/>
  <c r="C99" i="50" s="1"/>
  <c r="C185" i="50" a="1"/>
  <c r="C185" i="50" s="1"/>
  <c r="B272" i="50" a="1"/>
  <c r="B272" i="50" s="1"/>
  <c r="C91" i="50" a="1"/>
  <c r="C91" i="50" s="1"/>
  <c r="K78" i="50" a="1"/>
  <c r="K78" i="50" s="1"/>
  <c r="K243" i="50" a="1"/>
  <c r="K243" i="50" s="1"/>
  <c r="A22" i="50" a="1"/>
  <c r="A22" i="50" s="1"/>
  <c r="K306" i="50" a="1"/>
  <c r="K306" i="50" s="1"/>
  <c r="C306" i="50" a="1"/>
  <c r="C306" i="50" s="1"/>
  <c r="A328" i="50" a="1"/>
  <c r="A328" i="50" s="1"/>
  <c r="K284" i="50" a="1"/>
  <c r="K284" i="50" s="1"/>
  <c r="B38" i="50" a="1"/>
  <c r="B38" i="50" s="1"/>
  <c r="B127" i="50" a="1"/>
  <c r="B127" i="50" s="1"/>
  <c r="K176" i="50" a="1"/>
  <c r="K176" i="50" s="1"/>
  <c r="C233" i="50" a="1"/>
  <c r="C233" i="50" s="1"/>
  <c r="K332" i="50" a="1"/>
  <c r="K332" i="50" s="1"/>
  <c r="K140" i="50" a="1"/>
  <c r="K140" i="50" s="1"/>
  <c r="K324" i="50" a="1"/>
  <c r="K324" i="50" s="1"/>
  <c r="A32" i="50" a="1"/>
  <c r="A32" i="50" s="1"/>
  <c r="B20" i="50" a="1"/>
  <c r="B20" i="50" s="1"/>
  <c r="C275" i="50" a="1"/>
  <c r="C275" i="50" s="1"/>
  <c r="C162" i="50" a="1"/>
  <c r="C162" i="50" s="1"/>
  <c r="B27" i="50" a="1"/>
  <c r="B27" i="50" s="1"/>
  <c r="K161" i="50" a="1"/>
  <c r="K161" i="50" s="1"/>
  <c r="B122" i="50" a="1"/>
  <c r="B122" i="50" s="1"/>
  <c r="C191" i="50" a="1"/>
  <c r="C191" i="50" s="1"/>
  <c r="K96" i="50" a="1"/>
  <c r="K96" i="50" s="1"/>
  <c r="A205" i="50" a="1"/>
  <c r="A205" i="50" s="1"/>
  <c r="K211" i="50" a="1"/>
  <c r="K211" i="50" s="1"/>
  <c r="C291" i="50" a="1"/>
  <c r="C291" i="50" s="1"/>
  <c r="K33" i="50" a="1"/>
  <c r="K33" i="50" s="1"/>
  <c r="K322" i="50" a="1"/>
  <c r="K322" i="50" s="1"/>
  <c r="C314" i="50" a="1"/>
  <c r="C314" i="50" s="1"/>
  <c r="A171" i="50" a="1"/>
  <c r="A171" i="50" s="1"/>
  <c r="K258" i="50" a="1"/>
  <c r="K258" i="50" s="1"/>
  <c r="A124" i="50" a="1"/>
  <c r="A124" i="50" s="1"/>
  <c r="C76" i="50" a="1"/>
  <c r="C76" i="50" s="1"/>
  <c r="B218" i="50" a="1"/>
  <c r="B218" i="50" s="1"/>
  <c r="K202" i="50" a="1"/>
  <c r="K202" i="50" s="1"/>
  <c r="C142" i="50" a="1"/>
  <c r="C142" i="50" s="1"/>
  <c r="C254" i="50" a="1"/>
  <c r="C254" i="50" s="1"/>
  <c r="A181" i="50" a="1"/>
  <c r="A181" i="50" s="1"/>
  <c r="C171" i="50" a="1"/>
  <c r="C171" i="50" s="1"/>
  <c r="B293" i="50" a="1"/>
  <c r="B293" i="50" s="1"/>
  <c r="C277" i="50" a="1"/>
  <c r="C277" i="50" s="1"/>
  <c r="K323" i="50" a="1"/>
  <c r="K323" i="50" s="1"/>
  <c r="A331" i="50" a="1"/>
  <c r="A331" i="50" s="1"/>
  <c r="B123" i="50" a="1"/>
  <c r="B123" i="50" s="1"/>
  <c r="K127" i="50" a="1"/>
  <c r="K127" i="50" s="1"/>
  <c r="C96" i="50" a="1"/>
  <c r="C96" i="50" s="1"/>
  <c r="C264" i="50" a="1"/>
  <c r="C264" i="50" s="1"/>
  <c r="C37" i="50" a="1"/>
  <c r="C37" i="50" s="1"/>
  <c r="A78" i="50" a="1"/>
  <c r="A78" i="50" s="1"/>
  <c r="A43" i="50" a="1"/>
  <c r="A43" i="50" s="1"/>
  <c r="B136" i="50" a="1"/>
  <c r="B136" i="50" s="1"/>
  <c r="A240" i="50" a="1"/>
  <c r="A240" i="50" s="1"/>
  <c r="K248" i="50" a="1"/>
  <c r="K248" i="50" s="1"/>
  <c r="B340" i="50" a="1"/>
  <c r="B340" i="50" s="1"/>
  <c r="A33" i="50" a="1"/>
  <c r="A33" i="50" s="1"/>
  <c r="A338" i="50" a="1"/>
  <c r="A338" i="50" s="1"/>
  <c r="B149" i="50" a="1"/>
  <c r="B149" i="50" s="1"/>
  <c r="B222" i="50" a="1"/>
  <c r="B222" i="50" s="1"/>
  <c r="B15" i="50" a="1"/>
  <c r="B15" i="50" s="1"/>
  <c r="K307" i="50" a="1"/>
  <c r="K307" i="50" s="1"/>
  <c r="B62" i="50" a="1"/>
  <c r="B62" i="50" s="1"/>
  <c r="K289" i="50" a="1"/>
  <c r="K289" i="50" s="1"/>
  <c r="C74" i="50" a="1"/>
  <c r="C74" i="50" s="1"/>
  <c r="A210" i="50" a="1"/>
  <c r="A210" i="50" s="1"/>
  <c r="A8" i="50" a="1"/>
  <c r="A8" i="50" s="1"/>
  <c r="B75" i="50" a="1"/>
  <c r="B75" i="50" s="1"/>
  <c r="A225" i="50" a="1"/>
  <c r="A225" i="50" s="1"/>
  <c r="B68" i="50" a="1"/>
  <c r="B68" i="50" s="1"/>
  <c r="B200" i="50" a="1"/>
  <c r="B200" i="50" s="1"/>
  <c r="A307" i="50" a="1"/>
  <c r="A307" i="50" s="1"/>
  <c r="K19" i="50" a="1"/>
  <c r="K19" i="50" s="1"/>
  <c r="C127" i="50" a="1"/>
  <c r="C127" i="50" s="1"/>
  <c r="C139" i="50" a="1"/>
  <c r="C139" i="50" s="1"/>
  <c r="C156" i="50" a="1"/>
  <c r="C156" i="50" s="1"/>
  <c r="B158" i="50" a="1"/>
  <c r="B158" i="50" s="1"/>
  <c r="C56" i="50" a="1"/>
  <c r="C56" i="50" s="1"/>
  <c r="A201" i="50" a="1"/>
  <c r="A201" i="50" s="1"/>
  <c r="K180" i="50" a="1"/>
  <c r="K180" i="50" s="1"/>
  <c r="A275" i="50" a="1"/>
  <c r="A275" i="50" s="1"/>
  <c r="B268" i="50" a="1"/>
  <c r="B268" i="50" s="1"/>
  <c r="A152" i="50" a="1"/>
  <c r="A152" i="50" s="1"/>
  <c r="B348" i="50" a="1"/>
  <c r="B348" i="50" s="1"/>
  <c r="C25" i="50" a="1"/>
  <c r="C25" i="50" s="1"/>
  <c r="K329" i="50" a="1"/>
  <c r="K329" i="50" s="1"/>
  <c r="C130" i="50" a="1"/>
  <c r="C130" i="50" s="1"/>
  <c r="K124" i="50" a="1"/>
  <c r="K124" i="50" s="1"/>
  <c r="B194" i="50" a="1"/>
  <c r="B194" i="50" s="1"/>
  <c r="C262" i="50" a="1"/>
  <c r="C262" i="50" s="1"/>
  <c r="C106" i="50" a="1"/>
  <c r="C106" i="50" s="1"/>
  <c r="B211" i="50" a="1"/>
  <c r="B211" i="50" s="1"/>
  <c r="K181" i="50" a="1"/>
  <c r="K181" i="50" s="1"/>
  <c r="A138" i="50" a="1"/>
  <c r="A138" i="50" s="1"/>
  <c r="A163" i="50" a="1"/>
  <c r="A163" i="50" s="1"/>
  <c r="A68" i="50" a="1"/>
  <c r="A68" i="50" s="1"/>
  <c r="A151" i="50" a="1"/>
  <c r="A151" i="50" s="1"/>
  <c r="K91" i="50" a="1"/>
  <c r="K91" i="50" s="1"/>
  <c r="C152" i="50" a="1"/>
  <c r="C152" i="50" s="1"/>
  <c r="K123" i="50" a="1"/>
  <c r="K123" i="50" s="1"/>
  <c r="C148" i="50" a="1"/>
  <c r="C148" i="50" s="1"/>
  <c r="C240" i="50" a="1"/>
  <c r="C240" i="50" s="1"/>
  <c r="C261" i="50" a="1"/>
  <c r="C261" i="50" s="1"/>
  <c r="B343" i="50" a="1"/>
  <c r="B343" i="50" s="1"/>
  <c r="A206" i="50" a="1"/>
  <c r="A206" i="50" s="1"/>
  <c r="K50" i="50" a="1"/>
  <c r="K50" i="50" s="1"/>
  <c r="A294" i="50" a="1"/>
  <c r="A294" i="50" s="1"/>
  <c r="B323" i="50" a="1"/>
  <c r="B323" i="50" s="1"/>
  <c r="A146" i="50" a="1"/>
  <c r="A146" i="50" s="1"/>
  <c r="B42" i="50" a="1"/>
  <c r="B42" i="50" s="1"/>
  <c r="B21" i="50" a="1"/>
  <c r="B21" i="50" s="1"/>
  <c r="A236" i="50" a="1"/>
  <c r="A236" i="50" s="1"/>
  <c r="C175" i="50" a="1"/>
  <c r="C175" i="50" s="1"/>
  <c r="B183" i="50" a="1"/>
  <c r="B183" i="50" s="1"/>
  <c r="A40" i="50" a="1"/>
  <c r="A40" i="50" s="1"/>
  <c r="B355" i="50" a="1"/>
  <c r="B355" i="50" s="1"/>
  <c r="K212" i="50" a="1"/>
  <c r="K212" i="50" s="1"/>
  <c r="C62" i="50" a="1"/>
  <c r="C62" i="50" s="1"/>
  <c r="K201" i="50" a="1"/>
  <c r="K201" i="50" s="1"/>
  <c r="A165" i="50" a="1"/>
  <c r="A165" i="50" s="1"/>
  <c r="C222" i="50" a="1"/>
  <c r="C222" i="50" s="1"/>
  <c r="C145" i="50" a="1"/>
  <c r="C145" i="50" s="1"/>
  <c r="A297" i="50" a="1"/>
  <c r="A297" i="50" s="1"/>
  <c r="C117" i="50" a="1"/>
  <c r="C117" i="50" s="1"/>
  <c r="A94" i="50" a="1"/>
  <c r="A94" i="50" s="1"/>
  <c r="A101" i="50" a="1"/>
  <c r="A101" i="50" s="1"/>
  <c r="A173" i="50" a="1"/>
  <c r="A173" i="50" s="1"/>
  <c r="A237" i="50" a="1"/>
  <c r="A237" i="50" s="1"/>
  <c r="B34" i="50" a="1"/>
  <c r="B34" i="50" s="1"/>
  <c r="C159" i="50" a="1"/>
  <c r="C159" i="50" s="1"/>
  <c r="B25" i="50" a="1"/>
  <c r="B25" i="50" s="1"/>
  <c r="A126" i="50" a="1"/>
  <c r="A126" i="50" s="1"/>
  <c r="K79" i="50" a="1"/>
  <c r="K79" i="50" s="1"/>
  <c r="A286" i="50" a="1"/>
  <c r="A286" i="50" s="1"/>
  <c r="C94" i="50" a="1"/>
  <c r="C94" i="50" s="1"/>
  <c r="A178" i="50" a="1"/>
  <c r="A178" i="50" s="1"/>
  <c r="C168" i="50" a="1"/>
  <c r="C168" i="50" s="1"/>
  <c r="K172" i="50" a="1"/>
  <c r="K172" i="50" s="1"/>
  <c r="A176" i="50" a="1"/>
  <c r="A176" i="50" s="1"/>
  <c r="B287" i="50" a="1"/>
  <c r="B287" i="50" s="1"/>
  <c r="B310" i="50" a="1"/>
  <c r="B310" i="50" s="1"/>
  <c r="B205" i="50" a="1"/>
  <c r="B205" i="50" s="1"/>
  <c r="K308" i="50" a="1"/>
  <c r="K308" i="50" s="1"/>
  <c r="K264" i="50" a="1"/>
  <c r="K264" i="50" s="1"/>
  <c r="A344" i="50" a="1"/>
  <c r="A344" i="50" s="1"/>
  <c r="K300" i="50" a="1"/>
  <c r="K300" i="50" s="1"/>
  <c r="A281" i="50" a="1"/>
  <c r="A281" i="50" s="1"/>
  <c r="A191" i="50" a="1"/>
  <c r="A191" i="50" s="1"/>
  <c r="K84" i="50" a="1"/>
  <c r="K84" i="50" s="1"/>
  <c r="A289" i="50" a="1"/>
  <c r="A289" i="50" s="1"/>
  <c r="A341" i="50" a="1"/>
  <c r="A341" i="50" s="1"/>
  <c r="K64" i="50" a="1"/>
  <c r="K64" i="50" s="1"/>
  <c r="A80" i="50" a="1"/>
  <c r="A80" i="50" s="1"/>
  <c r="B297" i="50" a="1"/>
  <c r="B297" i="50" s="1"/>
  <c r="C280" i="50" a="1"/>
  <c r="C280" i="50" s="1"/>
  <c r="A269" i="50" a="1"/>
  <c r="A269" i="50" s="1"/>
  <c r="K253" i="50" a="1"/>
  <c r="K253" i="50" s="1"/>
  <c r="C307" i="50" a="1"/>
  <c r="C307" i="50" s="1"/>
  <c r="K219" i="50" a="1"/>
  <c r="K219" i="50" s="1"/>
  <c r="A296" i="50" a="1"/>
  <c r="A296" i="50" s="1"/>
  <c r="A282" i="50" a="1"/>
  <c r="A282" i="50" s="1"/>
  <c r="B144" i="50" a="1"/>
  <c r="B144" i="50" s="1"/>
  <c r="B201" i="50" a="1"/>
  <c r="B201" i="50" s="1"/>
  <c r="K227" i="50" a="1"/>
  <c r="K227" i="50" s="1"/>
  <c r="C186" i="50" a="1"/>
  <c r="C186" i="50" s="1"/>
  <c r="A95" i="50" a="1"/>
  <c r="A95" i="50" s="1"/>
  <c r="K32" i="50" a="1"/>
  <c r="K32" i="50" s="1"/>
  <c r="A343" i="50" a="1"/>
  <c r="A343" i="50" s="1"/>
  <c r="C69" i="50" a="1"/>
  <c r="C69" i="50" s="1"/>
  <c r="K136" i="50" a="1"/>
  <c r="K136" i="50" s="1"/>
  <c r="B306" i="50" a="1"/>
  <c r="B306" i="50" s="1"/>
  <c r="K125" i="50" a="1"/>
  <c r="K125" i="50" s="1"/>
  <c r="K189" i="50" a="1"/>
  <c r="K189" i="50" s="1"/>
  <c r="B154" i="50" a="1"/>
  <c r="B154" i="50" s="1"/>
  <c r="K229" i="50" a="1"/>
  <c r="K229" i="50" s="1"/>
  <c r="B70" i="50" a="1"/>
  <c r="B70" i="50" s="1"/>
  <c r="B145" i="50" a="1"/>
  <c r="B145" i="50" s="1"/>
  <c r="A279" i="50" a="1"/>
  <c r="A279" i="50" s="1"/>
  <c r="K39" i="50" a="1"/>
  <c r="K39" i="50" s="1"/>
  <c r="C299" i="50" a="1"/>
  <c r="C299" i="50" s="1"/>
  <c r="K303" i="50" a="1"/>
  <c r="K303" i="50" s="1"/>
  <c r="B95" i="50" a="1"/>
  <c r="B95" i="50" s="1"/>
  <c r="C217" i="50" a="1"/>
  <c r="C217" i="50" s="1"/>
  <c r="K281" i="50" a="1"/>
  <c r="K281" i="50" s="1"/>
  <c r="A221" i="50" a="1"/>
  <c r="A221" i="50" s="1"/>
  <c r="C30" i="50" a="1"/>
  <c r="C30" i="50" s="1"/>
  <c r="B227" i="50" a="1"/>
  <c r="B227" i="50" s="1"/>
  <c r="K76" i="50" a="1"/>
  <c r="K76" i="50" s="1"/>
  <c r="A265" i="50" a="1"/>
  <c r="A265" i="50" s="1"/>
  <c r="C202" i="50" a="1"/>
  <c r="C202" i="50" s="1"/>
  <c r="A332" i="50" a="1"/>
  <c r="A332" i="50" s="1"/>
  <c r="A60" i="50" a="1"/>
  <c r="A60" i="50" s="1"/>
  <c r="C45" i="50" a="1"/>
  <c r="C45" i="50" s="1"/>
  <c r="C273" i="50" a="1"/>
  <c r="C273" i="50" s="1"/>
  <c r="A202" i="50" a="1"/>
  <c r="A202" i="50" s="1"/>
  <c r="A127" i="50" a="1"/>
  <c r="A127" i="50" s="1"/>
  <c r="K130" i="50" a="1"/>
  <c r="K130" i="50" s="1"/>
  <c r="B49" i="50" a="1"/>
  <c r="B49" i="50" s="1"/>
  <c r="B105" i="50" a="1"/>
  <c r="B105" i="50" s="1"/>
  <c r="K299" i="50" a="1"/>
  <c r="K299" i="50" s="1"/>
  <c r="B147" i="50" a="1"/>
  <c r="B147" i="50" s="1"/>
  <c r="B311" i="50" a="1"/>
  <c r="B311" i="50" s="1"/>
  <c r="A277" i="50" a="1"/>
  <c r="A277" i="50" s="1"/>
  <c r="K298" i="50" a="1"/>
  <c r="K298" i="50" s="1"/>
  <c r="B282" i="50" a="1"/>
  <c r="B282" i="50" s="1"/>
  <c r="B112" i="50" a="1"/>
  <c r="B112" i="50" s="1"/>
  <c r="A353" i="50" a="1"/>
  <c r="A353" i="50" s="1"/>
  <c r="B23" i="50" a="1"/>
  <c r="B23" i="50" s="1"/>
  <c r="C252" i="50" a="1"/>
  <c r="C252" i="50" s="1"/>
  <c r="B116" i="50" a="1"/>
  <c r="B116" i="50" s="1"/>
  <c r="A336" i="50" a="1"/>
  <c r="A336" i="50" s="1"/>
  <c r="B93" i="50" a="1"/>
  <c r="B93" i="50" s="1"/>
  <c r="A231" i="50" a="1"/>
  <c r="A231" i="50" s="1"/>
  <c r="C121" i="50" a="1"/>
  <c r="C121" i="50" s="1"/>
  <c r="B18" i="50" a="1"/>
  <c r="B18" i="50" s="1"/>
  <c r="B13" i="50" a="1"/>
  <c r="B13" i="50" s="1"/>
  <c r="A203" i="50" a="1"/>
  <c r="A203" i="50" s="1"/>
  <c r="B243" i="50" a="1"/>
  <c r="B243" i="50" s="1"/>
  <c r="B170" i="50" a="1"/>
  <c r="B170" i="50" s="1"/>
  <c r="K94" i="50" a="1"/>
  <c r="K94" i="50" s="1"/>
  <c r="A183" i="50" a="1"/>
  <c r="A183" i="50" s="1"/>
  <c r="C258" i="50" a="1"/>
  <c r="C258" i="50" s="1"/>
  <c r="K194" i="50" a="1"/>
  <c r="K194" i="50" s="1"/>
  <c r="A292" i="50" a="1"/>
  <c r="A292" i="50" s="1"/>
  <c r="B97" i="50" a="1"/>
  <c r="B97" i="50" s="1"/>
  <c r="B152" i="50" a="1"/>
  <c r="B152" i="50" s="1"/>
  <c r="B106" i="50" a="1"/>
  <c r="B106" i="50" s="1"/>
  <c r="C259" i="50" a="1"/>
  <c r="C259" i="50" s="1"/>
  <c r="B278" i="50" a="1"/>
  <c r="B278" i="50" s="1"/>
  <c r="K193" i="50" a="1"/>
  <c r="K193" i="50" s="1"/>
  <c r="K137" i="50" a="1"/>
  <c r="K137" i="50" s="1"/>
  <c r="C213" i="50" a="1"/>
  <c r="C213" i="50" s="1"/>
  <c r="B98" i="50" a="1"/>
  <c r="B98" i="50" s="1"/>
  <c r="K291" i="50" a="1"/>
  <c r="K291" i="50" s="1"/>
  <c r="K197" i="50" a="1"/>
  <c r="K197" i="50" s="1"/>
  <c r="C244" i="50" a="1"/>
  <c r="C244" i="50" s="1"/>
  <c r="K83" i="50" a="1"/>
  <c r="K83" i="50" s="1"/>
  <c r="C42" i="50" a="1"/>
  <c r="C42" i="50" s="1"/>
  <c r="C245" i="50" a="1"/>
  <c r="C245" i="50" s="1"/>
  <c r="K150" i="50" a="1"/>
  <c r="K150" i="50" s="1"/>
  <c r="C7" i="50" a="1"/>
  <c r="C7" i="50" s="1"/>
  <c r="B266" i="50" a="1"/>
  <c r="B266" i="50" s="1"/>
  <c r="A222" i="50" a="1"/>
  <c r="A222" i="50" s="1"/>
  <c r="A186" i="50" a="1"/>
  <c r="A186" i="50" s="1"/>
  <c r="C131" i="50" a="1"/>
  <c r="C131" i="50" s="1"/>
  <c r="K311" i="50" a="1"/>
  <c r="K311" i="50" s="1"/>
  <c r="A271" i="50" a="1"/>
  <c r="A271" i="50" s="1"/>
  <c r="B171" i="50" a="1"/>
  <c r="B171" i="50" s="1"/>
  <c r="C218" i="50" a="1"/>
  <c r="C218" i="50" s="1"/>
  <c r="A70" i="50" a="1"/>
  <c r="A70" i="50" s="1"/>
  <c r="C348" i="50" a="1"/>
  <c r="C348" i="50" s="1"/>
  <c r="B151" i="50" a="1"/>
  <c r="B151" i="50" s="1"/>
  <c r="C205" i="50" a="1"/>
  <c r="C205" i="50" s="1"/>
  <c r="A123" i="50" a="1"/>
  <c r="A123" i="50" s="1"/>
  <c r="K152" i="50" a="1"/>
  <c r="K152" i="50" s="1"/>
  <c r="A351" i="50" a="1"/>
  <c r="A351" i="50" s="1"/>
  <c r="K63" i="50" a="1"/>
  <c r="K63" i="50" s="1"/>
  <c r="B12" i="50" a="1"/>
  <c r="B12" i="50" s="1"/>
  <c r="C337" i="50" a="1"/>
  <c r="C337" i="50" s="1"/>
  <c r="K126" i="50" a="1"/>
  <c r="K126" i="50" s="1"/>
  <c r="B235" i="50" a="1"/>
  <c r="B235" i="50" s="1"/>
  <c r="A195" i="50" a="1"/>
  <c r="A195" i="50" s="1"/>
  <c r="B212" i="50" a="1"/>
  <c r="B212" i="50" s="1"/>
  <c r="B215" i="50" a="1"/>
  <c r="B215" i="50" s="1"/>
  <c r="C293" i="50" a="1"/>
  <c r="C293" i="50" s="1"/>
  <c r="K29" i="50" a="1"/>
  <c r="K29" i="50" s="1"/>
  <c r="B118" i="50" a="1"/>
  <c r="B118" i="50" s="1"/>
  <c r="C58" i="50" a="1"/>
  <c r="C58" i="50" s="1"/>
  <c r="C92" i="50" a="1"/>
  <c r="C92" i="50" s="1"/>
  <c r="C294" i="50" a="1"/>
  <c r="C294" i="50" s="1"/>
  <c r="K53" i="50" a="1"/>
  <c r="K53" i="50" s="1"/>
  <c r="K340" i="50" a="1"/>
  <c r="K340" i="50" s="1"/>
  <c r="B206" i="50" a="1"/>
  <c r="B206" i="50" s="1"/>
  <c r="B29" i="50" a="1"/>
  <c r="B29" i="50" s="1"/>
  <c r="K249" i="50" a="1"/>
  <c r="K249" i="50" s="1"/>
  <c r="K11" i="50" a="1"/>
  <c r="K11" i="50" s="1"/>
  <c r="A325" i="50" a="1"/>
  <c r="A325" i="50" s="1"/>
  <c r="C221" i="50" a="1"/>
  <c r="C221" i="50" s="1"/>
  <c r="C271" i="50" a="1"/>
  <c r="C271" i="50" s="1"/>
  <c r="K92" i="50" a="1"/>
  <c r="K92" i="50" s="1"/>
  <c r="A102" i="50" a="1"/>
  <c r="A102" i="50" s="1"/>
  <c r="K145" i="50" a="1"/>
  <c r="K145" i="50" s="1"/>
  <c r="A148" i="50" a="1"/>
  <c r="A148" i="50" s="1"/>
  <c r="C144" i="50" a="1"/>
  <c r="C144" i="50" s="1"/>
  <c r="C297" i="50" a="1"/>
  <c r="C297" i="50" s="1"/>
  <c r="C197" i="50" a="1"/>
  <c r="C197" i="50" s="1"/>
  <c r="A287" i="50" a="1"/>
  <c r="A287" i="50" s="1"/>
  <c r="A329" i="50" a="1"/>
  <c r="A329" i="50" s="1"/>
  <c r="B155" i="50" a="1"/>
  <c r="B155" i="50" s="1"/>
  <c r="K69" i="50" a="1"/>
  <c r="K69" i="50" s="1"/>
  <c r="K280" i="50" a="1"/>
  <c r="K280" i="50" s="1"/>
  <c r="A168" i="50" a="1"/>
  <c r="A168" i="50" s="1"/>
  <c r="B305" i="50" a="1"/>
  <c r="B305" i="50" s="1"/>
  <c r="C165" i="50" a="1"/>
  <c r="C165" i="50" s="1"/>
  <c r="B346" i="50" a="1"/>
  <c r="B346" i="50" s="1"/>
  <c r="K235" i="50" a="1"/>
  <c r="K235" i="50" s="1"/>
  <c r="B31" i="50" a="1"/>
  <c r="B31" i="50" s="1"/>
  <c r="A337" i="50" a="1"/>
  <c r="A337" i="50" s="1"/>
  <c r="C266" i="50" a="1"/>
  <c r="C266" i="50" s="1"/>
  <c r="C328" i="50" a="1"/>
  <c r="C328" i="50" s="1"/>
  <c r="B178" i="50" a="1"/>
  <c r="B178" i="50" s="1"/>
  <c r="C319" i="50" a="1"/>
  <c r="C319" i="50" s="1"/>
  <c r="B40" i="50" a="1"/>
  <c r="B40" i="50" s="1"/>
  <c r="A90" i="50" a="1"/>
  <c r="A90" i="50" s="1"/>
  <c r="K16" i="50" a="1"/>
  <c r="K16" i="50" s="1"/>
  <c r="C120" i="50" a="1"/>
  <c r="C120" i="50" s="1"/>
  <c r="A158" i="50" a="1"/>
  <c r="A158" i="50" s="1"/>
  <c r="C351" i="50" a="1"/>
  <c r="C351" i="50" s="1"/>
  <c r="A323" i="50" a="1"/>
  <c r="A323" i="50" s="1"/>
  <c r="A149" i="50" a="1"/>
  <c r="A149" i="50" s="1"/>
  <c r="C87" i="50" a="1"/>
  <c r="C87" i="50" s="1"/>
  <c r="C53" i="50" a="1"/>
  <c r="C53" i="50" s="1"/>
  <c r="A37" i="50" a="1"/>
  <c r="A37" i="50" s="1"/>
  <c r="K105" i="50" a="1"/>
  <c r="K105" i="50" s="1"/>
  <c r="K30" i="50" a="1"/>
  <c r="K30" i="50" s="1"/>
  <c r="A335" i="50" a="1"/>
  <c r="A335" i="50" s="1"/>
  <c r="K304" i="50" a="1"/>
  <c r="K304" i="50" s="1"/>
  <c r="B246" i="50" a="1"/>
  <c r="B246" i="50" s="1"/>
  <c r="K58" i="50" a="1"/>
  <c r="K58" i="50" s="1"/>
  <c r="C269" i="50" a="1"/>
  <c r="C269" i="50" s="1"/>
  <c r="A256" i="50" a="1"/>
  <c r="A256" i="50" s="1"/>
  <c r="A23" i="50" a="1"/>
  <c r="A23" i="50" s="1"/>
  <c r="A218" i="50" a="1"/>
  <c r="A218" i="50" s="1"/>
  <c r="C329" i="50" a="1"/>
  <c r="C329" i="50" s="1"/>
  <c r="A46" i="50" a="1"/>
  <c r="A46" i="50" s="1"/>
  <c r="A270" i="50" a="1"/>
  <c r="A270" i="50" s="1"/>
  <c r="A72" i="50" a="1"/>
  <c r="A72" i="50" s="1"/>
  <c r="C72" i="50" a="1"/>
  <c r="C72" i="50" s="1"/>
  <c r="K164" i="50" a="1"/>
  <c r="K164" i="50" s="1"/>
  <c r="B263" i="50" a="1"/>
  <c r="B263" i="50" s="1"/>
  <c r="A311" i="50" a="1"/>
  <c r="A311" i="50" s="1"/>
  <c r="C230" i="50" a="1"/>
  <c r="C230" i="50" s="1"/>
  <c r="A45" i="50" a="1"/>
  <c r="A45" i="50" s="1"/>
  <c r="B313" i="50" a="1"/>
  <c r="B313" i="50" s="1"/>
  <c r="B143" i="50" a="1"/>
  <c r="B143" i="50" s="1"/>
  <c r="B331" i="50" a="1"/>
  <c r="B331" i="50" s="1"/>
  <c r="B349" i="50" a="1"/>
  <c r="B349" i="50" s="1"/>
  <c r="B43" i="50" a="1"/>
  <c r="B43" i="50" s="1"/>
  <c r="K350" i="50" a="1"/>
  <c r="K350" i="50" s="1"/>
  <c r="C61" i="50" a="1"/>
  <c r="C61" i="50" s="1"/>
  <c r="B107" i="50" a="1"/>
  <c r="B107" i="50" s="1"/>
  <c r="A164" i="50" a="1"/>
  <c r="A164" i="50" s="1"/>
  <c r="A301" i="50" a="1"/>
  <c r="A301" i="50" s="1"/>
  <c r="C316" i="50" a="1"/>
  <c r="C316" i="50" s="1"/>
  <c r="A79" i="50" a="1"/>
  <c r="A79" i="50" s="1"/>
  <c r="K305" i="50" a="1"/>
  <c r="K305" i="50" s="1"/>
  <c r="C265" i="50" a="1"/>
  <c r="C265" i="50" s="1"/>
  <c r="A349" i="50" a="1"/>
  <c r="A349" i="50" s="1"/>
  <c r="C236" i="50" a="1"/>
  <c r="C236" i="50" s="1"/>
  <c r="B342" i="50" a="1"/>
  <c r="B342" i="50" s="1"/>
  <c r="K216" i="50" a="1"/>
  <c r="K216" i="50" s="1"/>
  <c r="B318" i="50" a="1"/>
  <c r="B318" i="50" s="1"/>
  <c r="K200" i="50" a="1"/>
  <c r="K200" i="50" s="1"/>
  <c r="C353" i="50" a="1"/>
  <c r="C353" i="50" s="1"/>
  <c r="A112" i="50" a="1"/>
  <c r="A112" i="50" s="1"/>
  <c r="C23" i="50" a="1"/>
  <c r="C23" i="50" s="1"/>
  <c r="C342" i="50" a="1"/>
  <c r="C342" i="50" s="1"/>
  <c r="B294" i="50" a="1"/>
  <c r="B294" i="50" s="1"/>
  <c r="A121" i="50" a="1"/>
  <c r="A121" i="50" s="1"/>
  <c r="C352" i="50" a="1"/>
  <c r="C352" i="50" s="1"/>
  <c r="C200" i="50" a="1"/>
  <c r="C200" i="50" s="1"/>
  <c r="B94" i="50" a="1"/>
  <c r="B94" i="50" s="1"/>
  <c r="C163" i="50" a="1"/>
  <c r="C163" i="50" s="1"/>
  <c r="C354" i="50" a="1"/>
  <c r="C354" i="50" s="1"/>
  <c r="B141" i="50" a="1"/>
  <c r="B141" i="50" s="1"/>
  <c r="A238" i="50" a="1"/>
  <c r="A238" i="50" s="1"/>
  <c r="B284" i="50" a="1"/>
  <c r="B284" i="50" s="1"/>
  <c r="C15" i="50" a="1"/>
  <c r="C15" i="50" s="1"/>
  <c r="K251" i="50" a="1"/>
  <c r="K251" i="50" s="1"/>
  <c r="B165" i="50" a="1"/>
  <c r="B165" i="50" s="1"/>
  <c r="B77" i="50" a="1"/>
  <c r="B77" i="50" s="1"/>
  <c r="A187" i="50" a="1"/>
  <c r="A187" i="50" s="1"/>
  <c r="C20" i="50" a="1"/>
  <c r="C20" i="50" s="1"/>
  <c r="C52" i="50" a="1"/>
  <c r="C52" i="50" s="1"/>
  <c r="K109" i="50" a="1"/>
  <c r="K109" i="50" s="1"/>
  <c r="K166" i="50" a="1"/>
  <c r="K166" i="50" s="1"/>
  <c r="A29" i="50" a="1"/>
  <c r="A29" i="50" s="1"/>
  <c r="B347" i="50" a="1"/>
  <c r="B347" i="50" s="1"/>
  <c r="B226" i="50" a="1"/>
  <c r="B226" i="50" s="1"/>
  <c r="B203" i="50" a="1"/>
  <c r="B203" i="50" s="1"/>
  <c r="A248" i="50" a="1"/>
  <c r="A248" i="50" s="1"/>
  <c r="A300" i="50" a="1"/>
  <c r="A300" i="50" s="1"/>
  <c r="A288" i="50" a="1"/>
  <c r="A288" i="50" s="1"/>
  <c r="B319" i="50" a="1"/>
  <c r="B319" i="50" s="1"/>
  <c r="B133" i="50" a="1"/>
  <c r="B133" i="50" s="1"/>
  <c r="K239" i="50" a="1"/>
  <c r="K239" i="50" s="1"/>
  <c r="K215" i="50" a="1"/>
  <c r="K215" i="50" s="1"/>
  <c r="B101" i="50" a="1"/>
  <c r="B101" i="50" s="1"/>
  <c r="K314" i="50" a="1"/>
  <c r="K314" i="50" s="1"/>
  <c r="A193" i="50" a="1"/>
  <c r="A193" i="50" s="1"/>
  <c r="A27" i="50" a="1"/>
  <c r="A27" i="50" s="1"/>
  <c r="C12" i="50" a="1"/>
  <c r="C12" i="50" s="1"/>
  <c r="B19" i="50" a="1"/>
  <c r="B19" i="50" s="1"/>
  <c r="A116" i="50" a="1"/>
  <c r="A116" i="50" s="1"/>
  <c r="C184" i="50" a="1"/>
  <c r="C184" i="50" s="1"/>
  <c r="B232" i="50" a="1"/>
  <c r="B232" i="50" s="1"/>
  <c r="K35" i="50" a="1"/>
  <c r="K35" i="50" s="1"/>
  <c r="C253" i="50" a="1"/>
  <c r="C253" i="50" s="1"/>
  <c r="K133" i="50" a="1"/>
  <c r="K133" i="50" s="1"/>
  <c r="B104" i="50" a="1"/>
  <c r="B104" i="50" s="1"/>
  <c r="C311" i="50" a="1"/>
  <c r="C311" i="50" s="1"/>
  <c r="K205" i="50" a="1"/>
  <c r="K205" i="50" s="1"/>
  <c r="B276" i="50" a="1"/>
  <c r="B276" i="50" s="1"/>
  <c r="K25" i="50" a="1"/>
  <c r="K25" i="50" s="1"/>
  <c r="B58" i="50" a="1"/>
  <c r="B58" i="50" s="1"/>
  <c r="B39" i="50" a="1"/>
  <c r="B39" i="50" s="1"/>
  <c r="A244" i="50" a="1"/>
  <c r="A244" i="50" s="1"/>
  <c r="C118" i="50" a="1"/>
  <c r="C118" i="50" s="1"/>
  <c r="A11" i="50" a="1"/>
  <c r="A11" i="50" s="1"/>
  <c r="C204" i="50" a="1"/>
  <c r="C204" i="50" s="1"/>
  <c r="C157" i="50" a="1"/>
  <c r="C157" i="50" s="1"/>
  <c r="K293" i="50" a="1"/>
  <c r="K293" i="50" s="1"/>
  <c r="A190" i="50" a="1"/>
  <c r="A190" i="50" s="1"/>
  <c r="B8" i="50" a="1"/>
  <c r="B8" i="50" s="1"/>
  <c r="B92" i="50" a="1"/>
  <c r="B92" i="50" s="1"/>
  <c r="B32" i="50" a="1"/>
  <c r="B32" i="50" s="1"/>
  <c r="K252" i="50" a="1"/>
  <c r="K252" i="50" s="1"/>
  <c r="A161" i="50" a="1"/>
  <c r="A161" i="50" s="1"/>
  <c r="C63" i="50" a="1"/>
  <c r="C63" i="50" s="1"/>
  <c r="K283" i="50" a="1"/>
  <c r="K283" i="50" s="1"/>
  <c r="K113" i="50" a="1"/>
  <c r="K113" i="50" s="1"/>
  <c r="B317" i="50" a="1"/>
  <c r="B317" i="50" s="1"/>
  <c r="B115" i="50" a="1"/>
  <c r="B115" i="50" s="1"/>
  <c r="K55" i="50" a="1"/>
  <c r="K55" i="50" s="1"/>
  <c r="K240" i="50" a="1"/>
  <c r="K240" i="50" s="1"/>
  <c r="A34" i="50" a="1"/>
  <c r="A34" i="50" s="1"/>
  <c r="K117" i="50" a="1"/>
  <c r="K117" i="50" s="1"/>
  <c r="A278" i="50" a="1"/>
  <c r="A278" i="50" s="1"/>
  <c r="C71" i="50" a="1"/>
  <c r="C71" i="50" s="1"/>
  <c r="A348" i="50" a="1"/>
  <c r="A348" i="50" s="1"/>
  <c r="A41" i="50" a="1"/>
  <c r="A41" i="50" s="1"/>
  <c r="K192" i="50" a="1"/>
  <c r="K192" i="50" s="1"/>
  <c r="C272" i="50" a="1"/>
  <c r="C272" i="50" s="1"/>
  <c r="C193" i="50" a="1"/>
  <c r="C193" i="50" s="1"/>
  <c r="C355" i="50" a="1"/>
  <c r="C355" i="50" s="1"/>
  <c r="A49" i="50" a="1"/>
  <c r="A49" i="50" s="1"/>
  <c r="A160" i="50" a="1"/>
  <c r="A160" i="50" s="1"/>
  <c r="C83" i="50" a="1"/>
  <c r="C83" i="50" s="1"/>
  <c r="A122" i="50" a="1"/>
  <c r="A122" i="50" s="1"/>
  <c r="C346" i="50" a="1"/>
  <c r="C346" i="50" s="1"/>
  <c r="K318" i="50" a="1"/>
  <c r="K318" i="50" s="1"/>
  <c r="K61" i="50" a="1"/>
  <c r="K61" i="50" s="1"/>
  <c r="K246" i="50" a="1"/>
  <c r="K246" i="50" s="1"/>
  <c r="C229" i="50" a="1"/>
  <c r="C229" i="50" s="1"/>
  <c r="A137" i="50" a="1"/>
  <c r="A137" i="50" s="1"/>
  <c r="A7" i="50" a="1"/>
  <c r="A7" i="50" s="1"/>
  <c r="K139" i="50" a="1"/>
  <c r="K139" i="50" s="1"/>
  <c r="K198" i="50" a="1"/>
  <c r="K198" i="50" s="1"/>
  <c r="A291" i="50" a="1"/>
  <c r="A291" i="50" s="1"/>
  <c r="A13" i="50" a="1"/>
  <c r="A13" i="50" s="1"/>
  <c r="A30" i="50" a="1"/>
  <c r="A30" i="50" s="1"/>
  <c r="C249" i="50" a="1"/>
  <c r="C249" i="50" s="1"/>
  <c r="A266" i="50" a="1"/>
  <c r="A266" i="50" s="1"/>
  <c r="A20" i="50" a="1"/>
  <c r="A20" i="50" s="1"/>
  <c r="K160" i="50" a="1"/>
  <c r="K160" i="50" s="1"/>
  <c r="K302" i="50" a="1"/>
  <c r="K302" i="50" s="1"/>
  <c r="A26" i="50" a="1"/>
  <c r="A26" i="50" s="1"/>
  <c r="C220" i="50" a="1"/>
  <c r="C220" i="50" s="1"/>
  <c r="B87" i="50" a="1"/>
  <c r="B87" i="50" s="1"/>
  <c r="A17" i="50" a="1"/>
  <c r="A17" i="50" s="1"/>
  <c r="A141" i="50" a="1"/>
  <c r="A141" i="50" s="1"/>
  <c r="K102" i="50" a="1"/>
  <c r="K102" i="50" s="1"/>
  <c r="B172" i="50" a="1"/>
  <c r="B172" i="50" s="1"/>
  <c r="A120" i="50" a="1"/>
  <c r="A120" i="50" s="1"/>
  <c r="B299" i="50" a="1"/>
  <c r="B299" i="50" s="1"/>
  <c r="B338" i="50" a="1"/>
  <c r="B338" i="50" s="1"/>
  <c r="A28" i="50" a="1"/>
  <c r="A28" i="50" s="1"/>
  <c r="K233" i="50" a="1"/>
  <c r="K233" i="50" s="1"/>
  <c r="C237" i="50" a="1"/>
  <c r="C237" i="50" s="1"/>
  <c r="A134" i="50" a="1"/>
  <c r="A134" i="50" s="1"/>
  <c r="B99" i="50" a="1"/>
  <c r="B99" i="50" s="1"/>
  <c r="C107" i="50" a="1"/>
  <c r="C107" i="50" s="1"/>
  <c r="C49" i="50" a="1"/>
  <c r="C49" i="50" s="1"/>
  <c r="A115" i="50" a="1"/>
  <c r="A115" i="50" s="1"/>
  <c r="C251" i="50" a="1"/>
  <c r="C251" i="50" s="1"/>
  <c r="B54" i="50" a="1"/>
  <c r="B54" i="50" s="1"/>
  <c r="A299" i="50" a="1"/>
  <c r="A299" i="50" s="1"/>
  <c r="A247" i="50" a="1"/>
  <c r="A247" i="50" s="1"/>
  <c r="C43" i="50" a="1"/>
  <c r="C43" i="50" s="1"/>
  <c r="A145" i="50" a="1"/>
  <c r="A145" i="50" s="1"/>
  <c r="C195" i="50" a="1"/>
  <c r="C195" i="50" s="1"/>
  <c r="B242" i="50" a="1"/>
  <c r="B242" i="50" s="1"/>
  <c r="A76" i="50" a="1"/>
  <c r="A76" i="50" s="1"/>
  <c r="B254" i="50" a="1"/>
  <c r="B254" i="50" s="1"/>
  <c r="C283" i="50" a="1"/>
  <c r="C283" i="50" s="1"/>
  <c r="K112" i="50" a="1"/>
  <c r="K112" i="50" s="1"/>
  <c r="A100" i="50" a="1"/>
  <c r="A100" i="50" s="1"/>
  <c r="C75" i="50" a="1"/>
  <c r="C75" i="50" s="1"/>
  <c r="C201" i="50" a="1"/>
  <c r="C201" i="50" s="1"/>
  <c r="K335" i="50" a="1"/>
  <c r="K335" i="50" s="1"/>
  <c r="K56" i="50" a="1"/>
  <c r="K56" i="50" s="1"/>
  <c r="A250" i="50" a="1"/>
  <c r="A250" i="50" s="1"/>
  <c r="A189" i="50" a="1"/>
  <c r="A189" i="50" s="1"/>
  <c r="C122" i="50" a="1"/>
  <c r="C122" i="50" s="1"/>
  <c r="K13" i="50" a="1"/>
  <c r="K13" i="50" s="1"/>
  <c r="B35" i="50" a="1"/>
  <c r="B35" i="50" s="1"/>
  <c r="B224" i="50" a="1"/>
  <c r="B224" i="50" s="1"/>
  <c r="C35" i="50" a="1"/>
  <c r="C35" i="50" s="1"/>
  <c r="B109" i="50" a="1"/>
  <c r="B109" i="50" s="1"/>
  <c r="K98" i="50" a="1"/>
  <c r="K98" i="50" s="1"/>
  <c r="K141" i="50" a="1"/>
  <c r="K141" i="50" s="1"/>
  <c r="B74" i="50" a="1"/>
  <c r="B74" i="50" s="1"/>
  <c r="K316" i="50" a="1"/>
  <c r="K316" i="50" s="1"/>
  <c r="C66" i="50" a="1"/>
  <c r="C66" i="50" s="1"/>
  <c r="A103" i="50" a="1"/>
  <c r="A103" i="50" s="1"/>
  <c r="A139" i="50" a="1"/>
  <c r="A139" i="50" s="1"/>
  <c r="A234" i="50" a="1"/>
  <c r="A234" i="50" s="1"/>
  <c r="B24" i="50" a="1"/>
  <c r="B24" i="50" s="1"/>
  <c r="C134" i="50" a="1"/>
  <c r="C134" i="50" s="1"/>
  <c r="A110" i="50" a="1"/>
  <c r="A110" i="50" s="1"/>
  <c r="B298" i="50" a="1"/>
  <c r="B298" i="50" s="1"/>
  <c r="A31" i="50" a="1"/>
  <c r="A31" i="50" s="1"/>
  <c r="A85" i="50" a="1"/>
  <c r="A85" i="50" s="1"/>
  <c r="B135" i="50" a="1"/>
  <c r="B135" i="50" s="1"/>
  <c r="C29" i="50" a="1"/>
  <c r="C29" i="50" s="1"/>
  <c r="C332" i="50" a="1"/>
  <c r="C332" i="50" s="1"/>
  <c r="K310" i="50" a="1"/>
  <c r="K310" i="50" s="1"/>
  <c r="A52" i="50" a="1"/>
  <c r="A52" i="50" s="1"/>
  <c r="C338" i="50" a="1"/>
  <c r="C338" i="50" s="1"/>
  <c r="A107" i="50" a="1"/>
  <c r="A107" i="50" s="1"/>
  <c r="B231" i="50" a="1"/>
  <c r="B231" i="50" s="1"/>
  <c r="B262" i="50" a="1"/>
  <c r="B262" i="50" s="1"/>
  <c r="C47" i="50" a="1"/>
  <c r="C47" i="50" s="1"/>
  <c r="C173" i="50" a="1"/>
  <c r="C173" i="50" s="1"/>
  <c r="C292" i="50" a="1"/>
  <c r="C292" i="50" s="1"/>
  <c r="K263" i="50" a="1"/>
  <c r="K263" i="50" s="1"/>
  <c r="K214" i="50" a="1"/>
  <c r="K214" i="50" s="1"/>
  <c r="K159" i="50" a="1"/>
  <c r="K159" i="50" s="1"/>
  <c r="K67" i="50" a="1"/>
  <c r="K67" i="50" s="1"/>
  <c r="B159" i="50" a="1"/>
  <c r="B159" i="50" s="1"/>
  <c r="B138" i="50" a="1"/>
  <c r="B138" i="50" s="1"/>
  <c r="K343" i="50" a="1"/>
  <c r="K343" i="50" s="1"/>
  <c r="B168" i="50" a="1"/>
  <c r="B168" i="50" s="1"/>
  <c r="K68" i="50" a="1"/>
  <c r="K68" i="50" s="1"/>
  <c r="C333" i="50" a="1"/>
  <c r="C333" i="50" s="1"/>
  <c r="A59" i="50" a="1"/>
  <c r="A59" i="50" s="1"/>
  <c r="B45" i="50" a="1"/>
  <c r="B45" i="50" s="1"/>
  <c r="B59" i="50" a="1"/>
  <c r="B59" i="50" s="1"/>
  <c r="B314" i="50" a="1"/>
  <c r="B314" i="50" s="1"/>
  <c r="A15" i="50" a="1"/>
  <c r="A15" i="50" s="1"/>
  <c r="K154" i="50" a="1"/>
  <c r="K154" i="50" s="1"/>
  <c r="B273" i="50" a="1"/>
  <c r="B273" i="50" s="1"/>
  <c r="K17" i="50" a="1"/>
  <c r="K17" i="50" s="1"/>
  <c r="K156" i="50" a="1"/>
  <c r="K156" i="50" s="1"/>
  <c r="A232" i="50" a="1"/>
  <c r="A232" i="50" s="1"/>
  <c r="C310" i="50" a="1"/>
  <c r="C310" i="50" s="1"/>
  <c r="C36" i="50" a="1"/>
  <c r="C36" i="50" s="1"/>
  <c r="B125" i="50" a="1"/>
  <c r="B125" i="50" s="1"/>
  <c r="B100" i="50" a="1"/>
  <c r="B100" i="50" s="1"/>
  <c r="C286" i="50" a="1"/>
  <c r="C286" i="50" s="1"/>
  <c r="C8" i="50" a="1"/>
  <c r="C8" i="50" s="1"/>
  <c r="C88" i="50" a="1"/>
  <c r="C88" i="50" s="1"/>
  <c r="A16" i="50" a="1"/>
  <c r="A16" i="50" s="1"/>
  <c r="A224" i="50" a="1"/>
  <c r="A224" i="50" s="1"/>
  <c r="A167" i="50" a="1"/>
  <c r="A167" i="50" s="1"/>
  <c r="K244" i="50" a="1"/>
  <c r="K244" i="50" s="1"/>
  <c r="C231" i="50" a="1"/>
  <c r="C231" i="50" s="1"/>
  <c r="A12" i="50" a="1"/>
  <c r="A12" i="50" s="1"/>
  <c r="K237" i="50" a="1"/>
  <c r="K237" i="50" s="1"/>
  <c r="B129" i="50" a="1"/>
  <c r="B129" i="50" s="1"/>
  <c r="K12" i="50" a="1"/>
  <c r="K12" i="50" s="1"/>
  <c r="B36" i="50" a="1"/>
  <c r="B36" i="50" s="1"/>
  <c r="K81" i="50" a="1"/>
  <c r="K81" i="50" s="1"/>
  <c r="C77" i="50" a="1"/>
  <c r="C77" i="50" s="1"/>
  <c r="C98" i="50" a="1"/>
  <c r="C98" i="50" s="1"/>
  <c r="B247" i="50" a="1"/>
  <c r="B247" i="50" s="1"/>
  <c r="K171" i="50" a="1"/>
  <c r="K171" i="50" s="1"/>
  <c r="B351" i="50" a="1"/>
  <c r="B351" i="50" s="1"/>
  <c r="C89" i="50" a="1"/>
  <c r="C89" i="50" s="1"/>
  <c r="K230" i="50" a="1"/>
  <c r="K230" i="50" s="1"/>
  <c r="A136" i="50" a="1"/>
  <c r="A136" i="50" s="1"/>
  <c r="A57" i="50" a="1"/>
  <c r="A57" i="50" s="1"/>
  <c r="K42" i="50" a="1"/>
  <c r="K42" i="50" s="1"/>
  <c r="K242" i="50" a="1"/>
  <c r="K242" i="50" s="1"/>
  <c r="B184" i="50" a="1"/>
  <c r="B184" i="50" s="1"/>
  <c r="B339" i="50" a="1"/>
  <c r="B339" i="50" s="1"/>
  <c r="B333" i="50" a="1"/>
  <c r="B333" i="50" s="1"/>
  <c r="K153" i="50" a="1"/>
  <c r="K153" i="50" s="1"/>
  <c r="C194" i="50" a="1"/>
  <c r="C194" i="50" s="1"/>
  <c r="C207" i="50" a="1"/>
  <c r="C207" i="50" s="1"/>
  <c r="K106" i="50" a="1"/>
  <c r="K106" i="50" s="1"/>
  <c r="A219" i="50" a="1"/>
  <c r="A219" i="50" s="1"/>
  <c r="C46" i="50" a="1"/>
  <c r="C46" i="50" s="1"/>
  <c r="K279" i="50" a="1"/>
  <c r="K279" i="50" s="1"/>
  <c r="B69" i="50" a="1"/>
  <c r="B69" i="50" s="1"/>
  <c r="C65" i="50" a="1"/>
  <c r="C65" i="50" s="1"/>
  <c r="B61" i="50" a="1"/>
  <c r="B61" i="50" s="1"/>
  <c r="C123" i="50" a="1"/>
  <c r="C123" i="50" s="1"/>
  <c r="K121" i="50" a="1"/>
  <c r="K121" i="50" s="1"/>
  <c r="C109" i="50" a="1"/>
  <c r="C109" i="50" s="1"/>
  <c r="A330" i="50" a="1"/>
  <c r="A330" i="50" s="1"/>
  <c r="A58" i="50" a="1"/>
  <c r="A58" i="50" s="1"/>
  <c r="A48" i="50" a="1"/>
  <c r="A48" i="50" s="1"/>
  <c r="C125" i="50" a="1"/>
  <c r="C125" i="50" s="1"/>
  <c r="B85" i="50" a="1"/>
  <c r="B85" i="50" s="1"/>
  <c r="K82" i="50" a="1"/>
  <c r="K82" i="50" s="1"/>
  <c r="K346" i="50" a="1"/>
  <c r="K346" i="50" s="1"/>
  <c r="B270" i="50" a="1"/>
  <c r="B270" i="50" s="1"/>
  <c r="K271" i="50" a="1"/>
  <c r="K271" i="50" s="1"/>
  <c r="C206" i="50" a="1"/>
  <c r="C206" i="50" s="1"/>
  <c r="B10" i="50" a="1"/>
  <c r="B10" i="50" s="1"/>
  <c r="A128" i="50" a="1"/>
  <c r="A128" i="50" s="1"/>
  <c r="C13" i="50" a="1"/>
  <c r="C13" i="50" s="1"/>
  <c r="K48" i="50" a="1"/>
  <c r="K48" i="50" s="1"/>
  <c r="A304" i="50" a="1"/>
  <c r="A304" i="50" s="1"/>
  <c r="B207" i="50" a="1"/>
  <c r="B207" i="50" s="1"/>
  <c r="C21" i="50" a="1"/>
  <c r="C21" i="50" s="1"/>
  <c r="C51" i="50" a="1"/>
  <c r="C51" i="50" s="1"/>
  <c r="C183" i="50" a="1"/>
  <c r="C183" i="50" s="1"/>
  <c r="A159" i="50" a="1"/>
  <c r="A159" i="50" s="1"/>
  <c r="B292" i="50" a="1"/>
  <c r="B292" i="50" s="1"/>
  <c r="A313" i="50" a="1"/>
  <c r="A313" i="50" s="1"/>
  <c r="A262" i="50" a="1"/>
  <c r="A262" i="50" s="1"/>
  <c r="K247" i="50" a="1"/>
  <c r="K247" i="50" s="1"/>
  <c r="K301" i="50" a="1"/>
  <c r="K301" i="50" s="1"/>
  <c r="A303" i="50" a="1"/>
  <c r="A303" i="50" s="1"/>
  <c r="K100" i="50" a="1"/>
  <c r="K100" i="50" s="1"/>
  <c r="A125" i="50" a="1"/>
  <c r="A125" i="50" s="1"/>
  <c r="C349" i="50" a="1"/>
  <c r="C349" i="50" s="1"/>
  <c r="K54" i="50" a="1"/>
  <c r="K54" i="50" s="1"/>
  <c r="B315" i="50" a="1"/>
  <c r="B315" i="50" s="1"/>
  <c r="B157" i="50" a="1"/>
  <c r="B157" i="50" s="1"/>
  <c r="B80" i="50" a="1"/>
  <c r="B80" i="50" s="1"/>
  <c r="A180" i="50" a="1"/>
  <c r="A180" i="50" s="1"/>
  <c r="B225" i="50" a="1"/>
  <c r="B225" i="50" s="1"/>
  <c r="C211" i="50" a="1"/>
  <c r="C211" i="50" s="1"/>
  <c r="A242" i="50" a="1"/>
  <c r="A242" i="50" s="1"/>
  <c r="A196" i="50" a="1"/>
  <c r="A196" i="50" s="1"/>
  <c r="A239" i="50" a="1"/>
  <c r="A239" i="50" s="1"/>
  <c r="B202" i="50" a="1"/>
  <c r="B202" i="50" s="1"/>
  <c r="C44" i="50" a="1"/>
  <c r="C44" i="50" s="1"/>
  <c r="K325" i="50" a="1"/>
  <c r="K325" i="50" s="1"/>
  <c r="C268" i="50" a="1"/>
  <c r="C268" i="50" s="1"/>
  <c r="B192" i="50" a="1"/>
  <c r="B192" i="50" s="1"/>
  <c r="C303" i="50" a="1"/>
  <c r="C303" i="50" s="1"/>
  <c r="B52" i="50" a="1"/>
  <c r="B52" i="50" s="1"/>
  <c r="K157" i="50" a="1"/>
  <c r="K157" i="50" s="1"/>
  <c r="B197" i="50" a="1"/>
  <c r="B197" i="50" s="1"/>
  <c r="A197" i="50" a="1"/>
  <c r="A197" i="50" s="1"/>
  <c r="B44" i="50" a="1"/>
  <c r="B44" i="50" s="1"/>
  <c r="A267" i="50" a="1"/>
  <c r="A267" i="50" s="1"/>
  <c r="B73" i="50" a="1"/>
  <c r="B73" i="50" s="1"/>
  <c r="B245" i="50" a="1"/>
  <c r="B245" i="50" s="1"/>
  <c r="B209" i="50" a="1"/>
  <c r="B209" i="50" s="1"/>
  <c r="C279" i="50" a="1"/>
  <c r="C279" i="50" s="1"/>
  <c r="B86" i="50" a="1"/>
  <c r="B86" i="50" s="1"/>
  <c r="A188" i="50" a="1"/>
  <c r="A188" i="50" s="1"/>
  <c r="B301" i="50" a="1"/>
  <c r="B301" i="50" s="1"/>
  <c r="C73" i="50" a="1"/>
  <c r="C73" i="50" s="1"/>
  <c r="K23" i="50" a="1"/>
  <c r="K23" i="50" s="1"/>
  <c r="B64" i="50" a="1"/>
  <c r="B64" i="50" s="1"/>
  <c r="B28" i="50" a="1"/>
  <c r="B28" i="50" s="1"/>
  <c r="C101" i="50" a="1"/>
  <c r="C101" i="50" s="1"/>
  <c r="C347" i="50" a="1"/>
  <c r="C347" i="50" s="1"/>
  <c r="K52" i="50" a="1"/>
  <c r="K52" i="50" s="1"/>
  <c r="K262" i="50" a="1"/>
  <c r="K262" i="50" s="1"/>
  <c r="C313" i="50" a="1"/>
  <c r="C313" i="50" s="1"/>
  <c r="A84" i="50" a="1"/>
  <c r="A84" i="50" s="1"/>
  <c r="C330" i="50" a="1"/>
  <c r="C330" i="50" s="1"/>
  <c r="B79" i="50" a="1"/>
  <c r="B79" i="50" s="1"/>
  <c r="K165" i="50" a="1"/>
  <c r="K165" i="50" s="1"/>
  <c r="K24" i="50" a="1"/>
  <c r="K24" i="50" s="1"/>
  <c r="A241" i="50" a="1"/>
  <c r="A241" i="50" s="1"/>
  <c r="C250" i="50" a="1"/>
  <c r="C250" i="50" s="1"/>
  <c r="K10" i="50" a="1"/>
  <c r="K10" i="50" s="1"/>
  <c r="A55" i="50" a="1"/>
  <c r="A55" i="50" s="1"/>
  <c r="A118" i="50" a="1"/>
  <c r="A118" i="50" s="1"/>
  <c r="C305" i="50" a="1"/>
  <c r="C305" i="50" s="1"/>
  <c r="K149" i="50" a="1"/>
  <c r="K149" i="50" s="1"/>
  <c r="K319" i="50" a="1"/>
  <c r="K319" i="50" s="1"/>
  <c r="K190" i="50" a="1"/>
  <c r="K190" i="50" s="1"/>
  <c r="C180" i="50" a="1"/>
  <c r="C180" i="50" s="1"/>
  <c r="C68" i="50" a="1"/>
  <c r="C68" i="50" s="1"/>
  <c r="K334" i="50" a="1"/>
  <c r="K334" i="50" s="1"/>
  <c r="K218" i="50" a="1"/>
  <c r="K218" i="50" s="1"/>
  <c r="K170" i="50" a="1"/>
  <c r="K170" i="50" s="1"/>
  <c r="B187" i="50" a="1"/>
  <c r="B187" i="50" s="1"/>
  <c r="C198" i="50" a="1"/>
  <c r="C198" i="50" s="1"/>
  <c r="K86" i="50" a="1"/>
  <c r="K86" i="50" s="1"/>
  <c r="C281" i="50" a="1"/>
  <c r="C281" i="50" s="1"/>
  <c r="B303" i="50" a="1"/>
  <c r="B303" i="50" s="1"/>
  <c r="C172" i="50" a="1"/>
  <c r="C172" i="50" s="1"/>
  <c r="C341" i="50" a="1"/>
  <c r="C341" i="50" s="1"/>
  <c r="C270" i="50" a="1"/>
  <c r="C270" i="50" s="1"/>
  <c r="B103" i="50" a="1"/>
  <c r="B103" i="50" s="1"/>
  <c r="C296" i="50" a="1"/>
  <c r="C296" i="50" s="1"/>
  <c r="C339" i="50" a="1"/>
  <c r="C339" i="50" s="1"/>
  <c r="A162" i="50" a="1"/>
  <c r="A162" i="50" s="1"/>
  <c r="K354" i="50" a="1"/>
  <c r="K354" i="50" s="1"/>
  <c r="K27" i="50" a="1"/>
  <c r="K27" i="50" s="1"/>
  <c r="C334" i="50" a="1"/>
  <c r="C334" i="50" s="1"/>
  <c r="C189" i="50" a="1"/>
  <c r="C189" i="50" s="1"/>
  <c r="B132" i="50" a="1"/>
  <c r="B132" i="50" s="1"/>
  <c r="K224" i="50" a="1"/>
  <c r="K224" i="50" s="1"/>
  <c r="K77" i="50" a="1"/>
  <c r="K77" i="50" s="1"/>
  <c r="C104" i="50" a="1"/>
  <c r="C104" i="50" s="1"/>
  <c r="C70" i="50" a="1"/>
  <c r="C70" i="50" s="1"/>
  <c r="B285" i="50" a="1"/>
  <c r="B285" i="50" s="1"/>
  <c r="K118" i="50" a="1"/>
  <c r="K118" i="50" s="1"/>
  <c r="C136" i="50" a="1"/>
  <c r="C136" i="50" s="1"/>
  <c r="K104" i="50" a="1"/>
  <c r="K104" i="50" s="1"/>
  <c r="K168" i="50" a="1"/>
  <c r="K168" i="50" s="1"/>
  <c r="K108" i="50" a="1"/>
  <c r="K108" i="50" s="1"/>
  <c r="C287" i="50" a="1"/>
  <c r="C287" i="50" s="1"/>
  <c r="C321" i="50" a="1"/>
  <c r="C321" i="50" s="1"/>
  <c r="C208" i="50" a="1"/>
  <c r="C208" i="50" s="1"/>
  <c r="C32" i="50" a="1"/>
  <c r="C32" i="50" s="1"/>
  <c r="B332" i="50" a="1"/>
  <c r="B332" i="50" s="1"/>
  <c r="A246" i="50" a="1"/>
  <c r="A246" i="50" s="1"/>
  <c r="B63" i="50" a="1"/>
  <c r="B63" i="50" s="1"/>
  <c r="B113" i="50" a="1"/>
  <c r="B113" i="50" s="1"/>
  <c r="B179" i="50" a="1"/>
  <c r="B179" i="50" s="1"/>
  <c r="K115" i="50" a="1"/>
  <c r="K115" i="50" s="1"/>
  <c r="B41" i="50" a="1"/>
  <c r="B41" i="50" s="1"/>
  <c r="A355" i="50" a="1"/>
  <c r="A355" i="50" s="1"/>
  <c r="A317" i="50" a="1"/>
  <c r="A317" i="50" s="1"/>
  <c r="A104" i="50" a="1"/>
  <c r="A104" i="50" s="1"/>
  <c r="C224" i="50" a="1"/>
  <c r="C224" i="50" s="1"/>
  <c r="B195" i="50" a="1"/>
  <c r="B195" i="50" s="1"/>
  <c r="K62" i="50" a="1"/>
  <c r="K62" i="50" s="1"/>
  <c r="A25" i="50" a="1"/>
  <c r="A25" i="50" s="1"/>
  <c r="C57" i="50" a="1"/>
  <c r="C57" i="50" s="1"/>
  <c r="A318" i="50" a="1"/>
  <c r="A318" i="50" s="1"/>
  <c r="K231" i="50" a="1"/>
  <c r="K231" i="50" s="1"/>
  <c r="B250" i="50" a="1"/>
  <c r="B250" i="50" s="1"/>
  <c r="B30" i="50" a="1"/>
  <c r="B30" i="50" s="1"/>
  <c r="B244" i="50" a="1"/>
  <c r="B244" i="50" s="1"/>
  <c r="K269" i="50" a="1"/>
  <c r="K269" i="50" s="1"/>
  <c r="B261" i="50" a="1"/>
  <c r="B261" i="50" s="1"/>
  <c r="K312" i="50" a="1"/>
  <c r="K312" i="50" s="1"/>
  <c r="A77" i="50" a="1"/>
  <c r="A77" i="50" s="1"/>
  <c r="K296" i="50" a="1"/>
  <c r="K296" i="50" s="1"/>
  <c r="B350" i="50" a="1"/>
  <c r="B350" i="50" s="1"/>
  <c r="K191" i="50" a="1"/>
  <c r="K191" i="50" s="1"/>
  <c r="B248" i="50" a="1"/>
  <c r="B248" i="50" s="1"/>
  <c r="A324" i="50" a="1"/>
  <c r="A324" i="50" s="1"/>
  <c r="B17" i="50" a="1"/>
  <c r="B17" i="50" s="1"/>
  <c r="K207" i="50" a="1"/>
  <c r="K207" i="50" s="1"/>
  <c r="A273" i="50" a="1"/>
  <c r="A273" i="50" s="1"/>
  <c r="K21" i="50" a="1"/>
  <c r="K21" i="50" s="1"/>
  <c r="C124" i="50" a="1"/>
  <c r="C124" i="50" s="1"/>
  <c r="B108" i="50" a="1"/>
  <c r="B108" i="50" s="1"/>
  <c r="C216" i="50" a="1"/>
  <c r="C216" i="50" s="1"/>
  <c r="B312" i="50" a="1"/>
  <c r="B312" i="50" s="1"/>
  <c r="C255" i="50" a="1"/>
  <c r="C255" i="50" s="1"/>
  <c r="C327" i="50" a="1"/>
  <c r="C327" i="50" s="1"/>
  <c r="B251" i="50" a="1"/>
  <c r="B251" i="50" s="1"/>
  <c r="C18" i="50" a="1"/>
  <c r="C18" i="50" s="1"/>
  <c r="C177" i="50" a="1"/>
  <c r="C177" i="50" s="1"/>
  <c r="K177" i="50" a="1"/>
  <c r="K177" i="50" s="1"/>
  <c r="K245" i="50" a="1"/>
  <c r="K245" i="50" s="1"/>
  <c r="A93" i="50" a="1"/>
  <c r="A93" i="50" s="1"/>
  <c r="A21" i="50" a="1"/>
  <c r="A21" i="50" s="1"/>
  <c r="B286" i="50" a="1"/>
  <c r="B286" i="50" s="1"/>
  <c r="A156" i="50" a="1"/>
  <c r="A156" i="50" s="1"/>
  <c r="A108" i="50" a="1"/>
  <c r="A108" i="50" s="1"/>
  <c r="A113" i="50" a="1"/>
  <c r="A113" i="50" s="1"/>
  <c r="B167" i="50" a="1"/>
  <c r="B167" i="50" s="1"/>
  <c r="A204" i="50" a="1"/>
  <c r="A204" i="50" s="1"/>
  <c r="A213" i="50" a="1"/>
  <c r="A213" i="50" s="1"/>
  <c r="B48" i="50" a="1"/>
  <c r="B48" i="50" s="1"/>
  <c r="A312" i="50" a="1"/>
  <c r="A312" i="50" s="1"/>
  <c r="K107" i="50" a="1"/>
  <c r="K107" i="50" s="1"/>
  <c r="A64" i="50" a="1"/>
  <c r="A64" i="50" s="1"/>
  <c r="A194" i="50" a="1"/>
  <c r="A194" i="50" s="1"/>
  <c r="B6" i="50" a="1"/>
  <c r="B6" i="50" s="1"/>
  <c r="A243" i="50" a="1"/>
  <c r="A243" i="50" s="1"/>
  <c r="K175" i="50" a="1"/>
  <c r="K175" i="50" s="1"/>
  <c r="C225" i="50" a="1"/>
  <c r="C225" i="50" s="1"/>
  <c r="B185" i="50" a="1"/>
  <c r="B185" i="50" s="1"/>
  <c r="B199" i="50" a="1"/>
  <c r="B199" i="50" s="1"/>
  <c r="B33" i="50" a="1"/>
  <c r="B33" i="50" s="1"/>
  <c r="A257" i="50" a="1"/>
  <c r="A257" i="50" s="1"/>
  <c r="C50" i="50" a="1"/>
  <c r="C50" i="50" s="1"/>
  <c r="C188" i="50" a="1"/>
  <c r="C188" i="50" s="1"/>
  <c r="B102" i="50" a="1"/>
  <c r="B102" i="50" s="1"/>
  <c r="A254" i="50" a="1"/>
  <c r="A254" i="50" s="1"/>
  <c r="B55" i="50" a="1"/>
  <c r="B55" i="50" s="1"/>
  <c r="C238" i="50" a="1"/>
  <c r="C238" i="50" s="1"/>
  <c r="K72" i="50" a="1"/>
  <c r="K72" i="50" s="1"/>
  <c r="K238" i="50" a="1"/>
  <c r="K238" i="50" s="1"/>
  <c r="C170" i="50" a="1"/>
  <c r="C170" i="50" s="1"/>
  <c r="B153" i="50" a="1"/>
  <c r="B153" i="50" s="1"/>
  <c r="K276" i="50" a="1"/>
  <c r="K276" i="50" s="1"/>
  <c r="C227" i="50" a="1"/>
  <c r="C227" i="50" s="1"/>
  <c r="B146" i="50" a="1"/>
  <c r="B146" i="50" s="1"/>
  <c r="C90" i="50" a="1"/>
  <c r="C90" i="50" s="1"/>
  <c r="A19" i="50" a="1"/>
  <c r="A19" i="50" s="1"/>
  <c r="K184" i="50" a="1"/>
  <c r="K184" i="50" s="1"/>
  <c r="A305" i="50" a="1"/>
  <c r="A305" i="50" s="1"/>
  <c r="B336" i="50" a="1"/>
  <c r="B336" i="50" s="1"/>
  <c r="A215" i="50" a="1"/>
  <c r="A215" i="50" s="1"/>
  <c r="B53" i="50" a="1"/>
  <c r="B53" i="50" s="1"/>
  <c r="B130" i="50" a="1"/>
  <c r="B130" i="50" s="1"/>
  <c r="K317" i="50" a="1"/>
  <c r="K317" i="50" s="1"/>
  <c r="B126" i="50" a="1"/>
  <c r="B126" i="50" s="1"/>
  <c r="B257" i="50" a="1"/>
  <c r="B257" i="50" s="1"/>
  <c r="A251" i="50" a="1"/>
  <c r="A251" i="50" s="1"/>
  <c r="B137" i="50" a="1"/>
  <c r="B137" i="50" s="1"/>
  <c r="A290" i="50" a="1"/>
  <c r="A290" i="50" s="1"/>
  <c r="C22" i="50" a="1"/>
  <c r="C22" i="50" s="1"/>
  <c r="K313" i="50" a="1"/>
  <c r="K313" i="50" s="1"/>
  <c r="K206" i="50" a="1"/>
  <c r="K206" i="50" s="1"/>
  <c r="K20" i="50" a="1"/>
  <c r="K20" i="50" s="1"/>
  <c r="A62" i="50" a="1"/>
  <c r="A62" i="50" s="1"/>
  <c r="A293" i="50" a="1"/>
  <c r="A293" i="50" s="1"/>
  <c r="C64" i="50" a="1"/>
  <c r="C64" i="50" s="1"/>
  <c r="K74" i="50" a="1"/>
  <c r="K74" i="50" s="1"/>
  <c r="A172" i="50" a="1"/>
  <c r="A172" i="50" s="1"/>
  <c r="A259" i="50" a="1"/>
  <c r="A259" i="50" s="1"/>
  <c r="B191" i="50" a="1"/>
  <c r="B191" i="50" s="1"/>
  <c r="B304" i="50" a="1"/>
  <c r="B304" i="50" s="1"/>
  <c r="K286" i="50" a="1"/>
  <c r="K286" i="50" s="1"/>
  <c r="C190" i="50" a="1"/>
  <c r="C190" i="50" s="1"/>
  <c r="K6" i="50" a="1"/>
  <c r="K6" i="50" s="1"/>
  <c r="A36" i="50" a="1"/>
  <c r="A36" i="50" s="1"/>
  <c r="B335" i="50" a="1"/>
  <c r="B335" i="50" s="1"/>
  <c r="A175" i="50" a="1"/>
  <c r="A175" i="50" s="1"/>
  <c r="K337" i="50" a="1"/>
  <c r="K337" i="50" s="1"/>
  <c r="C19" i="50" a="1"/>
  <c r="C19" i="50" s="1"/>
  <c r="B223" i="50" a="1"/>
  <c r="B223" i="50" s="1"/>
  <c r="K49" i="50" a="1"/>
  <c r="K49" i="50" s="1"/>
  <c r="K186" i="50" a="1"/>
  <c r="K186" i="50" s="1"/>
  <c r="K183" i="50" a="1"/>
  <c r="K183" i="50" s="1"/>
  <c r="C55" i="50" a="1"/>
  <c r="C55" i="50" s="1"/>
  <c r="B111" i="50" a="1"/>
  <c r="B111" i="50" s="1"/>
  <c r="B320" i="50" a="1"/>
  <c r="B320" i="50" s="1"/>
  <c r="B275" i="50" a="1"/>
  <c r="B275" i="50" s="1"/>
  <c r="B269" i="50" a="1"/>
  <c r="B269" i="50" s="1"/>
  <c r="K321" i="50" a="1"/>
  <c r="K321" i="50" s="1"/>
  <c r="K22" i="50" a="1"/>
  <c r="K22" i="50" s="1"/>
  <c r="C67" i="50" a="1"/>
  <c r="C67" i="50" s="1"/>
  <c r="B117" i="50" a="1"/>
  <c r="B117" i="50" s="1"/>
  <c r="K103" i="50" a="1"/>
  <c r="K103" i="50" s="1"/>
  <c r="C137" i="50" a="1"/>
  <c r="C137" i="50" s="1"/>
  <c r="C169" i="50" a="1"/>
  <c r="C169" i="50" s="1"/>
  <c r="A334" i="50" a="1"/>
  <c r="A334" i="50" s="1"/>
  <c r="C33" i="50" a="1"/>
  <c r="C33" i="50" s="1"/>
  <c r="B164" i="50" a="1"/>
  <c r="B164" i="50" s="1"/>
  <c r="K347" i="50" a="1"/>
  <c r="K347" i="50" s="1"/>
  <c r="A83" i="50" a="1"/>
  <c r="A83" i="50" s="1"/>
  <c r="C138" i="50" a="1"/>
  <c r="C138" i="50" s="1"/>
  <c r="A260" i="50" a="1"/>
  <c r="A260" i="50" s="1"/>
  <c r="B321" i="50" a="1"/>
  <c r="B321" i="50" s="1"/>
  <c r="A207" i="50" a="1"/>
  <c r="A207" i="50" s="1"/>
  <c r="A228" i="50" a="1"/>
  <c r="A228" i="50" s="1"/>
  <c r="A133" i="50" a="1"/>
  <c r="A133" i="50" s="1"/>
  <c r="K282" i="50" a="1"/>
  <c r="K282" i="50" s="1"/>
  <c r="A144" i="50" a="1"/>
  <c r="A144" i="50" s="1"/>
  <c r="C133" i="50" a="1"/>
  <c r="C133" i="50" s="1"/>
  <c r="C128" i="50" a="1"/>
  <c r="C128" i="50" s="1"/>
  <c r="A227" i="50" a="1"/>
  <c r="A227" i="50" s="1"/>
  <c r="C78" i="50" a="1"/>
  <c r="C78" i="50" s="1"/>
  <c r="K250" i="50" a="1"/>
  <c r="K250" i="50" s="1"/>
  <c r="A274" i="50" a="1"/>
  <c r="A274" i="50" s="1"/>
  <c r="C323" i="50" a="1"/>
  <c r="C323" i="50" s="1"/>
  <c r="C100" i="50" a="1"/>
  <c r="C100" i="50" s="1"/>
  <c r="C215" i="50" a="1"/>
  <c r="C215" i="50" s="1"/>
  <c r="K222" i="50" a="1"/>
  <c r="K222" i="50" s="1"/>
  <c r="C282" i="50" a="1"/>
  <c r="C282" i="50" s="1"/>
  <c r="K208" i="50" a="1"/>
  <c r="K208" i="50" s="1"/>
  <c r="A280" i="50" a="1"/>
  <c r="A280" i="50" s="1"/>
  <c r="C26" i="50" a="1"/>
  <c r="C26" i="50" s="1"/>
  <c r="B110" i="50" a="1"/>
  <c r="B110" i="50" s="1"/>
  <c r="A114" i="50" a="1"/>
  <c r="A114" i="50" s="1"/>
  <c r="K255" i="50" a="1"/>
  <c r="K255" i="50" s="1"/>
  <c r="B344" i="50" a="1"/>
  <c r="B344" i="50" s="1"/>
  <c r="C209" i="50" a="1"/>
  <c r="C209" i="50" s="1"/>
  <c r="K70" i="50" a="1"/>
  <c r="K70" i="50" s="1"/>
  <c r="A352" i="50" a="1"/>
  <c r="A352" i="50" s="1"/>
  <c r="K158" i="50" a="1"/>
  <c r="K158" i="50" s="1"/>
  <c r="B214" i="50" a="1"/>
  <c r="B214" i="50" s="1"/>
  <c r="A354" i="50" a="1"/>
  <c r="A354" i="50" s="1"/>
  <c r="K195" i="50" a="1"/>
  <c r="K195" i="50" s="1"/>
  <c r="A42" i="50" a="1"/>
  <c r="A42" i="50" s="1"/>
  <c r="A24" i="50" a="1"/>
  <c r="A24" i="50" s="1"/>
  <c r="C263" i="50" a="1"/>
  <c r="C263" i="50" s="1"/>
  <c r="B91" i="50" a="1"/>
  <c r="B91" i="50" s="1"/>
  <c r="A75" i="50" a="1"/>
  <c r="A75" i="50" s="1"/>
  <c r="C84" i="50" a="1"/>
  <c r="C84" i="50" s="1"/>
  <c r="C182" i="50" a="1"/>
  <c r="C182" i="50" s="1"/>
  <c r="B160" i="50" a="1"/>
  <c r="B160" i="50" s="1"/>
  <c r="C289" i="50" a="1"/>
  <c r="C289" i="50" s="1"/>
  <c r="K196" i="50" a="1"/>
  <c r="K196" i="50" s="1"/>
  <c r="K122" i="50" a="1"/>
  <c r="K122" i="50" s="1"/>
  <c r="A14" i="50" a="1"/>
  <c r="A14" i="50" s="1"/>
  <c r="A345" i="50" a="1"/>
  <c r="A345" i="50" s="1"/>
  <c r="B341" i="50" a="1"/>
  <c r="B341" i="50" s="1"/>
  <c r="C11" i="50" a="1"/>
  <c r="C11" i="50" s="1"/>
  <c r="K174" i="50" a="1"/>
  <c r="K174" i="50" s="1"/>
  <c r="B26" i="50" a="1"/>
  <c r="B26" i="50" s="1"/>
  <c r="K142" i="50" a="1"/>
  <c r="K142" i="50" s="1"/>
  <c r="K223" i="50" a="1"/>
  <c r="K223" i="50" s="1"/>
  <c r="A192" i="50" a="1"/>
  <c r="A192" i="50" s="1"/>
  <c r="B76" i="50" a="1"/>
  <c r="B76" i="50" s="1"/>
  <c r="A66" i="50" a="1"/>
  <c r="A66" i="50" s="1"/>
  <c r="K80" i="50" a="1"/>
  <c r="K80" i="50" s="1"/>
  <c r="B71" i="50" a="1"/>
  <c r="B71" i="50" s="1"/>
  <c r="K213" i="50" a="1"/>
  <c r="K213" i="50" s="1"/>
  <c r="B324" i="50" a="1"/>
  <c r="B324" i="50" s="1"/>
  <c r="B302" i="50" a="1"/>
  <c r="B302" i="50" s="1"/>
  <c r="A86" i="50" a="1"/>
  <c r="A86" i="50" s="1"/>
  <c r="A212" i="50" a="1"/>
  <c r="A212" i="50" s="1"/>
  <c r="C228" i="50" a="1"/>
  <c r="C228" i="50" s="1"/>
  <c r="B219" i="50" a="1"/>
  <c r="B219" i="50" s="1"/>
  <c r="K111" i="50" a="1"/>
  <c r="K111" i="50" s="1"/>
  <c r="K331" i="50" a="1"/>
  <c r="K331" i="50" s="1"/>
  <c r="K266" i="50" a="1"/>
  <c r="K266" i="50" s="1"/>
  <c r="B210" i="50" a="1"/>
  <c r="B210" i="50" s="1"/>
  <c r="A96" i="50" a="1"/>
  <c r="A96" i="50" s="1"/>
  <c r="B140" i="50" a="1"/>
  <c r="B140" i="50" s="1"/>
  <c r="K8" i="50" a="1"/>
  <c r="K8" i="50" s="1"/>
  <c r="B253" i="50" a="1"/>
  <c r="B253" i="50" s="1"/>
  <c r="K256" i="50" a="1"/>
  <c r="K256" i="50" s="1"/>
  <c r="B67" i="50" a="1"/>
  <c r="B67" i="50" s="1"/>
  <c r="K348" i="50" a="1"/>
  <c r="K348" i="50" s="1"/>
  <c r="B50" i="50" a="1"/>
  <c r="B50" i="50" s="1"/>
  <c r="B65" i="50" a="1"/>
  <c r="B65" i="50" s="1"/>
  <c r="B352" i="50" a="1"/>
  <c r="B352" i="50" s="1"/>
  <c r="K9" i="50" a="1"/>
  <c r="K9" i="50" s="1"/>
  <c r="A142" i="50" a="1"/>
  <c r="A142" i="50" s="1"/>
  <c r="K220" i="50" a="1"/>
  <c r="K220" i="50" s="1"/>
  <c r="B124" i="50" a="1"/>
  <c r="B124" i="50" s="1"/>
  <c r="K333" i="50" a="1"/>
  <c r="K333" i="50" s="1"/>
  <c r="C312" i="50" a="1"/>
  <c r="C312" i="50" s="1"/>
  <c r="A182" i="50" a="1"/>
  <c r="A182" i="50" s="1"/>
  <c r="A308" i="50" a="1"/>
  <c r="A308" i="50" s="1"/>
  <c r="K167" i="50" a="1"/>
  <c r="K167" i="50" s="1"/>
  <c r="K66" i="50" a="1"/>
  <c r="K66" i="50" s="1"/>
  <c r="B121" i="50" a="1"/>
  <c r="B121" i="50" s="1"/>
  <c r="A73" i="50" a="1"/>
  <c r="A73" i="50" s="1"/>
  <c r="B334" i="50" a="1"/>
  <c r="B334" i="50" s="1"/>
  <c r="A130" i="50" a="1"/>
  <c r="A130" i="50" s="1"/>
  <c r="K285" i="50" a="1"/>
  <c r="K285" i="50" s="1"/>
  <c r="C105" i="50" a="1"/>
  <c r="C105" i="50" s="1"/>
  <c r="C260" i="50" a="1"/>
  <c r="C260" i="50" s="1"/>
  <c r="A339" i="50" a="1"/>
  <c r="A339" i="50" s="1"/>
  <c r="A82" i="50" a="1"/>
  <c r="A82" i="50" s="1"/>
  <c r="B148" i="50" a="1"/>
  <c r="B148" i="50" s="1"/>
  <c r="C167" i="50" a="1"/>
  <c r="C167" i="50" s="1"/>
  <c r="B119" i="50" a="1"/>
  <c r="B119" i="50" s="1"/>
  <c r="A199" i="50" a="1"/>
  <c r="A199" i="50" s="1"/>
  <c r="A316" i="50" a="1"/>
  <c r="A316" i="50" s="1"/>
  <c r="A185" i="50" a="1"/>
  <c r="A185" i="50" s="1"/>
  <c r="A283" i="50" a="1"/>
  <c r="A283" i="50" s="1"/>
  <c r="K268" i="50" a="1"/>
  <c r="K268" i="50" s="1"/>
  <c r="A53" i="50" a="1"/>
  <c r="A53" i="50" s="1"/>
  <c r="Q6" i="50"/>
  <c r="A6" i="50" s="1" a="1"/>
  <c r="A6" i="50" s="1"/>
  <c r="C132" i="50" a="1"/>
  <c r="C132" i="50" s="1"/>
  <c r="K236" i="50" a="1"/>
  <c r="K236" i="50" s="1"/>
  <c r="B186" i="50" a="1"/>
  <c r="B186" i="50" s="1"/>
  <c r="B271" i="50" a="1"/>
  <c r="B271" i="50" s="1"/>
  <c r="A170" i="50" a="1"/>
  <c r="A170" i="50" s="1"/>
  <c r="C79" i="50" a="1"/>
  <c r="C79" i="50" s="1"/>
  <c r="C315" i="50" a="1"/>
  <c r="C315" i="50" s="1"/>
  <c r="A214" i="50" a="1"/>
  <c r="A214" i="50" s="1"/>
  <c r="A47" i="50" a="1"/>
  <c r="A47" i="50" s="1"/>
  <c r="C39" i="50" a="1"/>
  <c r="C39" i="50" s="1"/>
  <c r="C151" i="50" a="1"/>
  <c r="C151" i="50" s="1"/>
  <c r="B329" i="50" a="1"/>
  <c r="B329" i="50" s="1"/>
  <c r="B255" i="50" a="1"/>
  <c r="B255" i="50" s="1"/>
  <c r="K116" i="50" a="1"/>
  <c r="K116" i="50" s="1"/>
  <c r="K178" i="50" a="1"/>
  <c r="K178" i="50" s="1"/>
  <c r="K210" i="50" a="1"/>
  <c r="K210" i="50" s="1"/>
  <c r="B345" i="50" a="1"/>
  <c r="B345" i="50" s="1"/>
  <c r="A154" i="50" a="1"/>
  <c r="A154" i="50" s="1"/>
  <c r="B260" i="50" a="1"/>
  <c r="B260" i="50" s="1"/>
  <c r="K36" i="50" a="1"/>
  <c r="K36" i="50" s="1"/>
  <c r="C146" i="50" a="1"/>
  <c r="C146" i="50" s="1"/>
  <c r="K99" i="50" a="1"/>
  <c r="K99" i="50" s="1"/>
  <c r="C147" i="50" a="1"/>
  <c r="C147" i="50" s="1"/>
  <c r="C335" i="50" a="1"/>
  <c r="C335" i="50" s="1"/>
  <c r="C16" i="50" a="1"/>
  <c r="C16" i="50" s="1"/>
  <c r="C141" i="50" a="1"/>
  <c r="C141" i="50" s="1"/>
  <c r="B193" i="50" a="1"/>
  <c r="B193" i="50" s="1"/>
  <c r="K187" i="50" a="1"/>
  <c r="K187" i="50" s="1"/>
  <c r="C31" i="50" a="1"/>
  <c r="C31" i="50" s="1"/>
  <c r="C113" i="50" a="1"/>
  <c r="C113" i="50" s="1"/>
  <c r="B174" i="50" a="1"/>
  <c r="B174" i="50" s="1"/>
  <c r="K352" i="50" a="1"/>
  <c r="K352" i="50" s="1"/>
  <c r="B316" i="50" a="1"/>
  <c r="B316" i="50" s="1"/>
  <c r="C155" i="50" a="1"/>
  <c r="C155" i="50" s="1"/>
  <c r="A198" i="50" a="1"/>
  <c r="A198" i="50" s="1"/>
  <c r="K188" i="50" a="1"/>
  <c r="K188" i="50" s="1"/>
  <c r="C154" i="50" a="1"/>
  <c r="C154" i="50" s="1"/>
  <c r="C199" i="50" a="1"/>
  <c r="C199" i="50" s="1"/>
  <c r="B173" i="50" a="1"/>
  <c r="B173" i="50" s="1"/>
  <c r="K292" i="50" a="1"/>
  <c r="K292" i="50" s="1"/>
  <c r="K120" i="50" a="1"/>
  <c r="K120" i="50" s="1"/>
  <c r="B162" i="50" a="1"/>
  <c r="B162" i="50" s="1"/>
  <c r="K14" i="50" a="1"/>
  <c r="K14" i="50" s="1"/>
  <c r="B163" i="50" a="1"/>
  <c r="B163" i="50" s="1"/>
  <c r="B296" i="50" a="1"/>
  <c r="B296" i="50" s="1"/>
  <c r="A319" i="50" a="1"/>
  <c r="A319" i="50" s="1"/>
  <c r="B81" i="50" a="1"/>
  <c r="B81" i="50" s="1"/>
  <c r="C24" i="50" a="1"/>
  <c r="C24" i="50" s="1"/>
  <c r="K327" i="50" a="1"/>
  <c r="K327" i="50" s="1"/>
  <c r="A347" i="50" a="1"/>
  <c r="A347" i="50" s="1"/>
  <c r="K277" i="50" a="1"/>
  <c r="K277" i="50" s="1"/>
  <c r="A50" i="50" a="1"/>
  <c r="A50" i="50" s="1"/>
  <c r="K65" i="50" a="1"/>
  <c r="K65" i="50" s="1"/>
  <c r="K18" i="50" a="1"/>
  <c r="K18" i="50" s="1"/>
  <c r="K37" i="50" a="1"/>
  <c r="K37" i="50" s="1"/>
  <c r="C232" i="50" a="1"/>
  <c r="C232" i="50" s="1"/>
  <c r="B337" i="50" a="1"/>
  <c r="B337" i="50" s="1"/>
  <c r="A310" i="50" a="1"/>
  <c r="A310" i="50" s="1"/>
  <c r="A54" i="50" a="1"/>
  <c r="A54" i="50" s="1"/>
  <c r="A155" i="50" a="1"/>
  <c r="A155" i="50" s="1"/>
  <c r="C290" i="50" a="1"/>
  <c r="C290" i="50" s="1"/>
  <c r="K87" i="50" a="1"/>
  <c r="K87" i="50" s="1"/>
  <c r="B220" i="50" a="1"/>
  <c r="B220" i="50" s="1"/>
  <c r="K353" i="50" a="1"/>
  <c r="K353" i="50" s="1"/>
  <c r="K93" i="50" a="1"/>
  <c r="K93" i="50" s="1"/>
  <c r="C143" i="50" a="1"/>
  <c r="C143" i="50" s="1"/>
  <c r="A184" i="50" a="1"/>
  <c r="A184" i="50" s="1"/>
  <c r="C126" i="50" a="1"/>
  <c r="C126" i="50" s="1"/>
  <c r="B216" i="50" a="1"/>
  <c r="B216" i="50" s="1"/>
  <c r="K131" i="50" a="1"/>
  <c r="K131" i="50" s="1"/>
  <c r="C242" i="50" a="1"/>
  <c r="C242" i="50" s="1"/>
  <c r="C241" i="50" a="1"/>
  <c r="C241" i="50" s="1"/>
  <c r="C97" i="50" a="1"/>
  <c r="C97" i="50" s="1"/>
  <c r="K71" i="50" a="1"/>
  <c r="K71" i="50" s="1"/>
  <c r="C115" i="50" a="1"/>
  <c r="C115" i="50" s="1"/>
  <c r="C256" i="50" a="1"/>
  <c r="C256" i="50" s="1"/>
  <c r="K342" i="50" a="1"/>
  <c r="K342" i="50" s="1"/>
  <c r="K199" i="50" a="1"/>
  <c r="K199" i="50" s="1"/>
  <c r="C274" i="50" a="1"/>
  <c r="C274" i="50" s="1"/>
  <c r="A302" i="50" a="1"/>
  <c r="A302" i="50" s="1"/>
  <c r="A63" i="50" a="1"/>
  <c r="A63" i="50" s="1"/>
  <c r="A71" i="50" a="1"/>
  <c r="A71" i="50" s="1"/>
  <c r="A211" i="50" a="1"/>
  <c r="A211" i="50" s="1"/>
  <c r="C288" i="50" a="1"/>
  <c r="C288" i="50" s="1"/>
  <c r="B274" i="50" a="1"/>
  <c r="B274" i="50" s="1"/>
  <c r="B96" i="50" a="1"/>
  <c r="B96" i="50" s="1"/>
  <c r="B60" i="50" a="1"/>
  <c r="B60" i="50" s="1"/>
  <c r="B181" i="50" a="1"/>
  <c r="B181" i="50" s="1"/>
  <c r="C114" i="50" a="1"/>
  <c r="C114" i="50" s="1"/>
  <c r="K315" i="50" a="1"/>
  <c r="K315" i="50" s="1"/>
  <c r="A44" i="50" a="1"/>
  <c r="A44" i="50" s="1"/>
  <c r="K34" i="50" a="1"/>
  <c r="K34" i="50" s="1"/>
  <c r="K38" i="50" a="1"/>
  <c r="K38" i="50" s="1"/>
  <c r="K355" i="50" a="1"/>
  <c r="K355" i="50" s="1"/>
  <c r="K60" i="50" a="1"/>
  <c r="K60" i="50" s="1"/>
  <c r="B213" i="50" a="1"/>
  <c r="B213" i="50" s="1"/>
  <c r="K57" i="50" a="1"/>
  <c r="K57" i="50" s="1"/>
  <c r="C80" i="50" a="1"/>
  <c r="C80" i="50" s="1"/>
  <c r="C246" i="50" a="1"/>
  <c r="C246" i="50" s="1"/>
  <c r="K85" i="50" a="1"/>
  <c r="K85" i="50" s="1"/>
  <c r="A220" i="50" a="1"/>
  <c r="A220" i="50" s="1"/>
  <c r="B78" i="50" a="1"/>
  <c r="B78" i="50" s="1"/>
  <c r="A315" i="50" a="1"/>
  <c r="A315" i="50" s="1"/>
  <c r="B83" i="50" a="1"/>
  <c r="B83" i="50" s="1"/>
  <c r="A226" i="50" a="1"/>
  <c r="A226" i="50" s="1"/>
  <c r="B252" i="50" a="1"/>
  <c r="B252" i="50" s="1"/>
  <c r="C102" i="50" a="1"/>
  <c r="C102" i="50" s="1"/>
  <c r="C320" i="50" a="1"/>
  <c r="C320" i="50" s="1"/>
  <c r="B330" i="50" a="1"/>
  <c r="B330" i="50" s="1"/>
  <c r="B230" i="50" a="1"/>
  <c r="B230" i="50" s="1"/>
  <c r="K209" i="50" a="1"/>
  <c r="K209" i="50" s="1"/>
  <c r="K330" i="50" a="1"/>
  <c r="K330" i="50" s="1"/>
  <c r="B134" i="50" a="1"/>
  <c r="B134" i="50" s="1"/>
  <c r="B221" i="50" a="1"/>
  <c r="B221" i="50" s="1"/>
  <c r="C318" i="50" a="1"/>
  <c r="C318" i="50" s="1"/>
  <c r="A322" i="50" a="1"/>
  <c r="A322" i="50" s="1"/>
  <c r="C248" i="50" a="1"/>
  <c r="C248" i="50" s="1"/>
  <c r="B176" i="50" a="1"/>
  <c r="B176" i="50" s="1"/>
  <c r="C112" i="50" a="1"/>
  <c r="C112" i="50" s="1"/>
  <c r="C48" i="50" a="1"/>
  <c r="C48" i="50" s="1"/>
  <c r="B7" i="50" a="1"/>
  <c r="B7" i="50" s="1"/>
  <c r="B9" i="50" a="1"/>
  <c r="B9" i="50" s="1"/>
  <c r="C174" i="50" a="1"/>
  <c r="C174" i="50" s="1"/>
  <c r="A35" i="50" a="1"/>
  <c r="A35" i="50" s="1"/>
  <c r="B47" i="50" a="1"/>
  <c r="B47" i="50" s="1"/>
  <c r="A87" i="50" a="1"/>
  <c r="A87" i="50" s="1"/>
  <c r="C223" i="50" a="1"/>
  <c r="C223" i="50" s="1"/>
  <c r="A177" i="50" a="1"/>
  <c r="A177" i="50" s="1"/>
  <c r="B258" i="50" a="1"/>
  <c r="B258" i="50" s="1"/>
  <c r="C59" i="50" a="1"/>
  <c r="C59" i="50" s="1"/>
  <c r="K344" i="50" a="1"/>
  <c r="K344" i="50" s="1"/>
  <c r="K148" i="50" a="1"/>
  <c r="K148" i="50" s="1"/>
  <c r="C82" i="50" a="1"/>
  <c r="C82" i="50" s="1"/>
  <c r="C235" i="50" a="1"/>
  <c r="C235" i="50" s="1"/>
  <c r="B46" i="50" a="1"/>
  <c r="B46" i="50" s="1"/>
  <c r="A268" i="50" a="1"/>
  <c r="A268" i="50" s="1"/>
  <c r="A208" i="50" a="1"/>
  <c r="A208" i="50" s="1"/>
  <c r="K273" i="50" a="1"/>
  <c r="K273" i="50" s="1"/>
  <c r="B11" i="50" a="1"/>
  <c r="B11" i="50" s="1"/>
  <c r="B289" i="50" a="1"/>
  <c r="B289" i="50" s="1"/>
  <c r="K15" i="50" a="1"/>
  <c r="K15" i="50" s="1"/>
  <c r="A253" i="50" a="1"/>
  <c r="A253" i="50" s="1"/>
  <c r="A229" i="50" a="1"/>
  <c r="A229" i="50" s="1"/>
  <c r="A342" i="50" a="1"/>
  <c r="A342" i="50" s="1"/>
  <c r="C308" i="50" a="1"/>
  <c r="C308" i="50" s="1"/>
  <c r="A111" i="50" a="1"/>
  <c r="A111" i="50" s="1"/>
  <c r="A346" i="50" a="1"/>
  <c r="A346" i="50" s="1"/>
  <c r="C192" i="50" a="1"/>
  <c r="C192" i="50" s="1"/>
  <c r="A143" i="50" a="1"/>
  <c r="A143" i="50" s="1"/>
  <c r="K51" i="50" a="1"/>
  <c r="K51" i="50" s="1"/>
  <c r="B353" i="50" a="1"/>
  <c r="B353" i="50" s="1"/>
  <c r="K225" i="50" a="1"/>
  <c r="K225" i="50" s="1"/>
  <c r="K351" i="50" a="1"/>
  <c r="K351" i="50" s="1"/>
  <c r="K95" i="50" a="1"/>
  <c r="K95" i="50" s="1"/>
  <c r="K221" i="50" a="1"/>
  <c r="K221" i="50" s="1"/>
  <c r="B188" i="50" a="1"/>
  <c r="B188" i="50" s="1"/>
  <c r="C86" i="50" a="1"/>
  <c r="C86" i="50" s="1"/>
  <c r="B142" i="50" a="1"/>
  <c r="B142" i="50" s="1"/>
  <c r="C81" i="50" a="1"/>
  <c r="C81" i="50" s="1"/>
  <c r="C14" i="50" a="1"/>
  <c r="C14" i="50" s="1"/>
  <c r="B280" i="50" a="1"/>
  <c r="B280" i="50" s="1"/>
  <c r="K257" i="50" a="1"/>
  <c r="K257" i="50" s="1"/>
  <c r="K46" i="50" a="1"/>
  <c r="K46" i="50" s="1"/>
  <c r="B309" i="50" a="1"/>
  <c r="B309" i="50" s="1"/>
  <c r="C6" i="50" a="1"/>
  <c r="C6" i="50" s="1"/>
  <c r="B169" i="50" a="1"/>
  <c r="B169" i="50" s="1"/>
  <c r="A314" i="50" a="1"/>
  <c r="A314" i="50" s="1"/>
  <c r="K204" i="50" a="1"/>
  <c r="K204" i="50" s="1"/>
  <c r="C214" i="50" a="1"/>
  <c r="C214" i="50" s="1"/>
  <c r="C111" i="50" a="1"/>
  <c r="C111" i="50" s="1"/>
  <c r="A301" i="53" a="1"/>
  <c r="A301" i="53" s="1"/>
  <c r="C288" i="53" a="1"/>
  <c r="C288" i="53" s="1"/>
  <c r="A187" i="53" a="1"/>
  <c r="A187" i="53" s="1"/>
  <c r="B321" i="53" a="1"/>
  <c r="B321" i="53" s="1"/>
  <c r="C105" i="53" a="1"/>
  <c r="C105" i="53" s="1"/>
  <c r="K112" i="53" a="1"/>
  <c r="K112" i="53" s="1"/>
  <c r="K329" i="53" a="1"/>
  <c r="K329" i="53" s="1"/>
  <c r="B42" i="53" a="1"/>
  <c r="B42" i="53" s="1"/>
  <c r="K230" i="53" a="1"/>
  <c r="K230" i="53" s="1"/>
  <c r="K250" i="53" a="1"/>
  <c r="K250" i="53" s="1"/>
  <c r="K52" i="53" a="1"/>
  <c r="K52" i="53" s="1"/>
  <c r="K105" i="53" a="1"/>
  <c r="K105" i="53" s="1"/>
  <c r="C241" i="53" a="1"/>
  <c r="C241" i="53" s="1"/>
  <c r="C142" i="53" a="1"/>
  <c r="C142" i="53" s="1"/>
  <c r="C20" i="53" a="1"/>
  <c r="C20" i="53" s="1"/>
  <c r="C295" i="53" a="1"/>
  <c r="C295" i="53" s="1"/>
  <c r="B65" i="53" a="1"/>
  <c r="B65" i="53" s="1"/>
  <c r="B27" i="53" a="1"/>
  <c r="B27" i="53" s="1"/>
  <c r="E27" i="53" s="1"/>
  <c r="A130" i="53" a="1"/>
  <c r="A130" i="53" s="1"/>
  <c r="K153" i="53" a="1"/>
  <c r="K153" i="53" s="1"/>
  <c r="K44" i="53" a="1"/>
  <c r="K44" i="53" s="1"/>
  <c r="D44" i="53" s="1"/>
  <c r="C184" i="53" a="1"/>
  <c r="C184" i="53" s="1"/>
  <c r="A313" i="53" a="1"/>
  <c r="A313" i="53" s="1"/>
  <c r="B276" i="53" a="1"/>
  <c r="B276" i="53" s="1"/>
  <c r="C82" i="53" a="1"/>
  <c r="C82" i="53" s="1"/>
  <c r="C287" i="53" a="1"/>
  <c r="C287" i="53" s="1"/>
  <c r="K65" i="53" a="1"/>
  <c r="K65" i="53" s="1"/>
  <c r="A194" i="53" a="1"/>
  <c r="A194" i="53" s="1"/>
  <c r="A60" i="53" a="1"/>
  <c r="A60" i="53" s="1"/>
  <c r="B20" i="53" a="1"/>
  <c r="B20" i="53" s="1"/>
  <c r="B113" i="53" a="1"/>
  <c r="B113" i="53" s="1"/>
  <c r="C251" i="53" a="1"/>
  <c r="C251" i="53" s="1"/>
  <c r="C27" i="53" a="1"/>
  <c r="C27" i="53" s="1"/>
  <c r="B303" i="53" a="1"/>
  <c r="B303" i="53" s="1"/>
  <c r="B271" i="53" a="1"/>
  <c r="B271" i="53" s="1"/>
  <c r="B272" i="53" a="1"/>
  <c r="B272" i="53" s="1"/>
  <c r="C340" i="53" a="1"/>
  <c r="C340" i="53" s="1"/>
  <c r="B269" i="53" a="1"/>
  <c r="B269" i="53" s="1"/>
  <c r="C233" i="53" a="1"/>
  <c r="C233" i="53" s="1"/>
  <c r="A306" i="53" a="1"/>
  <c r="A306" i="53" s="1"/>
  <c r="K254" i="53" a="1"/>
  <c r="K254" i="53" s="1"/>
  <c r="C131" i="53" a="1"/>
  <c r="C131" i="53" s="1"/>
  <c r="A110" i="53" a="1"/>
  <c r="A110" i="53" s="1"/>
  <c r="B155" i="53" a="1"/>
  <c r="B155" i="53" s="1"/>
  <c r="C28" i="53" a="1"/>
  <c r="C28" i="53" s="1"/>
  <c r="C146" i="53" a="1"/>
  <c r="C146" i="53" s="1"/>
  <c r="B63" i="53" a="1"/>
  <c r="B63" i="53" s="1"/>
  <c r="C43" i="53" a="1"/>
  <c r="C43" i="53" s="1"/>
  <c r="A238" i="53" a="1"/>
  <c r="A238" i="53" s="1"/>
  <c r="A158" i="53" a="1"/>
  <c r="A158" i="53" s="1"/>
  <c r="K174" i="53" a="1"/>
  <c r="K174" i="53" s="1"/>
  <c r="K198" i="53" a="1"/>
  <c r="K198" i="53" s="1"/>
  <c r="A287" i="53" a="1"/>
  <c r="A287" i="53" s="1"/>
  <c r="C292" i="53" a="1"/>
  <c r="C292" i="53" s="1"/>
  <c r="C327" i="53" a="1"/>
  <c r="C327" i="53" s="1"/>
  <c r="C72" i="53" a="1"/>
  <c r="C72" i="53" s="1"/>
  <c r="C250" i="53" a="1"/>
  <c r="C250" i="53" s="1"/>
  <c r="A285" i="53" a="1"/>
  <c r="A285" i="53" s="1"/>
  <c r="K42" i="53" a="1"/>
  <c r="K42" i="53" s="1"/>
  <c r="B248" i="53" a="1"/>
  <c r="B248" i="53" s="1"/>
  <c r="A246" i="53" a="1"/>
  <c r="A246" i="53" s="1"/>
  <c r="K291" i="53" a="1"/>
  <c r="K291" i="53" s="1"/>
  <c r="B293" i="53" a="1"/>
  <c r="B293" i="53" s="1"/>
  <c r="B333" i="53" a="1"/>
  <c r="B333" i="53" s="1"/>
  <c r="K120" i="53" a="1"/>
  <c r="K120" i="53" s="1"/>
  <c r="A209" i="53" a="1"/>
  <c r="A209" i="53" s="1"/>
  <c r="K345" i="53" a="1"/>
  <c r="K345" i="53" s="1"/>
  <c r="B342" i="53" a="1"/>
  <c r="B342" i="53" s="1"/>
  <c r="A299" i="53" a="1"/>
  <c r="A299" i="53" s="1"/>
  <c r="K69" i="53" a="1"/>
  <c r="K69" i="53" s="1"/>
  <c r="B37" i="53" a="1"/>
  <c r="B37" i="53" s="1"/>
  <c r="B336" i="53" a="1"/>
  <c r="B336" i="53" s="1"/>
  <c r="C10" i="53" a="1"/>
  <c r="C10" i="53" s="1"/>
  <c r="E10" i="53" s="1"/>
  <c r="B127" i="53" a="1"/>
  <c r="B127" i="53" s="1"/>
  <c r="K31" i="53" a="1"/>
  <c r="K31" i="53" s="1"/>
  <c r="B84" i="53" a="1"/>
  <c r="B84" i="53" s="1"/>
  <c r="K296" i="53" a="1"/>
  <c r="K296" i="53" s="1"/>
  <c r="B341" i="53" a="1"/>
  <c r="B341" i="53" s="1"/>
  <c r="A162" i="53" a="1"/>
  <c r="A162" i="53" s="1"/>
  <c r="K325" i="53" a="1"/>
  <c r="K325" i="53" s="1"/>
  <c r="C14" i="53" a="1"/>
  <c r="C14" i="53" s="1"/>
  <c r="E14" i="53" s="1"/>
  <c r="A222" i="53" a="1"/>
  <c r="A222" i="53" s="1"/>
  <c r="K91" i="53" a="1"/>
  <c r="K91" i="53" s="1"/>
  <c r="K331" i="53" a="1"/>
  <c r="K331" i="53" s="1"/>
  <c r="C332" i="53" a="1"/>
  <c r="C332" i="53" s="1"/>
  <c r="C54" i="53" a="1"/>
  <c r="C54" i="53" s="1"/>
  <c r="A292" i="53" a="1"/>
  <c r="A292" i="53" s="1"/>
  <c r="C133" i="53" a="1"/>
  <c r="C133" i="53" s="1"/>
  <c r="C164" i="53" a="1"/>
  <c r="C164" i="53" s="1"/>
  <c r="A54" i="53" a="1"/>
  <c r="A54" i="53" s="1"/>
  <c r="A101" i="53" a="1"/>
  <c r="A101" i="53" s="1"/>
  <c r="B228" i="53" a="1"/>
  <c r="B228" i="53" s="1"/>
  <c r="K202" i="53" a="1"/>
  <c r="K202" i="53" s="1"/>
  <c r="A69" i="53" a="1"/>
  <c r="A69" i="53" s="1"/>
  <c r="C216" i="53" a="1"/>
  <c r="C216" i="53" s="1"/>
  <c r="A298" i="53" a="1"/>
  <c r="A298" i="53" s="1"/>
  <c r="K159" i="53" a="1"/>
  <c r="K159" i="53" s="1"/>
  <c r="C106" i="53" a="1"/>
  <c r="C106" i="53" s="1"/>
  <c r="A181" i="53" a="1"/>
  <c r="A181" i="53" s="1"/>
  <c r="B183" i="53" a="1"/>
  <c r="B183" i="53" s="1"/>
  <c r="A173" i="53" a="1"/>
  <c r="A173" i="53" s="1"/>
  <c r="B69" i="53" a="1"/>
  <c r="B69" i="53" s="1"/>
  <c r="B151" i="53" a="1"/>
  <c r="B151" i="53" s="1"/>
  <c r="A284" i="53" a="1"/>
  <c r="A284" i="53" s="1"/>
  <c r="B150" i="53" a="1"/>
  <c r="B150" i="53" s="1"/>
  <c r="A42" i="53" a="1"/>
  <c r="A42" i="53" s="1"/>
  <c r="C354" i="53" a="1"/>
  <c r="C354" i="53" s="1"/>
  <c r="A309" i="53" a="1"/>
  <c r="A309" i="53" s="1"/>
  <c r="A67" i="53" a="1"/>
  <c r="A67" i="53" s="1"/>
  <c r="C64" i="53" a="1"/>
  <c r="C64" i="53" s="1"/>
  <c r="K271" i="53" a="1"/>
  <c r="K271" i="53" s="1"/>
  <c r="A321" i="53" a="1"/>
  <c r="A321" i="53" s="1"/>
  <c r="B148" i="53" a="1"/>
  <c r="B148" i="53" s="1"/>
  <c r="K217" i="53" a="1"/>
  <c r="K217" i="53" s="1"/>
  <c r="A315" i="53" a="1"/>
  <c r="A315" i="53" s="1"/>
  <c r="K261" i="53" a="1"/>
  <c r="K261" i="53" s="1"/>
  <c r="B162" i="53" a="1"/>
  <c r="B162" i="53" s="1"/>
  <c r="B306" i="53" a="1"/>
  <c r="B306" i="53" s="1"/>
  <c r="K283" i="53" a="1"/>
  <c r="K283" i="53" s="1"/>
  <c r="K64" i="53" a="1"/>
  <c r="K64" i="53" s="1"/>
  <c r="C238" i="53" a="1"/>
  <c r="C238" i="53" s="1"/>
  <c r="A295" i="53" a="1"/>
  <c r="A295" i="53" s="1"/>
  <c r="K206" i="53" a="1"/>
  <c r="K206" i="53" s="1"/>
  <c r="C299" i="53" a="1"/>
  <c r="C299" i="53" s="1"/>
  <c r="B178" i="53" a="1"/>
  <c r="B178" i="53" s="1"/>
  <c r="C103" i="53" a="1"/>
  <c r="C103" i="53" s="1"/>
  <c r="C101" i="53" a="1"/>
  <c r="C101" i="53" s="1"/>
  <c r="B56" i="53" a="1"/>
  <c r="B56" i="53" s="1"/>
  <c r="B121" i="53" a="1"/>
  <c r="B121" i="53" s="1"/>
  <c r="K236" i="53" a="1"/>
  <c r="K236" i="53" s="1"/>
  <c r="K93" i="53" a="1"/>
  <c r="K93" i="53" s="1"/>
  <c r="K305" i="53" a="1"/>
  <c r="K305" i="53" s="1"/>
  <c r="C30" i="53" a="1"/>
  <c r="C30" i="53" s="1"/>
  <c r="K166" i="53" a="1"/>
  <c r="K166" i="53" s="1"/>
  <c r="A261" i="53" a="1"/>
  <c r="A261" i="53" s="1"/>
  <c r="C60" i="53" a="1"/>
  <c r="C60" i="53" s="1"/>
  <c r="A240" i="53" a="1"/>
  <c r="A240" i="53" s="1"/>
  <c r="A208" i="53" a="1"/>
  <c r="A208" i="53" s="1"/>
  <c r="A203" i="53" a="1"/>
  <c r="A203" i="53" s="1"/>
  <c r="A99" i="53" a="1"/>
  <c r="A99" i="53" s="1"/>
  <c r="A172" i="53" a="1"/>
  <c r="A172" i="53" s="1"/>
  <c r="K155" i="53" a="1"/>
  <c r="K155" i="53" s="1"/>
  <c r="C257" i="53" a="1"/>
  <c r="C257" i="53" s="1"/>
  <c r="C110" i="53" a="1"/>
  <c r="C110" i="53" s="1"/>
  <c r="K83" i="53" a="1"/>
  <c r="K83" i="53" s="1"/>
  <c r="A243" i="53" a="1"/>
  <c r="A243" i="53" s="1"/>
  <c r="B190" i="53" a="1"/>
  <c r="B190" i="53" s="1"/>
  <c r="C191" i="53" a="1"/>
  <c r="C191" i="53" s="1"/>
  <c r="C118" i="53" a="1"/>
  <c r="C118" i="53" s="1"/>
  <c r="C193" i="53" a="1"/>
  <c r="C193" i="53" s="1"/>
  <c r="B283" i="53" a="1"/>
  <c r="B283" i="53" s="1"/>
  <c r="A166" i="53" a="1"/>
  <c r="A166" i="53" s="1"/>
  <c r="K180" i="53" a="1"/>
  <c r="K180" i="53" s="1"/>
  <c r="A336" i="53" a="1"/>
  <c r="A336" i="53" s="1"/>
  <c r="C23" i="53" a="1"/>
  <c r="C23" i="53" s="1"/>
  <c r="A178" i="53" a="1"/>
  <c r="A178" i="53" s="1"/>
  <c r="K354" i="53" a="1"/>
  <c r="K354" i="53" s="1"/>
  <c r="A231" i="53" a="1"/>
  <c r="A231" i="53" s="1"/>
  <c r="B201" i="53" a="1"/>
  <c r="B201" i="53" s="1"/>
  <c r="B35" i="53" a="1"/>
  <c r="B35" i="53" s="1"/>
  <c r="C267" i="53" a="1"/>
  <c r="C267" i="53" s="1"/>
  <c r="C349" i="53" a="1"/>
  <c r="C349" i="53" s="1"/>
  <c r="C328" i="53" a="1"/>
  <c r="C328" i="53" s="1"/>
  <c r="K143" i="53" a="1"/>
  <c r="K143" i="53" s="1"/>
  <c r="B279" i="53" a="1"/>
  <c r="B279" i="53" s="1"/>
  <c r="B17" i="53" a="1"/>
  <c r="B17" i="53" s="1"/>
  <c r="A272" i="53" a="1"/>
  <c r="A272" i="53" s="1"/>
  <c r="A109" i="53" a="1"/>
  <c r="A109" i="53" s="1"/>
  <c r="K164" i="53" a="1"/>
  <c r="K164" i="53" s="1"/>
  <c r="K231" i="53" a="1"/>
  <c r="K231" i="53" s="1"/>
  <c r="B204" i="53" a="1"/>
  <c r="B204" i="53" s="1"/>
  <c r="C7" i="53" a="1"/>
  <c r="C7" i="53" s="1"/>
  <c r="E7" i="53" s="1"/>
  <c r="A351" i="53" a="1"/>
  <c r="A351" i="53" s="1"/>
  <c r="K119" i="53" a="1"/>
  <c r="K119" i="53" s="1"/>
  <c r="A144" i="53" a="1"/>
  <c r="A144" i="53" s="1"/>
  <c r="A184" i="53" a="1"/>
  <c r="A184" i="53" s="1"/>
  <c r="B95" i="53" a="1"/>
  <c r="B95" i="53" s="1"/>
  <c r="A58" i="53" a="1"/>
  <c r="A58" i="53" s="1"/>
  <c r="C230" i="53" a="1"/>
  <c r="C230" i="53" s="1"/>
  <c r="B277" i="53" a="1"/>
  <c r="B277" i="53" s="1"/>
  <c r="C280" i="53" a="1"/>
  <c r="C280" i="53" s="1"/>
  <c r="A244" i="53" a="1"/>
  <c r="A244" i="53" s="1"/>
  <c r="A236" i="53" a="1"/>
  <c r="A236" i="53" s="1"/>
  <c r="C262" i="53" a="1"/>
  <c r="C262" i="53" s="1"/>
  <c r="K80" i="53" a="1"/>
  <c r="K80" i="53" s="1"/>
  <c r="K11" i="53" a="1"/>
  <c r="K11" i="53" s="1"/>
  <c r="A33" i="53" a="1"/>
  <c r="A33" i="53" s="1"/>
  <c r="A297" i="53" a="1"/>
  <c r="A297" i="53" s="1"/>
  <c r="A206" i="53" a="1"/>
  <c r="A206" i="53" s="1"/>
  <c r="K279" i="53" a="1"/>
  <c r="K279" i="53" s="1"/>
  <c r="C93" i="53" a="1"/>
  <c r="C93" i="53" s="1"/>
  <c r="B171" i="53" a="1"/>
  <c r="B171" i="53" s="1"/>
  <c r="C336" i="53" a="1"/>
  <c r="C336" i="53" s="1"/>
  <c r="A180" i="53" a="1"/>
  <c r="A180" i="53" s="1"/>
  <c r="B216" i="53" a="1"/>
  <c r="B216" i="53" s="1"/>
  <c r="A52" i="53" a="1"/>
  <c r="A52" i="53" s="1"/>
  <c r="A127" i="53" a="1"/>
  <c r="A127" i="53" s="1"/>
  <c r="K229" i="53" a="1"/>
  <c r="K229" i="53" s="1"/>
  <c r="K308" i="53" a="1"/>
  <c r="K308" i="53" s="1"/>
  <c r="B243" i="53" a="1"/>
  <c r="B243" i="53" s="1"/>
  <c r="A286" i="53" a="1"/>
  <c r="A286" i="53" s="1"/>
  <c r="C29" i="53" a="1"/>
  <c r="C29" i="53" s="1"/>
  <c r="C285" i="53" a="1"/>
  <c r="C285" i="53" s="1"/>
  <c r="K276" i="53" a="1"/>
  <c r="K276" i="53" s="1"/>
  <c r="C138" i="53" a="1"/>
  <c r="C138" i="53" s="1"/>
  <c r="K179" i="53" a="1"/>
  <c r="K179" i="53" s="1"/>
  <c r="B307" i="53" a="1"/>
  <c r="B307" i="53" s="1"/>
  <c r="A81" i="53" a="1"/>
  <c r="A81" i="53" s="1"/>
  <c r="K215" i="53" a="1"/>
  <c r="K215" i="53" s="1"/>
  <c r="C310" i="53" a="1"/>
  <c r="C310" i="53" s="1"/>
  <c r="C160" i="53" a="1"/>
  <c r="C160" i="53" s="1"/>
  <c r="A80" i="53" a="1"/>
  <c r="A80" i="53" s="1"/>
  <c r="A319" i="53" a="1"/>
  <c r="A319" i="53" s="1"/>
  <c r="C70" i="53" a="1"/>
  <c r="C70" i="53" s="1"/>
  <c r="A17" i="53" a="1"/>
  <c r="A17" i="53" s="1"/>
  <c r="B137" i="53" a="1"/>
  <c r="B137" i="53" s="1"/>
  <c r="C237" i="53" a="1"/>
  <c r="C237" i="53" s="1"/>
  <c r="C312" i="53" a="1"/>
  <c r="C312" i="53" s="1"/>
  <c r="A11" i="53" a="1"/>
  <c r="A11" i="53" s="1"/>
  <c r="C148" i="53" a="1"/>
  <c r="C148" i="53" s="1"/>
  <c r="A20" i="53" a="1"/>
  <c r="A20" i="53" s="1"/>
  <c r="C269" i="53" a="1"/>
  <c r="C269" i="53" s="1"/>
  <c r="C352" i="53" a="1"/>
  <c r="C352" i="53" s="1"/>
  <c r="B317" i="53" a="1"/>
  <c r="B317" i="53" s="1"/>
  <c r="C334" i="53" a="1"/>
  <c r="C334" i="53" s="1"/>
  <c r="K33" i="53" a="1"/>
  <c r="K33" i="53" s="1"/>
  <c r="B319" i="53" a="1"/>
  <c r="B319" i="53" s="1"/>
  <c r="C314" i="53" a="1"/>
  <c r="C314" i="53" s="1"/>
  <c r="A279" i="53" a="1"/>
  <c r="A279" i="53" s="1"/>
  <c r="K208" i="53" a="1"/>
  <c r="K208" i="53" s="1"/>
  <c r="C80" i="53" a="1"/>
  <c r="C80" i="53" s="1"/>
  <c r="B297" i="53" a="1"/>
  <c r="B297" i="53" s="1"/>
  <c r="C33" i="53" a="1"/>
  <c r="C33" i="53" s="1"/>
  <c r="B295" i="53" a="1"/>
  <c r="B295" i="53" s="1"/>
  <c r="B170" i="53" a="1"/>
  <c r="B170" i="53" s="1"/>
  <c r="C181" i="53" a="1"/>
  <c r="C181" i="53" s="1"/>
  <c r="C150" i="53" a="1"/>
  <c r="C150" i="53" s="1"/>
  <c r="K61" i="53" a="1"/>
  <c r="K61" i="53" s="1"/>
  <c r="K111" i="53" a="1"/>
  <c r="K111" i="53" s="1"/>
  <c r="K321" i="53" a="1"/>
  <c r="K321" i="53" s="1"/>
  <c r="K26" i="53" a="1"/>
  <c r="K26" i="53" s="1"/>
  <c r="C329" i="53" a="1"/>
  <c r="C329" i="53" s="1"/>
  <c r="A159" i="53" a="1"/>
  <c r="A159" i="53" s="1"/>
  <c r="C88" i="53" a="1"/>
  <c r="C88" i="53" s="1"/>
  <c r="K126" i="53" a="1"/>
  <c r="K126" i="53" s="1"/>
  <c r="K216" i="53" a="1"/>
  <c r="K216" i="53" s="1"/>
  <c r="C22" i="53" a="1"/>
  <c r="C22" i="53" s="1"/>
  <c r="K339" i="53" a="1"/>
  <c r="K339" i="53" s="1"/>
  <c r="A303" i="53" a="1"/>
  <c r="A303" i="53" s="1"/>
  <c r="K237" i="53" a="1"/>
  <c r="K237" i="53" s="1"/>
  <c r="A45" i="53" a="1"/>
  <c r="A45" i="53" s="1"/>
  <c r="A160" i="53" a="1"/>
  <c r="A160" i="53" s="1"/>
  <c r="C49" i="53" a="1"/>
  <c r="C49" i="53" s="1"/>
  <c r="K273" i="53" a="1"/>
  <c r="K273" i="53" s="1"/>
  <c r="A131" i="53" a="1"/>
  <c r="A131" i="53" s="1"/>
  <c r="C67" i="53" a="1"/>
  <c r="C67" i="53" s="1"/>
  <c r="K156" i="53" a="1"/>
  <c r="K156" i="53" s="1"/>
  <c r="A182" i="53" a="1"/>
  <c r="A182" i="53" s="1"/>
  <c r="A142" i="53" a="1"/>
  <c r="A142" i="53" s="1"/>
  <c r="B52" i="53" a="1"/>
  <c r="B52" i="53" s="1"/>
  <c r="K71" i="53" a="1"/>
  <c r="K71" i="53" s="1"/>
  <c r="B136" i="53" a="1"/>
  <c r="B136" i="53" s="1"/>
  <c r="C158" i="53" a="1"/>
  <c r="C158" i="53" s="1"/>
  <c r="C94" i="53" a="1"/>
  <c r="C94" i="53" s="1"/>
  <c r="B142" i="53" a="1"/>
  <c r="B142" i="53" s="1"/>
  <c r="A223" i="53" a="1"/>
  <c r="A223" i="53" s="1"/>
  <c r="K124" i="53" a="1"/>
  <c r="K124" i="53" s="1"/>
  <c r="C180" i="53" a="1"/>
  <c r="C180" i="53" s="1"/>
  <c r="C6" i="53" a="1"/>
  <c r="C6" i="53" s="1"/>
  <c r="B255" i="53" a="1"/>
  <c r="B255" i="53" s="1"/>
  <c r="K104" i="53" a="1"/>
  <c r="K104" i="53" s="1"/>
  <c r="K122" i="53" a="1"/>
  <c r="K122" i="53" s="1"/>
  <c r="B146" i="53" a="1"/>
  <c r="B146" i="53" s="1"/>
  <c r="C86" i="53" a="1"/>
  <c r="C86" i="53" s="1"/>
  <c r="K241" i="53" a="1"/>
  <c r="K241" i="53" s="1"/>
  <c r="A89" i="53" a="1"/>
  <c r="A89" i="53" s="1"/>
  <c r="K140" i="53" a="1"/>
  <c r="K140" i="53" s="1"/>
  <c r="K240" i="53" a="1"/>
  <c r="K240" i="53" s="1"/>
  <c r="B289" i="53" a="1"/>
  <c r="B289" i="53" s="1"/>
  <c r="C203" i="53" a="1"/>
  <c r="C203" i="53" s="1"/>
  <c r="A61" i="53" a="1"/>
  <c r="A61" i="53" s="1"/>
  <c r="C231" i="53" a="1"/>
  <c r="C231" i="53" s="1"/>
  <c r="A167" i="53" a="1"/>
  <c r="A167" i="53" s="1"/>
  <c r="C187" i="53" a="1"/>
  <c r="C187" i="53" s="1"/>
  <c r="A135" i="53" a="1"/>
  <c r="A135" i="53" s="1"/>
  <c r="K289" i="53" a="1"/>
  <c r="K289" i="53" s="1"/>
  <c r="K25" i="53" a="1"/>
  <c r="K25" i="53" s="1"/>
  <c r="K106" i="53" a="1"/>
  <c r="K106" i="53" s="1"/>
  <c r="K244" i="53" a="1"/>
  <c r="K244" i="53" s="1"/>
  <c r="K311" i="53" a="1"/>
  <c r="K311" i="53" s="1"/>
  <c r="B55" i="53" a="1"/>
  <c r="B55" i="53" s="1"/>
  <c r="K30" i="53" a="1"/>
  <c r="K30" i="53" s="1"/>
  <c r="F30" i="53" s="1"/>
  <c r="K60" i="53" a="1"/>
  <c r="K60" i="53" s="1"/>
  <c r="A241" i="53" a="1"/>
  <c r="A241" i="53" s="1"/>
  <c r="B185" i="53" a="1"/>
  <c r="B185" i="53" s="1"/>
  <c r="B141" i="53" a="1"/>
  <c r="B141" i="53" s="1"/>
  <c r="B138" i="53" a="1"/>
  <c r="B138" i="53" s="1"/>
  <c r="B59" i="53" a="1"/>
  <c r="B59" i="53" s="1"/>
  <c r="B123" i="53" a="1"/>
  <c r="B123" i="53" s="1"/>
  <c r="C315" i="53" a="1"/>
  <c r="C315" i="53" s="1"/>
  <c r="K299" i="53" a="1"/>
  <c r="K299" i="53" s="1"/>
  <c r="B347" i="53" a="1"/>
  <c r="B347" i="53" s="1"/>
  <c r="A245" i="53" a="1"/>
  <c r="A245" i="53" s="1"/>
  <c r="K23" i="53" a="1"/>
  <c r="K23" i="53" s="1"/>
  <c r="B177" i="53" a="1"/>
  <c r="B177" i="53" s="1"/>
  <c r="K56" i="53" a="1"/>
  <c r="K56" i="53" s="1"/>
  <c r="C42" i="53" a="1"/>
  <c r="C42" i="53" s="1"/>
  <c r="C87" i="53" a="1"/>
  <c r="C87" i="53" s="1"/>
  <c r="K8" i="53" a="1"/>
  <c r="K8" i="53" s="1"/>
  <c r="B246" i="53" a="1"/>
  <c r="B246" i="53" s="1"/>
  <c r="C227" i="53" a="1"/>
  <c r="C227" i="53" s="1"/>
  <c r="K234" i="53" a="1"/>
  <c r="K234" i="53" s="1"/>
  <c r="B270" i="53" a="1"/>
  <c r="B270" i="53" s="1"/>
  <c r="K220" i="53" a="1"/>
  <c r="K220" i="53" s="1"/>
  <c r="C286" i="53" a="1"/>
  <c r="C286" i="53" s="1"/>
  <c r="C32" i="53" a="1"/>
  <c r="C32" i="53" s="1"/>
  <c r="C224" i="53" a="1"/>
  <c r="C224" i="53" s="1"/>
  <c r="A230" i="53" a="1"/>
  <c r="A230" i="53" s="1"/>
  <c r="B15" i="53" a="1"/>
  <c r="B15" i="53" s="1"/>
  <c r="K77" i="53" a="1"/>
  <c r="K77" i="53" s="1"/>
  <c r="C69" i="53" a="1"/>
  <c r="C69" i="53" s="1"/>
  <c r="B299" i="53" a="1"/>
  <c r="B299" i="53" s="1"/>
  <c r="A128" i="53" a="1"/>
  <c r="A128" i="53" s="1"/>
  <c r="A29" i="53" a="1"/>
  <c r="A29" i="53" s="1"/>
  <c r="C215" i="53" a="1"/>
  <c r="C215" i="53" s="1"/>
  <c r="A247" i="53" a="1"/>
  <c r="A247" i="53" s="1"/>
  <c r="C301" i="53" a="1"/>
  <c r="C301" i="53" s="1"/>
  <c r="B324" i="53" a="1"/>
  <c r="B324" i="53" s="1"/>
  <c r="A212" i="53" a="1"/>
  <c r="A212" i="53" s="1"/>
  <c r="K201" i="53" a="1"/>
  <c r="K201" i="53" s="1"/>
  <c r="C264" i="53" a="1"/>
  <c r="C264" i="53" s="1"/>
  <c r="C256" i="53" a="1"/>
  <c r="C256" i="53" s="1"/>
  <c r="C236" i="53" a="1"/>
  <c r="C236" i="53" s="1"/>
  <c r="K160" i="53" a="1"/>
  <c r="K160" i="53" s="1"/>
  <c r="C61" i="53" a="1"/>
  <c r="C61" i="53" s="1"/>
  <c r="C337" i="53" a="1"/>
  <c r="C337" i="53" s="1"/>
  <c r="B135" i="53" a="1"/>
  <c r="B135" i="53" s="1"/>
  <c r="A119" i="53" a="1"/>
  <c r="A119" i="53" s="1"/>
  <c r="C168" i="53" a="1"/>
  <c r="C168" i="53" s="1"/>
  <c r="C290" i="53" a="1"/>
  <c r="C290" i="53" s="1"/>
  <c r="B330" i="53" a="1"/>
  <c r="B330" i="53" s="1"/>
  <c r="B119" i="53" a="1"/>
  <c r="B119" i="53" s="1"/>
  <c r="B153" i="53" a="1"/>
  <c r="B153" i="53" s="1"/>
  <c r="C343" i="53" a="1"/>
  <c r="C343" i="53" s="1"/>
  <c r="K275" i="53" a="1"/>
  <c r="K275" i="53" s="1"/>
  <c r="K96" i="53" a="1"/>
  <c r="K96" i="53" s="1"/>
  <c r="C282" i="53" a="1"/>
  <c r="C282" i="53" s="1"/>
  <c r="B332" i="53" a="1"/>
  <c r="B332" i="53" s="1"/>
  <c r="K235" i="53" a="1"/>
  <c r="K235" i="53" s="1"/>
  <c r="A205" i="53" a="1"/>
  <c r="A205" i="53" s="1"/>
  <c r="B94" i="53" a="1"/>
  <c r="B94" i="53" s="1"/>
  <c r="B231" i="53" a="1"/>
  <c r="B231" i="53" s="1"/>
  <c r="B10" i="53" a="1"/>
  <c r="B10" i="53" s="1"/>
  <c r="A136" i="53" a="1"/>
  <c r="A136" i="53" s="1"/>
  <c r="K348" i="53" a="1"/>
  <c r="K348" i="53" s="1"/>
  <c r="B156" i="53" a="1"/>
  <c r="B156" i="53" s="1"/>
  <c r="A50" i="53" a="1"/>
  <c r="A50" i="53" s="1"/>
  <c r="C77" i="53" a="1"/>
  <c r="C77" i="53" s="1"/>
  <c r="C210" i="53" a="1"/>
  <c r="C210" i="53" s="1"/>
  <c r="C319" i="53" a="1"/>
  <c r="C319" i="53" s="1"/>
  <c r="A218" i="53" a="1"/>
  <c r="A218" i="53" s="1"/>
  <c r="K130" i="53" a="1"/>
  <c r="K130" i="53" s="1"/>
  <c r="C63" i="53" a="1"/>
  <c r="C63" i="53" s="1"/>
  <c r="A248" i="53" a="1"/>
  <c r="A248" i="53" s="1"/>
  <c r="B160" i="53" a="1"/>
  <c r="B160" i="53" s="1"/>
  <c r="K224" i="53" a="1"/>
  <c r="K224" i="53" s="1"/>
  <c r="A41" i="53" a="1"/>
  <c r="A41" i="53" s="1"/>
  <c r="D41" i="53" s="1"/>
  <c r="C242" i="53" a="1"/>
  <c r="C242" i="53" s="1"/>
  <c r="C212" i="53" a="1"/>
  <c r="C212" i="53" s="1"/>
  <c r="K170" i="53" a="1"/>
  <c r="K170" i="53" s="1"/>
  <c r="C74" i="53" a="1"/>
  <c r="C74" i="53" s="1"/>
  <c r="B76" i="53" a="1"/>
  <c r="B76" i="53" s="1"/>
  <c r="K200" i="53" a="1"/>
  <c r="K200" i="53" s="1"/>
  <c r="K18" i="53" a="1"/>
  <c r="K18" i="53" s="1"/>
  <c r="C95" i="53" a="1"/>
  <c r="C95" i="53" s="1"/>
  <c r="A36" i="53" a="1"/>
  <c r="A36" i="53" s="1"/>
  <c r="C45" i="53" a="1"/>
  <c r="C45" i="53" s="1"/>
  <c r="A8" i="53" a="1"/>
  <c r="A8" i="53" s="1"/>
  <c r="B236" i="53" a="1"/>
  <c r="B236" i="53" s="1"/>
  <c r="C344" i="53" a="1"/>
  <c r="C344" i="53" s="1"/>
  <c r="C114" i="53" a="1"/>
  <c r="C114" i="53" s="1"/>
  <c r="B259" i="53" a="1"/>
  <c r="B259" i="53" s="1"/>
  <c r="C139" i="53" a="1"/>
  <c r="C139" i="53" s="1"/>
  <c r="K218" i="53" a="1"/>
  <c r="K218" i="53" s="1"/>
  <c r="A294" i="53" a="1"/>
  <c r="A294" i="53" s="1"/>
  <c r="B340" i="53" a="1"/>
  <c r="B340" i="53" s="1"/>
  <c r="A335" i="53" a="1"/>
  <c r="A335" i="53" s="1"/>
  <c r="K172" i="53" a="1"/>
  <c r="K172" i="53" s="1"/>
  <c r="C225" i="53" a="1"/>
  <c r="C225" i="53" s="1"/>
  <c r="K49" i="53" a="1"/>
  <c r="K49" i="53" s="1"/>
  <c r="A115" i="53" a="1"/>
  <c r="A115" i="53" s="1"/>
  <c r="K207" i="53" a="1"/>
  <c r="K207" i="53" s="1"/>
  <c r="A227" i="53" a="1"/>
  <c r="A227" i="53" s="1"/>
  <c r="B343" i="53" a="1"/>
  <c r="B343" i="53" s="1"/>
  <c r="K123" i="53" a="1"/>
  <c r="K123" i="53" s="1"/>
  <c r="C276" i="53" a="1"/>
  <c r="C276" i="53" s="1"/>
  <c r="A106" i="53" a="1"/>
  <c r="A106" i="53" s="1"/>
  <c r="B28" i="53" a="1"/>
  <c r="B28" i="53" s="1"/>
  <c r="C175" i="53" a="1"/>
  <c r="C175" i="53" s="1"/>
  <c r="B133" i="53" a="1"/>
  <c r="B133" i="53" s="1"/>
  <c r="A350" i="53" a="1"/>
  <c r="A350" i="53" s="1"/>
  <c r="C232" i="53" a="1"/>
  <c r="C232" i="53" s="1"/>
  <c r="K242" i="53" a="1"/>
  <c r="K242" i="53" s="1"/>
  <c r="K263" i="53" a="1"/>
  <c r="K263" i="53" s="1"/>
  <c r="A354" i="53" a="1"/>
  <c r="A354" i="53" s="1"/>
  <c r="B195" i="53" a="1"/>
  <c r="B195" i="53" s="1"/>
  <c r="K352" i="53" a="1"/>
  <c r="K352" i="53" s="1"/>
  <c r="K46" i="53" a="1"/>
  <c r="K46" i="53" s="1"/>
  <c r="B13" i="53" a="1"/>
  <c r="B13" i="53" s="1"/>
  <c r="C189" i="53" a="1"/>
  <c r="C189" i="53" s="1"/>
  <c r="K225" i="53" a="1"/>
  <c r="K225" i="53" s="1"/>
  <c r="A116" i="53" a="1"/>
  <c r="A116" i="53" s="1"/>
  <c r="A253" i="53" a="1"/>
  <c r="A253" i="53" s="1"/>
  <c r="A16" i="53" a="1"/>
  <c r="A16" i="53" s="1"/>
  <c r="A147" i="53" a="1"/>
  <c r="A147" i="53" s="1"/>
  <c r="B198" i="53" a="1"/>
  <c r="B198" i="53" s="1"/>
  <c r="C12" i="53" a="1"/>
  <c r="C12" i="53" s="1"/>
  <c r="C304" i="53" a="1"/>
  <c r="C304" i="53" s="1"/>
  <c r="A150" i="53" a="1"/>
  <c r="A150" i="53" s="1"/>
  <c r="B91" i="53" a="1"/>
  <c r="B91" i="53" s="1"/>
  <c r="K125" i="53" a="1"/>
  <c r="K125" i="53" s="1"/>
  <c r="K181" i="53" a="1"/>
  <c r="K181" i="53" s="1"/>
  <c r="A161" i="53" a="1"/>
  <c r="A161" i="53" s="1"/>
  <c r="B39" i="53" a="1"/>
  <c r="B39" i="53" s="1"/>
  <c r="C199" i="53" a="1"/>
  <c r="C199" i="53" s="1"/>
  <c r="A327" i="53" a="1"/>
  <c r="A327" i="53" s="1"/>
  <c r="K137" i="53" a="1"/>
  <c r="K137" i="53" s="1"/>
  <c r="C289" i="53" a="1"/>
  <c r="C289" i="53" s="1"/>
  <c r="K118" i="53" a="1"/>
  <c r="K118" i="53" s="1"/>
  <c r="C261" i="53" a="1"/>
  <c r="C261" i="53" s="1"/>
  <c r="A59" i="53" a="1"/>
  <c r="A59" i="53" s="1"/>
  <c r="A183" i="53" a="1"/>
  <c r="A183" i="53" s="1"/>
  <c r="K89" i="53" a="1"/>
  <c r="K89" i="53" s="1"/>
  <c r="C196" i="53" a="1"/>
  <c r="C196" i="53" s="1"/>
  <c r="A226" i="53" a="1"/>
  <c r="A226" i="53" s="1"/>
  <c r="K239" i="53" a="1"/>
  <c r="K239" i="53" s="1"/>
  <c r="B72" i="53" a="1"/>
  <c r="B72" i="53" s="1"/>
  <c r="B100" i="53" a="1"/>
  <c r="B100" i="53" s="1"/>
  <c r="C331" i="53" a="1"/>
  <c r="C331" i="53" s="1"/>
  <c r="A15" i="53" a="1"/>
  <c r="A15" i="53" s="1"/>
  <c r="A265" i="53" a="1"/>
  <c r="A265" i="53" s="1"/>
  <c r="A78" i="53" a="1"/>
  <c r="A78" i="53" s="1"/>
  <c r="C324" i="53" a="1"/>
  <c r="C324" i="53" s="1"/>
  <c r="B166" i="53" a="1"/>
  <c r="B166" i="53" s="1"/>
  <c r="C223" i="53" a="1"/>
  <c r="C223" i="53" s="1"/>
  <c r="A189" i="53" a="1"/>
  <c r="A189" i="53" s="1"/>
  <c r="C281" i="53" a="1"/>
  <c r="C281" i="53" s="1"/>
  <c r="C321" i="53" a="1"/>
  <c r="C321" i="53" s="1"/>
  <c r="C163" i="53" a="1"/>
  <c r="C163" i="53" s="1"/>
  <c r="K110" i="53" a="1"/>
  <c r="K110" i="53" s="1"/>
  <c r="A163" i="53" a="1"/>
  <c r="A163" i="53" s="1"/>
  <c r="B311" i="53" a="1"/>
  <c r="B311" i="53" s="1"/>
  <c r="B112" i="53" a="1"/>
  <c r="B112" i="53" s="1"/>
  <c r="K190" i="53" a="1"/>
  <c r="K190" i="53" s="1"/>
  <c r="A140" i="53" a="1"/>
  <c r="A140" i="53" s="1"/>
  <c r="K129" i="53" a="1"/>
  <c r="K129" i="53" s="1"/>
  <c r="A346" i="53" a="1"/>
  <c r="A346" i="53" s="1"/>
  <c r="A224" i="53" a="1"/>
  <c r="A224" i="53" s="1"/>
  <c r="B86" i="53" a="1"/>
  <c r="B86" i="53" s="1"/>
  <c r="A174" i="53" a="1"/>
  <c r="A174" i="53" s="1"/>
  <c r="C34" i="53" a="1"/>
  <c r="C34" i="53" s="1"/>
  <c r="B97" i="53" a="1"/>
  <c r="B97" i="53" s="1"/>
  <c r="C219" i="53" a="1"/>
  <c r="C219" i="53" s="1"/>
  <c r="K322" i="53" a="1"/>
  <c r="K322" i="53" s="1"/>
  <c r="K336" i="53" a="1"/>
  <c r="K336" i="53" s="1"/>
  <c r="K68" i="53" a="1"/>
  <c r="K68" i="53" s="1"/>
  <c r="A165" i="53" a="1"/>
  <c r="A165" i="53" s="1"/>
  <c r="A72" i="53" a="1"/>
  <c r="A72" i="53" s="1"/>
  <c r="K144" i="53" a="1"/>
  <c r="K144" i="53" s="1"/>
  <c r="C169" i="53" a="1"/>
  <c r="C169" i="53" s="1"/>
  <c r="C179" i="53" a="1"/>
  <c r="C179" i="53" s="1"/>
  <c r="B158" i="53" a="1"/>
  <c r="B158" i="53" s="1"/>
  <c r="K171" i="53" a="1"/>
  <c r="K171" i="53" s="1"/>
  <c r="C252" i="53" a="1"/>
  <c r="C252" i="53" s="1"/>
  <c r="K29" i="53" a="1"/>
  <c r="K29" i="53" s="1"/>
  <c r="K54" i="53" a="1"/>
  <c r="K54" i="53" s="1"/>
  <c r="A348" i="53" a="1"/>
  <c r="A348" i="53" s="1"/>
  <c r="A192" i="53" a="1"/>
  <c r="A192" i="53" s="1"/>
  <c r="B326" i="53" a="1"/>
  <c r="B326" i="53" s="1"/>
  <c r="B239" i="53" a="1"/>
  <c r="B239" i="53" s="1"/>
  <c r="A255" i="53" a="1"/>
  <c r="A255" i="53" s="1"/>
  <c r="C240" i="53" a="1"/>
  <c r="C240" i="53" s="1"/>
  <c r="C273" i="53" a="1"/>
  <c r="C273" i="53" s="1"/>
  <c r="K97" i="53" a="1"/>
  <c r="K97" i="53" s="1"/>
  <c r="C40" i="53" a="1"/>
  <c r="C40" i="53" s="1"/>
  <c r="A56" i="53" a="1"/>
  <c r="A56" i="53" s="1"/>
  <c r="C268" i="53" a="1"/>
  <c r="C268" i="53" s="1"/>
  <c r="A121" i="53" a="1"/>
  <c r="A121" i="53" s="1"/>
  <c r="K107" i="53" a="1"/>
  <c r="K107" i="53" s="1"/>
  <c r="K135" i="53" a="1"/>
  <c r="K135" i="53" s="1"/>
  <c r="C221" i="53" a="1"/>
  <c r="C221" i="53" s="1"/>
  <c r="A200" i="53" a="1"/>
  <c r="A200" i="53" s="1"/>
  <c r="B278" i="53" a="1"/>
  <c r="B278" i="53" s="1"/>
  <c r="C90" i="53" a="1"/>
  <c r="C90" i="53" s="1"/>
  <c r="A270" i="53" a="1"/>
  <c r="A270" i="53" s="1"/>
  <c r="A107" i="53" a="1"/>
  <c r="A107" i="53" s="1"/>
  <c r="B346" i="53" a="1"/>
  <c r="B346" i="53" s="1"/>
  <c r="B184" i="53" a="1"/>
  <c r="B184" i="53" s="1"/>
  <c r="A82" i="53" a="1"/>
  <c r="A82" i="53" s="1"/>
  <c r="B62" i="53" a="1"/>
  <c r="B62" i="53" s="1"/>
  <c r="B202" i="53" a="1"/>
  <c r="B202" i="53" s="1"/>
  <c r="B350" i="53" a="1"/>
  <c r="B350" i="53" s="1"/>
  <c r="B234" i="53" a="1"/>
  <c r="B234" i="53" s="1"/>
  <c r="A199" i="53" a="1"/>
  <c r="A199" i="53" s="1"/>
  <c r="A112" i="53" a="1"/>
  <c r="A112" i="53" s="1"/>
  <c r="A48" i="53" a="1"/>
  <c r="A48" i="53" s="1"/>
  <c r="A277" i="53" a="1"/>
  <c r="A277" i="53" s="1"/>
  <c r="K270" i="53" a="1"/>
  <c r="K270" i="53" s="1"/>
  <c r="A355" i="53" a="1"/>
  <c r="A355" i="53" s="1"/>
  <c r="B328" i="53" a="1"/>
  <c r="B328" i="53" s="1"/>
  <c r="B218" i="53" a="1"/>
  <c r="B218" i="53" s="1"/>
  <c r="K347" i="53" a="1"/>
  <c r="K347" i="53" s="1"/>
  <c r="A318" i="53" a="1"/>
  <c r="A318" i="53" s="1"/>
  <c r="B284" i="53" a="1"/>
  <c r="B284" i="53" s="1"/>
  <c r="A273" i="53" a="1"/>
  <c r="A273" i="53" s="1"/>
  <c r="A339" i="53" a="1"/>
  <c r="A339" i="53" s="1"/>
  <c r="C243" i="53" a="1"/>
  <c r="C243" i="53" s="1"/>
  <c r="K223" i="53" a="1"/>
  <c r="K223" i="53" s="1"/>
  <c r="B75" i="53" a="1"/>
  <c r="B75" i="53" s="1"/>
  <c r="A250" i="53" a="1"/>
  <c r="A250" i="53" s="1"/>
  <c r="A252" i="53" a="1"/>
  <c r="A252" i="53" s="1"/>
  <c r="C149" i="53" a="1"/>
  <c r="C149" i="53" s="1"/>
  <c r="K213" i="53" a="1"/>
  <c r="K213" i="53" s="1"/>
  <c r="K151" i="53" a="1"/>
  <c r="K151" i="53" s="1"/>
  <c r="C76" i="53" a="1"/>
  <c r="C76" i="53" s="1"/>
  <c r="B222" i="53" a="1"/>
  <c r="B222" i="53" s="1"/>
  <c r="B143" i="53" a="1"/>
  <c r="B143" i="53" s="1"/>
  <c r="B244" i="53" a="1"/>
  <c r="B244" i="53" s="1"/>
  <c r="B351" i="53" a="1"/>
  <c r="B351" i="53" s="1"/>
  <c r="A93" i="53" a="1"/>
  <c r="A93" i="53" s="1"/>
  <c r="C222" i="53" a="1"/>
  <c r="C222" i="53" s="1"/>
  <c r="K51" i="53" a="1"/>
  <c r="K51" i="53" s="1"/>
  <c r="B12" i="53" a="1"/>
  <c r="B12" i="53" s="1"/>
  <c r="K193" i="53" a="1"/>
  <c r="K193" i="53" s="1"/>
  <c r="B145" i="53" a="1"/>
  <c r="B145" i="53" s="1"/>
  <c r="A108" i="53" a="1"/>
  <c r="A108" i="53" s="1"/>
  <c r="K45" i="53" a="1"/>
  <c r="K45" i="53" s="1"/>
  <c r="K328" i="53" a="1"/>
  <c r="K328" i="53" s="1"/>
  <c r="C318" i="53" a="1"/>
  <c r="C318" i="53" s="1"/>
  <c r="C15" i="53" a="1"/>
  <c r="C15" i="53" s="1"/>
  <c r="A324" i="53" a="1"/>
  <c r="A324" i="53" s="1"/>
  <c r="B237" i="53" a="1"/>
  <c r="B237" i="53" s="1"/>
  <c r="K353" i="53" a="1"/>
  <c r="K353" i="53" s="1"/>
  <c r="A281" i="53" a="1"/>
  <c r="A281" i="53" s="1"/>
  <c r="B266" i="53" a="1"/>
  <c r="B266" i="53" s="1"/>
  <c r="B57" i="53" a="1"/>
  <c r="B57" i="53" s="1"/>
  <c r="C162" i="53" a="1"/>
  <c r="C162" i="53" s="1"/>
  <c r="A291" i="53" a="1"/>
  <c r="A291" i="53" s="1"/>
  <c r="C204" i="53" a="1"/>
  <c r="C204" i="53" s="1"/>
  <c r="A65" i="53" a="1"/>
  <c r="A65" i="53" s="1"/>
  <c r="A117" i="53" a="1"/>
  <c r="A117" i="53" s="1"/>
  <c r="B294" i="53" a="1"/>
  <c r="B294" i="53" s="1"/>
  <c r="K58" i="53" a="1"/>
  <c r="K58" i="53" s="1"/>
  <c r="K192" i="53" a="1"/>
  <c r="K192" i="53" s="1"/>
  <c r="K16" i="53" a="1"/>
  <c r="K16" i="53" s="1"/>
  <c r="B23" i="53" a="1"/>
  <c r="B23" i="53" s="1"/>
  <c r="A139" i="53" a="1"/>
  <c r="A139" i="53" s="1"/>
  <c r="B260" i="53" a="1"/>
  <c r="B260" i="53" s="1"/>
  <c r="K294" i="53" a="1"/>
  <c r="K294" i="53" s="1"/>
  <c r="C46" i="53" a="1"/>
  <c r="C46" i="53" s="1"/>
  <c r="B11" i="53" a="1"/>
  <c r="B11" i="53" s="1"/>
  <c r="K158" i="53" a="1"/>
  <c r="K158" i="53" s="1"/>
  <c r="K278" i="53" a="1"/>
  <c r="K278" i="53" s="1"/>
  <c r="B182" i="53" a="1"/>
  <c r="B182" i="53" s="1"/>
  <c r="B208" i="53" a="1"/>
  <c r="B208" i="53" s="1"/>
  <c r="B122" i="53" a="1"/>
  <c r="B122" i="53" s="1"/>
  <c r="C92" i="53" a="1"/>
  <c r="C92" i="53" s="1"/>
  <c r="B301" i="53" a="1"/>
  <c r="B301" i="53" s="1"/>
  <c r="A25" i="53" a="1"/>
  <c r="A25" i="53" s="1"/>
  <c r="K175" i="53" a="1"/>
  <c r="K175" i="53" s="1"/>
  <c r="B267" i="53" a="1"/>
  <c r="B267" i="53" s="1"/>
  <c r="B9" i="53" a="1"/>
  <c r="B9" i="53" s="1"/>
  <c r="A51" i="53" a="1"/>
  <c r="A51" i="53" s="1"/>
  <c r="A146" i="53" a="1"/>
  <c r="A146" i="53" s="1"/>
  <c r="C271" i="53" a="1"/>
  <c r="C271" i="53" s="1"/>
  <c r="K152" i="53" a="1"/>
  <c r="K152" i="53" s="1"/>
  <c r="C293" i="53" a="1"/>
  <c r="C293" i="53" s="1"/>
  <c r="A156" i="53" a="1"/>
  <c r="A156" i="53" s="1"/>
  <c r="B61" i="53" a="1"/>
  <c r="B61" i="53" s="1"/>
  <c r="K101" i="53" a="1"/>
  <c r="K101" i="53" s="1"/>
  <c r="A164" i="53" a="1"/>
  <c r="A164" i="53" s="1"/>
  <c r="C47" i="53" a="1"/>
  <c r="C47" i="53" s="1"/>
  <c r="K334" i="53" a="1"/>
  <c r="K334" i="53" s="1"/>
  <c r="C18" i="53" a="1"/>
  <c r="C18" i="53" s="1"/>
  <c r="C266" i="53" a="1"/>
  <c r="C266" i="53" s="1"/>
  <c r="A340" i="53" a="1"/>
  <c r="A340" i="53" s="1"/>
  <c r="C132" i="53" a="1"/>
  <c r="C132" i="53" s="1"/>
  <c r="B240" i="53" a="1"/>
  <c r="B240" i="53" s="1"/>
  <c r="Q6" i="53"/>
  <c r="A6" i="53" s="1" a="1"/>
  <c r="A6" i="53" s="1"/>
  <c r="D6" i="53" s="1"/>
  <c r="A326" i="53" a="1"/>
  <c r="A326" i="53" s="1"/>
  <c r="B227" i="53" a="1"/>
  <c r="B227" i="53" s="1"/>
  <c r="K50" i="53" a="1"/>
  <c r="K50" i="53" s="1"/>
  <c r="A342" i="53" a="1"/>
  <c r="A342" i="53" s="1"/>
  <c r="B224" i="53" a="1"/>
  <c r="B224" i="53" s="1"/>
  <c r="A328" i="53" a="1"/>
  <c r="A328" i="53" s="1"/>
  <c r="C141" i="53" a="1"/>
  <c r="C141" i="53" s="1"/>
  <c r="C258" i="53" a="1"/>
  <c r="C258" i="53" s="1"/>
  <c r="B154" i="53" a="1"/>
  <c r="B154" i="53" s="1"/>
  <c r="B189" i="53" a="1"/>
  <c r="B189" i="53" s="1"/>
  <c r="K95" i="53" a="1"/>
  <c r="K95" i="53" s="1"/>
  <c r="C170" i="53" a="1"/>
  <c r="C170" i="53" s="1"/>
  <c r="B164" i="53" a="1"/>
  <c r="B164" i="53" s="1"/>
  <c r="C73" i="53" a="1"/>
  <c r="C73" i="53" s="1"/>
  <c r="B226" i="53" a="1"/>
  <c r="B226" i="53" s="1"/>
  <c r="C85" i="53" a="1"/>
  <c r="C85" i="53" s="1"/>
  <c r="B313" i="53" a="1"/>
  <c r="B313" i="53" s="1"/>
  <c r="A83" i="53" a="1"/>
  <c r="A83" i="53" s="1"/>
  <c r="C226" i="53" a="1"/>
  <c r="C226" i="53" s="1"/>
  <c r="A171" i="53" a="1"/>
  <c r="A171" i="53" s="1"/>
  <c r="K168" i="53" a="1"/>
  <c r="K168" i="53" s="1"/>
  <c r="C307" i="53" a="1"/>
  <c r="C307" i="53" s="1"/>
  <c r="C202" i="53" a="1"/>
  <c r="C202" i="53" s="1"/>
  <c r="K75" i="53" a="1"/>
  <c r="K75" i="53" s="1"/>
  <c r="A13" i="53" a="1"/>
  <c r="A13" i="53" s="1"/>
  <c r="A266" i="53" a="1"/>
  <c r="A266" i="53" s="1"/>
  <c r="B8" i="53" a="1"/>
  <c r="B8" i="53" s="1"/>
  <c r="B78" i="53" a="1"/>
  <c r="B78" i="53" s="1"/>
  <c r="K332" i="53" a="1"/>
  <c r="K332" i="53" s="1"/>
  <c r="B264" i="53" a="1"/>
  <c r="B264" i="53" s="1"/>
  <c r="B238" i="53" a="1"/>
  <c r="B238" i="53" s="1"/>
  <c r="C126" i="53" a="1"/>
  <c r="C126" i="53" s="1"/>
  <c r="B310" i="53" a="1"/>
  <c r="B310" i="53" s="1"/>
  <c r="C89" i="53" a="1"/>
  <c r="C89" i="53" s="1"/>
  <c r="C260" i="53" a="1"/>
  <c r="C260" i="53" s="1"/>
  <c r="A169" i="53" a="1"/>
  <c r="A169" i="53" s="1"/>
  <c r="K134" i="53" a="1"/>
  <c r="K134" i="53" s="1"/>
  <c r="A39" i="53" a="1"/>
  <c r="A39" i="53" s="1"/>
  <c r="A219" i="53" a="1"/>
  <c r="A219" i="53" s="1"/>
  <c r="A331" i="53" a="1"/>
  <c r="A331" i="53" s="1"/>
  <c r="A90" i="53" a="1"/>
  <c r="A90" i="53" s="1"/>
  <c r="C98" i="53" a="1"/>
  <c r="C98" i="53" s="1"/>
  <c r="K341" i="53" a="1"/>
  <c r="K341" i="53" s="1"/>
  <c r="A154" i="53" a="1"/>
  <c r="A154" i="53" s="1"/>
  <c r="K232" i="53" a="1"/>
  <c r="K232" i="53" s="1"/>
  <c r="K255" i="53" a="1"/>
  <c r="K255" i="53" s="1"/>
  <c r="B149" i="53" a="1"/>
  <c r="B149" i="53" s="1"/>
  <c r="B219" i="53" a="1"/>
  <c r="B219" i="53" s="1"/>
  <c r="C123" i="53" a="1"/>
  <c r="C123" i="53" s="1"/>
  <c r="K141" i="53" a="1"/>
  <c r="K141" i="53" s="1"/>
  <c r="K88" i="53" a="1"/>
  <c r="K88" i="53" s="1"/>
  <c r="C200" i="53" a="1"/>
  <c r="C200" i="53" s="1"/>
  <c r="B337" i="53" a="1"/>
  <c r="B337" i="53" s="1"/>
  <c r="K98" i="53" a="1"/>
  <c r="K98" i="53" s="1"/>
  <c r="C167" i="53" a="1"/>
  <c r="C167" i="53" s="1"/>
  <c r="K145" i="53" a="1"/>
  <c r="K145" i="53" s="1"/>
  <c r="K38" i="53" a="1"/>
  <c r="K38" i="53" s="1"/>
  <c r="B352" i="53" a="1"/>
  <c r="B352" i="53" s="1"/>
  <c r="K177" i="53" a="1"/>
  <c r="K177" i="53" s="1"/>
  <c r="K243" i="53" a="1"/>
  <c r="K243" i="53" s="1"/>
  <c r="A122" i="53" a="1"/>
  <c r="A122" i="53" s="1"/>
  <c r="C152" i="53" a="1"/>
  <c r="C152" i="53" s="1"/>
  <c r="A141" i="53" a="1"/>
  <c r="A141" i="53" s="1"/>
  <c r="A262" i="53" a="1"/>
  <c r="A262" i="53" s="1"/>
  <c r="K323" i="53" a="1"/>
  <c r="K323" i="53" s="1"/>
  <c r="B211" i="53" a="1"/>
  <c r="B211" i="53" s="1"/>
  <c r="K103" i="53" a="1"/>
  <c r="K103" i="53" s="1"/>
  <c r="K67" i="53" a="1"/>
  <c r="K67" i="53" s="1"/>
  <c r="B320" i="53" a="1"/>
  <c r="B320" i="53" s="1"/>
  <c r="C303" i="53" a="1"/>
  <c r="C303" i="53" s="1"/>
  <c r="C157" i="53" a="1"/>
  <c r="C157" i="53" s="1"/>
  <c r="A74" i="53" a="1"/>
  <c r="A74" i="53" s="1"/>
  <c r="B66" i="53" a="1"/>
  <c r="B66" i="53" s="1"/>
  <c r="B147" i="53" a="1"/>
  <c r="B147" i="53" s="1"/>
  <c r="C351" i="53" a="1"/>
  <c r="C351" i="53" s="1"/>
  <c r="C143" i="53" a="1"/>
  <c r="C143" i="53" s="1"/>
  <c r="A94" i="53" a="1"/>
  <c r="A94" i="53" s="1"/>
  <c r="C17" i="53" a="1"/>
  <c r="C17" i="53" s="1"/>
  <c r="C265" i="53" a="1"/>
  <c r="C265" i="53" s="1"/>
  <c r="K79" i="53" a="1"/>
  <c r="K79" i="53" s="1"/>
  <c r="A38" i="53" a="1"/>
  <c r="A38" i="53" s="1"/>
  <c r="E38" i="53" s="1"/>
  <c r="C247" i="53" a="1"/>
  <c r="C247" i="53" s="1"/>
  <c r="K309" i="53" a="1"/>
  <c r="K309" i="53" s="1"/>
  <c r="A232" i="53" a="1"/>
  <c r="A232" i="53" s="1"/>
  <c r="B179" i="53" a="1"/>
  <c r="B179" i="53" s="1"/>
  <c r="B344" i="53" a="1"/>
  <c r="B344" i="53" s="1"/>
  <c r="A123" i="53" a="1"/>
  <c r="A123" i="53" s="1"/>
  <c r="C176" i="53" a="1"/>
  <c r="C176" i="53" s="1"/>
  <c r="B334" i="53" a="1"/>
  <c r="B334" i="53" s="1"/>
  <c r="K199" i="53" a="1"/>
  <c r="K199" i="53" s="1"/>
  <c r="B68" i="53" a="1"/>
  <c r="B68" i="53" s="1"/>
  <c r="K21" i="53" a="1"/>
  <c r="K21" i="53" s="1"/>
  <c r="A179" i="53" a="1"/>
  <c r="A179" i="53" s="1"/>
  <c r="B87" i="53" a="1"/>
  <c r="B87" i="53" s="1"/>
  <c r="B273" i="53" a="1"/>
  <c r="B273" i="53" s="1"/>
  <c r="A102" i="53" a="1"/>
  <c r="A102" i="53" s="1"/>
  <c r="C24" i="53" a="1"/>
  <c r="C24" i="53" s="1"/>
  <c r="K63" i="53" a="1"/>
  <c r="K63" i="53" s="1"/>
  <c r="K281" i="53" a="1"/>
  <c r="K281" i="53" s="1"/>
  <c r="C81" i="53" a="1"/>
  <c r="C81" i="53" s="1"/>
  <c r="A30" i="53" a="1"/>
  <c r="A30" i="53" s="1"/>
  <c r="B128" i="53" a="1"/>
  <c r="B128" i="53" s="1"/>
  <c r="C294" i="53" a="1"/>
  <c r="C294" i="53" s="1"/>
  <c r="K136" i="53" a="1"/>
  <c r="K136" i="53" s="1"/>
  <c r="K76" i="53" a="1"/>
  <c r="K76" i="53" s="1"/>
  <c r="B108" i="53" a="1"/>
  <c r="B108" i="53" s="1"/>
  <c r="B187" i="53" a="1"/>
  <c r="B187" i="53" s="1"/>
  <c r="A213" i="53" a="1"/>
  <c r="A213" i="53" s="1"/>
  <c r="B125" i="53" a="1"/>
  <c r="B125" i="53" s="1"/>
  <c r="A268" i="53" a="1"/>
  <c r="A268" i="53" s="1"/>
  <c r="K154" i="53" a="1"/>
  <c r="K154" i="53" s="1"/>
  <c r="B305" i="53" a="1"/>
  <c r="B305" i="53" s="1"/>
  <c r="C278" i="53" a="1"/>
  <c r="C278" i="53" s="1"/>
  <c r="K161" i="53" a="1"/>
  <c r="K161" i="53" s="1"/>
  <c r="C159" i="53" a="1"/>
  <c r="C159" i="53" s="1"/>
  <c r="A71" i="53" a="1"/>
  <c r="A71" i="53" s="1"/>
  <c r="K100" i="53" a="1"/>
  <c r="K100" i="53" s="1"/>
  <c r="A204" i="53" a="1"/>
  <c r="A204" i="53" s="1"/>
  <c r="B206" i="53" a="1"/>
  <c r="B206" i="53" s="1"/>
  <c r="K90" i="53" a="1"/>
  <c r="K90" i="53" s="1"/>
  <c r="B316" i="53" a="1"/>
  <c r="B316" i="53" s="1"/>
  <c r="B152" i="53" a="1"/>
  <c r="B152" i="53" s="1"/>
  <c r="C217" i="53" a="1"/>
  <c r="C217" i="53" s="1"/>
  <c r="K246" i="53" a="1"/>
  <c r="K246" i="53" s="1"/>
  <c r="A152" i="53" a="1"/>
  <c r="A152" i="53" s="1"/>
  <c r="K147" i="53" a="1"/>
  <c r="K147" i="53" s="1"/>
  <c r="K148" i="53" a="1"/>
  <c r="K148" i="53" s="1"/>
  <c r="A311" i="53" a="1"/>
  <c r="A311" i="53" s="1"/>
  <c r="B194" i="53" a="1"/>
  <c r="B194" i="53" s="1"/>
  <c r="A251" i="53" a="1"/>
  <c r="A251" i="53" s="1"/>
  <c r="K344" i="53" a="1"/>
  <c r="K344" i="53" s="1"/>
  <c r="B73" i="53" a="1"/>
  <c r="B73" i="53" s="1"/>
  <c r="B268" i="53" a="1"/>
  <c r="B268" i="53" s="1"/>
  <c r="A352" i="53" a="1"/>
  <c r="A352" i="53" s="1"/>
  <c r="K189" i="53" a="1"/>
  <c r="K189" i="53" s="1"/>
  <c r="C8" i="53" a="1"/>
  <c r="C8" i="53" s="1"/>
  <c r="B249" i="53" a="1"/>
  <c r="B249" i="53" s="1"/>
  <c r="B349" i="53" a="1"/>
  <c r="B349" i="53" s="1"/>
  <c r="K138" i="53" a="1"/>
  <c r="K138" i="53" s="1"/>
  <c r="K72" i="53" a="1"/>
  <c r="K72" i="53" s="1"/>
  <c r="C9" i="53" a="1"/>
  <c r="C9" i="53" s="1"/>
  <c r="K317" i="53" a="1"/>
  <c r="K317" i="53" s="1"/>
  <c r="C107" i="53" a="1"/>
  <c r="C107" i="53" s="1"/>
  <c r="K117" i="53" a="1"/>
  <c r="K117" i="53" s="1"/>
  <c r="B242" i="53" a="1"/>
  <c r="B242" i="53" s="1"/>
  <c r="A304" i="53" a="1"/>
  <c r="A304" i="53" s="1"/>
  <c r="K12" i="53" a="1"/>
  <c r="K12" i="53" s="1"/>
  <c r="G12" i="53" s="1" a="1"/>
  <c r="G12" i="53" s="1"/>
  <c r="B129" i="53" a="1"/>
  <c r="B129" i="53" s="1"/>
  <c r="C209" i="53" a="1"/>
  <c r="C209" i="53" s="1"/>
  <c r="B214" i="53" a="1"/>
  <c r="B214" i="53" s="1"/>
  <c r="K187" i="53" a="1"/>
  <c r="K187" i="53" s="1"/>
  <c r="C37" i="53" a="1"/>
  <c r="C37" i="53" s="1"/>
  <c r="C124" i="53" a="1"/>
  <c r="C124" i="53" s="1"/>
  <c r="K343" i="53" a="1"/>
  <c r="K343" i="53" s="1"/>
  <c r="K300" i="53" a="1"/>
  <c r="K300" i="53" s="1"/>
  <c r="C192" i="53" a="1"/>
  <c r="C192" i="53" s="1"/>
  <c r="B140" i="53" a="1"/>
  <c r="B140" i="53" s="1"/>
  <c r="C151" i="53" a="1"/>
  <c r="C151" i="53" s="1"/>
  <c r="K210" i="53" a="1"/>
  <c r="K210" i="53" s="1"/>
  <c r="A148" i="53" a="1"/>
  <c r="A148" i="53" s="1"/>
  <c r="K350" i="53" a="1"/>
  <c r="K350" i="53" s="1"/>
  <c r="A70" i="53" a="1"/>
  <c r="A70" i="53" s="1"/>
  <c r="C16" i="53" a="1"/>
  <c r="C16" i="53" s="1"/>
  <c r="B118" i="53" a="1"/>
  <c r="B118" i="53" s="1"/>
  <c r="A26" i="53" a="1"/>
  <c r="A26" i="53" s="1"/>
  <c r="A239" i="53" a="1"/>
  <c r="A239" i="53" s="1"/>
  <c r="C306" i="53" a="1"/>
  <c r="C306" i="53" s="1"/>
  <c r="A170" i="53" a="1"/>
  <c r="A170" i="53" s="1"/>
  <c r="C99" i="53" a="1"/>
  <c r="C99" i="53" s="1"/>
  <c r="A75" i="53" a="1"/>
  <c r="A75" i="53" s="1"/>
  <c r="A43" i="53" a="1"/>
  <c r="A43" i="53" s="1"/>
  <c r="D43" i="53" s="1"/>
  <c r="C65" i="53" a="1"/>
  <c r="C65" i="53" s="1"/>
  <c r="B96" i="53" a="1"/>
  <c r="B96" i="53" s="1"/>
  <c r="K53" i="53" a="1"/>
  <c r="K53" i="53" s="1"/>
  <c r="B323" i="53" a="1"/>
  <c r="B323" i="53" s="1"/>
  <c r="C104" i="53" a="1"/>
  <c r="C104" i="53" s="1"/>
  <c r="C36" i="53" a="1"/>
  <c r="C36" i="53" s="1"/>
  <c r="A79" i="53" a="1"/>
  <c r="A79" i="53" s="1"/>
  <c r="C350" i="53" a="1"/>
  <c r="C350" i="53" s="1"/>
  <c r="B265" i="53" a="1"/>
  <c r="B265" i="53" s="1"/>
  <c r="K86" i="53" a="1"/>
  <c r="K86" i="53" s="1"/>
  <c r="B252" i="53" a="1"/>
  <c r="B252" i="53" s="1"/>
  <c r="A49" i="53" a="1"/>
  <c r="A49" i="53" s="1"/>
  <c r="K274" i="53" a="1"/>
  <c r="K274" i="53" s="1"/>
  <c r="B89" i="53" a="1"/>
  <c r="B89" i="53" s="1"/>
  <c r="K315" i="53" a="1"/>
  <c r="K315" i="53" s="1"/>
  <c r="B287" i="53" a="1"/>
  <c r="B287" i="53" s="1"/>
  <c r="C147" i="53" a="1"/>
  <c r="C147" i="53" s="1"/>
  <c r="B274" i="53" a="1"/>
  <c r="B274" i="53" s="1"/>
  <c r="B300" i="53" a="1"/>
  <c r="B300" i="53" s="1"/>
  <c r="K253" i="53" a="1"/>
  <c r="K253" i="53" s="1"/>
  <c r="B165" i="53" a="1"/>
  <c r="B165" i="53" s="1"/>
  <c r="K222" i="53" a="1"/>
  <c r="K222" i="53" s="1"/>
  <c r="A207" i="53" a="1"/>
  <c r="A207" i="53" s="1"/>
  <c r="C308" i="53" a="1"/>
  <c r="C308" i="53" s="1"/>
  <c r="K293" i="53" a="1"/>
  <c r="K293" i="53" s="1"/>
  <c r="C348" i="53" a="1"/>
  <c r="C348" i="53" s="1"/>
  <c r="B110" i="53" a="1"/>
  <c r="B110" i="53" s="1"/>
  <c r="K340" i="53" a="1"/>
  <c r="K340" i="53" s="1"/>
  <c r="C11" i="53" a="1"/>
  <c r="C11" i="53" s="1"/>
  <c r="B250" i="53" a="1"/>
  <c r="B250" i="53" s="1"/>
  <c r="C205" i="53" a="1"/>
  <c r="C205" i="53" s="1"/>
  <c r="B217" i="53" a="1"/>
  <c r="B217" i="53" s="1"/>
  <c r="B134" i="53" a="1"/>
  <c r="B134" i="53" s="1"/>
  <c r="A91" i="53" a="1"/>
  <c r="A91" i="53" s="1"/>
  <c r="B223" i="53" a="1"/>
  <c r="B223" i="53" s="1"/>
  <c r="A155" i="53" a="1"/>
  <c r="A155" i="53" s="1"/>
  <c r="A175" i="53" a="1"/>
  <c r="A175" i="53" s="1"/>
  <c r="A125" i="53" a="1"/>
  <c r="A125" i="53" s="1"/>
  <c r="K114" i="53" a="1"/>
  <c r="K114" i="53" s="1"/>
  <c r="B157" i="53" a="1"/>
  <c r="B157" i="53" s="1"/>
  <c r="A63" i="53" a="1"/>
  <c r="A63" i="53" s="1"/>
  <c r="K34" i="53" a="1"/>
  <c r="K34" i="53" s="1"/>
  <c r="F34" i="53" s="1"/>
  <c r="B67" i="53" a="1"/>
  <c r="B67" i="53" s="1"/>
  <c r="K165" i="53" a="1"/>
  <c r="K165" i="53" s="1"/>
  <c r="A103" i="53" a="1"/>
  <c r="A103" i="53" s="1"/>
  <c r="A228" i="53" a="1"/>
  <c r="A228" i="53" s="1"/>
  <c r="K59" i="53" a="1"/>
  <c r="K59" i="53" s="1"/>
  <c r="A330" i="53" a="1"/>
  <c r="A330" i="53" s="1"/>
  <c r="A258" i="53" a="1"/>
  <c r="A258" i="53" s="1"/>
  <c r="B304" i="53" a="1"/>
  <c r="B304" i="53" s="1"/>
  <c r="B103" i="53" a="1"/>
  <c r="B103" i="53" s="1"/>
  <c r="B253" i="53" a="1"/>
  <c r="B253" i="53" s="1"/>
  <c r="C234" i="53" a="1"/>
  <c r="C234" i="53" s="1"/>
  <c r="C75" i="53" a="1"/>
  <c r="C75" i="53" s="1"/>
  <c r="A329" i="53" a="1"/>
  <c r="A329" i="53" s="1"/>
  <c r="A62" i="53" a="1"/>
  <c r="A62" i="53" s="1"/>
  <c r="B348" i="53" a="1"/>
  <c r="B348" i="53" s="1"/>
  <c r="K212" i="53" a="1"/>
  <c r="K212" i="53" s="1"/>
  <c r="K301" i="53" a="1"/>
  <c r="K301" i="53" s="1"/>
  <c r="A37" i="53" a="1"/>
  <c r="A37" i="53" s="1"/>
  <c r="A19" i="53" a="1"/>
  <c r="A19" i="53" s="1"/>
  <c r="K262" i="53" a="1"/>
  <c r="K262" i="53" s="1"/>
  <c r="A280" i="53" a="1"/>
  <c r="A280" i="53" s="1"/>
  <c r="B193" i="53" a="1"/>
  <c r="B193" i="53" s="1"/>
  <c r="K32" i="53" a="1"/>
  <c r="K32" i="53" s="1"/>
  <c r="G32" i="53" s="1" a="1"/>
  <c r="G32" i="53" s="1"/>
  <c r="C313" i="53" a="1"/>
  <c r="C313" i="53" s="1"/>
  <c r="B233" i="53" a="1"/>
  <c r="B233" i="53" s="1"/>
  <c r="A283" i="53" a="1"/>
  <c r="A283" i="53" s="1"/>
  <c r="C190" i="53" a="1"/>
  <c r="C190" i="53" s="1"/>
  <c r="A225" i="53" a="1"/>
  <c r="A225" i="53" s="1"/>
  <c r="A267" i="53" a="1"/>
  <c r="A267" i="53" s="1"/>
  <c r="K184" i="53" a="1"/>
  <c r="K184" i="53" s="1"/>
  <c r="K22" i="53" a="1"/>
  <c r="K22" i="53" s="1"/>
  <c r="G22" i="53" s="1" a="1"/>
  <c r="G22" i="53" s="1"/>
  <c r="B292" i="53" a="1"/>
  <c r="B292" i="53" s="1"/>
  <c r="A24" i="53" a="1"/>
  <c r="A24" i="53" s="1"/>
  <c r="A220" i="53" a="1"/>
  <c r="A220" i="53" s="1"/>
  <c r="K314" i="53" a="1"/>
  <c r="K314" i="53" s="1"/>
  <c r="A249" i="53" a="1"/>
  <c r="A249" i="53" s="1"/>
  <c r="C341" i="53" a="1"/>
  <c r="C341" i="53" s="1"/>
  <c r="B115" i="53" a="1"/>
  <c r="B115" i="53" s="1"/>
  <c r="B70" i="53" a="1"/>
  <c r="B70" i="53" s="1"/>
  <c r="K290" i="53" a="1"/>
  <c r="K290" i="53" s="1"/>
  <c r="C109" i="53" a="1"/>
  <c r="C109" i="53" s="1"/>
  <c r="C208" i="53" a="1"/>
  <c r="C208" i="53" s="1"/>
  <c r="A177" i="53" a="1"/>
  <c r="A177" i="53" s="1"/>
  <c r="C122" i="53" a="1"/>
  <c r="C122" i="53" s="1"/>
  <c r="K132" i="53" a="1"/>
  <c r="K132" i="53" s="1"/>
  <c r="B49" i="53" a="1"/>
  <c r="B49" i="53" s="1"/>
  <c r="A221" i="53" a="1"/>
  <c r="A221" i="53" s="1"/>
  <c r="C347" i="53" a="1"/>
  <c r="C347" i="53" s="1"/>
  <c r="C220" i="53" a="1"/>
  <c r="C220" i="53" s="1"/>
  <c r="K320" i="53" a="1"/>
  <c r="K320" i="53" s="1"/>
  <c r="K227" i="53" a="1"/>
  <c r="K227" i="53" s="1"/>
  <c r="B18" i="53" a="1"/>
  <c r="B18" i="53" s="1"/>
  <c r="B99" i="53" a="1"/>
  <c r="B99" i="53" s="1"/>
  <c r="K185" i="53" a="1"/>
  <c r="K185" i="53" s="1"/>
  <c r="A337" i="53" a="1"/>
  <c r="A337" i="53" s="1"/>
  <c r="C183" i="53" a="1"/>
  <c r="C183" i="53" s="1"/>
  <c r="A349" i="53" a="1"/>
  <c r="A349" i="53" s="1"/>
  <c r="K150" i="53" a="1"/>
  <c r="K150" i="53" s="1"/>
  <c r="A308" i="53" a="1"/>
  <c r="A308" i="53" s="1"/>
  <c r="C130" i="53" a="1"/>
  <c r="C130" i="53" s="1"/>
  <c r="K219" i="53" a="1"/>
  <c r="K219" i="53" s="1"/>
  <c r="B245" i="53" a="1"/>
  <c r="B245" i="53" s="1"/>
  <c r="K24" i="53" a="1"/>
  <c r="K24" i="53" s="1"/>
  <c r="K37" i="53" a="1"/>
  <c r="K37" i="53" s="1"/>
  <c r="A31" i="53" a="1"/>
  <c r="A31" i="53" s="1"/>
  <c r="D31" i="53" s="1"/>
  <c r="B51" i="53" a="1"/>
  <c r="B51" i="53" s="1"/>
  <c r="C120" i="53" a="1"/>
  <c r="C120" i="53" s="1"/>
  <c r="C155" i="53" a="1"/>
  <c r="C155" i="53" s="1"/>
  <c r="K73" i="53" a="1"/>
  <c r="K73" i="53" s="1"/>
  <c r="C140" i="53" a="1"/>
  <c r="C140" i="53" s="1"/>
  <c r="A126" i="53" a="1"/>
  <c r="A126" i="53" s="1"/>
  <c r="A7" i="53" a="1"/>
  <c r="A7" i="53" s="1"/>
  <c r="K268" i="53" a="1"/>
  <c r="K268" i="53" s="1"/>
  <c r="B88" i="53" a="1"/>
  <c r="B88" i="53" s="1"/>
  <c r="B92" i="53" a="1"/>
  <c r="B92" i="53" s="1"/>
  <c r="K295" i="53" a="1"/>
  <c r="K295" i="53" s="1"/>
  <c r="B74" i="53" a="1"/>
  <c r="B74" i="53" s="1"/>
  <c r="B163" i="53" a="1"/>
  <c r="B163" i="53" s="1"/>
  <c r="K139" i="53" a="1"/>
  <c r="K139" i="53" s="1"/>
  <c r="A269" i="53" a="1"/>
  <c r="A269" i="53" s="1"/>
  <c r="C274" i="53" a="1"/>
  <c r="C274" i="53" s="1"/>
  <c r="K186" i="53" a="1"/>
  <c r="K186" i="53" s="1"/>
  <c r="B314" i="53" a="1"/>
  <c r="B314" i="53" s="1"/>
  <c r="K265" i="53" a="1"/>
  <c r="K265" i="53" s="1"/>
  <c r="C153" i="53" a="1"/>
  <c r="C153" i="53" s="1"/>
  <c r="K85" i="53" a="1"/>
  <c r="K85" i="53" s="1"/>
  <c r="K82" i="53" a="1"/>
  <c r="K82" i="53" s="1"/>
  <c r="B354" i="53" a="1"/>
  <c r="B354" i="53" s="1"/>
  <c r="A73" i="53" a="1"/>
  <c r="A73" i="53" s="1"/>
  <c r="C345" i="53" a="1"/>
  <c r="C345" i="53" s="1"/>
  <c r="K233" i="53" a="1"/>
  <c r="K233" i="53" s="1"/>
  <c r="K131" i="53" a="1"/>
  <c r="K131" i="53" s="1"/>
  <c r="C128" i="53" a="1"/>
  <c r="C128" i="53" s="1"/>
  <c r="C330" i="53" a="1"/>
  <c r="C330" i="53" s="1"/>
  <c r="C305" i="53" a="1"/>
  <c r="C305" i="53" s="1"/>
  <c r="A216" i="53" a="1"/>
  <c r="A216" i="53" s="1"/>
  <c r="B285" i="53" a="1"/>
  <c r="B285" i="53" s="1"/>
  <c r="A46" i="53" a="1"/>
  <c r="A46" i="53" s="1"/>
  <c r="B114" i="53" a="1"/>
  <c r="B114" i="53" s="1"/>
  <c r="B132" i="53" a="1"/>
  <c r="B132" i="53" s="1"/>
  <c r="C335" i="53" a="1"/>
  <c r="C335" i="53" s="1"/>
  <c r="A124" i="53" a="1"/>
  <c r="A124" i="53" s="1"/>
  <c r="B106" i="53" a="1"/>
  <c r="B106" i="53" s="1"/>
  <c r="B71" i="53" a="1"/>
  <c r="B71" i="53" s="1"/>
  <c r="B80" i="53" a="1"/>
  <c r="B80" i="53" s="1"/>
  <c r="B139" i="53" a="1"/>
  <c r="B139" i="53" s="1"/>
  <c r="A345" i="53" a="1"/>
  <c r="A345" i="53" s="1"/>
  <c r="C144" i="53" a="1"/>
  <c r="C144" i="53" s="1"/>
  <c r="C323" i="53" a="1"/>
  <c r="C323" i="53" s="1"/>
  <c r="A138" i="53" a="1"/>
  <c r="A138" i="53" s="1"/>
  <c r="K238" i="53" a="1"/>
  <c r="K238" i="53" s="1"/>
  <c r="K269" i="53" a="1"/>
  <c r="K269" i="53" s="1"/>
  <c r="A353" i="53" a="1"/>
  <c r="A353" i="53" s="1"/>
  <c r="C136" i="53" a="1"/>
  <c r="C136" i="53" s="1"/>
  <c r="A210" i="53" a="1"/>
  <c r="A210" i="53" s="1"/>
  <c r="B24" i="53" a="1"/>
  <c r="B24" i="53" s="1"/>
  <c r="A132" i="53" a="1"/>
  <c r="A132" i="53" s="1"/>
  <c r="C311" i="53" a="1"/>
  <c r="C311" i="53" s="1"/>
  <c r="K256" i="53" a="1"/>
  <c r="K256" i="53" s="1"/>
  <c r="A289" i="53" a="1"/>
  <c r="A289" i="53" s="1"/>
  <c r="K277" i="53" a="1"/>
  <c r="K277" i="53" s="1"/>
  <c r="B126" i="53" a="1"/>
  <c r="B126" i="53" s="1"/>
  <c r="A325" i="53" a="1"/>
  <c r="A325" i="53" s="1"/>
  <c r="K351" i="53" a="1"/>
  <c r="K351" i="53" s="1"/>
  <c r="K48" i="53" a="1"/>
  <c r="K48" i="53" s="1"/>
  <c r="C53" i="53" a="1"/>
  <c r="C53" i="53" s="1"/>
  <c r="A76" i="53" a="1"/>
  <c r="A76" i="53" s="1"/>
  <c r="C125" i="53" a="1"/>
  <c r="C125" i="53" s="1"/>
  <c r="B288" i="53" a="1"/>
  <c r="B288" i="53" s="1"/>
  <c r="B41" i="53" a="1"/>
  <c r="B41" i="53" s="1"/>
  <c r="K304" i="53" a="1"/>
  <c r="K304" i="53" s="1"/>
  <c r="B207" i="53" a="1"/>
  <c r="B207" i="53" s="1"/>
  <c r="K292" i="53" a="1"/>
  <c r="K292" i="53" s="1"/>
  <c r="A114" i="53" a="1"/>
  <c r="A114" i="53" s="1"/>
  <c r="C320" i="53" a="1"/>
  <c r="C320" i="53" s="1"/>
  <c r="B209" i="53" a="1"/>
  <c r="B209" i="53" s="1"/>
  <c r="A215" i="53" a="1"/>
  <c r="A215" i="53" s="1"/>
  <c r="K7" i="53" a="1"/>
  <c r="K7" i="53" s="1"/>
  <c r="K298" i="53" a="1"/>
  <c r="K298" i="53" s="1"/>
  <c r="C201" i="53" a="1"/>
  <c r="C201" i="53" s="1"/>
  <c r="C41" i="53" a="1"/>
  <c r="C41" i="53" s="1"/>
  <c r="C129" i="53" a="1"/>
  <c r="C129" i="53" s="1"/>
  <c r="B322" i="53" a="1"/>
  <c r="B322" i="53" s="1"/>
  <c r="B281" i="53" a="1"/>
  <c r="B281" i="53" s="1"/>
  <c r="B186" i="53" a="1"/>
  <c r="B186" i="53" s="1"/>
  <c r="B280" i="53" a="1"/>
  <c r="B280" i="53" s="1"/>
  <c r="B161" i="53" a="1"/>
  <c r="B161" i="53" s="1"/>
  <c r="B22" i="53" a="1"/>
  <c r="B22" i="53" s="1"/>
  <c r="C166" i="53" a="1"/>
  <c r="C166" i="53" s="1"/>
  <c r="A35" i="53" a="1"/>
  <c r="A35" i="53" s="1"/>
  <c r="D35" i="53" s="1"/>
  <c r="A40" i="53" a="1"/>
  <c r="A40" i="53" s="1"/>
  <c r="D40" i="53" s="1"/>
  <c r="B296" i="53" a="1"/>
  <c r="B296" i="53" s="1"/>
  <c r="K327" i="53" a="1"/>
  <c r="K327" i="53" s="1"/>
  <c r="B220" i="53" a="1"/>
  <c r="B220" i="53" s="1"/>
  <c r="K209" i="53" a="1"/>
  <c r="K209" i="53" s="1"/>
  <c r="A235" i="53" a="1"/>
  <c r="A235" i="53" s="1"/>
  <c r="C270" i="53" a="1"/>
  <c r="C270" i="53" s="1"/>
  <c r="K84" i="53" a="1"/>
  <c r="K84" i="53" s="1"/>
  <c r="K15" i="53" a="1"/>
  <c r="K15" i="53" s="1"/>
  <c r="A217" i="53" a="1"/>
  <c r="A217" i="53" s="1"/>
  <c r="C272" i="53" a="1"/>
  <c r="C272" i="53" s="1"/>
  <c r="K297" i="53" a="1"/>
  <c r="K297" i="53" s="1"/>
  <c r="B53" i="53" a="1"/>
  <c r="B53" i="53" s="1"/>
  <c r="C275" i="53" a="1"/>
  <c r="C275" i="53" s="1"/>
  <c r="B45" i="53" a="1"/>
  <c r="B45" i="53" s="1"/>
  <c r="C298" i="53" a="1"/>
  <c r="C298" i="53" s="1"/>
  <c r="K330" i="53" a="1"/>
  <c r="K330" i="53" s="1"/>
  <c r="A233" i="53" a="1"/>
  <c r="A233" i="53" s="1"/>
  <c r="K169" i="53" a="1"/>
  <c r="K169" i="53" s="1"/>
  <c r="A129" i="53" a="1"/>
  <c r="A129" i="53" s="1"/>
  <c r="K196" i="53" a="1"/>
  <c r="K196" i="53" s="1"/>
  <c r="C185" i="53" a="1"/>
  <c r="C185" i="53" s="1"/>
  <c r="C229" i="53" a="1"/>
  <c r="C229" i="53" s="1"/>
  <c r="B34" i="53" a="1"/>
  <c r="B34" i="53" s="1"/>
  <c r="C195" i="53" a="1"/>
  <c r="C195" i="53" s="1"/>
  <c r="C297" i="53" a="1"/>
  <c r="C297" i="53" s="1"/>
  <c r="B172" i="53" a="1"/>
  <c r="B172" i="53" s="1"/>
  <c r="K251" i="53" a="1"/>
  <c r="K251" i="53" s="1"/>
  <c r="C156" i="53" a="1"/>
  <c r="C156" i="53" s="1"/>
  <c r="K264" i="53" a="1"/>
  <c r="K264" i="53" s="1"/>
  <c r="C333" i="53" a="1"/>
  <c r="C333" i="53" s="1"/>
  <c r="A157" i="53" a="1"/>
  <c r="A157" i="53" s="1"/>
  <c r="C254" i="53" a="1"/>
  <c r="C254" i="53" s="1"/>
  <c r="B107" i="53" a="1"/>
  <c r="B107" i="53" s="1"/>
  <c r="B188" i="53" a="1"/>
  <c r="B188" i="53" s="1"/>
  <c r="K40" i="53" a="1"/>
  <c r="K40" i="53" s="1"/>
  <c r="A193" i="53" a="1"/>
  <c r="A193" i="53" s="1"/>
  <c r="C259" i="53" a="1"/>
  <c r="C259" i="53" s="1"/>
  <c r="B167" i="53" a="1"/>
  <c r="B167" i="53" s="1"/>
  <c r="B232" i="53" a="1"/>
  <c r="B232" i="53" s="1"/>
  <c r="K338" i="53" a="1"/>
  <c r="K338" i="53" s="1"/>
  <c r="A28" i="53" a="1"/>
  <c r="A28" i="53" s="1"/>
  <c r="F28" i="53" s="1"/>
  <c r="K312" i="53" a="1"/>
  <c r="K312" i="53" s="1"/>
  <c r="A214" i="53" a="1"/>
  <c r="A214" i="53" s="1"/>
  <c r="B81" i="53" a="1"/>
  <c r="B81" i="53" s="1"/>
  <c r="K355" i="53" a="1"/>
  <c r="K355" i="53" s="1"/>
  <c r="C346" i="53" a="1"/>
  <c r="C346" i="53" s="1"/>
  <c r="B21" i="53" a="1"/>
  <c r="B21" i="53" s="1"/>
  <c r="B309" i="53" a="1"/>
  <c r="B309" i="53" s="1"/>
  <c r="C165" i="53" a="1"/>
  <c r="C165" i="53" s="1"/>
  <c r="C135" i="53" a="1"/>
  <c r="C135" i="53" s="1"/>
  <c r="K302" i="53" a="1"/>
  <c r="K302" i="53" s="1"/>
  <c r="A293" i="53" a="1"/>
  <c r="A293" i="53" s="1"/>
  <c r="B247" i="53" a="1"/>
  <c r="B247" i="53" s="1"/>
  <c r="K319" i="53" a="1"/>
  <c r="K319" i="53" s="1"/>
  <c r="A305" i="53" a="1"/>
  <c r="A305" i="53" s="1"/>
  <c r="A320" i="53" a="1"/>
  <c r="A320" i="53" s="1"/>
  <c r="K36" i="53" a="1"/>
  <c r="K36" i="53" s="1"/>
  <c r="A143" i="53" a="1"/>
  <c r="A143" i="53" s="1"/>
  <c r="K310" i="53" a="1"/>
  <c r="K310" i="53" s="1"/>
  <c r="B47" i="53" a="1"/>
  <c r="B47" i="53" s="1"/>
  <c r="B315" i="53" a="1"/>
  <c r="B315" i="53" s="1"/>
  <c r="C178" i="53" a="1"/>
  <c r="C178" i="53" s="1"/>
  <c r="A137" i="53" a="1"/>
  <c r="A137" i="53" s="1"/>
  <c r="A23" i="53" a="1"/>
  <c r="A23" i="53" s="1"/>
  <c r="A191" i="53" a="1"/>
  <c r="A191" i="53" s="1"/>
  <c r="C198" i="53" a="1"/>
  <c r="C198" i="53" s="1"/>
  <c r="C255" i="53" a="1"/>
  <c r="C255" i="53" s="1"/>
  <c r="K176" i="53" a="1"/>
  <c r="K176" i="53" s="1"/>
  <c r="B235" i="53" a="1"/>
  <c r="B235" i="53" s="1"/>
  <c r="A323" i="53" a="1"/>
  <c r="A323" i="53" s="1"/>
  <c r="B83" i="53" a="1"/>
  <c r="B83" i="53" s="1"/>
  <c r="K109" i="53" a="1"/>
  <c r="K109" i="53" s="1"/>
  <c r="K342" i="53" a="1"/>
  <c r="K342" i="53" s="1"/>
  <c r="C58" i="53" a="1"/>
  <c r="C58" i="53" s="1"/>
  <c r="C79" i="53" a="1"/>
  <c r="C79" i="53" s="1"/>
  <c r="A347" i="53" a="1"/>
  <c r="A347" i="53" s="1"/>
  <c r="C277" i="53" a="1"/>
  <c r="C277" i="53" s="1"/>
  <c r="B46" i="53" a="1"/>
  <c r="B46" i="53" s="1"/>
  <c r="C13" i="53" a="1"/>
  <c r="C13" i="53" s="1"/>
  <c r="A77" i="53" a="1"/>
  <c r="A77" i="53" s="1"/>
  <c r="B93" i="53" a="1"/>
  <c r="B93" i="53" s="1"/>
  <c r="B338" i="53" a="1"/>
  <c r="B338" i="53" s="1"/>
  <c r="K116" i="53" a="1"/>
  <c r="K116" i="53" s="1"/>
  <c r="B102" i="53" a="1"/>
  <c r="B102" i="53" s="1"/>
  <c r="C339" i="53" a="1"/>
  <c r="C339" i="53" s="1"/>
  <c r="A302" i="53" a="1"/>
  <c r="A302" i="53" s="1"/>
  <c r="K13" i="53" a="1"/>
  <c r="K13" i="53" s="1"/>
  <c r="B26" i="53" a="1"/>
  <c r="B26" i="53" s="1"/>
  <c r="C291" i="53" a="1"/>
  <c r="C291" i="53" s="1"/>
  <c r="B175" i="53" a="1"/>
  <c r="B175" i="53" s="1"/>
  <c r="A88" i="53" a="1"/>
  <c r="A88" i="53" s="1"/>
  <c r="C186" i="53" a="1"/>
  <c r="C186" i="53" s="1"/>
  <c r="K57" i="53" a="1"/>
  <c r="K57" i="53" s="1"/>
  <c r="B290" i="53" a="1"/>
  <c r="B290" i="53" s="1"/>
  <c r="K19" i="53" a="1"/>
  <c r="K19" i="53" s="1"/>
  <c r="B339" i="53" a="1"/>
  <c r="B339" i="53" s="1"/>
  <c r="B329" i="53" a="1"/>
  <c r="B329" i="53" s="1"/>
  <c r="B215" i="53" a="1"/>
  <c r="B215" i="53" s="1"/>
  <c r="C68" i="53" a="1"/>
  <c r="C68" i="53" s="1"/>
  <c r="A316" i="53" a="1"/>
  <c r="A316" i="53" s="1"/>
  <c r="K17" i="53" a="1"/>
  <c r="K17" i="53" s="1"/>
  <c r="B262" i="53" a="1"/>
  <c r="B262" i="53" s="1"/>
  <c r="K121" i="53" a="1"/>
  <c r="K121" i="53" s="1"/>
  <c r="C228" i="53" a="1"/>
  <c r="C228" i="53" s="1"/>
  <c r="A44" i="53" a="1"/>
  <c r="A44" i="53" s="1"/>
  <c r="C182" i="53" a="1"/>
  <c r="C182" i="53" s="1"/>
  <c r="A197" i="53" a="1"/>
  <c r="A197" i="53" s="1"/>
  <c r="C296" i="53" a="1"/>
  <c r="C296" i="53" s="1"/>
  <c r="B213" i="53" a="1"/>
  <c r="B213" i="53" s="1"/>
  <c r="K108" i="53" a="1"/>
  <c r="K108" i="53" s="1"/>
  <c r="A21" i="53" a="1"/>
  <c r="A21" i="53" s="1"/>
  <c r="C19" i="53" a="1"/>
  <c r="C19" i="53" s="1"/>
  <c r="B32" i="53" a="1"/>
  <c r="B32" i="53" s="1"/>
  <c r="D32" i="53" s="1"/>
  <c r="F47" i="22" a="1"/>
  <c r="F47" i="22" s="1"/>
  <c r="A30" i="22" a="1"/>
  <c r="A30" i="22" s="1"/>
  <c r="A46" i="22" a="1"/>
  <c r="A46" i="22" s="1"/>
  <c r="E46" i="22" s="1"/>
  <c r="F7" i="22" a="1"/>
  <c r="F7" i="22" s="1"/>
  <c r="A77" i="22" a="1"/>
  <c r="A77" i="22" s="1"/>
  <c r="G77" i="22" s="1"/>
  <c r="A27" i="22" a="1"/>
  <c r="A27" i="22" s="1"/>
  <c r="B27" i="22" s="1"/>
  <c r="A43" i="22" a="1"/>
  <c r="A43" i="22" s="1"/>
  <c r="C43" i="22" s="1"/>
  <c r="F30" i="22" a="1"/>
  <c r="F30" i="22" s="1"/>
  <c r="D30" i="22" s="1"/>
  <c r="A57" i="22" a="1"/>
  <c r="A57" i="22" s="1"/>
  <c r="D57" i="22" s="1"/>
  <c r="A34" i="24" a="1"/>
  <c r="A34" i="24" s="1"/>
  <c r="F56" i="24" a="1"/>
  <c r="F56" i="24" s="1"/>
  <c r="A48" i="24" a="1"/>
  <c r="A48" i="24" s="1"/>
  <c r="A59" i="24" a="1"/>
  <c r="A59" i="24" s="1"/>
  <c r="A47" i="24" a="1"/>
  <c r="A47" i="24" s="1"/>
  <c r="F77" i="24" a="1"/>
  <c r="F77" i="24" s="1"/>
  <c r="A35" i="24" a="1"/>
  <c r="A35" i="24" s="1"/>
  <c r="A57" i="24" a="1"/>
  <c r="A57" i="24" s="1"/>
  <c r="A54" i="24" a="1"/>
  <c r="A54" i="24" s="1"/>
  <c r="A82" i="24" a="1"/>
  <c r="A82" i="24" s="1"/>
  <c r="F72" i="24" a="1"/>
  <c r="F72" i="24" s="1"/>
  <c r="F10" i="24" a="1"/>
  <c r="F10" i="24" s="1"/>
  <c r="F85" i="24" a="1"/>
  <c r="F85" i="24" s="1"/>
  <c r="A45" i="24" a="1"/>
  <c r="A45" i="24" s="1"/>
  <c r="A18" i="24" a="1"/>
  <c r="A18" i="24" s="1"/>
  <c r="A62" i="24" a="1"/>
  <c r="A62" i="24" s="1"/>
  <c r="F67" i="24" a="1"/>
  <c r="F67" i="24" s="1"/>
  <c r="F43" i="24" a="1"/>
  <c r="F43" i="24" s="1"/>
  <c r="F47" i="24" a="1"/>
  <c r="F47" i="24" s="1"/>
  <c r="F65" i="24" a="1"/>
  <c r="F65" i="24" s="1"/>
  <c r="A22" i="24" a="1"/>
  <c r="A22" i="24" s="1"/>
  <c r="D22" i="24" s="1"/>
  <c r="F19" i="24" a="1"/>
  <c r="F19" i="24" s="1"/>
  <c r="A79" i="24" a="1"/>
  <c r="A79" i="24" s="1"/>
  <c r="A16" i="24" a="1"/>
  <c r="A16" i="24" s="1"/>
  <c r="A52" i="24" a="1"/>
  <c r="A52" i="24" s="1"/>
  <c r="A27" i="24" a="1"/>
  <c r="A27" i="24" s="1"/>
  <c r="F84" i="24" a="1"/>
  <c r="F84" i="24" s="1"/>
  <c r="A81" i="24" a="1"/>
  <c r="A81" i="24" s="1"/>
  <c r="A77" i="24" a="1"/>
  <c r="A77" i="24" s="1"/>
  <c r="F50" i="24" a="1"/>
  <c r="F50" i="24" s="1"/>
  <c r="F20" i="24" a="1"/>
  <c r="F20" i="24" s="1"/>
  <c r="F52" i="24" a="1"/>
  <c r="F52" i="24" s="1"/>
  <c r="A12" i="24" a="1"/>
  <c r="A12" i="24" s="1"/>
  <c r="A53" i="24" a="1"/>
  <c r="A53" i="24" s="1"/>
  <c r="F16" i="24" a="1"/>
  <c r="F16" i="24" s="1"/>
  <c r="F8" i="24" a="1"/>
  <c r="F8" i="24" s="1"/>
  <c r="F46" i="24" a="1"/>
  <c r="F46" i="24" s="1"/>
  <c r="F40" i="24" a="1"/>
  <c r="F40" i="24" s="1"/>
  <c r="A74" i="24" a="1"/>
  <c r="A74" i="24" s="1"/>
  <c r="K6" i="24"/>
  <c r="A6" i="24" s="1" a="1"/>
  <c r="A6" i="24" s="1"/>
  <c r="A78" i="24" a="1"/>
  <c r="A78" i="24" s="1"/>
  <c r="A60" i="24" a="1"/>
  <c r="A60" i="24" s="1"/>
  <c r="F45" i="24" a="1"/>
  <c r="F45" i="24" s="1"/>
  <c r="F36" i="24" a="1"/>
  <c r="F36" i="24" s="1"/>
  <c r="F34" i="24" a="1"/>
  <c r="F34" i="24" s="1"/>
  <c r="C34" i="24" s="1"/>
  <c r="F17" i="24" a="1"/>
  <c r="F17" i="24" s="1"/>
  <c r="A46" i="24" a="1"/>
  <c r="A46" i="24" s="1"/>
  <c r="F7" i="24" a="1"/>
  <c r="F7" i="24" s="1"/>
  <c r="A76" i="24" a="1"/>
  <c r="A76" i="24" s="1"/>
  <c r="F63" i="24" a="1"/>
  <c r="F63" i="24" s="1"/>
  <c r="F12" i="24" a="1"/>
  <c r="F12" i="24" s="1"/>
  <c r="F48" i="24" a="1"/>
  <c r="F48" i="24" s="1"/>
  <c r="A55" i="24" a="1"/>
  <c r="A55" i="24" s="1"/>
  <c r="A7" i="24" a="1"/>
  <c r="A7" i="24" s="1"/>
  <c r="F42" i="24" a="1"/>
  <c r="F42" i="24" s="1"/>
  <c r="F79" i="24" a="1"/>
  <c r="F79" i="24" s="1"/>
  <c r="A21" i="24" a="1"/>
  <c r="A21" i="24" s="1"/>
  <c r="A10" i="24" a="1"/>
  <c r="A10" i="24" s="1"/>
  <c r="F62" i="24" a="1"/>
  <c r="F62" i="24" s="1"/>
  <c r="F38" i="24" a="1"/>
  <c r="F38" i="24" s="1"/>
  <c r="F28" i="24" a="1"/>
  <c r="F28" i="24" s="1"/>
  <c r="A25" i="24" a="1"/>
  <c r="A25" i="24" s="1"/>
  <c r="A14" i="24" a="1"/>
  <c r="A14" i="24" s="1"/>
  <c r="A38" i="24" a="1"/>
  <c r="A38" i="24" s="1"/>
  <c r="E5" i="24"/>
  <c r="A17" i="24" a="1"/>
  <c r="A17" i="24" s="1"/>
  <c r="A26" i="24" a="1"/>
  <c r="A26" i="24" s="1"/>
  <c r="F37" i="24" a="1"/>
  <c r="F37" i="24" s="1"/>
  <c r="F83" i="24" a="1"/>
  <c r="F83" i="24" s="1"/>
  <c r="F33" i="24" a="1"/>
  <c r="F33" i="24" s="1"/>
  <c r="F35" i="24" a="1"/>
  <c r="F35" i="24" s="1"/>
  <c r="F71" i="24" a="1"/>
  <c r="F71" i="24" s="1"/>
  <c r="F21" i="24" a="1"/>
  <c r="F21" i="24" s="1"/>
  <c r="F13" i="24" a="1"/>
  <c r="F13" i="24" s="1"/>
  <c r="A11" i="24" a="1"/>
  <c r="A11" i="24" s="1"/>
  <c r="A85" i="24" a="1"/>
  <c r="A85" i="24" s="1"/>
  <c r="A37" i="24" a="1"/>
  <c r="A37" i="24" s="1"/>
  <c r="F59" i="24" a="1"/>
  <c r="F59" i="24" s="1"/>
  <c r="A70" i="24" a="1"/>
  <c r="A70" i="24" s="1"/>
  <c r="F23" i="24" a="1"/>
  <c r="F23" i="24" s="1"/>
  <c r="F82" i="24" a="1"/>
  <c r="F82" i="24" s="1"/>
  <c r="A24" i="24" a="1"/>
  <c r="A24" i="24" s="1"/>
  <c r="F81" i="24" a="1"/>
  <c r="F81" i="24" s="1"/>
  <c r="A30" i="24" a="1"/>
  <c r="A30" i="24" s="1"/>
  <c r="A50" i="24" a="1"/>
  <c r="A50" i="24" s="1"/>
  <c r="F61" i="24" a="1"/>
  <c r="F61" i="24" s="1"/>
  <c r="F78" i="24" a="1"/>
  <c r="F78" i="24" s="1"/>
  <c r="A29" i="24" a="1"/>
  <c r="A29" i="24" s="1"/>
  <c r="F60" i="24" a="1"/>
  <c r="F60" i="24" s="1"/>
  <c r="A66" i="24" a="1"/>
  <c r="A66" i="24" s="1"/>
  <c r="A49" i="24" a="1"/>
  <c r="A49" i="24" s="1"/>
  <c r="F58" i="24" a="1"/>
  <c r="F58" i="24" s="1"/>
  <c r="A64" i="24" a="1"/>
  <c r="A64" i="24" s="1"/>
  <c r="F76" i="24" a="1"/>
  <c r="F76" i="24" s="1"/>
  <c r="F57" i="24" a="1"/>
  <c r="F57" i="24" s="1"/>
  <c r="A8" i="24" a="1"/>
  <c r="A8" i="24" s="1"/>
  <c r="A68" i="24" a="1"/>
  <c r="A68" i="24" s="1"/>
  <c r="A75" i="24" a="1"/>
  <c r="A75" i="24" s="1"/>
  <c r="A31" i="24" a="1"/>
  <c r="A31" i="24" s="1"/>
  <c r="F32" i="24" a="1"/>
  <c r="F32" i="24" s="1"/>
  <c r="A39" i="24" a="1"/>
  <c r="A39" i="24" s="1"/>
  <c r="A71" i="24" a="1"/>
  <c r="A71" i="24" s="1"/>
  <c r="A44" i="24" a="1"/>
  <c r="A44" i="24" s="1"/>
  <c r="F68" i="24" a="1"/>
  <c r="F68" i="24" s="1"/>
  <c r="A20" i="24" a="1"/>
  <c r="A20" i="24" s="1"/>
  <c r="A51" i="24" a="1"/>
  <c r="A51" i="24" s="1"/>
  <c r="A56" i="24" a="1"/>
  <c r="A56" i="24" s="1"/>
  <c r="A83" i="24" a="1"/>
  <c r="A83" i="24" s="1"/>
  <c r="F54" i="24" a="1"/>
  <c r="F54" i="24" s="1"/>
  <c r="F51" i="24" a="1"/>
  <c r="F51" i="24" s="1"/>
  <c r="A41" i="24" a="1"/>
  <c r="A41" i="24" s="1"/>
  <c r="F66" i="24" a="1"/>
  <c r="F66" i="24" s="1"/>
  <c r="F15" i="24" a="1"/>
  <c r="F15" i="24" s="1"/>
  <c r="A32" i="24" a="1"/>
  <c r="A32" i="24" s="1"/>
  <c r="A33" i="24" a="1"/>
  <c r="A33" i="24" s="1"/>
  <c r="F69" i="24" a="1"/>
  <c r="F69" i="24" s="1"/>
  <c r="F31" i="24" a="1"/>
  <c r="F31" i="24" s="1"/>
  <c r="F9" i="24" a="1"/>
  <c r="F9" i="24" s="1"/>
  <c r="F26" i="24" a="1"/>
  <c r="F26" i="24" s="1"/>
  <c r="F30" i="24" a="1"/>
  <c r="F30" i="24" s="1"/>
  <c r="F27" i="24" a="1"/>
  <c r="F27" i="24" s="1"/>
  <c r="F44" i="24" a="1"/>
  <c r="F44" i="24" s="1"/>
  <c r="A19" i="24" a="1"/>
  <c r="A19" i="24" s="1"/>
  <c r="F6" i="24" a="1"/>
  <c r="F6" i="24" s="1"/>
  <c r="F41" i="24" a="1"/>
  <c r="F41" i="24" s="1"/>
  <c r="F24" i="24" a="1"/>
  <c r="F24" i="24" s="1"/>
  <c r="A36" i="24" a="1"/>
  <c r="A36" i="24" s="1"/>
  <c r="A65" i="24" a="1"/>
  <c r="A65" i="24" s="1"/>
  <c r="F70" i="24" a="1"/>
  <c r="F70" i="24" s="1"/>
  <c r="A40" i="24" a="1"/>
  <c r="A40" i="24" s="1"/>
  <c r="F29" i="24" a="1"/>
  <c r="F29" i="24" s="1"/>
  <c r="A80" i="24" a="1"/>
  <c r="A80" i="24" s="1"/>
  <c r="F80" i="24" a="1"/>
  <c r="F80" i="24" s="1"/>
  <c r="A63" i="24" a="1"/>
  <c r="A63" i="24" s="1"/>
  <c r="A69" i="24" a="1"/>
  <c r="A69" i="24" s="1"/>
  <c r="F55" i="24" a="1"/>
  <c r="F55" i="24" s="1"/>
  <c r="F14" i="24" a="1"/>
  <c r="F14" i="24" s="1"/>
  <c r="A43" i="24" a="1"/>
  <c r="A43" i="24" s="1"/>
  <c r="A9" i="24" a="1"/>
  <c r="A9" i="24" s="1"/>
  <c r="A58" i="24" a="1"/>
  <c r="A58" i="24" s="1"/>
  <c r="A23" i="24" a="1"/>
  <c r="A23" i="24" s="1"/>
  <c r="F53" i="24" a="1"/>
  <c r="F53" i="24" s="1"/>
  <c r="A28" i="24" a="1"/>
  <c r="A28" i="24" s="1"/>
  <c r="F18" i="24" a="1"/>
  <c r="F18" i="24" s="1"/>
  <c r="A42" i="24" a="1"/>
  <c r="A42" i="24" s="1"/>
  <c r="A15" i="24" a="1"/>
  <c r="A15" i="24" s="1"/>
  <c r="A67" i="24" a="1"/>
  <c r="A67" i="24" s="1"/>
  <c r="A72" i="24" a="1"/>
  <c r="A72" i="24" s="1"/>
  <c r="F73" i="24" a="1"/>
  <c r="F73" i="24" s="1"/>
  <c r="F64" i="24" a="1"/>
  <c r="F64" i="24" s="1"/>
  <c r="F39" i="24" a="1"/>
  <c r="F39" i="24" s="1"/>
  <c r="F74" i="24" a="1"/>
  <c r="F74" i="24" s="1"/>
  <c r="A84" i="24" a="1"/>
  <c r="A84" i="24" s="1"/>
  <c r="F75" i="24" a="1"/>
  <c r="F75" i="24" s="1"/>
  <c r="A61" i="24" a="1"/>
  <c r="A61" i="24" s="1"/>
  <c r="F49" i="24" a="1"/>
  <c r="F49" i="24" s="1"/>
  <c r="F11" i="24" a="1"/>
  <c r="F11" i="24" s="1"/>
  <c r="A13" i="24" a="1"/>
  <c r="A13" i="24" s="1"/>
  <c r="F25" i="24" a="1"/>
  <c r="F25" i="24" s="1"/>
  <c r="A51" i="22" a="1"/>
  <c r="A51" i="22" s="1"/>
  <c r="A16" i="22" a="1"/>
  <c r="A16" i="22" s="1"/>
  <c r="C16" i="22" s="1"/>
  <c r="A71" i="91" a="1"/>
  <c r="A71" i="91" s="1"/>
  <c r="E71" i="91" s="1"/>
  <c r="F80" i="98" a="1"/>
  <c r="F80" i="98" s="1"/>
  <c r="A35" i="98" a="1"/>
  <c r="A35" i="98" s="1"/>
  <c r="F9" i="98" a="1"/>
  <c r="F9" i="98" s="1"/>
  <c r="A58" i="98" a="1"/>
  <c r="A58" i="98" s="1"/>
  <c r="F11" i="98" a="1"/>
  <c r="F11" i="98" s="1"/>
  <c r="F36" i="98" a="1"/>
  <c r="F36" i="98" s="1"/>
  <c r="F15" i="98" a="1"/>
  <c r="F15" i="98" s="1"/>
  <c r="A64" i="98" a="1"/>
  <c r="A64" i="98" s="1"/>
  <c r="F14" i="98" a="1"/>
  <c r="F14" i="98" s="1"/>
  <c r="A46" i="98" a="1"/>
  <c r="A46" i="98" s="1"/>
  <c r="F35" i="98" a="1"/>
  <c r="F35" i="98" s="1"/>
  <c r="A8" i="98" a="1"/>
  <c r="A8" i="98" s="1"/>
  <c r="E8" i="98" s="1"/>
  <c r="F74" i="98" a="1"/>
  <c r="F74" i="98" s="1"/>
  <c r="A15" i="98" a="1"/>
  <c r="A15" i="98" s="1"/>
  <c r="A75" i="98" a="1"/>
  <c r="A75" i="98" s="1"/>
  <c r="F66" i="98" a="1"/>
  <c r="F66" i="98" s="1"/>
  <c r="A48" i="98" a="1"/>
  <c r="A48" i="98" s="1"/>
  <c r="A45" i="98" a="1"/>
  <c r="A45" i="98" s="1"/>
  <c r="F6" i="98" a="1"/>
  <c r="F6" i="98" s="1"/>
  <c r="F78" i="98" a="1"/>
  <c r="F78" i="98" s="1"/>
  <c r="F58" i="98" a="1"/>
  <c r="F58" i="98" s="1"/>
  <c r="A26" i="98" a="1"/>
  <c r="A26" i="98" s="1"/>
  <c r="F60" i="98" a="1"/>
  <c r="F60" i="98" s="1"/>
  <c r="F37" i="98" a="1"/>
  <c r="F37" i="98" s="1"/>
  <c r="F20" i="98" a="1"/>
  <c r="F20" i="98" s="1"/>
  <c r="F34" i="98" a="1"/>
  <c r="F34" i="98" s="1"/>
  <c r="F73" i="98" a="1"/>
  <c r="F73" i="98" s="1"/>
  <c r="A43" i="98" a="1"/>
  <c r="A43" i="98" s="1"/>
  <c r="A31" i="98" a="1"/>
  <c r="A31" i="98" s="1"/>
  <c r="F57" i="98" a="1"/>
  <c r="F57" i="98" s="1"/>
  <c r="F50" i="98" a="1"/>
  <c r="F50" i="98" s="1"/>
  <c r="A63" i="98" a="1"/>
  <c r="A63" i="98" s="1"/>
  <c r="A40" i="98" a="1"/>
  <c r="A40" i="98" s="1"/>
  <c r="F28" i="98" a="1"/>
  <c r="F28" i="98" s="1"/>
  <c r="A73" i="98" a="1"/>
  <c r="A73" i="98" s="1"/>
  <c r="F38" i="98" a="1"/>
  <c r="F38" i="98" s="1"/>
  <c r="A83" i="98" a="1"/>
  <c r="A83" i="98" s="1"/>
  <c r="F32" i="98" a="1"/>
  <c r="F32" i="98" s="1"/>
  <c r="F75" i="98" a="1"/>
  <c r="F75" i="98" s="1"/>
  <c r="F55" i="98" a="1"/>
  <c r="F55" i="98" s="1"/>
  <c r="A67" i="98" a="1"/>
  <c r="A67" i="98" s="1"/>
  <c r="F77" i="98" a="1"/>
  <c r="F77" i="98" s="1"/>
  <c r="F7" i="98" a="1"/>
  <c r="F7" i="98" s="1"/>
  <c r="F47" i="98" a="1"/>
  <c r="F47" i="98" s="1"/>
  <c r="A81" i="98" a="1"/>
  <c r="A81" i="98" s="1"/>
  <c r="F13" i="98" a="1"/>
  <c r="F13" i="98" s="1"/>
  <c r="F53" i="98" a="1"/>
  <c r="F53" i="98" s="1"/>
  <c r="A68" i="98" a="1"/>
  <c r="A68" i="98" s="1"/>
  <c r="A13" i="98" a="1"/>
  <c r="A13" i="98" s="1"/>
  <c r="E13" i="98" s="1"/>
  <c r="F29" i="98" a="1"/>
  <c r="F29" i="98" s="1"/>
  <c r="A85" i="98" a="1"/>
  <c r="A85" i="98" s="1"/>
  <c r="F49" i="98" a="1"/>
  <c r="F49" i="98" s="1"/>
  <c r="F64" i="98" a="1"/>
  <c r="F64" i="98" s="1"/>
  <c r="F82" i="98" a="1"/>
  <c r="F82" i="98" s="1"/>
  <c r="A28" i="98" a="1"/>
  <c r="A28" i="98" s="1"/>
  <c r="A62" i="98" a="1"/>
  <c r="A62" i="98" s="1"/>
  <c r="F18" i="98" a="1"/>
  <c r="F18" i="98" s="1"/>
  <c r="F26" i="98" a="1"/>
  <c r="F26" i="98" s="1"/>
  <c r="K6" i="98"/>
  <c r="A6" i="98" s="1" a="1"/>
  <c r="A6" i="98" s="1"/>
  <c r="A27" i="98" a="1"/>
  <c r="A27" i="98" s="1"/>
  <c r="A49" i="98" a="1"/>
  <c r="A49" i="98" s="1"/>
  <c r="F56" i="98" a="1"/>
  <c r="F56" i="98" s="1"/>
  <c r="A57" i="98" a="1"/>
  <c r="A57" i="98" s="1"/>
  <c r="A19" i="98" a="1"/>
  <c r="A19" i="98" s="1"/>
  <c r="A65" i="98" a="1"/>
  <c r="A65" i="98" s="1"/>
  <c r="F22" i="98" a="1"/>
  <c r="F22" i="98" s="1"/>
  <c r="F27" i="98" a="1"/>
  <c r="F27" i="98" s="1"/>
  <c r="A41" i="98" a="1"/>
  <c r="A41" i="98" s="1"/>
  <c r="F39" i="98" a="1"/>
  <c r="F39" i="98" s="1"/>
  <c r="A18" i="98" a="1"/>
  <c r="A18" i="98" s="1"/>
  <c r="A25" i="98" a="1"/>
  <c r="A25" i="98" s="1"/>
  <c r="A50" i="98" a="1"/>
  <c r="A50" i="98" s="1"/>
  <c r="F51" i="98" a="1"/>
  <c r="F51" i="98" s="1"/>
  <c r="F85" i="98" a="1"/>
  <c r="F85" i="98" s="1"/>
  <c r="A71" i="98" a="1"/>
  <c r="A71" i="98" s="1"/>
  <c r="A33" i="98" a="1"/>
  <c r="A33" i="98" s="1"/>
  <c r="A36" i="98" a="1"/>
  <c r="A36" i="98" s="1"/>
  <c r="A22" i="98" a="1"/>
  <c r="A22" i="98" s="1"/>
  <c r="F17" i="98" a="1"/>
  <c r="F17" i="98" s="1"/>
  <c r="F68" i="98" a="1"/>
  <c r="F68" i="98" s="1"/>
  <c r="F45" i="98" a="1"/>
  <c r="F45" i="98" s="1"/>
  <c r="A39" i="98" a="1"/>
  <c r="A39" i="98" s="1"/>
  <c r="A38" i="98" a="1"/>
  <c r="A38" i="98" s="1"/>
  <c r="A77" i="98" a="1"/>
  <c r="A77" i="98" s="1"/>
  <c r="F71" i="98" a="1"/>
  <c r="F71" i="98" s="1"/>
  <c r="F62" i="98" a="1"/>
  <c r="F62" i="98" s="1"/>
  <c r="A55" i="98" a="1"/>
  <c r="A55" i="98" s="1"/>
  <c r="F65" i="98" a="1"/>
  <c r="F65" i="98" s="1"/>
  <c r="F63" i="98" a="1"/>
  <c r="F63" i="98" s="1"/>
  <c r="A23" i="98" a="1"/>
  <c r="A23" i="98" s="1"/>
  <c r="F31" i="98" a="1"/>
  <c r="F31" i="98" s="1"/>
  <c r="F10" i="98" a="1"/>
  <c r="F10" i="98" s="1"/>
  <c r="A59" i="98" a="1"/>
  <c r="A59" i="98" s="1"/>
  <c r="F12" i="98" a="1"/>
  <c r="F12" i="98" s="1"/>
  <c r="B12" i="98" s="1"/>
  <c r="F59" i="98" a="1"/>
  <c r="F59" i="98" s="1"/>
  <c r="A66" i="98" a="1"/>
  <c r="A66" i="98" s="1"/>
  <c r="A30" i="98" a="1"/>
  <c r="A30" i="98" s="1"/>
  <c r="F52" i="98" a="1"/>
  <c r="F52" i="98" s="1"/>
  <c r="A76" i="98" a="1"/>
  <c r="A76" i="98" s="1"/>
  <c r="A70" i="98" a="1"/>
  <c r="A70" i="98" s="1"/>
  <c r="A52" i="98" a="1"/>
  <c r="A52" i="98" s="1"/>
  <c r="F33" i="98" a="1"/>
  <c r="F33" i="98" s="1"/>
  <c r="F43" i="98" a="1"/>
  <c r="F43" i="98" s="1"/>
  <c r="F40" i="98" a="1"/>
  <c r="F40" i="98" s="1"/>
  <c r="A29" i="98" a="1"/>
  <c r="A29" i="98" s="1"/>
  <c r="A32" i="98" a="1"/>
  <c r="A32" i="98" s="1"/>
  <c r="F76" i="98" a="1"/>
  <c r="F76" i="98" s="1"/>
  <c r="A9" i="98" a="1"/>
  <c r="A9" i="98" s="1"/>
  <c r="A80" i="98" a="1"/>
  <c r="A80" i="98" s="1"/>
  <c r="A11" i="98" a="1"/>
  <c r="A11" i="98" s="1"/>
  <c r="A17" i="98" a="1"/>
  <c r="A17" i="98" s="1"/>
  <c r="A44" i="98" a="1"/>
  <c r="A44" i="98" s="1"/>
  <c r="F8" i="98" a="1"/>
  <c r="F8" i="98" s="1"/>
  <c r="F54" i="98" a="1"/>
  <c r="F54" i="98" s="1"/>
  <c r="A16" i="98" a="1"/>
  <c r="A16" i="98" s="1"/>
  <c r="F21" i="98" a="1"/>
  <c r="F21" i="98" s="1"/>
  <c r="F44" i="98" a="1"/>
  <c r="F44" i="98" s="1"/>
  <c r="A10" i="98" a="1"/>
  <c r="A10" i="98" s="1"/>
  <c r="A37" i="98" a="1"/>
  <c r="A37" i="98" s="1"/>
  <c r="A42" i="98" a="1"/>
  <c r="A42" i="98" s="1"/>
  <c r="A14" i="98" a="1"/>
  <c r="A14" i="98" s="1"/>
  <c r="A82" i="98" a="1"/>
  <c r="A82" i="98" s="1"/>
  <c r="A54" i="98" a="1"/>
  <c r="A54" i="98" s="1"/>
  <c r="F83" i="98" a="1"/>
  <c r="F83" i="98" s="1"/>
  <c r="F30" i="98" a="1"/>
  <c r="F30" i="98" s="1"/>
  <c r="F72" i="98" a="1"/>
  <c r="F72" i="98" s="1"/>
  <c r="F79" i="98" a="1"/>
  <c r="F79" i="98" s="1"/>
  <c r="F81" i="98" a="1"/>
  <c r="F81" i="98" s="1"/>
  <c r="F61" i="98" a="1"/>
  <c r="F61" i="98" s="1"/>
  <c r="F41" i="98" a="1"/>
  <c r="F41" i="98" s="1"/>
  <c r="F42" i="98" a="1"/>
  <c r="F42" i="98" s="1"/>
  <c r="A84" i="98" a="1"/>
  <c r="A84" i="98" s="1"/>
  <c r="A73" i="39" a="1"/>
  <c r="A73" i="39" s="1"/>
  <c r="G73" i="39" s="1"/>
  <c r="F74" i="39" a="1"/>
  <c r="F74" i="39" s="1"/>
  <c r="F60" i="39" a="1"/>
  <c r="F60" i="39" s="1"/>
  <c r="F81" i="39" a="1"/>
  <c r="F81" i="39" s="1"/>
  <c r="A26" i="39" a="1"/>
  <c r="A26" i="39" s="1"/>
  <c r="C26" i="39" s="1"/>
  <c r="F27" i="39" a="1"/>
  <c r="F27" i="39" s="1"/>
  <c r="F9" i="39" a="1"/>
  <c r="F9" i="39" s="1"/>
  <c r="F64" i="39" a="1"/>
  <c r="F64" i="39" s="1"/>
  <c r="A40" i="39" a="1"/>
  <c r="A40" i="39" s="1"/>
  <c r="A17" i="39" a="1"/>
  <c r="A17" i="39" s="1"/>
  <c r="E17" i="39" s="1"/>
  <c r="F39" i="39" a="1"/>
  <c r="F39" i="39" s="1"/>
  <c r="A45" i="39" a="1"/>
  <c r="A45" i="39" s="1"/>
  <c r="C45" i="39" s="1"/>
  <c r="A16" i="39" a="1"/>
  <c r="A16" i="39" s="1"/>
  <c r="G16" i="39" s="1"/>
  <c r="A12" i="98" a="1"/>
  <c r="A12" i="98" s="1"/>
  <c r="A60" i="98" a="1"/>
  <c r="A60" i="98" s="1"/>
  <c r="E60" i="98" s="1"/>
  <c r="F25" i="99" a="1"/>
  <c r="F25" i="99" s="1"/>
  <c r="W22" i="101"/>
  <c r="W45" i="101"/>
  <c r="W51" i="101"/>
  <c r="W15" i="101"/>
  <c r="W9" i="101"/>
  <c r="W29" i="101"/>
  <c r="W38" i="101"/>
  <c r="W8" i="101"/>
  <c r="W54" i="101"/>
  <c r="W14" i="101"/>
  <c r="W11" i="101"/>
  <c r="W33" i="101"/>
  <c r="W23" i="101"/>
  <c r="W48" i="101"/>
  <c r="W35" i="101"/>
  <c r="W24" i="101"/>
  <c r="W42" i="101"/>
  <c r="W6" i="101"/>
  <c r="W36" i="101"/>
  <c r="W37" i="101"/>
  <c r="W43" i="101"/>
  <c r="W10" i="101"/>
  <c r="W31" i="101"/>
  <c r="W30" i="101"/>
  <c r="W40" i="101"/>
  <c r="W49" i="101"/>
  <c r="W53" i="101"/>
  <c r="W7" i="101"/>
  <c r="W20" i="101"/>
  <c r="W32" i="101"/>
  <c r="W18" i="101"/>
  <c r="W21" i="101"/>
  <c r="W44" i="101"/>
  <c r="W50" i="101"/>
  <c r="W19" i="101"/>
  <c r="W5" i="101"/>
  <c r="W17" i="101"/>
  <c r="W26" i="101"/>
  <c r="W41" i="101"/>
  <c r="W28" i="101"/>
  <c r="W13" i="101"/>
  <c r="W52" i="101"/>
  <c r="W16" i="101"/>
  <c r="W46" i="101"/>
  <c r="W34" i="101"/>
  <c r="W12" i="101"/>
  <c r="W27" i="101"/>
  <c r="W25" i="101"/>
  <c r="W39" i="101"/>
  <c r="W47" i="101"/>
  <c r="E164" i="101"/>
  <c r="F164" i="101" a="1"/>
  <c r="F164" i="101" s="1"/>
  <c r="C164" i="101"/>
  <c r="D164" i="101"/>
  <c r="I164" i="101"/>
  <c r="F25" i="21" a="1"/>
  <c r="F25" i="21" s="1"/>
  <c r="A23" i="21" a="1"/>
  <c r="A23" i="21" s="1"/>
  <c r="A68" i="21" a="1"/>
  <c r="A68" i="21" s="1"/>
  <c r="A77" i="21" a="1"/>
  <c r="A77" i="21" s="1"/>
  <c r="F73" i="21" a="1"/>
  <c r="F73" i="21" s="1"/>
  <c r="F82" i="21" a="1"/>
  <c r="F82" i="21" s="1"/>
  <c r="A45" i="21" a="1"/>
  <c r="A45" i="21" s="1"/>
  <c r="F17" i="21" a="1"/>
  <c r="F17" i="21" s="1"/>
  <c r="A82" i="21" a="1"/>
  <c r="A82" i="21" s="1"/>
  <c r="A10" i="21" a="1"/>
  <c r="A10" i="21" s="1"/>
  <c r="A26" i="21" a="1"/>
  <c r="A26" i="21" s="1"/>
  <c r="F76" i="21" a="1"/>
  <c r="F76" i="21" s="1"/>
  <c r="A13" i="21" a="1"/>
  <c r="A13" i="21" s="1"/>
  <c r="A24" i="21" a="1"/>
  <c r="A24" i="21" s="1"/>
  <c r="F62" i="21" a="1"/>
  <c r="F62" i="21" s="1"/>
  <c r="F9" i="21" a="1"/>
  <c r="F9" i="21" s="1"/>
  <c r="A52" i="21" a="1"/>
  <c r="A52" i="21" s="1"/>
  <c r="F58" i="21" a="1"/>
  <c r="F58" i="21" s="1"/>
  <c r="F85" i="21" a="1"/>
  <c r="F85" i="21" s="1"/>
  <c r="A66" i="21" a="1"/>
  <c r="A66" i="21" s="1"/>
  <c r="A41" i="21" a="1"/>
  <c r="A41" i="21" s="1"/>
  <c r="F54" i="21" a="1"/>
  <c r="F54" i="21" s="1"/>
  <c r="A30" i="21" a="1"/>
  <c r="A30" i="21" s="1"/>
  <c r="F57" i="21" a="1"/>
  <c r="F57" i="21" s="1"/>
  <c r="A9" i="21" a="1"/>
  <c r="A9" i="21" s="1"/>
  <c r="A40" i="21" a="1"/>
  <c r="A40" i="21" s="1"/>
  <c r="A37" i="21" a="1"/>
  <c r="A37" i="21" s="1"/>
  <c r="F65" i="21" a="1"/>
  <c r="F65" i="21" s="1"/>
  <c r="A25" i="21" a="1"/>
  <c r="A25" i="21" s="1"/>
  <c r="F50" i="21" a="1"/>
  <c r="F50" i="21" s="1"/>
  <c r="F40" i="21" a="1"/>
  <c r="F40" i="21" s="1"/>
  <c r="F14" i="21" a="1"/>
  <c r="F14" i="21" s="1"/>
  <c r="A11" i="21" a="1"/>
  <c r="A11" i="21" s="1"/>
  <c r="F16" i="21" a="1"/>
  <c r="F16" i="21" s="1"/>
  <c r="F15" i="21" a="1"/>
  <c r="F15" i="21" s="1"/>
  <c r="F55" i="21" a="1"/>
  <c r="F55" i="21" s="1"/>
  <c r="F28" i="21" a="1"/>
  <c r="F28" i="21" s="1"/>
  <c r="A67" i="21" a="1"/>
  <c r="A67" i="21" s="1"/>
  <c r="A7" i="21" a="1"/>
  <c r="A7" i="21" s="1"/>
  <c r="F26" i="21" a="1"/>
  <c r="F26" i="21" s="1"/>
  <c r="F19" i="21" a="1"/>
  <c r="F19" i="21" s="1"/>
  <c r="K6" i="21"/>
  <c r="A6" i="21" s="1" a="1"/>
  <c r="A6" i="21" s="1"/>
  <c r="A22" i="21" a="1"/>
  <c r="A22" i="21" s="1"/>
  <c r="F12" i="21" a="1"/>
  <c r="F12" i="21" s="1"/>
  <c r="A43" i="21" a="1"/>
  <c r="A43" i="21" s="1"/>
  <c r="F35" i="21" a="1"/>
  <c r="F35" i="21" s="1"/>
  <c r="A35" i="21" a="1"/>
  <c r="A35" i="21" s="1"/>
  <c r="A21" i="21" a="1"/>
  <c r="A21" i="21" s="1"/>
  <c r="F56" i="21" a="1"/>
  <c r="F56" i="21" s="1"/>
  <c r="A54" i="21" a="1"/>
  <c r="A54" i="21" s="1"/>
  <c r="A73" i="21" a="1"/>
  <c r="A73" i="21" s="1"/>
  <c r="F47" i="21" a="1"/>
  <c r="F47" i="21" s="1"/>
  <c r="A32" i="21" a="1"/>
  <c r="A32" i="21" s="1"/>
  <c r="F80" i="21" a="1"/>
  <c r="F80" i="21" s="1"/>
  <c r="F60" i="21" a="1"/>
  <c r="F60" i="21" s="1"/>
  <c r="A39" i="21" a="1"/>
  <c r="A39" i="21" s="1"/>
  <c r="A57" i="21" a="1"/>
  <c r="A57" i="21" s="1"/>
  <c r="A15" i="21" a="1"/>
  <c r="A15" i="21" s="1"/>
  <c r="A61" i="21" a="1"/>
  <c r="A61" i="21" s="1"/>
  <c r="F53" i="21" a="1"/>
  <c r="F53" i="21" s="1"/>
  <c r="A80" i="21" a="1"/>
  <c r="A80" i="21" s="1"/>
  <c r="F22" i="21" a="1"/>
  <c r="F22" i="21" s="1"/>
  <c r="A14" i="21" a="1"/>
  <c r="A14" i="21" s="1"/>
  <c r="A81" i="21" a="1"/>
  <c r="A81" i="21" s="1"/>
  <c r="A34" i="21" a="1"/>
  <c r="A34" i="21" s="1"/>
  <c r="F70" i="21" a="1"/>
  <c r="F70" i="21" s="1"/>
  <c r="A78" i="21" a="1"/>
  <c r="A78" i="21" s="1"/>
  <c r="A65" i="21" a="1"/>
  <c r="A65" i="21" s="1"/>
  <c r="F37" i="21" a="1"/>
  <c r="F37" i="21" s="1"/>
  <c r="A16" i="21" a="1"/>
  <c r="A16" i="21" s="1"/>
  <c r="F8" i="21" a="1"/>
  <c r="F8" i="21" s="1"/>
  <c r="A58" i="21" a="1"/>
  <c r="A58" i="21" s="1"/>
  <c r="F39" i="21" a="1"/>
  <c r="F39" i="21" s="1"/>
  <c r="A70" i="21" a="1"/>
  <c r="A70" i="21" s="1"/>
  <c r="F13" i="21" a="1"/>
  <c r="F13" i="21" s="1"/>
  <c r="F77" i="21" a="1"/>
  <c r="F77" i="21" s="1"/>
  <c r="F10" i="21" a="1"/>
  <c r="F10" i="21" s="1"/>
  <c r="A42" i="21" a="1"/>
  <c r="A42" i="21" s="1"/>
  <c r="F24" i="21" a="1"/>
  <c r="F24" i="21" s="1"/>
  <c r="A62" i="21" a="1"/>
  <c r="A62" i="21" s="1"/>
  <c r="F41" i="21" a="1"/>
  <c r="F41" i="21" s="1"/>
  <c r="F59" i="21" a="1"/>
  <c r="F59" i="21" s="1"/>
  <c r="F45" i="21" a="1"/>
  <c r="F45" i="21" s="1"/>
  <c r="F48" i="21" a="1"/>
  <c r="F48" i="21" s="1"/>
  <c r="F33" i="21" a="1"/>
  <c r="F33" i="21" s="1"/>
  <c r="A31" i="21" a="1"/>
  <c r="A31" i="21" s="1"/>
  <c r="F66" i="21" a="1"/>
  <c r="F66" i="21" s="1"/>
  <c r="A64" i="21" a="1"/>
  <c r="A64" i="21" s="1"/>
  <c r="A85" i="21" a="1"/>
  <c r="A85" i="21" s="1"/>
  <c r="A76" i="21" a="1"/>
  <c r="A76" i="21" s="1"/>
  <c r="F21" i="21" a="1"/>
  <c r="F21" i="21" s="1"/>
  <c r="F67" i="21" a="1"/>
  <c r="F67" i="21" s="1"/>
  <c r="F74" i="21" a="1"/>
  <c r="F74" i="21" s="1"/>
  <c r="A20" i="21" a="1"/>
  <c r="A20" i="21" s="1"/>
  <c r="A75" i="21" a="1"/>
  <c r="A75" i="21" s="1"/>
  <c r="F36" i="21" a="1"/>
  <c r="F36" i="21" s="1"/>
  <c r="F83" i="21" a="1"/>
  <c r="F83" i="21" s="1"/>
  <c r="F68" i="21" a="1"/>
  <c r="F68" i="21" s="1"/>
  <c r="A50" i="21" a="1"/>
  <c r="A50" i="21" s="1"/>
  <c r="A59" i="21" a="1"/>
  <c r="A59" i="21" s="1"/>
  <c r="F29" i="21" a="1"/>
  <c r="F29" i="21" s="1"/>
  <c r="F42" i="21" a="1"/>
  <c r="F42" i="21" s="1"/>
  <c r="A49" i="21" a="1"/>
  <c r="A49" i="21" s="1"/>
  <c r="F18" i="21" a="1"/>
  <c r="F18" i="21" s="1"/>
  <c r="A55" i="21" a="1"/>
  <c r="A55" i="21" s="1"/>
  <c r="F71" i="21" a="1"/>
  <c r="F71" i="21" s="1"/>
  <c r="F30" i="21" a="1"/>
  <c r="F30" i="21" s="1"/>
  <c r="E5" i="21"/>
  <c r="F7" i="21" a="1"/>
  <c r="F7" i="21" s="1"/>
  <c r="A79" i="21" a="1"/>
  <c r="A79" i="21" s="1"/>
  <c r="F11" i="21" a="1"/>
  <c r="F11" i="21" s="1"/>
  <c r="A29" i="21" a="1"/>
  <c r="A29" i="21" s="1"/>
  <c r="A8" i="21" a="1"/>
  <c r="A8" i="21" s="1"/>
  <c r="F43" i="21" a="1"/>
  <c r="F43" i="21" s="1"/>
  <c r="A28" i="21" a="1"/>
  <c r="A28" i="21" s="1"/>
  <c r="A48" i="21" a="1"/>
  <c r="A48" i="21" s="1"/>
  <c r="A36" i="21" a="1"/>
  <c r="A36" i="21" s="1"/>
  <c r="A60" i="21" a="1"/>
  <c r="A60" i="21" s="1"/>
  <c r="A74" i="21" a="1"/>
  <c r="A74" i="21" s="1"/>
  <c r="A46" i="21" a="1"/>
  <c r="A46" i="21" s="1"/>
  <c r="F49" i="21" a="1"/>
  <c r="F49" i="21" s="1"/>
  <c r="A27" i="21" a="1"/>
  <c r="A27" i="21" s="1"/>
  <c r="F34" i="21" a="1"/>
  <c r="F34" i="21" s="1"/>
  <c r="F52" i="21" a="1"/>
  <c r="F52" i="21" s="1"/>
  <c r="F75" i="21" a="1"/>
  <c r="F75" i="21" s="1"/>
  <c r="F72" i="21" a="1"/>
  <c r="F72" i="21" s="1"/>
  <c r="A83" i="21" a="1"/>
  <c r="A83" i="21" s="1"/>
  <c r="F23" i="21" a="1"/>
  <c r="F23" i="21" s="1"/>
  <c r="A56" i="21" a="1"/>
  <c r="A56" i="21" s="1"/>
  <c r="A71" i="21" a="1"/>
  <c r="A71" i="21" s="1"/>
  <c r="F31" i="21" a="1"/>
  <c r="F31" i="21" s="1"/>
  <c r="F38" i="21" a="1"/>
  <c r="F38" i="21" s="1"/>
  <c r="F51" i="21" a="1"/>
  <c r="F51" i="21" s="1"/>
  <c r="F61" i="21" a="1"/>
  <c r="F61" i="21" s="1"/>
  <c r="A19" i="21" a="1"/>
  <c r="A19" i="21" s="1"/>
  <c r="F84" i="21" a="1"/>
  <c r="F84" i="21" s="1"/>
  <c r="A17" i="21" a="1"/>
  <c r="A17" i="21" s="1"/>
  <c r="A84" i="21" a="1"/>
  <c r="A84" i="21" s="1"/>
  <c r="F69" i="21" a="1"/>
  <c r="F69" i="21" s="1"/>
  <c r="F81" i="21" a="1"/>
  <c r="F81" i="21" s="1"/>
  <c r="A18" i="21" a="1"/>
  <c r="A18" i="21" s="1"/>
  <c r="A12" i="21" a="1"/>
  <c r="A12" i="21" s="1"/>
  <c r="A38" i="21" a="1"/>
  <c r="A38" i="21" s="1"/>
  <c r="F64" i="21" a="1"/>
  <c r="F64" i="21" s="1"/>
  <c r="F6" i="21" a="1"/>
  <c r="F6" i="21" s="1"/>
  <c r="A44" i="21" a="1"/>
  <c r="A44" i="21" s="1"/>
  <c r="F20" i="21" a="1"/>
  <c r="F20" i="21" s="1"/>
  <c r="A69" i="21" a="1"/>
  <c r="A69" i="21" s="1"/>
  <c r="F44" i="21" a="1"/>
  <c r="F44" i="21" s="1"/>
  <c r="A63" i="21" a="1"/>
  <c r="A63" i="21" s="1"/>
  <c r="F79" i="21" a="1"/>
  <c r="F79" i="21" s="1"/>
  <c r="A51" i="21" a="1"/>
  <c r="A51" i="21" s="1"/>
  <c r="A53" i="21" a="1"/>
  <c r="A53" i="21" s="1"/>
  <c r="F78" i="21" a="1"/>
  <c r="F78" i="21" s="1"/>
  <c r="F27" i="21" a="1"/>
  <c r="F27" i="21" s="1"/>
  <c r="F63" i="21" a="1"/>
  <c r="F63" i="21" s="1"/>
  <c r="B70" i="48" a="1"/>
  <c r="B70" i="48" s="1"/>
  <c r="B292" i="48" a="1"/>
  <c r="B292" i="48" s="1"/>
  <c r="J286" i="48" a="1"/>
  <c r="J286" i="48" s="1"/>
  <c r="J38" i="48" a="1"/>
  <c r="J38" i="48" s="1"/>
  <c r="J39" i="48" a="1"/>
  <c r="J39" i="48" s="1"/>
  <c r="A69" i="48" a="1"/>
  <c r="A69" i="48" s="1"/>
  <c r="P6" i="48"/>
  <c r="A6" i="48" s="1" a="1"/>
  <c r="A6" i="48" s="1"/>
  <c r="A221" i="48" a="1"/>
  <c r="A221" i="48" s="1"/>
  <c r="B222" i="48" a="1"/>
  <c r="B222" i="48" s="1"/>
  <c r="B35" i="48" a="1"/>
  <c r="B35" i="48" s="1"/>
  <c r="B276" i="48" a="1"/>
  <c r="B276" i="48" s="1"/>
  <c r="J228" i="48" a="1"/>
  <c r="J228" i="48" s="1"/>
  <c r="B230" i="48" a="1"/>
  <c r="B230" i="48" s="1"/>
  <c r="A265" i="48" a="1"/>
  <c r="A265" i="48" s="1"/>
  <c r="B32" i="48" a="1"/>
  <c r="B32" i="48" s="1"/>
  <c r="J65" i="48" a="1"/>
  <c r="J65" i="48" s="1"/>
  <c r="J243" i="48" a="1"/>
  <c r="J243" i="48" s="1"/>
  <c r="A231" i="48" a="1"/>
  <c r="A231" i="48" s="1"/>
  <c r="J17" i="48" a="1"/>
  <c r="J17" i="48" s="1"/>
  <c r="B282" i="48" a="1"/>
  <c r="B282" i="48" s="1"/>
  <c r="J47" i="48" a="1"/>
  <c r="J47" i="48" s="1"/>
  <c r="B167" i="48" a="1"/>
  <c r="B167" i="48" s="1"/>
  <c r="J36" i="48" a="1"/>
  <c r="J36" i="48" s="1"/>
  <c r="J187" i="48" a="1"/>
  <c r="J187" i="48" s="1"/>
  <c r="A103" i="48" a="1"/>
  <c r="A103" i="48" s="1"/>
  <c r="B6" i="48" a="1"/>
  <c r="B6" i="48" s="1"/>
  <c r="B37" i="48" a="1"/>
  <c r="B37" i="48" s="1"/>
  <c r="J328" i="48" a="1"/>
  <c r="J328" i="48" s="1"/>
  <c r="B146" i="48" a="1"/>
  <c r="B146" i="48" s="1"/>
  <c r="A339" i="48" a="1"/>
  <c r="A339" i="48" s="1"/>
  <c r="A205" i="48" a="1"/>
  <c r="A205" i="48" s="1"/>
  <c r="A307" i="48" a="1"/>
  <c r="A307" i="48" s="1"/>
  <c r="J194" i="48" a="1"/>
  <c r="J194" i="48" s="1"/>
  <c r="A63" i="48" a="1"/>
  <c r="A63" i="48" s="1"/>
  <c r="J133" i="48" a="1"/>
  <c r="J133" i="48" s="1"/>
  <c r="A342" i="48" a="1"/>
  <c r="A342" i="48" s="1"/>
  <c r="B88" i="48" a="1"/>
  <c r="B88" i="48" s="1"/>
  <c r="B321" i="48" a="1"/>
  <c r="B321" i="48" s="1"/>
  <c r="J157" i="48" a="1"/>
  <c r="J157" i="48" s="1"/>
  <c r="J166" i="48" a="1"/>
  <c r="J166" i="48" s="1"/>
  <c r="J273" i="48" a="1"/>
  <c r="J273" i="48" s="1"/>
  <c r="B192" i="48" a="1"/>
  <c r="B192" i="48" s="1"/>
  <c r="B129" i="48" a="1"/>
  <c r="B129" i="48" s="1"/>
  <c r="B38" i="48" a="1"/>
  <c r="B38" i="48" s="1"/>
  <c r="J52" i="48" a="1"/>
  <c r="J52" i="48" s="1"/>
  <c r="J22" i="48" a="1"/>
  <c r="J22" i="48" s="1"/>
  <c r="A317" i="48" a="1"/>
  <c r="A317" i="48" s="1"/>
  <c r="J178" i="48" a="1"/>
  <c r="J178" i="48" s="1"/>
  <c r="A46" i="48" a="1"/>
  <c r="A46" i="48" s="1"/>
  <c r="B147" i="48" a="1"/>
  <c r="B147" i="48" s="1"/>
  <c r="J132" i="48" a="1"/>
  <c r="J132" i="48" s="1"/>
  <c r="J70" i="48" a="1"/>
  <c r="J70" i="48" s="1"/>
  <c r="B12" i="48" a="1"/>
  <c r="B12" i="48" s="1"/>
  <c r="A249" i="48" a="1"/>
  <c r="A249" i="48" s="1"/>
  <c r="A194" i="48" a="1"/>
  <c r="A194" i="48" s="1"/>
  <c r="A120" i="48" a="1"/>
  <c r="A120" i="48" s="1"/>
  <c r="J323" i="48" a="1"/>
  <c r="J323" i="48" s="1"/>
  <c r="B281" i="48" a="1"/>
  <c r="B281" i="48" s="1"/>
  <c r="J324" i="48" a="1"/>
  <c r="J324" i="48" s="1"/>
  <c r="A261" i="48" a="1"/>
  <c r="A261" i="48" s="1"/>
  <c r="B271" i="48" a="1"/>
  <c r="B271" i="48" s="1"/>
  <c r="J150" i="48" a="1"/>
  <c r="J150" i="48" s="1"/>
  <c r="A223" i="48" a="1"/>
  <c r="A223" i="48" s="1"/>
  <c r="A341" i="48" a="1"/>
  <c r="A341" i="48" s="1"/>
  <c r="A229" i="48" a="1"/>
  <c r="A229" i="48" s="1"/>
  <c r="J76" i="48" a="1"/>
  <c r="J76" i="48" s="1"/>
  <c r="B153" i="48" a="1"/>
  <c r="B153" i="48" s="1"/>
  <c r="A328" i="48" a="1"/>
  <c r="A328" i="48" s="1"/>
  <c r="J260" i="48" a="1"/>
  <c r="J260" i="48" s="1"/>
  <c r="J26" i="48" a="1"/>
  <c r="J26" i="48" s="1"/>
  <c r="B46" i="48" a="1"/>
  <c r="B46" i="48" s="1"/>
  <c r="B210" i="48" a="1"/>
  <c r="B210" i="48" s="1"/>
  <c r="J292" i="48" a="1"/>
  <c r="J292" i="48" s="1"/>
  <c r="J8" i="48" a="1"/>
  <c r="J8" i="48" s="1"/>
  <c r="B16" i="48" a="1"/>
  <c r="B16" i="48" s="1"/>
  <c r="A202" i="48" a="1"/>
  <c r="A202" i="48" s="1"/>
  <c r="A12" i="48" a="1"/>
  <c r="A12" i="48" s="1"/>
  <c r="A30" i="48" a="1"/>
  <c r="A30" i="48" s="1"/>
  <c r="B52" i="48" a="1"/>
  <c r="B52" i="48" s="1"/>
  <c r="B232" i="48" a="1"/>
  <c r="B232" i="48" s="1"/>
  <c r="J164" i="48" a="1"/>
  <c r="J164" i="48" s="1"/>
  <c r="B285" i="48" a="1"/>
  <c r="B285" i="48" s="1"/>
  <c r="J102" i="48" a="1"/>
  <c r="J102" i="48" s="1"/>
  <c r="B50" i="48" a="1"/>
  <c r="B50" i="48" s="1"/>
  <c r="B279" i="48" a="1"/>
  <c r="B279" i="48" s="1"/>
  <c r="J97" i="48" a="1"/>
  <c r="J97" i="48" s="1"/>
  <c r="A217" i="48" a="1"/>
  <c r="A217" i="48" s="1"/>
  <c r="A36" i="48" a="1"/>
  <c r="A36" i="48" s="1"/>
  <c r="J25" i="48" a="1"/>
  <c r="J25" i="48" s="1"/>
  <c r="B137" i="48" a="1"/>
  <c r="B137" i="48" s="1"/>
  <c r="B225" i="48" a="1"/>
  <c r="B225" i="48" s="1"/>
  <c r="A344" i="48" a="1"/>
  <c r="A344" i="48" s="1"/>
  <c r="J151" i="48" a="1"/>
  <c r="J151" i="48" s="1"/>
  <c r="J15" i="48" a="1"/>
  <c r="J15" i="48" s="1"/>
  <c r="J340" i="48" a="1"/>
  <c r="J340" i="48" s="1"/>
  <c r="A87" i="48" a="1"/>
  <c r="A87" i="48" s="1"/>
  <c r="J137" i="48" a="1"/>
  <c r="J137" i="48" s="1"/>
  <c r="J353" i="48" a="1"/>
  <c r="J353" i="48" s="1"/>
  <c r="A196" i="48" a="1"/>
  <c r="A196" i="48" s="1"/>
  <c r="A88" i="48" a="1"/>
  <c r="A88" i="48" s="1"/>
  <c r="J58" i="48" a="1"/>
  <c r="J58" i="48" s="1"/>
  <c r="J190" i="48" a="1"/>
  <c r="J190" i="48" s="1"/>
  <c r="J169" i="48" a="1"/>
  <c r="J169" i="48" s="1"/>
  <c r="B177" i="48" a="1"/>
  <c r="B177" i="48" s="1"/>
  <c r="J200" i="48" a="1"/>
  <c r="J200" i="48" s="1"/>
  <c r="B61" i="48" a="1"/>
  <c r="B61" i="48" s="1"/>
  <c r="J226" i="48" a="1"/>
  <c r="J226" i="48" s="1"/>
  <c r="A11" i="48" a="1"/>
  <c r="A11" i="48" s="1"/>
  <c r="B333" i="48" a="1"/>
  <c r="B333" i="48" s="1"/>
  <c r="J159" i="48" a="1"/>
  <c r="J159" i="48" s="1"/>
  <c r="B173" i="48" a="1"/>
  <c r="B173" i="48" s="1"/>
  <c r="B286" i="48" a="1"/>
  <c r="B286" i="48" s="1"/>
  <c r="J107" i="48" a="1"/>
  <c r="J107" i="48" s="1"/>
  <c r="J230" i="48" a="1"/>
  <c r="J230" i="48" s="1"/>
  <c r="A73" i="48" a="1"/>
  <c r="A73" i="48" s="1"/>
  <c r="J300" i="48" a="1"/>
  <c r="J300" i="48" s="1"/>
  <c r="A269" i="48" a="1"/>
  <c r="A269" i="48" s="1"/>
  <c r="B118" i="48" a="1"/>
  <c r="B118" i="48" s="1"/>
  <c r="J49" i="48" a="1"/>
  <c r="J49" i="48" s="1"/>
  <c r="B77" i="48" a="1"/>
  <c r="B77" i="48" s="1"/>
  <c r="J335" i="48" a="1"/>
  <c r="J335" i="48" s="1"/>
  <c r="J302" i="48" a="1"/>
  <c r="J302" i="48" s="1"/>
  <c r="B182" i="48" a="1"/>
  <c r="B182" i="48" s="1"/>
  <c r="A285" i="48" a="1"/>
  <c r="A285" i="48" s="1"/>
  <c r="B136" i="48" a="1"/>
  <c r="B136" i="48" s="1"/>
  <c r="A159" i="48" a="1"/>
  <c r="A159" i="48" s="1"/>
  <c r="J213" i="48" a="1"/>
  <c r="J213" i="48" s="1"/>
  <c r="J276" i="48" a="1"/>
  <c r="J276" i="48" s="1"/>
  <c r="A324" i="48" a="1"/>
  <c r="A324" i="48" s="1"/>
  <c r="J83" i="48" a="1"/>
  <c r="J83" i="48" s="1"/>
  <c r="B320" i="48" a="1"/>
  <c r="B320" i="48" s="1"/>
  <c r="B199" i="48" a="1"/>
  <c r="B199" i="48" s="1"/>
  <c r="J158" i="48" a="1"/>
  <c r="J158" i="48" s="1"/>
  <c r="B332" i="48" a="1"/>
  <c r="B332" i="48" s="1"/>
  <c r="B76" i="48" a="1"/>
  <c r="B76" i="48" s="1"/>
  <c r="A58" i="48" a="1"/>
  <c r="A58" i="48" s="1"/>
  <c r="J352" i="48" a="1"/>
  <c r="J352" i="48" s="1"/>
  <c r="B73" i="48" a="1"/>
  <c r="B73" i="48" s="1"/>
  <c r="B29" i="48" a="1"/>
  <c r="B29" i="48" s="1"/>
  <c r="A211" i="48" a="1"/>
  <c r="A211" i="48" s="1"/>
  <c r="J162" i="48" a="1"/>
  <c r="J162" i="48" s="1"/>
  <c r="J255" i="48" a="1"/>
  <c r="J255" i="48" s="1"/>
  <c r="B9" i="48" a="1"/>
  <c r="B9" i="48" s="1"/>
  <c r="J221" i="48" a="1"/>
  <c r="J221" i="48" s="1"/>
  <c r="A224" i="48" a="1"/>
  <c r="A224" i="48" s="1"/>
  <c r="A86" i="48" a="1"/>
  <c r="A86" i="48" s="1"/>
  <c r="A143" i="48" a="1"/>
  <c r="A143" i="48" s="1"/>
  <c r="A15" i="48" a="1"/>
  <c r="A15" i="48" s="1"/>
  <c r="B189" i="48" a="1"/>
  <c r="B189" i="48" s="1"/>
  <c r="A64" i="48" a="1"/>
  <c r="A64" i="48" s="1"/>
  <c r="A24" i="48" a="1"/>
  <c r="A24" i="48" s="1"/>
  <c r="J186" i="48" a="1"/>
  <c r="J186" i="48" s="1"/>
  <c r="B204" i="48" a="1"/>
  <c r="B204" i="48" s="1"/>
  <c r="A238" i="48" a="1"/>
  <c r="A238" i="48" s="1"/>
  <c r="J78" i="48" a="1"/>
  <c r="J78" i="48" s="1"/>
  <c r="J140" i="48" a="1"/>
  <c r="J140" i="48" s="1"/>
  <c r="J121" i="48" a="1"/>
  <c r="J121" i="48" s="1"/>
  <c r="J53" i="48" a="1"/>
  <c r="J53" i="48" s="1"/>
  <c r="B161" i="48" a="1"/>
  <c r="B161" i="48" s="1"/>
  <c r="J282" i="48" a="1"/>
  <c r="J282" i="48" s="1"/>
  <c r="B214" i="48" a="1"/>
  <c r="B214" i="48" s="1"/>
  <c r="B126" i="48" a="1"/>
  <c r="B126" i="48" s="1"/>
  <c r="A189" i="48" a="1"/>
  <c r="A189" i="48" s="1"/>
  <c r="J277" i="48" a="1"/>
  <c r="J277" i="48" s="1"/>
  <c r="A177" i="48" a="1"/>
  <c r="A177" i="48" s="1"/>
  <c r="B328" i="48" a="1"/>
  <c r="B328" i="48" s="1"/>
  <c r="B256" i="48" a="1"/>
  <c r="B256" i="48" s="1"/>
  <c r="J98" i="48" a="1"/>
  <c r="J98" i="48" s="1"/>
  <c r="J348" i="48" a="1"/>
  <c r="J348" i="48" s="1"/>
  <c r="J279" i="48" a="1"/>
  <c r="J279" i="48" s="1"/>
  <c r="A287" i="48" a="1"/>
  <c r="A287" i="48" s="1"/>
  <c r="J27" i="48" a="1"/>
  <c r="J27" i="48" s="1"/>
  <c r="B323" i="48" a="1"/>
  <c r="B323" i="48" s="1"/>
  <c r="A93" i="48" a="1"/>
  <c r="A93" i="48" s="1"/>
  <c r="J174" i="48" a="1"/>
  <c r="J174" i="48" s="1"/>
  <c r="B273" i="48" a="1"/>
  <c r="B273" i="48" s="1"/>
  <c r="J21" i="48" a="1"/>
  <c r="J21" i="48" s="1"/>
  <c r="J73" i="48" a="1"/>
  <c r="J73" i="48" s="1"/>
  <c r="B96" i="48" a="1"/>
  <c r="B96" i="48" s="1"/>
  <c r="J355" i="48" a="1"/>
  <c r="J355" i="48" s="1"/>
  <c r="B351" i="48" a="1"/>
  <c r="B351" i="48" s="1"/>
  <c r="A200" i="48" a="1"/>
  <c r="A200" i="48" s="1"/>
  <c r="B304" i="48" a="1"/>
  <c r="B304" i="48" s="1"/>
  <c r="J155" i="48" a="1"/>
  <c r="J155" i="48" s="1"/>
  <c r="J7" i="48" a="1"/>
  <c r="J7" i="48" s="1"/>
  <c r="J334" i="48" a="1"/>
  <c r="J334" i="48" s="1"/>
  <c r="A162" i="48" a="1"/>
  <c r="A162" i="48" s="1"/>
  <c r="B316" i="48" a="1"/>
  <c r="B316" i="48" s="1"/>
  <c r="A286" i="48" a="1"/>
  <c r="A286" i="48" s="1"/>
  <c r="B269" i="48" a="1"/>
  <c r="B269" i="48" s="1"/>
  <c r="B71" i="48" a="1"/>
  <c r="B71" i="48" s="1"/>
  <c r="A59" i="48" a="1"/>
  <c r="A59" i="48" s="1"/>
  <c r="A214" i="48" a="1"/>
  <c r="A214" i="48" s="1"/>
  <c r="A333" i="48" a="1"/>
  <c r="A333" i="48" s="1"/>
  <c r="J33" i="48" a="1"/>
  <c r="J33" i="48" s="1"/>
  <c r="A173" i="48" a="1"/>
  <c r="A173" i="48" s="1"/>
  <c r="J81" i="48" a="1"/>
  <c r="J81" i="48" s="1"/>
  <c r="J301" i="48" a="1"/>
  <c r="J301" i="48" s="1"/>
  <c r="J259" i="48" a="1"/>
  <c r="J259" i="48" s="1"/>
  <c r="B97" i="48" a="1"/>
  <c r="B97" i="48" s="1"/>
  <c r="A18" i="48" a="1"/>
  <c r="A18" i="48" s="1"/>
  <c r="J303" i="48" a="1"/>
  <c r="J303" i="48" s="1"/>
  <c r="J96" i="48" a="1"/>
  <c r="J96" i="48" s="1"/>
  <c r="J80" i="48" a="1"/>
  <c r="J80" i="48" s="1"/>
  <c r="A337" i="48" a="1"/>
  <c r="A337" i="48" s="1"/>
  <c r="A301" i="48" a="1"/>
  <c r="A301" i="48" s="1"/>
  <c r="B102" i="48" a="1"/>
  <c r="B102" i="48" s="1"/>
  <c r="J18" i="48" a="1"/>
  <c r="J18" i="48" s="1"/>
  <c r="A116" i="48" a="1"/>
  <c r="A116" i="48" s="1"/>
  <c r="B157" i="48" a="1"/>
  <c r="B157" i="48" s="1"/>
  <c r="B106" i="48" a="1"/>
  <c r="B106" i="48" s="1"/>
  <c r="J207" i="48" a="1"/>
  <c r="J207" i="48" s="1"/>
  <c r="J88" i="48" a="1"/>
  <c r="J88" i="48" s="1"/>
  <c r="B110" i="48" a="1"/>
  <c r="B110" i="48" s="1"/>
  <c r="A212" i="48" a="1"/>
  <c r="A212" i="48" s="1"/>
  <c r="A232" i="48" a="1"/>
  <c r="A232" i="48" s="1"/>
  <c r="A279" i="48" a="1"/>
  <c r="A279" i="48" s="1"/>
  <c r="B20" i="48" a="1"/>
  <c r="B20" i="48" s="1"/>
  <c r="B289" i="48" a="1"/>
  <c r="B289" i="48" s="1"/>
  <c r="A303" i="48" a="1"/>
  <c r="A303" i="48" s="1"/>
  <c r="A207" i="48" a="1"/>
  <c r="A207" i="48" s="1"/>
  <c r="B307" i="48" a="1"/>
  <c r="B307" i="48" s="1"/>
  <c r="B280" i="48" a="1"/>
  <c r="B280" i="48" s="1"/>
  <c r="J62" i="48" a="1"/>
  <c r="J62" i="48" s="1"/>
  <c r="B239" i="48" a="1"/>
  <c r="B239" i="48" s="1"/>
  <c r="J293" i="48" a="1"/>
  <c r="J293" i="48" s="1"/>
  <c r="J161" i="48" a="1"/>
  <c r="J161" i="48" s="1"/>
  <c r="B44" i="48" a="1"/>
  <c r="B44" i="48" s="1"/>
  <c r="J193" i="48" a="1"/>
  <c r="J193" i="48" s="1"/>
  <c r="A343" i="48" a="1"/>
  <c r="A343" i="48" s="1"/>
  <c r="B266" i="48" a="1"/>
  <c r="B266" i="48" s="1"/>
  <c r="J69" i="48" a="1"/>
  <c r="J69" i="48" s="1"/>
  <c r="B355" i="48" a="1"/>
  <c r="B355" i="48" s="1"/>
  <c r="J149" i="48" a="1"/>
  <c r="J149" i="48" s="1"/>
  <c r="B326" i="48" a="1"/>
  <c r="B326" i="48" s="1"/>
  <c r="J224" i="48" a="1"/>
  <c r="J224" i="48" s="1"/>
  <c r="A98" i="48" a="1"/>
  <c r="A98" i="48" s="1"/>
  <c r="B314" i="48" a="1"/>
  <c r="B314" i="48" s="1"/>
  <c r="B311" i="48" a="1"/>
  <c r="B311" i="48" s="1"/>
  <c r="B151" i="48" a="1"/>
  <c r="B151" i="48" s="1"/>
  <c r="B166" i="48" a="1"/>
  <c r="B166" i="48" s="1"/>
  <c r="B19" i="48" a="1"/>
  <c r="B19" i="48" s="1"/>
  <c r="B165" i="48" a="1"/>
  <c r="B165" i="48" s="1"/>
  <c r="J85" i="48" a="1"/>
  <c r="J85" i="48" s="1"/>
  <c r="A151" i="48" a="1"/>
  <c r="A151" i="48" s="1"/>
  <c r="B315" i="48" a="1"/>
  <c r="B315" i="48" s="1"/>
  <c r="A109" i="48" a="1"/>
  <c r="A109" i="48" s="1"/>
  <c r="A276" i="48" a="1"/>
  <c r="A276" i="48" s="1"/>
  <c r="J274" i="48" a="1"/>
  <c r="J274" i="48" s="1"/>
  <c r="A253" i="48" a="1"/>
  <c r="A253" i="48" s="1"/>
  <c r="A107" i="48" a="1"/>
  <c r="A107" i="48" s="1"/>
  <c r="J11" i="48" a="1"/>
  <c r="J11" i="48" s="1"/>
  <c r="B246" i="48" a="1"/>
  <c r="B246" i="48" s="1"/>
  <c r="J113" i="48" a="1"/>
  <c r="J113" i="48" s="1"/>
  <c r="J198" i="48" a="1"/>
  <c r="J198" i="48" s="1"/>
  <c r="A23" i="48" a="1"/>
  <c r="A23" i="48" s="1"/>
  <c r="B169" i="48" a="1"/>
  <c r="B169" i="48" s="1"/>
  <c r="B21" i="48" a="1"/>
  <c r="B21" i="48" s="1"/>
  <c r="A170" i="48" a="1"/>
  <c r="A170" i="48" s="1"/>
  <c r="A257" i="48" a="1"/>
  <c r="A257" i="48" s="1"/>
  <c r="B180" i="48" a="1"/>
  <c r="B180" i="48" s="1"/>
  <c r="A123" i="48" a="1"/>
  <c r="A123" i="48" s="1"/>
  <c r="A220" i="48" a="1"/>
  <c r="A220" i="48" s="1"/>
  <c r="J331" i="48" a="1"/>
  <c r="J331" i="48" s="1"/>
  <c r="J210" i="48" a="1"/>
  <c r="J210" i="48" s="1"/>
  <c r="B270" i="48" a="1"/>
  <c r="B270" i="48" s="1"/>
  <c r="J309" i="48" a="1"/>
  <c r="J309" i="48" s="1"/>
  <c r="J192" i="48" a="1"/>
  <c r="J192" i="48" s="1"/>
  <c r="A241" i="48" a="1"/>
  <c r="A241" i="48" s="1"/>
  <c r="J342" i="48" a="1"/>
  <c r="J342" i="48" s="1"/>
  <c r="A304" i="48" a="1"/>
  <c r="A304" i="48" s="1"/>
  <c r="A246" i="48" a="1"/>
  <c r="A246" i="48" s="1"/>
  <c r="B224" i="48" a="1"/>
  <c r="B224" i="48" s="1"/>
  <c r="J114" i="48" a="1"/>
  <c r="J114" i="48" s="1"/>
  <c r="B187" i="48" a="1"/>
  <c r="B187" i="48" s="1"/>
  <c r="A310" i="48" a="1"/>
  <c r="A310" i="48" s="1"/>
  <c r="B162" i="48" a="1"/>
  <c r="B162" i="48" s="1"/>
  <c r="B295" i="48" a="1"/>
  <c r="B295" i="48" s="1"/>
  <c r="A14" i="48" a="1"/>
  <c r="A14" i="48" s="1"/>
  <c r="J125" i="48" a="1"/>
  <c r="J125" i="48" s="1"/>
  <c r="B113" i="48" a="1"/>
  <c r="B113" i="48" s="1"/>
  <c r="B349" i="48" a="1"/>
  <c r="B349" i="48" s="1"/>
  <c r="J332" i="48" a="1"/>
  <c r="J332" i="48" s="1"/>
  <c r="A16" i="48" a="1"/>
  <c r="A16" i="48" s="1"/>
  <c r="A186" i="48" a="1"/>
  <c r="A186" i="48" s="1"/>
  <c r="B212" i="48" a="1"/>
  <c r="B212" i="48" s="1"/>
  <c r="J204" i="48" a="1"/>
  <c r="J204" i="48" s="1"/>
  <c r="A308" i="48" a="1"/>
  <c r="A308" i="48" s="1"/>
  <c r="A185" i="48" a="1"/>
  <c r="A185" i="48" s="1"/>
  <c r="B109" i="48" a="1"/>
  <c r="B109" i="48" s="1"/>
  <c r="J171" i="48" a="1"/>
  <c r="J171" i="48" s="1"/>
  <c r="A262" i="48" a="1"/>
  <c r="A262" i="48" s="1"/>
  <c r="A62" i="48" a="1"/>
  <c r="A62" i="48" s="1"/>
  <c r="A283" i="48" a="1"/>
  <c r="A283" i="48" s="1"/>
  <c r="J28" i="48" a="1"/>
  <c r="J28" i="48" s="1"/>
  <c r="A183" i="48" a="1"/>
  <c r="A183" i="48" s="1"/>
  <c r="A152" i="48" a="1"/>
  <c r="A152" i="48" s="1"/>
  <c r="B103" i="48" a="1"/>
  <c r="B103" i="48" s="1"/>
  <c r="B57" i="48" a="1"/>
  <c r="B57" i="48" s="1"/>
  <c r="J257" i="48" a="1"/>
  <c r="J257" i="48" s="1"/>
  <c r="A191" i="48" a="1"/>
  <c r="A191" i="48" s="1"/>
  <c r="B185" i="48" a="1"/>
  <c r="B185" i="48" s="1"/>
  <c r="A39" i="48" a="1"/>
  <c r="A39" i="48" s="1"/>
  <c r="J242" i="48" a="1"/>
  <c r="J242" i="48" s="1"/>
  <c r="B13" i="48" a="1"/>
  <c r="B13" i="48" s="1"/>
  <c r="J64" i="48" a="1"/>
  <c r="J64" i="48" s="1"/>
  <c r="J350" i="48" a="1"/>
  <c r="J350" i="48" s="1"/>
  <c r="J112" i="48" a="1"/>
  <c r="J112" i="48" s="1"/>
  <c r="J261" i="48" a="1"/>
  <c r="J261" i="48" s="1"/>
  <c r="J119" i="48" a="1"/>
  <c r="J119" i="48" s="1"/>
  <c r="J172" i="48" a="1"/>
  <c r="J172" i="48" s="1"/>
  <c r="A204" i="48" a="1"/>
  <c r="A204" i="48" s="1"/>
  <c r="B201" i="48" a="1"/>
  <c r="B201" i="48" s="1"/>
  <c r="A199" i="48" a="1"/>
  <c r="A199" i="48" s="1"/>
  <c r="A227" i="48" a="1"/>
  <c r="A227" i="48" s="1"/>
  <c r="A256" i="48" a="1"/>
  <c r="A256" i="48" s="1"/>
  <c r="B319" i="48" a="1"/>
  <c r="B319" i="48" s="1"/>
  <c r="A267" i="48" a="1"/>
  <c r="A267" i="48" s="1"/>
  <c r="B45" i="48" a="1"/>
  <c r="B45" i="48" s="1"/>
  <c r="J105" i="48" a="1"/>
  <c r="J105" i="48" s="1"/>
  <c r="B339" i="48" a="1"/>
  <c r="B339" i="48" s="1"/>
  <c r="J313" i="48" a="1"/>
  <c r="J313" i="48" s="1"/>
  <c r="A153" i="48" a="1"/>
  <c r="A153" i="48" s="1"/>
  <c r="A133" i="48" a="1"/>
  <c r="A133" i="48" s="1"/>
  <c r="B51" i="48" a="1"/>
  <c r="B51" i="48" s="1"/>
  <c r="A19" i="48" a="1"/>
  <c r="A19" i="48" s="1"/>
  <c r="J254" i="48" a="1"/>
  <c r="J254" i="48" s="1"/>
  <c r="A312" i="48" a="1"/>
  <c r="A312" i="48" s="1"/>
  <c r="J351" i="48" a="1"/>
  <c r="J351" i="48" s="1"/>
  <c r="A141" i="48" a="1"/>
  <c r="A141" i="48" s="1"/>
  <c r="B337" i="48" a="1"/>
  <c r="B337" i="48" s="1"/>
  <c r="A348" i="48" a="1"/>
  <c r="A348" i="48" s="1"/>
  <c r="J327" i="48" a="1"/>
  <c r="J327" i="48" s="1"/>
  <c r="A237" i="48" a="1"/>
  <c r="A237" i="48" s="1"/>
  <c r="A139" i="48" a="1"/>
  <c r="A139" i="48" s="1"/>
  <c r="A298" i="48" a="1"/>
  <c r="A298" i="48" s="1"/>
  <c r="B23" i="48" a="1"/>
  <c r="B23" i="48" s="1"/>
  <c r="J278" i="48" a="1"/>
  <c r="J278" i="48" s="1"/>
  <c r="J202" i="48" a="1"/>
  <c r="J202" i="48" s="1"/>
  <c r="J329" i="48" a="1"/>
  <c r="J329" i="48" s="1"/>
  <c r="B249" i="48" a="1"/>
  <c r="B249" i="48" s="1"/>
  <c r="B260" i="48" a="1"/>
  <c r="B260" i="48" s="1"/>
  <c r="J145" i="48" a="1"/>
  <c r="J145" i="48" s="1"/>
  <c r="J237" i="48" a="1"/>
  <c r="J237" i="48" s="1"/>
  <c r="J75" i="48" a="1"/>
  <c r="J75" i="48" s="1"/>
  <c r="A166" i="48" a="1"/>
  <c r="A166" i="48" s="1"/>
  <c r="B116" i="48" a="1"/>
  <c r="B116" i="48" s="1"/>
  <c r="J131" i="48" a="1"/>
  <c r="J131" i="48" s="1"/>
  <c r="J180" i="48" a="1"/>
  <c r="J180" i="48" s="1"/>
  <c r="A299" i="48" a="1"/>
  <c r="A299" i="48" s="1"/>
  <c r="B327" i="48" a="1"/>
  <c r="B327" i="48" s="1"/>
  <c r="J99" i="48" a="1"/>
  <c r="J99" i="48" s="1"/>
  <c r="A146" i="48" a="1"/>
  <c r="A146" i="48" s="1"/>
  <c r="A277" i="48" a="1"/>
  <c r="A277" i="48" s="1"/>
  <c r="B176" i="48" a="1"/>
  <c r="B176" i="48" s="1"/>
  <c r="A306" i="48" a="1"/>
  <c r="A306" i="48" s="1"/>
  <c r="B283" i="48" a="1"/>
  <c r="B283" i="48" s="1"/>
  <c r="B181" i="48" a="1"/>
  <c r="B181" i="48" s="1"/>
  <c r="J34" i="48" a="1"/>
  <c r="J34" i="48" s="1"/>
  <c r="B130" i="48" a="1"/>
  <c r="B130" i="48" s="1"/>
  <c r="B7" i="48" a="1"/>
  <c r="B7" i="48" s="1"/>
  <c r="B329" i="48" a="1"/>
  <c r="B329" i="48" s="1"/>
  <c r="A228" i="48" a="1"/>
  <c r="A228" i="48" s="1"/>
  <c r="J253" i="48" a="1"/>
  <c r="J253" i="48" s="1"/>
  <c r="J349" i="48" a="1"/>
  <c r="J349" i="48" s="1"/>
  <c r="A55" i="48" a="1"/>
  <c r="A55" i="48" s="1"/>
  <c r="A355" i="48" a="1"/>
  <c r="A355" i="48" s="1"/>
  <c r="J110" i="48" a="1"/>
  <c r="J110" i="48" s="1"/>
  <c r="A48" i="48" a="1"/>
  <c r="A48" i="48" s="1"/>
  <c r="B288" i="48" a="1"/>
  <c r="B288" i="48" s="1"/>
  <c r="J299" i="48" a="1"/>
  <c r="J299" i="48" s="1"/>
  <c r="A219" i="48" a="1"/>
  <c r="A219" i="48" s="1"/>
  <c r="J103" i="48" a="1"/>
  <c r="J103" i="48" s="1"/>
  <c r="A89" i="48" a="1"/>
  <c r="A89" i="48" s="1"/>
  <c r="A110" i="48" a="1"/>
  <c r="A110" i="48" s="1"/>
  <c r="B120" i="48" a="1"/>
  <c r="B120" i="48" s="1"/>
  <c r="J314" i="48" a="1"/>
  <c r="J314" i="48" s="1"/>
  <c r="J297" i="48" a="1"/>
  <c r="J297" i="48" s="1"/>
  <c r="A255" i="48" a="1"/>
  <c r="A255" i="48" s="1"/>
  <c r="A78" i="48" a="1"/>
  <c r="A78" i="48" s="1"/>
  <c r="J77" i="48" a="1"/>
  <c r="J77" i="48" s="1"/>
  <c r="J341" i="48" a="1"/>
  <c r="J341" i="48" s="1"/>
  <c r="B345" i="48" a="1"/>
  <c r="B345" i="48" s="1"/>
  <c r="B301" i="48" a="1"/>
  <c r="B301" i="48" s="1"/>
  <c r="B139" i="48" a="1"/>
  <c r="B139" i="48" s="1"/>
  <c r="B170" i="48" a="1"/>
  <c r="B170" i="48" s="1"/>
  <c r="B302" i="48" a="1"/>
  <c r="B302" i="48" s="1"/>
  <c r="B87" i="48" a="1"/>
  <c r="B87" i="48" s="1"/>
  <c r="B183" i="48" a="1"/>
  <c r="B183" i="48" s="1"/>
  <c r="A7" i="48" a="1"/>
  <c r="A7" i="48" s="1"/>
  <c r="A10" i="48" a="1"/>
  <c r="A10" i="48" s="1"/>
  <c r="J123" i="48" a="1"/>
  <c r="J123" i="48" s="1"/>
  <c r="A42" i="48" a="1"/>
  <c r="A42" i="48" s="1"/>
  <c r="B43" i="48" a="1"/>
  <c r="B43" i="48" s="1"/>
  <c r="J51" i="48" a="1"/>
  <c r="J51" i="48" s="1"/>
  <c r="J104" i="48" a="1"/>
  <c r="J104" i="48" s="1"/>
  <c r="B243" i="48" a="1"/>
  <c r="B243" i="48" s="1"/>
  <c r="J13" i="48" a="1"/>
  <c r="J13" i="48" s="1"/>
  <c r="B154" i="48" a="1"/>
  <c r="B154" i="48" s="1"/>
  <c r="B244" i="48" a="1"/>
  <c r="B244" i="48" s="1"/>
  <c r="J175" i="48" a="1"/>
  <c r="J175" i="48" s="1"/>
  <c r="A213" i="48" a="1"/>
  <c r="A213" i="48" s="1"/>
  <c r="J95" i="48" a="1"/>
  <c r="J95" i="48" s="1"/>
  <c r="B18" i="48" a="1"/>
  <c r="B18" i="48" s="1"/>
  <c r="J217" i="48" a="1"/>
  <c r="J217" i="48" s="1"/>
  <c r="J12" i="48" a="1"/>
  <c r="J12" i="48" s="1"/>
  <c r="A354" i="48" a="1"/>
  <c r="A354" i="48" s="1"/>
  <c r="J266" i="48" a="1"/>
  <c r="J266" i="48" s="1"/>
  <c r="J129" i="48" a="1"/>
  <c r="J129" i="48" s="1"/>
  <c r="J101" i="48" a="1"/>
  <c r="J101" i="48" s="1"/>
  <c r="A129" i="48" a="1"/>
  <c r="A129" i="48" s="1"/>
  <c r="A79" i="48" a="1"/>
  <c r="A79" i="48" s="1"/>
  <c r="B236" i="48" a="1"/>
  <c r="B236" i="48" s="1"/>
  <c r="J54" i="48" a="1"/>
  <c r="J54" i="48" s="1"/>
  <c r="A135" i="48" a="1"/>
  <c r="A135" i="48" s="1"/>
  <c r="B336" i="48" a="1"/>
  <c r="B336" i="48" s="1"/>
  <c r="B262" i="48" a="1"/>
  <c r="B262" i="48" s="1"/>
  <c r="A164" i="48" a="1"/>
  <c r="A164" i="48" s="1"/>
  <c r="B119" i="48" a="1"/>
  <c r="B119" i="48" s="1"/>
  <c r="A340" i="48" a="1"/>
  <c r="A340" i="48" s="1"/>
  <c r="J205" i="48" a="1"/>
  <c r="J205" i="48" s="1"/>
  <c r="B53" i="48" a="1"/>
  <c r="B53" i="48" s="1"/>
  <c r="A84" i="48" a="1"/>
  <c r="A84" i="48" s="1"/>
  <c r="B30" i="48" a="1"/>
  <c r="B30" i="48" s="1"/>
  <c r="B274" i="48" a="1"/>
  <c r="B274" i="48" s="1"/>
  <c r="A176" i="48" a="1"/>
  <c r="A176" i="48" s="1"/>
  <c r="J216" i="48" a="1"/>
  <c r="J216" i="48" s="1"/>
  <c r="J191" i="48" a="1"/>
  <c r="J191" i="48" s="1"/>
  <c r="J206" i="48" a="1"/>
  <c r="J206" i="48" s="1"/>
  <c r="J9" i="48" a="1"/>
  <c r="J9" i="48" s="1"/>
  <c r="B300" i="48" a="1"/>
  <c r="B300" i="48" s="1"/>
  <c r="B85" i="48" a="1"/>
  <c r="B85" i="48" s="1"/>
  <c r="J153" i="48" a="1"/>
  <c r="J153" i="48" s="1"/>
  <c r="A150" i="48" a="1"/>
  <c r="A150" i="48" s="1"/>
  <c r="J91" i="48" a="1"/>
  <c r="J91" i="48" s="1"/>
  <c r="A124" i="48" a="1"/>
  <c r="A124" i="48" s="1"/>
  <c r="J126" i="48" a="1"/>
  <c r="J126" i="48" s="1"/>
  <c r="A297" i="48" a="1"/>
  <c r="A297" i="48" s="1"/>
  <c r="J315" i="48" a="1"/>
  <c r="J315" i="48" s="1"/>
  <c r="A74" i="48" a="1"/>
  <c r="A74" i="48" s="1"/>
  <c r="A289" i="48" a="1"/>
  <c r="A289" i="48" s="1"/>
  <c r="A40" i="48" a="1"/>
  <c r="A40" i="48" s="1"/>
  <c r="B98" i="48" a="1"/>
  <c r="B98" i="48" s="1"/>
  <c r="B190" i="48" a="1"/>
  <c r="B190" i="48" s="1"/>
  <c r="A117" i="48" a="1"/>
  <c r="A117" i="48" s="1"/>
  <c r="B254" i="48" a="1"/>
  <c r="B254" i="48" s="1"/>
  <c r="A216" i="48" a="1"/>
  <c r="A216" i="48" s="1"/>
  <c r="A33" i="48" a="1"/>
  <c r="A33" i="48" s="1"/>
  <c r="J170" i="48" a="1"/>
  <c r="J170" i="48" s="1"/>
  <c r="B343" i="48" a="1"/>
  <c r="B343" i="48" s="1"/>
  <c r="J247" i="48" a="1"/>
  <c r="J247" i="48" s="1"/>
  <c r="J264" i="48" a="1"/>
  <c r="J264" i="48" s="1"/>
  <c r="B275" i="48" a="1"/>
  <c r="B275" i="48" s="1"/>
  <c r="J232" i="48" a="1"/>
  <c r="J232" i="48" s="1"/>
  <c r="A271" i="48" a="1"/>
  <c r="A271" i="48" s="1"/>
  <c r="J283" i="48" a="1"/>
  <c r="J283" i="48" s="1"/>
  <c r="A240" i="48" a="1"/>
  <c r="A240" i="48" s="1"/>
  <c r="A350" i="48" a="1"/>
  <c r="A350" i="48" s="1"/>
  <c r="J345" i="48" a="1"/>
  <c r="J345" i="48" s="1"/>
  <c r="B303" i="48" a="1"/>
  <c r="B303" i="48" s="1"/>
  <c r="B148" i="48" a="1"/>
  <c r="B148" i="48" s="1"/>
  <c r="J248" i="48" a="1"/>
  <c r="J248" i="48" s="1"/>
  <c r="J311" i="48" a="1"/>
  <c r="J311" i="48" s="1"/>
  <c r="B10" i="48" a="1"/>
  <c r="B10" i="48" s="1"/>
  <c r="A281" i="48" a="1"/>
  <c r="A281" i="48" s="1"/>
  <c r="A254" i="48" a="1"/>
  <c r="A254" i="48" s="1"/>
  <c r="B291" i="48" a="1"/>
  <c r="B291" i="48" s="1"/>
  <c r="J23" i="48" a="1"/>
  <c r="J23" i="48" s="1"/>
  <c r="B74" i="48" a="1"/>
  <c r="B74" i="48" s="1"/>
  <c r="J199" i="48" a="1"/>
  <c r="J199" i="48" s="1"/>
  <c r="B59" i="48" a="1"/>
  <c r="B59" i="48" s="1"/>
  <c r="J321" i="48" a="1"/>
  <c r="J321" i="48" s="1"/>
  <c r="B114" i="48" a="1"/>
  <c r="B114" i="48" s="1"/>
  <c r="A91" i="48" a="1"/>
  <c r="A91" i="48" s="1"/>
  <c r="A149" i="48" a="1"/>
  <c r="A149" i="48" s="1"/>
  <c r="J182" i="48" a="1"/>
  <c r="J182" i="48" s="1"/>
  <c r="A52" i="48" a="1"/>
  <c r="A52" i="48" s="1"/>
  <c r="A263" i="48" a="1"/>
  <c r="A263" i="48" s="1"/>
  <c r="J111" i="48" a="1"/>
  <c r="J111" i="48" s="1"/>
  <c r="A327" i="48" a="1"/>
  <c r="A327" i="48" s="1"/>
  <c r="B231" i="48" a="1"/>
  <c r="B231" i="48" s="1"/>
  <c r="J61" i="48" a="1"/>
  <c r="J61" i="48" s="1"/>
  <c r="A313" i="48" a="1"/>
  <c r="A313" i="48" s="1"/>
  <c r="J29" i="48" a="1"/>
  <c r="J29" i="48" s="1"/>
  <c r="A38" i="48" a="1"/>
  <c r="A38" i="48" s="1"/>
  <c r="B188" i="48" a="1"/>
  <c r="B188" i="48" s="1"/>
  <c r="B228" i="48" a="1"/>
  <c r="B228" i="48" s="1"/>
  <c r="J322" i="48" a="1"/>
  <c r="J322" i="48" s="1"/>
  <c r="A233" i="48" a="1"/>
  <c r="A233" i="48" s="1"/>
  <c r="J116" i="48" a="1"/>
  <c r="J116" i="48" s="1"/>
  <c r="A25" i="48" a="1"/>
  <c r="A25" i="48" s="1"/>
  <c r="J343" i="48" a="1"/>
  <c r="J343" i="48" s="1"/>
  <c r="J258" i="48" a="1"/>
  <c r="J258" i="48" s="1"/>
  <c r="J74" i="48" a="1"/>
  <c r="J74" i="48" s="1"/>
  <c r="J181" i="48" a="1"/>
  <c r="J181" i="48" s="1"/>
  <c r="A41" i="48" a="1"/>
  <c r="A41" i="48" s="1"/>
  <c r="B324" i="48" a="1"/>
  <c r="B324" i="48" s="1"/>
  <c r="A275" i="48" a="1"/>
  <c r="A275" i="48" s="1"/>
  <c r="J124" i="48" a="1"/>
  <c r="J124" i="48" s="1"/>
  <c r="B206" i="48" a="1"/>
  <c r="B206" i="48" s="1"/>
  <c r="J10" i="48" a="1"/>
  <c r="J10" i="48" s="1"/>
  <c r="B121" i="48" a="1"/>
  <c r="B121" i="48" s="1"/>
  <c r="B94" i="48" a="1"/>
  <c r="B94" i="48" s="1"/>
  <c r="A243" i="48" a="1"/>
  <c r="A243" i="48" s="1"/>
  <c r="B164" i="48" a="1"/>
  <c r="B164" i="48" s="1"/>
  <c r="J82" i="48" a="1"/>
  <c r="J82" i="48" s="1"/>
  <c r="A225" i="48" a="1"/>
  <c r="A225" i="48" s="1"/>
  <c r="A236" i="48" a="1"/>
  <c r="A236" i="48" s="1"/>
  <c r="A76" i="48" a="1"/>
  <c r="A76" i="48" s="1"/>
  <c r="A278" i="48" a="1"/>
  <c r="A278" i="48" s="1"/>
  <c r="A77" i="48" a="1"/>
  <c r="A77" i="48" s="1"/>
  <c r="A95" i="48" a="1"/>
  <c r="A95" i="48" s="1"/>
  <c r="J163" i="48" a="1"/>
  <c r="J163" i="48" s="1"/>
  <c r="J44" i="48" a="1"/>
  <c r="J44" i="48" s="1"/>
  <c r="J209" i="48" a="1"/>
  <c r="J209" i="48" s="1"/>
  <c r="A145" i="48" a="1"/>
  <c r="A145" i="48" s="1"/>
  <c r="A114" i="48" a="1"/>
  <c r="A114" i="48" s="1"/>
  <c r="J63" i="48" a="1"/>
  <c r="J63" i="48" s="1"/>
  <c r="A326" i="48" a="1"/>
  <c r="A326" i="48" s="1"/>
  <c r="A97" i="48" a="1"/>
  <c r="A97" i="48" s="1"/>
  <c r="B90" i="48" a="1"/>
  <c r="B90" i="48" s="1"/>
  <c r="J238" i="48" a="1"/>
  <c r="J238" i="48" s="1"/>
  <c r="A318" i="48" a="1"/>
  <c r="A318" i="48" s="1"/>
  <c r="B155" i="48" a="1"/>
  <c r="B155" i="48" s="1"/>
  <c r="B250" i="48" a="1"/>
  <c r="B250" i="48" s="1"/>
  <c r="B211" i="48" a="1"/>
  <c r="B211" i="48" s="1"/>
  <c r="J220" i="48" a="1"/>
  <c r="J220" i="48" s="1"/>
  <c r="A119" i="48" a="1"/>
  <c r="A119" i="48" s="1"/>
  <c r="B215" i="48" a="1"/>
  <c r="B215" i="48" s="1"/>
  <c r="B226" i="48" a="1"/>
  <c r="B226" i="48" s="1"/>
  <c r="J318" i="48" a="1"/>
  <c r="J318" i="48" s="1"/>
  <c r="B257" i="48" a="1"/>
  <c r="B257" i="48" s="1"/>
  <c r="A67" i="48" a="1"/>
  <c r="A67" i="48" s="1"/>
  <c r="B152" i="48" a="1"/>
  <c r="B152" i="48" s="1"/>
  <c r="A66" i="48" a="1"/>
  <c r="A66" i="48" s="1"/>
  <c r="J312" i="48" a="1"/>
  <c r="J312" i="48" s="1"/>
  <c r="B135" i="48" a="1"/>
  <c r="B135" i="48" s="1"/>
  <c r="B82" i="48" a="1"/>
  <c r="B82" i="48" s="1"/>
  <c r="B195" i="48" a="1"/>
  <c r="B195" i="48" s="1"/>
  <c r="A178" i="48" a="1"/>
  <c r="A178" i="48" s="1"/>
  <c r="B86" i="48" a="1"/>
  <c r="B86" i="48" s="1"/>
  <c r="A9" i="48" a="1"/>
  <c r="A9" i="48" s="1"/>
  <c r="A180" i="48" a="1"/>
  <c r="A180" i="48" s="1"/>
  <c r="A321" i="48" a="1"/>
  <c r="A321" i="48" s="1"/>
  <c r="A336" i="48" a="1"/>
  <c r="A336" i="48" s="1"/>
  <c r="B184" i="48" a="1"/>
  <c r="B184" i="48" s="1"/>
  <c r="J176" i="48" a="1"/>
  <c r="J176" i="48" s="1"/>
  <c r="J319" i="48" a="1"/>
  <c r="J319" i="48" s="1"/>
  <c r="A218" i="48" a="1"/>
  <c r="A218" i="48" s="1"/>
  <c r="B145" i="48" a="1"/>
  <c r="B145" i="48" s="1"/>
  <c r="A323" i="48" a="1"/>
  <c r="A323" i="48" s="1"/>
  <c r="A187" i="48" a="1"/>
  <c r="A187" i="48" s="1"/>
  <c r="J223" i="48" a="1"/>
  <c r="J223" i="48" s="1"/>
  <c r="A273" i="48" a="1"/>
  <c r="A273" i="48" s="1"/>
  <c r="B196" i="48" a="1"/>
  <c r="B196" i="48" s="1"/>
  <c r="A148" i="48" a="1"/>
  <c r="A148" i="48" s="1"/>
  <c r="A75" i="48" a="1"/>
  <c r="A75" i="48" s="1"/>
  <c r="A127" i="48" a="1"/>
  <c r="A127" i="48" s="1"/>
  <c r="J19" i="48" a="1"/>
  <c r="J19" i="48" s="1"/>
  <c r="A320" i="48" a="1"/>
  <c r="A320" i="48" s="1"/>
  <c r="A113" i="48" a="1"/>
  <c r="A113" i="48" s="1"/>
  <c r="A268" i="48" a="1"/>
  <c r="A268" i="48" s="1"/>
  <c r="B115" i="48" a="1"/>
  <c r="B115" i="48" s="1"/>
  <c r="B140" i="48" a="1"/>
  <c r="B140" i="48" s="1"/>
  <c r="J281" i="48" a="1"/>
  <c r="J281" i="48" s="1"/>
  <c r="B122" i="48" a="1"/>
  <c r="B122" i="48" s="1"/>
  <c r="B99" i="48" a="1"/>
  <c r="B99" i="48" s="1"/>
  <c r="A90" i="48" a="1"/>
  <c r="A90" i="48" s="1"/>
  <c r="J336" i="48" a="1"/>
  <c r="J336" i="48" s="1"/>
  <c r="B150" i="48" a="1"/>
  <c r="B150" i="48" s="1"/>
  <c r="B66" i="48" a="1"/>
  <c r="B66" i="48" s="1"/>
  <c r="A17" i="48" a="1"/>
  <c r="A17" i="48" s="1"/>
  <c r="J45" i="48" a="1"/>
  <c r="J45" i="48" s="1"/>
  <c r="A314" i="48" a="1"/>
  <c r="A314" i="48" s="1"/>
  <c r="A60" i="48" a="1"/>
  <c r="A60" i="48" s="1"/>
  <c r="J30" i="48" a="1"/>
  <c r="J30" i="48" s="1"/>
  <c r="B105" i="48" a="1"/>
  <c r="B105" i="48" s="1"/>
  <c r="B209" i="48" a="1"/>
  <c r="B209" i="48" s="1"/>
  <c r="B202" i="48" a="1"/>
  <c r="B202" i="48" s="1"/>
  <c r="A106" i="48" a="1"/>
  <c r="A106" i="48" s="1"/>
  <c r="B352" i="48" a="1"/>
  <c r="B352" i="48" s="1"/>
  <c r="B100" i="48" a="1"/>
  <c r="B100" i="48" s="1"/>
  <c r="A45" i="48" a="1"/>
  <c r="A45" i="48" s="1"/>
  <c r="B341" i="48" a="1"/>
  <c r="B341" i="48" s="1"/>
  <c r="J269" i="48" a="1"/>
  <c r="J269" i="48" s="1"/>
  <c r="J35" i="48" a="1"/>
  <c r="J35" i="48" s="1"/>
  <c r="J294" i="48" a="1"/>
  <c r="J294" i="48" s="1"/>
  <c r="J280" i="48" a="1"/>
  <c r="J280" i="48" s="1"/>
  <c r="J295" i="48" a="1"/>
  <c r="J295" i="48" s="1"/>
  <c r="A112" i="48" a="1"/>
  <c r="A112" i="48" s="1"/>
  <c r="B197" i="48" a="1"/>
  <c r="B197" i="48" s="1"/>
  <c r="A161" i="48" a="1"/>
  <c r="A161" i="48" s="1"/>
  <c r="B33" i="48" a="1"/>
  <c r="B33" i="48" s="1"/>
  <c r="J208" i="48" a="1"/>
  <c r="J208" i="48" s="1"/>
  <c r="B284" i="48" a="1"/>
  <c r="B284" i="48" s="1"/>
  <c r="A22" i="48" a="1"/>
  <c r="A22" i="48" s="1"/>
  <c r="B229" i="48" a="1"/>
  <c r="B229" i="48" s="1"/>
  <c r="B342" i="48" a="1"/>
  <c r="B342" i="48" s="1"/>
  <c r="A142" i="48" a="1"/>
  <c r="A142" i="48" s="1"/>
  <c r="B306" i="48" a="1"/>
  <c r="B306" i="48" s="1"/>
  <c r="J156" i="48" a="1"/>
  <c r="J156" i="48" s="1"/>
  <c r="J165" i="48" a="1"/>
  <c r="J165" i="48" s="1"/>
  <c r="J236" i="48" a="1"/>
  <c r="J236" i="48" s="1"/>
  <c r="A43" i="48" a="1"/>
  <c r="A43" i="48" s="1"/>
  <c r="A352" i="48" a="1"/>
  <c r="A352" i="48" s="1"/>
  <c r="A239" i="48" a="1"/>
  <c r="A239" i="48" s="1"/>
  <c r="B92" i="48" a="1"/>
  <c r="B92" i="48" s="1"/>
  <c r="A104" i="48" a="1"/>
  <c r="A104" i="48" s="1"/>
  <c r="B296" i="48" a="1"/>
  <c r="B296" i="48" s="1"/>
  <c r="A85" i="48" a="1"/>
  <c r="A85" i="48" s="1"/>
  <c r="A51" i="48" a="1"/>
  <c r="A51" i="48" s="1"/>
  <c r="A101" i="48" a="1"/>
  <c r="A101" i="48" s="1"/>
  <c r="A37" i="48" a="1"/>
  <c r="A37" i="48" s="1"/>
  <c r="B241" i="48" a="1"/>
  <c r="B241" i="48" s="1"/>
  <c r="A158" i="48" a="1"/>
  <c r="A158" i="48" s="1"/>
  <c r="A201" i="48" a="1"/>
  <c r="A201" i="48" s="1"/>
  <c r="J225" i="48" a="1"/>
  <c r="J225" i="48" s="1"/>
  <c r="J239" i="48" a="1"/>
  <c r="J239" i="48" s="1"/>
  <c r="A20" i="48" a="1"/>
  <c r="A20" i="48" s="1"/>
  <c r="A206" i="48" a="1"/>
  <c r="A206" i="48" s="1"/>
  <c r="B203" i="48" a="1"/>
  <c r="B203" i="48" s="1"/>
  <c r="A181" i="48" a="1"/>
  <c r="A181" i="48" s="1"/>
  <c r="J160" i="48" a="1"/>
  <c r="J160" i="48" s="1"/>
  <c r="J325" i="48" a="1"/>
  <c r="J325" i="48" s="1"/>
  <c r="A182" i="48" a="1"/>
  <c r="A182" i="48" s="1"/>
  <c r="J89" i="48" a="1"/>
  <c r="J89" i="48" s="1"/>
  <c r="A138" i="48" a="1"/>
  <c r="A138" i="48" s="1"/>
  <c r="B24" i="48" a="1"/>
  <c r="B24" i="48" s="1"/>
  <c r="A351" i="48" a="1"/>
  <c r="A351" i="48" s="1"/>
  <c r="J50" i="48" a="1"/>
  <c r="J50" i="48" s="1"/>
  <c r="A247" i="48" a="1"/>
  <c r="A247" i="48" s="1"/>
  <c r="A244" i="48" a="1"/>
  <c r="A244" i="48" s="1"/>
  <c r="B14" i="48" a="1"/>
  <c r="B14" i="48" s="1"/>
  <c r="J219" i="48" a="1"/>
  <c r="J219" i="48" s="1"/>
  <c r="A50" i="48" a="1"/>
  <c r="A50" i="48" s="1"/>
  <c r="A82" i="48" a="1"/>
  <c r="A82" i="48" s="1"/>
  <c r="B58" i="48" a="1"/>
  <c r="B58" i="48" s="1"/>
  <c r="A147" i="48" a="1"/>
  <c r="A147" i="48" s="1"/>
  <c r="J246" i="48" a="1"/>
  <c r="J246" i="48" s="1"/>
  <c r="A203" i="48" a="1"/>
  <c r="A203" i="48" s="1"/>
  <c r="A353" i="48" a="1"/>
  <c r="A353" i="48" s="1"/>
  <c r="J41" i="48" a="1"/>
  <c r="J41" i="48" s="1"/>
  <c r="B95" i="48" a="1"/>
  <c r="B95" i="48" s="1"/>
  <c r="J106" i="48" a="1"/>
  <c r="J106" i="48" s="1"/>
  <c r="B104" i="48" a="1"/>
  <c r="B104" i="48" s="1"/>
  <c r="B42" i="48" a="1"/>
  <c r="B42" i="48" s="1"/>
  <c r="B25" i="48" a="1"/>
  <c r="B25" i="48" s="1"/>
  <c r="B124" i="48" a="1"/>
  <c r="B124" i="48" s="1"/>
  <c r="J183" i="48" a="1"/>
  <c r="J183" i="48" s="1"/>
  <c r="B267" i="48" a="1"/>
  <c r="B267" i="48" s="1"/>
  <c r="B89" i="48" a="1"/>
  <c r="B89" i="48" s="1"/>
  <c r="J310" i="48" a="1"/>
  <c r="J310" i="48" s="1"/>
  <c r="J141" i="48" a="1"/>
  <c r="J141" i="48" s="1"/>
  <c r="A132" i="48" a="1"/>
  <c r="A132" i="48" s="1"/>
  <c r="J316" i="48" a="1"/>
  <c r="J316" i="48" s="1"/>
  <c r="B47" i="48" a="1"/>
  <c r="B47" i="48" s="1"/>
  <c r="A293" i="48" a="1"/>
  <c r="A293" i="48" s="1"/>
  <c r="A345" i="48" a="1"/>
  <c r="A345" i="48" s="1"/>
  <c r="J234" i="48" a="1"/>
  <c r="J234" i="48" s="1"/>
  <c r="B63" i="48" a="1"/>
  <c r="B63" i="48" s="1"/>
  <c r="J179" i="48" a="1"/>
  <c r="J179" i="48" s="1"/>
  <c r="B27" i="48" a="1"/>
  <c r="B27" i="48" s="1"/>
  <c r="B317" i="48" a="1"/>
  <c r="B317" i="48" s="1"/>
  <c r="J218" i="48" a="1"/>
  <c r="J218" i="48" s="1"/>
  <c r="B156" i="48" a="1"/>
  <c r="B156" i="48" s="1"/>
  <c r="B207" i="48" a="1"/>
  <c r="B207" i="48" s="1"/>
  <c r="J173" i="48" a="1"/>
  <c r="J173" i="48" s="1"/>
  <c r="J298" i="48" a="1"/>
  <c r="J298" i="48" s="1"/>
  <c r="J265" i="48" a="1"/>
  <c r="J265" i="48" s="1"/>
  <c r="B81" i="48" a="1"/>
  <c r="B81" i="48" s="1"/>
  <c r="A167" i="48" a="1"/>
  <c r="A167" i="48" s="1"/>
  <c r="A61" i="48" a="1"/>
  <c r="A61" i="48" s="1"/>
  <c r="B26" i="48" a="1"/>
  <c r="B26" i="48" s="1"/>
  <c r="J244" i="48" a="1"/>
  <c r="J244" i="48" s="1"/>
  <c r="J296" i="48" a="1"/>
  <c r="J296" i="48" s="1"/>
  <c r="J84" i="48" a="1"/>
  <c r="J84" i="48" s="1"/>
  <c r="J94" i="48" a="1"/>
  <c r="J94" i="48" s="1"/>
  <c r="J185" i="48" a="1"/>
  <c r="J185" i="48" s="1"/>
  <c r="B179" i="48" a="1"/>
  <c r="B179" i="48" s="1"/>
  <c r="A349" i="48" a="1"/>
  <c r="A349" i="48" s="1"/>
  <c r="J241" i="48" a="1"/>
  <c r="J241" i="48" s="1"/>
  <c r="A335" i="48" a="1"/>
  <c r="A335" i="48" s="1"/>
  <c r="B8" i="48" a="1"/>
  <c r="B8" i="48" s="1"/>
  <c r="J289" i="48" a="1"/>
  <c r="J289" i="48" s="1"/>
  <c r="A47" i="48" a="1"/>
  <c r="A47" i="48" s="1"/>
  <c r="A259" i="48" a="1"/>
  <c r="A259" i="48" s="1"/>
  <c r="J136" i="48" a="1"/>
  <c r="J136" i="48" s="1"/>
  <c r="B60" i="48" a="1"/>
  <c r="B60" i="48" s="1"/>
  <c r="B149" i="48" a="1"/>
  <c r="B149" i="48" s="1"/>
  <c r="A29" i="48" a="1"/>
  <c r="A29" i="48" s="1"/>
  <c r="J68" i="48" a="1"/>
  <c r="J68" i="48" s="1"/>
  <c r="J168" i="48" a="1"/>
  <c r="J168" i="48" s="1"/>
  <c r="B290" i="48" a="1"/>
  <c r="B290" i="48" s="1"/>
  <c r="B208" i="48" a="1"/>
  <c r="B208" i="48" s="1"/>
  <c r="J211" i="48" a="1"/>
  <c r="J211" i="48" s="1"/>
  <c r="A102" i="48" a="1"/>
  <c r="A102" i="48" s="1"/>
  <c r="J272" i="48" a="1"/>
  <c r="J272" i="48" s="1"/>
  <c r="A137" i="48" a="1"/>
  <c r="A137" i="48" s="1"/>
  <c r="J263" i="48" a="1"/>
  <c r="J263" i="48" s="1"/>
  <c r="J291" i="48" a="1"/>
  <c r="J291" i="48" s="1"/>
  <c r="J130" i="48" a="1"/>
  <c r="J130" i="48" s="1"/>
  <c r="B36" i="48" a="1"/>
  <c r="B36" i="48" s="1"/>
  <c r="B272" i="48" a="1"/>
  <c r="B272" i="48" s="1"/>
  <c r="B68" i="48" a="1"/>
  <c r="B68" i="48" s="1"/>
  <c r="A130" i="48" a="1"/>
  <c r="A130" i="48" s="1"/>
  <c r="B261" i="48" a="1"/>
  <c r="B261" i="48" s="1"/>
  <c r="B84" i="48" a="1"/>
  <c r="B84" i="48" s="1"/>
  <c r="A54" i="48" a="1"/>
  <c r="A54" i="48" s="1"/>
  <c r="B78" i="48" a="1"/>
  <c r="B78" i="48" s="1"/>
  <c r="A230" i="48" a="1"/>
  <c r="A230" i="48" s="1"/>
  <c r="B186" i="48" a="1"/>
  <c r="B186" i="48" s="1"/>
  <c r="J115" i="48" a="1"/>
  <c r="J115" i="48" s="1"/>
  <c r="B112" i="48" a="1"/>
  <c r="B112" i="48" s="1"/>
  <c r="J307" i="48" a="1"/>
  <c r="J307" i="48" s="1"/>
  <c r="A346" i="48" a="1"/>
  <c r="A346" i="48" s="1"/>
  <c r="J135" i="48" a="1"/>
  <c r="J135" i="48" s="1"/>
  <c r="B330" i="48" a="1"/>
  <c r="B330" i="48" s="1"/>
  <c r="B91" i="48" a="1"/>
  <c r="B91" i="48" s="1"/>
  <c r="B218" i="48" a="1"/>
  <c r="B218" i="48" s="1"/>
  <c r="A248" i="48" a="1"/>
  <c r="A248" i="48" s="1"/>
  <c r="B205" i="48" a="1"/>
  <c r="B205" i="48" s="1"/>
  <c r="A282" i="48" a="1"/>
  <c r="A282" i="48" s="1"/>
  <c r="J344" i="48" a="1"/>
  <c r="J344" i="48" s="1"/>
  <c r="B69" i="48" a="1"/>
  <c r="B69" i="48" s="1"/>
  <c r="A195" i="48" a="1"/>
  <c r="A195" i="48" s="1"/>
  <c r="B242" i="48" a="1"/>
  <c r="B242" i="48" s="1"/>
  <c r="B133" i="48" a="1"/>
  <c r="B133" i="48" s="1"/>
  <c r="J144" i="48" a="1"/>
  <c r="J144" i="48" s="1"/>
  <c r="J118" i="48" a="1"/>
  <c r="J118" i="48" s="1"/>
  <c r="A155" i="48" a="1"/>
  <c r="A155" i="48" s="1"/>
  <c r="J317" i="48" a="1"/>
  <c r="J317" i="48" s="1"/>
  <c r="B299" i="48" a="1"/>
  <c r="B299" i="48" s="1"/>
  <c r="J31" i="48" a="1"/>
  <c r="J31" i="48" s="1"/>
  <c r="J109" i="48" a="1"/>
  <c r="J109" i="48" s="1"/>
  <c r="A288" i="48" a="1"/>
  <c r="A288" i="48" s="1"/>
  <c r="J72" i="48" a="1"/>
  <c r="J72" i="48" s="1"/>
  <c r="A140" i="48" a="1"/>
  <c r="A140" i="48" s="1"/>
  <c r="A316" i="48" a="1"/>
  <c r="A316" i="48" s="1"/>
  <c r="A94" i="48" a="1"/>
  <c r="A94" i="48" s="1"/>
  <c r="B251" i="48" a="1"/>
  <c r="B251" i="48" s="1"/>
  <c r="B65" i="48" a="1"/>
  <c r="B65" i="48" s="1"/>
  <c r="A27" i="48" a="1"/>
  <c r="A27" i="48" s="1"/>
  <c r="B217" i="48" a="1"/>
  <c r="B217" i="48" s="1"/>
  <c r="J24" i="48" a="1"/>
  <c r="J24" i="48" s="1"/>
  <c r="A175" i="48" a="1"/>
  <c r="A175" i="48" s="1"/>
  <c r="J227" i="48" a="1"/>
  <c r="J227" i="48" s="1"/>
  <c r="J66" i="48" a="1"/>
  <c r="J66" i="48" s="1"/>
  <c r="B17" i="48" a="1"/>
  <c r="B17" i="48" s="1"/>
  <c r="A215" i="48" a="1"/>
  <c r="A215" i="48" s="1"/>
  <c r="B350" i="48" a="1"/>
  <c r="B350" i="48" s="1"/>
  <c r="A115" i="48" a="1"/>
  <c r="A115" i="48" s="1"/>
  <c r="J262" i="48" a="1"/>
  <c r="J262" i="48" s="1"/>
  <c r="J214" i="48" a="1"/>
  <c r="J214" i="48" s="1"/>
  <c r="B245" i="48" a="1"/>
  <c r="B245" i="48" s="1"/>
  <c r="A300" i="48" a="1"/>
  <c r="A300" i="48" s="1"/>
  <c r="J42" i="48" a="1"/>
  <c r="J42" i="48" s="1"/>
  <c r="J233" i="48" a="1"/>
  <c r="J233" i="48" s="1"/>
  <c r="J271" i="48" a="1"/>
  <c r="J271" i="48" s="1"/>
  <c r="A325" i="48" a="1"/>
  <c r="A325" i="48" s="1"/>
  <c r="J333" i="48" a="1"/>
  <c r="J333" i="48" s="1"/>
  <c r="J139" i="48" a="1"/>
  <c r="J139" i="48" s="1"/>
  <c r="J249" i="48" a="1"/>
  <c r="J249" i="48" s="1"/>
  <c r="J146" i="48" a="1"/>
  <c r="J146" i="48" s="1"/>
  <c r="B49" i="48" a="1"/>
  <c r="B49" i="48" s="1"/>
  <c r="J55" i="48" a="1"/>
  <c r="J55" i="48" s="1"/>
  <c r="B318" i="48" a="1"/>
  <c r="B318" i="48" s="1"/>
  <c r="A56" i="48" a="1"/>
  <c r="A56" i="48" s="1"/>
  <c r="A272" i="48" a="1"/>
  <c r="A272" i="48" s="1"/>
  <c r="J290" i="48" a="1"/>
  <c r="J290" i="48" s="1"/>
  <c r="J212" i="48" a="1"/>
  <c r="J212" i="48" s="1"/>
  <c r="A302" i="48" a="1"/>
  <c r="A302" i="48" s="1"/>
  <c r="B264" i="48" a="1"/>
  <c r="B264" i="48" s="1"/>
  <c r="J90" i="48" a="1"/>
  <c r="J90" i="48" s="1"/>
  <c r="B144" i="48" a="1"/>
  <c r="B144" i="48" s="1"/>
  <c r="A169" i="48" a="1"/>
  <c r="A169" i="48" s="1"/>
  <c r="A334" i="48" a="1"/>
  <c r="A334" i="48" s="1"/>
  <c r="A154" i="48" a="1"/>
  <c r="A154" i="48" s="1"/>
  <c r="B34" i="48" a="1"/>
  <c r="B34" i="48" s="1"/>
  <c r="B259" i="48" a="1"/>
  <c r="B259" i="48" s="1"/>
  <c r="B131" i="48" a="1"/>
  <c r="B131" i="48" s="1"/>
  <c r="J108" i="48" a="1"/>
  <c r="J108" i="48" s="1"/>
  <c r="B277" i="48" a="1"/>
  <c r="B277" i="48" s="1"/>
  <c r="B142" i="48" a="1"/>
  <c r="B142" i="48" s="1"/>
  <c r="A315" i="48" a="1"/>
  <c r="A315" i="48" s="1"/>
  <c r="B123" i="48" a="1"/>
  <c r="B123" i="48" s="1"/>
  <c r="B312" i="48" a="1"/>
  <c r="B312" i="48" s="1"/>
  <c r="J20" i="48" a="1"/>
  <c r="J20" i="48" s="1"/>
  <c r="A108" i="48" a="1"/>
  <c r="A108" i="48" s="1"/>
  <c r="B93" i="48" a="1"/>
  <c r="B93" i="48" s="1"/>
  <c r="B298" i="48" a="1"/>
  <c r="B298" i="48" s="1"/>
  <c r="B158" i="48" a="1"/>
  <c r="B158" i="48" s="1"/>
  <c r="J339" i="48" a="1"/>
  <c r="J339" i="48" s="1"/>
  <c r="B253" i="48" a="1"/>
  <c r="B253" i="48" s="1"/>
  <c r="A99" i="48" a="1"/>
  <c r="A99" i="48" s="1"/>
  <c r="A53" i="48" a="1"/>
  <c r="A53" i="48" s="1"/>
  <c r="J79" i="48" a="1"/>
  <c r="J79" i="48" s="1"/>
  <c r="A71" i="48" a="1"/>
  <c r="A71" i="48" s="1"/>
  <c r="B233" i="48" a="1"/>
  <c r="B233" i="48" s="1"/>
  <c r="B64" i="48" a="1"/>
  <c r="B64" i="48" s="1"/>
  <c r="A160" i="48" a="1"/>
  <c r="A160" i="48" s="1"/>
  <c r="J92" i="48" a="1"/>
  <c r="J92" i="48" s="1"/>
  <c r="B125" i="48" a="1"/>
  <c r="B125" i="48" s="1"/>
  <c r="B191" i="48" a="1"/>
  <c r="B191" i="48" s="1"/>
  <c r="A291" i="48" a="1"/>
  <c r="A291" i="48" s="1"/>
  <c r="B340" i="48" a="1"/>
  <c r="B340" i="48" s="1"/>
  <c r="A234" i="48" a="1"/>
  <c r="A234" i="48" s="1"/>
  <c r="B248" i="48" a="1"/>
  <c r="B248" i="48" s="1"/>
  <c r="A190" i="48" a="1"/>
  <c r="A190" i="48" s="1"/>
  <c r="A65" i="48" a="1"/>
  <c r="A65" i="48" s="1"/>
  <c r="A260" i="48" a="1"/>
  <c r="A260" i="48" s="1"/>
  <c r="B335" i="48" a="1"/>
  <c r="B335" i="48" s="1"/>
  <c r="B221" i="48" a="1"/>
  <c r="B221" i="48" s="1"/>
  <c r="A49" i="48" a="1"/>
  <c r="A49" i="48" s="1"/>
  <c r="B111" i="48" a="1"/>
  <c r="B111" i="48" s="1"/>
  <c r="J138" i="48" a="1"/>
  <c r="J138" i="48" s="1"/>
  <c r="A274" i="48" a="1"/>
  <c r="A274" i="48" s="1"/>
  <c r="J32" i="48" a="1"/>
  <c r="J32" i="48" s="1"/>
  <c r="A26" i="48" a="1"/>
  <c r="A26" i="48" s="1"/>
  <c r="A96" i="48" a="1"/>
  <c r="A96" i="48" s="1"/>
  <c r="J177" i="48" a="1"/>
  <c r="J177" i="48" s="1"/>
  <c r="A35" i="48" a="1"/>
  <c r="A35" i="48" s="1"/>
  <c r="J338" i="48" a="1"/>
  <c r="J338" i="48" s="1"/>
  <c r="A136" i="48" a="1"/>
  <c r="A136" i="48" s="1"/>
  <c r="B127" i="48" a="1"/>
  <c r="B127" i="48" s="1"/>
  <c r="J184" i="48" a="1"/>
  <c r="J184" i="48" s="1"/>
  <c r="B39" i="48" a="1"/>
  <c r="B39" i="48" s="1"/>
  <c r="B194" i="48" a="1"/>
  <c r="B194" i="48" s="1"/>
  <c r="B322" i="48" a="1"/>
  <c r="B322" i="48" s="1"/>
  <c r="A21" i="48" a="1"/>
  <c r="A21" i="48" s="1"/>
  <c r="B220" i="48" a="1"/>
  <c r="B220" i="48" s="1"/>
  <c r="J16" i="48" a="1"/>
  <c r="J16" i="48" s="1"/>
  <c r="B346" i="48" a="1"/>
  <c r="B346" i="48" s="1"/>
  <c r="B265" i="48" a="1"/>
  <c r="B265" i="48" s="1"/>
  <c r="B331" i="48" a="1"/>
  <c r="B331" i="48" s="1"/>
  <c r="A294" i="48" a="1"/>
  <c r="A294" i="48" s="1"/>
  <c r="A347" i="48" a="1"/>
  <c r="A347" i="48" s="1"/>
  <c r="A197" i="48" a="1"/>
  <c r="A197" i="48" s="1"/>
  <c r="B213" i="48" a="1"/>
  <c r="B213" i="48" s="1"/>
  <c r="B22" i="48" a="1"/>
  <c r="B22" i="48" s="1"/>
  <c r="B128" i="48" a="1"/>
  <c r="B128" i="48" s="1"/>
  <c r="J46" i="48" a="1"/>
  <c r="J46" i="48" s="1"/>
  <c r="B72" i="48" a="1"/>
  <c r="B72" i="48" s="1"/>
  <c r="A332" i="48" a="1"/>
  <c r="A332" i="48" s="1"/>
  <c r="A245" i="48" a="1"/>
  <c r="A245" i="48" s="1"/>
  <c r="A309" i="48" a="1"/>
  <c r="A309" i="48" s="1"/>
  <c r="A329" i="48" a="1"/>
  <c r="A329" i="48" s="1"/>
  <c r="A322" i="48" a="1"/>
  <c r="A322" i="48" s="1"/>
  <c r="A80" i="48" a="1"/>
  <c r="A80" i="48" s="1"/>
  <c r="A222" i="48" a="1"/>
  <c r="A222" i="48" s="1"/>
  <c r="J288" i="48" a="1"/>
  <c r="J288" i="48" s="1"/>
  <c r="B31" i="48" a="1"/>
  <c r="B31" i="48" s="1"/>
  <c r="A174" i="48" a="1"/>
  <c r="A174" i="48" s="1"/>
  <c r="B28" i="48" a="1"/>
  <c r="B28" i="48" s="1"/>
  <c r="A296" i="48" a="1"/>
  <c r="A296" i="48" s="1"/>
  <c r="J267" i="48" a="1"/>
  <c r="J267" i="48" s="1"/>
  <c r="A134" i="48" a="1"/>
  <c r="A134" i="48" s="1"/>
  <c r="B347" i="48" a="1"/>
  <c r="B347" i="48" s="1"/>
  <c r="B83" i="48" a="1"/>
  <c r="B83" i="48" s="1"/>
  <c r="B238" i="48" a="1"/>
  <c r="B238" i="48" s="1"/>
  <c r="A184" i="48" a="1"/>
  <c r="A184" i="48" s="1"/>
  <c r="B40" i="48" a="1"/>
  <c r="B40" i="48" s="1"/>
  <c r="B237" i="48" a="1"/>
  <c r="B237" i="48" s="1"/>
  <c r="B293" i="48" a="1"/>
  <c r="B293" i="48" s="1"/>
  <c r="A32" i="48" a="1"/>
  <c r="A32" i="48" s="1"/>
  <c r="B258" i="48" a="1"/>
  <c r="B258" i="48" s="1"/>
  <c r="B308" i="48" a="1"/>
  <c r="B308" i="48" s="1"/>
  <c r="A157" i="48" a="1"/>
  <c r="A157" i="48" s="1"/>
  <c r="B353" i="48" a="1"/>
  <c r="B353" i="48" s="1"/>
  <c r="B56" i="48" a="1"/>
  <c r="B56" i="48" s="1"/>
  <c r="A125" i="48" a="1"/>
  <c r="A125" i="48" s="1"/>
  <c r="B107" i="48" a="1"/>
  <c r="B107" i="48" s="1"/>
  <c r="J120" i="48" a="1"/>
  <c r="J120" i="48" s="1"/>
  <c r="J128" i="48" a="1"/>
  <c r="J128" i="48" s="1"/>
  <c r="B198" i="48" a="1"/>
  <c r="B198" i="48" s="1"/>
  <c r="B223" i="48" a="1"/>
  <c r="B223" i="48" s="1"/>
  <c r="J197" i="48" a="1"/>
  <c r="J197" i="48" s="1"/>
  <c r="B143" i="48" a="1"/>
  <c r="B143" i="48" s="1"/>
  <c r="B193" i="48" a="1"/>
  <c r="B193" i="48" s="1"/>
  <c r="J143" i="48" a="1"/>
  <c r="J143" i="48" s="1"/>
  <c r="J305" i="48" a="1"/>
  <c r="J305" i="48" s="1"/>
  <c r="B41" i="48" a="1"/>
  <c r="B41" i="48" s="1"/>
  <c r="J203" i="48" a="1"/>
  <c r="J203" i="48" s="1"/>
  <c r="A251" i="48" a="1"/>
  <c r="A251" i="48" s="1"/>
  <c r="A210" i="48" a="1"/>
  <c r="A210" i="48" s="1"/>
  <c r="A188" i="48" a="1"/>
  <c r="A188" i="48" s="1"/>
  <c r="J122" i="48" a="1"/>
  <c r="J122" i="48" s="1"/>
  <c r="J71" i="48" a="1"/>
  <c r="J71" i="48" s="1"/>
  <c r="A258" i="48" a="1"/>
  <c r="A258" i="48" s="1"/>
  <c r="A290" i="48" a="1"/>
  <c r="A290" i="48" s="1"/>
  <c r="J304" i="48" a="1"/>
  <c r="J304" i="48" s="1"/>
  <c r="B172" i="48" a="1"/>
  <c r="B172" i="48" s="1"/>
  <c r="A118" i="48" a="1"/>
  <c r="A118" i="48" s="1"/>
  <c r="J306" i="48" a="1"/>
  <c r="J306" i="48" s="1"/>
  <c r="A192" i="48" a="1"/>
  <c r="A192" i="48" s="1"/>
  <c r="A266" i="48" a="1"/>
  <c r="A266" i="48" s="1"/>
  <c r="B227" i="48" a="1"/>
  <c r="B227" i="48" s="1"/>
  <c r="A250" i="48" a="1"/>
  <c r="A250" i="48" s="1"/>
  <c r="J231" i="48" a="1"/>
  <c r="J231" i="48" s="1"/>
  <c r="B310" i="48" a="1"/>
  <c r="B310" i="48" s="1"/>
  <c r="J86" i="48" a="1"/>
  <c r="J86" i="48" s="1"/>
  <c r="J240" i="48" a="1"/>
  <c r="J240" i="48" s="1"/>
  <c r="J147" i="48" a="1"/>
  <c r="J147" i="48" s="1"/>
  <c r="J330" i="48" a="1"/>
  <c r="J330" i="48" s="1"/>
  <c r="A131" i="48" a="1"/>
  <c r="A131" i="48" s="1"/>
  <c r="A128" i="48" a="1"/>
  <c r="A128" i="48" s="1"/>
  <c r="A68" i="48" a="1"/>
  <c r="A68" i="48" s="1"/>
  <c r="J337" i="48" a="1"/>
  <c r="J337" i="48" s="1"/>
  <c r="A295" i="48" a="1"/>
  <c r="A295" i="48" s="1"/>
  <c r="A311" i="48" a="1"/>
  <c r="A311" i="48" s="1"/>
  <c r="B219" i="48" a="1"/>
  <c r="B219" i="48" s="1"/>
  <c r="B48" i="48" a="1"/>
  <c r="B48" i="48" s="1"/>
  <c r="B309" i="48" a="1"/>
  <c r="B309" i="48" s="1"/>
  <c r="A319" i="48" a="1"/>
  <c r="A319" i="48" s="1"/>
  <c r="J134" i="48" a="1"/>
  <c r="J134" i="48" s="1"/>
  <c r="B344" i="48" a="1"/>
  <c r="B344" i="48" s="1"/>
  <c r="J152" i="48" a="1"/>
  <c r="J152" i="48" s="1"/>
  <c r="A92" i="48" a="1"/>
  <c r="A92" i="48" s="1"/>
  <c r="B163" i="48" a="1"/>
  <c r="B163" i="48" s="1"/>
  <c r="J14" i="48" a="1"/>
  <c r="J14" i="48" s="1"/>
  <c r="B11" i="48" a="1"/>
  <c r="B11" i="48" s="1"/>
  <c r="A305" i="48" a="1"/>
  <c r="A305" i="48" s="1"/>
  <c r="J284" i="48" a="1"/>
  <c r="J284" i="48" s="1"/>
  <c r="A264" i="48" a="1"/>
  <c r="A264" i="48" s="1"/>
  <c r="J148" i="48" a="1"/>
  <c r="J148" i="48" s="1"/>
  <c r="A8" i="48" a="1"/>
  <c r="A8" i="48" s="1"/>
  <c r="J235" i="48" a="1"/>
  <c r="J235" i="48" s="1"/>
  <c r="A171" i="48" a="1"/>
  <c r="A171" i="48" s="1"/>
  <c r="J195" i="48" a="1"/>
  <c r="J195" i="48" s="1"/>
  <c r="B268" i="48" a="1"/>
  <c r="B268" i="48" s="1"/>
  <c r="J188" i="48" a="1"/>
  <c r="J188" i="48" s="1"/>
  <c r="B132" i="48" a="1"/>
  <c r="B132" i="48" s="1"/>
  <c r="B348" i="48" a="1"/>
  <c r="B348" i="48" s="1"/>
  <c r="J87" i="48" a="1"/>
  <c r="J87" i="48" s="1"/>
  <c r="B235" i="48" a="1"/>
  <c r="B235" i="48" s="1"/>
  <c r="A198" i="48" a="1"/>
  <c r="A198" i="48" s="1"/>
  <c r="A270" i="48" a="1"/>
  <c r="A270" i="48" s="1"/>
  <c r="B160" i="48" a="1"/>
  <c r="B160" i="48" s="1"/>
  <c r="J326" i="48" a="1"/>
  <c r="J326" i="48" s="1"/>
  <c r="J252" i="48" a="1"/>
  <c r="J252" i="48" s="1"/>
  <c r="B15" i="48" a="1"/>
  <c r="B15" i="48" s="1"/>
  <c r="A235" i="48" a="1"/>
  <c r="A235" i="48" s="1"/>
  <c r="J308" i="48" a="1"/>
  <c r="J308" i="48" s="1"/>
  <c r="J43" i="48" a="1"/>
  <c r="J43" i="48" s="1"/>
  <c r="A193" i="48" a="1"/>
  <c r="A193" i="48" s="1"/>
  <c r="A331" i="48" a="1"/>
  <c r="A331" i="48" s="1"/>
  <c r="B79" i="48" a="1"/>
  <c r="B79" i="48" s="1"/>
  <c r="B168" i="48" a="1"/>
  <c r="B168" i="48" s="1"/>
  <c r="J117" i="48" a="1"/>
  <c r="J117" i="48" s="1"/>
  <c r="A105" i="48" a="1"/>
  <c r="A105" i="48" s="1"/>
  <c r="A13" i="48" a="1"/>
  <c r="A13" i="48" s="1"/>
  <c r="B108" i="48" a="1"/>
  <c r="B108" i="48" s="1"/>
  <c r="B67" i="48" a="1"/>
  <c r="B67" i="48" s="1"/>
  <c r="J100" i="48" a="1"/>
  <c r="J100" i="48" s="1"/>
  <c r="B55" i="48" a="1"/>
  <c r="B55" i="48" s="1"/>
  <c r="J167" i="48" a="1"/>
  <c r="J167" i="48" s="1"/>
  <c r="B313" i="48" a="1"/>
  <c r="B313" i="48" s="1"/>
  <c r="J57" i="48" a="1"/>
  <c r="J57" i="48" s="1"/>
  <c r="J215" i="48" a="1"/>
  <c r="J215" i="48" s="1"/>
  <c r="J346" i="48" a="1"/>
  <c r="J346" i="48" s="1"/>
  <c r="J256" i="48" a="1"/>
  <c r="J256" i="48" s="1"/>
  <c r="A165" i="48" a="1"/>
  <c r="A165" i="48" s="1"/>
  <c r="J142" i="48" a="1"/>
  <c r="J142" i="48" s="1"/>
  <c r="B325" i="48" a="1"/>
  <c r="B325" i="48" s="1"/>
  <c r="J268" i="48" a="1"/>
  <c r="J268" i="48" s="1"/>
  <c r="J127" i="48" a="1"/>
  <c r="J127" i="48" s="1"/>
  <c r="A34" i="48" a="1"/>
  <c r="A34" i="48" s="1"/>
  <c r="J67" i="48" a="1"/>
  <c r="J67" i="48" s="1"/>
  <c r="A144" i="48" a="1"/>
  <c r="A144" i="48" s="1"/>
  <c r="B175" i="48" a="1"/>
  <c r="B175" i="48" s="1"/>
  <c r="A28" i="48" a="1"/>
  <c r="A28" i="48" s="1"/>
  <c r="A280" i="48" a="1"/>
  <c r="A280" i="48" s="1"/>
  <c r="J245" i="48" a="1"/>
  <c r="J245" i="48" s="1"/>
  <c r="A338" i="48" a="1"/>
  <c r="A338" i="48" s="1"/>
  <c r="B354" i="48" a="1"/>
  <c r="B354" i="48" s="1"/>
  <c r="J154" i="48" a="1"/>
  <c r="J154" i="48" s="1"/>
  <c r="J250" i="48" a="1"/>
  <c r="J250" i="48" s="1"/>
  <c r="B80" i="48" a="1"/>
  <c r="B80" i="48" s="1"/>
  <c r="A81" i="48" a="1"/>
  <c r="A81" i="48" s="1"/>
  <c r="A168" i="48" a="1"/>
  <c r="A168" i="48" s="1"/>
  <c r="B62" i="48" a="1"/>
  <c r="B62" i="48" s="1"/>
  <c r="A121" i="48" a="1"/>
  <c r="A121" i="48" s="1"/>
  <c r="A122" i="48" a="1"/>
  <c r="A122" i="48" s="1"/>
  <c r="A163" i="48" a="1"/>
  <c r="A163" i="48" s="1"/>
  <c r="B75" i="48" a="1"/>
  <c r="B75" i="48" s="1"/>
  <c r="J189" i="48" a="1"/>
  <c r="J189" i="48" s="1"/>
  <c r="B278" i="48" a="1"/>
  <c r="B278" i="48" s="1"/>
  <c r="A31" i="48" a="1"/>
  <c r="A31" i="48" s="1"/>
  <c r="J251" i="48" a="1"/>
  <c r="J251" i="48" s="1"/>
  <c r="B297" i="48" a="1"/>
  <c r="B297" i="48" s="1"/>
  <c r="A172" i="48" a="1"/>
  <c r="A172" i="48" s="1"/>
  <c r="B305" i="48" a="1"/>
  <c r="B305" i="48" s="1"/>
  <c r="B263" i="48" a="1"/>
  <c r="B263" i="48" s="1"/>
  <c r="J229" i="48" a="1"/>
  <c r="J229" i="48" s="1"/>
  <c r="A126" i="48" a="1"/>
  <c r="A126" i="48" s="1"/>
  <c r="J48" i="48" a="1"/>
  <c r="J48" i="48" s="1"/>
  <c r="A242" i="48" a="1"/>
  <c r="A242" i="48" s="1"/>
  <c r="J6" i="48" a="1"/>
  <c r="J6" i="48" s="1"/>
  <c r="B216" i="48" a="1"/>
  <c r="B216" i="48" s="1"/>
  <c r="J275" i="48" a="1"/>
  <c r="J275" i="48" s="1"/>
  <c r="J59" i="48" a="1"/>
  <c r="J59" i="48" s="1"/>
  <c r="B174" i="48" a="1"/>
  <c r="B174" i="48" s="1"/>
  <c r="B287" i="48" a="1"/>
  <c r="B287" i="48" s="1"/>
  <c r="B334" i="48" a="1"/>
  <c r="B334" i="48" s="1"/>
  <c r="B54" i="48" a="1"/>
  <c r="B54" i="48" s="1"/>
  <c r="A57" i="48" a="1"/>
  <c r="A57" i="48" s="1"/>
  <c r="B240" i="48" a="1"/>
  <c r="B240" i="48" s="1"/>
  <c r="J196" i="48" a="1"/>
  <c r="J196" i="48" s="1"/>
  <c r="B138" i="48" a="1"/>
  <c r="B138" i="48" s="1"/>
  <c r="B200" i="48" a="1"/>
  <c r="B200" i="48" s="1"/>
  <c r="B247" i="48" a="1"/>
  <c r="B247" i="48" s="1"/>
  <c r="J270" i="48" a="1"/>
  <c r="J270" i="48" s="1"/>
  <c r="J56" i="48" a="1"/>
  <c r="J56" i="48" s="1"/>
  <c r="A72" i="48" a="1"/>
  <c r="A72" i="48" s="1"/>
  <c r="J287" i="48" a="1"/>
  <c r="J287" i="48" s="1"/>
  <c r="B141" i="48" a="1"/>
  <c r="B141" i="48" s="1"/>
  <c r="A209" i="48" a="1"/>
  <c r="A209" i="48" s="1"/>
  <c r="A252" i="48" a="1"/>
  <c r="A252" i="48" s="1"/>
  <c r="A111" i="48" a="1"/>
  <c r="A111" i="48" s="1"/>
  <c r="A44" i="48" a="1"/>
  <c r="A44" i="48" s="1"/>
  <c r="A156" i="48" a="1"/>
  <c r="A156" i="48" s="1"/>
  <c r="B255" i="48" a="1"/>
  <c r="B255" i="48" s="1"/>
  <c r="B171" i="48" a="1"/>
  <c r="B171" i="48" s="1"/>
  <c r="B178" i="48" a="1"/>
  <c r="B178" i="48" s="1"/>
  <c r="J40" i="48" a="1"/>
  <c r="J40" i="48" s="1"/>
  <c r="A100" i="48" a="1"/>
  <c r="A100" i="48" s="1"/>
  <c r="J60" i="48" a="1"/>
  <c r="J60" i="48" s="1"/>
  <c r="A179" i="48" a="1"/>
  <c r="A179" i="48" s="1"/>
  <c r="B134" i="48" a="1"/>
  <c r="B134" i="48" s="1"/>
  <c r="J93" i="48" a="1"/>
  <c r="J93" i="48" s="1"/>
  <c r="B159" i="48" a="1"/>
  <c r="B159" i="48" s="1"/>
  <c r="B294" i="48" a="1"/>
  <c r="B294" i="48" s="1"/>
  <c r="J222" i="48" a="1"/>
  <c r="J222" i="48" s="1"/>
  <c r="B117" i="48" a="1"/>
  <c r="B117" i="48" s="1"/>
  <c r="A70" i="48" a="1"/>
  <c r="A70" i="48" s="1"/>
  <c r="B338" i="48" a="1"/>
  <c r="B338" i="48" s="1"/>
  <c r="A226" i="48" a="1"/>
  <c r="A226" i="48" s="1"/>
  <c r="A284" i="48" a="1"/>
  <c r="A284" i="48" s="1"/>
  <c r="A292" i="48" a="1"/>
  <c r="A292" i="48" s="1"/>
  <c r="B234" i="48" a="1"/>
  <c r="B234" i="48" s="1"/>
  <c r="J347" i="48" a="1"/>
  <c r="J347" i="48" s="1"/>
  <c r="A83" i="48" a="1"/>
  <c r="A83" i="48" s="1"/>
  <c r="B252" i="48" a="1"/>
  <c r="B252" i="48" s="1"/>
  <c r="A330" i="48" a="1"/>
  <c r="A330" i="48" s="1"/>
  <c r="J201" i="48" a="1"/>
  <c r="J201" i="48" s="1"/>
  <c r="J354" i="48" a="1"/>
  <c r="J354" i="48" s="1"/>
  <c r="J37" i="48" a="1"/>
  <c r="J37" i="48" s="1"/>
  <c r="A208" i="48" a="1"/>
  <c r="A208" i="48" s="1"/>
  <c r="B101" i="48" a="1"/>
  <c r="B101" i="48" s="1"/>
  <c r="J285" i="48" a="1"/>
  <c r="J285" i="48" s="1"/>
  <c r="J320" i="48" a="1"/>
  <c r="J320" i="48" s="1"/>
  <c r="E285" i="100"/>
  <c r="F285" i="100" a="1"/>
  <c r="F285" i="100" s="1"/>
  <c r="D285" i="100"/>
  <c r="E8" i="22"/>
  <c r="E9" i="22"/>
  <c r="B71" i="22"/>
  <c r="E71" i="22"/>
  <c r="G71" i="22"/>
  <c r="C71" i="22"/>
  <c r="J257" i="53"/>
  <c r="G257" i="53" a="1"/>
  <c r="G257" i="53" s="1"/>
  <c r="E257" i="53"/>
  <c r="F257" i="53"/>
  <c r="U257" i="53" s="1"/>
  <c r="D257" i="53"/>
  <c r="A68" i="39" a="1"/>
  <c r="A68" i="39" s="1"/>
  <c r="G68" i="39" s="1"/>
  <c r="F8" i="39" a="1"/>
  <c r="F8" i="39" s="1"/>
  <c r="F26" i="39" a="1"/>
  <c r="F26" i="39" s="1"/>
  <c r="F78" i="39" a="1"/>
  <c r="F78" i="39" s="1"/>
  <c r="A77" i="39" a="1"/>
  <c r="A77" i="39" s="1"/>
  <c r="D77" i="39" s="1"/>
  <c r="F80" i="39" a="1"/>
  <c r="F80" i="39" s="1"/>
  <c r="A34" i="39" a="1"/>
  <c r="A34" i="39" s="1"/>
  <c r="D34" i="39" s="1"/>
  <c r="A63" i="39" a="1"/>
  <c r="A63" i="39" s="1"/>
  <c r="G63" i="39" s="1"/>
  <c r="A49" i="39" a="1"/>
  <c r="A49" i="39" s="1"/>
  <c r="B49" i="39" s="1"/>
  <c r="A39" i="39" a="1"/>
  <c r="A39" i="39" s="1"/>
  <c r="E39" i="39" s="1"/>
  <c r="A81" i="39" a="1"/>
  <c r="A81" i="39" s="1"/>
  <c r="B81" i="39" s="1"/>
  <c r="A69" i="39" a="1"/>
  <c r="A69" i="39" s="1"/>
  <c r="B69" i="39" s="1"/>
  <c r="A47" i="39" a="1"/>
  <c r="A47" i="39" s="1"/>
  <c r="G47" i="39" s="1"/>
  <c r="A56" i="98" a="1"/>
  <c r="A56" i="98" s="1"/>
  <c r="C56" i="98" s="1"/>
  <c r="F23" i="98" a="1"/>
  <c r="F23" i="98" s="1"/>
  <c r="A7" i="98" a="1"/>
  <c r="A7" i="98" s="1"/>
  <c r="F46" i="39" a="1"/>
  <c r="F46" i="39" s="1"/>
  <c r="F70" i="39" a="1"/>
  <c r="F70" i="39" s="1"/>
  <c r="A56" i="39" a="1"/>
  <c r="A56" i="39" s="1"/>
  <c r="B56" i="39" s="1"/>
  <c r="A72" i="39" a="1"/>
  <c r="A72" i="39" s="1"/>
  <c r="C72" i="39" s="1"/>
  <c r="F38" i="39" a="1"/>
  <c r="F38" i="39" s="1"/>
  <c r="A19" i="39" a="1"/>
  <c r="A19" i="39" s="1"/>
  <c r="D19" i="39" s="1"/>
  <c r="F72" i="39" a="1"/>
  <c r="F72" i="39" s="1"/>
  <c r="A72" i="98" a="1"/>
  <c r="A72" i="98" s="1"/>
  <c r="C72" i="98" s="1"/>
  <c r="F16" i="98" a="1"/>
  <c r="F16" i="98" s="1"/>
  <c r="F19" i="98" a="1"/>
  <c r="F19" i="98" s="1"/>
  <c r="F85" i="39" a="1"/>
  <c r="F85" i="39" s="1"/>
  <c r="A46" i="39" a="1"/>
  <c r="A46" i="39" s="1"/>
  <c r="G46" i="39" s="1"/>
  <c r="F75" i="39" a="1"/>
  <c r="F75" i="39" s="1"/>
  <c r="A33" i="39" a="1"/>
  <c r="A33" i="39" s="1"/>
  <c r="G33" i="39" s="1"/>
  <c r="A55" i="39" a="1"/>
  <c r="A55" i="39" s="1"/>
  <c r="C55" i="39" s="1"/>
  <c r="A24" i="39" a="1"/>
  <c r="A24" i="39" s="1"/>
  <c r="B24" i="39" s="1"/>
  <c r="F18" i="39" a="1"/>
  <c r="F18" i="39" s="1"/>
  <c r="F45" i="39" a="1"/>
  <c r="F45" i="39" s="1"/>
  <c r="F61" i="39" a="1"/>
  <c r="F61" i="39" s="1"/>
  <c r="F57" i="39" a="1"/>
  <c r="F57" i="39" s="1"/>
  <c r="F59" i="39" a="1"/>
  <c r="F59" i="39" s="1"/>
  <c r="F48" i="39" a="1"/>
  <c r="F48" i="39" s="1"/>
  <c r="A69" i="98" a="1"/>
  <c r="A69" i="98" s="1"/>
  <c r="C69" i="98" s="1"/>
  <c r="F67" i="39" a="1"/>
  <c r="F67" i="39" s="1"/>
  <c r="A20" i="98" a="1"/>
  <c r="A20" i="98" s="1"/>
  <c r="E20" i="98" s="1"/>
  <c r="A75" i="26" a="1"/>
  <c r="A75" i="26" s="1"/>
  <c r="A9" i="26" a="1"/>
  <c r="A9" i="26" s="1"/>
  <c r="A78" i="26" a="1"/>
  <c r="A78" i="26" s="1"/>
  <c r="A18" i="26" a="1"/>
  <c r="A18" i="26" s="1"/>
  <c r="F6" i="26" a="1"/>
  <c r="F6" i="26" s="1"/>
  <c r="F13" i="26" a="1"/>
  <c r="F13" i="26" s="1"/>
  <c r="F29" i="26" a="1"/>
  <c r="F29" i="26" s="1"/>
  <c r="F49" i="26" a="1"/>
  <c r="F49" i="26" s="1"/>
  <c r="F70" i="26" a="1"/>
  <c r="F70" i="26" s="1"/>
  <c r="A48" i="26" a="1"/>
  <c r="A48" i="26" s="1"/>
  <c r="A53" i="26" a="1"/>
  <c r="A53" i="26" s="1"/>
  <c r="F21" i="26" a="1"/>
  <c r="F21" i="26" s="1"/>
  <c r="A8" i="26" a="1"/>
  <c r="A8" i="26" s="1"/>
  <c r="A56" i="26" a="1"/>
  <c r="A56" i="26" s="1"/>
  <c r="F52" i="26" a="1"/>
  <c r="F52" i="26" s="1"/>
  <c r="F40" i="26" a="1"/>
  <c r="F40" i="26" s="1"/>
  <c r="F44" i="26" a="1"/>
  <c r="F44" i="26" s="1"/>
  <c r="F38" i="26" a="1"/>
  <c r="F38" i="26" s="1"/>
  <c r="A68" i="26" a="1"/>
  <c r="A68" i="26" s="1"/>
  <c r="F80" i="26" a="1"/>
  <c r="F80" i="26" s="1"/>
  <c r="F74" i="26" a="1"/>
  <c r="F74" i="26" s="1"/>
  <c r="F75" i="26" a="1"/>
  <c r="F75" i="26" s="1"/>
  <c r="F85" i="26" a="1"/>
  <c r="F85" i="26" s="1"/>
  <c r="F41" i="26" a="1"/>
  <c r="F41" i="26" s="1"/>
  <c r="F72" i="26" a="1"/>
  <c r="F72" i="26" s="1"/>
  <c r="F46" i="26" a="1"/>
  <c r="F46" i="26" s="1"/>
  <c r="F8" i="26" a="1"/>
  <c r="F8" i="26" s="1"/>
  <c r="A62" i="26" a="1"/>
  <c r="A62" i="26" s="1"/>
  <c r="F56" i="26" a="1"/>
  <c r="F56" i="26" s="1"/>
  <c r="A77" i="26" a="1"/>
  <c r="A77" i="26" s="1"/>
  <c r="F54" i="26" a="1"/>
  <c r="F54" i="26" s="1"/>
  <c r="A58" i="26" a="1"/>
  <c r="A58" i="26" s="1"/>
  <c r="F71" i="26" a="1"/>
  <c r="F71" i="26" s="1"/>
  <c r="A11" i="26" a="1"/>
  <c r="A11" i="26" s="1"/>
  <c r="F36" i="26" a="1"/>
  <c r="F36" i="26" s="1"/>
  <c r="F61" i="26" a="1"/>
  <c r="F61" i="26" s="1"/>
  <c r="F82" i="26" a="1"/>
  <c r="F82" i="26" s="1"/>
  <c r="F22" i="26" a="1"/>
  <c r="F22" i="26" s="1"/>
  <c r="A14" i="26" a="1"/>
  <c r="A14" i="26" s="1"/>
  <c r="A44" i="26" a="1"/>
  <c r="A44" i="26" s="1"/>
  <c r="A76" i="26" a="1"/>
  <c r="A76" i="26" s="1"/>
  <c r="F9" i="26" a="1"/>
  <c r="F9" i="26" s="1"/>
  <c r="F35" i="26" a="1"/>
  <c r="F35" i="26" s="1"/>
  <c r="F53" i="26" a="1"/>
  <c r="F53" i="26" s="1"/>
  <c r="A55" i="26" a="1"/>
  <c r="A55" i="26" s="1"/>
  <c r="A13" i="26" a="1"/>
  <c r="A13" i="26" s="1"/>
  <c r="A50" i="26" a="1"/>
  <c r="A50" i="26" s="1"/>
  <c r="A10" i="26" a="1"/>
  <c r="A10" i="26" s="1"/>
  <c r="A67" i="26" a="1"/>
  <c r="A67" i="26" s="1"/>
  <c r="F60" i="26" a="1"/>
  <c r="F60" i="26" s="1"/>
  <c r="A17" i="26" a="1"/>
  <c r="A17" i="26" s="1"/>
  <c r="A71" i="26" a="1"/>
  <c r="A71" i="26" s="1"/>
  <c r="A20" i="26" a="1"/>
  <c r="A20" i="26" s="1"/>
  <c r="F16" i="26" a="1"/>
  <c r="F16" i="26" s="1"/>
  <c r="F20" i="26" a="1"/>
  <c r="F20" i="26" s="1"/>
  <c r="A59" i="26" a="1"/>
  <c r="A59" i="26" s="1"/>
  <c r="F24" i="26" a="1"/>
  <c r="F24" i="26" s="1"/>
  <c r="A26" i="26" a="1"/>
  <c r="A26" i="26" s="1"/>
  <c r="F31" i="26" a="1"/>
  <c r="F31" i="26" s="1"/>
  <c r="F50" i="26" a="1"/>
  <c r="F50" i="26" s="1"/>
  <c r="A37" i="26" a="1"/>
  <c r="A37" i="26" s="1"/>
  <c r="F57" i="26" a="1"/>
  <c r="F57" i="26" s="1"/>
  <c r="A83" i="26" a="1"/>
  <c r="A83" i="26" s="1"/>
  <c r="F59" i="26" a="1"/>
  <c r="F59" i="26" s="1"/>
  <c r="A63" i="26" a="1"/>
  <c r="A63" i="26" s="1"/>
  <c r="A79" i="26" a="1"/>
  <c r="A79" i="26" s="1"/>
  <c r="F78" i="26" a="1"/>
  <c r="F78" i="26" s="1"/>
  <c r="A22" i="26" a="1"/>
  <c r="A22" i="26" s="1"/>
  <c r="A34" i="26" a="1"/>
  <c r="A34" i="26" s="1"/>
  <c r="F68" i="26" a="1"/>
  <c r="F68" i="26" s="1"/>
  <c r="A38" i="26" a="1"/>
  <c r="A38" i="26" s="1"/>
  <c r="F25" i="26" a="1"/>
  <c r="F25" i="26" s="1"/>
  <c r="F10" i="26" a="1"/>
  <c r="F10" i="26" s="1"/>
  <c r="F11" i="26" a="1"/>
  <c r="F11" i="26" s="1"/>
  <c r="A42" i="26" a="1"/>
  <c r="A42" i="26" s="1"/>
  <c r="A7" i="26" a="1"/>
  <c r="A7" i="26" s="1"/>
  <c r="F47" i="26" a="1"/>
  <c r="F47" i="26" s="1"/>
  <c r="F64" i="26" a="1"/>
  <c r="F64" i="26" s="1"/>
  <c r="A73" i="26" a="1"/>
  <c r="A73" i="26" s="1"/>
  <c r="F65" i="26" a="1"/>
  <c r="F65" i="26" s="1"/>
  <c r="K6" i="26"/>
  <c r="A6" i="26" s="1" a="1"/>
  <c r="A6" i="26" s="1"/>
  <c r="A66" i="26" a="1"/>
  <c r="A66" i="26" s="1"/>
  <c r="F79" i="26" a="1"/>
  <c r="F79" i="26" s="1"/>
  <c r="F66" i="26" a="1"/>
  <c r="F66" i="26" s="1"/>
  <c r="A65" i="26" a="1"/>
  <c r="A65" i="26" s="1"/>
  <c r="A35" i="26" a="1"/>
  <c r="A35" i="26" s="1"/>
  <c r="F76" i="26" a="1"/>
  <c r="F76" i="26" s="1"/>
  <c r="A57" i="26" a="1"/>
  <c r="A57" i="26" s="1"/>
  <c r="A25" i="26" a="1"/>
  <c r="A25" i="26" s="1"/>
  <c r="A84" i="26" a="1"/>
  <c r="A84" i="26" s="1"/>
  <c r="F81" i="26" a="1"/>
  <c r="F81" i="26" s="1"/>
  <c r="F17" i="26" a="1"/>
  <c r="F17" i="26" s="1"/>
  <c r="A49" i="26" a="1"/>
  <c r="A49" i="26" s="1"/>
  <c r="A85" i="26" a="1"/>
  <c r="A85" i="26" s="1"/>
  <c r="A27" i="26" a="1"/>
  <c r="A27" i="26" s="1"/>
  <c r="F43" i="26" a="1"/>
  <c r="F43" i="26" s="1"/>
  <c r="A61" i="26" a="1"/>
  <c r="A61" i="26" s="1"/>
  <c r="F30" i="26" a="1"/>
  <c r="F30" i="26" s="1"/>
  <c r="A69" i="26" a="1"/>
  <c r="A69" i="26" s="1"/>
  <c r="F27" i="26" a="1"/>
  <c r="F27" i="26" s="1"/>
  <c r="A43" i="26" a="1"/>
  <c r="A43" i="26" s="1"/>
  <c r="F58" i="26" a="1"/>
  <c r="F58" i="26" s="1"/>
  <c r="A60" i="26" a="1"/>
  <c r="A60" i="26" s="1"/>
  <c r="F48" i="26" a="1"/>
  <c r="F48" i="26" s="1"/>
  <c r="A72" i="26" a="1"/>
  <c r="A72" i="26" s="1"/>
  <c r="A30" i="26" a="1"/>
  <c r="A30" i="26" s="1"/>
  <c r="F73" i="26" a="1"/>
  <c r="F73" i="26" s="1"/>
  <c r="F67" i="26" a="1"/>
  <c r="F67" i="26" s="1"/>
  <c r="F55" i="26" a="1"/>
  <c r="F55" i="26" s="1"/>
  <c r="A47" i="26" a="1"/>
  <c r="A47" i="26" s="1"/>
  <c r="F33" i="26" a="1"/>
  <c r="F33" i="26" s="1"/>
  <c r="A21" i="26" a="1"/>
  <c r="A21" i="26" s="1"/>
  <c r="F32" i="26" a="1"/>
  <c r="F32" i="26" s="1"/>
  <c r="A39" i="26" a="1"/>
  <c r="A39" i="26" s="1"/>
  <c r="A51" i="26" a="1"/>
  <c r="A51" i="26" s="1"/>
  <c r="F15" i="26" a="1"/>
  <c r="F15" i="26" s="1"/>
  <c r="F63" i="26" a="1"/>
  <c r="F63" i="26" s="1"/>
  <c r="F12" i="26" a="1"/>
  <c r="F12" i="26" s="1"/>
  <c r="A81" i="26" a="1"/>
  <c r="A81" i="26" s="1"/>
  <c r="A74" i="26" a="1"/>
  <c r="A74" i="26" s="1"/>
  <c r="A23" i="26" a="1"/>
  <c r="A23" i="26" s="1"/>
  <c r="F62" i="26" a="1"/>
  <c r="F62" i="26" s="1"/>
  <c r="A33" i="26" a="1"/>
  <c r="A33" i="26" s="1"/>
  <c r="A19" i="26" a="1"/>
  <c r="A19" i="26" s="1"/>
  <c r="A36" i="26" a="1"/>
  <c r="A36" i="26" s="1"/>
  <c r="F18" i="26" a="1"/>
  <c r="F18" i="26" s="1"/>
  <c r="A46" i="26" a="1"/>
  <c r="A46" i="26" s="1"/>
  <c r="F23" i="26" a="1"/>
  <c r="F23" i="26" s="1"/>
  <c r="F34" i="26" a="1"/>
  <c r="F34" i="26" s="1"/>
  <c r="F7" i="26" a="1"/>
  <c r="F7" i="26" s="1"/>
  <c r="F45" i="26" a="1"/>
  <c r="F45" i="26" s="1"/>
  <c r="F51" i="26" a="1"/>
  <c r="F51" i="26" s="1"/>
  <c r="F26" i="26" a="1"/>
  <c r="F26" i="26" s="1"/>
  <c r="F39" i="26" a="1"/>
  <c r="F39" i="26" s="1"/>
  <c r="A82" i="26" a="1"/>
  <c r="A82" i="26" s="1"/>
  <c r="F37" i="26" a="1"/>
  <c r="F37" i="26" s="1"/>
  <c r="F69" i="26" a="1"/>
  <c r="F69" i="26" s="1"/>
  <c r="A45" i="26" a="1"/>
  <c r="A45" i="26" s="1"/>
  <c r="F28" i="26" a="1"/>
  <c r="F28" i="26" s="1"/>
  <c r="F83" i="26" a="1"/>
  <c r="F83" i="26" s="1"/>
  <c r="A28" i="26" a="1"/>
  <c r="A28" i="26" s="1"/>
  <c r="A24" i="26" a="1"/>
  <c r="A24" i="26" s="1"/>
  <c r="A54" i="26" a="1"/>
  <c r="A54" i="26" s="1"/>
  <c r="A52" i="26" a="1"/>
  <c r="A52" i="26" s="1"/>
  <c r="A31" i="26" a="1"/>
  <c r="A31" i="26" s="1"/>
  <c r="F42" i="26" a="1"/>
  <c r="F42" i="26" s="1"/>
  <c r="A40" i="26" a="1"/>
  <c r="A40" i="26" s="1"/>
  <c r="F14" i="26" a="1"/>
  <c r="F14" i="26" s="1"/>
  <c r="F84" i="26" a="1"/>
  <c r="F84" i="26" s="1"/>
  <c r="A70" i="26" a="1"/>
  <c r="A70" i="26" s="1"/>
  <c r="F77" i="26" a="1"/>
  <c r="F77" i="26" s="1"/>
  <c r="A29" i="26" a="1"/>
  <c r="A29" i="26" s="1"/>
  <c r="F19" i="26" a="1"/>
  <c r="F19" i="26" s="1"/>
  <c r="A16" i="26" a="1"/>
  <c r="A16" i="26" s="1"/>
  <c r="A15" i="26" a="1"/>
  <c r="A15" i="26" s="1"/>
  <c r="A12" i="26" a="1"/>
  <c r="A12" i="26" s="1"/>
  <c r="A64" i="26" a="1"/>
  <c r="A64" i="26" s="1"/>
  <c r="A80" i="26" a="1"/>
  <c r="A80" i="26" s="1"/>
  <c r="A32" i="26" a="1"/>
  <c r="A32" i="26" s="1"/>
  <c r="A41" i="26" a="1"/>
  <c r="A41" i="26" s="1"/>
  <c r="F119" i="100" a="1"/>
  <c r="F119" i="100" s="1"/>
  <c r="E119" i="100"/>
  <c r="I119" i="100"/>
  <c r="D119" i="100"/>
  <c r="C119" i="100"/>
  <c r="D11" i="22"/>
  <c r="B11" i="22"/>
  <c r="C11" i="22"/>
  <c r="B82" i="22"/>
  <c r="D82" i="22"/>
  <c r="C82" i="22"/>
  <c r="A51" i="39" a="1"/>
  <c r="A51" i="39" s="1"/>
  <c r="C51" i="39" s="1"/>
  <c r="A70" i="39" a="1"/>
  <c r="A70" i="39" s="1"/>
  <c r="E70" i="39" s="1"/>
  <c r="A23" i="39" a="1"/>
  <c r="A23" i="39" s="1"/>
  <c r="G23" i="39" s="1"/>
  <c r="A31" i="39" a="1"/>
  <c r="A31" i="39" s="1"/>
  <c r="B31" i="39" s="1"/>
  <c r="F84" i="39" a="1"/>
  <c r="F84" i="39" s="1"/>
  <c r="F17" i="39" a="1"/>
  <c r="F17" i="39" s="1"/>
  <c r="F30" i="39" a="1"/>
  <c r="F30" i="39" s="1"/>
  <c r="F13" i="39" a="1"/>
  <c r="F13" i="39" s="1"/>
  <c r="F53" i="39" a="1"/>
  <c r="F53" i="39" s="1"/>
  <c r="F83" i="39" a="1"/>
  <c r="F83" i="39" s="1"/>
  <c r="A21" i="39" a="1"/>
  <c r="A21" i="39" s="1"/>
  <c r="D21" i="39" s="1"/>
  <c r="A59" i="39" a="1"/>
  <c r="A59" i="39" s="1"/>
  <c r="E59" i="39" s="1"/>
  <c r="A80" i="39" a="1"/>
  <c r="A80" i="39" s="1"/>
  <c r="E80" i="39" s="1"/>
  <c r="F24" i="39" a="1"/>
  <c r="F24" i="39" s="1"/>
  <c r="A36" i="39" a="1"/>
  <c r="A36" i="39" s="1"/>
  <c r="C36" i="39" s="1"/>
  <c r="A18" i="39" a="1"/>
  <c r="A18" i="39" s="1"/>
  <c r="G18" i="39" s="1"/>
  <c r="A21" i="98" a="1"/>
  <c r="A21" i="98" s="1"/>
  <c r="C21" i="98" s="1"/>
  <c r="A78" i="98" a="1"/>
  <c r="A78" i="98" s="1"/>
  <c r="G78" i="98" s="1"/>
  <c r="C245" i="101"/>
  <c r="E245" i="101"/>
  <c r="D245" i="101"/>
  <c r="F245" i="101" a="1"/>
  <c r="F245" i="101" s="1"/>
  <c r="I245" i="101"/>
  <c r="F55" i="39" a="1"/>
  <c r="F55" i="39" s="1"/>
  <c r="F62" i="39" a="1"/>
  <c r="F62" i="39" s="1"/>
  <c r="A38" i="39" a="1"/>
  <c r="A38" i="39" s="1"/>
  <c r="C38" i="39" s="1"/>
  <c r="F44" i="39" a="1"/>
  <c r="F44" i="39" s="1"/>
  <c r="A22" i="39" a="1"/>
  <c r="A22" i="39" s="1"/>
  <c r="C22" i="39" s="1"/>
  <c r="F76" i="39" a="1"/>
  <c r="F76" i="39" s="1"/>
  <c r="F71" i="39" a="1"/>
  <c r="F71" i="39" s="1"/>
  <c r="A37" i="39" a="1"/>
  <c r="A37" i="39" s="1"/>
  <c r="B37" i="39" s="1"/>
  <c r="A44" i="39" a="1"/>
  <c r="A44" i="39" s="1"/>
  <c r="E44" i="39" s="1"/>
  <c r="F41" i="39" a="1"/>
  <c r="F41" i="39" s="1"/>
  <c r="F33" i="39" a="1"/>
  <c r="F33" i="39" s="1"/>
  <c r="A60" i="39" a="1"/>
  <c r="A60" i="39" s="1"/>
  <c r="D60" i="39" s="1"/>
  <c r="F7" i="39" a="1"/>
  <c r="F7" i="39" s="1"/>
  <c r="F23" i="39" a="1"/>
  <c r="F23" i="39" s="1"/>
  <c r="F63" i="39" a="1"/>
  <c r="F63" i="39" s="1"/>
  <c r="F70" i="98" a="1"/>
  <c r="F70" i="98" s="1"/>
  <c r="F17" i="99" a="1"/>
  <c r="F17" i="99" s="1"/>
  <c r="A74" i="98" a="1"/>
  <c r="A74" i="98" s="1"/>
  <c r="B74" i="98" s="1"/>
  <c r="F24" i="44" a="1"/>
  <c r="F24" i="44" s="1"/>
  <c r="F21" i="44" a="1"/>
  <c r="F21" i="44" s="1"/>
  <c r="A54" i="44" a="1"/>
  <c r="A54" i="44" s="1"/>
  <c r="F14" i="44" a="1"/>
  <c r="F14" i="44" s="1"/>
  <c r="F33" i="44" a="1"/>
  <c r="F33" i="44" s="1"/>
  <c r="A31" i="44" a="1"/>
  <c r="A31" i="44" s="1"/>
  <c r="F27" i="44" a="1"/>
  <c r="F27" i="44" s="1"/>
  <c r="F59" i="44" a="1"/>
  <c r="F59" i="44" s="1"/>
  <c r="F6" i="44" a="1"/>
  <c r="F6" i="44" s="1"/>
  <c r="A35" i="44" a="1"/>
  <c r="A35" i="44" s="1"/>
  <c r="F15" i="44" a="1"/>
  <c r="F15" i="44" s="1"/>
  <c r="F65" i="44" a="1"/>
  <c r="F65" i="44" s="1"/>
  <c r="F47" i="44" a="1"/>
  <c r="F47" i="44" s="1"/>
  <c r="F78" i="44" a="1"/>
  <c r="F78" i="44" s="1"/>
  <c r="F85" i="44" a="1"/>
  <c r="F85" i="44" s="1"/>
  <c r="F35" i="44" a="1"/>
  <c r="F35" i="44" s="1"/>
  <c r="F26" i="44" a="1"/>
  <c r="F26" i="44" s="1"/>
  <c r="A53" i="44" a="1"/>
  <c r="A53" i="44" s="1"/>
  <c r="A14" i="44" a="1"/>
  <c r="A14" i="44" s="1"/>
  <c r="A73" i="44" a="1"/>
  <c r="A73" i="44" s="1"/>
  <c r="F45" i="44" a="1"/>
  <c r="F45" i="44" s="1"/>
  <c r="A77" i="44" a="1"/>
  <c r="A77" i="44" s="1"/>
  <c r="F60" i="44" a="1"/>
  <c r="F60" i="44" s="1"/>
  <c r="A12" i="44" a="1"/>
  <c r="A12" i="44" s="1"/>
  <c r="F82" i="44" a="1"/>
  <c r="F82" i="44" s="1"/>
  <c r="A56" i="44" a="1"/>
  <c r="A56" i="44" s="1"/>
  <c r="A70" i="44" a="1"/>
  <c r="A70" i="44" s="1"/>
  <c r="F73" i="44" a="1"/>
  <c r="F73" i="44" s="1"/>
  <c r="F34" i="44" a="1"/>
  <c r="F34" i="44" s="1"/>
  <c r="A10" i="44" a="1"/>
  <c r="A10" i="44" s="1"/>
  <c r="A72" i="44" a="1"/>
  <c r="A72" i="44" s="1"/>
  <c r="F49" i="44" a="1"/>
  <c r="F49" i="44" s="1"/>
  <c r="F42" i="44" a="1"/>
  <c r="F42" i="44" s="1"/>
  <c r="A46" i="44" a="1"/>
  <c r="A46" i="44" s="1"/>
  <c r="A36" i="44" a="1"/>
  <c r="A36" i="44" s="1"/>
  <c r="F80" i="44" a="1"/>
  <c r="F80" i="44" s="1"/>
  <c r="A34" i="44" a="1"/>
  <c r="A34" i="44" s="1"/>
  <c r="F62" i="44" a="1"/>
  <c r="F62" i="44" s="1"/>
  <c r="F66" i="44" a="1"/>
  <c r="F66" i="44" s="1"/>
  <c r="A42" i="44" a="1"/>
  <c r="A42" i="44" s="1"/>
  <c r="A50" i="44" a="1"/>
  <c r="A50" i="44" s="1"/>
  <c r="F16" i="44" a="1"/>
  <c r="F16" i="44" s="1"/>
  <c r="F11" i="44" a="1"/>
  <c r="F11" i="44" s="1"/>
  <c r="A15" i="44" a="1"/>
  <c r="A15" i="44" s="1"/>
  <c r="A71" i="44" a="1"/>
  <c r="A71" i="44" s="1"/>
  <c r="A44" i="44" a="1"/>
  <c r="A44" i="44" s="1"/>
  <c r="A75" i="44" a="1"/>
  <c r="A75" i="44" s="1"/>
  <c r="A25" i="44" a="1"/>
  <c r="A25" i="44" s="1"/>
  <c r="F58" i="44" a="1"/>
  <c r="F58" i="44" s="1"/>
  <c r="F28" i="44" a="1"/>
  <c r="F28" i="44" s="1"/>
  <c r="A27" i="44" a="1"/>
  <c r="A27" i="44" s="1"/>
  <c r="A58" i="44" a="1"/>
  <c r="A58" i="44" s="1"/>
  <c r="F32" i="44" a="1"/>
  <c r="F32" i="44" s="1"/>
  <c r="A65" i="44" a="1"/>
  <c r="A65" i="44" s="1"/>
  <c r="F30" i="44" a="1"/>
  <c r="F30" i="44" s="1"/>
  <c r="A39" i="44" a="1"/>
  <c r="A39" i="44" s="1"/>
  <c r="F76" i="44" a="1"/>
  <c r="F76" i="44" s="1"/>
  <c r="A16" i="44" a="1"/>
  <c r="A16" i="44" s="1"/>
  <c r="A74" i="44" a="1"/>
  <c r="A74" i="44" s="1"/>
  <c r="F56" i="44" a="1"/>
  <c r="F56" i="44" s="1"/>
  <c r="A30" i="44" a="1"/>
  <c r="A30" i="44" s="1"/>
  <c r="A62" i="44" a="1"/>
  <c r="A62" i="44" s="1"/>
  <c r="F37" i="44" a="1"/>
  <c r="F37" i="44" s="1"/>
  <c r="A67" i="44" a="1"/>
  <c r="A67" i="44" s="1"/>
  <c r="F72" i="44" a="1"/>
  <c r="F72" i="44" s="1"/>
  <c r="A17" i="44" a="1"/>
  <c r="A17" i="44" s="1"/>
  <c r="A48" i="44" a="1"/>
  <c r="A48" i="44" s="1"/>
  <c r="A55" i="44" a="1"/>
  <c r="A55" i="44" s="1"/>
  <c r="F31" i="44" a="1"/>
  <c r="F31" i="44" s="1"/>
  <c r="A80" i="44" a="1"/>
  <c r="A80" i="44" s="1"/>
  <c r="F61" i="44" a="1"/>
  <c r="F61" i="44" s="1"/>
  <c r="A68" i="44" a="1"/>
  <c r="A68" i="44" s="1"/>
  <c r="F17" i="44" a="1"/>
  <c r="F17" i="44" s="1"/>
  <c r="F20" i="44" a="1"/>
  <c r="F20" i="44" s="1"/>
  <c r="F57" i="44" a="1"/>
  <c r="F57" i="44" s="1"/>
  <c r="F75" i="44" a="1"/>
  <c r="F75" i="44" s="1"/>
  <c r="F40" i="44" a="1"/>
  <c r="F40" i="44" s="1"/>
  <c r="A49" i="44" a="1"/>
  <c r="A49" i="44" s="1"/>
  <c r="A63" i="44" a="1"/>
  <c r="A63" i="44" s="1"/>
  <c r="F63" i="44" a="1"/>
  <c r="F63" i="44" s="1"/>
  <c r="A79" i="44" a="1"/>
  <c r="A79" i="44" s="1"/>
  <c r="F71" i="44" a="1"/>
  <c r="F71" i="44" s="1"/>
  <c r="F69" i="44" a="1"/>
  <c r="F69" i="44" s="1"/>
  <c r="A18" i="44" a="1"/>
  <c r="A18" i="44" s="1"/>
  <c r="A43" i="44" a="1"/>
  <c r="A43" i="44" s="1"/>
  <c r="A47" i="44" a="1"/>
  <c r="A47" i="44" s="1"/>
  <c r="F29" i="44" a="1"/>
  <c r="F29" i="44" s="1"/>
  <c r="A64" i="44" a="1"/>
  <c r="A64" i="44" s="1"/>
  <c r="F12" i="44" a="1"/>
  <c r="F12" i="44" s="1"/>
  <c r="F39" i="44" a="1"/>
  <c r="F39" i="44" s="1"/>
  <c r="A24" i="44" a="1"/>
  <c r="A24" i="44" s="1"/>
  <c r="F51" i="44" a="1"/>
  <c r="F51" i="44" s="1"/>
  <c r="A81" i="44" a="1"/>
  <c r="A81" i="44" s="1"/>
  <c r="A33" i="44" a="1"/>
  <c r="A33" i="44" s="1"/>
  <c r="A32" i="44" a="1"/>
  <c r="A32" i="44" s="1"/>
  <c r="A41" i="44" a="1"/>
  <c r="A41" i="44" s="1"/>
  <c r="A83" i="44" a="1"/>
  <c r="A83" i="44" s="1"/>
  <c r="F64" i="44" a="1"/>
  <c r="F64" i="44" s="1"/>
  <c r="A51" i="44" a="1"/>
  <c r="A51" i="44" s="1"/>
  <c r="F81" i="44" a="1"/>
  <c r="F81" i="44" s="1"/>
  <c r="A66" i="44" a="1"/>
  <c r="A66" i="44" s="1"/>
  <c r="F18" i="44" a="1"/>
  <c r="F18" i="44" s="1"/>
  <c r="A29" i="44" a="1"/>
  <c r="A29" i="44" s="1"/>
  <c r="A28" i="44" a="1"/>
  <c r="A28" i="44" s="1"/>
  <c r="A38" i="44" a="1"/>
  <c r="A38" i="44" s="1"/>
  <c r="F7" i="44" a="1"/>
  <c r="F7" i="44" s="1"/>
  <c r="F44" i="44" a="1"/>
  <c r="F44" i="44" s="1"/>
  <c r="A22" i="44" a="1"/>
  <c r="A22" i="44" s="1"/>
  <c r="F83" i="44" a="1"/>
  <c r="F83" i="44" s="1"/>
  <c r="F46" i="44" a="1"/>
  <c r="F46" i="44" s="1"/>
  <c r="A84" i="44" a="1"/>
  <c r="A84" i="44" s="1"/>
  <c r="F67" i="44" a="1"/>
  <c r="F67" i="44" s="1"/>
  <c r="A8" i="44" a="1"/>
  <c r="A8" i="44" s="1"/>
  <c r="F54" i="44" a="1"/>
  <c r="F54" i="44" s="1"/>
  <c r="A82" i="44" a="1"/>
  <c r="A82" i="44" s="1"/>
  <c r="A23" i="44" a="1"/>
  <c r="A23" i="44" s="1"/>
  <c r="A52" i="44" a="1"/>
  <c r="A52" i="44" s="1"/>
  <c r="F19" i="44" a="1"/>
  <c r="F19" i="44" s="1"/>
  <c r="F74" i="44" a="1"/>
  <c r="F74" i="44" s="1"/>
  <c r="A76" i="44" a="1"/>
  <c r="A76" i="44" s="1"/>
  <c r="A60" i="44" a="1"/>
  <c r="A60" i="44" s="1"/>
  <c r="A20" i="44" a="1"/>
  <c r="A20" i="44" s="1"/>
  <c r="F23" i="44" a="1"/>
  <c r="F23" i="44" s="1"/>
  <c r="F25" i="44" a="1"/>
  <c r="F25" i="44" s="1"/>
  <c r="A19" i="44" a="1"/>
  <c r="A19" i="44" s="1"/>
  <c r="F10" i="44" a="1"/>
  <c r="F10" i="44" s="1"/>
  <c r="A13" i="44" a="1"/>
  <c r="A13" i="44" s="1"/>
  <c r="F70" i="44" a="1"/>
  <c r="F70" i="44" s="1"/>
  <c r="F38" i="44" a="1"/>
  <c r="F38" i="44" s="1"/>
  <c r="F53" i="44" a="1"/>
  <c r="F53" i="44" s="1"/>
  <c r="F79" i="44" a="1"/>
  <c r="F79" i="44" s="1"/>
  <c r="A26" i="44" a="1"/>
  <c r="A26" i="44" s="1"/>
  <c r="F22" i="44" a="1"/>
  <c r="F22" i="44" s="1"/>
  <c r="A69" i="44" a="1"/>
  <c r="A69" i="44" s="1"/>
  <c r="F68" i="44" a="1"/>
  <c r="F68" i="44" s="1"/>
  <c r="F55" i="44" a="1"/>
  <c r="F55" i="44" s="1"/>
  <c r="F9" i="44" a="1"/>
  <c r="F9" i="44" s="1"/>
  <c r="F13" i="44" a="1"/>
  <c r="F13" i="44" s="1"/>
  <c r="A37" i="44" a="1"/>
  <c r="A37" i="44" s="1"/>
  <c r="K6" i="44"/>
  <c r="A6" i="44" s="1" a="1"/>
  <c r="A6" i="44" s="1"/>
  <c r="A7" i="44" a="1"/>
  <c r="A7" i="44" s="1"/>
  <c r="F52" i="44" a="1"/>
  <c r="F52" i="44" s="1"/>
  <c r="F41" i="44" a="1"/>
  <c r="F41" i="44" s="1"/>
  <c r="F50" i="44" a="1"/>
  <c r="F50" i="44" s="1"/>
  <c r="A9" i="44" a="1"/>
  <c r="A9" i="44" s="1"/>
  <c r="A21" i="44" a="1"/>
  <c r="A21" i="44" s="1"/>
  <c r="A59" i="44" a="1"/>
  <c r="A59" i="44" s="1"/>
  <c r="F8" i="44" a="1"/>
  <c r="F8" i="44" s="1"/>
  <c r="A57" i="44" a="1"/>
  <c r="A57" i="44" s="1"/>
  <c r="B74" i="22"/>
  <c r="G74" i="22"/>
  <c r="C74" i="22"/>
  <c r="C38" i="22"/>
  <c r="D38" i="22"/>
  <c r="G38" i="22"/>
  <c r="B38" i="22"/>
  <c r="C56" i="22"/>
  <c r="B56" i="22"/>
  <c r="E56" i="22"/>
  <c r="E73" i="22"/>
  <c r="D73" i="22"/>
  <c r="B73" i="22"/>
  <c r="G73" i="22"/>
  <c r="C73" i="22"/>
  <c r="A52" i="39" a="1"/>
  <c r="A52" i="39" s="1"/>
  <c r="A8" i="39" a="1"/>
  <c r="A8" i="39" s="1"/>
  <c r="F36" i="39" a="1"/>
  <c r="F36" i="39" s="1"/>
  <c r="A19" i="40" a="1"/>
  <c r="A19" i="40" s="1"/>
  <c r="F71" i="40" a="1"/>
  <c r="F71" i="40" s="1"/>
  <c r="F32" i="40" a="1"/>
  <c r="F32" i="40" s="1"/>
  <c r="A23" i="40" a="1"/>
  <c r="A23" i="40" s="1"/>
  <c r="F50" i="40" a="1"/>
  <c r="F50" i="40" s="1"/>
  <c r="F10" i="40" a="1"/>
  <c r="F10" i="40" s="1"/>
  <c r="F37" i="40" a="1"/>
  <c r="F37" i="40" s="1"/>
  <c r="A77" i="40" a="1"/>
  <c r="A77" i="40" s="1"/>
  <c r="A38" i="40" a="1"/>
  <c r="A38" i="40" s="1"/>
  <c r="A31" i="40" a="1"/>
  <c r="A31" i="40" s="1"/>
  <c r="A81" i="40" a="1"/>
  <c r="A81" i="40" s="1"/>
  <c r="A44" i="40" a="1"/>
  <c r="A44" i="40" s="1"/>
  <c r="A73" i="40" a="1"/>
  <c r="A73" i="40" s="1"/>
  <c r="A12" i="40" a="1"/>
  <c r="A12" i="40" s="1"/>
  <c r="F45" i="40" a="1"/>
  <c r="F45" i="40" s="1"/>
  <c r="F83" i="40" a="1"/>
  <c r="F83" i="40" s="1"/>
  <c r="A55" i="40" a="1"/>
  <c r="A55" i="40" s="1"/>
  <c r="F22" i="40" a="1"/>
  <c r="F22" i="40" s="1"/>
  <c r="F65" i="40" a="1"/>
  <c r="F65" i="40" s="1"/>
  <c r="F81" i="40" a="1"/>
  <c r="F81" i="40" s="1"/>
  <c r="A53" i="40" a="1"/>
  <c r="A53" i="40" s="1"/>
  <c r="F12" i="40" a="1"/>
  <c r="F12" i="40" s="1"/>
  <c r="A18" i="40" a="1"/>
  <c r="A18" i="40" s="1"/>
  <c r="F62" i="40" a="1"/>
  <c r="F62" i="40" s="1"/>
  <c r="F34" i="40" a="1"/>
  <c r="F34" i="40" s="1"/>
  <c r="F24" i="40" a="1"/>
  <c r="F24" i="40" s="1"/>
  <c r="F44" i="40" a="1"/>
  <c r="F44" i="40" s="1"/>
  <c r="A50" i="40" a="1"/>
  <c r="A50" i="40" s="1"/>
  <c r="A21" i="40" a="1"/>
  <c r="A21" i="40" s="1"/>
  <c r="F39" i="40" a="1"/>
  <c r="F39" i="40" s="1"/>
  <c r="F40" i="40" a="1"/>
  <c r="F40" i="40" s="1"/>
  <c r="A8" i="40" a="1"/>
  <c r="A8" i="40" s="1"/>
  <c r="F15" i="40" a="1"/>
  <c r="F15" i="40" s="1"/>
  <c r="F69" i="40" a="1"/>
  <c r="F69" i="40" s="1"/>
  <c r="A22" i="40" a="1"/>
  <c r="A22" i="40" s="1"/>
  <c r="A24" i="40" a="1"/>
  <c r="A24" i="40" s="1"/>
  <c r="F55" i="40" a="1"/>
  <c r="F55" i="40" s="1"/>
  <c r="F63" i="40" a="1"/>
  <c r="F63" i="40" s="1"/>
  <c r="F54" i="40" a="1"/>
  <c r="F54" i="40" s="1"/>
  <c r="A68" i="40" a="1"/>
  <c r="A68" i="40" s="1"/>
  <c r="F42" i="40" a="1"/>
  <c r="F42" i="40" s="1"/>
  <c r="E5" i="40"/>
  <c r="A13" i="40" a="1"/>
  <c r="A13" i="40" s="1"/>
  <c r="F77" i="40" a="1"/>
  <c r="F77" i="40" s="1"/>
  <c r="F36" i="40" a="1"/>
  <c r="F36" i="40" s="1"/>
  <c r="F6" i="40" a="1"/>
  <c r="F6" i="40" s="1"/>
  <c r="F70" i="40" a="1"/>
  <c r="F70" i="40" s="1"/>
  <c r="F19" i="40" a="1"/>
  <c r="F19" i="40" s="1"/>
  <c r="F78" i="40" a="1"/>
  <c r="F78" i="40" s="1"/>
  <c r="A14" i="40" a="1"/>
  <c r="A14" i="40" s="1"/>
  <c r="A51" i="40" a="1"/>
  <c r="A51" i="40" s="1"/>
  <c r="F57" i="40" a="1"/>
  <c r="F57" i="40" s="1"/>
  <c r="A66" i="40" a="1"/>
  <c r="A66" i="40" s="1"/>
  <c r="A75" i="40" a="1"/>
  <c r="A75" i="40" s="1"/>
  <c r="F61" i="40" a="1"/>
  <c r="F61" i="40" s="1"/>
  <c r="A84" i="40" a="1"/>
  <c r="A84" i="40" s="1"/>
  <c r="F74" i="40" a="1"/>
  <c r="F74" i="40" s="1"/>
  <c r="F47" i="40" a="1"/>
  <c r="F47" i="40" s="1"/>
  <c r="A82" i="40" a="1"/>
  <c r="A82" i="40" s="1"/>
  <c r="F7" i="40" a="1"/>
  <c r="F7" i="40" s="1"/>
  <c r="F43" i="40" a="1"/>
  <c r="F43" i="40" s="1"/>
  <c r="A39" i="40" a="1"/>
  <c r="A39" i="40" s="1"/>
  <c r="A52" i="40" a="1"/>
  <c r="A52" i="40" s="1"/>
  <c r="A60" i="40" a="1"/>
  <c r="A60" i="40" s="1"/>
  <c r="F82" i="40" a="1"/>
  <c r="F82" i="40" s="1"/>
  <c r="A28" i="40" a="1"/>
  <c r="A28" i="40" s="1"/>
  <c r="A64" i="40" a="1"/>
  <c r="A64" i="40" s="1"/>
  <c r="A27" i="40" a="1"/>
  <c r="A27" i="40" s="1"/>
  <c r="A26" i="40" a="1"/>
  <c r="A26" i="40" s="1"/>
  <c r="A63" i="40" a="1"/>
  <c r="A63" i="40" s="1"/>
  <c r="A35" i="40" a="1"/>
  <c r="A35" i="40" s="1"/>
  <c r="F51" i="40" a="1"/>
  <c r="F51" i="40" s="1"/>
  <c r="A34" i="40" a="1"/>
  <c r="A34" i="40" s="1"/>
  <c r="A72" i="40" a="1"/>
  <c r="A72" i="40" s="1"/>
  <c r="F72" i="40" a="1"/>
  <c r="F72" i="40" s="1"/>
  <c r="F38" i="40" a="1"/>
  <c r="F38" i="40" s="1"/>
  <c r="F30" i="40" a="1"/>
  <c r="F30" i="40" s="1"/>
  <c r="F66" i="40" a="1"/>
  <c r="F66" i="40" s="1"/>
  <c r="A46" i="40" a="1"/>
  <c r="A46" i="40" s="1"/>
  <c r="A47" i="40" a="1"/>
  <c r="A47" i="40" s="1"/>
  <c r="A80" i="40" a="1"/>
  <c r="A80" i="40" s="1"/>
  <c r="A59" i="40" a="1"/>
  <c r="A59" i="40" s="1"/>
  <c r="A76" i="40" a="1"/>
  <c r="A76" i="40" s="1"/>
  <c r="A74" i="40" a="1"/>
  <c r="A74" i="40" s="1"/>
  <c r="F23" i="40" a="1"/>
  <c r="F23" i="40" s="1"/>
  <c r="A11" i="40" a="1"/>
  <c r="A11" i="40" s="1"/>
  <c r="F79" i="40" a="1"/>
  <c r="F79" i="40" s="1"/>
  <c r="A71" i="40" a="1"/>
  <c r="A71" i="40" s="1"/>
  <c r="F28" i="40" a="1"/>
  <c r="F28" i="40" s="1"/>
  <c r="A40" i="40" a="1"/>
  <c r="A40" i="40" s="1"/>
  <c r="A7" i="40" a="1"/>
  <c r="A7" i="40" s="1"/>
  <c r="F29" i="40" a="1"/>
  <c r="F29" i="40" s="1"/>
  <c r="A10" i="40" a="1"/>
  <c r="A10" i="40" s="1"/>
  <c r="F67" i="40" a="1"/>
  <c r="F67" i="40" s="1"/>
  <c r="F8" i="40" a="1"/>
  <c r="F8" i="40" s="1"/>
  <c r="A49" i="40" a="1"/>
  <c r="A49" i="40" s="1"/>
  <c r="F11" i="40" a="1"/>
  <c r="F11" i="40" s="1"/>
  <c r="F9" i="40" a="1"/>
  <c r="F9" i="40" s="1"/>
  <c r="F20" i="40" a="1"/>
  <c r="F20" i="40" s="1"/>
  <c r="A48" i="40" a="1"/>
  <c r="A48" i="40" s="1"/>
  <c r="A54" i="40" a="1"/>
  <c r="A54" i="40" s="1"/>
  <c r="A37" i="40" a="1"/>
  <c r="A37" i="40" s="1"/>
  <c r="A85" i="40" a="1"/>
  <c r="A85" i="40" s="1"/>
  <c r="A67" i="40" a="1"/>
  <c r="A67" i="40" s="1"/>
  <c r="A32" i="40" a="1"/>
  <c r="A32" i="40" s="1"/>
  <c r="A56" i="40" a="1"/>
  <c r="A56" i="40" s="1"/>
  <c r="A45" i="40" a="1"/>
  <c r="A45" i="40" s="1"/>
  <c r="A16" i="40" a="1"/>
  <c r="A16" i="40" s="1"/>
  <c r="F14" i="40" a="1"/>
  <c r="F14" i="40" s="1"/>
  <c r="F59" i="40" a="1"/>
  <c r="F59" i="40" s="1"/>
  <c r="A65" i="40" a="1"/>
  <c r="A65" i="40" s="1"/>
  <c r="F60" i="40" a="1"/>
  <c r="F60" i="40" s="1"/>
  <c r="A41" i="40" a="1"/>
  <c r="A41" i="40" s="1"/>
  <c r="A33" i="40" a="1"/>
  <c r="A33" i="40" s="1"/>
  <c r="A70" i="40" a="1"/>
  <c r="A70" i="40" s="1"/>
  <c r="A58" i="40" a="1"/>
  <c r="A58" i="40" s="1"/>
  <c r="F33" i="40" a="1"/>
  <c r="F33" i="40" s="1"/>
  <c r="F76" i="40" a="1"/>
  <c r="F76" i="40" s="1"/>
  <c r="A43" i="40" a="1"/>
  <c r="A43" i="40" s="1"/>
  <c r="F85" i="40" a="1"/>
  <c r="F85" i="40" s="1"/>
  <c r="A61" i="40" a="1"/>
  <c r="A61" i="40" s="1"/>
  <c r="A30" i="40" a="1"/>
  <c r="A30" i="40" s="1"/>
  <c r="F18" i="40" a="1"/>
  <c r="F18" i="40" s="1"/>
  <c r="F46" i="40" a="1"/>
  <c r="F46" i="40" s="1"/>
  <c r="F80" i="40" a="1"/>
  <c r="F80" i="40" s="1"/>
  <c r="F49" i="40" a="1"/>
  <c r="F49" i="40" s="1"/>
  <c r="A25" i="40" a="1"/>
  <c r="A25" i="40" s="1"/>
  <c r="A15" i="40" a="1"/>
  <c r="A15" i="40" s="1"/>
  <c r="A79" i="40" a="1"/>
  <c r="A79" i="40" s="1"/>
  <c r="F31" i="40" a="1"/>
  <c r="F31" i="40" s="1"/>
  <c r="F64" i="40" a="1"/>
  <c r="F64" i="40" s="1"/>
  <c r="F56" i="40" a="1"/>
  <c r="F56" i="40" s="1"/>
  <c r="A29" i="40" a="1"/>
  <c r="A29" i="40" s="1"/>
  <c r="F41" i="40" a="1"/>
  <c r="F41" i="40" s="1"/>
  <c r="F48" i="40" a="1"/>
  <c r="F48" i="40" s="1"/>
  <c r="A69" i="40" a="1"/>
  <c r="A69" i="40" s="1"/>
  <c r="F17" i="40" a="1"/>
  <c r="F17" i="40" s="1"/>
  <c r="F75" i="40" a="1"/>
  <c r="F75" i="40" s="1"/>
  <c r="F35" i="40" a="1"/>
  <c r="F35" i="40" s="1"/>
  <c r="F52" i="40" a="1"/>
  <c r="F52" i="40" s="1"/>
  <c r="A83" i="40" a="1"/>
  <c r="A83" i="40" s="1"/>
  <c r="F13" i="40" a="1"/>
  <c r="F13" i="40" s="1"/>
  <c r="A9" i="40" a="1"/>
  <c r="A9" i="40" s="1"/>
  <c r="F73" i="40" a="1"/>
  <c r="F73" i="40" s="1"/>
  <c r="F21" i="40" a="1"/>
  <c r="F21" i="40" s="1"/>
  <c r="A36" i="40" a="1"/>
  <c r="A36" i="40" s="1"/>
  <c r="F68" i="40" a="1"/>
  <c r="F68" i="40" s="1"/>
  <c r="A42" i="40" a="1"/>
  <c r="A42" i="40" s="1"/>
  <c r="F58" i="40" a="1"/>
  <c r="F58" i="40" s="1"/>
  <c r="A20" i="40" a="1"/>
  <c r="A20" i="40" s="1"/>
  <c r="F53" i="40" a="1"/>
  <c r="F53" i="40" s="1"/>
  <c r="F84" i="40" a="1"/>
  <c r="F84" i="40" s="1"/>
  <c r="A78" i="40" a="1"/>
  <c r="A78" i="40" s="1"/>
  <c r="A57" i="40" a="1"/>
  <c r="A57" i="40" s="1"/>
  <c r="F16" i="40" a="1"/>
  <c r="F16" i="40" s="1"/>
  <c r="F26" i="40" a="1"/>
  <c r="F26" i="40" s="1"/>
  <c r="A17" i="40" a="1"/>
  <c r="A17" i="40" s="1"/>
  <c r="A62" i="40" a="1"/>
  <c r="A62" i="40" s="1"/>
  <c r="F27" i="40" a="1"/>
  <c r="F27" i="40" s="1"/>
  <c r="K6" i="40"/>
  <c r="A6" i="40" s="1" a="1"/>
  <c r="A6" i="40" s="1"/>
  <c r="F25" i="40" a="1"/>
  <c r="F25" i="40" s="1"/>
  <c r="G60" i="22"/>
  <c r="D60" i="22"/>
  <c r="D33" i="22"/>
  <c r="E33" i="22"/>
  <c r="B33" i="22"/>
  <c r="C33" i="22"/>
  <c r="G33" i="22"/>
  <c r="A69" i="16" a="1"/>
  <c r="A69" i="16" s="1"/>
  <c r="F28" i="16" a="1"/>
  <c r="F28" i="16" s="1"/>
  <c r="F85" i="16" a="1"/>
  <c r="F85" i="16" s="1"/>
  <c r="F34" i="16" a="1"/>
  <c r="F34" i="16" s="1"/>
  <c r="A43" i="16" a="1"/>
  <c r="A43" i="16" s="1"/>
  <c r="A57" i="16" a="1"/>
  <c r="A57" i="16" s="1"/>
  <c r="A84" i="16" a="1"/>
  <c r="A84" i="16" s="1"/>
  <c r="F69" i="16" a="1"/>
  <c r="F69" i="16" s="1"/>
  <c r="A28" i="16" a="1"/>
  <c r="A28" i="16" s="1"/>
  <c r="A12" i="16" a="1"/>
  <c r="A12" i="16" s="1"/>
  <c r="A35" i="16" a="1"/>
  <c r="A35" i="16" s="1"/>
  <c r="F37" i="16" a="1"/>
  <c r="F37" i="16" s="1"/>
  <c r="F65" i="16" a="1"/>
  <c r="F65" i="16" s="1"/>
  <c r="A71" i="16" a="1"/>
  <c r="A71" i="16" s="1"/>
  <c r="F80" i="16" a="1"/>
  <c r="F80" i="16" s="1"/>
  <c r="A23" i="16" a="1"/>
  <c r="A23" i="16" s="1"/>
  <c r="F36" i="16" a="1"/>
  <c r="F36" i="16" s="1"/>
  <c r="F40" i="16" a="1"/>
  <c r="F40" i="16" s="1"/>
  <c r="A45" i="16" a="1"/>
  <c r="A45" i="16" s="1"/>
  <c r="A50" i="16" a="1"/>
  <c r="A50" i="16" s="1"/>
  <c r="F84" i="16" a="1"/>
  <c r="F84" i="16" s="1"/>
  <c r="F66" i="16" a="1"/>
  <c r="F66" i="16" s="1"/>
  <c r="A19" i="16" a="1"/>
  <c r="A19" i="16" s="1"/>
  <c r="F10" i="16" a="1"/>
  <c r="F10" i="16" s="1"/>
  <c r="A53" i="16" a="1"/>
  <c r="A53" i="16" s="1"/>
  <c r="F43" i="16" a="1"/>
  <c r="F43" i="16" s="1"/>
  <c r="A72" i="16" a="1"/>
  <c r="A72" i="16" s="1"/>
  <c r="A42" i="16" a="1"/>
  <c r="A42" i="16" s="1"/>
  <c r="F26" i="16" a="1"/>
  <c r="F26" i="16" s="1"/>
  <c r="F83" i="16" a="1"/>
  <c r="F83" i="16" s="1"/>
  <c r="A46" i="16" a="1"/>
  <c r="A46" i="16" s="1"/>
  <c r="A67" i="16" a="1"/>
  <c r="A67" i="16" s="1"/>
  <c r="F16" i="16" a="1"/>
  <c r="F16" i="16" s="1"/>
  <c r="A73" i="16" a="1"/>
  <c r="A73" i="16" s="1"/>
  <c r="A80" i="16" a="1"/>
  <c r="A80" i="16" s="1"/>
  <c r="A38" i="16" a="1"/>
  <c r="A38" i="16" s="1"/>
  <c r="A22" i="16" a="1"/>
  <c r="A22" i="16" s="1"/>
  <c r="F42" i="16" a="1"/>
  <c r="F42" i="16" s="1"/>
  <c r="F25" i="16" a="1"/>
  <c r="F25" i="16" s="1"/>
  <c r="A54" i="16" a="1"/>
  <c r="A54" i="16" s="1"/>
  <c r="F56" i="16" a="1"/>
  <c r="F56" i="16" s="1"/>
  <c r="F11" i="16" a="1"/>
  <c r="F11" i="16" s="1"/>
  <c r="F14" i="16" a="1"/>
  <c r="F14" i="16" s="1"/>
  <c r="F54" i="16" a="1"/>
  <c r="F54" i="16" s="1"/>
  <c r="A13" i="16" a="1"/>
  <c r="A13" i="16" s="1"/>
  <c r="F64" i="16" a="1"/>
  <c r="F64" i="16" s="1"/>
  <c r="A75" i="16" a="1"/>
  <c r="A75" i="16" s="1"/>
  <c r="F12" i="16" a="1"/>
  <c r="F12" i="16" s="1"/>
  <c r="F33" i="16" a="1"/>
  <c r="F33" i="16" s="1"/>
  <c r="A34" i="16" a="1"/>
  <c r="A34" i="16" s="1"/>
  <c r="F51" i="16" a="1"/>
  <c r="F51" i="16" s="1"/>
  <c r="F15" i="16" a="1"/>
  <c r="F15" i="16" s="1"/>
  <c r="F46" i="16" a="1"/>
  <c r="F46" i="16" s="1"/>
  <c r="F27" i="16" a="1"/>
  <c r="F27" i="16" s="1"/>
  <c r="F32" i="16" a="1"/>
  <c r="F32" i="16" s="1"/>
  <c r="A64" i="16" a="1"/>
  <c r="A64" i="16" s="1"/>
  <c r="A48" i="16" a="1"/>
  <c r="A48" i="16" s="1"/>
  <c r="F38" i="16" a="1"/>
  <c r="F38" i="16" s="1"/>
  <c r="F60" i="16" a="1"/>
  <c r="F60" i="16" s="1"/>
  <c r="A77" i="16" a="1"/>
  <c r="A77" i="16" s="1"/>
  <c r="A20" i="16" a="1"/>
  <c r="A20" i="16" s="1"/>
  <c r="F82" i="16" a="1"/>
  <c r="F82" i="16" s="1"/>
  <c r="A33" i="16" a="1"/>
  <c r="A33" i="16" s="1"/>
  <c r="F61" i="16" a="1"/>
  <c r="F61" i="16" s="1"/>
  <c r="F78" i="16" a="1"/>
  <c r="F78" i="16" s="1"/>
  <c r="F62" i="16" a="1"/>
  <c r="F62" i="16" s="1"/>
  <c r="F75" i="16" a="1"/>
  <c r="F75" i="16" s="1"/>
  <c r="A7" i="16" a="1"/>
  <c r="A7" i="16" s="1"/>
  <c r="A36" i="16" a="1"/>
  <c r="A36" i="16" s="1"/>
  <c r="A15" i="16" a="1"/>
  <c r="A15" i="16" s="1"/>
  <c r="A82" i="16" a="1"/>
  <c r="A82" i="16" s="1"/>
  <c r="F44" i="16" a="1"/>
  <c r="F44" i="16" s="1"/>
  <c r="F58" i="16" a="1"/>
  <c r="F58" i="16" s="1"/>
  <c r="F13" i="16" a="1"/>
  <c r="F13" i="16" s="1"/>
  <c r="A49" i="16" a="1"/>
  <c r="A49" i="16" s="1"/>
  <c r="A27" i="16" a="1"/>
  <c r="A27" i="16" s="1"/>
  <c r="F20" i="16" a="1"/>
  <c r="F20" i="16" s="1"/>
  <c r="F71" i="16" a="1"/>
  <c r="F71" i="16" s="1"/>
  <c r="F79" i="16" a="1"/>
  <c r="F79" i="16" s="1"/>
  <c r="F53" i="16" a="1"/>
  <c r="F53" i="16" s="1"/>
  <c r="F17" i="16" a="1"/>
  <c r="F17" i="16" s="1"/>
  <c r="F59" i="16" a="1"/>
  <c r="F59" i="16" s="1"/>
  <c r="A58" i="16" a="1"/>
  <c r="A58" i="16" s="1"/>
  <c r="A47" i="16" a="1"/>
  <c r="A47" i="16" s="1"/>
  <c r="A85" i="16" a="1"/>
  <c r="A85" i="16" s="1"/>
  <c r="A55" i="16" a="1"/>
  <c r="A55" i="16" s="1"/>
  <c r="A25" i="16" a="1"/>
  <c r="A25" i="16" s="1"/>
  <c r="F52" i="16" a="1"/>
  <c r="F52" i="16" s="1"/>
  <c r="F6" i="16" a="1"/>
  <c r="F6" i="16" s="1"/>
  <c r="F29" i="16" a="1"/>
  <c r="F29" i="16" s="1"/>
  <c r="A78" i="16" a="1"/>
  <c r="A78" i="16" s="1"/>
  <c r="A81" i="16" a="1"/>
  <c r="A81" i="16" s="1"/>
  <c r="F76" i="16" a="1"/>
  <c r="F76" i="16" s="1"/>
  <c r="A68" i="16" a="1"/>
  <c r="A68" i="16" s="1"/>
  <c r="F7" i="16" a="1"/>
  <c r="F7" i="16" s="1"/>
  <c r="A29" i="16" a="1"/>
  <c r="A29" i="16" s="1"/>
  <c r="F50" i="16" a="1"/>
  <c r="F50" i="16" s="1"/>
  <c r="F45" i="16" a="1"/>
  <c r="F45" i="16" s="1"/>
  <c r="A70" i="16" a="1"/>
  <c r="A70" i="16" s="1"/>
  <c r="A76" i="16" a="1"/>
  <c r="A76" i="16" s="1"/>
  <c r="A17" i="16" a="1"/>
  <c r="A17" i="16" s="1"/>
  <c r="A83" i="16" a="1"/>
  <c r="A83" i="16" s="1"/>
  <c r="F8" i="16" a="1"/>
  <c r="F8" i="16" s="1"/>
  <c r="A79" i="16" a="1"/>
  <c r="A79" i="16" s="1"/>
  <c r="A32" i="16" a="1"/>
  <c r="A32" i="16" s="1"/>
  <c r="F77" i="16" a="1"/>
  <c r="F77" i="16" s="1"/>
  <c r="A8" i="16" a="1"/>
  <c r="A8" i="16" s="1"/>
  <c r="F24" i="16" a="1"/>
  <c r="F24" i="16" s="1"/>
  <c r="F55" i="16" a="1"/>
  <c r="F55" i="16" s="1"/>
  <c r="F21" i="16" a="1"/>
  <c r="F21" i="16" s="1"/>
  <c r="A61" i="16" a="1"/>
  <c r="A61" i="16" s="1"/>
  <c r="A62" i="16" a="1"/>
  <c r="A62" i="16" s="1"/>
  <c r="A56" i="16" a="1"/>
  <c r="A56" i="16" s="1"/>
  <c r="A10" i="16" a="1"/>
  <c r="A10" i="16" s="1"/>
  <c r="F39" i="16" a="1"/>
  <c r="F39" i="16" s="1"/>
  <c r="F72" i="16" a="1"/>
  <c r="F72" i="16" s="1"/>
  <c r="A60" i="16" a="1"/>
  <c r="A60" i="16" s="1"/>
  <c r="A51" i="16" a="1"/>
  <c r="A51" i="16" s="1"/>
  <c r="F30" i="16" a="1"/>
  <c r="F30" i="16" s="1"/>
  <c r="A66" i="16" a="1"/>
  <c r="A66" i="16" s="1"/>
  <c r="F31" i="16" a="1"/>
  <c r="F31" i="16" s="1"/>
  <c r="F35" i="16" a="1"/>
  <c r="F35" i="16" s="1"/>
  <c r="A9" i="16" a="1"/>
  <c r="A9" i="16" s="1"/>
  <c r="F68" i="16" a="1"/>
  <c r="F68" i="16" s="1"/>
  <c r="A39" i="16" a="1"/>
  <c r="A39" i="16" s="1"/>
  <c r="F49" i="16" a="1"/>
  <c r="F49" i="16" s="1"/>
  <c r="F9" i="16" a="1"/>
  <c r="F9" i="16" s="1"/>
  <c r="F73" i="16" a="1"/>
  <c r="F73" i="16" s="1"/>
  <c r="A24" i="16" a="1"/>
  <c r="A24" i="16" s="1"/>
  <c r="F63" i="16" a="1"/>
  <c r="F63" i="16" s="1"/>
  <c r="A44" i="16" a="1"/>
  <c r="A44" i="16" s="1"/>
  <c r="A40" i="16" a="1"/>
  <c r="A40" i="16" s="1"/>
  <c r="A59" i="16" a="1"/>
  <c r="A59" i="16" s="1"/>
  <c r="F41" i="16" a="1"/>
  <c r="F41" i="16" s="1"/>
  <c r="A21" i="16" a="1"/>
  <c r="A21" i="16" s="1"/>
  <c r="F74" i="16" a="1"/>
  <c r="F74" i="16" s="1"/>
  <c r="F47" i="16" a="1"/>
  <c r="F47" i="16" s="1"/>
  <c r="F22" i="16" a="1"/>
  <c r="F22" i="16" s="1"/>
  <c r="F57" i="16" a="1"/>
  <c r="F57" i="16" s="1"/>
  <c r="F81" i="16" a="1"/>
  <c r="F81" i="16" s="1"/>
  <c r="A30" i="16" a="1"/>
  <c r="A30" i="16" s="1"/>
  <c r="F48" i="16" a="1"/>
  <c r="F48" i="16" s="1"/>
  <c r="A65" i="16" a="1"/>
  <c r="A65" i="16" s="1"/>
  <c r="A16" i="16" a="1"/>
  <c r="A16" i="16" s="1"/>
  <c r="F18" i="16" a="1"/>
  <c r="F18" i="16" s="1"/>
  <c r="F70" i="16" a="1"/>
  <c r="F70" i="16" s="1"/>
  <c r="F19" i="16" a="1"/>
  <c r="F19" i="16" s="1"/>
  <c r="A26" i="16" a="1"/>
  <c r="A26" i="16" s="1"/>
  <c r="F23" i="16" a="1"/>
  <c r="F23" i="16" s="1"/>
  <c r="A14" i="16" a="1"/>
  <c r="A14" i="16" s="1"/>
  <c r="A63" i="16" a="1"/>
  <c r="A63" i="16" s="1"/>
  <c r="A74" i="16" a="1"/>
  <c r="A74" i="16" s="1"/>
  <c r="A41" i="16" a="1"/>
  <c r="A41" i="16" s="1"/>
  <c r="A18" i="16" a="1"/>
  <c r="A18" i="16" s="1"/>
  <c r="A52" i="16" a="1"/>
  <c r="A52" i="16" s="1"/>
  <c r="A11" i="16" a="1"/>
  <c r="A11" i="16" s="1"/>
  <c r="A37" i="16" a="1"/>
  <c r="A37" i="16" s="1"/>
  <c r="K6" i="16"/>
  <c r="A6" i="16" s="1" a="1"/>
  <c r="A6" i="16" s="1"/>
  <c r="F67" i="16" a="1"/>
  <c r="F67" i="16" s="1"/>
  <c r="A31" i="16" a="1"/>
  <c r="A31" i="16" s="1"/>
  <c r="F56" i="39" a="1"/>
  <c r="F56" i="39" s="1"/>
  <c r="A13" i="39" a="1"/>
  <c r="A13" i="39" s="1"/>
  <c r="B13" i="39" s="1"/>
  <c r="F28" i="39" a="1"/>
  <c r="F28" i="39" s="1"/>
  <c r="F21" i="39" a="1"/>
  <c r="F21" i="39" s="1"/>
  <c r="F77" i="39" a="1"/>
  <c r="F77" i="39" s="1"/>
  <c r="A10" i="39" a="1"/>
  <c r="A10" i="39" s="1"/>
  <c r="D10" i="39" s="1"/>
  <c r="A79" i="39" a="1"/>
  <c r="A79" i="39" s="1"/>
  <c r="B79" i="39" s="1"/>
  <c r="A48" i="39" a="1"/>
  <c r="A48" i="39" s="1"/>
  <c r="G48" i="39" s="1"/>
  <c r="F43" i="39" a="1"/>
  <c r="F43" i="39" s="1"/>
  <c r="A76" i="39" a="1"/>
  <c r="A76" i="39" s="1"/>
  <c r="C76" i="39" s="1"/>
  <c r="A42" i="39" a="1"/>
  <c r="A42" i="39" s="1"/>
  <c r="C42" i="39" s="1"/>
  <c r="F47" i="39" a="1"/>
  <c r="F47" i="39" s="1"/>
  <c r="A54" i="39" a="1"/>
  <c r="A54" i="39" s="1"/>
  <c r="E54" i="39" s="1"/>
  <c r="F46" i="21" a="1"/>
  <c r="F46" i="21" s="1"/>
  <c r="A12" i="39" a="1"/>
  <c r="A12" i="39" s="1"/>
  <c r="G12" i="39" s="1"/>
  <c r="A24" i="98" a="1"/>
  <c r="A24" i="98" s="1"/>
  <c r="B24" i="98" s="1"/>
  <c r="A34" i="98" a="1"/>
  <c r="A34" i="98" s="1"/>
  <c r="E34" i="98" s="1"/>
  <c r="A47" i="98" a="1"/>
  <c r="A47" i="98" s="1"/>
  <c r="C47" i="98" s="1"/>
  <c r="A45" i="44" a="1"/>
  <c r="A45" i="44" s="1"/>
  <c r="B45" i="44" s="1"/>
  <c r="E47" i="101"/>
  <c r="I47" i="101"/>
  <c r="C47" i="101"/>
  <c r="D47" i="101"/>
  <c r="F47" i="101" a="1"/>
  <c r="F47" i="101" s="1"/>
  <c r="E5" i="45"/>
  <c r="F48" i="45" a="1"/>
  <c r="F48" i="45" s="1"/>
  <c r="A67" i="45" a="1"/>
  <c r="A67" i="45" s="1"/>
  <c r="A24" i="45" a="1"/>
  <c r="A24" i="45" s="1"/>
  <c r="F25" i="45" a="1"/>
  <c r="F25" i="45" s="1"/>
  <c r="F26" i="45" a="1"/>
  <c r="F26" i="45" s="1"/>
  <c r="F13" i="45" a="1"/>
  <c r="F13" i="45" s="1"/>
  <c r="F69" i="45" a="1"/>
  <c r="F69" i="45" s="1"/>
  <c r="F52" i="45" a="1"/>
  <c r="F52" i="45" s="1"/>
  <c r="A9" i="45" a="1"/>
  <c r="A9" i="45" s="1"/>
  <c r="A81" i="45" a="1"/>
  <c r="A81" i="45" s="1"/>
  <c r="F54" i="45" a="1"/>
  <c r="F54" i="45" s="1"/>
  <c r="A51" i="45" a="1"/>
  <c r="A51" i="45" s="1"/>
  <c r="A19" i="45" a="1"/>
  <c r="A19" i="45" s="1"/>
  <c r="A55" i="45" a="1"/>
  <c r="A55" i="45" s="1"/>
  <c r="F84" i="45" a="1"/>
  <c r="F84" i="45" s="1"/>
  <c r="F35" i="45" a="1"/>
  <c r="F35" i="45" s="1"/>
  <c r="A48" i="45" a="1"/>
  <c r="A48" i="45" s="1"/>
  <c r="A73" i="45" a="1"/>
  <c r="A73" i="45" s="1"/>
  <c r="A70" i="45" a="1"/>
  <c r="A70" i="45" s="1"/>
  <c r="A43" i="45" a="1"/>
  <c r="A43" i="45" s="1"/>
  <c r="A59" i="45" a="1"/>
  <c r="A59" i="45" s="1"/>
  <c r="A20" i="45" a="1"/>
  <c r="A20" i="45" s="1"/>
  <c r="A57" i="45" a="1"/>
  <c r="A57" i="45" s="1"/>
  <c r="A37" i="45" a="1"/>
  <c r="A37" i="45" s="1"/>
  <c r="F78" i="45" a="1"/>
  <c r="F78" i="45" s="1"/>
  <c r="A27" i="45" a="1"/>
  <c r="A27" i="45" s="1"/>
  <c r="A23" i="45" a="1"/>
  <c r="A23" i="45" s="1"/>
  <c r="A54" i="45" a="1"/>
  <c r="A54" i="45" s="1"/>
  <c r="F47" i="45" a="1"/>
  <c r="F47" i="45" s="1"/>
  <c r="A38" i="45" a="1"/>
  <c r="A38" i="45" s="1"/>
  <c r="F7" i="45" a="1"/>
  <c r="F7" i="45" s="1"/>
  <c r="A76" i="45" a="1"/>
  <c r="A76" i="45" s="1"/>
  <c r="A50" i="45" a="1"/>
  <c r="A50" i="45" s="1"/>
  <c r="F24" i="45" a="1"/>
  <c r="F24" i="45" s="1"/>
  <c r="A65" i="45" a="1"/>
  <c r="A65" i="45" s="1"/>
  <c r="A74" i="45" a="1"/>
  <c r="A74" i="45" s="1"/>
  <c r="F55" i="45" a="1"/>
  <c r="F55" i="45" s="1"/>
  <c r="F83" i="45" a="1"/>
  <c r="F83" i="45" s="1"/>
  <c r="A17" i="45" a="1"/>
  <c r="A17" i="45" s="1"/>
  <c r="A31" i="45" a="1"/>
  <c r="A31" i="45" s="1"/>
  <c r="A77" i="45" a="1"/>
  <c r="A77" i="45" s="1"/>
  <c r="F27" i="45" a="1"/>
  <c r="F27" i="45" s="1"/>
  <c r="A32" i="45" a="1"/>
  <c r="A32" i="45" s="1"/>
  <c r="A68" i="45" a="1"/>
  <c r="A68" i="45" s="1"/>
  <c r="F73" i="45" a="1"/>
  <c r="F73" i="45" s="1"/>
  <c r="A60" i="45" a="1"/>
  <c r="A60" i="45" s="1"/>
  <c r="F63" i="45" a="1"/>
  <c r="F63" i="45" s="1"/>
  <c r="F40" i="45" a="1"/>
  <c r="F40" i="45" s="1"/>
  <c r="F28" i="45" a="1"/>
  <c r="F28" i="45" s="1"/>
  <c r="A40" i="45" a="1"/>
  <c r="A40" i="45" s="1"/>
  <c r="F72" i="45" a="1"/>
  <c r="F72" i="45" s="1"/>
  <c r="A25" i="45" a="1"/>
  <c r="A25" i="45" s="1"/>
  <c r="A34" i="45" a="1"/>
  <c r="A34" i="45" s="1"/>
  <c r="F45" i="45" a="1"/>
  <c r="F45" i="45" s="1"/>
  <c r="A66" i="45" a="1"/>
  <c r="A66" i="45" s="1"/>
  <c r="F34" i="45" a="1"/>
  <c r="F34" i="45" s="1"/>
  <c r="F38" i="45" a="1"/>
  <c r="F38" i="45" s="1"/>
  <c r="F39" i="45" a="1"/>
  <c r="F39" i="45" s="1"/>
  <c r="F37" i="45" a="1"/>
  <c r="F37" i="45" s="1"/>
  <c r="A26" i="45" a="1"/>
  <c r="A26" i="45" s="1"/>
  <c r="A79" i="45" a="1"/>
  <c r="A79" i="45" s="1"/>
  <c r="A52" i="45" a="1"/>
  <c r="A52" i="45" s="1"/>
  <c r="A21" i="45" a="1"/>
  <c r="A21" i="45" s="1"/>
  <c r="F18" i="45" a="1"/>
  <c r="F18" i="45" s="1"/>
  <c r="A69" i="45" a="1"/>
  <c r="A69" i="45" s="1"/>
  <c r="F12" i="45" a="1"/>
  <c r="F12" i="45" s="1"/>
  <c r="F11" i="45" a="1"/>
  <c r="F11" i="45" s="1"/>
  <c r="A64" i="45" a="1"/>
  <c r="A64" i="45" s="1"/>
  <c r="A46" i="45" a="1"/>
  <c r="A46" i="45" s="1"/>
  <c r="A58" i="45" a="1"/>
  <c r="A58" i="45" s="1"/>
  <c r="F75" i="45" a="1"/>
  <c r="F75" i="45" s="1"/>
  <c r="F20" i="45" a="1"/>
  <c r="F20" i="45" s="1"/>
  <c r="F53" i="45" a="1"/>
  <c r="F53" i="45" s="1"/>
  <c r="A47" i="45" a="1"/>
  <c r="A47" i="45" s="1"/>
  <c r="F46" i="45" a="1"/>
  <c r="F46" i="45" s="1"/>
  <c r="F70" i="45" a="1"/>
  <c r="F70" i="45" s="1"/>
  <c r="A85" i="45" a="1"/>
  <c r="A85" i="45" s="1"/>
  <c r="A16" i="45" a="1"/>
  <c r="A16" i="45" s="1"/>
  <c r="A63" i="45" a="1"/>
  <c r="A63" i="45" s="1"/>
  <c r="A45" i="45" a="1"/>
  <c r="A45" i="45" s="1"/>
  <c r="F66" i="45" a="1"/>
  <c r="F66" i="45" s="1"/>
  <c r="A35" i="45" a="1"/>
  <c r="A35" i="45" s="1"/>
  <c r="F29" i="45" a="1"/>
  <c r="F29" i="45" s="1"/>
  <c r="F85" i="45" a="1"/>
  <c r="F85" i="45" s="1"/>
  <c r="F68" i="45" a="1"/>
  <c r="F68" i="45" s="1"/>
  <c r="F15" i="45" a="1"/>
  <c r="F15" i="45" s="1"/>
  <c r="F50" i="45" a="1"/>
  <c r="F50" i="45" s="1"/>
  <c r="F61" i="45" a="1"/>
  <c r="F61" i="45" s="1"/>
  <c r="F41" i="45" a="1"/>
  <c r="F41" i="45" s="1"/>
  <c r="A12" i="45" a="1"/>
  <c r="A12" i="45" s="1"/>
  <c r="A30" i="45" a="1"/>
  <c r="A30" i="45" s="1"/>
  <c r="A15" i="45" a="1"/>
  <c r="A15" i="45" s="1"/>
  <c r="F49" i="45" a="1"/>
  <c r="F49" i="45" s="1"/>
  <c r="A42" i="45" a="1"/>
  <c r="A42" i="45" s="1"/>
  <c r="F9" i="45" a="1"/>
  <c r="F9" i="45" s="1"/>
  <c r="A18" i="45" a="1"/>
  <c r="A18" i="45" s="1"/>
  <c r="A71" i="45" a="1"/>
  <c r="A71" i="45" s="1"/>
  <c r="A7" i="45" a="1"/>
  <c r="A7" i="45" s="1"/>
  <c r="F56" i="45" a="1"/>
  <c r="F56" i="45" s="1"/>
  <c r="F65" i="45" a="1"/>
  <c r="F65" i="45" s="1"/>
  <c r="A29" i="45" a="1"/>
  <c r="A29" i="45" s="1"/>
  <c r="F23" i="45" a="1"/>
  <c r="F23" i="45" s="1"/>
  <c r="A11" i="45" a="1"/>
  <c r="A11" i="45" s="1"/>
  <c r="F17" i="45" a="1"/>
  <c r="F17" i="45" s="1"/>
  <c r="F77" i="45" a="1"/>
  <c r="F77" i="45" s="1"/>
  <c r="A84" i="45" a="1"/>
  <c r="A84" i="45" s="1"/>
  <c r="F59" i="45" a="1"/>
  <c r="F59" i="45" s="1"/>
  <c r="A78" i="45" a="1"/>
  <c r="A78" i="45" s="1"/>
  <c r="A44" i="45" a="1"/>
  <c r="A44" i="45" s="1"/>
  <c r="A72" i="45" a="1"/>
  <c r="A72" i="45" s="1"/>
  <c r="F57" i="45" a="1"/>
  <c r="F57" i="45" s="1"/>
  <c r="F42" i="45" a="1"/>
  <c r="F42" i="45" s="1"/>
  <c r="F43" i="45" a="1"/>
  <c r="F43" i="45" s="1"/>
  <c r="F80" i="45" a="1"/>
  <c r="F80" i="45" s="1"/>
  <c r="F31" i="45" a="1"/>
  <c r="F31" i="45" s="1"/>
  <c r="A14" i="45" a="1"/>
  <c r="A14" i="45" s="1"/>
  <c r="A39" i="45" a="1"/>
  <c r="A39" i="45" s="1"/>
  <c r="A83" i="45" a="1"/>
  <c r="A83" i="45" s="1"/>
  <c r="F67" i="45" a="1"/>
  <c r="F67" i="45" s="1"/>
  <c r="F32" i="45" a="1"/>
  <c r="F32" i="45" s="1"/>
  <c r="F76" i="45" a="1"/>
  <c r="F76" i="45" s="1"/>
  <c r="A75" i="45" a="1"/>
  <c r="A75" i="45" s="1"/>
  <c r="A13" i="45" a="1"/>
  <c r="A13" i="45" s="1"/>
  <c r="F8" i="45" a="1"/>
  <c r="F8" i="45" s="1"/>
  <c r="F62" i="45" a="1"/>
  <c r="F62" i="45" s="1"/>
  <c r="A22" i="45" a="1"/>
  <c r="A22" i="45" s="1"/>
  <c r="A41" i="45" a="1"/>
  <c r="A41" i="45" s="1"/>
  <c r="A56" i="45" a="1"/>
  <c r="A56" i="45" s="1"/>
  <c r="F33" i="45" a="1"/>
  <c r="F33" i="45" s="1"/>
  <c r="A33" i="45" a="1"/>
  <c r="A33" i="45" s="1"/>
  <c r="F60" i="45" a="1"/>
  <c r="F60" i="45" s="1"/>
  <c r="F36" i="45" a="1"/>
  <c r="F36" i="45" s="1"/>
  <c r="A49" i="45" a="1"/>
  <c r="A49" i="45" s="1"/>
  <c r="F51" i="45" a="1"/>
  <c r="F51" i="45" s="1"/>
  <c r="A61" i="45" a="1"/>
  <c r="A61" i="45" s="1"/>
  <c r="F44" i="45" a="1"/>
  <c r="F44" i="45" s="1"/>
  <c r="F21" i="45" a="1"/>
  <c r="F21" i="45" s="1"/>
  <c r="A10" i="45" a="1"/>
  <c r="A10" i="45" s="1"/>
  <c r="F79" i="45" a="1"/>
  <c r="F79" i="45" s="1"/>
  <c r="A82" i="45" a="1"/>
  <c r="A82" i="45" s="1"/>
  <c r="F82" i="45" a="1"/>
  <c r="F82" i="45" s="1"/>
  <c r="F14" i="45" a="1"/>
  <c r="F14" i="45" s="1"/>
  <c r="F81" i="45" a="1"/>
  <c r="F81" i="45" s="1"/>
  <c r="A8" i="45" a="1"/>
  <c r="A8" i="45" s="1"/>
  <c r="A36" i="45" a="1"/>
  <c r="A36" i="45" s="1"/>
  <c r="F22" i="45" a="1"/>
  <c r="F22" i="45" s="1"/>
  <c r="F16" i="45" a="1"/>
  <c r="F16" i="45" s="1"/>
  <c r="F10" i="45" a="1"/>
  <c r="F10" i="45" s="1"/>
  <c r="F19" i="45" a="1"/>
  <c r="F19" i="45" s="1"/>
  <c r="A80" i="45" a="1"/>
  <c r="A80" i="45" s="1"/>
  <c r="K6" i="45"/>
  <c r="A6" i="45" s="1" a="1"/>
  <c r="A6" i="45" s="1"/>
  <c r="F74" i="45" a="1"/>
  <c r="F74" i="45" s="1"/>
  <c r="A62" i="45" a="1"/>
  <c r="A62" i="45" s="1"/>
  <c r="F58" i="45" a="1"/>
  <c r="F58" i="45" s="1"/>
  <c r="A53" i="45" a="1"/>
  <c r="A53" i="45" s="1"/>
  <c r="A28" i="45" a="1"/>
  <c r="A28" i="45" s="1"/>
  <c r="F6" i="45" a="1"/>
  <c r="F6" i="45" s="1"/>
  <c r="F71" i="45" a="1"/>
  <c r="F71" i="45" s="1"/>
  <c r="F64" i="45" a="1"/>
  <c r="F64" i="45" s="1"/>
  <c r="F30" i="45" a="1"/>
  <c r="F30" i="45" s="1"/>
  <c r="B78" i="22"/>
  <c r="C44" i="22"/>
  <c r="A23" i="97" a="1"/>
  <c r="A23" i="97" s="1"/>
  <c r="A32" i="97" a="1"/>
  <c r="A32" i="97" s="1"/>
  <c r="F67" i="97" a="1"/>
  <c r="F67" i="97" s="1"/>
  <c r="F71" i="97" a="1"/>
  <c r="F71" i="97" s="1"/>
  <c r="F23" i="97" a="1"/>
  <c r="F23" i="97" s="1"/>
  <c r="A21" i="97" a="1"/>
  <c r="A21" i="97" s="1"/>
  <c r="A76" i="97" a="1"/>
  <c r="A76" i="97" s="1"/>
  <c r="F46" i="97" a="1"/>
  <c r="F46" i="97" s="1"/>
  <c r="A24" i="97" a="1"/>
  <c r="A24" i="97" s="1"/>
  <c r="A16" i="97" a="1"/>
  <c r="A16" i="97" s="1"/>
  <c r="F85" i="97" a="1"/>
  <c r="F85" i="97" s="1"/>
  <c r="K6" i="97"/>
  <c r="A6" i="97" s="1" a="1"/>
  <c r="A6" i="97" s="1"/>
  <c r="F22" i="97" a="1"/>
  <c r="F22" i="97" s="1"/>
  <c r="F10" i="97" a="1"/>
  <c r="F10" i="97" s="1"/>
  <c r="A47" i="97" a="1"/>
  <c r="A47" i="97" s="1"/>
  <c r="F54" i="97" a="1"/>
  <c r="F54" i="97" s="1"/>
  <c r="A9" i="97" a="1"/>
  <c r="A9" i="97" s="1"/>
  <c r="A8" i="97" a="1"/>
  <c r="A8" i="97" s="1"/>
  <c r="F9" i="97" a="1"/>
  <c r="F9" i="97" s="1"/>
  <c r="F21" i="97" a="1"/>
  <c r="F21" i="97" s="1"/>
  <c r="F30" i="97" a="1"/>
  <c r="F30" i="97" s="1"/>
  <c r="F38" i="97" a="1"/>
  <c r="F38" i="97" s="1"/>
  <c r="A51" i="97" a="1"/>
  <c r="A51" i="97" s="1"/>
  <c r="F25" i="97" a="1"/>
  <c r="F25" i="97" s="1"/>
  <c r="A60" i="97" a="1"/>
  <c r="A60" i="97" s="1"/>
  <c r="A34" i="97" a="1"/>
  <c r="A34" i="97" s="1"/>
  <c r="A18" i="97" a="1"/>
  <c r="A18" i="97" s="1"/>
  <c r="A67" i="97" a="1"/>
  <c r="A67" i="97" s="1"/>
  <c r="A13" i="97" a="1"/>
  <c r="A13" i="97" s="1"/>
  <c r="A84" i="97" a="1"/>
  <c r="A84" i="97" s="1"/>
  <c r="F80" i="97" a="1"/>
  <c r="F80" i="97" s="1"/>
  <c r="F61" i="97" a="1"/>
  <c r="F61" i="97" s="1"/>
  <c r="A78" i="97" a="1"/>
  <c r="A78" i="97" s="1"/>
  <c r="A11" i="97" a="1"/>
  <c r="A11" i="97" s="1"/>
  <c r="F11" i="97" a="1"/>
  <c r="F11" i="97" s="1"/>
  <c r="F40" i="97" a="1"/>
  <c r="F40" i="97" s="1"/>
  <c r="A74" i="97" a="1"/>
  <c r="A74" i="97" s="1"/>
  <c r="F57" i="97" a="1"/>
  <c r="F57" i="97" s="1"/>
  <c r="F26" i="97" a="1"/>
  <c r="F26" i="97" s="1"/>
  <c r="F14" i="97" a="1"/>
  <c r="F14" i="97" s="1"/>
  <c r="A35" i="97" a="1"/>
  <c r="A35" i="97" s="1"/>
  <c r="F16" i="97" a="1"/>
  <c r="F16" i="97" s="1"/>
  <c r="A58" i="97" a="1"/>
  <c r="A58" i="97" s="1"/>
  <c r="A10" i="97" a="1"/>
  <c r="A10" i="97" s="1"/>
  <c r="F68" i="97" a="1"/>
  <c r="F68" i="97" s="1"/>
  <c r="A40" i="97" a="1"/>
  <c r="A40" i="97" s="1"/>
  <c r="A45" i="97" a="1"/>
  <c r="A45" i="97" s="1"/>
  <c r="A36" i="97" a="1"/>
  <c r="A36" i="97" s="1"/>
  <c r="F50" i="97" a="1"/>
  <c r="F50" i="97" s="1"/>
  <c r="F43" i="97" a="1"/>
  <c r="F43" i="97" s="1"/>
  <c r="F48" i="97" a="1"/>
  <c r="F48" i="97" s="1"/>
  <c r="A53" i="97" a="1"/>
  <c r="A53" i="97" s="1"/>
  <c r="A57" i="97" a="1"/>
  <c r="A57" i="97" s="1"/>
  <c r="F19" i="97" a="1"/>
  <c r="F19" i="97" s="1"/>
  <c r="A72" i="97" a="1"/>
  <c r="A72" i="97" s="1"/>
  <c r="F24" i="97" a="1"/>
  <c r="F24" i="97" s="1"/>
  <c r="F81" i="97" a="1"/>
  <c r="F81" i="97" s="1"/>
  <c r="F18" i="97" a="1"/>
  <c r="F18" i="97" s="1"/>
  <c r="F42" i="97" a="1"/>
  <c r="F42" i="97" s="1"/>
  <c r="A75" i="97" a="1"/>
  <c r="A75" i="97" s="1"/>
  <c r="E5" i="97"/>
  <c r="A83" i="97" a="1"/>
  <c r="A83" i="97" s="1"/>
  <c r="F59" i="97" a="1"/>
  <c r="F59" i="97" s="1"/>
  <c r="F77" i="97" a="1"/>
  <c r="F77" i="97" s="1"/>
  <c r="A33" i="97" a="1"/>
  <c r="A33" i="97" s="1"/>
  <c r="A41" i="97" a="1"/>
  <c r="A41" i="97" s="1"/>
  <c r="A62" i="97" a="1"/>
  <c r="A62" i="97" s="1"/>
  <c r="F78" i="97" a="1"/>
  <c r="F78" i="97" s="1"/>
  <c r="F58" i="97" a="1"/>
  <c r="F58" i="97" s="1"/>
  <c r="F41" i="97" a="1"/>
  <c r="F41" i="97" s="1"/>
  <c r="F20" i="97" a="1"/>
  <c r="F20" i="97" s="1"/>
  <c r="A80" i="97" a="1"/>
  <c r="A80" i="97" s="1"/>
  <c r="F32" i="97" a="1"/>
  <c r="F32" i="97" s="1"/>
  <c r="F44" i="97" a="1"/>
  <c r="F44" i="97" s="1"/>
  <c r="A59" i="97" a="1"/>
  <c r="A59" i="97" s="1"/>
  <c r="A52" i="97" a="1"/>
  <c r="A52" i="97" s="1"/>
  <c r="F73" i="97" a="1"/>
  <c r="F73" i="97" s="1"/>
  <c r="F76" i="97" a="1"/>
  <c r="F76" i="97" s="1"/>
  <c r="F84" i="97" a="1"/>
  <c r="F84" i="97" s="1"/>
  <c r="F35" i="97" a="1"/>
  <c r="F35" i="97" s="1"/>
  <c r="F47" i="97" a="1"/>
  <c r="F47" i="97" s="1"/>
  <c r="F13" i="97" a="1"/>
  <c r="F13" i="97" s="1"/>
  <c r="F45" i="97" a="1"/>
  <c r="F45" i="97" s="1"/>
  <c r="A46" i="97" a="1"/>
  <c r="A46" i="97" s="1"/>
  <c r="A14" i="97" a="1"/>
  <c r="A14" i="97" s="1"/>
  <c r="A71" i="97" a="1"/>
  <c r="A71" i="97" s="1"/>
  <c r="A44" i="97" a="1"/>
  <c r="A44" i="97" s="1"/>
  <c r="F70" i="97" a="1"/>
  <c r="F70" i="97" s="1"/>
  <c r="A31" i="97" a="1"/>
  <c r="A31" i="97" s="1"/>
  <c r="F52" i="97" a="1"/>
  <c r="F52" i="97" s="1"/>
  <c r="F8" i="97" a="1"/>
  <c r="F8" i="97" s="1"/>
  <c r="F66" i="97" a="1"/>
  <c r="F66" i="97" s="1"/>
  <c r="A17" i="97" a="1"/>
  <c r="A17" i="97" s="1"/>
  <c r="A63" i="97" a="1"/>
  <c r="A63" i="97" s="1"/>
  <c r="A66" i="97" a="1"/>
  <c r="A66" i="97" s="1"/>
  <c r="F74" i="97" a="1"/>
  <c r="F74" i="97" s="1"/>
  <c r="A28" i="97" a="1"/>
  <c r="A28" i="97" s="1"/>
  <c r="F79" i="97" a="1"/>
  <c r="F79" i="97" s="1"/>
  <c r="F28" i="97" a="1"/>
  <c r="F28" i="97" s="1"/>
  <c r="F27" i="97" a="1"/>
  <c r="F27" i="97" s="1"/>
  <c r="A68" i="97" a="1"/>
  <c r="A68" i="97" s="1"/>
  <c r="A77" i="97" a="1"/>
  <c r="A77" i="97" s="1"/>
  <c r="A20" i="97" a="1"/>
  <c r="A20" i="97" s="1"/>
  <c r="A22" i="97" a="1"/>
  <c r="A22" i="97" s="1"/>
  <c r="F72" i="97" a="1"/>
  <c r="F72" i="97" s="1"/>
  <c r="A69" i="97" a="1"/>
  <c r="A69" i="97" s="1"/>
  <c r="A27" i="97" a="1"/>
  <c r="A27" i="97" s="1"/>
  <c r="F53" i="97" a="1"/>
  <c r="F53" i="97" s="1"/>
  <c r="A82" i="97" a="1"/>
  <c r="A82" i="97" s="1"/>
  <c r="A81" i="97" a="1"/>
  <c r="A81" i="97" s="1"/>
  <c r="A42" i="97" a="1"/>
  <c r="A42" i="97" s="1"/>
  <c r="A55" i="97" a="1"/>
  <c r="A55" i="97" s="1"/>
  <c r="A54" i="97" a="1"/>
  <c r="A54" i="97" s="1"/>
  <c r="F7" i="97" a="1"/>
  <c r="F7" i="97" s="1"/>
  <c r="F36" i="97" a="1"/>
  <c r="F36" i="97" s="1"/>
  <c r="A43" i="97" a="1"/>
  <c r="A43" i="97" s="1"/>
  <c r="A61" i="97" a="1"/>
  <c r="A61" i="97" s="1"/>
  <c r="A64" i="97" a="1"/>
  <c r="A64" i="97" s="1"/>
  <c r="F31" i="97" a="1"/>
  <c r="F31" i="97" s="1"/>
  <c r="A37" i="97" a="1"/>
  <c r="A37" i="97" s="1"/>
  <c r="F34" i="97" a="1"/>
  <c r="F34" i="97" s="1"/>
  <c r="A39" i="97" a="1"/>
  <c r="A39" i="97" s="1"/>
  <c r="F51" i="97" a="1"/>
  <c r="F51" i="97" s="1"/>
  <c r="A29" i="97" a="1"/>
  <c r="A29" i="97" s="1"/>
  <c r="F64" i="97" a="1"/>
  <c r="F64" i="97" s="1"/>
  <c r="A49" i="97" a="1"/>
  <c r="A49" i="97" s="1"/>
  <c r="F15" i="97" a="1"/>
  <c r="F15" i="97" s="1"/>
  <c r="A15" i="97" a="1"/>
  <c r="A15" i="97" s="1"/>
  <c r="F6" i="97" a="1"/>
  <c r="F6" i="97" s="1"/>
  <c r="A79" i="97" a="1"/>
  <c r="A79" i="97" s="1"/>
  <c r="A85" i="97" a="1"/>
  <c r="A85" i="97" s="1"/>
  <c r="A38" i="97" a="1"/>
  <c r="A38" i="97" s="1"/>
  <c r="A7" i="97" a="1"/>
  <c r="A7" i="97" s="1"/>
  <c r="A19" i="97" a="1"/>
  <c r="A19" i="97" s="1"/>
  <c r="A12" i="97" a="1"/>
  <c r="A12" i="97" s="1"/>
  <c r="F65" i="97" a="1"/>
  <c r="F65" i="97" s="1"/>
  <c r="F39" i="97" a="1"/>
  <c r="F39" i="97" s="1"/>
  <c r="F62" i="97" a="1"/>
  <c r="F62" i="97" s="1"/>
  <c r="F29" i="97" a="1"/>
  <c r="F29" i="97" s="1"/>
  <c r="F60" i="97" a="1"/>
  <c r="F60" i="97" s="1"/>
  <c r="F33" i="97" a="1"/>
  <c r="F33" i="97" s="1"/>
  <c r="F69" i="97" a="1"/>
  <c r="F69" i="97" s="1"/>
  <c r="A56" i="97" a="1"/>
  <c r="A56" i="97" s="1"/>
  <c r="A65" i="97" a="1"/>
  <c r="A65" i="97" s="1"/>
  <c r="A25" i="97" a="1"/>
  <c r="A25" i="97" s="1"/>
  <c r="F83" i="97" a="1"/>
  <c r="F83" i="97" s="1"/>
  <c r="A48" i="97" a="1"/>
  <c r="A48" i="97" s="1"/>
  <c r="A50" i="97" a="1"/>
  <c r="A50" i="97" s="1"/>
  <c r="A26" i="97" a="1"/>
  <c r="A26" i="97" s="1"/>
  <c r="F37" i="97" a="1"/>
  <c r="F37" i="97" s="1"/>
  <c r="F63" i="97" a="1"/>
  <c r="F63" i="97" s="1"/>
  <c r="F12" i="97" a="1"/>
  <c r="F12" i="97" s="1"/>
  <c r="F82" i="97" a="1"/>
  <c r="F82" i="97" s="1"/>
  <c r="A30" i="97" a="1"/>
  <c r="A30" i="97" s="1"/>
  <c r="A70" i="97" a="1"/>
  <c r="A70" i="97" s="1"/>
  <c r="F75" i="97" a="1"/>
  <c r="F75" i="97" s="1"/>
  <c r="F55" i="97" a="1"/>
  <c r="F55" i="97" s="1"/>
  <c r="F17" i="97" a="1"/>
  <c r="F17" i="97" s="1"/>
  <c r="A73" i="97" a="1"/>
  <c r="A73" i="97" s="1"/>
  <c r="F56" i="97" a="1"/>
  <c r="F56" i="97" s="1"/>
  <c r="F31" i="39" a="1"/>
  <c r="F31" i="39" s="1"/>
  <c r="A67" i="39" a="1"/>
  <c r="A67" i="39" s="1"/>
  <c r="E67" i="39" s="1"/>
  <c r="F79" i="39" a="1"/>
  <c r="F79" i="39" s="1"/>
  <c r="A75" i="39" a="1"/>
  <c r="A75" i="39" s="1"/>
  <c r="C75" i="39" s="1"/>
  <c r="F52" i="39" a="1"/>
  <c r="F52" i="39" s="1"/>
  <c r="F34" i="39" a="1"/>
  <c r="F34" i="39" s="1"/>
  <c r="A28" i="39" a="1"/>
  <c r="A28" i="39" s="1"/>
  <c r="E28" i="39" s="1"/>
  <c r="F68" i="39" a="1"/>
  <c r="F68" i="39" s="1"/>
  <c r="F16" i="39" a="1"/>
  <c r="F16" i="39" s="1"/>
  <c r="A43" i="39" a="1"/>
  <c r="A43" i="39" s="1"/>
  <c r="G43" i="39" s="1"/>
  <c r="F32" i="39" a="1"/>
  <c r="F32" i="39" s="1"/>
  <c r="A58" i="39" a="1"/>
  <c r="A58" i="39" s="1"/>
  <c r="D58" i="39" s="1"/>
  <c r="A65" i="39" a="1"/>
  <c r="A65" i="39" s="1"/>
  <c r="E65" i="39" s="1"/>
  <c r="A66" i="39" a="1"/>
  <c r="A66" i="39" s="1"/>
  <c r="D66" i="39" s="1"/>
  <c r="A25" i="39" a="1"/>
  <c r="A25" i="39" s="1"/>
  <c r="D25" i="39" s="1"/>
  <c r="A15" i="39" a="1"/>
  <c r="A15" i="39" s="1"/>
  <c r="B15" i="39" s="1"/>
  <c r="A79" i="98" a="1"/>
  <c r="A79" i="98" s="1"/>
  <c r="B79" i="98" s="1"/>
  <c r="A61" i="98" a="1"/>
  <c r="A61" i="98" s="1"/>
  <c r="B61" i="98" s="1"/>
  <c r="F25" i="98" a="1"/>
  <c r="F25" i="98" s="1"/>
  <c r="A11" i="44" a="1"/>
  <c r="A11" i="44" s="1"/>
  <c r="G11" i="44" s="1"/>
  <c r="A33" i="20" a="1"/>
  <c r="A33" i="20" s="1"/>
  <c r="F77" i="20" a="1"/>
  <c r="F77" i="20" s="1"/>
  <c r="A34" i="20" a="1"/>
  <c r="A34" i="20" s="1"/>
  <c r="A68" i="20" a="1"/>
  <c r="A68" i="20" s="1"/>
  <c r="F42" i="20" a="1"/>
  <c r="F42" i="20" s="1"/>
  <c r="F37" i="20" a="1"/>
  <c r="F37" i="20" s="1"/>
  <c r="A23" i="20" a="1"/>
  <c r="A23" i="20" s="1"/>
  <c r="F72" i="20" a="1"/>
  <c r="F72" i="20" s="1"/>
  <c r="A78" i="20" a="1"/>
  <c r="A78" i="20" s="1"/>
  <c r="A18" i="20" a="1"/>
  <c r="A18" i="20" s="1"/>
  <c r="F26" i="20" a="1"/>
  <c r="F26" i="20" s="1"/>
  <c r="F40" i="20" a="1"/>
  <c r="F40" i="20" s="1"/>
  <c r="F46" i="20" a="1"/>
  <c r="F46" i="20" s="1"/>
  <c r="A19" i="20" a="1"/>
  <c r="A19" i="20" s="1"/>
  <c r="F15" i="20" a="1"/>
  <c r="F15" i="20" s="1"/>
  <c r="A27" i="20" a="1"/>
  <c r="A27" i="20" s="1"/>
  <c r="A58" i="20" a="1"/>
  <c r="A58" i="20" s="1"/>
  <c r="A38" i="20" a="1"/>
  <c r="A38" i="20" s="1"/>
  <c r="A9" i="20" a="1"/>
  <c r="A9" i="20" s="1"/>
  <c r="A74" i="20" a="1"/>
  <c r="A74" i="20" s="1"/>
  <c r="A81" i="20" a="1"/>
  <c r="A81" i="20" s="1"/>
  <c r="A42" i="20" a="1"/>
  <c r="A42" i="20" s="1"/>
  <c r="A41" i="20" a="1"/>
  <c r="A41" i="20" s="1"/>
  <c r="F43" i="20" a="1"/>
  <c r="F43" i="20" s="1"/>
  <c r="F53" i="20" a="1"/>
  <c r="F53" i="20" s="1"/>
  <c r="F57" i="20" a="1"/>
  <c r="F57" i="20" s="1"/>
  <c r="F18" i="20" a="1"/>
  <c r="F18" i="20" s="1"/>
  <c r="F64" i="20" a="1"/>
  <c r="F64" i="20" s="1"/>
  <c r="F73" i="20" a="1"/>
  <c r="F73" i="20" s="1"/>
  <c r="A69" i="20" a="1"/>
  <c r="A69" i="20" s="1"/>
  <c r="F69" i="20" a="1"/>
  <c r="F69" i="20" s="1"/>
  <c r="F16" i="20" a="1"/>
  <c r="F16" i="20" s="1"/>
  <c r="A79" i="20" a="1"/>
  <c r="A79" i="20" s="1"/>
  <c r="F52" i="20" a="1"/>
  <c r="F52" i="20" s="1"/>
  <c r="F70" i="20" a="1"/>
  <c r="F70" i="20" s="1"/>
  <c r="A65" i="20" a="1"/>
  <c r="A65" i="20" s="1"/>
  <c r="F48" i="20" a="1"/>
  <c r="F48" i="20" s="1"/>
  <c r="F30" i="20" a="1"/>
  <c r="F30" i="20" s="1"/>
  <c r="A10" i="20" a="1"/>
  <c r="A10" i="20" s="1"/>
  <c r="F12" i="20" a="1"/>
  <c r="F12" i="20" s="1"/>
  <c r="A36" i="20" a="1"/>
  <c r="A36" i="20" s="1"/>
  <c r="F19" i="20" a="1"/>
  <c r="F19" i="20" s="1"/>
  <c r="F22" i="20" a="1"/>
  <c r="F22" i="20" s="1"/>
  <c r="A64" i="20" a="1"/>
  <c r="A64" i="20" s="1"/>
  <c r="F79" i="20" a="1"/>
  <c r="F79" i="20" s="1"/>
  <c r="F36" i="20" a="1"/>
  <c r="F36" i="20" s="1"/>
  <c r="F23" i="20" a="1"/>
  <c r="F23" i="20" s="1"/>
  <c r="A85" i="20" a="1"/>
  <c r="A85" i="20" s="1"/>
  <c r="A21" i="20" a="1"/>
  <c r="A21" i="20" s="1"/>
  <c r="A17" i="20" a="1"/>
  <c r="A17" i="20" s="1"/>
  <c r="A30" i="20" a="1"/>
  <c r="A30" i="20" s="1"/>
  <c r="A54" i="20" a="1"/>
  <c r="A54" i="20" s="1"/>
  <c r="F17" i="20" a="1"/>
  <c r="F17" i="20" s="1"/>
  <c r="F14" i="20" a="1"/>
  <c r="F14" i="20" s="1"/>
  <c r="A20" i="20" a="1"/>
  <c r="A20" i="20" s="1"/>
  <c r="A84" i="20" a="1"/>
  <c r="A84" i="20" s="1"/>
  <c r="F45" i="20" a="1"/>
  <c r="F45" i="20" s="1"/>
  <c r="A11" i="20" a="1"/>
  <c r="A11" i="20" s="1"/>
  <c r="F74" i="20" a="1"/>
  <c r="F74" i="20" s="1"/>
  <c r="F75" i="20" a="1"/>
  <c r="F75" i="20" s="1"/>
  <c r="A47" i="20" a="1"/>
  <c r="A47" i="20" s="1"/>
  <c r="A32" i="20" a="1"/>
  <c r="A32" i="20" s="1"/>
  <c r="A24" i="20" a="1"/>
  <c r="A24" i="20" s="1"/>
  <c r="A62" i="20" a="1"/>
  <c r="A62" i="20" s="1"/>
  <c r="A49" i="20" a="1"/>
  <c r="A49" i="20" s="1"/>
  <c r="A43" i="20" a="1"/>
  <c r="A43" i="20" s="1"/>
  <c r="F35" i="20" a="1"/>
  <c r="F35" i="20" s="1"/>
  <c r="A12" i="20" a="1"/>
  <c r="A12" i="20" s="1"/>
  <c r="F82" i="20" a="1"/>
  <c r="F82" i="20" s="1"/>
  <c r="F66" i="20" a="1"/>
  <c r="F66" i="20" s="1"/>
  <c r="A72" i="20" a="1"/>
  <c r="A72" i="20" s="1"/>
  <c r="F34" i="20" a="1"/>
  <c r="F34" i="20" s="1"/>
  <c r="A82" i="20" a="1"/>
  <c r="A82" i="20" s="1"/>
  <c r="A14" i="20" a="1"/>
  <c r="A14" i="20" s="1"/>
  <c r="A26" i="20" a="1"/>
  <c r="A26" i="20" s="1"/>
  <c r="A67" i="20" a="1"/>
  <c r="A67" i="20" s="1"/>
  <c r="F63" i="20" a="1"/>
  <c r="F63" i="20" s="1"/>
  <c r="F33" i="20" a="1"/>
  <c r="F33" i="20" s="1"/>
  <c r="A55" i="20" a="1"/>
  <c r="A55" i="20" s="1"/>
  <c r="A31" i="20" a="1"/>
  <c r="A31" i="20" s="1"/>
  <c r="F59" i="20" a="1"/>
  <c r="F59" i="20" s="1"/>
  <c r="F81" i="20" a="1"/>
  <c r="F81" i="20" s="1"/>
  <c r="F9" i="20" a="1"/>
  <c r="F9" i="20" s="1"/>
  <c r="F49" i="20" a="1"/>
  <c r="F49" i="20" s="1"/>
  <c r="F80" i="20" a="1"/>
  <c r="F80" i="20" s="1"/>
  <c r="A44" i="20" a="1"/>
  <c r="A44" i="20" s="1"/>
  <c r="F41" i="20" a="1"/>
  <c r="F41" i="20" s="1"/>
  <c r="F7" i="20" a="1"/>
  <c r="F7" i="20" s="1"/>
  <c r="F51" i="20" a="1"/>
  <c r="F51" i="20" s="1"/>
  <c r="F20" i="20" a="1"/>
  <c r="F20" i="20" s="1"/>
  <c r="F65" i="20" a="1"/>
  <c r="F65" i="20" s="1"/>
  <c r="A48" i="20" a="1"/>
  <c r="A48" i="20" s="1"/>
  <c r="F54" i="20" a="1"/>
  <c r="F54" i="20" s="1"/>
  <c r="F60" i="20" a="1"/>
  <c r="F60" i="20" s="1"/>
  <c r="F10" i="20" a="1"/>
  <c r="F10" i="20" s="1"/>
  <c r="A16" i="20" a="1"/>
  <c r="A16" i="20" s="1"/>
  <c r="F56" i="20" a="1"/>
  <c r="F56" i="20" s="1"/>
  <c r="F68" i="20" a="1"/>
  <c r="F68" i="20" s="1"/>
  <c r="F76" i="20" a="1"/>
  <c r="F76" i="20" s="1"/>
  <c r="A53" i="20" a="1"/>
  <c r="A53" i="20" s="1"/>
  <c r="F58" i="20" a="1"/>
  <c r="F58" i="20" s="1"/>
  <c r="A75" i="20" a="1"/>
  <c r="A75" i="20" s="1"/>
  <c r="A46" i="20" a="1"/>
  <c r="A46" i="20" s="1"/>
  <c r="F61" i="20" a="1"/>
  <c r="F61" i="20" s="1"/>
  <c r="A8" i="20" a="1"/>
  <c r="A8" i="20" s="1"/>
  <c r="A25" i="20" a="1"/>
  <c r="A25" i="20" s="1"/>
  <c r="A76" i="20" a="1"/>
  <c r="A76" i="20" s="1"/>
  <c r="A61" i="20" a="1"/>
  <c r="A61" i="20" s="1"/>
  <c r="F50" i="20" a="1"/>
  <c r="F50" i="20" s="1"/>
  <c r="F24" i="20" a="1"/>
  <c r="F24" i="20" s="1"/>
  <c r="F21" i="20" a="1"/>
  <c r="F21" i="20" s="1"/>
  <c r="A7" i="20" a="1"/>
  <c r="A7" i="20" s="1"/>
  <c r="F32" i="20" a="1"/>
  <c r="F32" i="20" s="1"/>
  <c r="A77" i="20" a="1"/>
  <c r="A77" i="20" s="1"/>
  <c r="F78" i="20" a="1"/>
  <c r="F78" i="20" s="1"/>
  <c r="F29" i="20" a="1"/>
  <c r="F29" i="20" s="1"/>
  <c r="A83" i="20" a="1"/>
  <c r="A83" i="20" s="1"/>
  <c r="A73" i="20" a="1"/>
  <c r="A73" i="20" s="1"/>
  <c r="A39" i="20" a="1"/>
  <c r="A39" i="20" s="1"/>
  <c r="F13" i="20" a="1"/>
  <c r="F13" i="20" s="1"/>
  <c r="A13" i="20" a="1"/>
  <c r="A13" i="20" s="1"/>
  <c r="A28" i="20" a="1"/>
  <c r="A28" i="20" s="1"/>
  <c r="F31" i="20" a="1"/>
  <c r="F31" i="20" s="1"/>
  <c r="A37" i="20" a="1"/>
  <c r="A37" i="20" s="1"/>
  <c r="F85" i="20" a="1"/>
  <c r="F85" i="20" s="1"/>
  <c r="F62" i="20" a="1"/>
  <c r="F62" i="20" s="1"/>
  <c r="F6" i="20" a="1"/>
  <c r="F6" i="20" s="1"/>
  <c r="A66" i="20" a="1"/>
  <c r="A66" i="20" s="1"/>
  <c r="A60" i="20" a="1"/>
  <c r="A60" i="20" s="1"/>
  <c r="A59" i="20" a="1"/>
  <c r="A59" i="20" s="1"/>
  <c r="A80" i="20" a="1"/>
  <c r="A80" i="20" s="1"/>
  <c r="A63" i="20" a="1"/>
  <c r="A63" i="20" s="1"/>
  <c r="F27" i="20" a="1"/>
  <c r="F27" i="20" s="1"/>
  <c r="A45" i="20" a="1"/>
  <c r="A45" i="20" s="1"/>
  <c r="F11" i="20" a="1"/>
  <c r="F11" i="20" s="1"/>
  <c r="F71" i="20" a="1"/>
  <c r="F71" i="20" s="1"/>
  <c r="A51" i="20" a="1"/>
  <c r="A51" i="20" s="1"/>
  <c r="K6" i="20"/>
  <c r="A6" i="20" s="1" a="1"/>
  <c r="A6" i="20" s="1"/>
  <c r="F25" i="20" a="1"/>
  <c r="F25" i="20" s="1"/>
  <c r="A40" i="20" a="1"/>
  <c r="A40" i="20" s="1"/>
  <c r="A22" i="20" a="1"/>
  <c r="A22" i="20" s="1"/>
  <c r="F39" i="20" a="1"/>
  <c r="F39" i="20" s="1"/>
  <c r="A57" i="20" a="1"/>
  <c r="A57" i="20" s="1"/>
  <c r="A56" i="20" a="1"/>
  <c r="A56" i="20" s="1"/>
  <c r="F38" i="20" a="1"/>
  <c r="F38" i="20" s="1"/>
  <c r="A50" i="20" a="1"/>
  <c r="A50" i="20" s="1"/>
  <c r="A29" i="20" a="1"/>
  <c r="A29" i="20" s="1"/>
  <c r="F83" i="20" a="1"/>
  <c r="F83" i="20" s="1"/>
  <c r="F8" i="20" a="1"/>
  <c r="F8" i="20" s="1"/>
  <c r="F47" i="20" a="1"/>
  <c r="F47" i="20" s="1"/>
  <c r="A70" i="20" a="1"/>
  <c r="A70" i="20" s="1"/>
  <c r="F28" i="20" a="1"/>
  <c r="F28" i="20" s="1"/>
  <c r="A52" i="20" a="1"/>
  <c r="A52" i="20" s="1"/>
  <c r="A15" i="20" a="1"/>
  <c r="A15" i="20" s="1"/>
  <c r="F55" i="20" a="1"/>
  <c r="F55" i="20" s="1"/>
  <c r="F44" i="20" a="1"/>
  <c r="F44" i="20" s="1"/>
  <c r="F67" i="20" a="1"/>
  <c r="F67" i="20" s="1"/>
  <c r="F84" i="20" a="1"/>
  <c r="F84" i="20" s="1"/>
  <c r="A71" i="20" a="1"/>
  <c r="A71" i="20" s="1"/>
  <c r="A35" i="20" a="1"/>
  <c r="A35" i="20" s="1"/>
  <c r="B31" i="91"/>
  <c r="G31" i="91"/>
  <c r="D31" i="91"/>
  <c r="C31" i="91"/>
  <c r="E31" i="91"/>
  <c r="A61" i="99" a="1"/>
  <c r="A61" i="99" s="1"/>
  <c r="E5" i="99"/>
  <c r="F22" i="99" a="1"/>
  <c r="F22" i="99" s="1"/>
  <c r="A22" i="99" a="1"/>
  <c r="A22" i="99" s="1"/>
  <c r="F18" i="99" a="1"/>
  <c r="F18" i="99" s="1"/>
  <c r="F60" i="99" a="1"/>
  <c r="F60" i="99" s="1"/>
  <c r="A21" i="99" a="1"/>
  <c r="A21" i="99" s="1"/>
  <c r="A63" i="99" a="1"/>
  <c r="A63" i="99" s="1"/>
  <c r="A31" i="99" a="1"/>
  <c r="A31" i="99" s="1"/>
  <c r="F12" i="99" a="1"/>
  <c r="F12" i="99" s="1"/>
  <c r="F32" i="99" a="1"/>
  <c r="F32" i="99" s="1"/>
  <c r="F7" i="99" a="1"/>
  <c r="F7" i="99" s="1"/>
  <c r="A62" i="99" a="1"/>
  <c r="A62" i="99" s="1"/>
  <c r="A69" i="99" a="1"/>
  <c r="A69" i="99" s="1"/>
  <c r="F21" i="99" a="1"/>
  <c r="F21" i="99" s="1"/>
  <c r="F80" i="99" a="1"/>
  <c r="F80" i="99" s="1"/>
  <c r="F73" i="99" a="1"/>
  <c r="F73" i="99" s="1"/>
  <c r="A60" i="99" a="1"/>
  <c r="A60" i="99" s="1"/>
  <c r="A20" i="99" a="1"/>
  <c r="A20" i="99" s="1"/>
  <c r="F58" i="99" a="1"/>
  <c r="F58" i="99" s="1"/>
  <c r="F49" i="99" a="1"/>
  <c r="F49" i="99" s="1"/>
  <c r="F10" i="99" a="1"/>
  <c r="F10" i="99" s="1"/>
  <c r="A76" i="99" a="1"/>
  <c r="A76" i="99" s="1"/>
  <c r="F72" i="99" a="1"/>
  <c r="F72" i="99" s="1"/>
  <c r="A48" i="99" a="1"/>
  <c r="A48" i="99" s="1"/>
  <c r="A30" i="99" a="1"/>
  <c r="A30" i="99" s="1"/>
  <c r="A40" i="99" a="1"/>
  <c r="A40" i="99" s="1"/>
  <c r="A57" i="99" a="1"/>
  <c r="A57" i="99" s="1"/>
  <c r="A73" i="99" a="1"/>
  <c r="A73" i="99" s="1"/>
  <c r="A72" i="99" a="1"/>
  <c r="A72" i="99" s="1"/>
  <c r="A71" i="99" a="1"/>
  <c r="A71" i="99" s="1"/>
  <c r="A39" i="99" a="1"/>
  <c r="A39" i="99" s="1"/>
  <c r="F70" i="99" a="1"/>
  <c r="F70" i="99" s="1"/>
  <c r="A67" i="99" a="1"/>
  <c r="A67" i="99" s="1"/>
  <c r="F62" i="99" a="1"/>
  <c r="F62" i="99" s="1"/>
  <c r="A23" i="99" a="1"/>
  <c r="A23" i="99" s="1"/>
  <c r="F15" i="99" a="1"/>
  <c r="F15" i="99" s="1"/>
  <c r="F54" i="99" a="1"/>
  <c r="F54" i="99" s="1"/>
  <c r="A59" i="99" a="1"/>
  <c r="A59" i="99" s="1"/>
  <c r="A56" i="99" a="1"/>
  <c r="A56" i="99" s="1"/>
  <c r="A49" i="99" a="1"/>
  <c r="A49" i="99" s="1"/>
  <c r="F42" i="99" a="1"/>
  <c r="F42" i="99" s="1"/>
  <c r="A78" i="99" a="1"/>
  <c r="A78" i="99" s="1"/>
  <c r="A14" i="99" a="1"/>
  <c r="A14" i="99" s="1"/>
  <c r="F13" i="99" a="1"/>
  <c r="F13" i="99" s="1"/>
  <c r="F81" i="99" a="1"/>
  <c r="F81" i="99" s="1"/>
  <c r="F43" i="99" a="1"/>
  <c r="F43" i="99" s="1"/>
  <c r="F57" i="99" a="1"/>
  <c r="F57" i="99" s="1"/>
  <c r="F11" i="99" a="1"/>
  <c r="F11" i="99" s="1"/>
  <c r="F84" i="99" a="1"/>
  <c r="F84" i="99" s="1"/>
  <c r="A80" i="99" a="1"/>
  <c r="A80" i="99" s="1"/>
  <c r="F55" i="99" a="1"/>
  <c r="F55" i="99" s="1"/>
  <c r="A34" i="99" a="1"/>
  <c r="A34" i="99" s="1"/>
  <c r="K6" i="99"/>
  <c r="A6" i="99" s="1" a="1"/>
  <c r="A6" i="99" s="1"/>
  <c r="A43" i="99" a="1"/>
  <c r="A43" i="99" s="1"/>
  <c r="A52" i="99" a="1"/>
  <c r="A52" i="99" s="1"/>
  <c r="F16" i="99" a="1"/>
  <c r="F16" i="99" s="1"/>
  <c r="F85" i="99" a="1"/>
  <c r="F85" i="99" s="1"/>
  <c r="F56" i="99" a="1"/>
  <c r="F56" i="99" s="1"/>
  <c r="A13" i="99" a="1"/>
  <c r="A13" i="99" s="1"/>
  <c r="F37" i="99" a="1"/>
  <c r="F37" i="99" s="1"/>
  <c r="F59" i="99" a="1"/>
  <c r="F59" i="99" s="1"/>
  <c r="F45" i="99" a="1"/>
  <c r="F45" i="99" s="1"/>
  <c r="A83" i="99" a="1"/>
  <c r="A83" i="99" s="1"/>
  <c r="F53" i="99" a="1"/>
  <c r="F53" i="99" s="1"/>
  <c r="A32" i="99" a="1"/>
  <c r="A32" i="99" s="1"/>
  <c r="F31" i="99" a="1"/>
  <c r="F31" i="99" s="1"/>
  <c r="F6" i="99" a="1"/>
  <c r="F6" i="99" s="1"/>
  <c r="A36" i="99" a="1"/>
  <c r="A36" i="99" s="1"/>
  <c r="F79" i="99" a="1"/>
  <c r="F79" i="99" s="1"/>
  <c r="A77" i="99" a="1"/>
  <c r="A77" i="99" s="1"/>
  <c r="A65" i="99" a="1"/>
  <c r="A65" i="99" s="1"/>
  <c r="A84" i="99" a="1"/>
  <c r="A84" i="99" s="1"/>
  <c r="F82" i="99" a="1"/>
  <c r="F82" i="99" s="1"/>
  <c r="F74" i="99" a="1"/>
  <c r="F74" i="99" s="1"/>
  <c r="F64" i="99" a="1"/>
  <c r="F64" i="99" s="1"/>
  <c r="A42" i="99" a="1"/>
  <c r="A42" i="99" s="1"/>
  <c r="A53" i="99" a="1"/>
  <c r="A53" i="99" s="1"/>
  <c r="A47" i="99" a="1"/>
  <c r="A47" i="99" s="1"/>
  <c r="F44" i="99" a="1"/>
  <c r="F44" i="99" s="1"/>
  <c r="A35" i="99" a="1"/>
  <c r="A35" i="99" s="1"/>
  <c r="A18" i="99" a="1"/>
  <c r="A18" i="99" s="1"/>
  <c r="F20" i="99" a="1"/>
  <c r="F20" i="99" s="1"/>
  <c r="A9" i="99" a="1"/>
  <c r="A9" i="99" s="1"/>
  <c r="A25" i="99" a="1"/>
  <c r="A25" i="99" s="1"/>
  <c r="F51" i="99" a="1"/>
  <c r="F51" i="99" s="1"/>
  <c r="F75" i="99" a="1"/>
  <c r="F75" i="99" s="1"/>
  <c r="F28" i="99" a="1"/>
  <c r="F28" i="99" s="1"/>
  <c r="A70" i="99" a="1"/>
  <c r="A70" i="99" s="1"/>
  <c r="F26" i="99" a="1"/>
  <c r="F26" i="99" s="1"/>
  <c r="F23" i="99" a="1"/>
  <c r="F23" i="99" s="1"/>
  <c r="A12" i="99" a="1"/>
  <c r="A12" i="99" s="1"/>
  <c r="F14" i="99" a="1"/>
  <c r="F14" i="99" s="1"/>
  <c r="A74" i="99" a="1"/>
  <c r="A74" i="99" s="1"/>
  <c r="A44" i="99" a="1"/>
  <c r="A44" i="99" s="1"/>
  <c r="F9" i="99" a="1"/>
  <c r="F9" i="99" s="1"/>
  <c r="F65" i="99" a="1"/>
  <c r="F65" i="99" s="1"/>
  <c r="F36" i="99" a="1"/>
  <c r="F36" i="99" s="1"/>
  <c r="F48" i="99" a="1"/>
  <c r="F48" i="99" s="1"/>
  <c r="A8" i="99" a="1"/>
  <c r="A8" i="99" s="1"/>
  <c r="A66" i="99" a="1"/>
  <c r="A66" i="99" s="1"/>
  <c r="F71" i="99" a="1"/>
  <c r="F71" i="99" s="1"/>
  <c r="A17" i="99" a="1"/>
  <c r="A17" i="99" s="1"/>
  <c r="A55" i="99" a="1"/>
  <c r="A55" i="99" s="1"/>
  <c r="F34" i="99" a="1"/>
  <c r="F34" i="99" s="1"/>
  <c r="F27" i="99" a="1"/>
  <c r="F27" i="99" s="1"/>
  <c r="A50" i="99" a="1"/>
  <c r="A50" i="99" s="1"/>
  <c r="A26" i="99" a="1"/>
  <c r="A26" i="99" s="1"/>
  <c r="F33" i="99" a="1"/>
  <c r="F33" i="99" s="1"/>
  <c r="A38" i="99" a="1"/>
  <c r="A38" i="99" s="1"/>
  <c r="A7" i="99" a="1"/>
  <c r="A7" i="99" s="1"/>
  <c r="A51" i="99" a="1"/>
  <c r="A51" i="99" s="1"/>
  <c r="A81" i="99" a="1"/>
  <c r="A81" i="99" s="1"/>
  <c r="F29" i="99" a="1"/>
  <c r="F29" i="99" s="1"/>
  <c r="A11" i="99" a="1"/>
  <c r="A11" i="99" s="1"/>
  <c r="A85" i="99" a="1"/>
  <c r="A85" i="99" s="1"/>
  <c r="F63" i="99" a="1"/>
  <c r="F63" i="99" s="1"/>
  <c r="F39" i="99" a="1"/>
  <c r="F39" i="99" s="1"/>
  <c r="A28" i="99" a="1"/>
  <c r="A28" i="99" s="1"/>
  <c r="F40" i="99" a="1"/>
  <c r="F40" i="99" s="1"/>
  <c r="A29" i="99" a="1"/>
  <c r="A29" i="99" s="1"/>
  <c r="F47" i="99" a="1"/>
  <c r="F47" i="99" s="1"/>
  <c r="A68" i="99" a="1"/>
  <c r="A68" i="99" s="1"/>
  <c r="A16" i="99" a="1"/>
  <c r="A16" i="99" s="1"/>
  <c r="F83" i="99" a="1"/>
  <c r="F83" i="99" s="1"/>
  <c r="A24" i="99" a="1"/>
  <c r="A24" i="99" s="1"/>
  <c r="A82" i="99" a="1"/>
  <c r="A82" i="99" s="1"/>
  <c r="F50" i="99" a="1"/>
  <c r="F50" i="99" s="1"/>
  <c r="A64" i="99" a="1"/>
  <c r="A64" i="99" s="1"/>
  <c r="A45" i="99" a="1"/>
  <c r="A45" i="99" s="1"/>
  <c r="A54" i="99" a="1"/>
  <c r="A54" i="99" s="1"/>
  <c r="A41" i="99" a="1"/>
  <c r="A41" i="99" s="1"/>
  <c r="F61" i="99" a="1"/>
  <c r="F61" i="99" s="1"/>
  <c r="F76" i="99" a="1"/>
  <c r="F76" i="99" s="1"/>
  <c r="F68" i="99" a="1"/>
  <c r="F68" i="99" s="1"/>
  <c r="F8" i="99" a="1"/>
  <c r="F8" i="99" s="1"/>
  <c r="A37" i="99" a="1"/>
  <c r="A37" i="99" s="1"/>
  <c r="F30" i="99" a="1"/>
  <c r="F30" i="99" s="1"/>
  <c r="A58" i="99" a="1"/>
  <c r="A58" i="99" s="1"/>
  <c r="A46" i="99" a="1"/>
  <c r="A46" i="99" s="1"/>
  <c r="A10" i="99" a="1"/>
  <c r="A10" i="99" s="1"/>
  <c r="A19" i="99" a="1"/>
  <c r="A19" i="99" s="1"/>
  <c r="F67" i="99" a="1"/>
  <c r="F67" i="99" s="1"/>
  <c r="F41" i="99" a="1"/>
  <c r="F41" i="99" s="1"/>
  <c r="F38" i="99" a="1"/>
  <c r="F38" i="99" s="1"/>
  <c r="F78" i="99" a="1"/>
  <c r="F78" i="99" s="1"/>
  <c r="F77" i="99" a="1"/>
  <c r="F77" i="99" s="1"/>
  <c r="A33" i="99" a="1"/>
  <c r="A33" i="99" s="1"/>
  <c r="F66" i="99" a="1"/>
  <c r="F66" i="99" s="1"/>
  <c r="F46" i="99" a="1"/>
  <c r="F46" i="99" s="1"/>
  <c r="F69" i="99" a="1"/>
  <c r="F69" i="99" s="1"/>
  <c r="F35" i="99" a="1"/>
  <c r="F35" i="99" s="1"/>
  <c r="F19" i="99" a="1"/>
  <c r="F19" i="99" s="1"/>
  <c r="A75" i="99" a="1"/>
  <c r="A75" i="99" s="1"/>
  <c r="F24" i="99" a="1"/>
  <c r="F24" i="99" s="1"/>
  <c r="A79" i="99" a="1"/>
  <c r="A79" i="99" s="1"/>
  <c r="A27" i="99" a="1"/>
  <c r="A27" i="99" s="1"/>
  <c r="A9" i="36" a="1"/>
  <c r="A9" i="36" s="1"/>
  <c r="A74" i="36" a="1"/>
  <c r="A74" i="36" s="1"/>
  <c r="F75" i="36" a="1"/>
  <c r="F75" i="36" s="1"/>
  <c r="F10" i="36" a="1"/>
  <c r="F10" i="36" s="1"/>
  <c r="K6" i="36"/>
  <c r="A6" i="36" s="1" a="1"/>
  <c r="A6" i="36" s="1"/>
  <c r="A49" i="36" a="1"/>
  <c r="A49" i="36" s="1"/>
  <c r="A65" i="36" a="1"/>
  <c r="A65" i="36" s="1"/>
  <c r="A61" i="36" a="1"/>
  <c r="A61" i="36" s="1"/>
  <c r="A57" i="36" a="1"/>
  <c r="A57" i="36" s="1"/>
  <c r="F45" i="36" a="1"/>
  <c r="F45" i="36" s="1"/>
  <c r="F64" i="36" a="1"/>
  <c r="F64" i="36" s="1"/>
  <c r="A70" i="36" a="1"/>
  <c r="A70" i="36" s="1"/>
  <c r="A39" i="36" a="1"/>
  <c r="A39" i="36" s="1"/>
  <c r="F83" i="36" a="1"/>
  <c r="F83" i="36" s="1"/>
  <c r="F51" i="36" a="1"/>
  <c r="F51" i="36" s="1"/>
  <c r="F31" i="36" a="1"/>
  <c r="F31" i="36" s="1"/>
  <c r="A27" i="36" a="1"/>
  <c r="A27" i="36" s="1"/>
  <c r="A33" i="36" a="1"/>
  <c r="A33" i="36" s="1"/>
  <c r="A73" i="36" a="1"/>
  <c r="A73" i="36" s="1"/>
  <c r="F21" i="36" a="1"/>
  <c r="F21" i="36" s="1"/>
  <c r="F66" i="36" a="1"/>
  <c r="F66" i="36" s="1"/>
  <c r="A25" i="36" a="1"/>
  <c r="A25" i="36" s="1"/>
  <c r="F19" i="36" a="1"/>
  <c r="F19" i="36" s="1"/>
  <c r="A84" i="36" a="1"/>
  <c r="A84" i="36" s="1"/>
  <c r="A32" i="36" a="1"/>
  <c r="A32" i="36" s="1"/>
  <c r="A26" i="36" a="1"/>
  <c r="A26" i="36" s="1"/>
  <c r="F33" i="36" a="1"/>
  <c r="F33" i="36" s="1"/>
  <c r="A14" i="36" a="1"/>
  <c r="A14" i="36" s="1"/>
  <c r="F22" i="36" a="1"/>
  <c r="F22" i="36" s="1"/>
  <c r="A78" i="36" a="1"/>
  <c r="A78" i="36" s="1"/>
  <c r="F68" i="36" a="1"/>
  <c r="F68" i="36" s="1"/>
  <c r="A55" i="36" a="1"/>
  <c r="A55" i="36" s="1"/>
  <c r="F71" i="36" a="1"/>
  <c r="F71" i="36" s="1"/>
  <c r="F69" i="36" a="1"/>
  <c r="F69" i="36" s="1"/>
  <c r="A77" i="36" a="1"/>
  <c r="A77" i="36" s="1"/>
  <c r="F29" i="36" a="1"/>
  <c r="F29" i="36" s="1"/>
  <c r="A8" i="36" a="1"/>
  <c r="A8" i="36" s="1"/>
  <c r="F8" i="36" a="1"/>
  <c r="F8" i="36" s="1"/>
  <c r="F40" i="36" a="1"/>
  <c r="F40" i="36" s="1"/>
  <c r="A44" i="36" a="1"/>
  <c r="A44" i="36" s="1"/>
  <c r="F24" i="36" a="1"/>
  <c r="F24" i="36" s="1"/>
  <c r="F20" i="36" a="1"/>
  <c r="F20" i="36" s="1"/>
  <c r="A12" i="36" a="1"/>
  <c r="A12" i="36" s="1"/>
  <c r="F27" i="36" a="1"/>
  <c r="F27" i="36" s="1"/>
  <c r="A23" i="36" a="1"/>
  <c r="A23" i="36" s="1"/>
  <c r="A81" i="36" a="1"/>
  <c r="A81" i="36" s="1"/>
  <c r="F52" i="36" a="1"/>
  <c r="F52" i="36" s="1"/>
  <c r="F30" i="36" a="1"/>
  <c r="F30" i="36" s="1"/>
  <c r="A58" i="36" a="1"/>
  <c r="A58" i="36" s="1"/>
  <c r="A53" i="36" a="1"/>
  <c r="A53" i="36" s="1"/>
  <c r="A76" i="36" a="1"/>
  <c r="A76" i="36" s="1"/>
  <c r="A42" i="36" a="1"/>
  <c r="A42" i="36" s="1"/>
  <c r="A18" i="36" a="1"/>
  <c r="A18" i="36" s="1"/>
  <c r="A30" i="36" a="1"/>
  <c r="A30" i="36" s="1"/>
  <c r="A52" i="36" a="1"/>
  <c r="A52" i="36" s="1"/>
  <c r="A19" i="36" a="1"/>
  <c r="A19" i="36" s="1"/>
  <c r="A22" i="36" a="1"/>
  <c r="A22" i="36" s="1"/>
  <c r="F61" i="36" a="1"/>
  <c r="F61" i="36" s="1"/>
  <c r="A10" i="36" a="1"/>
  <c r="A10" i="36" s="1"/>
  <c r="F67" i="36" a="1"/>
  <c r="F67" i="36" s="1"/>
  <c r="F73" i="36" a="1"/>
  <c r="F73" i="36" s="1"/>
  <c r="F56" i="36" a="1"/>
  <c r="F56" i="36" s="1"/>
  <c r="F41" i="36" a="1"/>
  <c r="F41" i="36" s="1"/>
  <c r="F14" i="36" a="1"/>
  <c r="F14" i="36" s="1"/>
  <c r="A40" i="36" a="1"/>
  <c r="A40" i="36" s="1"/>
  <c r="F53" i="36" a="1"/>
  <c r="F53" i="36" s="1"/>
  <c r="A54" i="36" a="1"/>
  <c r="A54" i="36" s="1"/>
  <c r="A46" i="36" a="1"/>
  <c r="A46" i="36" s="1"/>
  <c r="A80" i="36" a="1"/>
  <c r="A80" i="36" s="1"/>
  <c r="A82" i="36" a="1"/>
  <c r="A82" i="36" s="1"/>
  <c r="A11" i="36" a="1"/>
  <c r="A11" i="36" s="1"/>
  <c r="F17" i="36" a="1"/>
  <c r="F17" i="36" s="1"/>
  <c r="A7" i="36" a="1"/>
  <c r="A7" i="36" s="1"/>
  <c r="A47" i="36" a="1"/>
  <c r="A47" i="36" s="1"/>
  <c r="F50" i="36" a="1"/>
  <c r="F50" i="36" s="1"/>
  <c r="A21" i="36" a="1"/>
  <c r="A21" i="36" s="1"/>
  <c r="F42" i="36" a="1"/>
  <c r="F42" i="36" s="1"/>
  <c r="F58" i="36" a="1"/>
  <c r="F58" i="36" s="1"/>
  <c r="F74" i="36" a="1"/>
  <c r="F74" i="36" s="1"/>
  <c r="F44" i="36" a="1"/>
  <c r="F44" i="36" s="1"/>
  <c r="A16" i="36" a="1"/>
  <c r="A16" i="36" s="1"/>
  <c r="A50" i="36" a="1"/>
  <c r="A50" i="36" s="1"/>
  <c r="A64" i="36" a="1"/>
  <c r="A64" i="36" s="1"/>
  <c r="A13" i="36" a="1"/>
  <c r="A13" i="36" s="1"/>
  <c r="F78" i="36" a="1"/>
  <c r="F78" i="36" s="1"/>
  <c r="F79" i="36" a="1"/>
  <c r="F79" i="36" s="1"/>
  <c r="F25" i="36" a="1"/>
  <c r="F25" i="36" s="1"/>
  <c r="A24" i="36" a="1"/>
  <c r="A24" i="36" s="1"/>
  <c r="A15" i="36" a="1"/>
  <c r="A15" i="36" s="1"/>
  <c r="F37" i="36" a="1"/>
  <c r="F37" i="36" s="1"/>
  <c r="F46" i="36" a="1"/>
  <c r="F46" i="36" s="1"/>
  <c r="F15" i="36" a="1"/>
  <c r="F15" i="36" s="1"/>
  <c r="A62" i="36" a="1"/>
  <c r="A62" i="36" s="1"/>
  <c r="F26" i="36" a="1"/>
  <c r="F26" i="36" s="1"/>
  <c r="A35" i="36" a="1"/>
  <c r="A35" i="36" s="1"/>
  <c r="A60" i="36" a="1"/>
  <c r="A60" i="36" s="1"/>
  <c r="F36" i="36" a="1"/>
  <c r="F36" i="36" s="1"/>
  <c r="A29" i="36" a="1"/>
  <c r="A29" i="36" s="1"/>
  <c r="A37" i="36" a="1"/>
  <c r="A37" i="36" s="1"/>
  <c r="A68" i="36" a="1"/>
  <c r="A68" i="36" s="1"/>
  <c r="A38" i="36" a="1"/>
  <c r="A38" i="36" s="1"/>
  <c r="A45" i="36" a="1"/>
  <c r="A45" i="36" s="1"/>
  <c r="A28" i="36" a="1"/>
  <c r="A28" i="36" s="1"/>
  <c r="F55" i="36" a="1"/>
  <c r="F55" i="36" s="1"/>
  <c r="A59" i="36" a="1"/>
  <c r="A59" i="36" s="1"/>
  <c r="F81" i="36" a="1"/>
  <c r="F81" i="36" s="1"/>
  <c r="F82" i="36" a="1"/>
  <c r="F82" i="36" s="1"/>
  <c r="A83" i="36" a="1"/>
  <c r="A83" i="36" s="1"/>
  <c r="F72" i="36" a="1"/>
  <c r="F72" i="36" s="1"/>
  <c r="F60" i="36" a="1"/>
  <c r="F60" i="36" s="1"/>
  <c r="A20" i="36" a="1"/>
  <c r="A20" i="36" s="1"/>
  <c r="F77" i="36" a="1"/>
  <c r="F77" i="36" s="1"/>
  <c r="F28" i="36" a="1"/>
  <c r="F28" i="36" s="1"/>
  <c r="A67" i="36" a="1"/>
  <c r="A67" i="36" s="1"/>
  <c r="F84" i="36" a="1"/>
  <c r="F84" i="36" s="1"/>
  <c r="A51" i="36" a="1"/>
  <c r="A51" i="36" s="1"/>
  <c r="A36" i="36" a="1"/>
  <c r="A36" i="36" s="1"/>
  <c r="F11" i="36" a="1"/>
  <c r="F11" i="36" s="1"/>
  <c r="F70" i="36" a="1"/>
  <c r="F70" i="36" s="1"/>
  <c r="F54" i="36" a="1"/>
  <c r="F54" i="36" s="1"/>
  <c r="F39" i="36" a="1"/>
  <c r="F39" i="36" s="1"/>
  <c r="F7" i="36" a="1"/>
  <c r="F7" i="36" s="1"/>
  <c r="A63" i="36" a="1"/>
  <c r="A63" i="36" s="1"/>
  <c r="F76" i="36" a="1"/>
  <c r="F76" i="36" s="1"/>
  <c r="F63" i="36" a="1"/>
  <c r="F63" i="36" s="1"/>
  <c r="F34" i="36" a="1"/>
  <c r="F34" i="36" s="1"/>
  <c r="F59" i="36" a="1"/>
  <c r="F59" i="36" s="1"/>
  <c r="A79" i="36" a="1"/>
  <c r="A79" i="36" s="1"/>
  <c r="A85" i="36" a="1"/>
  <c r="A85" i="36" s="1"/>
  <c r="A75" i="36" a="1"/>
  <c r="A75" i="36" s="1"/>
  <c r="A56" i="36" a="1"/>
  <c r="A56" i="36" s="1"/>
  <c r="A48" i="36" a="1"/>
  <c r="A48" i="36" s="1"/>
  <c r="F16" i="36" a="1"/>
  <c r="F16" i="36" s="1"/>
  <c r="F23" i="36" a="1"/>
  <c r="F23" i="36" s="1"/>
  <c r="F43" i="36" a="1"/>
  <c r="F43" i="36" s="1"/>
  <c r="F9" i="36" a="1"/>
  <c r="F9" i="36" s="1"/>
  <c r="F13" i="36" a="1"/>
  <c r="F13" i="36" s="1"/>
  <c r="A72" i="36" a="1"/>
  <c r="A72" i="36" s="1"/>
  <c r="F48" i="36" a="1"/>
  <c r="F48" i="36" s="1"/>
  <c r="A31" i="36" a="1"/>
  <c r="A31" i="36" s="1"/>
  <c r="F6" i="36" a="1"/>
  <c r="F6" i="36" s="1"/>
  <c r="F85" i="36" a="1"/>
  <c r="F85" i="36" s="1"/>
  <c r="F57" i="36" a="1"/>
  <c r="F57" i="36" s="1"/>
  <c r="A41" i="36" a="1"/>
  <c r="A41" i="36" s="1"/>
  <c r="A43" i="36" a="1"/>
  <c r="A43" i="36" s="1"/>
  <c r="A34" i="36" a="1"/>
  <c r="A34" i="36" s="1"/>
  <c r="F18" i="36" a="1"/>
  <c r="F18" i="36" s="1"/>
  <c r="A17" i="36" a="1"/>
  <c r="A17" i="36" s="1"/>
  <c r="F32" i="36" a="1"/>
  <c r="F32" i="36" s="1"/>
  <c r="F62" i="36" a="1"/>
  <c r="F62" i="36" s="1"/>
  <c r="A66" i="36" a="1"/>
  <c r="A66" i="36" s="1"/>
  <c r="A69" i="36" a="1"/>
  <c r="A69" i="36" s="1"/>
  <c r="F49" i="36" a="1"/>
  <c r="F49" i="36" s="1"/>
  <c r="F12" i="36" a="1"/>
  <c r="F12" i="36" s="1"/>
  <c r="F38" i="36" a="1"/>
  <c r="F38" i="36" s="1"/>
  <c r="F35" i="36" a="1"/>
  <c r="F35" i="36" s="1"/>
  <c r="D51" i="22"/>
  <c r="G51" i="22"/>
  <c r="E51" i="22"/>
  <c r="B51" i="22"/>
  <c r="C51" i="22"/>
  <c r="D16" i="22"/>
  <c r="F70" i="13" a="1"/>
  <c r="F70" i="13" s="1"/>
  <c r="A10" i="13" a="1"/>
  <c r="A10" i="13" s="1"/>
  <c r="F38" i="13" a="1"/>
  <c r="F38" i="13" s="1"/>
  <c r="F80" i="13" a="1"/>
  <c r="F80" i="13" s="1"/>
  <c r="F69" i="13" a="1"/>
  <c r="F69" i="13" s="1"/>
  <c r="F14" i="13" a="1"/>
  <c r="F14" i="13" s="1"/>
  <c r="F61" i="13" a="1"/>
  <c r="F61" i="13" s="1"/>
  <c r="F31" i="13" a="1"/>
  <c r="F31" i="13" s="1"/>
  <c r="F18" i="13" a="1"/>
  <c r="F18" i="13" s="1"/>
  <c r="A9" i="13" a="1"/>
  <c r="A9" i="13" s="1"/>
  <c r="A40" i="13" a="1"/>
  <c r="A40" i="13" s="1"/>
  <c r="F42" i="13" a="1"/>
  <c r="F42" i="13" s="1"/>
  <c r="A17" i="13" a="1"/>
  <c r="A17" i="13" s="1"/>
  <c r="A50" i="13" a="1"/>
  <c r="A50" i="13" s="1"/>
  <c r="A48" i="13" a="1"/>
  <c r="A48" i="13" s="1"/>
  <c r="F51" i="13" a="1"/>
  <c r="F51" i="13" s="1"/>
  <c r="A44" i="13" a="1"/>
  <c r="A44" i="13" s="1"/>
  <c r="A74" i="13" a="1"/>
  <c r="A74" i="13" s="1"/>
  <c r="F12" i="13" a="1"/>
  <c r="F12" i="13" s="1"/>
  <c r="A72" i="13" a="1"/>
  <c r="A72" i="13" s="1"/>
  <c r="F48" i="13" a="1"/>
  <c r="F48" i="13" s="1"/>
  <c r="F76" i="13" a="1"/>
  <c r="F76" i="13" s="1"/>
  <c r="A66" i="13" a="1"/>
  <c r="A66" i="13" s="1"/>
  <c r="F34" i="13" a="1"/>
  <c r="F34" i="13" s="1"/>
  <c r="A77" i="13" a="1"/>
  <c r="A77" i="13" s="1"/>
  <c r="A46" i="13" a="1"/>
  <c r="A46" i="13" s="1"/>
  <c r="F25" i="13" a="1"/>
  <c r="F25" i="13" s="1"/>
  <c r="A33" i="13" a="1"/>
  <c r="A33" i="13" s="1"/>
  <c r="F26" i="13" a="1"/>
  <c r="F26" i="13" s="1"/>
  <c r="A25" i="13" a="1"/>
  <c r="A25" i="13" s="1"/>
  <c r="F62" i="13" a="1"/>
  <c r="F62" i="13" s="1"/>
  <c r="F23" i="13" a="1"/>
  <c r="F23" i="13" s="1"/>
  <c r="A22" i="13" a="1"/>
  <c r="A22" i="13" s="1"/>
  <c r="F35" i="13" a="1"/>
  <c r="F35" i="13" s="1"/>
  <c r="F21" i="13" a="1"/>
  <c r="F21" i="13" s="1"/>
  <c r="A16" i="13" a="1"/>
  <c r="A16" i="13" s="1"/>
  <c r="A61" i="13" a="1"/>
  <c r="A61" i="13" s="1"/>
  <c r="F46" i="13" a="1"/>
  <c r="F46" i="13" s="1"/>
  <c r="A30" i="13" a="1"/>
  <c r="A30" i="13" s="1"/>
  <c r="A53" i="13" a="1"/>
  <c r="A53" i="13" s="1"/>
  <c r="F82" i="13" a="1"/>
  <c r="F82" i="13" s="1"/>
  <c r="A67" i="13" a="1"/>
  <c r="A67" i="13" s="1"/>
  <c r="A26" i="13" a="1"/>
  <c r="A26" i="13" s="1"/>
  <c r="F56" i="13" a="1"/>
  <c r="F56" i="13" s="1"/>
  <c r="F74" i="13" a="1"/>
  <c r="F74" i="13" s="1"/>
  <c r="A37" i="13" a="1"/>
  <c r="A37" i="13" s="1"/>
  <c r="A65" i="13" a="1"/>
  <c r="A65" i="13" s="1"/>
  <c r="F47" i="13" a="1"/>
  <c r="F47" i="13" s="1"/>
  <c r="A24" i="13" a="1"/>
  <c r="A24" i="13" s="1"/>
  <c r="A81" i="13" a="1"/>
  <c r="A81" i="13" s="1"/>
  <c r="A78" i="13" a="1"/>
  <c r="A78" i="13" s="1"/>
  <c r="A15" i="13" a="1"/>
  <c r="A15" i="13" s="1"/>
  <c r="F17" i="13" a="1"/>
  <c r="F17" i="13" s="1"/>
  <c r="F45" i="13" a="1"/>
  <c r="F45" i="13" s="1"/>
  <c r="F83" i="13" a="1"/>
  <c r="F83" i="13" s="1"/>
  <c r="A35" i="13" a="1"/>
  <c r="A35" i="13" s="1"/>
  <c r="F9" i="13" a="1"/>
  <c r="F9" i="13" s="1"/>
  <c r="A79" i="13" a="1"/>
  <c r="A79" i="13" s="1"/>
  <c r="F37" i="13" a="1"/>
  <c r="F37" i="13" s="1"/>
  <c r="F36" i="13" a="1"/>
  <c r="F36" i="13" s="1"/>
  <c r="A13" i="13" a="1"/>
  <c r="A13" i="13" s="1"/>
  <c r="F64" i="13" a="1"/>
  <c r="F64" i="13" s="1"/>
  <c r="A62" i="13" a="1"/>
  <c r="A62" i="13" s="1"/>
  <c r="A14" i="13" a="1"/>
  <c r="A14" i="13" s="1"/>
  <c r="F40" i="13" a="1"/>
  <c r="F40" i="13" s="1"/>
  <c r="A59" i="13" a="1"/>
  <c r="A59" i="13" s="1"/>
  <c r="A73" i="13" a="1"/>
  <c r="A73" i="13" s="1"/>
  <c r="F28" i="13" a="1"/>
  <c r="F28" i="13" s="1"/>
  <c r="F73" i="13" a="1"/>
  <c r="F73" i="13" s="1"/>
  <c r="F39" i="13" a="1"/>
  <c r="F39" i="13" s="1"/>
  <c r="A29" i="13" a="1"/>
  <c r="A29" i="13" s="1"/>
  <c r="A52" i="13" a="1"/>
  <c r="A52" i="13" s="1"/>
  <c r="F75" i="13" a="1"/>
  <c r="F75" i="13" s="1"/>
  <c r="A20" i="13" a="1"/>
  <c r="A20" i="13" s="1"/>
  <c r="A83" i="13" a="1"/>
  <c r="A83" i="13" s="1"/>
  <c r="F16" i="13" a="1"/>
  <c r="F16" i="13" s="1"/>
  <c r="F54" i="13" a="1"/>
  <c r="F54" i="13" s="1"/>
  <c r="A64" i="13" a="1"/>
  <c r="A64" i="13" s="1"/>
  <c r="A28" i="13" a="1"/>
  <c r="A28" i="13" s="1"/>
  <c r="A31" i="13" a="1"/>
  <c r="A31" i="13" s="1"/>
  <c r="A39" i="13" a="1"/>
  <c r="A39" i="13" s="1"/>
  <c r="F20" i="13" a="1"/>
  <c r="F20" i="13" s="1"/>
  <c r="F32" i="13" a="1"/>
  <c r="F32" i="13" s="1"/>
  <c r="A21" i="13" a="1"/>
  <c r="A21" i="13" s="1"/>
  <c r="A32" i="13" a="1"/>
  <c r="A32" i="13" s="1"/>
  <c r="F8" i="13" a="1"/>
  <c r="F8" i="13" s="1"/>
  <c r="A60" i="13" a="1"/>
  <c r="A60" i="13" s="1"/>
  <c r="A27" i="13" a="1"/>
  <c r="A27" i="13" s="1"/>
  <c r="A8" i="13" a="1"/>
  <c r="A8" i="13" s="1"/>
  <c r="A45" i="13" a="1"/>
  <c r="A45" i="13" s="1"/>
  <c r="F52" i="13" a="1"/>
  <c r="F52" i="13" s="1"/>
  <c r="F13" i="13" a="1"/>
  <c r="F13" i="13" s="1"/>
  <c r="A43" i="13" a="1"/>
  <c r="A43" i="13" s="1"/>
  <c r="F29" i="13" a="1"/>
  <c r="F29" i="13" s="1"/>
  <c r="F44" i="13" a="1"/>
  <c r="F44" i="13" s="1"/>
  <c r="F81" i="13" a="1"/>
  <c r="F81" i="13" s="1"/>
  <c r="F30" i="13" a="1"/>
  <c r="F30" i="13" s="1"/>
  <c r="A57" i="13" a="1"/>
  <c r="A57" i="13" s="1"/>
  <c r="A69" i="13" a="1"/>
  <c r="A69" i="13" s="1"/>
  <c r="A36" i="13" a="1"/>
  <c r="A36" i="13" s="1"/>
  <c r="A38" i="13" a="1"/>
  <c r="A38" i="13" s="1"/>
  <c r="F67" i="13" a="1"/>
  <c r="F67" i="13" s="1"/>
  <c r="A70" i="13" a="1"/>
  <c r="A70" i="13" s="1"/>
  <c r="A49" i="13" a="1"/>
  <c r="A49" i="13" s="1"/>
  <c r="F50" i="13" a="1"/>
  <c r="F50" i="13" s="1"/>
  <c r="A68" i="13" a="1"/>
  <c r="A68" i="13" s="1"/>
  <c r="F49" i="13" a="1"/>
  <c r="F49" i="13" s="1"/>
  <c r="A58" i="13" a="1"/>
  <c r="A58" i="13" s="1"/>
  <c r="F72" i="13" a="1"/>
  <c r="F72" i="13" s="1"/>
  <c r="A55" i="13" a="1"/>
  <c r="A55" i="13" s="1"/>
  <c r="A82" i="13" a="1"/>
  <c r="A82" i="13" s="1"/>
  <c r="F77" i="13" a="1"/>
  <c r="F77" i="13" s="1"/>
  <c r="F27" i="13" a="1"/>
  <c r="F27" i="13" s="1"/>
  <c r="F15" i="13" a="1"/>
  <c r="F15" i="13" s="1"/>
  <c r="F84" i="13" a="1"/>
  <c r="F84" i="13" s="1"/>
  <c r="F41" i="13" a="1"/>
  <c r="F41" i="13" s="1"/>
  <c r="A42" i="13" a="1"/>
  <c r="A42" i="13" s="1"/>
  <c r="A75" i="13" a="1"/>
  <c r="A75" i="13" s="1"/>
  <c r="F53" i="13" a="1"/>
  <c r="F53" i="13" s="1"/>
  <c r="A7" i="13" a="1"/>
  <c r="A7" i="13" s="1"/>
  <c r="F43" i="13" a="1"/>
  <c r="F43" i="13" s="1"/>
  <c r="A12" i="13" a="1"/>
  <c r="A12" i="13" s="1"/>
  <c r="F60" i="13" a="1"/>
  <c r="F60" i="13" s="1"/>
  <c r="F65" i="13" a="1"/>
  <c r="F65" i="13" s="1"/>
  <c r="A19" i="13" a="1"/>
  <c r="A19" i="13" s="1"/>
  <c r="F85" i="13" a="1"/>
  <c r="F85" i="13" s="1"/>
  <c r="A51" i="13" a="1"/>
  <c r="A51" i="13" s="1"/>
  <c r="F71" i="13" a="1"/>
  <c r="F71" i="13" s="1"/>
  <c r="A47" i="13" a="1"/>
  <c r="A47" i="13" s="1"/>
  <c r="A80" i="13" a="1"/>
  <c r="A80" i="13" s="1"/>
  <c r="F78" i="13" a="1"/>
  <c r="F78" i="13" s="1"/>
  <c r="A41" i="13" a="1"/>
  <c r="A41" i="13" s="1"/>
  <c r="K6" i="13"/>
  <c r="A6" i="13" s="1" a="1"/>
  <c r="A6" i="13" s="1"/>
  <c r="A34" i="13" a="1"/>
  <c r="A34" i="13" s="1"/>
  <c r="F6" i="13" a="1"/>
  <c r="F6" i="13" s="1"/>
  <c r="F68" i="13" a="1"/>
  <c r="F68" i="13" s="1"/>
  <c r="A11" i="13" a="1"/>
  <c r="A11" i="13" s="1"/>
  <c r="A84" i="13" a="1"/>
  <c r="A84" i="13" s="1"/>
  <c r="A71" i="13" a="1"/>
  <c r="A71" i="13" s="1"/>
  <c r="F11" i="13" a="1"/>
  <c r="F11" i="13" s="1"/>
  <c r="F55" i="13" a="1"/>
  <c r="F55" i="13" s="1"/>
  <c r="F79" i="13" a="1"/>
  <c r="F79" i="13" s="1"/>
  <c r="A23" i="13" a="1"/>
  <c r="A23" i="13" s="1"/>
  <c r="F57" i="13" a="1"/>
  <c r="F57" i="13" s="1"/>
  <c r="A85" i="13" a="1"/>
  <c r="A85" i="13" s="1"/>
  <c r="A18" i="13" a="1"/>
  <c r="A18" i="13" s="1"/>
  <c r="A76" i="13" a="1"/>
  <c r="A76" i="13" s="1"/>
  <c r="A63" i="13" a="1"/>
  <c r="A63" i="13" s="1"/>
  <c r="A56" i="13" a="1"/>
  <c r="A56" i="13" s="1"/>
  <c r="F63" i="13" a="1"/>
  <c r="F63" i="13" s="1"/>
  <c r="F33" i="13" a="1"/>
  <c r="F33" i="13" s="1"/>
  <c r="F22" i="13" a="1"/>
  <c r="F22" i="13" s="1"/>
  <c r="F19" i="13" a="1"/>
  <c r="F19" i="13" s="1"/>
  <c r="F59" i="13" a="1"/>
  <c r="F59" i="13" s="1"/>
  <c r="F58" i="13" a="1"/>
  <c r="F58" i="13" s="1"/>
  <c r="A54" i="13" a="1"/>
  <c r="A54" i="13" s="1"/>
  <c r="F66" i="13" a="1"/>
  <c r="F66" i="13" s="1"/>
  <c r="F7" i="13" a="1"/>
  <c r="F7" i="13" s="1"/>
  <c r="F10" i="13" a="1"/>
  <c r="F10" i="13" s="1"/>
  <c r="F24" i="13" a="1"/>
  <c r="F24" i="13" s="1"/>
  <c r="C37" i="22"/>
  <c r="B37" i="22"/>
  <c r="E37" i="22"/>
  <c r="D37" i="22"/>
  <c r="G37" i="22"/>
  <c r="F44" i="17" a="1"/>
  <c r="F44" i="17" s="1"/>
  <c r="F47" i="17" a="1"/>
  <c r="F47" i="17" s="1"/>
  <c r="F77" i="17" a="1"/>
  <c r="F77" i="17" s="1"/>
  <c r="F41" i="17" a="1"/>
  <c r="F41" i="17" s="1"/>
  <c r="A28" i="17" a="1"/>
  <c r="A28" i="17" s="1"/>
  <c r="F78" i="17" a="1"/>
  <c r="F78" i="17" s="1"/>
  <c r="A21" i="17" a="1"/>
  <c r="A21" i="17" s="1"/>
  <c r="A73" i="17" a="1"/>
  <c r="A73" i="17" s="1"/>
  <c r="F42" i="17" a="1"/>
  <c r="F42" i="17" s="1"/>
  <c r="F20" i="17" a="1"/>
  <c r="F20" i="17" s="1"/>
  <c r="A67" i="17" a="1"/>
  <c r="A67" i="17" s="1"/>
  <c r="K6" i="17"/>
  <c r="A6" i="17" s="1" a="1"/>
  <c r="A6" i="17" s="1"/>
  <c r="A46" i="17" a="1"/>
  <c r="A46" i="17" s="1"/>
  <c r="A9" i="17" a="1"/>
  <c r="A9" i="17" s="1"/>
  <c r="A12" i="17" a="1"/>
  <c r="A12" i="17" s="1"/>
  <c r="F24" i="17" a="1"/>
  <c r="F24" i="17" s="1"/>
  <c r="F56" i="17" a="1"/>
  <c r="F56" i="17" s="1"/>
  <c r="F23" i="17" a="1"/>
  <c r="F23" i="17" s="1"/>
  <c r="A22" i="17" a="1"/>
  <c r="A22" i="17" s="1"/>
  <c r="A55" i="17" a="1"/>
  <c r="A55" i="17" s="1"/>
  <c r="F17" i="17" a="1"/>
  <c r="F17" i="17" s="1"/>
  <c r="A66" i="17" a="1"/>
  <c r="A66" i="17" s="1"/>
  <c r="F35" i="17" a="1"/>
  <c r="F35" i="17" s="1"/>
  <c r="F61" i="17" a="1"/>
  <c r="F61" i="17" s="1"/>
  <c r="A29" i="17" a="1"/>
  <c r="A29" i="17" s="1"/>
  <c r="F51" i="17" a="1"/>
  <c r="F51" i="17" s="1"/>
  <c r="F69" i="17" a="1"/>
  <c r="F69" i="17" s="1"/>
  <c r="F65" i="17" a="1"/>
  <c r="F65" i="17" s="1"/>
  <c r="A53" i="17" a="1"/>
  <c r="A53" i="17" s="1"/>
  <c r="A25" i="17" a="1"/>
  <c r="A25" i="17" s="1"/>
  <c r="F63" i="17" a="1"/>
  <c r="F63" i="17" s="1"/>
  <c r="A24" i="17" a="1"/>
  <c r="A24" i="17" s="1"/>
  <c r="A42" i="17" a="1"/>
  <c r="A42" i="17" s="1"/>
  <c r="F84" i="17" a="1"/>
  <c r="F84" i="17" s="1"/>
  <c r="A56" i="17" a="1"/>
  <c r="A56" i="17" s="1"/>
  <c r="A69" i="17" a="1"/>
  <c r="A69" i="17" s="1"/>
  <c r="A44" i="17" a="1"/>
  <c r="A44" i="17" s="1"/>
  <c r="F53" i="17" a="1"/>
  <c r="F53" i="17" s="1"/>
  <c r="A38" i="17" a="1"/>
  <c r="A38" i="17" s="1"/>
  <c r="A64" i="17" a="1"/>
  <c r="A64" i="17" s="1"/>
  <c r="A39" i="17" a="1"/>
  <c r="A39" i="17" s="1"/>
  <c r="F50" i="17" a="1"/>
  <c r="F50" i="17" s="1"/>
  <c r="A23" i="17" a="1"/>
  <c r="A23" i="17" s="1"/>
  <c r="F60" i="17" a="1"/>
  <c r="F60" i="17" s="1"/>
  <c r="F71" i="17" a="1"/>
  <c r="F71" i="17" s="1"/>
  <c r="F19" i="17" a="1"/>
  <c r="F19" i="17" s="1"/>
  <c r="F9" i="17" a="1"/>
  <c r="F9" i="17" s="1"/>
  <c r="F33" i="17" a="1"/>
  <c r="F33" i="17" s="1"/>
  <c r="A61" i="17" a="1"/>
  <c r="A61" i="17" s="1"/>
  <c r="A33" i="17" a="1"/>
  <c r="A33" i="17" s="1"/>
  <c r="A59" i="17" a="1"/>
  <c r="A59" i="17" s="1"/>
  <c r="F34" i="17" a="1"/>
  <c r="F34" i="17" s="1"/>
  <c r="F38" i="17" a="1"/>
  <c r="F38" i="17" s="1"/>
  <c r="A81" i="17" a="1"/>
  <c r="A81" i="17" s="1"/>
  <c r="A43" i="17" a="1"/>
  <c r="A43" i="17" s="1"/>
  <c r="A45" i="17" a="1"/>
  <c r="A45" i="17" s="1"/>
  <c r="F76" i="17" a="1"/>
  <c r="F76" i="17" s="1"/>
  <c r="A83" i="17" a="1"/>
  <c r="A83" i="17" s="1"/>
  <c r="F12" i="17" a="1"/>
  <c r="F12" i="17" s="1"/>
  <c r="F55" i="17" a="1"/>
  <c r="F55" i="17" s="1"/>
  <c r="F73" i="17" a="1"/>
  <c r="F73" i="17" s="1"/>
  <c r="F66" i="17" a="1"/>
  <c r="F66" i="17" s="1"/>
  <c r="F8" i="17" a="1"/>
  <c r="F8" i="17" s="1"/>
  <c r="A16" i="17" a="1"/>
  <c r="A16" i="17" s="1"/>
  <c r="F74" i="17" a="1"/>
  <c r="F74" i="17" s="1"/>
  <c r="F7" i="17" a="1"/>
  <c r="F7" i="17" s="1"/>
  <c r="A84" i="17" a="1"/>
  <c r="A84" i="17" s="1"/>
  <c r="F57" i="17" a="1"/>
  <c r="F57" i="17" s="1"/>
  <c r="F40" i="17" a="1"/>
  <c r="F40" i="17" s="1"/>
  <c r="A52" i="17" a="1"/>
  <c r="A52" i="17" s="1"/>
  <c r="F6" i="17" a="1"/>
  <c r="F6" i="17" s="1"/>
  <c r="F64" i="17" a="1"/>
  <c r="F64" i="17" s="1"/>
  <c r="A14" i="17" a="1"/>
  <c r="A14" i="17" s="1"/>
  <c r="F58" i="17" a="1"/>
  <c r="F58" i="17" s="1"/>
  <c r="F16" i="17" a="1"/>
  <c r="F16" i="17" s="1"/>
  <c r="F21" i="17" a="1"/>
  <c r="F21" i="17" s="1"/>
  <c r="F11" i="17" a="1"/>
  <c r="F11" i="17" s="1"/>
  <c r="A57" i="17" a="1"/>
  <c r="A57" i="17" s="1"/>
  <c r="F26" i="17" a="1"/>
  <c r="F26" i="17" s="1"/>
  <c r="F83" i="17" a="1"/>
  <c r="F83" i="17" s="1"/>
  <c r="F14" i="17" a="1"/>
  <c r="F14" i="17" s="1"/>
  <c r="A68" i="17" a="1"/>
  <c r="A68" i="17" s="1"/>
  <c r="F80" i="17" a="1"/>
  <c r="F80" i="17" s="1"/>
  <c r="A34" i="17" a="1"/>
  <c r="A34" i="17" s="1"/>
  <c r="F72" i="17" a="1"/>
  <c r="F72" i="17" s="1"/>
  <c r="F31" i="17" a="1"/>
  <c r="F31" i="17" s="1"/>
  <c r="F82" i="17" a="1"/>
  <c r="F82" i="17" s="1"/>
  <c r="F43" i="17" a="1"/>
  <c r="F43" i="17" s="1"/>
  <c r="A77" i="17" a="1"/>
  <c r="A77" i="17" s="1"/>
  <c r="F32" i="17" a="1"/>
  <c r="F32" i="17" s="1"/>
  <c r="A78" i="17" a="1"/>
  <c r="A78" i="17" s="1"/>
  <c r="A19" i="17" a="1"/>
  <c r="A19" i="17" s="1"/>
  <c r="A70" i="17" a="1"/>
  <c r="A70" i="17" s="1"/>
  <c r="A48" i="17" a="1"/>
  <c r="A48" i="17" s="1"/>
  <c r="A60" i="17" a="1"/>
  <c r="A60" i="17" s="1"/>
  <c r="F46" i="17" a="1"/>
  <c r="F46" i="17" s="1"/>
  <c r="F45" i="17" a="1"/>
  <c r="F45" i="17" s="1"/>
  <c r="A8" i="17" a="1"/>
  <c r="A8" i="17" s="1"/>
  <c r="A79" i="17" a="1"/>
  <c r="A79" i="17" s="1"/>
  <c r="A32" i="17" a="1"/>
  <c r="A32" i="17" s="1"/>
  <c r="A65" i="17" a="1"/>
  <c r="A65" i="17" s="1"/>
  <c r="F75" i="17" a="1"/>
  <c r="F75" i="17" s="1"/>
  <c r="A40" i="17" a="1"/>
  <c r="A40" i="17" s="1"/>
  <c r="F70" i="17" a="1"/>
  <c r="F70" i="17" s="1"/>
  <c r="F85" i="17" a="1"/>
  <c r="F85" i="17" s="1"/>
  <c r="F68" i="17" a="1"/>
  <c r="F68" i="17" s="1"/>
  <c r="F18" i="17" a="1"/>
  <c r="F18" i="17" s="1"/>
  <c r="F13" i="17" a="1"/>
  <c r="F13" i="17" s="1"/>
  <c r="A27" i="17" a="1"/>
  <c r="A27" i="17" s="1"/>
  <c r="A63" i="17" a="1"/>
  <c r="A63" i="17" s="1"/>
  <c r="A35" i="17" a="1"/>
  <c r="A35" i="17" s="1"/>
  <c r="A47" i="17" a="1"/>
  <c r="A47" i="17" s="1"/>
  <c r="F79" i="17" a="1"/>
  <c r="F79" i="17" s="1"/>
  <c r="F37" i="17" a="1"/>
  <c r="F37" i="17" s="1"/>
  <c r="A15" i="17" a="1"/>
  <c r="A15" i="17" s="1"/>
  <c r="F36" i="17" a="1"/>
  <c r="F36" i="17" s="1"/>
  <c r="F30" i="17" a="1"/>
  <c r="F30" i="17" s="1"/>
  <c r="A74" i="17" a="1"/>
  <c r="A74" i="17" s="1"/>
  <c r="F49" i="17" a="1"/>
  <c r="F49" i="17" s="1"/>
  <c r="F62" i="17" a="1"/>
  <c r="F62" i="17" s="1"/>
  <c r="A41" i="17" a="1"/>
  <c r="A41" i="17" s="1"/>
  <c r="F39" i="17" a="1"/>
  <c r="F39" i="17" s="1"/>
  <c r="A85" i="17" a="1"/>
  <c r="A85" i="17" s="1"/>
  <c r="F25" i="17" a="1"/>
  <c r="F25" i="17" s="1"/>
  <c r="A51" i="17" a="1"/>
  <c r="A51" i="17" s="1"/>
  <c r="F54" i="17" a="1"/>
  <c r="F54" i="17" s="1"/>
  <c r="F15" i="17" a="1"/>
  <c r="F15" i="17" s="1"/>
  <c r="F48" i="17" a="1"/>
  <c r="F48" i="17" s="1"/>
  <c r="A20" i="17" a="1"/>
  <c r="A20" i="17" s="1"/>
  <c r="A17" i="17" a="1"/>
  <c r="A17" i="17" s="1"/>
  <c r="A82" i="17" a="1"/>
  <c r="A82" i="17" s="1"/>
  <c r="A49" i="17" a="1"/>
  <c r="A49" i="17" s="1"/>
  <c r="A54" i="17" a="1"/>
  <c r="A54" i="17" s="1"/>
  <c r="A71" i="17" a="1"/>
  <c r="A71" i="17" s="1"/>
  <c r="F67" i="17" a="1"/>
  <c r="F67" i="17" s="1"/>
  <c r="A75" i="17" a="1"/>
  <c r="A75" i="17" s="1"/>
  <c r="A10" i="17" a="1"/>
  <c r="A10" i="17" s="1"/>
  <c r="A36" i="17" a="1"/>
  <c r="A36" i="17" s="1"/>
  <c r="F27" i="17" a="1"/>
  <c r="F27" i="17" s="1"/>
  <c r="A18" i="17" a="1"/>
  <c r="A18" i="17" s="1"/>
  <c r="A50" i="17" a="1"/>
  <c r="A50" i="17" s="1"/>
  <c r="A11" i="17" a="1"/>
  <c r="A11" i="17" s="1"/>
  <c r="F28" i="17" a="1"/>
  <c r="F28" i="17" s="1"/>
  <c r="A13" i="17" a="1"/>
  <c r="A13" i="17" s="1"/>
  <c r="A72" i="17" a="1"/>
  <c r="A72" i="17" s="1"/>
  <c r="A7" i="17" a="1"/>
  <c r="A7" i="17" s="1"/>
  <c r="F52" i="17" a="1"/>
  <c r="F52" i="17" s="1"/>
  <c r="A31" i="17" a="1"/>
  <c r="A31" i="17" s="1"/>
  <c r="A30" i="17" a="1"/>
  <c r="A30" i="17" s="1"/>
  <c r="A58" i="17" a="1"/>
  <c r="A58" i="17" s="1"/>
  <c r="F10" i="17" a="1"/>
  <c r="F10" i="17" s="1"/>
  <c r="F22" i="17" a="1"/>
  <c r="F22" i="17" s="1"/>
  <c r="F59" i="17" a="1"/>
  <c r="F59" i="17" s="1"/>
  <c r="F81" i="17" a="1"/>
  <c r="F81" i="17" s="1"/>
  <c r="A62" i="17" a="1"/>
  <c r="A62" i="17" s="1"/>
  <c r="A76" i="17" a="1"/>
  <c r="A76" i="17" s="1"/>
  <c r="F29" i="17" a="1"/>
  <c r="F29" i="17" s="1"/>
  <c r="A26" i="17" a="1"/>
  <c r="A26" i="17" s="1"/>
  <c r="A80" i="17" a="1"/>
  <c r="A80" i="17" s="1"/>
  <c r="A37" i="17" a="1"/>
  <c r="A37" i="17" s="1"/>
  <c r="A84" i="39" a="1"/>
  <c r="A84" i="39" s="1"/>
  <c r="B84" i="39" s="1"/>
  <c r="F35" i="39" a="1"/>
  <c r="F35" i="39" s="1"/>
  <c r="F65" i="39" a="1"/>
  <c r="F65" i="39" s="1"/>
  <c r="A62" i="39" a="1"/>
  <c r="A62" i="39" s="1"/>
  <c r="C62" i="39" s="1"/>
  <c r="A27" i="39" a="1"/>
  <c r="A27" i="39" s="1"/>
  <c r="C27" i="39" s="1"/>
  <c r="F58" i="39" a="1"/>
  <c r="F58" i="39" s="1"/>
  <c r="F42" i="39" a="1"/>
  <c r="F42" i="39" s="1"/>
  <c r="F25" i="39" a="1"/>
  <c r="F25" i="39" s="1"/>
  <c r="F29" i="39" a="1"/>
  <c r="F29" i="39" s="1"/>
  <c r="A20" i="39" a="1"/>
  <c r="A20" i="39" s="1"/>
  <c r="C20" i="39" s="1"/>
  <c r="A74" i="39" a="1"/>
  <c r="A74" i="39" s="1"/>
  <c r="G74" i="39" s="1"/>
  <c r="F47" i="36" a="1"/>
  <c r="F47" i="36" s="1"/>
  <c r="F82" i="39" a="1"/>
  <c r="F82" i="39" s="1"/>
  <c r="F24" i="98" a="1"/>
  <c r="F24" i="98" s="1"/>
  <c r="F84" i="98" a="1"/>
  <c r="F84" i="98" s="1"/>
  <c r="A53" i="98" a="1"/>
  <c r="A53" i="98" s="1"/>
  <c r="C53" i="98" s="1"/>
  <c r="E170" i="101"/>
  <c r="F170" i="101" a="1"/>
  <c r="F170" i="101" s="1"/>
  <c r="I170" i="101"/>
  <c r="D170" i="101"/>
  <c r="C170" i="101"/>
  <c r="F23" i="35" a="1"/>
  <c r="F23" i="35" s="1"/>
  <c r="A64" i="35" a="1"/>
  <c r="A64" i="35" s="1"/>
  <c r="A35" i="35" a="1"/>
  <c r="A35" i="35" s="1"/>
  <c r="A72" i="35" a="1"/>
  <c r="A72" i="35" s="1"/>
  <c r="F60" i="35" a="1"/>
  <c r="F60" i="35" s="1"/>
  <c r="A23" i="35" a="1"/>
  <c r="A23" i="35" s="1"/>
  <c r="A9" i="35" a="1"/>
  <c r="A9" i="35" s="1"/>
  <c r="B9" i="35" s="1"/>
  <c r="F40" i="35" a="1"/>
  <c r="F40" i="35" s="1"/>
  <c r="A29" i="35" a="1"/>
  <c r="A29" i="35" s="1"/>
  <c r="A80" i="35" a="1"/>
  <c r="A80" i="35" s="1"/>
  <c r="F16" i="35" a="1"/>
  <c r="F16" i="35" s="1"/>
  <c r="F49" i="35" a="1"/>
  <c r="F49" i="35" s="1"/>
  <c r="F10" i="35" a="1"/>
  <c r="F10" i="35" s="1"/>
  <c r="F59" i="35" a="1"/>
  <c r="F59" i="35" s="1"/>
  <c r="F48" i="35" a="1"/>
  <c r="F48" i="35" s="1"/>
  <c r="F63" i="35" a="1"/>
  <c r="F63" i="35" s="1"/>
  <c r="A33" i="35" a="1"/>
  <c r="A33" i="35" s="1"/>
  <c r="A46" i="35" a="1"/>
  <c r="A46" i="35" s="1"/>
  <c r="F55" i="35" a="1"/>
  <c r="F55" i="35" s="1"/>
  <c r="F7" i="35" a="1"/>
  <c r="F7" i="35" s="1"/>
  <c r="B7" i="35" s="1"/>
  <c r="A77" i="35" a="1"/>
  <c r="A77" i="35" s="1"/>
  <c r="A42" i="35" a="1"/>
  <c r="A42" i="35" s="1"/>
  <c r="F6" i="35" a="1"/>
  <c r="F6" i="35" s="1"/>
  <c r="A37" i="35" a="1"/>
  <c r="A37" i="35" s="1"/>
  <c r="F71" i="35" a="1"/>
  <c r="F71" i="35" s="1"/>
  <c r="A17" i="35" a="1"/>
  <c r="A17" i="35" s="1"/>
  <c r="F57" i="35" a="1"/>
  <c r="F57" i="35" s="1"/>
  <c r="A28" i="35" a="1"/>
  <c r="A28" i="35" s="1"/>
  <c r="A62" i="35" a="1"/>
  <c r="A62" i="35" s="1"/>
  <c r="F85" i="35" a="1"/>
  <c r="F85" i="35" s="1"/>
  <c r="F32" i="35" a="1"/>
  <c r="F32" i="35" s="1"/>
  <c r="A10" i="35" a="1"/>
  <c r="A10" i="35" s="1"/>
  <c r="A68" i="35" a="1"/>
  <c r="A68" i="35" s="1"/>
  <c r="A75" i="35" a="1"/>
  <c r="A75" i="35" s="1"/>
  <c r="A31" i="35" a="1"/>
  <c r="A31" i="35" s="1"/>
  <c r="A54" i="35" a="1"/>
  <c r="A54" i="35" s="1"/>
  <c r="K6" i="35"/>
  <c r="A6" i="35" s="1" a="1"/>
  <c r="A6" i="35" s="1"/>
  <c r="F58" i="35" a="1"/>
  <c r="F58" i="35" s="1"/>
  <c r="A63" i="35" a="1"/>
  <c r="A63" i="35" s="1"/>
  <c r="F41" i="35" a="1"/>
  <c r="F41" i="35" s="1"/>
  <c r="A36" i="35" a="1"/>
  <c r="A36" i="35" s="1"/>
  <c r="F19" i="35" a="1"/>
  <c r="F19" i="35" s="1"/>
  <c r="A27" i="35" a="1"/>
  <c r="A27" i="35" s="1"/>
  <c r="F73" i="35" a="1"/>
  <c r="F73" i="35" s="1"/>
  <c r="A70" i="35" a="1"/>
  <c r="A70" i="35" s="1"/>
  <c r="F28" i="35" a="1"/>
  <c r="F28" i="35" s="1"/>
  <c r="A38" i="35" a="1"/>
  <c r="A38" i="35" s="1"/>
  <c r="A59" i="35" a="1"/>
  <c r="A59" i="35" s="1"/>
  <c r="F79" i="35" a="1"/>
  <c r="F79" i="35" s="1"/>
  <c r="A81" i="35" a="1"/>
  <c r="A81" i="35" s="1"/>
  <c r="A48" i="35" a="1"/>
  <c r="A48" i="35" s="1"/>
  <c r="F72" i="35" a="1"/>
  <c r="F72" i="35" s="1"/>
  <c r="F51" i="35" a="1"/>
  <c r="F51" i="35" s="1"/>
  <c r="A19" i="35" a="1"/>
  <c r="A19" i="35" s="1"/>
  <c r="A74" i="35" a="1"/>
  <c r="A74" i="35" s="1"/>
  <c r="A51" i="35" a="1"/>
  <c r="A51" i="35" s="1"/>
  <c r="F70" i="35" a="1"/>
  <c r="F70" i="35" s="1"/>
  <c r="F24" i="35" a="1"/>
  <c r="F24" i="35" s="1"/>
  <c r="F54" i="35" a="1"/>
  <c r="F54" i="35" s="1"/>
  <c r="A47" i="35" a="1"/>
  <c r="A47" i="35" s="1"/>
  <c r="F30" i="35" a="1"/>
  <c r="F30" i="35" s="1"/>
  <c r="A25" i="35" a="1"/>
  <c r="A25" i="35" s="1"/>
  <c r="A8" i="35" a="1"/>
  <c r="A8" i="35" s="1"/>
  <c r="C8" i="35" s="1"/>
  <c r="A71" i="35" a="1"/>
  <c r="A71" i="35" s="1"/>
  <c r="A69" i="35" a="1"/>
  <c r="A69" i="35" s="1"/>
  <c r="A15" i="35" a="1"/>
  <c r="A15" i="35" s="1"/>
  <c r="F75" i="35" a="1"/>
  <c r="F75" i="35" s="1"/>
  <c r="F38" i="35" a="1"/>
  <c r="F38" i="35" s="1"/>
  <c r="A26" i="35" a="1"/>
  <c r="A26" i="35" s="1"/>
  <c r="F62" i="35" a="1"/>
  <c r="F62" i="35" s="1"/>
  <c r="C48" i="22"/>
  <c r="G48" i="22"/>
  <c r="B48" i="22"/>
  <c r="E48" i="22"/>
  <c r="D48" i="22"/>
  <c r="D53" i="22"/>
  <c r="E53" i="22"/>
  <c r="C53" i="22"/>
  <c r="B53" i="22"/>
  <c r="G53" i="22"/>
  <c r="C17" i="91"/>
  <c r="G17" i="91"/>
  <c r="D17" i="91"/>
  <c r="B17" i="91"/>
  <c r="E17" i="91"/>
  <c r="A57" i="39" a="1"/>
  <c r="A57" i="39" s="1"/>
  <c r="B57" i="39" s="1"/>
  <c r="A35" i="39" a="1"/>
  <c r="A35" i="39" s="1"/>
  <c r="D35" i="39" s="1"/>
  <c r="A11" i="39" a="1"/>
  <c r="A11" i="39" s="1"/>
  <c r="C11" i="39" s="1"/>
  <c r="A30" i="39" a="1"/>
  <c r="A30" i="39" s="1"/>
  <c r="G30" i="39" s="1"/>
  <c r="A64" i="39" a="1"/>
  <c r="A64" i="39" s="1"/>
  <c r="D64" i="39" s="1"/>
  <c r="F73" i="39" a="1"/>
  <c r="F73" i="39" s="1"/>
  <c r="A32" i="39" a="1"/>
  <c r="A32" i="39" s="1"/>
  <c r="G32" i="39" s="1"/>
  <c r="F19" i="39" a="1"/>
  <c r="F19" i="39" s="1"/>
  <c r="F69" i="39" a="1"/>
  <c r="F69" i="39" s="1"/>
  <c r="F15" i="39" a="1"/>
  <c r="F15" i="39" s="1"/>
  <c r="F6" i="39" a="1"/>
  <c r="F6" i="39" s="1"/>
  <c r="A14" i="39" a="1"/>
  <c r="A14" i="39" s="1"/>
  <c r="C14" i="39" s="1"/>
  <c r="F12" i="39" a="1"/>
  <c r="F12" i="39" s="1"/>
  <c r="F11" i="39" a="1"/>
  <c r="F11" i="39" s="1"/>
  <c r="F10" i="39" a="1"/>
  <c r="F10" i="39" s="1"/>
  <c r="A78" i="39" a="1"/>
  <c r="A78" i="39" s="1"/>
  <c r="G78" i="39" s="1"/>
  <c r="F48" i="98" a="1"/>
  <c r="F48" i="98" s="1"/>
  <c r="A51" i="98" a="1"/>
  <c r="A51" i="98" s="1"/>
  <c r="C51" i="98" s="1"/>
  <c r="F20" i="39" a="1"/>
  <c r="F20" i="39" s="1"/>
  <c r="A71" i="39" a="1"/>
  <c r="A71" i="39" s="1"/>
  <c r="D71" i="39" s="1"/>
  <c r="A7" i="39" a="1"/>
  <c r="A7" i="39" s="1"/>
  <c r="B7" i="39" s="1"/>
  <c r="A85" i="39" a="1"/>
  <c r="A85" i="39" s="1"/>
  <c r="D85" i="39" s="1"/>
  <c r="A53" i="39" a="1"/>
  <c r="A53" i="39" s="1"/>
  <c r="G53" i="39" s="1"/>
  <c r="F51" i="39" a="1"/>
  <c r="F51" i="39" s="1"/>
  <c r="A29" i="39" a="1"/>
  <c r="A29" i="39" s="1"/>
  <c r="G29" i="39" s="1"/>
  <c r="E320" i="101"/>
  <c r="I320" i="101"/>
  <c r="C320" i="101"/>
  <c r="D320" i="101"/>
  <c r="F320" i="101" a="1"/>
  <c r="F320" i="101" s="1"/>
  <c r="F67" i="30" a="1"/>
  <c r="F67" i="30" s="1"/>
  <c r="A52" i="30" a="1"/>
  <c r="A52" i="30" s="1"/>
  <c r="A24" i="30" a="1"/>
  <c r="A24" i="30" s="1"/>
  <c r="A55" i="30" a="1"/>
  <c r="A55" i="30" s="1"/>
  <c r="F66" i="30" a="1"/>
  <c r="F66" i="30" s="1"/>
  <c r="A47" i="30" a="1"/>
  <c r="A47" i="30" s="1"/>
  <c r="A13" i="30" a="1"/>
  <c r="A13" i="30" s="1"/>
  <c r="A18" i="30" a="1"/>
  <c r="A18" i="30" s="1"/>
  <c r="F34" i="30" a="1"/>
  <c r="F34" i="30" s="1"/>
  <c r="A53" i="30" a="1"/>
  <c r="A53" i="30" s="1"/>
  <c r="A70" i="30" a="1"/>
  <c r="A70" i="30" s="1"/>
  <c r="A78" i="30" a="1"/>
  <c r="A78" i="30" s="1"/>
  <c r="A46" i="30" a="1"/>
  <c r="A46" i="30" s="1"/>
  <c r="A68" i="30" a="1"/>
  <c r="A68" i="30" s="1"/>
  <c r="A49" i="30" a="1"/>
  <c r="A49" i="30" s="1"/>
  <c r="A66" i="30" a="1"/>
  <c r="A66" i="30" s="1"/>
  <c r="F17" i="30" a="1"/>
  <c r="F17" i="30" s="1"/>
  <c r="A76" i="30" a="1"/>
  <c r="A76" i="30" s="1"/>
  <c r="F57" i="30" a="1"/>
  <c r="F57" i="30" s="1"/>
  <c r="A61" i="30" a="1"/>
  <c r="A61" i="30" s="1"/>
  <c r="A79" i="30" a="1"/>
  <c r="A79" i="30" s="1"/>
  <c r="F39" i="30" a="1"/>
  <c r="F39" i="30" s="1"/>
  <c r="A8" i="30" a="1"/>
  <c r="A8" i="30" s="1"/>
  <c r="A57" i="30" a="1"/>
  <c r="A57" i="30" s="1"/>
  <c r="A26" i="30" a="1"/>
  <c r="A26" i="30" s="1"/>
  <c r="F16" i="30" a="1"/>
  <c r="F16" i="30" s="1"/>
  <c r="F76" i="30" a="1"/>
  <c r="F76" i="30" s="1"/>
  <c r="F27" i="30" a="1"/>
  <c r="F27" i="30" s="1"/>
  <c r="A51" i="30" a="1"/>
  <c r="A51" i="30" s="1"/>
  <c r="A41" i="30" a="1"/>
  <c r="A41" i="30" s="1"/>
  <c r="F12" i="30" a="1"/>
  <c r="F12" i="30" s="1"/>
  <c r="A12" i="30" a="1"/>
  <c r="A12" i="30" s="1"/>
  <c r="F11" i="30" a="1"/>
  <c r="F11" i="30" s="1"/>
  <c r="F51" i="30" a="1"/>
  <c r="F51" i="30" s="1"/>
  <c r="F13" i="30" a="1"/>
  <c r="F13" i="30" s="1"/>
  <c r="F63" i="30" a="1"/>
  <c r="F63" i="30" s="1"/>
  <c r="F71" i="30" a="1"/>
  <c r="F71" i="30" s="1"/>
  <c r="F84" i="30" a="1"/>
  <c r="F84" i="30" s="1"/>
  <c r="A56" i="30" a="1"/>
  <c r="A56" i="30" s="1"/>
  <c r="F8" i="30" a="1"/>
  <c r="F8" i="30" s="1"/>
  <c r="A21" i="30" a="1"/>
  <c r="A21" i="30" s="1"/>
  <c r="A71" i="30" a="1"/>
  <c r="A71" i="30" s="1"/>
  <c r="A44" i="30" a="1"/>
  <c r="A44" i="30" s="1"/>
  <c r="F9" i="30" a="1"/>
  <c r="F9" i="30" s="1"/>
  <c r="A54" i="30" a="1"/>
  <c r="A54" i="30" s="1"/>
  <c r="F55" i="30" a="1"/>
  <c r="F55" i="30" s="1"/>
  <c r="F75" i="30" a="1"/>
  <c r="F75" i="30" s="1"/>
  <c r="F74" i="30" a="1"/>
  <c r="F74" i="30" s="1"/>
  <c r="F7" i="30" a="1"/>
  <c r="F7" i="30" s="1"/>
  <c r="F59" i="30" a="1"/>
  <c r="F59" i="30" s="1"/>
  <c r="F48" i="30" a="1"/>
  <c r="F48" i="30" s="1"/>
  <c r="A82" i="30" a="1"/>
  <c r="A82" i="30" s="1"/>
  <c r="A31" i="30" a="1"/>
  <c r="A31" i="30" s="1"/>
  <c r="A9" i="30" a="1"/>
  <c r="A9" i="30" s="1"/>
  <c r="F32" i="30" a="1"/>
  <c r="F32" i="30" s="1"/>
  <c r="F19" i="30" a="1"/>
  <c r="F19" i="30" s="1"/>
  <c r="F70" i="30" a="1"/>
  <c r="F70" i="30" s="1"/>
  <c r="F58" i="30" a="1"/>
  <c r="F58" i="30" s="1"/>
  <c r="A28" i="30" a="1"/>
  <c r="A28" i="30" s="1"/>
  <c r="F77" i="30" a="1"/>
  <c r="F77" i="30" s="1"/>
  <c r="F78" i="30" a="1"/>
  <c r="F78" i="30" s="1"/>
  <c r="F80" i="30" a="1"/>
  <c r="F80" i="30" s="1"/>
  <c r="F69" i="30" a="1"/>
  <c r="F69" i="30" s="1"/>
  <c r="A50" i="30" a="1"/>
  <c r="A50" i="30" s="1"/>
  <c r="F10" i="30" a="1"/>
  <c r="F10" i="30" s="1"/>
  <c r="F33" i="30" a="1"/>
  <c r="F33" i="30" s="1"/>
  <c r="A11" i="30" a="1"/>
  <c r="A11" i="30" s="1"/>
  <c r="A59" i="30" a="1"/>
  <c r="A59" i="30" s="1"/>
  <c r="F37" i="30" a="1"/>
  <c r="F37" i="30" s="1"/>
  <c r="A84" i="30" a="1"/>
  <c r="A84" i="30" s="1"/>
  <c r="A77" i="30" a="1"/>
  <c r="A77" i="30" s="1"/>
  <c r="A20" i="30" a="1"/>
  <c r="A20" i="30" s="1"/>
  <c r="A25" i="30" a="1"/>
  <c r="A25" i="30" s="1"/>
  <c r="A83" i="30" a="1"/>
  <c r="A83" i="30" s="1"/>
  <c r="A15" i="30" a="1"/>
  <c r="A15" i="30" s="1"/>
  <c r="F44" i="30" a="1"/>
  <c r="F44" i="30" s="1"/>
  <c r="A22" i="30" a="1"/>
  <c r="A22" i="30" s="1"/>
  <c r="F42" i="30" a="1"/>
  <c r="F42" i="30" s="1"/>
  <c r="A58" i="30" a="1"/>
  <c r="A58" i="30" s="1"/>
  <c r="F45" i="30" a="1"/>
  <c r="F45" i="30" s="1"/>
  <c r="F26" i="30" a="1"/>
  <c r="F26" i="30" s="1"/>
  <c r="K6" i="30"/>
  <c r="A6" i="30" s="1" a="1"/>
  <c r="A6" i="30" s="1"/>
  <c r="F18" i="30" a="1"/>
  <c r="F18" i="30" s="1"/>
  <c r="A69" i="30" a="1"/>
  <c r="A69" i="30" s="1"/>
  <c r="A42" i="30" a="1"/>
  <c r="A42" i="30" s="1"/>
  <c r="F64" i="30" a="1"/>
  <c r="F64" i="30" s="1"/>
  <c r="A62" i="30" a="1"/>
  <c r="A62" i="30" s="1"/>
  <c r="A80" i="30" a="1"/>
  <c r="A80" i="30" s="1"/>
  <c r="F61" i="30" a="1"/>
  <c r="F61" i="30" s="1"/>
  <c r="A35" i="30" a="1"/>
  <c r="A35" i="30" s="1"/>
  <c r="F29" i="30" a="1"/>
  <c r="F29" i="30" s="1"/>
  <c r="A30" i="30" a="1"/>
  <c r="A30" i="30" s="1"/>
  <c r="A19" i="30" a="1"/>
  <c r="A19" i="30" s="1"/>
  <c r="A37" i="30" a="1"/>
  <c r="A37" i="30" s="1"/>
  <c r="F38" i="30" a="1"/>
  <c r="F38" i="30" s="1"/>
  <c r="F83" i="30" a="1"/>
  <c r="F83" i="30" s="1"/>
  <c r="F49" i="30" a="1"/>
  <c r="F49" i="30" s="1"/>
  <c r="F53" i="30" a="1"/>
  <c r="F53" i="30" s="1"/>
  <c r="A74" i="30" a="1"/>
  <c r="A74" i="30" s="1"/>
  <c r="A63" i="30" a="1"/>
  <c r="A63" i="30" s="1"/>
  <c r="A60" i="30" a="1"/>
  <c r="A60" i="30" s="1"/>
  <c r="F79" i="30" a="1"/>
  <c r="F79" i="30" s="1"/>
  <c r="A45" i="30" a="1"/>
  <c r="A45" i="30" s="1"/>
  <c r="F65" i="30" a="1"/>
  <c r="F65" i="30" s="1"/>
  <c r="A10" i="30" a="1"/>
  <c r="A10" i="30" s="1"/>
  <c r="F68" i="30" a="1"/>
  <c r="F68" i="30" s="1"/>
  <c r="A23" i="30" a="1"/>
  <c r="A23" i="30" s="1"/>
  <c r="F20" i="30" a="1"/>
  <c r="F20" i="30" s="1"/>
  <c r="F72" i="30" a="1"/>
  <c r="F72" i="30" s="1"/>
  <c r="A81" i="30" a="1"/>
  <c r="A81" i="30" s="1"/>
  <c r="F56" i="30" a="1"/>
  <c r="F56" i="30" s="1"/>
  <c r="F85" i="30" a="1"/>
  <c r="F85" i="30" s="1"/>
  <c r="A29" i="30" a="1"/>
  <c r="A29" i="30" s="1"/>
  <c r="F21" i="30" a="1"/>
  <c r="F21" i="30" s="1"/>
  <c r="A33" i="30" a="1"/>
  <c r="A33" i="30" s="1"/>
  <c r="F23" i="30" a="1"/>
  <c r="F23" i="30" s="1"/>
  <c r="F60" i="30" a="1"/>
  <c r="F60" i="30" s="1"/>
  <c r="F43" i="30" a="1"/>
  <c r="F43" i="30" s="1"/>
  <c r="F28" i="30" a="1"/>
  <c r="F28" i="30" s="1"/>
  <c r="F24" i="30" a="1"/>
  <c r="F24" i="30" s="1"/>
  <c r="A17" i="30" a="1"/>
  <c r="A17" i="30" s="1"/>
  <c r="F52" i="30" a="1"/>
  <c r="F52" i="30" s="1"/>
  <c r="F35" i="30" a="1"/>
  <c r="F35" i="30" s="1"/>
  <c r="A16" i="30" a="1"/>
  <c r="A16" i="30" s="1"/>
  <c r="F50" i="30" a="1"/>
  <c r="F50" i="30" s="1"/>
  <c r="F36" i="30" a="1"/>
  <c r="F36" i="30" s="1"/>
  <c r="F14" i="30" a="1"/>
  <c r="F14" i="30" s="1"/>
  <c r="A75" i="30" a="1"/>
  <c r="A75" i="30" s="1"/>
  <c r="F30" i="30" a="1"/>
  <c r="F30" i="30" s="1"/>
  <c r="A32" i="30" a="1"/>
  <c r="A32" i="30" s="1"/>
  <c r="A73" i="30" a="1"/>
  <c r="A73" i="30" s="1"/>
  <c r="A39" i="30" a="1"/>
  <c r="A39" i="30" s="1"/>
  <c r="F62" i="30" a="1"/>
  <c r="F62" i="30" s="1"/>
  <c r="F40" i="30" a="1"/>
  <c r="F40" i="30" s="1"/>
  <c r="F54" i="30" a="1"/>
  <c r="F54" i="30" s="1"/>
  <c r="A27" i="30" a="1"/>
  <c r="A27" i="30" s="1"/>
  <c r="F15" i="30" a="1"/>
  <c r="F15" i="30" s="1"/>
  <c r="A72" i="30" a="1"/>
  <c r="A72" i="30" s="1"/>
  <c r="F25" i="30" a="1"/>
  <c r="F25" i="30" s="1"/>
  <c r="A40" i="30" a="1"/>
  <c r="A40" i="30" s="1"/>
  <c r="A36" i="30" a="1"/>
  <c r="A36" i="30" s="1"/>
  <c r="F31" i="30" a="1"/>
  <c r="F31" i="30" s="1"/>
  <c r="A64" i="30" a="1"/>
  <c r="A64" i="30" s="1"/>
  <c r="A65" i="30" a="1"/>
  <c r="A65" i="30" s="1"/>
  <c r="A67" i="30" a="1"/>
  <c r="A67" i="30" s="1"/>
  <c r="A34" i="30" a="1"/>
  <c r="A34" i="30" s="1"/>
  <c r="F81" i="30" a="1"/>
  <c r="F81" i="30" s="1"/>
  <c r="A48" i="30" a="1"/>
  <c r="A48" i="30" s="1"/>
  <c r="A43" i="30" a="1"/>
  <c r="A43" i="30" s="1"/>
  <c r="A14" i="30" a="1"/>
  <c r="A14" i="30" s="1"/>
  <c r="A85" i="30" a="1"/>
  <c r="A85" i="30" s="1"/>
  <c r="A38" i="30" a="1"/>
  <c r="A38" i="30" s="1"/>
  <c r="F82" i="30" a="1"/>
  <c r="F82" i="30" s="1"/>
  <c r="F22" i="30" a="1"/>
  <c r="F22" i="30" s="1"/>
  <c r="F6" i="30" a="1"/>
  <c r="F6" i="30" s="1"/>
  <c r="F47" i="30" a="1"/>
  <c r="F47" i="30" s="1"/>
  <c r="F41" i="30" a="1"/>
  <c r="F41" i="30" s="1"/>
  <c r="F46" i="30" a="1"/>
  <c r="F46" i="30" s="1"/>
  <c r="A83" i="39" a="1"/>
  <c r="A83" i="39" s="1"/>
  <c r="B83" i="39" s="1"/>
  <c r="F50" i="39" a="1"/>
  <c r="F50" i="39" s="1"/>
  <c r="A50" i="39" a="1"/>
  <c r="A50" i="39" s="1"/>
  <c r="D50" i="39" s="1"/>
  <c r="A9" i="39" a="1"/>
  <c r="A9" i="39" s="1"/>
  <c r="E9" i="39" s="1"/>
  <c r="F54" i="39" a="1"/>
  <c r="F54" i="39" s="1"/>
  <c r="K6" i="39"/>
  <c r="A6" i="39" s="1" a="1"/>
  <c r="A6" i="39" s="1"/>
  <c r="G6" i="39" s="1"/>
  <c r="F66" i="39" a="1"/>
  <c r="F66" i="39" s="1"/>
  <c r="A61" i="39" a="1"/>
  <c r="A61" i="39" s="1"/>
  <c r="C61" i="39" s="1"/>
  <c r="F40" i="39" a="1"/>
  <c r="F40" i="39" s="1"/>
  <c r="F49" i="39" a="1"/>
  <c r="F49" i="39" s="1"/>
  <c r="A41" i="39" a="1"/>
  <c r="A41" i="39" s="1"/>
  <c r="E41" i="39" s="1"/>
  <c r="A71" i="36" a="1"/>
  <c r="A71" i="36" s="1"/>
  <c r="G71" i="36" s="1"/>
  <c r="A82" i="39" a="1"/>
  <c r="A82" i="39" s="1"/>
  <c r="B82" i="39" s="1"/>
  <c r="A7" i="30" a="1"/>
  <c r="A7" i="30" s="1"/>
  <c r="B7" i="30" s="1"/>
  <c r="F46" i="98" a="1"/>
  <c r="F46" i="98" s="1"/>
  <c r="F22" i="39" a="1"/>
  <c r="F22" i="39" s="1"/>
  <c r="A15" i="99" a="1"/>
  <c r="A15" i="99" s="1"/>
  <c r="A82" i="35" a="1"/>
  <c r="A82" i="35" s="1"/>
  <c r="B82" i="35" s="1"/>
  <c r="F76" i="35" a="1"/>
  <c r="F76" i="35" s="1"/>
  <c r="A50" i="35" a="1"/>
  <c r="A50" i="35" s="1"/>
  <c r="D50" i="35" s="1"/>
  <c r="F15" i="35" a="1"/>
  <c r="F15" i="35" s="1"/>
  <c r="F21" i="35" a="1"/>
  <c r="F21" i="35" s="1"/>
  <c r="A40" i="35" a="1"/>
  <c r="A40" i="35" s="1"/>
  <c r="C40" i="35" s="1"/>
  <c r="F11" i="35" a="1"/>
  <c r="F11" i="35" s="1"/>
  <c r="D11" i="35" s="1"/>
  <c r="F53" i="35" a="1"/>
  <c r="F53" i="35" s="1"/>
  <c r="A60" i="35" a="1"/>
  <c r="A60" i="35" s="1"/>
  <c r="G60" i="35" s="1"/>
  <c r="F14" i="39" a="1"/>
  <c r="F14" i="39" s="1"/>
  <c r="F67" i="98" a="1"/>
  <c r="F67" i="98" s="1"/>
  <c r="F69" i="98" a="1"/>
  <c r="F69" i="98" s="1"/>
  <c r="F49" i="97" a="1"/>
  <c r="F49" i="97" s="1"/>
  <c r="F48" i="44" a="1"/>
  <c r="F48" i="44" s="1"/>
  <c r="G46" i="22"/>
  <c r="D45" i="91"/>
  <c r="G45" i="91"/>
  <c r="C45" i="91"/>
  <c r="E45" i="91"/>
  <c r="B45" i="91"/>
  <c r="A18" i="37" a="1"/>
  <c r="A18" i="37" s="1"/>
  <c r="F18" i="37" a="1"/>
  <c r="F18" i="37" s="1"/>
  <c r="F11" i="37" a="1"/>
  <c r="F11" i="37" s="1"/>
  <c r="A84" i="37" a="1"/>
  <c r="A84" i="37" s="1"/>
  <c r="A27" i="37" a="1"/>
  <c r="A27" i="37" s="1"/>
  <c r="A33" i="37" a="1"/>
  <c r="A33" i="37" s="1"/>
  <c r="F9" i="37" a="1"/>
  <c r="F9" i="37" s="1"/>
  <c r="F64" i="37" a="1"/>
  <c r="F64" i="37" s="1"/>
  <c r="A75" i="37" a="1"/>
  <c r="A75" i="37" s="1"/>
  <c r="A51" i="37" a="1"/>
  <c r="A51" i="37" s="1"/>
  <c r="F57" i="37" a="1"/>
  <c r="F57" i="37" s="1"/>
  <c r="F72" i="37" a="1"/>
  <c r="F72" i="37" s="1"/>
  <c r="F60" i="37" a="1"/>
  <c r="F60" i="37" s="1"/>
  <c r="F55" i="37" a="1"/>
  <c r="F55" i="37" s="1"/>
  <c r="A81" i="37" a="1"/>
  <c r="A81" i="37" s="1"/>
  <c r="A8" i="37" a="1"/>
  <c r="A8" i="37" s="1"/>
  <c r="A57" i="37" a="1"/>
  <c r="A57" i="37" s="1"/>
  <c r="F53" i="37" a="1"/>
  <c r="F53" i="37" s="1"/>
  <c r="F8" i="37" a="1"/>
  <c r="F8" i="37" s="1"/>
  <c r="A65" i="37" a="1"/>
  <c r="A65" i="37" s="1"/>
  <c r="A55" i="37" a="1"/>
  <c r="A55" i="37" s="1"/>
  <c r="F14" i="37" a="1"/>
  <c r="F14" i="37" s="1"/>
  <c r="A66" i="37" a="1"/>
  <c r="A66" i="37" s="1"/>
  <c r="F79" i="37" a="1"/>
  <c r="F79" i="37" s="1"/>
  <c r="F62" i="37" a="1"/>
  <c r="F62" i="37" s="1"/>
  <c r="F40" i="37" a="1"/>
  <c r="F40" i="37" s="1"/>
  <c r="A73" i="37" a="1"/>
  <c r="A73" i="37" s="1"/>
  <c r="A48" i="37" a="1"/>
  <c r="A48" i="37" s="1"/>
  <c r="F69" i="37" a="1"/>
  <c r="F69" i="37" s="1"/>
  <c r="F61" i="37" a="1"/>
  <c r="F61" i="37" s="1"/>
  <c r="F16" i="37" a="1"/>
  <c r="F16" i="37" s="1"/>
  <c r="A29" i="37" a="1"/>
  <c r="A29" i="37" s="1"/>
  <c r="F6" i="37" a="1"/>
  <c r="F6" i="37" s="1"/>
  <c r="F68" i="37" a="1"/>
  <c r="F68" i="37" s="1"/>
  <c r="A72" i="37" a="1"/>
  <c r="A72" i="37" s="1"/>
  <c r="A60" i="37" a="1"/>
  <c r="A60" i="37" s="1"/>
  <c r="F29" i="37" a="1"/>
  <c r="F29" i="37" s="1"/>
  <c r="A59" i="37" a="1"/>
  <c r="A59" i="37" s="1"/>
  <c r="F25" i="37" a="1"/>
  <c r="F25" i="37" s="1"/>
  <c r="A61" i="37" a="1"/>
  <c r="A61" i="37" s="1"/>
  <c r="A58" i="37" a="1"/>
  <c r="A58" i="37" s="1"/>
  <c r="A62" i="37" a="1"/>
  <c r="A62" i="37" s="1"/>
  <c r="A67" i="37" a="1"/>
  <c r="A67" i="37" s="1"/>
  <c r="F43" i="37" a="1"/>
  <c r="F43" i="37" s="1"/>
  <c r="F76" i="37" a="1"/>
  <c r="F76" i="37" s="1"/>
  <c r="F7" i="37" a="1"/>
  <c r="F7" i="37" s="1"/>
  <c r="F17" i="37" a="1"/>
  <c r="F17" i="37" s="1"/>
  <c r="F15" i="37" a="1"/>
  <c r="F15" i="37" s="1"/>
  <c r="F81" i="37" a="1"/>
  <c r="F81" i="37" s="1"/>
  <c r="A50" i="37" a="1"/>
  <c r="A50" i="37" s="1"/>
  <c r="F41" i="37" a="1"/>
  <c r="F41" i="37" s="1"/>
  <c r="F54" i="37" a="1"/>
  <c r="F54" i="37" s="1"/>
  <c r="F44" i="37" a="1"/>
  <c r="F44" i="37" s="1"/>
  <c r="A23" i="37" a="1"/>
  <c r="A23" i="37" s="1"/>
  <c r="F63" i="37" a="1"/>
  <c r="F63" i="37" s="1"/>
  <c r="F33" i="37" a="1"/>
  <c r="F33" i="37" s="1"/>
  <c r="A38" i="37" a="1"/>
  <c r="A38" i="37" s="1"/>
  <c r="A47" i="37" a="1"/>
  <c r="A47" i="37" s="1"/>
  <c r="A36" i="37" a="1"/>
  <c r="A36" i="37" s="1"/>
  <c r="A77" i="37" a="1"/>
  <c r="A77" i="37" s="1"/>
  <c r="A17" i="37" a="1"/>
  <c r="A17" i="37" s="1"/>
  <c r="A39" i="37" a="1"/>
  <c r="A39" i="37" s="1"/>
  <c r="A54" i="37" a="1"/>
  <c r="A54" i="37" s="1"/>
  <c r="A40" i="37" a="1"/>
  <c r="A40" i="37" s="1"/>
  <c r="A21" i="37" a="1"/>
  <c r="A21" i="37" s="1"/>
  <c r="A28" i="37" a="1"/>
  <c r="A28" i="37" s="1"/>
  <c r="F74" i="37" a="1"/>
  <c r="F74" i="37" s="1"/>
  <c r="F59" i="37" a="1"/>
  <c r="F59" i="37" s="1"/>
  <c r="F75" i="37" a="1"/>
  <c r="F75" i="37" s="1"/>
  <c r="A64" i="37" a="1"/>
  <c r="A64" i="37" s="1"/>
  <c r="F19" i="37" a="1"/>
  <c r="F19" i="37" s="1"/>
  <c r="A79" i="37" a="1"/>
  <c r="A79" i="37" s="1"/>
  <c r="A11" i="37" a="1"/>
  <c r="A11" i="37" s="1"/>
  <c r="A49" i="37" a="1"/>
  <c r="A49" i="37" s="1"/>
  <c r="A52" i="37" a="1"/>
  <c r="A52" i="37" s="1"/>
  <c r="A31" i="37" a="1"/>
  <c r="A31" i="37" s="1"/>
  <c r="A13" i="37" a="1"/>
  <c r="A13" i="37" s="1"/>
  <c r="F73" i="37" a="1"/>
  <c r="F73" i="37" s="1"/>
  <c r="F58" i="37" a="1"/>
  <c r="F58" i="37" s="1"/>
  <c r="A26" i="37" a="1"/>
  <c r="A26" i="37" s="1"/>
  <c r="A34" i="37" a="1"/>
  <c r="A34" i="37" s="1"/>
  <c r="F48" i="37" a="1"/>
  <c r="F48" i="37" s="1"/>
  <c r="A7" i="37" a="1"/>
  <c r="A7" i="37" s="1"/>
  <c r="F10" i="37" a="1"/>
  <c r="F10" i="37" s="1"/>
  <c r="A35" i="37" a="1"/>
  <c r="A35" i="37" s="1"/>
  <c r="F27" i="37" a="1"/>
  <c r="F27" i="37" s="1"/>
  <c r="F46" i="37" a="1"/>
  <c r="F46" i="37" s="1"/>
  <c r="F47" i="37" a="1"/>
  <c r="F47" i="37" s="1"/>
  <c r="F32" i="37" a="1"/>
  <c r="F32" i="37" s="1"/>
  <c r="F52" i="37" a="1"/>
  <c r="F52" i="37" s="1"/>
  <c r="F26" i="37" a="1"/>
  <c r="F26" i="37" s="1"/>
  <c r="A24" i="37" a="1"/>
  <c r="A24" i="37" s="1"/>
  <c r="F24" i="37" a="1"/>
  <c r="F24" i="37" s="1"/>
  <c r="F36" i="37" a="1"/>
  <c r="F36" i="37" s="1"/>
  <c r="A83" i="37" a="1"/>
  <c r="A83" i="37" s="1"/>
  <c r="A80" i="37" a="1"/>
  <c r="A80" i="37" s="1"/>
  <c r="A45" i="37" a="1"/>
  <c r="A45" i="37" s="1"/>
  <c r="F78" i="37" a="1"/>
  <c r="F78" i="37" s="1"/>
  <c r="F85" i="37" a="1"/>
  <c r="F85" i="37" s="1"/>
  <c r="A71" i="37" a="1"/>
  <c r="A71" i="37" s="1"/>
  <c r="F37" i="37" a="1"/>
  <c r="F37" i="37" s="1"/>
  <c r="F12" i="37" a="1"/>
  <c r="F12" i="37" s="1"/>
  <c r="A56" i="37" a="1"/>
  <c r="A56" i="37" s="1"/>
  <c r="F13" i="37" a="1"/>
  <c r="F13" i="37" s="1"/>
  <c r="F82" i="37" a="1"/>
  <c r="F82" i="37" s="1"/>
  <c r="F21" i="37" a="1"/>
  <c r="F21" i="37" s="1"/>
  <c r="F50" i="37" a="1"/>
  <c r="F50" i="37" s="1"/>
  <c r="F51" i="37" a="1"/>
  <c r="F51" i="37" s="1"/>
  <c r="A70" i="37" a="1"/>
  <c r="A70" i="37" s="1"/>
  <c r="A68" i="37" a="1"/>
  <c r="A68" i="37" s="1"/>
  <c r="A46" i="37" a="1"/>
  <c r="A46" i="37" s="1"/>
  <c r="A44" i="37" a="1"/>
  <c r="A44" i="37" s="1"/>
  <c r="F65" i="37" a="1"/>
  <c r="F65" i="37" s="1"/>
  <c r="F38" i="37" a="1"/>
  <c r="F38" i="37" s="1"/>
  <c r="F35" i="37" a="1"/>
  <c r="F35" i="37" s="1"/>
  <c r="F30" i="37" a="1"/>
  <c r="F30" i="37" s="1"/>
  <c r="F70" i="37" a="1"/>
  <c r="F70" i="37" s="1"/>
  <c r="A19" i="37" a="1"/>
  <c r="A19" i="37" s="1"/>
  <c r="A37" i="37" a="1"/>
  <c r="A37" i="37" s="1"/>
  <c r="F22" i="37" a="1"/>
  <c r="F22" i="37" s="1"/>
  <c r="A22" i="37" a="1"/>
  <c r="A22" i="37" s="1"/>
  <c r="F31" i="37" a="1"/>
  <c r="F31" i="37" s="1"/>
  <c r="A78" i="37" a="1"/>
  <c r="A78" i="37" s="1"/>
  <c r="A43" i="37" a="1"/>
  <c r="A43" i="37" s="1"/>
  <c r="F84" i="37" a="1"/>
  <c r="F84" i="37" s="1"/>
  <c r="F49" i="37" a="1"/>
  <c r="F49" i="37" s="1"/>
  <c r="F28" i="37" a="1"/>
  <c r="F28" i="37" s="1"/>
  <c r="K6" i="37"/>
  <c r="A6" i="37" s="1" a="1"/>
  <c r="A6" i="37" s="1"/>
  <c r="A41" i="37" a="1"/>
  <c r="A41" i="37" s="1"/>
  <c r="A30" i="37" a="1"/>
  <c r="A30" i="37" s="1"/>
  <c r="A53" i="37" a="1"/>
  <c r="A53" i="37" s="1"/>
  <c r="A63" i="37" a="1"/>
  <c r="A63" i="37" s="1"/>
  <c r="F42" i="37" a="1"/>
  <c r="F42" i="37" s="1"/>
  <c r="F80" i="37" a="1"/>
  <c r="F80" i="37" s="1"/>
  <c r="F67" i="37" a="1"/>
  <c r="F67" i="37" s="1"/>
  <c r="F39" i="37" a="1"/>
  <c r="F39" i="37" s="1"/>
  <c r="A12" i="37" a="1"/>
  <c r="A12" i="37" s="1"/>
  <c r="F83" i="37" a="1"/>
  <c r="F83" i="37" s="1"/>
  <c r="A32" i="37" a="1"/>
  <c r="A32" i="37" s="1"/>
  <c r="F34" i="37" a="1"/>
  <c r="F34" i="37" s="1"/>
  <c r="F66" i="37" a="1"/>
  <c r="F66" i="37" s="1"/>
  <c r="A82" i="37" a="1"/>
  <c r="A82" i="37" s="1"/>
  <c r="F77" i="37" a="1"/>
  <c r="F77" i="37" s="1"/>
  <c r="A69" i="37" a="1"/>
  <c r="A69" i="37" s="1"/>
  <c r="A74" i="37" a="1"/>
  <c r="A74" i="37" s="1"/>
  <c r="A25" i="37" a="1"/>
  <c r="A25" i="37" s="1"/>
  <c r="A10" i="37" a="1"/>
  <c r="A10" i="37" s="1"/>
  <c r="A42" i="37" a="1"/>
  <c r="A42" i="37" s="1"/>
  <c r="F20" i="37" a="1"/>
  <c r="F20" i="37" s="1"/>
  <c r="F23" i="37" a="1"/>
  <c r="F23" i="37" s="1"/>
  <c r="A20" i="37" a="1"/>
  <c r="A20" i="37" s="1"/>
  <c r="F71" i="37" a="1"/>
  <c r="F71" i="37" s="1"/>
  <c r="A9" i="37" a="1"/>
  <c r="A9" i="37" s="1"/>
  <c r="A14" i="37" a="1"/>
  <c r="A14" i="37" s="1"/>
  <c r="A76" i="37" a="1"/>
  <c r="A76" i="37" s="1"/>
  <c r="F45" i="37" a="1"/>
  <c r="F45" i="37" s="1"/>
  <c r="A15" i="37" a="1"/>
  <c r="A15" i="37" s="1"/>
  <c r="F56" i="37" a="1"/>
  <c r="F56" i="37" s="1"/>
  <c r="A16" i="37" a="1"/>
  <c r="A16" i="37" s="1"/>
  <c r="A85" i="37" a="1"/>
  <c r="A85" i="37" s="1"/>
  <c r="E10" i="22"/>
  <c r="E52" i="22"/>
  <c r="B52" i="22"/>
  <c r="G52" i="22"/>
  <c r="D52" i="22"/>
  <c r="C52" i="22"/>
  <c r="C48" i="91"/>
  <c r="E48" i="91"/>
  <c r="B48" i="91"/>
  <c r="G48" i="91"/>
  <c r="D48" i="91"/>
  <c r="J96" i="53"/>
  <c r="G96" i="53" a="1"/>
  <c r="G96" i="53" s="1"/>
  <c r="F96" i="53"/>
  <c r="U96" i="53" s="1"/>
  <c r="E96" i="53"/>
  <c r="D96" i="53"/>
  <c r="F153" i="53"/>
  <c r="U153" i="53" s="1"/>
  <c r="E153" i="53"/>
  <c r="D153" i="53"/>
  <c r="G153" i="53" a="1"/>
  <c r="G153" i="53" s="1"/>
  <c r="J153" i="53"/>
  <c r="D18" i="53"/>
  <c r="G64" i="53" a="1"/>
  <c r="G64" i="53" s="1"/>
  <c r="D64" i="53"/>
  <c r="E64" i="53"/>
  <c r="F64" i="53"/>
  <c r="U64" i="53" s="1"/>
  <c r="J64" i="53"/>
  <c r="F120" i="53"/>
  <c r="U120" i="53" s="1"/>
  <c r="E120" i="53"/>
  <c r="J120" i="53"/>
  <c r="G120" i="53" a="1"/>
  <c r="G120" i="53" s="1"/>
  <c r="D120" i="53"/>
  <c r="J195" i="53"/>
  <c r="E195" i="53"/>
  <c r="F195" i="53"/>
  <c r="U195" i="53" s="1"/>
  <c r="G195" i="53" a="1"/>
  <c r="G195" i="53" s="1"/>
  <c r="D195" i="53"/>
  <c r="F229" i="53"/>
  <c r="U229" i="53" s="1"/>
  <c r="G229" i="53" a="1"/>
  <c r="G229" i="53" s="1"/>
  <c r="J229" i="53"/>
  <c r="D229" i="53"/>
  <c r="E229" i="53"/>
  <c r="D14" i="53"/>
  <c r="G14" i="53" a="1"/>
  <c r="G14" i="53" s="1"/>
  <c r="E256" i="53"/>
  <c r="G256" i="53" a="1"/>
  <c r="G256" i="53" s="1"/>
  <c r="J256" i="53"/>
  <c r="F256" i="53"/>
  <c r="U256" i="53" s="1"/>
  <c r="D256" i="53"/>
  <c r="G111" i="53" a="1"/>
  <c r="G111" i="53" s="1"/>
  <c r="D111" i="53"/>
  <c r="F111" i="53"/>
  <c r="U111" i="53" s="1"/>
  <c r="J111" i="53"/>
  <c r="E111" i="53"/>
  <c r="E55" i="53"/>
  <c r="D55" i="53"/>
  <c r="G55" i="53" a="1"/>
  <c r="G55" i="53" s="1"/>
  <c r="J55" i="53"/>
  <c r="F55" i="53"/>
  <c r="U55" i="53" s="1"/>
  <c r="F113" i="53"/>
  <c r="U113" i="53" s="1"/>
  <c r="J113" i="53"/>
  <c r="G113" i="53" a="1"/>
  <c r="G113" i="53" s="1"/>
  <c r="D113" i="53"/>
  <c r="E113" i="53"/>
  <c r="J95" i="53"/>
  <c r="E95" i="53"/>
  <c r="F95" i="53"/>
  <c r="U95" i="53" s="1"/>
  <c r="D95" i="53"/>
  <c r="G95" i="53" a="1"/>
  <c r="G95" i="53" s="1"/>
  <c r="G27" i="53" a="1"/>
  <c r="G27" i="53" s="1"/>
  <c r="D27" i="53"/>
  <c r="D198" i="53"/>
  <c r="E198" i="53"/>
  <c r="F198" i="53"/>
  <c r="U198" i="53" s="1"/>
  <c r="J198" i="53"/>
  <c r="G198" i="53" a="1"/>
  <c r="G198" i="53" s="1"/>
  <c r="D100" i="53"/>
  <c r="J100" i="53"/>
  <c r="E100" i="53"/>
  <c r="G100" i="53" a="1"/>
  <c r="G100" i="53" s="1"/>
  <c r="F100" i="53"/>
  <c r="U100" i="53" s="1"/>
  <c r="F43" i="53"/>
  <c r="E338" i="53"/>
  <c r="J338" i="53"/>
  <c r="F338" i="53"/>
  <c r="U338" i="53" s="1"/>
  <c r="G338" i="53" a="1"/>
  <c r="G338" i="53" s="1"/>
  <c r="D338" i="53"/>
  <c r="E282" i="53"/>
  <c r="J282" i="53"/>
  <c r="F282" i="53"/>
  <c r="U282" i="53" s="1"/>
  <c r="D282" i="53"/>
  <c r="G282" i="53" a="1"/>
  <c r="G282" i="53" s="1"/>
  <c r="G260" i="53" a="1"/>
  <c r="G260" i="53" s="1"/>
  <c r="D260" i="53"/>
  <c r="J260" i="53"/>
  <c r="E260" i="53"/>
  <c r="F260" i="53"/>
  <c r="U260" i="53" s="1"/>
  <c r="J263" i="53"/>
  <c r="F263" i="53"/>
  <c r="U263" i="53" s="1"/>
  <c r="G263" i="53" a="1"/>
  <c r="G263" i="53" s="1"/>
  <c r="D263" i="53"/>
  <c r="E263" i="53"/>
  <c r="E15" i="31"/>
  <c r="D15" i="31"/>
  <c r="B15" i="31"/>
  <c r="C15" i="31"/>
  <c r="G15" i="31"/>
  <c r="E24" i="31"/>
  <c r="D24" i="31"/>
  <c r="B24" i="31"/>
  <c r="C24" i="31"/>
  <c r="G24" i="31"/>
  <c r="D50" i="31"/>
  <c r="C50" i="31"/>
  <c r="E50" i="31"/>
  <c r="G50" i="31"/>
  <c r="B50" i="31"/>
  <c r="E332" i="53"/>
  <c r="D332" i="53"/>
  <c r="G332" i="53" a="1"/>
  <c r="G332" i="53" s="1"/>
  <c r="J332" i="53"/>
  <c r="F332" i="53"/>
  <c r="U332" i="53" s="1"/>
  <c r="D151" i="53"/>
  <c r="E151" i="53"/>
  <c r="F151" i="53"/>
  <c r="U151" i="53" s="1"/>
  <c r="G151" i="53" a="1"/>
  <c r="G151" i="53" s="1"/>
  <c r="J151" i="53"/>
  <c r="D86" i="53"/>
  <c r="E86" i="53"/>
  <c r="J86" i="53"/>
  <c r="F86" i="53"/>
  <c r="U86" i="53" s="1"/>
  <c r="G86" i="53" a="1"/>
  <c r="G86" i="53" s="1"/>
  <c r="G6" i="53" a="1"/>
  <c r="G6" i="53" s="1"/>
  <c r="G47" i="53" a="1"/>
  <c r="G47" i="53" s="1"/>
  <c r="J47" i="53"/>
  <c r="F47" i="53"/>
  <c r="U47" i="53" s="1"/>
  <c r="E47" i="53"/>
  <c r="D47" i="53"/>
  <c r="G334" i="53" a="1"/>
  <c r="G334" i="53" s="1"/>
  <c r="J334" i="53"/>
  <c r="E334" i="53"/>
  <c r="D334" i="53"/>
  <c r="F334" i="53"/>
  <c r="U334" i="53" s="1"/>
  <c r="D344" i="53"/>
  <c r="J344" i="53"/>
  <c r="E344" i="53"/>
  <c r="F344" i="53"/>
  <c r="U344" i="53" s="1"/>
  <c r="G344" i="53" a="1"/>
  <c r="G344" i="53" s="1"/>
  <c r="F40" i="53"/>
  <c r="E40" i="53"/>
  <c r="A3" i="31"/>
  <c r="C9" i="31"/>
  <c r="D9" i="31"/>
  <c r="G9" i="31"/>
  <c r="B9" i="31"/>
  <c r="E9" i="31"/>
  <c r="D66" i="31"/>
  <c r="G66" i="31"/>
  <c r="E66" i="31"/>
  <c r="C66" i="31"/>
  <c r="B66" i="31"/>
  <c r="F307" i="53"/>
  <c r="U307" i="53" s="1"/>
  <c r="D307" i="53"/>
  <c r="J307" i="53"/>
  <c r="G307" i="53" a="1"/>
  <c r="G307" i="53" s="1"/>
  <c r="E307" i="53"/>
  <c r="E105" i="53"/>
  <c r="J105" i="53"/>
  <c r="G105" i="53" a="1"/>
  <c r="G105" i="53" s="1"/>
  <c r="F105" i="53"/>
  <c r="U105" i="53" s="1"/>
  <c r="D105" i="53"/>
  <c r="G168" i="53" a="1"/>
  <c r="G168" i="53" s="1"/>
  <c r="F168" i="53"/>
  <c r="U168" i="53" s="1"/>
  <c r="E168" i="53"/>
  <c r="D168" i="53"/>
  <c r="J168" i="53"/>
  <c r="E134" i="53"/>
  <c r="D134" i="53"/>
  <c r="J134" i="53"/>
  <c r="G134" i="53" a="1"/>
  <c r="G134" i="53" s="1"/>
  <c r="F134" i="53"/>
  <c r="U134" i="53" s="1"/>
  <c r="G33" i="53" a="1"/>
  <c r="G33" i="53" s="1"/>
  <c r="F33" i="53"/>
  <c r="F242" i="53"/>
  <c r="U242" i="53" s="1"/>
  <c r="G242" i="53" a="1"/>
  <c r="G242" i="53" s="1"/>
  <c r="J242" i="53"/>
  <c r="E242" i="53"/>
  <c r="D242" i="53"/>
  <c r="E186" i="53"/>
  <c r="G186" i="53" a="1"/>
  <c r="G186" i="53" s="1"/>
  <c r="D186" i="53"/>
  <c r="J186" i="53"/>
  <c r="F186" i="53"/>
  <c r="U186" i="53" s="1"/>
  <c r="E98" i="53"/>
  <c r="D98" i="53"/>
  <c r="F98" i="53"/>
  <c r="U98" i="53" s="1"/>
  <c r="J98" i="53"/>
  <c r="G98" i="53" a="1"/>
  <c r="G98" i="53" s="1"/>
  <c r="E11" i="31"/>
  <c r="B11" i="31"/>
  <c r="G11" i="31"/>
  <c r="D11" i="31"/>
  <c r="C11" i="31"/>
  <c r="D67" i="31"/>
  <c r="C67" i="31"/>
  <c r="G67" i="31"/>
  <c r="E67" i="31"/>
  <c r="B67" i="31"/>
  <c r="B20" i="98"/>
  <c r="C20" i="98"/>
  <c r="G20" i="98"/>
  <c r="D20" i="98"/>
  <c r="E310" i="53"/>
  <c r="G310" i="53" a="1"/>
  <c r="G310" i="53" s="1"/>
  <c r="F310" i="53"/>
  <c r="U310" i="53" s="1"/>
  <c r="J310" i="53"/>
  <c r="D310" i="53"/>
  <c r="D85" i="53"/>
  <c r="G85" i="53" a="1"/>
  <c r="G85" i="53" s="1"/>
  <c r="J85" i="53"/>
  <c r="F85" i="53"/>
  <c r="U85" i="53" s="1"/>
  <c r="E85" i="53"/>
  <c r="F211" i="53"/>
  <c r="U211" i="53" s="1"/>
  <c r="J211" i="53"/>
  <c r="E211" i="53"/>
  <c r="D211" i="53"/>
  <c r="G211" i="53" a="1"/>
  <c r="G211" i="53" s="1"/>
  <c r="D176" i="53"/>
  <c r="F176" i="53"/>
  <c r="U176" i="53" s="1"/>
  <c r="J176" i="53"/>
  <c r="G176" i="53" a="1"/>
  <c r="G176" i="53" s="1"/>
  <c r="E176" i="53"/>
  <c r="J149" i="53"/>
  <c r="F149" i="53"/>
  <c r="U149" i="53" s="1"/>
  <c r="E149" i="53"/>
  <c r="D149" i="53"/>
  <c r="G149" i="53" a="1"/>
  <c r="G149" i="53" s="1"/>
  <c r="G10" i="53" a="1"/>
  <c r="G10" i="53" s="1"/>
  <c r="E278" i="53"/>
  <c r="D278" i="53"/>
  <c r="G278" i="53" a="1"/>
  <c r="G278" i="53" s="1"/>
  <c r="F278" i="53"/>
  <c r="U278" i="53" s="1"/>
  <c r="J278" i="53"/>
  <c r="E66" i="53"/>
  <c r="G66" i="53" a="1"/>
  <c r="G66" i="53" s="1"/>
  <c r="F66" i="53"/>
  <c r="U66" i="53" s="1"/>
  <c r="D66" i="53"/>
  <c r="J66" i="53"/>
  <c r="J341" i="53"/>
  <c r="E341" i="53"/>
  <c r="F341" i="53"/>
  <c r="U341" i="53" s="1"/>
  <c r="G341" i="53" a="1"/>
  <c r="G341" i="53" s="1"/>
  <c r="D341" i="53"/>
  <c r="F300" i="53"/>
  <c r="U300" i="53" s="1"/>
  <c r="D300" i="53"/>
  <c r="E300" i="53"/>
  <c r="J300" i="53"/>
  <c r="G300" i="53" a="1"/>
  <c r="G300" i="53" s="1"/>
  <c r="F259" i="53"/>
  <c r="U259" i="53" s="1"/>
  <c r="J259" i="53"/>
  <c r="G259" i="53" a="1"/>
  <c r="G259" i="53" s="1"/>
  <c r="D259" i="53"/>
  <c r="E259" i="53"/>
  <c r="G85" i="44"/>
  <c r="E85" i="44"/>
  <c r="C85" i="44"/>
  <c r="B85" i="44"/>
  <c r="D85" i="44"/>
  <c r="G71" i="31"/>
  <c r="B71" i="31"/>
  <c r="C71" i="31"/>
  <c r="D71" i="31"/>
  <c r="E71" i="31"/>
  <c r="E59" i="31"/>
  <c r="C59" i="31"/>
  <c r="G59" i="31"/>
  <c r="B59" i="31"/>
  <c r="D59" i="31"/>
  <c r="C23" i="31"/>
  <c r="G23" i="31"/>
  <c r="D23" i="31"/>
  <c r="E23" i="31"/>
  <c r="B23" i="31"/>
  <c r="G53" i="31"/>
  <c r="E53" i="31"/>
  <c r="B53" i="31"/>
  <c r="D53" i="31"/>
  <c r="C53" i="31"/>
  <c r="B60" i="98"/>
  <c r="G60" i="98"/>
  <c r="D60" i="98"/>
  <c r="D271" i="53"/>
  <c r="G271" i="53" a="1"/>
  <c r="G271" i="53" s="1"/>
  <c r="F271" i="53"/>
  <c r="U271" i="53" s="1"/>
  <c r="J271" i="53"/>
  <c r="E271" i="53"/>
  <c r="F97" i="53"/>
  <c r="U97" i="53" s="1"/>
  <c r="J97" i="53"/>
  <c r="G97" i="53" a="1"/>
  <c r="G97" i="53" s="1"/>
  <c r="E97" i="53"/>
  <c r="D97" i="53"/>
  <c r="G288" i="53" a="1"/>
  <c r="G288" i="53" s="1"/>
  <c r="E288" i="53"/>
  <c r="F288" i="53"/>
  <c r="U288" i="53" s="1"/>
  <c r="J288" i="53"/>
  <c r="D288" i="53"/>
  <c r="G185" i="53" a="1"/>
  <c r="G185" i="53" s="1"/>
  <c r="E185" i="53"/>
  <c r="J185" i="53"/>
  <c r="D185" i="53"/>
  <c r="F185" i="53"/>
  <c r="U185" i="53" s="1"/>
  <c r="G276" i="53" a="1"/>
  <c r="G276" i="53" s="1"/>
  <c r="D276" i="53"/>
  <c r="E276" i="53"/>
  <c r="J276" i="53"/>
  <c r="F276" i="53"/>
  <c r="U276" i="53" s="1"/>
  <c r="G34" i="31"/>
  <c r="C34" i="31"/>
  <c r="B34" i="31"/>
  <c r="E34" i="31"/>
  <c r="D34" i="31"/>
  <c r="D22" i="31"/>
  <c r="G22" i="31"/>
  <c r="C22" i="31"/>
  <c r="B22" i="31"/>
  <c r="E22" i="31"/>
  <c r="B68" i="31"/>
  <c r="G68" i="31"/>
  <c r="E68" i="31"/>
  <c r="D68" i="31"/>
  <c r="C68" i="31"/>
  <c r="E78" i="98"/>
  <c r="J53" i="53"/>
  <c r="E53" i="53"/>
  <c r="F53" i="53"/>
  <c r="U53" i="53" s="1"/>
  <c r="G53" i="53" a="1"/>
  <c r="G53" i="53" s="1"/>
  <c r="D53" i="53"/>
  <c r="D84" i="53"/>
  <c r="J84" i="53"/>
  <c r="G84" i="53" a="1"/>
  <c r="G84" i="53" s="1"/>
  <c r="E84" i="53"/>
  <c r="F84" i="53"/>
  <c r="U84" i="53" s="1"/>
  <c r="D254" i="53"/>
  <c r="E254" i="53"/>
  <c r="F254" i="53"/>
  <c r="U254" i="53" s="1"/>
  <c r="J254" i="53"/>
  <c r="G254" i="53" a="1"/>
  <c r="G254" i="53" s="1"/>
  <c r="G20" i="53" a="1"/>
  <c r="G20" i="53" s="1"/>
  <c r="F20" i="53"/>
  <c r="E188" i="53"/>
  <c r="J188" i="53"/>
  <c r="D188" i="53"/>
  <c r="G188" i="53" a="1"/>
  <c r="G188" i="53" s="1"/>
  <c r="F188" i="53"/>
  <c r="U188" i="53" s="1"/>
  <c r="G118" i="53" a="1"/>
  <c r="G118" i="53" s="1"/>
  <c r="E118" i="53"/>
  <c r="D118" i="53"/>
  <c r="J118" i="53"/>
  <c r="F118" i="53"/>
  <c r="U118" i="53" s="1"/>
  <c r="F333" i="53"/>
  <c r="U333" i="53" s="1"/>
  <c r="J333" i="53"/>
  <c r="G333" i="53" a="1"/>
  <c r="G333" i="53" s="1"/>
  <c r="E333" i="53"/>
  <c r="D333" i="53"/>
  <c r="C40" i="44"/>
  <c r="D40" i="44"/>
  <c r="E40" i="44"/>
  <c r="B40" i="44"/>
  <c r="G40" i="44"/>
  <c r="G25" i="31"/>
  <c r="C25" i="31"/>
  <c r="B25" i="31"/>
  <c r="E25" i="31"/>
  <c r="D25" i="31"/>
  <c r="G14" i="31"/>
  <c r="C14" i="31"/>
  <c r="D14" i="31"/>
  <c r="B14" i="31"/>
  <c r="E14" i="31"/>
  <c r="B18" i="31"/>
  <c r="C18" i="31"/>
  <c r="E18" i="31"/>
  <c r="D18" i="31"/>
  <c r="G18" i="31"/>
  <c r="C74" i="98"/>
  <c r="G74" i="98"/>
  <c r="F264" i="53"/>
  <c r="U264" i="53" s="1"/>
  <c r="D264" i="53"/>
  <c r="G264" i="53" a="1"/>
  <c r="G264" i="53" s="1"/>
  <c r="E264" i="53"/>
  <c r="J264" i="53"/>
  <c r="F31" i="53"/>
  <c r="F275" i="53"/>
  <c r="U275" i="53" s="1"/>
  <c r="J275" i="53"/>
  <c r="D275" i="53"/>
  <c r="E275" i="53"/>
  <c r="G275" i="53" a="1"/>
  <c r="G275" i="53" s="1"/>
  <c r="D234" i="53"/>
  <c r="F234" i="53"/>
  <c r="U234" i="53" s="1"/>
  <c r="J234" i="53"/>
  <c r="E234" i="53"/>
  <c r="G234" i="53" a="1"/>
  <c r="G234" i="53" s="1"/>
  <c r="G296" i="53" a="1"/>
  <c r="G296" i="53" s="1"/>
  <c r="D296" i="53"/>
  <c r="J296" i="53"/>
  <c r="E296" i="53"/>
  <c r="F296" i="53"/>
  <c r="U296" i="53" s="1"/>
  <c r="J343" i="53"/>
  <c r="D343" i="53"/>
  <c r="G343" i="53" a="1"/>
  <c r="G343" i="53" s="1"/>
  <c r="F343" i="53"/>
  <c r="U343" i="53" s="1"/>
  <c r="E343" i="53"/>
  <c r="E87" i="53"/>
  <c r="D87" i="53"/>
  <c r="G87" i="53" a="1"/>
  <c r="G87" i="53" s="1"/>
  <c r="J87" i="53"/>
  <c r="F87" i="53"/>
  <c r="U87" i="53" s="1"/>
  <c r="D322" i="53"/>
  <c r="J322" i="53"/>
  <c r="E322" i="53"/>
  <c r="G322" i="53" a="1"/>
  <c r="G322" i="53" s="1"/>
  <c r="F322" i="53"/>
  <c r="U322" i="53" s="1"/>
  <c r="D145" i="53"/>
  <c r="G145" i="53" a="1"/>
  <c r="G145" i="53" s="1"/>
  <c r="F145" i="53"/>
  <c r="U145" i="53" s="1"/>
  <c r="J145" i="53"/>
  <c r="E145" i="53"/>
  <c r="J190" i="53"/>
  <c r="G190" i="53" a="1"/>
  <c r="G190" i="53" s="1"/>
  <c r="E190" i="53"/>
  <c r="D190" i="53"/>
  <c r="F190" i="53"/>
  <c r="U190" i="53" s="1"/>
  <c r="D61" i="44"/>
  <c r="B61" i="44"/>
  <c r="C61" i="44"/>
  <c r="G61" i="44"/>
  <c r="E61" i="44"/>
  <c r="G81" i="31"/>
  <c r="C81" i="31"/>
  <c r="B81" i="31"/>
  <c r="E81" i="31"/>
  <c r="D81" i="31"/>
  <c r="E202" i="53"/>
  <c r="F202" i="53"/>
  <c r="U202" i="53" s="1"/>
  <c r="J202" i="53"/>
  <c r="G202" i="53" a="1"/>
  <c r="G202" i="53" s="1"/>
  <c r="D202" i="53"/>
  <c r="D39" i="53"/>
  <c r="D314" i="53"/>
  <c r="F314" i="53"/>
  <c r="U314" i="53" s="1"/>
  <c r="J314" i="53"/>
  <c r="G314" i="53" a="1"/>
  <c r="G314" i="53" s="1"/>
  <c r="E314" i="53"/>
  <c r="J201" i="53"/>
  <c r="E201" i="53"/>
  <c r="D201" i="53"/>
  <c r="G201" i="53" a="1"/>
  <c r="G201" i="53" s="1"/>
  <c r="F201" i="53"/>
  <c r="U201" i="53" s="1"/>
  <c r="G78" i="44"/>
  <c r="D78" i="44"/>
  <c r="E78" i="44"/>
  <c r="B78" i="44"/>
  <c r="C78" i="44"/>
  <c r="E274" i="53"/>
  <c r="F274" i="53"/>
  <c r="U274" i="53" s="1"/>
  <c r="G274" i="53" a="1"/>
  <c r="G274" i="53" s="1"/>
  <c r="D274" i="53"/>
  <c r="J274" i="53"/>
  <c r="J68" i="53"/>
  <c r="G68" i="53" a="1"/>
  <c r="G68" i="53" s="1"/>
  <c r="D68" i="53"/>
  <c r="F68" i="53"/>
  <c r="U68" i="53" s="1"/>
  <c r="E68" i="53"/>
  <c r="C64" i="31"/>
  <c r="G64" i="31"/>
  <c r="D64" i="31"/>
  <c r="B64" i="31"/>
  <c r="E64" i="31"/>
  <c r="E290" i="53"/>
  <c r="D290" i="53"/>
  <c r="G290" i="53" a="1"/>
  <c r="G290" i="53" s="1"/>
  <c r="F290" i="53"/>
  <c r="U290" i="53" s="1"/>
  <c r="J290" i="53"/>
  <c r="J57" i="53"/>
  <c r="F57" i="53"/>
  <c r="U57" i="53" s="1"/>
  <c r="D57" i="53"/>
  <c r="E57" i="53"/>
  <c r="G57" i="53" a="1"/>
  <c r="G57" i="53" s="1"/>
  <c r="J104" i="53"/>
  <c r="F104" i="53"/>
  <c r="U104" i="53" s="1"/>
  <c r="E104" i="53"/>
  <c r="D104" i="53"/>
  <c r="G104" i="53" a="1"/>
  <c r="G104" i="53" s="1"/>
  <c r="G9" i="53" a="1"/>
  <c r="G9" i="53" s="1"/>
  <c r="F9" i="53"/>
  <c r="D9" i="53"/>
  <c r="F237" i="53"/>
  <c r="U237" i="53" s="1"/>
  <c r="D237" i="53"/>
  <c r="J237" i="53"/>
  <c r="E237" i="53"/>
  <c r="G237" i="53" a="1"/>
  <c r="G237" i="53" s="1"/>
  <c r="G56" i="31"/>
  <c r="E56" i="31"/>
  <c r="C56" i="31"/>
  <c r="D56" i="31"/>
  <c r="B56" i="31"/>
  <c r="F44" i="53"/>
  <c r="G317" i="53" a="1"/>
  <c r="G317" i="53" s="1"/>
  <c r="E317" i="53"/>
  <c r="F317" i="53"/>
  <c r="U317" i="53" s="1"/>
  <c r="J317" i="53"/>
  <c r="D317" i="53"/>
  <c r="F312" i="53"/>
  <c r="U312" i="53" s="1"/>
  <c r="E312" i="53"/>
  <c r="G312" i="53" a="1"/>
  <c r="G312" i="53" s="1"/>
  <c r="J312" i="53"/>
  <c r="D312" i="53"/>
  <c r="E11" i="44"/>
  <c r="F92" i="53"/>
  <c r="U92" i="53" s="1"/>
  <c r="E92" i="53"/>
  <c r="J92" i="53"/>
  <c r="G92" i="53" a="1"/>
  <c r="G92" i="53" s="1"/>
  <c r="D92" i="53"/>
  <c r="D133" i="53"/>
  <c r="F133" i="53"/>
  <c r="U133" i="53" s="1"/>
  <c r="E133" i="53"/>
  <c r="J133" i="53"/>
  <c r="G133" i="53" a="1"/>
  <c r="G133" i="53" s="1"/>
  <c r="F25" i="53"/>
  <c r="E25" i="53"/>
  <c r="F29" i="53"/>
  <c r="F19" i="53"/>
  <c r="D196" i="53"/>
  <c r="F196" i="53"/>
  <c r="U196" i="53" s="1"/>
  <c r="J196" i="53"/>
  <c r="E196" i="53"/>
  <c r="G196" i="53" a="1"/>
  <c r="G196" i="53" s="1"/>
  <c r="E12" i="53"/>
  <c r="C52" i="31"/>
  <c r="E52" i="31"/>
  <c r="B52" i="31"/>
  <c r="G52" i="31"/>
  <c r="D52" i="31"/>
  <c r="D44" i="31"/>
  <c r="C44" i="31"/>
  <c r="B44" i="31"/>
  <c r="G44" i="31"/>
  <c r="E44" i="31"/>
  <c r="G21" i="98"/>
  <c r="D21" i="98"/>
  <c r="C41" i="34"/>
  <c r="E41" i="34"/>
  <c r="D41" i="34"/>
  <c r="B41" i="34"/>
  <c r="G41" i="34"/>
  <c r="B58" i="35"/>
  <c r="G58" i="35"/>
  <c r="D58" i="35"/>
  <c r="E58" i="35"/>
  <c r="C58" i="35"/>
  <c r="E53" i="35"/>
  <c r="D53" i="35"/>
  <c r="B53" i="35"/>
  <c r="G53" i="35"/>
  <c r="C53" i="35"/>
  <c r="G85" i="35"/>
  <c r="E85" i="35"/>
  <c r="C85" i="35"/>
  <c r="D85" i="35"/>
  <c r="B85" i="35"/>
  <c r="G19" i="19"/>
  <c r="E19" i="19"/>
  <c r="B19" i="19"/>
  <c r="C19" i="19"/>
  <c r="D19" i="19"/>
  <c r="B49" i="35"/>
  <c r="G49" i="35"/>
  <c r="C49" i="35"/>
  <c r="D49" i="35"/>
  <c r="E49" i="35"/>
  <c r="E78" i="35"/>
  <c r="C78" i="35"/>
  <c r="G78" i="35"/>
  <c r="B78" i="35"/>
  <c r="D78" i="35"/>
  <c r="D55" i="35"/>
  <c r="E55" i="35"/>
  <c r="C55" i="35"/>
  <c r="B55" i="35"/>
  <c r="G55" i="35"/>
  <c r="D73" i="35"/>
  <c r="B73" i="35"/>
  <c r="G73" i="35"/>
  <c r="C73" i="35"/>
  <c r="E73" i="35"/>
  <c r="G32" i="35"/>
  <c r="C32" i="35"/>
  <c r="B32" i="35"/>
  <c r="E32" i="35"/>
  <c r="D32" i="35"/>
  <c r="D48" i="34"/>
  <c r="G48" i="34"/>
  <c r="B48" i="34"/>
  <c r="E48" i="34"/>
  <c r="C48" i="34"/>
  <c r="E71" i="34"/>
  <c r="G71" i="34"/>
  <c r="B71" i="34"/>
  <c r="C71" i="34"/>
  <c r="D71" i="34"/>
  <c r="B20" i="35"/>
  <c r="G20" i="35"/>
  <c r="D20" i="35"/>
  <c r="E20" i="35"/>
  <c r="C20" i="35"/>
  <c r="E66" i="35"/>
  <c r="C66" i="35"/>
  <c r="D66" i="35"/>
  <c r="G66" i="35"/>
  <c r="B66" i="35"/>
  <c r="B34" i="35"/>
  <c r="E34" i="35"/>
  <c r="C34" i="35"/>
  <c r="D34" i="35"/>
  <c r="G34" i="35"/>
  <c r="E39" i="35"/>
  <c r="C39" i="35"/>
  <c r="G39" i="35"/>
  <c r="B39" i="35"/>
  <c r="D39" i="35"/>
  <c r="G44" i="35"/>
  <c r="C44" i="35"/>
  <c r="E44" i="35"/>
  <c r="B44" i="35"/>
  <c r="D44" i="35"/>
  <c r="B30" i="35"/>
  <c r="E30" i="35"/>
  <c r="G30" i="35"/>
  <c r="C30" i="35"/>
  <c r="D30" i="35"/>
  <c r="D24" i="98"/>
  <c r="G24" i="98"/>
  <c r="G44" i="34"/>
  <c r="B44" i="34"/>
  <c r="D44" i="34"/>
  <c r="E44" i="34"/>
  <c r="C44" i="34"/>
  <c r="E56" i="35"/>
  <c r="D56" i="35"/>
  <c r="B56" i="35"/>
  <c r="G56" i="35"/>
  <c r="C56" i="35"/>
  <c r="B84" i="35"/>
  <c r="C84" i="35"/>
  <c r="G84" i="35"/>
  <c r="E84" i="35"/>
  <c r="D84" i="35"/>
  <c r="E43" i="35"/>
  <c r="C43" i="35"/>
  <c r="B43" i="35"/>
  <c r="G43" i="35"/>
  <c r="D43" i="35"/>
  <c r="G45" i="35"/>
  <c r="C45" i="35"/>
  <c r="B45" i="35"/>
  <c r="E45" i="35"/>
  <c r="D45" i="35"/>
  <c r="C61" i="98"/>
  <c r="G16" i="35"/>
  <c r="E16" i="35"/>
  <c r="B16" i="35"/>
  <c r="C16" i="35"/>
  <c r="D16" i="35"/>
  <c r="G13" i="35"/>
  <c r="D13" i="35"/>
  <c r="B13" i="35"/>
  <c r="E13" i="35"/>
  <c r="C13" i="35"/>
  <c r="C67" i="35"/>
  <c r="D67" i="35"/>
  <c r="E67" i="35"/>
  <c r="G67" i="35"/>
  <c r="B67" i="35"/>
  <c r="D56" i="98"/>
  <c r="E65" i="34"/>
  <c r="C65" i="34"/>
  <c r="D65" i="34"/>
  <c r="B65" i="34"/>
  <c r="G65" i="34"/>
  <c r="C61" i="34"/>
  <c r="G61" i="34"/>
  <c r="D61" i="34"/>
  <c r="B61" i="34"/>
  <c r="E61" i="34"/>
  <c r="E21" i="35"/>
  <c r="G21" i="35"/>
  <c r="C21" i="35"/>
  <c r="D21" i="35"/>
  <c r="B21" i="35"/>
  <c r="B65" i="35"/>
  <c r="D65" i="35"/>
  <c r="C65" i="35"/>
  <c r="E65" i="35"/>
  <c r="G65" i="35"/>
  <c r="B18" i="35"/>
  <c r="G18" i="35"/>
  <c r="D18" i="35"/>
  <c r="E18" i="35"/>
  <c r="C18" i="35"/>
  <c r="B8" i="35"/>
  <c r="G72" i="98"/>
  <c r="B72" i="98"/>
  <c r="E72" i="98"/>
  <c r="D72" i="98"/>
  <c r="B66" i="34"/>
  <c r="G66" i="34"/>
  <c r="C66" i="34"/>
  <c r="E66" i="34"/>
  <c r="D66" i="34"/>
  <c r="G27" i="34"/>
  <c r="E27" i="34"/>
  <c r="D27" i="34"/>
  <c r="B27" i="34"/>
  <c r="C27" i="34"/>
  <c r="C52" i="35"/>
  <c r="B52" i="35"/>
  <c r="E52" i="35"/>
  <c r="G52" i="35"/>
  <c r="D52" i="35"/>
  <c r="D12" i="35"/>
  <c r="C12" i="35"/>
  <c r="B12" i="35"/>
  <c r="C41" i="35"/>
  <c r="D41" i="35"/>
  <c r="G41" i="35"/>
  <c r="B41" i="35"/>
  <c r="E41" i="35"/>
  <c r="D79" i="35"/>
  <c r="B79" i="35"/>
  <c r="G79" i="35"/>
  <c r="E79" i="35"/>
  <c r="C79" i="35"/>
  <c r="G22" i="35"/>
  <c r="E22" i="35"/>
  <c r="D22" i="35"/>
  <c r="C22" i="35"/>
  <c r="B22" i="35"/>
  <c r="D14" i="35"/>
  <c r="E14" i="35"/>
  <c r="C14" i="35"/>
  <c r="G14" i="35"/>
  <c r="B14" i="35"/>
  <c r="D61" i="35"/>
  <c r="G61" i="35"/>
  <c r="B61" i="35"/>
  <c r="C61" i="35"/>
  <c r="E61" i="35"/>
  <c r="G69" i="98"/>
  <c r="E69" i="98"/>
  <c r="D69" i="98"/>
  <c r="C24" i="35"/>
  <c r="E24" i="35"/>
  <c r="G24" i="35"/>
  <c r="D24" i="35"/>
  <c r="B24" i="35"/>
  <c r="C60" i="35"/>
  <c r="D12" i="98"/>
  <c r="E12" i="98"/>
  <c r="B58" i="19"/>
  <c r="E58" i="19"/>
  <c r="D58" i="19"/>
  <c r="G58" i="19"/>
  <c r="C58" i="19"/>
  <c r="E51" i="19"/>
  <c r="B51" i="19"/>
  <c r="G51" i="19"/>
  <c r="C51" i="19"/>
  <c r="D51" i="19"/>
  <c r="G6" i="34"/>
  <c r="D6" i="34"/>
  <c r="C6" i="34"/>
  <c r="A3" i="34"/>
  <c r="E6" i="34"/>
  <c r="B6" i="34"/>
  <c r="E57" i="35"/>
  <c r="C57" i="35"/>
  <c r="B57" i="35"/>
  <c r="D57" i="35"/>
  <c r="G57" i="35"/>
  <c r="C83" i="35"/>
  <c r="G83" i="35"/>
  <c r="B83" i="35"/>
  <c r="D83" i="35"/>
  <c r="E83" i="35"/>
  <c r="B76" i="35"/>
  <c r="D76" i="35"/>
  <c r="C76" i="35"/>
  <c r="E76" i="35"/>
  <c r="G76" i="35"/>
  <c r="D33" i="21"/>
  <c r="G33" i="21"/>
  <c r="C33" i="21"/>
  <c r="E33" i="21"/>
  <c r="B33" i="21"/>
  <c r="C77" i="22"/>
  <c r="D77" i="22"/>
  <c r="C73" i="24"/>
  <c r="G73" i="24"/>
  <c r="D73" i="24"/>
  <c r="E73" i="24"/>
  <c r="B73" i="24"/>
  <c r="B39" i="22"/>
  <c r="E39" i="22"/>
  <c r="D39" i="22"/>
  <c r="G39" i="22"/>
  <c r="C39" i="22"/>
  <c r="D78" i="39"/>
  <c r="B22" i="24"/>
  <c r="E64" i="22"/>
  <c r="B64" i="22"/>
  <c r="D64" i="22"/>
  <c r="C64" i="22"/>
  <c r="G64" i="22"/>
  <c r="E12" i="39"/>
  <c r="C12" i="39"/>
  <c r="E25" i="39"/>
  <c r="B25" i="39"/>
  <c r="C10" i="22"/>
  <c r="B10" i="22"/>
  <c r="D10" i="22"/>
  <c r="D15" i="39"/>
  <c r="E15" i="39"/>
  <c r="E69" i="39"/>
  <c r="E13" i="22"/>
  <c r="E17" i="22"/>
  <c r="E30" i="22"/>
  <c r="E25" i="22"/>
  <c r="E19" i="22"/>
  <c r="D13" i="22"/>
  <c r="E14" i="22"/>
  <c r="C13" i="22"/>
  <c r="E15" i="22"/>
  <c r="B13" i="22"/>
  <c r="E29" i="22"/>
  <c r="E20" i="22"/>
  <c r="E18" i="22"/>
  <c r="E47" i="39"/>
  <c r="C47" i="39"/>
  <c r="G72" i="21"/>
  <c r="B72" i="21"/>
  <c r="D72" i="21"/>
  <c r="C72" i="21"/>
  <c r="E72" i="21"/>
  <c r="D40" i="22"/>
  <c r="C40" i="22"/>
  <c r="E40" i="22"/>
  <c r="B40" i="22"/>
  <c r="G40" i="22"/>
  <c r="D82" i="39"/>
  <c r="B7" i="22"/>
  <c r="D7" i="22"/>
  <c r="C7" i="22"/>
  <c r="C23" i="22"/>
  <c r="E23" i="22"/>
  <c r="D23" i="22"/>
  <c r="B23" i="22"/>
  <c r="B47" i="21"/>
  <c r="C47" i="21"/>
  <c r="G47" i="21"/>
  <c r="D47" i="21"/>
  <c r="E47" i="21"/>
  <c r="C29" i="22"/>
  <c r="D29" i="22"/>
  <c r="B29" i="22"/>
  <c r="D16" i="39"/>
  <c r="D36" i="39"/>
  <c r="B18" i="39"/>
  <c r="C18" i="39"/>
  <c r="C40" i="39"/>
  <c r="E40" i="39"/>
  <c r="B40" i="39"/>
  <c r="G40" i="39"/>
  <c r="D40" i="39"/>
  <c r="B45" i="39"/>
  <c r="D45" i="39"/>
  <c r="D22" i="39"/>
  <c r="G37" i="39"/>
  <c r="C37" i="39"/>
  <c r="C21" i="39"/>
  <c r="C59" i="39"/>
  <c r="D59" i="39"/>
  <c r="B11" i="39"/>
  <c r="E11" i="39"/>
  <c r="D11" i="39"/>
  <c r="B44" i="39"/>
  <c r="D44" i="39"/>
  <c r="G44" i="39"/>
  <c r="G60" i="39"/>
  <c r="B42" i="39"/>
  <c r="E42" i="39"/>
  <c r="G42" i="39"/>
  <c r="C39" i="39"/>
  <c r="D39" i="39"/>
  <c r="B23" i="39"/>
  <c r="D23" i="39"/>
  <c r="E23" i="39"/>
  <c r="G13" i="39"/>
  <c r="E13" i="39"/>
  <c r="D13" i="39"/>
  <c r="G77" i="39"/>
  <c r="B77" i="39"/>
  <c r="E77" i="39"/>
  <c r="E43" i="39"/>
  <c r="D43" i="39"/>
  <c r="C43" i="39"/>
  <c r="E58" i="39"/>
  <c r="B71" i="39"/>
  <c r="C56" i="39"/>
  <c r="D56" i="39"/>
  <c r="E56" i="39"/>
  <c r="G56" i="39"/>
  <c r="B85" i="39"/>
  <c r="G72" i="39"/>
  <c r="C53" i="39"/>
  <c r="D63" i="39"/>
  <c r="B63" i="39"/>
  <c r="D49" i="39"/>
  <c r="C81" i="39"/>
  <c r="G81" i="39"/>
  <c r="D81" i="39"/>
  <c r="E81" i="39"/>
  <c r="E84" i="39"/>
  <c r="G27" i="39"/>
  <c r="D27" i="39"/>
  <c r="E27" i="39"/>
  <c r="E19" i="39"/>
  <c r="B19" i="39"/>
  <c r="C19" i="39"/>
  <c r="G19" i="39"/>
  <c r="C29" i="39"/>
  <c r="D29" i="39"/>
  <c r="D75" i="39"/>
  <c r="G75" i="39"/>
  <c r="D76" i="39"/>
  <c r="B20" i="39"/>
  <c r="E51" i="39"/>
  <c r="D51" i="39"/>
  <c r="B51" i="39"/>
  <c r="B14" i="39"/>
  <c r="D46" i="39"/>
  <c r="B46" i="39"/>
  <c r="E33" i="39"/>
  <c r="G70" i="39"/>
  <c r="D79" i="39"/>
  <c r="E48" i="39"/>
  <c r="C48" i="39"/>
  <c r="D273" i="101"/>
  <c r="F273" i="101" a="1"/>
  <c r="F273" i="101" s="1"/>
  <c r="C273" i="101"/>
  <c r="I273" i="101"/>
  <c r="E273" i="101"/>
  <c r="D24" i="39"/>
  <c r="C24" i="39"/>
  <c r="G24" i="39"/>
  <c r="E24" i="39"/>
  <c r="E61" i="39"/>
  <c r="G61" i="39"/>
  <c r="D300" i="101"/>
  <c r="F300" i="101" a="1"/>
  <c r="F300" i="101" s="1"/>
  <c r="C300" i="101"/>
  <c r="E300" i="101"/>
  <c r="I300" i="101"/>
  <c r="B73" i="39"/>
  <c r="I286" i="101"/>
  <c r="E286" i="101"/>
  <c r="F286" i="101" a="1"/>
  <c r="F286" i="101" s="1"/>
  <c r="C286" i="101"/>
  <c r="D286" i="101"/>
  <c r="G26" i="39"/>
  <c r="B26" i="39"/>
  <c r="B11" i="19"/>
  <c r="A3" i="19"/>
  <c r="D11" i="19"/>
  <c r="E14" i="19"/>
  <c r="E13" i="19"/>
  <c r="E11" i="19"/>
  <c r="E15" i="19"/>
  <c r="E12" i="19"/>
  <c r="E40" i="35" l="1"/>
  <c r="E21" i="98"/>
  <c r="E22" i="39"/>
  <c r="B40" i="35"/>
  <c r="G61" i="98"/>
  <c r="B21" i="98"/>
  <c r="C12" i="98"/>
  <c r="E43" i="96"/>
  <c r="E44" i="96"/>
  <c r="E46" i="96"/>
  <c r="E28" i="96"/>
  <c r="D53" i="96"/>
  <c r="G19" i="53" a="1"/>
  <c r="G19" i="53" s="1"/>
  <c r="G23" i="53" a="1"/>
  <c r="G23" i="53" s="1"/>
  <c r="G22" i="39"/>
  <c r="E17" i="99"/>
  <c r="E16" i="39"/>
  <c r="C69" i="39"/>
  <c r="D69" i="39"/>
  <c r="C68" i="39"/>
  <c r="C35" i="39"/>
  <c r="G50" i="39"/>
  <c r="E63" i="39"/>
  <c r="D68" i="39"/>
  <c r="E14" i="98"/>
  <c r="D57" i="39"/>
  <c r="D73" i="39"/>
  <c r="C33" i="39"/>
  <c r="B54" i="39"/>
  <c r="C63" i="39"/>
  <c r="G66" i="39"/>
  <c r="E68" i="39"/>
  <c r="G57" i="39"/>
  <c r="G15" i="39"/>
  <c r="D7" i="35"/>
  <c r="B56" i="98"/>
  <c r="G35" i="53" a="1"/>
  <c r="G35" i="53" s="1"/>
  <c r="C71" i="91"/>
  <c r="E9" i="98"/>
  <c r="E31" i="96"/>
  <c r="D33" i="39"/>
  <c r="G54" i="39"/>
  <c r="C65" i="39"/>
  <c r="C13" i="39"/>
  <c r="E34" i="53"/>
  <c r="C67" i="39"/>
  <c r="D62" i="39"/>
  <c r="G7" i="39"/>
  <c r="E26" i="39"/>
  <c r="E71" i="36"/>
  <c r="B41" i="39"/>
  <c r="G51" i="39"/>
  <c r="D67" i="39"/>
  <c r="D84" i="39"/>
  <c r="C77" i="39"/>
  <c r="B64" i="39"/>
  <c r="B59" i="39"/>
  <c r="G69" i="39"/>
  <c r="G40" i="35"/>
  <c r="F41" i="53"/>
  <c r="F10" i="53"/>
  <c r="E7" i="22"/>
  <c r="E22" i="96"/>
  <c r="E55" i="96"/>
  <c r="D26" i="39"/>
  <c r="D53" i="39"/>
  <c r="C66" i="39"/>
  <c r="B68" i="39"/>
  <c r="B21" i="39"/>
  <c r="B78" i="98"/>
  <c r="B44" i="22"/>
  <c r="D56" i="22"/>
  <c r="D41" i="39"/>
  <c r="B9" i="39"/>
  <c r="B72" i="39"/>
  <c r="B65" i="39"/>
  <c r="C78" i="98"/>
  <c r="G28" i="53" a="1"/>
  <c r="G28" i="53" s="1"/>
  <c r="G44" i="22"/>
  <c r="G30" i="53" a="1"/>
  <c r="G30" i="53" s="1"/>
  <c r="D25" i="53"/>
  <c r="C7" i="35"/>
  <c r="E53" i="96"/>
  <c r="D26" i="96"/>
  <c r="D40" i="96"/>
  <c r="E57" i="39"/>
  <c r="G79" i="98"/>
  <c r="D12" i="53"/>
  <c r="D11" i="44"/>
  <c r="G45" i="44"/>
  <c r="C60" i="22"/>
  <c r="D7" i="91"/>
  <c r="E82" i="22"/>
  <c r="F16" i="53"/>
  <c r="D19" i="22"/>
  <c r="B16" i="98"/>
  <c r="D7" i="98"/>
  <c r="E73" i="39"/>
  <c r="B48" i="39"/>
  <c r="G59" i="39"/>
  <c r="B38" i="39"/>
  <c r="B16" i="39"/>
  <c r="A3" i="22"/>
  <c r="B77" i="22"/>
  <c r="B69" i="98"/>
  <c r="E12" i="22"/>
  <c r="E48" i="96"/>
  <c r="C23" i="96"/>
  <c r="E50" i="35"/>
  <c r="B15" i="99"/>
  <c r="E9" i="35"/>
  <c r="E33" i="96"/>
  <c r="E6" i="35"/>
  <c r="B51" i="98"/>
  <c r="G31" i="53" a="1"/>
  <c r="G31" i="53" s="1"/>
  <c r="E20" i="53"/>
  <c r="G51" i="98"/>
  <c r="E57" i="22"/>
  <c r="G17" i="39"/>
  <c r="B29" i="39"/>
  <c r="C84" i="39"/>
  <c r="E10" i="39"/>
  <c r="C32" i="39"/>
  <c r="E77" i="22"/>
  <c r="D60" i="35"/>
  <c r="B34" i="98"/>
  <c r="B55" i="39"/>
  <c r="B17" i="39"/>
  <c r="E29" i="39"/>
  <c r="G84" i="39"/>
  <c r="E64" i="39"/>
  <c r="G31" i="39"/>
  <c r="E82" i="39"/>
  <c r="E60" i="35"/>
  <c r="G34" i="98"/>
  <c r="F12" i="53"/>
  <c r="G16" i="53" a="1"/>
  <c r="G16" i="53" s="1"/>
  <c r="B43" i="22"/>
  <c r="D44" i="22"/>
  <c r="B17" i="99"/>
  <c r="A3" i="98"/>
  <c r="E44" i="53"/>
  <c r="B80" i="39"/>
  <c r="G82" i="39"/>
  <c r="B60" i="35"/>
  <c r="D34" i="98"/>
  <c r="D17" i="39"/>
  <c r="E76" i="39"/>
  <c r="C34" i="39"/>
  <c r="B28" i="39"/>
  <c r="C70" i="39"/>
  <c r="B76" i="39"/>
  <c r="E71" i="39"/>
  <c r="D28" i="39"/>
  <c r="E30" i="39"/>
  <c r="G38" i="39"/>
  <c r="C82" i="39"/>
  <c r="D61" i="98"/>
  <c r="C11" i="44"/>
  <c r="D16" i="98"/>
  <c r="E21" i="96"/>
  <c r="B20" i="96"/>
  <c r="E18" i="99"/>
  <c r="B32" i="39"/>
  <c r="D61" i="39"/>
  <c r="E60" i="39"/>
  <c r="G11" i="39"/>
  <c r="E24" i="22"/>
  <c r="E61" i="98"/>
  <c r="C45" i="44"/>
  <c r="E7" i="98"/>
  <c r="D71" i="91"/>
  <c r="C19" i="22"/>
  <c r="E60" i="22"/>
  <c r="F38" i="53"/>
  <c r="C56" i="96"/>
  <c r="B6" i="39"/>
  <c r="D20" i="39"/>
  <c r="C15" i="99"/>
  <c r="D30" i="53"/>
  <c r="E15" i="99"/>
  <c r="E32" i="39"/>
  <c r="B11" i="35"/>
  <c r="E51" i="98"/>
  <c r="C6" i="35"/>
  <c r="D47" i="96"/>
  <c r="E79" i="98"/>
  <c r="C16" i="98"/>
  <c r="C17" i="39"/>
  <c r="E14" i="39"/>
  <c r="B50" i="39"/>
  <c r="B75" i="39"/>
  <c r="B53" i="39"/>
  <c r="B43" i="39"/>
  <c r="D38" i="39"/>
  <c r="E36" i="39"/>
  <c r="D12" i="39"/>
  <c r="D40" i="35"/>
  <c r="B50" i="35"/>
  <c r="G56" i="98"/>
  <c r="E45" i="44"/>
  <c r="G57" i="22"/>
  <c r="D78" i="22"/>
  <c r="B38" i="96"/>
  <c r="D38" i="96"/>
  <c r="B30" i="96"/>
  <c r="D30" i="96"/>
  <c r="C30" i="96"/>
  <c r="A3" i="21"/>
  <c r="G21" i="53" a="1"/>
  <c r="G21" i="53" s="1"/>
  <c r="E29" i="96"/>
  <c r="C19" i="96"/>
  <c r="B19" i="96"/>
  <c r="D19" i="96"/>
  <c r="B60" i="96"/>
  <c r="E60" i="96"/>
  <c r="C60" i="96"/>
  <c r="G60" i="96"/>
  <c r="D60" i="96"/>
  <c r="B80" i="96"/>
  <c r="E80" i="96"/>
  <c r="D80" i="96"/>
  <c r="C80" i="96"/>
  <c r="G80" i="96"/>
  <c r="D70" i="39"/>
  <c r="B34" i="39"/>
  <c r="B10" i="39"/>
  <c r="B12" i="39"/>
  <c r="G26" i="53" a="1"/>
  <c r="G26" i="53" s="1"/>
  <c r="D17" i="99"/>
  <c r="C57" i="22"/>
  <c r="D36" i="53"/>
  <c r="D50" i="96"/>
  <c r="C50" i="96"/>
  <c r="B57" i="22"/>
  <c r="B7" i="98"/>
  <c r="G37" i="53" a="1"/>
  <c r="G37" i="53" s="1"/>
  <c r="D8" i="96"/>
  <c r="C8" i="96"/>
  <c r="B8" i="96"/>
  <c r="E8" i="96"/>
  <c r="D68" i="96"/>
  <c r="C68" i="96"/>
  <c r="G68" i="96"/>
  <c r="E68" i="96"/>
  <c r="B68" i="96"/>
  <c r="E64" i="96"/>
  <c r="D64" i="96"/>
  <c r="C64" i="96"/>
  <c r="B64" i="96"/>
  <c r="G64" i="96"/>
  <c r="D6" i="35"/>
  <c r="G6" i="35" s="1"/>
  <c r="B16" i="22"/>
  <c r="D7" i="53"/>
  <c r="G29" i="53" a="1"/>
  <c r="G29" i="53" s="1"/>
  <c r="G82" i="96"/>
  <c r="B82" i="96"/>
  <c r="E82" i="96"/>
  <c r="D82" i="96"/>
  <c r="C82" i="96"/>
  <c r="E81" i="96"/>
  <c r="C81" i="96"/>
  <c r="G81" i="96"/>
  <c r="D81" i="96"/>
  <c r="B81" i="96"/>
  <c r="C65" i="96"/>
  <c r="D65" i="96"/>
  <c r="E65" i="96"/>
  <c r="B65" i="96"/>
  <c r="G65" i="96"/>
  <c r="C12" i="14"/>
  <c r="E6" i="96"/>
  <c r="C6" i="96"/>
  <c r="D34" i="96"/>
  <c r="C34" i="96"/>
  <c r="B34" i="96"/>
  <c r="E7" i="96"/>
  <c r="D7" i="96"/>
  <c r="B48" i="96"/>
  <c r="C48" i="96"/>
  <c r="D48" i="96"/>
  <c r="D36" i="96"/>
  <c r="G76" i="39"/>
  <c r="B60" i="39"/>
  <c r="E22" i="22"/>
  <c r="E16" i="22"/>
  <c r="E7" i="30"/>
  <c r="C34" i="98"/>
  <c r="D78" i="98"/>
  <c r="F14" i="53"/>
  <c r="G43" i="22"/>
  <c r="E34" i="96"/>
  <c r="E32" i="96"/>
  <c r="C75" i="96"/>
  <c r="G75" i="96"/>
  <c r="D75" i="96"/>
  <c r="B75" i="96"/>
  <c r="E75" i="96"/>
  <c r="D41" i="96"/>
  <c r="C41" i="96"/>
  <c r="B41" i="96"/>
  <c r="E25" i="96"/>
  <c r="E50" i="96"/>
  <c r="E30" i="96"/>
  <c r="E42" i="96"/>
  <c r="E38" i="96"/>
  <c r="G62" i="96"/>
  <c r="B62" i="96"/>
  <c r="E62" i="96"/>
  <c r="D62" i="96"/>
  <c r="C62" i="96"/>
  <c r="B49" i="96"/>
  <c r="C49" i="96"/>
  <c r="D49" i="96"/>
  <c r="C27" i="96"/>
  <c r="D27" i="96"/>
  <c r="B27" i="96"/>
  <c r="B47" i="96"/>
  <c r="B23" i="96"/>
  <c r="E7" i="39"/>
  <c r="C60" i="39"/>
  <c r="D30" i="39"/>
  <c r="C80" i="39"/>
  <c r="B6" i="35"/>
  <c r="E56" i="98"/>
  <c r="C16" i="97"/>
  <c r="B30" i="22"/>
  <c r="D10" i="53"/>
  <c r="A3" i="91"/>
  <c r="E13" i="96"/>
  <c r="E17" i="96"/>
  <c r="B7" i="96"/>
  <c r="D20" i="96"/>
  <c r="C20" i="96"/>
  <c r="B72" i="96"/>
  <c r="G72" i="96"/>
  <c r="E72" i="96"/>
  <c r="D72" i="96"/>
  <c r="C72" i="96"/>
  <c r="C11" i="96"/>
  <c r="D11" i="96"/>
  <c r="B11" i="96"/>
  <c r="D24" i="96"/>
  <c r="B24" i="96"/>
  <c r="C24" i="96"/>
  <c r="E10" i="35"/>
  <c r="G11" i="53" a="1"/>
  <c r="G11" i="53" s="1"/>
  <c r="C8" i="19"/>
  <c r="D10" i="19"/>
  <c r="E15" i="96"/>
  <c r="D79" i="96"/>
  <c r="C79" i="96"/>
  <c r="G79" i="96"/>
  <c r="B79" i="96"/>
  <c r="E79" i="96"/>
  <c r="B73" i="96"/>
  <c r="D73" i="96"/>
  <c r="E73" i="96"/>
  <c r="C73" i="96"/>
  <c r="G73" i="96"/>
  <c r="C29" i="96"/>
  <c r="D29" i="96"/>
  <c r="B29" i="96"/>
  <c r="E50" i="39"/>
  <c r="C7" i="39"/>
  <c r="G50" i="35"/>
  <c r="B77" i="96"/>
  <c r="C77" i="96"/>
  <c r="G77" i="96"/>
  <c r="E77" i="96"/>
  <c r="D77" i="96"/>
  <c r="E58" i="96"/>
  <c r="G58" i="96"/>
  <c r="D58" i="96"/>
  <c r="C58" i="96"/>
  <c r="B58" i="96"/>
  <c r="G6" i="14"/>
  <c r="G7" i="14" s="1"/>
  <c r="G8" i="14" s="1"/>
  <c r="G9" i="14" s="1"/>
  <c r="G10" i="14" s="1"/>
  <c r="G11" i="14" s="1"/>
  <c r="G12" i="14" s="1"/>
  <c r="B27" i="39"/>
  <c r="E12" i="35"/>
  <c r="E11" i="35"/>
  <c r="C7" i="91"/>
  <c r="E32" i="53"/>
  <c r="G39" i="53" a="1"/>
  <c r="G39" i="53" s="1"/>
  <c r="F18" i="53"/>
  <c r="E18" i="53" s="1"/>
  <c r="D33" i="53"/>
  <c r="F27" i="53"/>
  <c r="G6" i="31"/>
  <c r="C6" i="31"/>
  <c r="D82" i="35"/>
  <c r="C82" i="35"/>
  <c r="C7" i="98"/>
  <c r="C73" i="39"/>
  <c r="B61" i="39"/>
  <c r="G41" i="39"/>
  <c r="D14" i="39"/>
  <c r="G67" i="39"/>
  <c r="E66" i="39"/>
  <c r="B39" i="39"/>
  <c r="D32" i="39"/>
  <c r="D18" i="39"/>
  <c r="E27" i="22"/>
  <c r="E7" i="35"/>
  <c r="E82" i="35"/>
  <c r="D15" i="99"/>
  <c r="D6" i="13"/>
  <c r="D27" i="22"/>
  <c r="G45" i="53" a="1"/>
  <c r="G45" i="53" s="1"/>
  <c r="D34" i="53"/>
  <c r="G38" i="53" a="1"/>
  <c r="G38" i="53" s="1"/>
  <c r="E16" i="99"/>
  <c r="I5" i="14"/>
  <c r="D14" i="29" s="1"/>
  <c r="E9" i="53"/>
  <c r="E7" i="91"/>
  <c r="F6" i="53"/>
  <c r="G6" i="96"/>
  <c r="G7" i="96" s="1"/>
  <c r="G8" i="96" s="1"/>
  <c r="G9" i="96" s="1"/>
  <c r="G10" i="96" s="1"/>
  <c r="G11" i="96" s="1"/>
  <c r="G12" i="96" s="1"/>
  <c r="G13" i="96" s="1"/>
  <c r="G14" i="96" s="1"/>
  <c r="B53" i="98"/>
  <c r="E6" i="39"/>
  <c r="D48" i="39"/>
  <c r="B70" i="39"/>
  <c r="E46" i="39"/>
  <c r="G20" i="39"/>
  <c r="D54" i="39"/>
  <c r="E75" i="39"/>
  <c r="B62" i="39"/>
  <c r="D72" i="39"/>
  <c r="C71" i="39"/>
  <c r="G65" i="39"/>
  <c r="E34" i="39"/>
  <c r="G28" i="39"/>
  <c r="C44" i="39"/>
  <c r="C30" i="39"/>
  <c r="D80" i="39"/>
  <c r="E21" i="39"/>
  <c r="E45" i="39"/>
  <c r="C31" i="39"/>
  <c r="C16" i="39"/>
  <c r="E28" i="22"/>
  <c r="C25" i="39"/>
  <c r="C50" i="35"/>
  <c r="D7" i="30"/>
  <c r="C79" i="98"/>
  <c r="E24" i="98"/>
  <c r="D9" i="35"/>
  <c r="B11" i="44"/>
  <c r="D45" i="44"/>
  <c r="F39" i="53"/>
  <c r="E39" i="53" s="1"/>
  <c r="C60" i="98"/>
  <c r="E53" i="98"/>
  <c r="E43" i="22"/>
  <c r="D74" i="22"/>
  <c r="C18" i="21"/>
  <c r="E21" i="22"/>
  <c r="F22" i="53"/>
  <c r="G41" i="53" a="1"/>
  <c r="G41" i="53" s="1"/>
  <c r="D20" i="53"/>
  <c r="C9" i="35"/>
  <c r="C6" i="39"/>
  <c r="C46" i="39"/>
  <c r="E20" i="39"/>
  <c r="C54" i="39"/>
  <c r="G62" i="39"/>
  <c r="G71" i="39"/>
  <c r="B58" i="39"/>
  <c r="G34" i="39"/>
  <c r="G39" i="39"/>
  <c r="C28" i="39"/>
  <c r="G80" i="39"/>
  <c r="G21" i="39"/>
  <c r="G45" i="39"/>
  <c r="E18" i="39"/>
  <c r="G82" i="35"/>
  <c r="D79" i="98"/>
  <c r="D43" i="22"/>
  <c r="D6" i="39"/>
  <c r="E62" i="39"/>
  <c r="D65" i="39"/>
  <c r="C8" i="13"/>
  <c r="E11" i="98"/>
  <c r="G25" i="39"/>
  <c r="C24" i="98"/>
  <c r="F35" i="53"/>
  <c r="G53" i="98"/>
  <c r="G55" i="39"/>
  <c r="C79" i="39"/>
  <c r="C41" i="39"/>
  <c r="B67" i="39"/>
  <c r="E72" i="39"/>
  <c r="C58" i="39"/>
  <c r="C22" i="24"/>
  <c r="D8" i="35"/>
  <c r="F32" i="53"/>
  <c r="D53" i="98"/>
  <c r="D24" i="13"/>
  <c r="E19" i="99"/>
  <c r="A3" i="99"/>
  <c r="A3" i="44"/>
  <c r="E17" i="98"/>
  <c r="D25" i="24"/>
  <c r="G44" i="53" a="1"/>
  <c r="G44" i="53" s="1"/>
  <c r="G36" i="53" a="1"/>
  <c r="G36" i="53" s="1"/>
  <c r="B6" i="19"/>
  <c r="A3" i="30"/>
  <c r="A3" i="35"/>
  <c r="C30" i="22"/>
  <c r="E30" i="53"/>
  <c r="C58" i="24"/>
  <c r="B58" i="24"/>
  <c r="G58" i="24"/>
  <c r="E58" i="24"/>
  <c r="D58" i="24"/>
  <c r="D56" i="24"/>
  <c r="B56" i="24"/>
  <c r="E56" i="24"/>
  <c r="C56" i="24"/>
  <c r="G56" i="24"/>
  <c r="B8" i="24"/>
  <c r="E8" i="24"/>
  <c r="C8" i="24"/>
  <c r="D8" i="24"/>
  <c r="B50" i="24"/>
  <c r="G50" i="24"/>
  <c r="E50" i="24"/>
  <c r="D50" i="24"/>
  <c r="C50" i="24"/>
  <c r="C14" i="24"/>
  <c r="B14" i="24"/>
  <c r="D14" i="24"/>
  <c r="E14" i="24"/>
  <c r="D78" i="24"/>
  <c r="B78" i="24"/>
  <c r="C78" i="24"/>
  <c r="G78" i="24"/>
  <c r="E78" i="24"/>
  <c r="G57" i="24"/>
  <c r="B57" i="24"/>
  <c r="D57" i="24"/>
  <c r="E57" i="24"/>
  <c r="C57" i="24"/>
  <c r="F302" i="53"/>
  <c r="U302" i="53" s="1"/>
  <c r="G302" i="53" a="1"/>
  <c r="G302" i="53" s="1"/>
  <c r="D302" i="53"/>
  <c r="J302" i="53"/>
  <c r="E302" i="53"/>
  <c r="F23" i="53"/>
  <c r="D23" i="53"/>
  <c r="D157" i="53"/>
  <c r="J157" i="53"/>
  <c r="E157" i="53"/>
  <c r="G157" i="53" a="1"/>
  <c r="G157" i="53" s="1"/>
  <c r="F157" i="53"/>
  <c r="U157" i="53" s="1"/>
  <c r="E217" i="53"/>
  <c r="D217" i="53"/>
  <c r="G217" i="53" a="1"/>
  <c r="G217" i="53" s="1"/>
  <c r="F217" i="53"/>
  <c r="U217" i="53" s="1"/>
  <c r="J217" i="53"/>
  <c r="E76" i="53"/>
  <c r="J76" i="53"/>
  <c r="G76" i="53" a="1"/>
  <c r="G76" i="53" s="1"/>
  <c r="F76" i="53"/>
  <c r="U76" i="53" s="1"/>
  <c r="D76" i="53"/>
  <c r="G7" i="53" a="1"/>
  <c r="G7" i="53" s="1"/>
  <c r="D225" i="53"/>
  <c r="E225" i="53"/>
  <c r="G225" i="53" a="1"/>
  <c r="G225" i="53" s="1"/>
  <c r="J225" i="53"/>
  <c r="F225" i="53"/>
  <c r="U225" i="53" s="1"/>
  <c r="D330" i="53"/>
  <c r="E330" i="53"/>
  <c r="F330" i="53"/>
  <c r="U330" i="53" s="1"/>
  <c r="G330" i="53" a="1"/>
  <c r="G330" i="53" s="1"/>
  <c r="J330" i="53"/>
  <c r="F175" i="53"/>
  <c r="U175" i="53" s="1"/>
  <c r="E175" i="53"/>
  <c r="G175" i="53" a="1"/>
  <c r="G175" i="53" s="1"/>
  <c r="D175" i="53"/>
  <c r="J175" i="53"/>
  <c r="J123" i="53"/>
  <c r="F123" i="53"/>
  <c r="U123" i="53" s="1"/>
  <c r="E123" i="53"/>
  <c r="D123" i="53"/>
  <c r="G123" i="53" a="1"/>
  <c r="G123" i="53" s="1"/>
  <c r="E281" i="53"/>
  <c r="G281" i="53" a="1"/>
  <c r="G281" i="53" s="1"/>
  <c r="F281" i="53"/>
  <c r="U281" i="53" s="1"/>
  <c r="J281" i="53"/>
  <c r="D281" i="53"/>
  <c r="G192" i="53" a="1"/>
  <c r="G192" i="53" s="1"/>
  <c r="F192" i="53"/>
  <c r="U192" i="53" s="1"/>
  <c r="J192" i="53"/>
  <c r="D192" i="53"/>
  <c r="E192" i="53"/>
  <c r="D165" i="53"/>
  <c r="G165" i="53" a="1"/>
  <c r="G165" i="53" s="1"/>
  <c r="J165" i="53"/>
  <c r="E165" i="53"/>
  <c r="F165" i="53"/>
  <c r="U165" i="53" s="1"/>
  <c r="J161" i="53"/>
  <c r="E161" i="53"/>
  <c r="G161" i="53" a="1"/>
  <c r="G161" i="53" s="1"/>
  <c r="D161" i="53"/>
  <c r="F161" i="53"/>
  <c r="U161" i="53" s="1"/>
  <c r="E116" i="53"/>
  <c r="G116" i="53" a="1"/>
  <c r="G116" i="53" s="1"/>
  <c r="F116" i="53"/>
  <c r="U116" i="53" s="1"/>
  <c r="D116" i="53"/>
  <c r="J116" i="53"/>
  <c r="F350" i="53"/>
  <c r="U350" i="53" s="1"/>
  <c r="J350" i="53"/>
  <c r="D350" i="53"/>
  <c r="G350" i="53" a="1"/>
  <c r="G350" i="53" s="1"/>
  <c r="E350" i="53"/>
  <c r="J50" i="53"/>
  <c r="D50" i="53"/>
  <c r="E50" i="53"/>
  <c r="F50" i="53"/>
  <c r="U50" i="53" s="1"/>
  <c r="G50" i="53" a="1"/>
  <c r="G50" i="53" s="1"/>
  <c r="D29" i="53"/>
  <c r="F182" i="53"/>
  <c r="U182" i="53" s="1"/>
  <c r="E182" i="53"/>
  <c r="G182" i="53" a="1"/>
  <c r="G182" i="53" s="1"/>
  <c r="D182" i="53"/>
  <c r="J182" i="53"/>
  <c r="G240" i="53" a="1"/>
  <c r="G240" i="53" s="1"/>
  <c r="J240" i="53"/>
  <c r="D240" i="53"/>
  <c r="E240" i="53"/>
  <c r="F240" i="53"/>
  <c r="U240" i="53" s="1"/>
  <c r="D315" i="53"/>
  <c r="J315" i="53"/>
  <c r="F315" i="53"/>
  <c r="U315" i="53" s="1"/>
  <c r="G315" i="53" a="1"/>
  <c r="G315" i="53" s="1"/>
  <c r="E315" i="53"/>
  <c r="F284" i="53"/>
  <c r="U284" i="53" s="1"/>
  <c r="E284" i="53"/>
  <c r="J284" i="53"/>
  <c r="G284" i="53" a="1"/>
  <c r="G284" i="53" s="1"/>
  <c r="D284" i="53"/>
  <c r="F222" i="53"/>
  <c r="U222" i="53" s="1"/>
  <c r="J222" i="53"/>
  <c r="E222" i="53"/>
  <c r="G222" i="53" a="1"/>
  <c r="G222" i="53" s="1"/>
  <c r="D222" i="53"/>
  <c r="D238" i="53"/>
  <c r="J238" i="53"/>
  <c r="E238" i="53"/>
  <c r="F238" i="53"/>
  <c r="U238" i="53" s="1"/>
  <c r="G238" i="53" a="1"/>
  <c r="G238" i="53" s="1"/>
  <c r="F253" i="50"/>
  <c r="U253" i="50" s="1"/>
  <c r="G253" i="50" a="1"/>
  <c r="G253" i="50" s="1"/>
  <c r="E253" i="50"/>
  <c r="J253" i="50"/>
  <c r="D253" i="50"/>
  <c r="G53" i="50" a="1"/>
  <c r="G53" i="50" s="1"/>
  <c r="F53" i="50"/>
  <c r="E53" i="50"/>
  <c r="D53" i="50"/>
  <c r="F212" i="50"/>
  <c r="U212" i="50" s="1"/>
  <c r="G212" i="50" a="1"/>
  <c r="G212" i="50" s="1"/>
  <c r="D212" i="50"/>
  <c r="E212" i="50"/>
  <c r="J212" i="50"/>
  <c r="G352" i="50" a="1"/>
  <c r="G352" i="50" s="1"/>
  <c r="J352" i="50"/>
  <c r="E352" i="50"/>
  <c r="F352" i="50"/>
  <c r="U352" i="50" s="1"/>
  <c r="D352" i="50"/>
  <c r="E334" i="50"/>
  <c r="D334" i="50"/>
  <c r="G334" i="50" a="1"/>
  <c r="G334" i="50" s="1"/>
  <c r="F334" i="50"/>
  <c r="U334" i="50" s="1"/>
  <c r="J334" i="50"/>
  <c r="J213" i="50"/>
  <c r="D213" i="50"/>
  <c r="G213" i="50" a="1"/>
  <c r="G213" i="50" s="1"/>
  <c r="E213" i="50"/>
  <c r="F213" i="50"/>
  <c r="U213" i="50" s="1"/>
  <c r="F317" i="50"/>
  <c r="U317" i="50" s="1"/>
  <c r="D317" i="50"/>
  <c r="G317" i="50" a="1"/>
  <c r="G317" i="50" s="1"/>
  <c r="J317" i="50"/>
  <c r="E317" i="50"/>
  <c r="G197" i="50" a="1"/>
  <c r="G197" i="50" s="1"/>
  <c r="D197" i="50"/>
  <c r="F197" i="50"/>
  <c r="U197" i="50" s="1"/>
  <c r="E197" i="50"/>
  <c r="J197" i="50"/>
  <c r="G196" i="50" a="1"/>
  <c r="G196" i="50" s="1"/>
  <c r="F196" i="50"/>
  <c r="U196" i="50" s="1"/>
  <c r="E196" i="50"/>
  <c r="D196" i="50"/>
  <c r="J196" i="50"/>
  <c r="G15" i="50" a="1"/>
  <c r="G15" i="50" s="1"/>
  <c r="D15" i="50"/>
  <c r="F15" i="50"/>
  <c r="D52" i="50"/>
  <c r="G52" i="50" a="1"/>
  <c r="G52" i="50" s="1"/>
  <c r="F52" i="50"/>
  <c r="E52" i="50"/>
  <c r="F234" i="50"/>
  <c r="U234" i="50" s="1"/>
  <c r="D234" i="50"/>
  <c r="G234" i="50" a="1"/>
  <c r="G234" i="50" s="1"/>
  <c r="E234" i="50"/>
  <c r="J234" i="50"/>
  <c r="G115" i="50" a="1"/>
  <c r="G115" i="50" s="1"/>
  <c r="E115" i="50"/>
  <c r="D115" i="50"/>
  <c r="F115" i="50"/>
  <c r="U115" i="50" s="1"/>
  <c r="J115" i="50"/>
  <c r="J348" i="50"/>
  <c r="D348" i="50"/>
  <c r="G348" i="50" a="1"/>
  <c r="G348" i="50" s="1"/>
  <c r="F348" i="50"/>
  <c r="U348" i="50" s="1"/>
  <c r="E348" i="50"/>
  <c r="E164" i="50"/>
  <c r="D164" i="50"/>
  <c r="G164" i="50" a="1"/>
  <c r="G164" i="50" s="1"/>
  <c r="F164" i="50"/>
  <c r="U164" i="50" s="1"/>
  <c r="J164" i="50"/>
  <c r="F311" i="50"/>
  <c r="U311" i="50" s="1"/>
  <c r="J311" i="50"/>
  <c r="E311" i="50"/>
  <c r="D311" i="50"/>
  <c r="G311" i="50" a="1"/>
  <c r="G311" i="50" s="1"/>
  <c r="J323" i="50"/>
  <c r="E323" i="50"/>
  <c r="D323" i="50"/>
  <c r="F323" i="50"/>
  <c r="U323" i="50" s="1"/>
  <c r="G323" i="50" a="1"/>
  <c r="G323" i="50" s="1"/>
  <c r="D337" i="50"/>
  <c r="J337" i="50"/>
  <c r="G337" i="50" a="1"/>
  <c r="G337" i="50" s="1"/>
  <c r="E337" i="50"/>
  <c r="F337" i="50"/>
  <c r="U337" i="50" s="1"/>
  <c r="G287" i="50" a="1"/>
  <c r="G287" i="50" s="1"/>
  <c r="J287" i="50"/>
  <c r="F287" i="50"/>
  <c r="U287" i="50" s="1"/>
  <c r="D287" i="50"/>
  <c r="E287" i="50"/>
  <c r="D123" i="50"/>
  <c r="E123" i="50"/>
  <c r="F123" i="50"/>
  <c r="U123" i="50" s="1"/>
  <c r="G123" i="50" a="1"/>
  <c r="G123" i="50" s="1"/>
  <c r="J123" i="50"/>
  <c r="G222" i="50" a="1"/>
  <c r="G222" i="50" s="1"/>
  <c r="F222" i="50"/>
  <c r="U222" i="50" s="1"/>
  <c r="E222" i="50"/>
  <c r="J222" i="50"/>
  <c r="D222" i="50"/>
  <c r="J183" i="50"/>
  <c r="E183" i="50"/>
  <c r="G183" i="50" a="1"/>
  <c r="G183" i="50" s="1"/>
  <c r="F183" i="50"/>
  <c r="U183" i="50" s="1"/>
  <c r="D183" i="50"/>
  <c r="J95" i="50"/>
  <c r="D95" i="50"/>
  <c r="G95" i="50" a="1"/>
  <c r="G95" i="50" s="1"/>
  <c r="E95" i="50"/>
  <c r="F95" i="50"/>
  <c r="U95" i="50" s="1"/>
  <c r="D8" i="50"/>
  <c r="G8" i="50" a="1"/>
  <c r="G8" i="50" s="1"/>
  <c r="F8" i="50"/>
  <c r="E8" i="50"/>
  <c r="D331" i="50"/>
  <c r="F331" i="50"/>
  <c r="U331" i="50" s="1"/>
  <c r="E331" i="50"/>
  <c r="G331" i="50" a="1"/>
  <c r="G331" i="50" s="1"/>
  <c r="J331" i="50"/>
  <c r="F124" i="50"/>
  <c r="U124" i="50" s="1"/>
  <c r="D124" i="50"/>
  <c r="G124" i="50" a="1"/>
  <c r="G124" i="50" s="1"/>
  <c r="E124" i="50"/>
  <c r="J124" i="50"/>
  <c r="G81" i="50" a="1"/>
  <c r="G81" i="50" s="1"/>
  <c r="D81" i="50"/>
  <c r="E81" i="50"/>
  <c r="J81" i="50"/>
  <c r="F81" i="50"/>
  <c r="U81" i="50" s="1"/>
  <c r="E327" i="50"/>
  <c r="F327" i="50"/>
  <c r="U327" i="50" s="1"/>
  <c r="G327" i="50" a="1"/>
  <c r="G327" i="50" s="1"/>
  <c r="J327" i="50"/>
  <c r="D327" i="50"/>
  <c r="D223" i="50"/>
  <c r="E223" i="50"/>
  <c r="F223" i="50"/>
  <c r="U223" i="50" s="1"/>
  <c r="G223" i="50" a="1"/>
  <c r="G223" i="50" s="1"/>
  <c r="J223" i="50"/>
  <c r="E147" i="50"/>
  <c r="D147" i="50"/>
  <c r="G147" i="50" a="1"/>
  <c r="G147" i="50" s="1"/>
  <c r="J147" i="50"/>
  <c r="F147" i="50"/>
  <c r="U147" i="50" s="1"/>
  <c r="F9" i="50"/>
  <c r="D9" i="50"/>
  <c r="E9" i="50"/>
  <c r="G9" i="50" a="1"/>
  <c r="G9" i="50" s="1"/>
  <c r="D39" i="33"/>
  <c r="C39" i="33"/>
  <c r="B39" i="33"/>
  <c r="G39" i="33"/>
  <c r="E39" i="33"/>
  <c r="D53" i="33"/>
  <c r="G53" i="33"/>
  <c r="B53" i="33"/>
  <c r="E53" i="33"/>
  <c r="C53" i="33"/>
  <c r="E17" i="33"/>
  <c r="B17" i="33"/>
  <c r="D17" i="33"/>
  <c r="C17" i="33"/>
  <c r="G17" i="33"/>
  <c r="D11" i="33"/>
  <c r="B11" i="33"/>
  <c r="G11" i="33"/>
  <c r="C11" i="33"/>
  <c r="E11" i="33"/>
  <c r="E65" i="33"/>
  <c r="C65" i="33"/>
  <c r="B65" i="33"/>
  <c r="D65" i="33"/>
  <c r="G65" i="33"/>
  <c r="I300" i="49"/>
  <c r="C300" i="49"/>
  <c r="E300" i="49"/>
  <c r="F300" i="49" a="1"/>
  <c r="F300" i="49" s="1"/>
  <c r="D300" i="49"/>
  <c r="K300" i="49" a="1"/>
  <c r="K300" i="49" s="1"/>
  <c r="E9" i="49"/>
  <c r="F9" i="49" a="1"/>
  <c r="F9" i="49" s="1"/>
  <c r="C9" i="49"/>
  <c r="K329" i="49" a="1"/>
  <c r="K329" i="49" s="1"/>
  <c r="E329" i="49"/>
  <c r="D329" i="49"/>
  <c r="C329" i="49"/>
  <c r="F329" i="49" a="1"/>
  <c r="F329" i="49" s="1"/>
  <c r="I329" i="49"/>
  <c r="C299" i="49"/>
  <c r="D299" i="49"/>
  <c r="I299" i="49"/>
  <c r="F299" i="49" a="1"/>
  <c r="F299" i="49" s="1"/>
  <c r="E299" i="49"/>
  <c r="K299" i="49" a="1"/>
  <c r="K299" i="49" s="1"/>
  <c r="C187" i="49"/>
  <c r="D187" i="49"/>
  <c r="I187" i="49"/>
  <c r="F187" i="49" a="1"/>
  <c r="F187" i="49" s="1"/>
  <c r="E187" i="49"/>
  <c r="K187" i="49" a="1"/>
  <c r="K187" i="49" s="1"/>
  <c r="F74" i="49" a="1"/>
  <c r="F74" i="49" s="1"/>
  <c r="D74" i="49"/>
  <c r="I74" i="49"/>
  <c r="E74" i="49"/>
  <c r="C74" i="49"/>
  <c r="K74" i="49" a="1"/>
  <c r="K74" i="49" s="1"/>
  <c r="E92" i="49"/>
  <c r="C92" i="49"/>
  <c r="I92" i="49"/>
  <c r="F92" i="49" a="1"/>
  <c r="F92" i="49" s="1"/>
  <c r="D92" i="49"/>
  <c r="K92" i="49" a="1"/>
  <c r="K92" i="49" s="1"/>
  <c r="F11" i="49" a="1"/>
  <c r="F11" i="49" s="1"/>
  <c r="C11" i="49"/>
  <c r="E11" i="49"/>
  <c r="C350" i="49"/>
  <c r="D350" i="49"/>
  <c r="I350" i="49"/>
  <c r="E350" i="49"/>
  <c r="F350" i="49" a="1"/>
  <c r="F350" i="49" s="1"/>
  <c r="K350" i="49" a="1"/>
  <c r="K350" i="49" s="1"/>
  <c r="D88" i="49"/>
  <c r="F88" i="49" a="1"/>
  <c r="F88" i="49" s="1"/>
  <c r="C88" i="49"/>
  <c r="I88" i="49"/>
  <c r="E88" i="49"/>
  <c r="K88" i="49" a="1"/>
  <c r="K88" i="49" s="1"/>
  <c r="C28" i="49"/>
  <c r="F28" i="49" a="1"/>
  <c r="F28" i="49" s="1"/>
  <c r="E28" i="49"/>
  <c r="D28" i="49"/>
  <c r="I248" i="49"/>
  <c r="F248" i="49" a="1"/>
  <c r="F248" i="49" s="1"/>
  <c r="D248" i="49"/>
  <c r="E248" i="49"/>
  <c r="C248" i="49"/>
  <c r="K248" i="49" a="1"/>
  <c r="K248" i="49" s="1"/>
  <c r="I255" i="49"/>
  <c r="C255" i="49"/>
  <c r="F255" i="49" a="1"/>
  <c r="F255" i="49" s="1"/>
  <c r="D255" i="49"/>
  <c r="E255" i="49"/>
  <c r="K255" i="49" a="1"/>
  <c r="K255" i="49" s="1"/>
  <c r="C295" i="49"/>
  <c r="E295" i="49"/>
  <c r="F295" i="49" a="1"/>
  <c r="F295" i="49" s="1"/>
  <c r="D295" i="49"/>
  <c r="I295" i="49"/>
  <c r="K295" i="49" a="1"/>
  <c r="K295" i="49" s="1"/>
  <c r="I50" i="49"/>
  <c r="C50" i="49"/>
  <c r="E50" i="49"/>
  <c r="D50" i="49"/>
  <c r="F50" i="49" a="1"/>
  <c r="F50" i="49" s="1"/>
  <c r="K50" i="49" a="1"/>
  <c r="K50" i="49" s="1"/>
  <c r="I77" i="49"/>
  <c r="C77" i="49"/>
  <c r="E77" i="49"/>
  <c r="F77" i="49" a="1"/>
  <c r="F77" i="49" s="1"/>
  <c r="D77" i="49"/>
  <c r="K77" i="49" a="1"/>
  <c r="K77" i="49" s="1"/>
  <c r="I303" i="49"/>
  <c r="C303" i="49"/>
  <c r="F303" i="49" a="1"/>
  <c r="F303" i="49" s="1"/>
  <c r="D303" i="49"/>
  <c r="E303" i="49"/>
  <c r="K303" i="49" a="1"/>
  <c r="K303" i="49" s="1"/>
  <c r="C118" i="49"/>
  <c r="E118" i="49"/>
  <c r="F118" i="49" a="1"/>
  <c r="F118" i="49" s="1"/>
  <c r="D118" i="49"/>
  <c r="I118" i="49"/>
  <c r="K118" i="49" a="1"/>
  <c r="K118" i="49" s="1"/>
  <c r="E61" i="49"/>
  <c r="F61" i="49" a="1"/>
  <c r="F61" i="49" s="1"/>
  <c r="D61" i="49"/>
  <c r="C61" i="49"/>
  <c r="I61" i="49"/>
  <c r="K61" i="49" a="1"/>
  <c r="K61" i="49" s="1"/>
  <c r="C145" i="49"/>
  <c r="F145" i="49" a="1"/>
  <c r="F145" i="49" s="1"/>
  <c r="D145" i="49"/>
  <c r="E145" i="49"/>
  <c r="I145" i="49"/>
  <c r="K145" i="49" a="1"/>
  <c r="K145" i="49" s="1"/>
  <c r="E166" i="49"/>
  <c r="D166" i="49"/>
  <c r="I166" i="49"/>
  <c r="F166" i="49" a="1"/>
  <c r="F166" i="49" s="1"/>
  <c r="C166" i="49"/>
  <c r="K166" i="49" a="1"/>
  <c r="K166" i="49" s="1"/>
  <c r="C110" i="49"/>
  <c r="I110" i="49"/>
  <c r="E110" i="49"/>
  <c r="D110" i="49"/>
  <c r="F110" i="49" a="1"/>
  <c r="F110" i="49" s="1"/>
  <c r="K110" i="49" a="1"/>
  <c r="K110" i="49" s="1"/>
  <c r="D324" i="49"/>
  <c r="I324" i="49"/>
  <c r="C324" i="49"/>
  <c r="E324" i="49"/>
  <c r="F324" i="49" a="1"/>
  <c r="F324" i="49" s="1"/>
  <c r="K324" i="49" a="1"/>
  <c r="K324" i="49" s="1"/>
  <c r="F89" i="49" a="1"/>
  <c r="F89" i="49" s="1"/>
  <c r="D89" i="49"/>
  <c r="C89" i="49"/>
  <c r="I89" i="49"/>
  <c r="E89" i="49"/>
  <c r="K89" i="49" a="1"/>
  <c r="K89" i="49" s="1"/>
  <c r="E165" i="49"/>
  <c r="C165" i="49"/>
  <c r="D165" i="49"/>
  <c r="F165" i="49" a="1"/>
  <c r="F165" i="49" s="1"/>
  <c r="I165" i="49"/>
  <c r="K165" i="49" a="1"/>
  <c r="K165" i="49" s="1"/>
  <c r="E41" i="49"/>
  <c r="D41" i="49"/>
  <c r="F41" i="49" a="1"/>
  <c r="F41" i="49" s="1"/>
  <c r="I41" i="49"/>
  <c r="C41" i="49"/>
  <c r="K41" i="49" a="1"/>
  <c r="K41" i="49" s="1"/>
  <c r="D346" i="49"/>
  <c r="C346" i="49"/>
  <c r="E346" i="49"/>
  <c r="F346" i="49" a="1"/>
  <c r="F346" i="49" s="1"/>
  <c r="I346" i="49"/>
  <c r="K346" i="49" a="1"/>
  <c r="K346" i="49" s="1"/>
  <c r="I66" i="49"/>
  <c r="F66" i="49" a="1"/>
  <c r="F66" i="49" s="1"/>
  <c r="C66" i="49"/>
  <c r="D66" i="49"/>
  <c r="E66" i="49"/>
  <c r="K66" i="49" a="1"/>
  <c r="K66" i="49" s="1"/>
  <c r="D54" i="91"/>
  <c r="E54" i="91"/>
  <c r="C54" i="91"/>
  <c r="G54" i="91"/>
  <c r="B54" i="91"/>
  <c r="B47" i="91"/>
  <c r="D47" i="91"/>
  <c r="E47" i="91"/>
  <c r="G47" i="91"/>
  <c r="C47" i="91"/>
  <c r="B32" i="91"/>
  <c r="G32" i="91"/>
  <c r="C32" i="91"/>
  <c r="E32" i="91"/>
  <c r="D32" i="91"/>
  <c r="B15" i="91"/>
  <c r="C15" i="91"/>
  <c r="E15" i="91"/>
  <c r="G15" i="91"/>
  <c r="D15" i="91"/>
  <c r="C16" i="19"/>
  <c r="G16" i="19"/>
  <c r="D16" i="19"/>
  <c r="E16" i="19"/>
  <c r="B16" i="19"/>
  <c r="G46" i="19"/>
  <c r="E46" i="19"/>
  <c r="D46" i="19"/>
  <c r="B46" i="19"/>
  <c r="C46" i="19"/>
  <c r="D33" i="19"/>
  <c r="B33" i="19"/>
  <c r="G33" i="19"/>
  <c r="E33" i="19"/>
  <c r="C33" i="19"/>
  <c r="G21" i="19"/>
  <c r="C21" i="19"/>
  <c r="D21" i="19"/>
  <c r="E21" i="19"/>
  <c r="B21" i="19"/>
  <c r="G84" i="19"/>
  <c r="D84" i="19"/>
  <c r="E84" i="19"/>
  <c r="B84" i="19"/>
  <c r="C84" i="19"/>
  <c r="D28" i="19"/>
  <c r="E28" i="19"/>
  <c r="C28" i="19"/>
  <c r="B28" i="19"/>
  <c r="G28" i="19"/>
  <c r="B15" i="19"/>
  <c r="D15" i="19"/>
  <c r="L135" i="52" a="1"/>
  <c r="L135" i="52" s="1"/>
  <c r="F135" i="52" a="1"/>
  <c r="F135" i="52" s="1"/>
  <c r="D135" i="52"/>
  <c r="E135" i="52"/>
  <c r="C135" i="52"/>
  <c r="I135" i="52"/>
  <c r="L186" i="52" a="1"/>
  <c r="L186" i="52" s="1"/>
  <c r="I186" i="52"/>
  <c r="F186" i="52" a="1"/>
  <c r="F186" i="52" s="1"/>
  <c r="E186" i="52"/>
  <c r="C186" i="52"/>
  <c r="D186" i="52"/>
  <c r="E128" i="52"/>
  <c r="I128" i="52"/>
  <c r="F128" i="52" a="1"/>
  <c r="F128" i="52" s="1"/>
  <c r="C128" i="52"/>
  <c r="L128" i="52" a="1"/>
  <c r="L128" i="52" s="1"/>
  <c r="D128" i="52"/>
  <c r="L142" i="52" a="1"/>
  <c r="L142" i="52" s="1"/>
  <c r="D142" i="52"/>
  <c r="F142" i="52" a="1"/>
  <c r="F142" i="52" s="1"/>
  <c r="E142" i="52"/>
  <c r="C142" i="52"/>
  <c r="I142" i="52"/>
  <c r="E334" i="52"/>
  <c r="L334" i="52" a="1"/>
  <c r="L334" i="52" s="1"/>
  <c r="D334" i="52"/>
  <c r="C334" i="52"/>
  <c r="F334" i="52" a="1"/>
  <c r="F334" i="52" s="1"/>
  <c r="I334" i="52"/>
  <c r="L180" i="52" a="1"/>
  <c r="L180" i="52" s="1"/>
  <c r="D180" i="52"/>
  <c r="F180" i="52" a="1"/>
  <c r="F180" i="52" s="1"/>
  <c r="I180" i="52"/>
  <c r="E180" i="52"/>
  <c r="C180" i="52"/>
  <c r="I164" i="52"/>
  <c r="L164" i="52" a="1"/>
  <c r="L164" i="52" s="1"/>
  <c r="C164" i="52"/>
  <c r="E164" i="52"/>
  <c r="F164" i="52" a="1"/>
  <c r="F164" i="52" s="1"/>
  <c r="D164" i="52"/>
  <c r="I147" i="52"/>
  <c r="C147" i="52"/>
  <c r="E147" i="52"/>
  <c r="D147" i="52"/>
  <c r="F147" i="52" a="1"/>
  <c r="F147" i="52" s="1"/>
  <c r="L147" i="52" a="1"/>
  <c r="L147" i="52" s="1"/>
  <c r="E136" i="52"/>
  <c r="F136" i="52" a="1"/>
  <c r="F136" i="52" s="1"/>
  <c r="I136" i="52"/>
  <c r="L136" i="52" a="1"/>
  <c r="L136" i="52" s="1"/>
  <c r="C136" i="52"/>
  <c r="D136" i="52"/>
  <c r="L175" i="52" a="1"/>
  <c r="L175" i="52" s="1"/>
  <c r="C175" i="52"/>
  <c r="E175" i="52"/>
  <c r="F175" i="52" a="1"/>
  <c r="F175" i="52" s="1"/>
  <c r="I175" i="52"/>
  <c r="D175" i="52"/>
  <c r="E233" i="52"/>
  <c r="D233" i="52"/>
  <c r="L233" i="52" a="1"/>
  <c r="L233" i="52" s="1"/>
  <c r="F233" i="52" a="1"/>
  <c r="F233" i="52" s="1"/>
  <c r="C233" i="52"/>
  <c r="I233" i="52"/>
  <c r="I84" i="52"/>
  <c r="F84" i="52" a="1"/>
  <c r="F84" i="52" s="1"/>
  <c r="C84" i="52"/>
  <c r="E84" i="52"/>
  <c r="D84" i="52"/>
  <c r="L84" i="52" a="1"/>
  <c r="L84" i="52" s="1"/>
  <c r="E179" i="52"/>
  <c r="D179" i="52"/>
  <c r="L179" i="52" a="1"/>
  <c r="L179" i="52" s="1"/>
  <c r="C179" i="52"/>
  <c r="F179" i="52" a="1"/>
  <c r="F179" i="52" s="1"/>
  <c r="I179" i="52"/>
  <c r="L329" i="52" a="1"/>
  <c r="L329" i="52" s="1"/>
  <c r="E329" i="52"/>
  <c r="D329" i="52"/>
  <c r="C329" i="52"/>
  <c r="I329" i="52"/>
  <c r="F329" i="52" a="1"/>
  <c r="F329" i="52" s="1"/>
  <c r="F34" i="52" a="1"/>
  <c r="F34" i="52" s="1"/>
  <c r="C34" i="52"/>
  <c r="E34" i="52"/>
  <c r="D34" i="52"/>
  <c r="L229" i="52" a="1"/>
  <c r="L229" i="52" s="1"/>
  <c r="E229" i="52"/>
  <c r="F229" i="52" a="1"/>
  <c r="F229" i="52" s="1"/>
  <c r="D229" i="52"/>
  <c r="C229" i="52"/>
  <c r="I229" i="52"/>
  <c r="C230" i="52"/>
  <c r="F230" i="52" a="1"/>
  <c r="F230" i="52" s="1"/>
  <c r="D230" i="52"/>
  <c r="E230" i="52"/>
  <c r="I230" i="52"/>
  <c r="L230" i="52" a="1"/>
  <c r="L230" i="52" s="1"/>
  <c r="C163" i="52"/>
  <c r="F163" i="52" a="1"/>
  <c r="F163" i="52" s="1"/>
  <c r="L163" i="52" a="1"/>
  <c r="L163" i="52" s="1"/>
  <c r="E163" i="52"/>
  <c r="I163" i="52"/>
  <c r="D163" i="52"/>
  <c r="I251" i="52"/>
  <c r="D251" i="52"/>
  <c r="F251" i="52" a="1"/>
  <c r="F251" i="52" s="1"/>
  <c r="L251" i="52" a="1"/>
  <c r="L251" i="52" s="1"/>
  <c r="C251" i="52"/>
  <c r="E251" i="52"/>
  <c r="D143" i="52"/>
  <c r="F143" i="52" a="1"/>
  <c r="F143" i="52" s="1"/>
  <c r="L143" i="52" a="1"/>
  <c r="L143" i="52" s="1"/>
  <c r="I143" i="52"/>
  <c r="C143" i="52"/>
  <c r="E143" i="52"/>
  <c r="E217" i="52"/>
  <c r="L217" i="52" a="1"/>
  <c r="L217" i="52" s="1"/>
  <c r="F217" i="52" a="1"/>
  <c r="F217" i="52" s="1"/>
  <c r="C217" i="52"/>
  <c r="D217" i="52"/>
  <c r="I217" i="52"/>
  <c r="F220" i="52" a="1"/>
  <c r="F220" i="52" s="1"/>
  <c r="E220" i="52"/>
  <c r="C220" i="52"/>
  <c r="L220" i="52" a="1"/>
  <c r="L220" i="52" s="1"/>
  <c r="D220" i="52"/>
  <c r="I220" i="52"/>
  <c r="I289" i="52"/>
  <c r="C289" i="52"/>
  <c r="D289" i="52"/>
  <c r="L289" i="52" a="1"/>
  <c r="L289" i="52" s="1"/>
  <c r="E289" i="52"/>
  <c r="F289" i="52" a="1"/>
  <c r="F289" i="52" s="1"/>
  <c r="L106" i="52" a="1"/>
  <c r="L106" i="52" s="1"/>
  <c r="F106" i="52" a="1"/>
  <c r="F106" i="52" s="1"/>
  <c r="C106" i="52"/>
  <c r="I106" i="52"/>
  <c r="D106" i="52"/>
  <c r="E106" i="52"/>
  <c r="C199" i="52"/>
  <c r="L199" i="52" a="1"/>
  <c r="L199" i="52" s="1"/>
  <c r="E199" i="52"/>
  <c r="F199" i="52" a="1"/>
  <c r="F199" i="52" s="1"/>
  <c r="D199" i="52"/>
  <c r="I199" i="52"/>
  <c r="I88" i="52"/>
  <c r="E88" i="52"/>
  <c r="D88" i="52"/>
  <c r="L88" i="52" a="1"/>
  <c r="L88" i="52" s="1"/>
  <c r="C88" i="52"/>
  <c r="F88" i="52" a="1"/>
  <c r="F88" i="52" s="1"/>
  <c r="L134" i="52" a="1"/>
  <c r="L134" i="52" s="1"/>
  <c r="I134" i="52"/>
  <c r="D134" i="52"/>
  <c r="F134" i="52" a="1"/>
  <c r="F134" i="52" s="1"/>
  <c r="E134" i="52"/>
  <c r="C134" i="52"/>
  <c r="C12" i="25"/>
  <c r="E12" i="25"/>
  <c r="B12" i="25"/>
  <c r="D12" i="25"/>
  <c r="B57" i="25"/>
  <c r="G57" i="25"/>
  <c r="D57" i="25"/>
  <c r="E57" i="25"/>
  <c r="C57" i="25"/>
  <c r="B21" i="25"/>
  <c r="D21" i="25"/>
  <c r="E21" i="25"/>
  <c r="C21" i="25"/>
  <c r="B8" i="25"/>
  <c r="E8" i="25"/>
  <c r="D8" i="25"/>
  <c r="C8" i="25"/>
  <c r="E69" i="25"/>
  <c r="B69" i="25"/>
  <c r="C69" i="25"/>
  <c r="G69" i="25"/>
  <c r="D69" i="25"/>
  <c r="D34" i="25"/>
  <c r="C34" i="25"/>
  <c r="B34" i="25"/>
  <c r="E34" i="25"/>
  <c r="G34" i="25"/>
  <c r="D198" i="100"/>
  <c r="I198" i="100"/>
  <c r="E198" i="100"/>
  <c r="C198" i="100"/>
  <c r="F198" i="100" a="1"/>
  <c r="F198" i="100" s="1"/>
  <c r="K198" i="100" a="1"/>
  <c r="K198" i="100" s="1"/>
  <c r="C30" i="100"/>
  <c r="F30" i="100" a="1"/>
  <c r="F30" i="100" s="1"/>
  <c r="E30" i="100"/>
  <c r="D174" i="100"/>
  <c r="C174" i="100"/>
  <c r="I174" i="100"/>
  <c r="F174" i="100" a="1"/>
  <c r="F174" i="100" s="1"/>
  <c r="E174" i="100"/>
  <c r="K174" i="100" a="1"/>
  <c r="K174" i="100" s="1"/>
  <c r="D60" i="100"/>
  <c r="I60" i="100"/>
  <c r="C60" i="100"/>
  <c r="F60" i="100" a="1"/>
  <c r="F60" i="100" s="1"/>
  <c r="E60" i="100"/>
  <c r="K60" i="100" a="1"/>
  <c r="K60" i="100" s="1"/>
  <c r="D335" i="100"/>
  <c r="E335" i="100"/>
  <c r="F335" i="100" a="1"/>
  <c r="F335" i="100" s="1"/>
  <c r="I335" i="100"/>
  <c r="C335" i="100"/>
  <c r="K335" i="100" a="1"/>
  <c r="K335" i="100" s="1"/>
  <c r="E218" i="100"/>
  <c r="C218" i="100"/>
  <c r="D218" i="100"/>
  <c r="I218" i="100"/>
  <c r="F218" i="100" a="1"/>
  <c r="F218" i="100" s="1"/>
  <c r="K218" i="100" a="1"/>
  <c r="K218" i="100" s="1"/>
  <c r="C11" i="100"/>
  <c r="E11" i="100"/>
  <c r="F11" i="100" a="1"/>
  <c r="F11" i="100" s="1"/>
  <c r="D69" i="100"/>
  <c r="E69" i="100"/>
  <c r="F69" i="100" a="1"/>
  <c r="F69" i="100" s="1"/>
  <c r="C69" i="100"/>
  <c r="I69" i="100"/>
  <c r="K69" i="100" a="1"/>
  <c r="K69" i="100" s="1"/>
  <c r="F315" i="100" a="1"/>
  <c r="F315" i="100" s="1"/>
  <c r="C315" i="100"/>
  <c r="D315" i="100"/>
  <c r="I315" i="100"/>
  <c r="E315" i="100"/>
  <c r="K315" i="100" a="1"/>
  <c r="K315" i="100" s="1"/>
  <c r="K195" i="100" a="1"/>
  <c r="K195" i="100" s="1"/>
  <c r="E195" i="100"/>
  <c r="D195" i="100"/>
  <c r="C195" i="100"/>
  <c r="F195" i="100" a="1"/>
  <c r="F195" i="100" s="1"/>
  <c r="I195" i="100"/>
  <c r="F262" i="100" a="1"/>
  <c r="F262" i="100" s="1"/>
  <c r="C262" i="100"/>
  <c r="D262" i="100"/>
  <c r="I262" i="100"/>
  <c r="E262" i="100"/>
  <c r="K262" i="100" a="1"/>
  <c r="K262" i="100" s="1"/>
  <c r="C75" i="100"/>
  <c r="F75" i="100" a="1"/>
  <c r="F75" i="100" s="1"/>
  <c r="D75" i="100"/>
  <c r="E75" i="100"/>
  <c r="I75" i="100"/>
  <c r="K75" i="100" a="1"/>
  <c r="K75" i="100" s="1"/>
  <c r="F208" i="100" a="1"/>
  <c r="F208" i="100" s="1"/>
  <c r="E208" i="100"/>
  <c r="C208" i="100"/>
  <c r="I208" i="100"/>
  <c r="D208" i="100"/>
  <c r="K208" i="100" a="1"/>
  <c r="K208" i="100" s="1"/>
  <c r="D126" i="100"/>
  <c r="E126" i="100"/>
  <c r="I126" i="100"/>
  <c r="F126" i="100" a="1"/>
  <c r="F126" i="100" s="1"/>
  <c r="C126" i="100"/>
  <c r="K126" i="100" a="1"/>
  <c r="K126" i="100" s="1"/>
  <c r="F197" i="100" a="1"/>
  <c r="F197" i="100" s="1"/>
  <c r="I197" i="100"/>
  <c r="E197" i="100"/>
  <c r="D197" i="100"/>
  <c r="C197" i="100"/>
  <c r="K197" i="100" a="1"/>
  <c r="K197" i="100" s="1"/>
  <c r="I158" i="100"/>
  <c r="F158" i="100" a="1"/>
  <c r="F158" i="100" s="1"/>
  <c r="C158" i="100"/>
  <c r="E158" i="100"/>
  <c r="D158" i="100"/>
  <c r="K158" i="100" a="1"/>
  <c r="K158" i="100" s="1"/>
  <c r="I182" i="100"/>
  <c r="F182" i="100" a="1"/>
  <c r="F182" i="100" s="1"/>
  <c r="C182" i="100"/>
  <c r="D182" i="100"/>
  <c r="E182" i="100"/>
  <c r="K182" i="100" a="1"/>
  <c r="K182" i="100" s="1"/>
  <c r="F129" i="100" a="1"/>
  <c r="F129" i="100" s="1"/>
  <c r="E129" i="100"/>
  <c r="D129" i="100"/>
  <c r="I129" i="100"/>
  <c r="C129" i="100"/>
  <c r="K129" i="100" a="1"/>
  <c r="K129" i="100" s="1"/>
  <c r="F185" i="100" a="1"/>
  <c r="F185" i="100" s="1"/>
  <c r="C185" i="100"/>
  <c r="D185" i="100"/>
  <c r="E185" i="100"/>
  <c r="I185" i="100"/>
  <c r="K185" i="100" a="1"/>
  <c r="K185" i="100" s="1"/>
  <c r="C131" i="100"/>
  <c r="E131" i="100"/>
  <c r="I131" i="100"/>
  <c r="F131" i="100" a="1"/>
  <c r="F131" i="100" s="1"/>
  <c r="D131" i="100"/>
  <c r="K131" i="100" a="1"/>
  <c r="K131" i="100" s="1"/>
  <c r="I288" i="100"/>
  <c r="C288" i="100"/>
  <c r="F288" i="100" a="1"/>
  <c r="F288" i="100" s="1"/>
  <c r="D288" i="100"/>
  <c r="E288" i="100"/>
  <c r="K288" i="100" a="1"/>
  <c r="K288" i="100" s="1"/>
  <c r="E314" i="100"/>
  <c r="I314" i="100"/>
  <c r="C314" i="100"/>
  <c r="F314" i="100" a="1"/>
  <c r="F314" i="100" s="1"/>
  <c r="D314" i="100"/>
  <c r="K314" i="100" a="1"/>
  <c r="K314" i="100" s="1"/>
  <c r="I279" i="100"/>
  <c r="D279" i="100"/>
  <c r="E279" i="100"/>
  <c r="C279" i="100"/>
  <c r="F279" i="100" a="1"/>
  <c r="F279" i="100" s="1"/>
  <c r="K279" i="100" a="1"/>
  <c r="K279" i="100" s="1"/>
  <c r="I308" i="100"/>
  <c r="E308" i="100"/>
  <c r="F308" i="100" a="1"/>
  <c r="F308" i="100" s="1"/>
  <c r="D308" i="100"/>
  <c r="C308" i="100"/>
  <c r="K308" i="100" a="1"/>
  <c r="K308" i="100" s="1"/>
  <c r="F143" i="100" a="1"/>
  <c r="F143" i="100" s="1"/>
  <c r="C143" i="100"/>
  <c r="E143" i="100"/>
  <c r="I143" i="100"/>
  <c r="D143" i="100"/>
  <c r="K143" i="100" a="1"/>
  <c r="K143" i="100" s="1"/>
  <c r="F36" i="100" a="1"/>
  <c r="F36" i="100" s="1"/>
  <c r="E36" i="100"/>
  <c r="C36" i="100"/>
  <c r="C135" i="100"/>
  <c r="E135" i="100"/>
  <c r="D135" i="100"/>
  <c r="F135" i="100" a="1"/>
  <c r="F135" i="100" s="1"/>
  <c r="I135" i="100"/>
  <c r="K135" i="100" a="1"/>
  <c r="K135" i="100" s="1"/>
  <c r="D340" i="100"/>
  <c r="F340" i="100" a="1"/>
  <c r="F340" i="100" s="1"/>
  <c r="I340" i="100"/>
  <c r="C340" i="100"/>
  <c r="E340" i="100"/>
  <c r="K340" i="100" a="1"/>
  <c r="K340" i="100" s="1"/>
  <c r="D173" i="100"/>
  <c r="C173" i="100"/>
  <c r="F173" i="100" a="1"/>
  <c r="F173" i="100" s="1"/>
  <c r="I173" i="100"/>
  <c r="E173" i="100"/>
  <c r="K173" i="100" a="1"/>
  <c r="K173" i="100" s="1"/>
  <c r="E243" i="100"/>
  <c r="C243" i="100"/>
  <c r="F243" i="100" a="1"/>
  <c r="F243" i="100" s="1"/>
  <c r="I243" i="100"/>
  <c r="D243" i="100"/>
  <c r="K243" i="100" a="1"/>
  <c r="K243" i="100" s="1"/>
  <c r="F118" i="100" a="1"/>
  <c r="F118" i="100" s="1"/>
  <c r="C118" i="100"/>
  <c r="D118" i="100"/>
  <c r="E118" i="100"/>
  <c r="I118" i="100"/>
  <c r="K118" i="100" a="1"/>
  <c r="K118" i="100" s="1"/>
  <c r="F324" i="100" a="1"/>
  <c r="F324" i="100" s="1"/>
  <c r="D324" i="100"/>
  <c r="I324" i="100"/>
  <c r="E324" i="100"/>
  <c r="C324" i="100"/>
  <c r="K324" i="100" a="1"/>
  <c r="K324" i="100" s="1"/>
  <c r="I87" i="100"/>
  <c r="D87" i="100"/>
  <c r="E87" i="100"/>
  <c r="F87" i="100" a="1"/>
  <c r="F87" i="100" s="1"/>
  <c r="C87" i="100"/>
  <c r="K87" i="100" a="1"/>
  <c r="K87" i="100" s="1"/>
  <c r="E163" i="100"/>
  <c r="D163" i="100"/>
  <c r="C163" i="100"/>
  <c r="I163" i="100"/>
  <c r="F163" i="100" a="1"/>
  <c r="F163" i="100" s="1"/>
  <c r="K163" i="100" a="1"/>
  <c r="K163" i="100" s="1"/>
  <c r="C68" i="100"/>
  <c r="I68" i="100"/>
  <c r="D68" i="100"/>
  <c r="F68" i="100" a="1"/>
  <c r="F68" i="100" s="1"/>
  <c r="E68" i="100"/>
  <c r="K68" i="100" a="1"/>
  <c r="K68" i="100" s="1"/>
  <c r="F149" i="100" a="1"/>
  <c r="F149" i="100" s="1"/>
  <c r="C149" i="100"/>
  <c r="D149" i="100"/>
  <c r="I149" i="100"/>
  <c r="E149" i="100"/>
  <c r="K149" i="100" a="1"/>
  <c r="K149" i="100" s="1"/>
  <c r="D65" i="101"/>
  <c r="F65" i="101" a="1"/>
  <c r="F65" i="101" s="1"/>
  <c r="I65" i="101"/>
  <c r="C65" i="101"/>
  <c r="E65" i="101"/>
  <c r="D148" i="101"/>
  <c r="E148" i="101"/>
  <c r="C148" i="101"/>
  <c r="I148" i="101"/>
  <c r="F148" i="101" a="1"/>
  <c r="F148" i="101" s="1"/>
  <c r="K347" i="101" a="1"/>
  <c r="K347" i="101" s="1"/>
  <c r="F347" i="101" a="1"/>
  <c r="F347" i="101" s="1"/>
  <c r="D347" i="101"/>
  <c r="I347" i="101"/>
  <c r="C347" i="101"/>
  <c r="E347" i="101"/>
  <c r="D254" i="101"/>
  <c r="E254" i="101"/>
  <c r="C254" i="101"/>
  <c r="I254" i="101"/>
  <c r="F254" i="101" a="1"/>
  <c r="F254" i="101" s="1"/>
  <c r="D341" i="101"/>
  <c r="I341" i="101"/>
  <c r="F341" i="101" a="1"/>
  <c r="F341" i="101" s="1"/>
  <c r="C341" i="101"/>
  <c r="E341" i="101"/>
  <c r="F240" i="101" a="1"/>
  <c r="F240" i="101" s="1"/>
  <c r="D240" i="101"/>
  <c r="C240" i="101"/>
  <c r="I240" i="101"/>
  <c r="E240" i="101"/>
  <c r="F112" i="101" a="1"/>
  <c r="F112" i="101" s="1"/>
  <c r="E112" i="101"/>
  <c r="C112" i="101"/>
  <c r="D112" i="101"/>
  <c r="I112" i="101"/>
  <c r="I210" i="101"/>
  <c r="D210" i="101"/>
  <c r="C210" i="101"/>
  <c r="E210" i="101"/>
  <c r="F210" i="101" a="1"/>
  <c r="F210" i="101" s="1"/>
  <c r="C237" i="101"/>
  <c r="E237" i="101"/>
  <c r="I237" i="101"/>
  <c r="F237" i="101" a="1"/>
  <c r="F237" i="101" s="1"/>
  <c r="D237" i="101"/>
  <c r="K352" i="101" a="1"/>
  <c r="K352" i="101" s="1"/>
  <c r="I352" i="101"/>
  <c r="D352" i="101"/>
  <c r="C352" i="101"/>
  <c r="F352" i="101" a="1"/>
  <c r="F352" i="101" s="1"/>
  <c r="E352" i="101"/>
  <c r="F277" i="101" a="1"/>
  <c r="F277" i="101" s="1"/>
  <c r="E277" i="101"/>
  <c r="D277" i="101"/>
  <c r="C277" i="101"/>
  <c r="I277" i="101"/>
  <c r="F46" i="101" a="1"/>
  <c r="F46" i="101" s="1"/>
  <c r="C46" i="101"/>
  <c r="I46" i="101"/>
  <c r="D46" i="101"/>
  <c r="E46" i="101"/>
  <c r="D64" i="101"/>
  <c r="I64" i="101"/>
  <c r="E64" i="101"/>
  <c r="F64" i="101" a="1"/>
  <c r="F64" i="101" s="1"/>
  <c r="C64" i="101"/>
  <c r="F62" i="101" a="1"/>
  <c r="F62" i="101" s="1"/>
  <c r="E62" i="101"/>
  <c r="C62" i="101"/>
  <c r="I62" i="101"/>
  <c r="D62" i="101"/>
  <c r="I71" i="101"/>
  <c r="E71" i="101"/>
  <c r="C71" i="101"/>
  <c r="F71" i="101" a="1"/>
  <c r="F71" i="101" s="1"/>
  <c r="D71" i="101"/>
  <c r="D348" i="101"/>
  <c r="K348" i="101" a="1"/>
  <c r="K348" i="101" s="1"/>
  <c r="E348" i="101"/>
  <c r="C348" i="101"/>
  <c r="F348" i="101" a="1"/>
  <c r="F348" i="101" s="1"/>
  <c r="I348" i="101"/>
  <c r="C297" i="101"/>
  <c r="I297" i="101"/>
  <c r="D297" i="101"/>
  <c r="F297" i="101" a="1"/>
  <c r="F297" i="101" s="1"/>
  <c r="E297" i="101"/>
  <c r="C158" i="101"/>
  <c r="I158" i="101"/>
  <c r="F158" i="101" a="1"/>
  <c r="F158" i="101" s="1"/>
  <c r="D158" i="101"/>
  <c r="E158" i="101"/>
  <c r="D101" i="101"/>
  <c r="I101" i="101"/>
  <c r="F101" i="101" a="1"/>
  <c r="F101" i="101" s="1"/>
  <c r="E101" i="101"/>
  <c r="C101" i="101"/>
  <c r="E250" i="101"/>
  <c r="D250" i="101"/>
  <c r="F250" i="101" a="1"/>
  <c r="F250" i="101" s="1"/>
  <c r="I250" i="101"/>
  <c r="C250" i="101"/>
  <c r="I318" i="101"/>
  <c r="E318" i="101"/>
  <c r="F318" i="101" a="1"/>
  <c r="F318" i="101" s="1"/>
  <c r="C318" i="101"/>
  <c r="D318" i="101"/>
  <c r="F311" i="101" a="1"/>
  <c r="F311" i="101" s="1"/>
  <c r="E311" i="101"/>
  <c r="C311" i="101"/>
  <c r="D311" i="101"/>
  <c r="I311" i="101"/>
  <c r="F52" i="101" a="1"/>
  <c r="F52" i="101" s="1"/>
  <c r="I52" i="101"/>
  <c r="C52" i="101"/>
  <c r="E52" i="101"/>
  <c r="D52" i="101"/>
  <c r="E199" i="101"/>
  <c r="F199" i="101" a="1"/>
  <c r="F199" i="101" s="1"/>
  <c r="I199" i="101"/>
  <c r="D199" i="101"/>
  <c r="C199" i="101"/>
  <c r="F302" i="101" a="1"/>
  <c r="F302" i="101" s="1"/>
  <c r="C302" i="101"/>
  <c r="I302" i="101"/>
  <c r="E302" i="101"/>
  <c r="D302" i="101"/>
  <c r="I57" i="101"/>
  <c r="E57" i="101"/>
  <c r="F57" i="101" a="1"/>
  <c r="F57" i="101" s="1"/>
  <c r="C57" i="101"/>
  <c r="D57" i="101"/>
  <c r="I23" i="101"/>
  <c r="F23" i="101" a="1"/>
  <c r="F23" i="101" s="1"/>
  <c r="E23" i="101"/>
  <c r="C23" i="101"/>
  <c r="D23" i="101"/>
  <c r="E217" i="101"/>
  <c r="F217" i="101" a="1"/>
  <c r="F217" i="101" s="1"/>
  <c r="I217" i="101"/>
  <c r="C217" i="101"/>
  <c r="D217" i="101"/>
  <c r="E183" i="101"/>
  <c r="D183" i="101"/>
  <c r="C183" i="101"/>
  <c r="F183" i="101" a="1"/>
  <c r="F183" i="101" s="1"/>
  <c r="I183" i="101"/>
  <c r="E63" i="101"/>
  <c r="D63" i="101"/>
  <c r="F63" i="101" a="1"/>
  <c r="F63" i="101" s="1"/>
  <c r="C63" i="101"/>
  <c r="I63" i="101"/>
  <c r="D168" i="101"/>
  <c r="F168" i="101" a="1"/>
  <c r="F168" i="101" s="1"/>
  <c r="I168" i="101"/>
  <c r="C168" i="101"/>
  <c r="E168" i="101"/>
  <c r="I98" i="101"/>
  <c r="E98" i="101"/>
  <c r="C98" i="101"/>
  <c r="F98" i="101" a="1"/>
  <c r="F98" i="101" s="1"/>
  <c r="D98" i="101"/>
  <c r="I224" i="101"/>
  <c r="D224" i="101"/>
  <c r="E224" i="101"/>
  <c r="F224" i="101" a="1"/>
  <c r="F224" i="101" s="1"/>
  <c r="C224" i="101"/>
  <c r="D222" i="101"/>
  <c r="I222" i="101"/>
  <c r="C222" i="101"/>
  <c r="E222" i="101"/>
  <c r="F222" i="101" a="1"/>
  <c r="F222" i="101" s="1"/>
  <c r="C251" i="101"/>
  <c r="E251" i="101"/>
  <c r="F251" i="101" a="1"/>
  <c r="F251" i="101" s="1"/>
  <c r="D251" i="101"/>
  <c r="I251" i="101"/>
  <c r="I86" i="101"/>
  <c r="C86" i="101"/>
  <c r="D86" i="101"/>
  <c r="E86" i="101"/>
  <c r="F86" i="101" a="1"/>
  <c r="F86" i="101" s="1"/>
  <c r="F20" i="101" a="1"/>
  <c r="F20" i="101" s="1"/>
  <c r="E20" i="101"/>
  <c r="I20" i="101"/>
  <c r="D20" i="101"/>
  <c r="C20" i="101"/>
  <c r="I108" i="101"/>
  <c r="E108" i="101"/>
  <c r="F108" i="101" a="1"/>
  <c r="F108" i="101" s="1"/>
  <c r="C108" i="101"/>
  <c r="D108" i="101"/>
  <c r="E59" i="34"/>
  <c r="D59" i="34"/>
  <c r="C59" i="34"/>
  <c r="G59" i="34"/>
  <c r="B59" i="34"/>
  <c r="E25" i="34"/>
  <c r="C25" i="34"/>
  <c r="D25" i="34"/>
  <c r="G25" i="34"/>
  <c r="B25" i="34"/>
  <c r="G74" i="34"/>
  <c r="C74" i="34"/>
  <c r="B74" i="34"/>
  <c r="E74" i="34"/>
  <c r="D74" i="34"/>
  <c r="G34" i="34"/>
  <c r="D34" i="34"/>
  <c r="E34" i="34"/>
  <c r="C34" i="34"/>
  <c r="B34" i="34"/>
  <c r="C78" i="34"/>
  <c r="G78" i="34"/>
  <c r="D78" i="34"/>
  <c r="B78" i="34"/>
  <c r="E78" i="34"/>
  <c r="C55" i="22"/>
  <c r="E55" i="22"/>
  <c r="B55" i="22"/>
  <c r="D55" i="22"/>
  <c r="G55" i="22"/>
  <c r="G36" i="22"/>
  <c r="B36" i="22"/>
  <c r="D36" i="22"/>
  <c r="E36" i="22"/>
  <c r="C36" i="22"/>
  <c r="D14" i="22"/>
  <c r="C14" i="22"/>
  <c r="B14" i="22"/>
  <c r="D33" i="51"/>
  <c r="C33" i="51"/>
  <c r="I33" i="51"/>
  <c r="E33" i="51"/>
  <c r="K33" i="51" a="1"/>
  <c r="K33" i="51" s="1"/>
  <c r="F33" i="51" a="1"/>
  <c r="F33" i="51" s="1"/>
  <c r="C63" i="51"/>
  <c r="E63" i="51"/>
  <c r="F63" i="51" a="1"/>
  <c r="F63" i="51" s="1"/>
  <c r="K63" i="51" a="1"/>
  <c r="K63" i="51" s="1"/>
  <c r="I63" i="51"/>
  <c r="D63" i="51"/>
  <c r="K50" i="51" a="1"/>
  <c r="K50" i="51" s="1"/>
  <c r="I50" i="51"/>
  <c r="E50" i="51"/>
  <c r="C50" i="51"/>
  <c r="D50" i="51"/>
  <c r="F50" i="51" a="1"/>
  <c r="F50" i="51" s="1"/>
  <c r="F80" i="51" a="1"/>
  <c r="F80" i="51" s="1"/>
  <c r="E80" i="51"/>
  <c r="C80" i="51"/>
  <c r="K80" i="51" a="1"/>
  <c r="K80" i="51" s="1"/>
  <c r="I80" i="51"/>
  <c r="D80" i="51"/>
  <c r="E26" i="51"/>
  <c r="K26" i="51" a="1"/>
  <c r="K26" i="51" s="1"/>
  <c r="D26" i="51"/>
  <c r="C26" i="51"/>
  <c r="F26" i="51" a="1"/>
  <c r="F26" i="51" s="1"/>
  <c r="I26" i="51"/>
  <c r="K37" i="51" a="1"/>
  <c r="K37" i="51" s="1"/>
  <c r="D37" i="51"/>
  <c r="E37" i="51"/>
  <c r="I37" i="51"/>
  <c r="F37" i="51" a="1"/>
  <c r="F37" i="51" s="1"/>
  <c r="C37" i="51"/>
  <c r="C70" i="51"/>
  <c r="F70" i="51" a="1"/>
  <c r="F70" i="51" s="1"/>
  <c r="E70" i="51"/>
  <c r="K70" i="51" a="1"/>
  <c r="K70" i="51" s="1"/>
  <c r="D70" i="51"/>
  <c r="I70" i="51"/>
  <c r="C9" i="24"/>
  <c r="D9" i="24"/>
  <c r="B9" i="24"/>
  <c r="E9" i="24"/>
  <c r="D65" i="24"/>
  <c r="G65" i="24"/>
  <c r="E65" i="24"/>
  <c r="B65" i="24"/>
  <c r="C65" i="24"/>
  <c r="D51" i="24"/>
  <c r="C51" i="24"/>
  <c r="E51" i="24"/>
  <c r="G51" i="24"/>
  <c r="B51" i="24"/>
  <c r="D30" i="24"/>
  <c r="E30" i="24"/>
  <c r="C30" i="24"/>
  <c r="B30" i="24"/>
  <c r="B25" i="24"/>
  <c r="E25" i="24"/>
  <c r="C25" i="24"/>
  <c r="E6" i="24"/>
  <c r="B6" i="24"/>
  <c r="C6" i="24"/>
  <c r="A3" i="24"/>
  <c r="D6" i="24"/>
  <c r="B77" i="24"/>
  <c r="E77" i="24"/>
  <c r="C77" i="24"/>
  <c r="G77" i="24"/>
  <c r="D77" i="24"/>
  <c r="C35" i="24"/>
  <c r="B35" i="24"/>
  <c r="D35" i="24"/>
  <c r="E35" i="24"/>
  <c r="J197" i="53"/>
  <c r="F197" i="53"/>
  <c r="U197" i="53" s="1"/>
  <c r="D197" i="53"/>
  <c r="G197" i="53" a="1"/>
  <c r="G197" i="53" s="1"/>
  <c r="E197" i="53"/>
  <c r="D137" i="53"/>
  <c r="E137" i="53"/>
  <c r="J137" i="53"/>
  <c r="G137" i="53" a="1"/>
  <c r="G137" i="53" s="1"/>
  <c r="F137" i="53"/>
  <c r="U137" i="53" s="1"/>
  <c r="D293" i="53"/>
  <c r="E293" i="53"/>
  <c r="G293" i="53" a="1"/>
  <c r="G293" i="53" s="1"/>
  <c r="F293" i="53"/>
  <c r="U293" i="53" s="1"/>
  <c r="J293" i="53"/>
  <c r="J129" i="53"/>
  <c r="E129" i="53"/>
  <c r="G129" i="53" a="1"/>
  <c r="G129" i="53" s="1"/>
  <c r="F129" i="53"/>
  <c r="U129" i="53" s="1"/>
  <c r="D129" i="53"/>
  <c r="F215" i="53"/>
  <c r="U215" i="53" s="1"/>
  <c r="E215" i="53"/>
  <c r="J215" i="53"/>
  <c r="G215" i="53" a="1"/>
  <c r="G215" i="53" s="1"/>
  <c r="D215" i="53"/>
  <c r="D210" i="53"/>
  <c r="J210" i="53"/>
  <c r="F210" i="53"/>
  <c r="U210" i="53" s="1"/>
  <c r="G210" i="53" a="1"/>
  <c r="G210" i="53" s="1"/>
  <c r="E210" i="53"/>
  <c r="J126" i="53"/>
  <c r="E126" i="53"/>
  <c r="D126" i="53"/>
  <c r="G126" i="53" a="1"/>
  <c r="G126" i="53" s="1"/>
  <c r="F126" i="53"/>
  <c r="U126" i="53" s="1"/>
  <c r="F155" i="53"/>
  <c r="U155" i="53" s="1"/>
  <c r="G155" i="53" a="1"/>
  <c r="G155" i="53" s="1"/>
  <c r="J155" i="53"/>
  <c r="D155" i="53"/>
  <c r="E155" i="53"/>
  <c r="F251" i="53"/>
  <c r="U251" i="53" s="1"/>
  <c r="D251" i="53"/>
  <c r="G251" i="53" a="1"/>
  <c r="G251" i="53" s="1"/>
  <c r="J251" i="53"/>
  <c r="E251" i="53"/>
  <c r="G213" i="53" a="1"/>
  <c r="G213" i="53" s="1"/>
  <c r="D213" i="53"/>
  <c r="J213" i="53"/>
  <c r="F213" i="53"/>
  <c r="U213" i="53" s="1"/>
  <c r="E213" i="53"/>
  <c r="F262" i="53"/>
  <c r="U262" i="53" s="1"/>
  <c r="D262" i="53"/>
  <c r="J262" i="53"/>
  <c r="E262" i="53"/>
  <c r="G262" i="53" a="1"/>
  <c r="G262" i="53" s="1"/>
  <c r="D171" i="53"/>
  <c r="J171" i="53"/>
  <c r="F171" i="53"/>
  <c r="U171" i="53" s="1"/>
  <c r="E171" i="53"/>
  <c r="G171" i="53" a="1"/>
  <c r="G171" i="53" s="1"/>
  <c r="F252" i="53"/>
  <c r="U252" i="53" s="1"/>
  <c r="J252" i="53"/>
  <c r="D252" i="53"/>
  <c r="G252" i="53" a="1"/>
  <c r="G252" i="53" s="1"/>
  <c r="E252" i="53"/>
  <c r="J82" i="53"/>
  <c r="D82" i="53"/>
  <c r="F82" i="53"/>
  <c r="U82" i="53" s="1"/>
  <c r="G82" i="53" a="1"/>
  <c r="G82" i="53" s="1"/>
  <c r="E82" i="53"/>
  <c r="G121" i="53" a="1"/>
  <c r="G121" i="53" s="1"/>
  <c r="J121" i="53"/>
  <c r="D121" i="53"/>
  <c r="E121" i="53"/>
  <c r="F121" i="53"/>
  <c r="U121" i="53" s="1"/>
  <c r="E348" i="53"/>
  <c r="F348" i="53"/>
  <c r="U348" i="53" s="1"/>
  <c r="D348" i="53"/>
  <c r="G348" i="53" a="1"/>
  <c r="G348" i="53" s="1"/>
  <c r="J348" i="53"/>
  <c r="G140" i="53" a="1"/>
  <c r="G140" i="53" s="1"/>
  <c r="D140" i="53"/>
  <c r="E140" i="53"/>
  <c r="J140" i="53"/>
  <c r="F140" i="53"/>
  <c r="U140" i="53" s="1"/>
  <c r="F8" i="53"/>
  <c r="D8" i="53"/>
  <c r="G8" i="53" a="1"/>
  <c r="G8" i="53" s="1"/>
  <c r="F128" i="53"/>
  <c r="U128" i="53" s="1"/>
  <c r="D128" i="53"/>
  <c r="J128" i="53"/>
  <c r="E128" i="53"/>
  <c r="G128" i="53" a="1"/>
  <c r="G128" i="53" s="1"/>
  <c r="D319" i="53"/>
  <c r="E319" i="53"/>
  <c r="G319" i="53" a="1"/>
  <c r="G319" i="53" s="1"/>
  <c r="J319" i="53"/>
  <c r="F319" i="53"/>
  <c r="U319" i="53" s="1"/>
  <c r="E231" i="53"/>
  <c r="D231" i="53"/>
  <c r="J231" i="53"/>
  <c r="G231" i="53" a="1"/>
  <c r="G231" i="53" s="1"/>
  <c r="F231" i="53"/>
  <c r="U231" i="53" s="1"/>
  <c r="F47" i="50"/>
  <c r="E47" i="50"/>
  <c r="D47" i="50"/>
  <c r="G47" i="50" a="1"/>
  <c r="G47" i="50" s="1"/>
  <c r="F86" i="50"/>
  <c r="U86" i="50" s="1"/>
  <c r="E86" i="50"/>
  <c r="J86" i="50"/>
  <c r="G86" i="50" a="1"/>
  <c r="G86" i="50" s="1"/>
  <c r="D86" i="50"/>
  <c r="J133" i="50"/>
  <c r="F133" i="50"/>
  <c r="U133" i="50" s="1"/>
  <c r="D133" i="50"/>
  <c r="E133" i="50"/>
  <c r="G133" i="50" a="1"/>
  <c r="G133" i="50" s="1"/>
  <c r="D215" i="50"/>
  <c r="G215" i="50" a="1"/>
  <c r="G215" i="50" s="1"/>
  <c r="F215" i="50"/>
  <c r="U215" i="50" s="1"/>
  <c r="E215" i="50"/>
  <c r="J215" i="50"/>
  <c r="G204" i="50" a="1"/>
  <c r="G204" i="50" s="1"/>
  <c r="E204" i="50"/>
  <c r="D204" i="50"/>
  <c r="F204" i="50"/>
  <c r="U204" i="50" s="1"/>
  <c r="J204" i="50"/>
  <c r="E355" i="50"/>
  <c r="J355" i="50"/>
  <c r="F355" i="50"/>
  <c r="U355" i="50" s="1"/>
  <c r="D355" i="50"/>
  <c r="G355" i="50" a="1"/>
  <c r="G355" i="50" s="1"/>
  <c r="G242" i="50" a="1"/>
  <c r="G242" i="50" s="1"/>
  <c r="F242" i="50"/>
  <c r="U242" i="50" s="1"/>
  <c r="J242" i="50"/>
  <c r="D242" i="50"/>
  <c r="E242" i="50"/>
  <c r="E303" i="50"/>
  <c r="D303" i="50"/>
  <c r="F303" i="50"/>
  <c r="U303" i="50" s="1"/>
  <c r="J303" i="50"/>
  <c r="G303" i="50" a="1"/>
  <c r="G303" i="50" s="1"/>
  <c r="G304" i="50" a="1"/>
  <c r="G304" i="50" s="1"/>
  <c r="J304" i="50"/>
  <c r="E304" i="50"/>
  <c r="F304" i="50"/>
  <c r="U304" i="50" s="1"/>
  <c r="D304" i="50"/>
  <c r="E57" i="50"/>
  <c r="F57" i="50"/>
  <c r="U57" i="50" s="1"/>
  <c r="J57" i="50"/>
  <c r="D57" i="50"/>
  <c r="G57" i="50" a="1"/>
  <c r="G57" i="50" s="1"/>
  <c r="E139" i="50"/>
  <c r="D139" i="50"/>
  <c r="F139" i="50"/>
  <c r="U139" i="50" s="1"/>
  <c r="J139" i="50"/>
  <c r="G139" i="50" a="1"/>
  <c r="G139" i="50" s="1"/>
  <c r="D30" i="50"/>
  <c r="F30" i="50"/>
  <c r="E30" i="50"/>
  <c r="G30" i="50" a="1"/>
  <c r="G30" i="50" s="1"/>
  <c r="D161" i="50"/>
  <c r="J161" i="50"/>
  <c r="F161" i="50"/>
  <c r="U161" i="50" s="1"/>
  <c r="E161" i="50"/>
  <c r="G161" i="50" a="1"/>
  <c r="G161" i="50" s="1"/>
  <c r="D244" i="50"/>
  <c r="F244" i="50"/>
  <c r="U244" i="50" s="1"/>
  <c r="E244" i="50"/>
  <c r="G244" i="50" a="1"/>
  <c r="G244" i="50" s="1"/>
  <c r="J244" i="50"/>
  <c r="E126" i="50"/>
  <c r="J126" i="50"/>
  <c r="G126" i="50" a="1"/>
  <c r="G126" i="50" s="1"/>
  <c r="D126" i="50"/>
  <c r="F126" i="50"/>
  <c r="U126" i="50" s="1"/>
  <c r="F210" i="50"/>
  <c r="U210" i="50" s="1"/>
  <c r="D210" i="50"/>
  <c r="E210" i="50"/>
  <c r="J210" i="50"/>
  <c r="G210" i="50" a="1"/>
  <c r="G210" i="50" s="1"/>
  <c r="E326" i="50"/>
  <c r="J326" i="50"/>
  <c r="F326" i="50"/>
  <c r="U326" i="50" s="1"/>
  <c r="D326" i="50"/>
  <c r="G326" i="50" a="1"/>
  <c r="G326" i="50" s="1"/>
  <c r="F200" i="50"/>
  <c r="U200" i="50" s="1"/>
  <c r="D200" i="50"/>
  <c r="E200" i="50"/>
  <c r="G200" i="50" a="1"/>
  <c r="G200" i="50" s="1"/>
  <c r="J200" i="50"/>
  <c r="E91" i="50"/>
  <c r="G91" i="50" a="1"/>
  <c r="G91" i="50" s="1"/>
  <c r="J91" i="50"/>
  <c r="D91" i="50"/>
  <c r="F91" i="50"/>
  <c r="U91" i="50" s="1"/>
  <c r="F306" i="50"/>
  <c r="U306" i="50" s="1"/>
  <c r="J306" i="50"/>
  <c r="G306" i="50" a="1"/>
  <c r="G306" i="50" s="1"/>
  <c r="E306" i="50"/>
  <c r="D306" i="50"/>
  <c r="D92" i="50"/>
  <c r="G92" i="50" a="1"/>
  <c r="G92" i="50" s="1"/>
  <c r="F92" i="50"/>
  <c r="U92" i="50" s="1"/>
  <c r="J92" i="50"/>
  <c r="E92" i="50"/>
  <c r="F109" i="50"/>
  <c r="U109" i="50" s="1"/>
  <c r="E109" i="50"/>
  <c r="D109" i="50"/>
  <c r="G109" i="50" a="1"/>
  <c r="G109" i="50" s="1"/>
  <c r="J109" i="50"/>
  <c r="F298" i="50"/>
  <c r="U298" i="50" s="1"/>
  <c r="E298" i="50"/>
  <c r="G298" i="50" a="1"/>
  <c r="G298" i="50" s="1"/>
  <c r="D298" i="50"/>
  <c r="J298" i="50"/>
  <c r="C41" i="33"/>
  <c r="B41" i="33"/>
  <c r="E41" i="33"/>
  <c r="G41" i="33"/>
  <c r="D41" i="33"/>
  <c r="C37" i="33"/>
  <c r="E37" i="33"/>
  <c r="G37" i="33"/>
  <c r="D37" i="33"/>
  <c r="B37" i="33"/>
  <c r="G32" i="33"/>
  <c r="E32" i="33"/>
  <c r="D32" i="33"/>
  <c r="B32" i="33"/>
  <c r="C32" i="33"/>
  <c r="B73" i="33"/>
  <c r="E73" i="33"/>
  <c r="D73" i="33"/>
  <c r="C73" i="33"/>
  <c r="G73" i="33"/>
  <c r="D48" i="33"/>
  <c r="E48" i="33"/>
  <c r="C48" i="33"/>
  <c r="B48" i="33"/>
  <c r="G48" i="33"/>
  <c r="E52" i="33"/>
  <c r="B52" i="33"/>
  <c r="C52" i="33"/>
  <c r="D52" i="33"/>
  <c r="G52" i="33"/>
  <c r="I81" i="49"/>
  <c r="E81" i="49"/>
  <c r="D81" i="49"/>
  <c r="C81" i="49"/>
  <c r="F81" i="49" a="1"/>
  <c r="F81" i="49" s="1"/>
  <c r="K81" i="49" a="1"/>
  <c r="K81" i="49" s="1"/>
  <c r="C316" i="49"/>
  <c r="I316" i="49"/>
  <c r="F316" i="49" a="1"/>
  <c r="F316" i="49" s="1"/>
  <c r="E316" i="49"/>
  <c r="D316" i="49"/>
  <c r="K316" i="49" a="1"/>
  <c r="K316" i="49" s="1"/>
  <c r="C239" i="49"/>
  <c r="E239" i="49"/>
  <c r="I239" i="49"/>
  <c r="D239" i="49"/>
  <c r="F239" i="49" a="1"/>
  <c r="F239" i="49" s="1"/>
  <c r="K239" i="49" a="1"/>
  <c r="K239" i="49" s="1"/>
  <c r="D327" i="49"/>
  <c r="E327" i="49"/>
  <c r="I327" i="49"/>
  <c r="F327" i="49" a="1"/>
  <c r="F327" i="49" s="1"/>
  <c r="C327" i="49"/>
  <c r="K327" i="49" a="1"/>
  <c r="K327" i="49" s="1"/>
  <c r="D246" i="49"/>
  <c r="C246" i="49"/>
  <c r="F246" i="49" a="1"/>
  <c r="F246" i="49" s="1"/>
  <c r="E246" i="49"/>
  <c r="I246" i="49"/>
  <c r="K246" i="49" a="1"/>
  <c r="K246" i="49" s="1"/>
  <c r="E85" i="49"/>
  <c r="I85" i="49"/>
  <c r="D85" i="49"/>
  <c r="F85" i="49" a="1"/>
  <c r="F85" i="49" s="1"/>
  <c r="C85" i="49"/>
  <c r="K85" i="49" a="1"/>
  <c r="K85" i="49" s="1"/>
  <c r="D147" i="49"/>
  <c r="I147" i="49"/>
  <c r="C147" i="49"/>
  <c r="F147" i="49" a="1"/>
  <c r="F147" i="49" s="1"/>
  <c r="E147" i="49"/>
  <c r="K147" i="49" a="1"/>
  <c r="K147" i="49" s="1"/>
  <c r="I164" i="49"/>
  <c r="F164" i="49" a="1"/>
  <c r="F164" i="49" s="1"/>
  <c r="C164" i="49"/>
  <c r="E164" i="49"/>
  <c r="D164" i="49"/>
  <c r="K164" i="49" a="1"/>
  <c r="K164" i="49" s="1"/>
  <c r="D210" i="49"/>
  <c r="E210" i="49"/>
  <c r="I210" i="49"/>
  <c r="F210" i="49" a="1"/>
  <c r="F210" i="49" s="1"/>
  <c r="C210" i="49"/>
  <c r="K210" i="49" a="1"/>
  <c r="K210" i="49" s="1"/>
  <c r="C334" i="49"/>
  <c r="E334" i="49"/>
  <c r="I334" i="49"/>
  <c r="F334" i="49" a="1"/>
  <c r="F334" i="49" s="1"/>
  <c r="D334" i="49"/>
  <c r="K334" i="49" a="1"/>
  <c r="K334" i="49" s="1"/>
  <c r="F138" i="49" a="1"/>
  <c r="F138" i="49" s="1"/>
  <c r="I138" i="49"/>
  <c r="D138" i="49"/>
  <c r="C138" i="49"/>
  <c r="E138" i="49"/>
  <c r="K138" i="49" a="1"/>
  <c r="K138" i="49" s="1"/>
  <c r="C281" i="49"/>
  <c r="E281" i="49"/>
  <c r="F281" i="49" a="1"/>
  <c r="F281" i="49" s="1"/>
  <c r="I281" i="49"/>
  <c r="D281" i="49"/>
  <c r="K281" i="49" a="1"/>
  <c r="K281" i="49" s="1"/>
  <c r="F301" i="49" a="1"/>
  <c r="F301" i="49" s="1"/>
  <c r="D301" i="49"/>
  <c r="E301" i="49"/>
  <c r="I301" i="49"/>
  <c r="C301" i="49"/>
  <c r="K301" i="49" a="1"/>
  <c r="K301" i="49" s="1"/>
  <c r="C62" i="49"/>
  <c r="E62" i="49"/>
  <c r="F62" i="49" a="1"/>
  <c r="F62" i="49" s="1"/>
  <c r="D62" i="49"/>
  <c r="I62" i="49"/>
  <c r="K62" i="49" a="1"/>
  <c r="K62" i="49" s="1"/>
  <c r="E139" i="49"/>
  <c r="I139" i="49"/>
  <c r="C139" i="49"/>
  <c r="D139" i="49"/>
  <c r="F139" i="49" a="1"/>
  <c r="F139" i="49" s="1"/>
  <c r="K139" i="49" a="1"/>
  <c r="K139" i="49" s="1"/>
  <c r="D206" i="49"/>
  <c r="I206" i="49"/>
  <c r="C206" i="49"/>
  <c r="E206" i="49"/>
  <c r="F206" i="49" a="1"/>
  <c r="F206" i="49" s="1"/>
  <c r="K206" i="49" a="1"/>
  <c r="K206" i="49" s="1"/>
  <c r="C127" i="49"/>
  <c r="D127" i="49"/>
  <c r="E127" i="49"/>
  <c r="F127" i="49" a="1"/>
  <c r="F127" i="49" s="1"/>
  <c r="I127" i="49"/>
  <c r="K127" i="49" a="1"/>
  <c r="K127" i="49" s="1"/>
  <c r="F6" i="49" a="1"/>
  <c r="F6" i="49" s="1"/>
  <c r="D6" i="49"/>
  <c r="C6" i="49"/>
  <c r="E6" i="49"/>
  <c r="E204" i="49"/>
  <c r="C204" i="49"/>
  <c r="D204" i="49"/>
  <c r="F204" i="49" a="1"/>
  <c r="F204" i="49" s="1"/>
  <c r="I204" i="49"/>
  <c r="K204" i="49" a="1"/>
  <c r="K204" i="49" s="1"/>
  <c r="F258" i="49" a="1"/>
  <c r="F258" i="49" s="1"/>
  <c r="C258" i="49"/>
  <c r="E258" i="49"/>
  <c r="I258" i="49"/>
  <c r="D258" i="49"/>
  <c r="K258" i="49" a="1"/>
  <c r="K258" i="49" s="1"/>
  <c r="I65" i="49"/>
  <c r="D65" i="49"/>
  <c r="C65" i="49"/>
  <c r="E65" i="49"/>
  <c r="F65" i="49" a="1"/>
  <c r="F65" i="49" s="1"/>
  <c r="K65" i="49" a="1"/>
  <c r="K65" i="49" s="1"/>
  <c r="I253" i="49"/>
  <c r="F253" i="49" a="1"/>
  <c r="F253" i="49" s="1"/>
  <c r="E253" i="49"/>
  <c r="C253" i="49"/>
  <c r="D253" i="49"/>
  <c r="K253" i="49" a="1"/>
  <c r="K253" i="49" s="1"/>
  <c r="D215" i="49"/>
  <c r="C215" i="49"/>
  <c r="E215" i="49"/>
  <c r="F215" i="49" a="1"/>
  <c r="F215" i="49" s="1"/>
  <c r="I215" i="49"/>
  <c r="K215" i="49" a="1"/>
  <c r="K215" i="49" s="1"/>
  <c r="I64" i="49"/>
  <c r="E64" i="49"/>
  <c r="C64" i="49"/>
  <c r="D64" i="49"/>
  <c r="F64" i="49" a="1"/>
  <c r="F64" i="49" s="1"/>
  <c r="K64" i="49" a="1"/>
  <c r="K64" i="49" s="1"/>
  <c r="E269" i="49"/>
  <c r="I269" i="49"/>
  <c r="D269" i="49"/>
  <c r="C269" i="49"/>
  <c r="F269" i="49" a="1"/>
  <c r="F269" i="49" s="1"/>
  <c r="K269" i="49" a="1"/>
  <c r="K269" i="49" s="1"/>
  <c r="F214" i="49" a="1"/>
  <c r="F214" i="49" s="1"/>
  <c r="E214" i="49"/>
  <c r="C214" i="49"/>
  <c r="D214" i="49"/>
  <c r="I214" i="49"/>
  <c r="K214" i="49" a="1"/>
  <c r="K214" i="49" s="1"/>
  <c r="F349" i="49" a="1"/>
  <c r="F349" i="49" s="1"/>
  <c r="I349" i="49"/>
  <c r="E349" i="49"/>
  <c r="C349" i="49"/>
  <c r="D349" i="49"/>
  <c r="K349" i="49" a="1"/>
  <c r="K349" i="49" s="1"/>
  <c r="I120" i="49"/>
  <c r="D120" i="49"/>
  <c r="F120" i="49" a="1"/>
  <c r="F120" i="49" s="1"/>
  <c r="E120" i="49"/>
  <c r="C120" i="49"/>
  <c r="K120" i="49" a="1"/>
  <c r="K120" i="49" s="1"/>
  <c r="E190" i="49"/>
  <c r="F190" i="49" a="1"/>
  <c r="F190" i="49" s="1"/>
  <c r="I190" i="49"/>
  <c r="C190" i="49"/>
  <c r="D190" i="49"/>
  <c r="K190" i="49" a="1"/>
  <c r="K190" i="49" s="1"/>
  <c r="C232" i="49"/>
  <c r="F232" i="49" a="1"/>
  <c r="F232" i="49" s="1"/>
  <c r="E232" i="49"/>
  <c r="I232" i="49"/>
  <c r="D232" i="49"/>
  <c r="K232" i="49" a="1"/>
  <c r="K232" i="49" s="1"/>
  <c r="K244" i="49" a="1"/>
  <c r="K244" i="49" s="1"/>
  <c r="D244" i="49"/>
  <c r="F244" i="49" a="1"/>
  <c r="F244" i="49" s="1"/>
  <c r="C244" i="49"/>
  <c r="I244" i="49"/>
  <c r="E244" i="49"/>
  <c r="E218" i="49"/>
  <c r="I218" i="49"/>
  <c r="F218" i="49" a="1"/>
  <c r="F218" i="49" s="1"/>
  <c r="D218" i="49"/>
  <c r="C218" i="49"/>
  <c r="K218" i="49" a="1"/>
  <c r="K218" i="49" s="1"/>
  <c r="D177" i="49"/>
  <c r="E177" i="49"/>
  <c r="I177" i="49"/>
  <c r="C177" i="49"/>
  <c r="F177" i="49" a="1"/>
  <c r="F177" i="49" s="1"/>
  <c r="K177" i="49" a="1"/>
  <c r="K177" i="49" s="1"/>
  <c r="E282" i="49"/>
  <c r="D282" i="49"/>
  <c r="F282" i="49" a="1"/>
  <c r="F282" i="49" s="1"/>
  <c r="C282" i="49"/>
  <c r="I282" i="49"/>
  <c r="K282" i="49" a="1"/>
  <c r="K282" i="49" s="1"/>
  <c r="I208" i="49"/>
  <c r="E208" i="49"/>
  <c r="C208" i="49"/>
  <c r="F208" i="49" a="1"/>
  <c r="F208" i="49" s="1"/>
  <c r="D208" i="49"/>
  <c r="K208" i="49" a="1"/>
  <c r="K208" i="49" s="1"/>
  <c r="G83" i="91"/>
  <c r="B83" i="91"/>
  <c r="C83" i="91"/>
  <c r="E83" i="91"/>
  <c r="D83" i="91"/>
  <c r="C51" i="91"/>
  <c r="D51" i="91"/>
  <c r="B51" i="91"/>
  <c r="E51" i="91"/>
  <c r="G51" i="91"/>
  <c r="E25" i="91"/>
  <c r="D25" i="91"/>
  <c r="G25" i="91"/>
  <c r="B25" i="91"/>
  <c r="C25" i="91"/>
  <c r="C41" i="91"/>
  <c r="B41" i="91"/>
  <c r="D41" i="91"/>
  <c r="G41" i="91"/>
  <c r="E41" i="91"/>
  <c r="D24" i="91"/>
  <c r="C24" i="91"/>
  <c r="B24" i="91"/>
  <c r="G24" i="91"/>
  <c r="E24" i="91"/>
  <c r="G73" i="91"/>
  <c r="D73" i="91"/>
  <c r="B73" i="91"/>
  <c r="E73" i="91"/>
  <c r="C73" i="91"/>
  <c r="G66" i="19"/>
  <c r="D66" i="19"/>
  <c r="E66" i="19"/>
  <c r="C66" i="19"/>
  <c r="B66" i="19"/>
  <c r="C61" i="19"/>
  <c r="D61" i="19"/>
  <c r="G61" i="19"/>
  <c r="B61" i="19"/>
  <c r="E61" i="19"/>
  <c r="G70" i="19"/>
  <c r="E70" i="19"/>
  <c r="B70" i="19"/>
  <c r="C70" i="19"/>
  <c r="D70" i="19"/>
  <c r="B80" i="19"/>
  <c r="G80" i="19"/>
  <c r="E80" i="19"/>
  <c r="C80" i="19"/>
  <c r="D80" i="19"/>
  <c r="B53" i="19"/>
  <c r="G53" i="19"/>
  <c r="E53" i="19"/>
  <c r="C53" i="19"/>
  <c r="D53" i="19"/>
  <c r="G45" i="19"/>
  <c r="B45" i="19"/>
  <c r="D45" i="19"/>
  <c r="C45" i="19"/>
  <c r="E45" i="19"/>
  <c r="F208" i="52" a="1"/>
  <c r="F208" i="52" s="1"/>
  <c r="C208" i="52"/>
  <c r="E208" i="52"/>
  <c r="L208" i="52" a="1"/>
  <c r="L208" i="52" s="1"/>
  <c r="D208" i="52"/>
  <c r="I208" i="52"/>
  <c r="L278" i="52" a="1"/>
  <c r="L278" i="52" s="1"/>
  <c r="C278" i="52"/>
  <c r="F278" i="52" a="1"/>
  <c r="F278" i="52" s="1"/>
  <c r="D278" i="52"/>
  <c r="I278" i="52"/>
  <c r="E278" i="52"/>
  <c r="L64" i="52" a="1"/>
  <c r="L64" i="52" s="1"/>
  <c r="F64" i="52" a="1"/>
  <c r="F64" i="52" s="1"/>
  <c r="C64" i="52"/>
  <c r="E64" i="52"/>
  <c r="D59" i="52"/>
  <c r="E59" i="52"/>
  <c r="C59" i="52"/>
  <c r="F59" i="52" a="1"/>
  <c r="F59" i="52" s="1"/>
  <c r="I306" i="52"/>
  <c r="D306" i="52"/>
  <c r="F306" i="52" a="1"/>
  <c r="F306" i="52" s="1"/>
  <c r="E306" i="52"/>
  <c r="C306" i="52"/>
  <c r="L306" i="52" a="1"/>
  <c r="L306" i="52" s="1"/>
  <c r="F11" i="52" a="1"/>
  <c r="F11" i="52" s="1"/>
  <c r="D11" i="52"/>
  <c r="E11" i="52"/>
  <c r="C11" i="52"/>
  <c r="L281" i="52" a="1"/>
  <c r="L281" i="52" s="1"/>
  <c r="I281" i="52"/>
  <c r="E281" i="52"/>
  <c r="D281" i="52"/>
  <c r="F281" i="52" a="1"/>
  <c r="F281" i="52" s="1"/>
  <c r="C281" i="52"/>
  <c r="D152" i="52"/>
  <c r="I152" i="52"/>
  <c r="E152" i="52"/>
  <c r="L152" i="52" a="1"/>
  <c r="L152" i="52" s="1"/>
  <c r="C152" i="52"/>
  <c r="F152" i="52" a="1"/>
  <c r="F152" i="52" s="1"/>
  <c r="L279" i="52" a="1"/>
  <c r="L279" i="52" s="1"/>
  <c r="F279" i="52" a="1"/>
  <c r="F279" i="52" s="1"/>
  <c r="E279" i="52"/>
  <c r="I279" i="52"/>
  <c r="D279" i="52"/>
  <c r="C279" i="52"/>
  <c r="L125" i="52" a="1"/>
  <c r="L125" i="52" s="1"/>
  <c r="F125" i="52" a="1"/>
  <c r="F125" i="52" s="1"/>
  <c r="C125" i="52"/>
  <c r="I125" i="52"/>
  <c r="E125" i="52"/>
  <c r="D125" i="52"/>
  <c r="C104" i="52"/>
  <c r="L104" i="52" a="1"/>
  <c r="L104" i="52" s="1"/>
  <c r="I104" i="52"/>
  <c r="F104" i="52" a="1"/>
  <c r="F104" i="52" s="1"/>
  <c r="D104" i="52"/>
  <c r="E104" i="52"/>
  <c r="F77" i="52" a="1"/>
  <c r="F77" i="52" s="1"/>
  <c r="D77" i="52"/>
  <c r="C77" i="52"/>
  <c r="E77" i="52"/>
  <c r="C315" i="52"/>
  <c r="F315" i="52" a="1"/>
  <c r="F315" i="52" s="1"/>
  <c r="E315" i="52"/>
  <c r="I315" i="52"/>
  <c r="L315" i="52" a="1"/>
  <c r="L315" i="52" s="1"/>
  <c r="D315" i="52"/>
  <c r="E46" i="52"/>
  <c r="C46" i="52"/>
  <c r="F46" i="52" a="1"/>
  <c r="F46" i="52" s="1"/>
  <c r="D46" i="52"/>
  <c r="D32" i="52"/>
  <c r="C32" i="52"/>
  <c r="E32" i="52"/>
  <c r="F32" i="52" a="1"/>
  <c r="F32" i="52" s="1"/>
  <c r="E202" i="52"/>
  <c r="D202" i="52"/>
  <c r="L202" i="52" a="1"/>
  <c r="L202" i="52" s="1"/>
  <c r="F202" i="52" a="1"/>
  <c r="F202" i="52" s="1"/>
  <c r="I202" i="52"/>
  <c r="C202" i="52"/>
  <c r="I215" i="52"/>
  <c r="C215" i="52"/>
  <c r="F215" i="52" a="1"/>
  <c r="F215" i="52" s="1"/>
  <c r="E215" i="52"/>
  <c r="L215" i="52" a="1"/>
  <c r="L215" i="52" s="1"/>
  <c r="D215" i="52"/>
  <c r="E264" i="52"/>
  <c r="D264" i="52"/>
  <c r="I264" i="52"/>
  <c r="C264" i="52"/>
  <c r="F264" i="52" a="1"/>
  <c r="F264" i="52" s="1"/>
  <c r="L264" i="52" a="1"/>
  <c r="L264" i="52" s="1"/>
  <c r="I248" i="52"/>
  <c r="E248" i="52"/>
  <c r="L248" i="52" a="1"/>
  <c r="L248" i="52" s="1"/>
  <c r="F248" i="52" a="1"/>
  <c r="F248" i="52" s="1"/>
  <c r="C248" i="52"/>
  <c r="D248" i="52"/>
  <c r="L336" i="52" a="1"/>
  <c r="L336" i="52" s="1"/>
  <c r="E336" i="52"/>
  <c r="I336" i="52"/>
  <c r="F336" i="52" a="1"/>
  <c r="F336" i="52" s="1"/>
  <c r="D336" i="52"/>
  <c r="C336" i="52"/>
  <c r="D44" i="52"/>
  <c r="E44" i="52"/>
  <c r="F44" i="52" a="1"/>
  <c r="F44" i="52" s="1"/>
  <c r="C44" i="52"/>
  <c r="E56" i="52"/>
  <c r="D56" i="52"/>
  <c r="F56" i="52" a="1"/>
  <c r="F56" i="52" s="1"/>
  <c r="C56" i="52"/>
  <c r="I308" i="52"/>
  <c r="L308" i="52" a="1"/>
  <c r="L308" i="52" s="1"/>
  <c r="E308" i="52"/>
  <c r="F308" i="52" a="1"/>
  <c r="F308" i="52" s="1"/>
  <c r="D308" i="52"/>
  <c r="C308" i="52"/>
  <c r="I221" i="52"/>
  <c r="L221" i="52" a="1"/>
  <c r="L221" i="52" s="1"/>
  <c r="E221" i="52"/>
  <c r="D221" i="52"/>
  <c r="C221" i="52"/>
  <c r="F221" i="52" a="1"/>
  <c r="F221" i="52" s="1"/>
  <c r="D132" i="52"/>
  <c r="C132" i="52"/>
  <c r="L132" i="52" a="1"/>
  <c r="L132" i="52" s="1"/>
  <c r="E132" i="52"/>
  <c r="I132" i="52"/>
  <c r="F132" i="52" a="1"/>
  <c r="F132" i="52" s="1"/>
  <c r="F43" i="52" a="1"/>
  <c r="F43" i="52" s="1"/>
  <c r="C43" i="52"/>
  <c r="D43" i="52"/>
  <c r="E43" i="52"/>
  <c r="D99" i="52"/>
  <c r="E99" i="52"/>
  <c r="F99" i="52" a="1"/>
  <c r="F99" i="52" s="1"/>
  <c r="C99" i="52"/>
  <c r="L99" i="52" a="1"/>
  <c r="L99" i="52" s="1"/>
  <c r="I99" i="52"/>
  <c r="D260" i="52"/>
  <c r="E260" i="52"/>
  <c r="C260" i="52"/>
  <c r="L260" i="52" a="1"/>
  <c r="L260" i="52" s="1"/>
  <c r="I260" i="52"/>
  <c r="F260" i="52" a="1"/>
  <c r="F260" i="52" s="1"/>
  <c r="F111" i="52" a="1"/>
  <c r="F111" i="52" s="1"/>
  <c r="I111" i="52"/>
  <c r="E111" i="52"/>
  <c r="D111" i="52"/>
  <c r="L111" i="52" a="1"/>
  <c r="L111" i="52" s="1"/>
  <c r="C111" i="52"/>
  <c r="D205" i="52"/>
  <c r="E205" i="52"/>
  <c r="I205" i="52"/>
  <c r="C205" i="52"/>
  <c r="F205" i="52" a="1"/>
  <c r="F205" i="52" s="1"/>
  <c r="L205" i="52" a="1"/>
  <c r="L205" i="52" s="1"/>
  <c r="D36" i="52"/>
  <c r="F36" i="52" a="1"/>
  <c r="F36" i="52" s="1"/>
  <c r="C36" i="52"/>
  <c r="E36" i="52"/>
  <c r="L218" i="52" a="1"/>
  <c r="L218" i="52" s="1"/>
  <c r="I218" i="52"/>
  <c r="D218" i="52"/>
  <c r="C218" i="52"/>
  <c r="F218" i="52" a="1"/>
  <c r="F218" i="52" s="1"/>
  <c r="E218" i="52"/>
  <c r="C19" i="25"/>
  <c r="D19" i="25"/>
  <c r="B19" i="25"/>
  <c r="E19" i="25"/>
  <c r="D16" i="25"/>
  <c r="E16" i="25"/>
  <c r="B16" i="25"/>
  <c r="C16" i="25"/>
  <c r="G71" i="25"/>
  <c r="D71" i="25"/>
  <c r="B71" i="25"/>
  <c r="C71" i="25"/>
  <c r="E71" i="25"/>
  <c r="C55" i="25"/>
  <c r="B55" i="25"/>
  <c r="E55" i="25"/>
  <c r="G55" i="25"/>
  <c r="D55" i="25"/>
  <c r="B28" i="25"/>
  <c r="G28" i="25"/>
  <c r="D28" i="25"/>
  <c r="C28" i="25"/>
  <c r="E28" i="25"/>
  <c r="E64" i="25"/>
  <c r="B64" i="25"/>
  <c r="C64" i="25"/>
  <c r="D64" i="25"/>
  <c r="G64" i="25"/>
  <c r="C82" i="25"/>
  <c r="B82" i="25"/>
  <c r="D82" i="25"/>
  <c r="G82" i="25"/>
  <c r="E82" i="25"/>
  <c r="E43" i="100"/>
  <c r="F43" i="100" a="1"/>
  <c r="F43" i="100" s="1"/>
  <c r="D43" i="100"/>
  <c r="C43" i="100"/>
  <c r="F232" i="100" a="1"/>
  <c r="F232" i="100" s="1"/>
  <c r="D232" i="100"/>
  <c r="C232" i="100"/>
  <c r="E232" i="100"/>
  <c r="I232" i="100"/>
  <c r="K232" i="100" a="1"/>
  <c r="K232" i="100" s="1"/>
  <c r="F19" i="100" a="1"/>
  <c r="F19" i="100" s="1"/>
  <c r="D19" i="100"/>
  <c r="E19" i="100"/>
  <c r="C19" i="100"/>
  <c r="D336" i="100"/>
  <c r="I336" i="100"/>
  <c r="E336" i="100"/>
  <c r="C336" i="100"/>
  <c r="F336" i="100" a="1"/>
  <c r="F336" i="100" s="1"/>
  <c r="K336" i="100" a="1"/>
  <c r="K336" i="100" s="1"/>
  <c r="I169" i="100"/>
  <c r="E169" i="100"/>
  <c r="D169" i="100"/>
  <c r="C169" i="100"/>
  <c r="F169" i="100" a="1"/>
  <c r="F169" i="100" s="1"/>
  <c r="K169" i="100" a="1"/>
  <c r="K169" i="100" s="1"/>
  <c r="F303" i="100" a="1"/>
  <c r="F303" i="100" s="1"/>
  <c r="E303" i="100"/>
  <c r="D303" i="100"/>
  <c r="C303" i="100"/>
  <c r="I303" i="100"/>
  <c r="K303" i="100" a="1"/>
  <c r="K303" i="100" s="1"/>
  <c r="E222" i="100"/>
  <c r="I222" i="100"/>
  <c r="F222" i="100" a="1"/>
  <c r="F222" i="100" s="1"/>
  <c r="C222" i="100"/>
  <c r="D222" i="100"/>
  <c r="K222" i="100" a="1"/>
  <c r="K222" i="100" s="1"/>
  <c r="E28" i="100"/>
  <c r="C28" i="100"/>
  <c r="F28" i="100" a="1"/>
  <c r="F28" i="100" s="1"/>
  <c r="D267" i="100"/>
  <c r="E267" i="100"/>
  <c r="I267" i="100"/>
  <c r="C267" i="100"/>
  <c r="F267" i="100" a="1"/>
  <c r="F267" i="100" s="1"/>
  <c r="K267" i="100" a="1"/>
  <c r="K267" i="100" s="1"/>
  <c r="E298" i="100"/>
  <c r="C298" i="100"/>
  <c r="D298" i="100"/>
  <c r="F298" i="100" a="1"/>
  <c r="F298" i="100" s="1"/>
  <c r="I298" i="100"/>
  <c r="K298" i="100" a="1"/>
  <c r="K298" i="100" s="1"/>
  <c r="F24" i="100" a="1"/>
  <c r="F24" i="100" s="1"/>
  <c r="E24" i="100"/>
  <c r="D24" i="100"/>
  <c r="C24" i="100"/>
  <c r="D171" i="100"/>
  <c r="C171" i="100"/>
  <c r="I171" i="100"/>
  <c r="E171" i="100"/>
  <c r="F171" i="100" a="1"/>
  <c r="F171" i="100" s="1"/>
  <c r="K171" i="100" a="1"/>
  <c r="K171" i="100" s="1"/>
  <c r="F37" i="100" a="1"/>
  <c r="F37" i="100" s="1"/>
  <c r="E37" i="100"/>
  <c r="C37" i="100"/>
  <c r="D37" i="100"/>
  <c r="F70" i="100" a="1"/>
  <c r="F70" i="100" s="1"/>
  <c r="D70" i="100"/>
  <c r="E70" i="100"/>
  <c r="C70" i="100"/>
  <c r="I70" i="100"/>
  <c r="K70" i="100" a="1"/>
  <c r="K70" i="100" s="1"/>
  <c r="D327" i="100"/>
  <c r="F327" i="100" a="1"/>
  <c r="F327" i="100" s="1"/>
  <c r="I327" i="100"/>
  <c r="C327" i="100"/>
  <c r="E327" i="100"/>
  <c r="K327" i="100" a="1"/>
  <c r="K327" i="100" s="1"/>
  <c r="C49" i="100"/>
  <c r="E49" i="100"/>
  <c r="F49" i="100" a="1"/>
  <c r="F49" i="100" s="1"/>
  <c r="K49" i="100" a="1"/>
  <c r="K49" i="100" s="1"/>
  <c r="F105" i="100" a="1"/>
  <c r="F105" i="100" s="1"/>
  <c r="C105" i="100"/>
  <c r="D105" i="100"/>
  <c r="E105" i="100"/>
  <c r="I105" i="100"/>
  <c r="K105" i="100" a="1"/>
  <c r="K105" i="100" s="1"/>
  <c r="E34" i="100"/>
  <c r="C34" i="100"/>
  <c r="F34" i="100" a="1"/>
  <c r="F34" i="100" s="1"/>
  <c r="D112" i="100"/>
  <c r="C112" i="100"/>
  <c r="F112" i="100" a="1"/>
  <c r="F112" i="100" s="1"/>
  <c r="E112" i="100"/>
  <c r="I112" i="100"/>
  <c r="K112" i="100" a="1"/>
  <c r="K112" i="100" s="1"/>
  <c r="D172" i="100"/>
  <c r="C172" i="100"/>
  <c r="F172" i="100" a="1"/>
  <c r="F172" i="100" s="1"/>
  <c r="E172" i="100"/>
  <c r="I172" i="100"/>
  <c r="K172" i="100" a="1"/>
  <c r="K172" i="100" s="1"/>
  <c r="E274" i="100"/>
  <c r="I274" i="100"/>
  <c r="C274" i="100"/>
  <c r="D274" i="100"/>
  <c r="F274" i="100" a="1"/>
  <c r="F274" i="100" s="1"/>
  <c r="K274" i="100" a="1"/>
  <c r="K274" i="100" s="1"/>
  <c r="I329" i="100"/>
  <c r="F329" i="100" a="1"/>
  <c r="F329" i="100" s="1"/>
  <c r="C329" i="100"/>
  <c r="D329" i="100"/>
  <c r="K329" i="100" a="1"/>
  <c r="K329" i="100" s="1"/>
  <c r="E329" i="100"/>
  <c r="F144" i="100" a="1"/>
  <c r="F144" i="100" s="1"/>
  <c r="D144" i="100"/>
  <c r="C144" i="100"/>
  <c r="I144" i="100"/>
  <c r="E144" i="100"/>
  <c r="K144" i="100" a="1"/>
  <c r="K144" i="100" s="1"/>
  <c r="E344" i="100"/>
  <c r="I344" i="100"/>
  <c r="F344" i="100" a="1"/>
  <c r="F344" i="100" s="1"/>
  <c r="D344" i="100"/>
  <c r="C344" i="100"/>
  <c r="K344" i="100" a="1"/>
  <c r="K344" i="100" s="1"/>
  <c r="F190" i="100" a="1"/>
  <c r="F190" i="100" s="1"/>
  <c r="E190" i="100"/>
  <c r="D190" i="100"/>
  <c r="I190" i="100"/>
  <c r="C190" i="100"/>
  <c r="K190" i="100" a="1"/>
  <c r="K190" i="100" s="1"/>
  <c r="F193" i="100" a="1"/>
  <c r="F193" i="100" s="1"/>
  <c r="E193" i="100"/>
  <c r="I193" i="100"/>
  <c r="D193" i="100"/>
  <c r="C193" i="100"/>
  <c r="K193" i="100" a="1"/>
  <c r="K193" i="100" s="1"/>
  <c r="F208" i="101" a="1"/>
  <c r="F208" i="101" s="1"/>
  <c r="C208" i="101"/>
  <c r="D208" i="101"/>
  <c r="E208" i="101"/>
  <c r="I208" i="101"/>
  <c r="F68" i="101" a="1"/>
  <c r="F68" i="101" s="1"/>
  <c r="D68" i="101"/>
  <c r="I68" i="101"/>
  <c r="E68" i="101"/>
  <c r="C68" i="101"/>
  <c r="F236" i="101" a="1"/>
  <c r="F236" i="101" s="1"/>
  <c r="E236" i="101"/>
  <c r="C236" i="101"/>
  <c r="D236" i="101"/>
  <c r="I236" i="101"/>
  <c r="F282" i="101" a="1"/>
  <c r="F282" i="101" s="1"/>
  <c r="C282" i="101"/>
  <c r="E282" i="101"/>
  <c r="D282" i="101"/>
  <c r="I282" i="101"/>
  <c r="D290" i="101"/>
  <c r="E290" i="101"/>
  <c r="F290" i="101" a="1"/>
  <c r="F290" i="101" s="1"/>
  <c r="I290" i="101"/>
  <c r="C290" i="101"/>
  <c r="F184" i="101" a="1"/>
  <c r="F184" i="101" s="1"/>
  <c r="I184" i="101"/>
  <c r="D184" i="101"/>
  <c r="E184" i="101"/>
  <c r="C184" i="101"/>
  <c r="I69" i="101"/>
  <c r="D69" i="101"/>
  <c r="E69" i="101"/>
  <c r="F69" i="101" a="1"/>
  <c r="F69" i="101" s="1"/>
  <c r="C69" i="101"/>
  <c r="F193" i="101" a="1"/>
  <c r="F193" i="101" s="1"/>
  <c r="D193" i="101"/>
  <c r="C193" i="101"/>
  <c r="I193" i="101"/>
  <c r="E193" i="101"/>
  <c r="K354" i="101" a="1"/>
  <c r="K354" i="101" s="1"/>
  <c r="D354" i="101"/>
  <c r="I354" i="101"/>
  <c r="E354" i="101"/>
  <c r="C354" i="101"/>
  <c r="F354" i="101" a="1"/>
  <c r="F354" i="101" s="1"/>
  <c r="F219" i="101" a="1"/>
  <c r="F219" i="101" s="1"/>
  <c r="E219" i="101"/>
  <c r="C219" i="101"/>
  <c r="D219" i="101"/>
  <c r="I219" i="101"/>
  <c r="D92" i="101"/>
  <c r="E92" i="101"/>
  <c r="F92" i="101" a="1"/>
  <c r="F92" i="101" s="1"/>
  <c r="C92" i="101"/>
  <c r="I92" i="101"/>
  <c r="F26" i="101" a="1"/>
  <c r="F26" i="101" s="1"/>
  <c r="D26" i="101"/>
  <c r="I26" i="101"/>
  <c r="C26" i="101"/>
  <c r="E26" i="101"/>
  <c r="E281" i="101"/>
  <c r="C281" i="101"/>
  <c r="F281" i="101" a="1"/>
  <c r="F281" i="101" s="1"/>
  <c r="I281" i="101"/>
  <c r="D281" i="101"/>
  <c r="E175" i="101"/>
  <c r="I175" i="101"/>
  <c r="D175" i="101"/>
  <c r="F175" i="101" a="1"/>
  <c r="F175" i="101" s="1"/>
  <c r="C175" i="101"/>
  <c r="I85" i="101"/>
  <c r="D85" i="101"/>
  <c r="F85" i="101" a="1"/>
  <c r="F85" i="101" s="1"/>
  <c r="C85" i="101"/>
  <c r="E85" i="101"/>
  <c r="I21" i="101"/>
  <c r="E21" i="101"/>
  <c r="D21" i="101"/>
  <c r="F21" i="101" a="1"/>
  <c r="F21" i="101" s="1"/>
  <c r="C21" i="101"/>
  <c r="I67" i="101"/>
  <c r="D67" i="101"/>
  <c r="C67" i="101"/>
  <c r="F67" i="101" a="1"/>
  <c r="F67" i="101" s="1"/>
  <c r="E67" i="101"/>
  <c r="D198" i="101"/>
  <c r="I198" i="101"/>
  <c r="C198" i="101"/>
  <c r="F198" i="101" a="1"/>
  <c r="F198" i="101" s="1"/>
  <c r="E198" i="101"/>
  <c r="E97" i="101"/>
  <c r="F97" i="101" a="1"/>
  <c r="F97" i="101" s="1"/>
  <c r="D97" i="101"/>
  <c r="C97" i="101"/>
  <c r="I97" i="101"/>
  <c r="E349" i="101"/>
  <c r="I349" i="101"/>
  <c r="F349" i="101" a="1"/>
  <c r="F349" i="101" s="1"/>
  <c r="C349" i="101"/>
  <c r="D349" i="101"/>
  <c r="K349" i="101" a="1"/>
  <c r="K349" i="101" s="1"/>
  <c r="C232" i="101"/>
  <c r="I232" i="101"/>
  <c r="E232" i="101"/>
  <c r="F232" i="101" a="1"/>
  <c r="F232" i="101" s="1"/>
  <c r="D232" i="101"/>
  <c r="I99" i="101"/>
  <c r="C99" i="101"/>
  <c r="E99" i="101"/>
  <c r="F99" i="101" a="1"/>
  <c r="F99" i="101" s="1"/>
  <c r="D99" i="101"/>
  <c r="C128" i="101"/>
  <c r="D128" i="101"/>
  <c r="F128" i="101" a="1"/>
  <c r="F128" i="101" s="1"/>
  <c r="E128" i="101"/>
  <c r="I128" i="101"/>
  <c r="C247" i="101"/>
  <c r="E247" i="101"/>
  <c r="D247" i="101"/>
  <c r="I247" i="101"/>
  <c r="F247" i="101" a="1"/>
  <c r="F247" i="101" s="1"/>
  <c r="D269" i="101"/>
  <c r="E269" i="101"/>
  <c r="C269" i="101"/>
  <c r="F269" i="101" a="1"/>
  <c r="F269" i="101" s="1"/>
  <c r="I269" i="101"/>
  <c r="E283" i="101"/>
  <c r="F283" i="101" a="1"/>
  <c r="F283" i="101" s="1"/>
  <c r="I283" i="101"/>
  <c r="C283" i="101"/>
  <c r="D283" i="101"/>
  <c r="F342" i="101" a="1"/>
  <c r="F342" i="101" s="1"/>
  <c r="E342" i="101"/>
  <c r="C342" i="101"/>
  <c r="D342" i="101"/>
  <c r="I342" i="101"/>
  <c r="C59" i="101"/>
  <c r="E59" i="101"/>
  <c r="F59" i="101" a="1"/>
  <c r="F59" i="101" s="1"/>
  <c r="I59" i="101"/>
  <c r="D59" i="101"/>
  <c r="E291" i="101"/>
  <c r="I291" i="101"/>
  <c r="C291" i="101"/>
  <c r="F291" i="101" a="1"/>
  <c r="F291" i="101" s="1"/>
  <c r="D291" i="101"/>
  <c r="C253" i="101"/>
  <c r="D253" i="101"/>
  <c r="E253" i="101"/>
  <c r="I253" i="101"/>
  <c r="F253" i="101" a="1"/>
  <c r="F253" i="101" s="1"/>
  <c r="I103" i="101"/>
  <c r="F103" i="101" a="1"/>
  <c r="F103" i="101" s="1"/>
  <c r="D103" i="101"/>
  <c r="E103" i="101"/>
  <c r="C103" i="101"/>
  <c r="F163" i="101" a="1"/>
  <c r="F163" i="101" s="1"/>
  <c r="D163" i="101"/>
  <c r="C163" i="101"/>
  <c r="I163" i="101"/>
  <c r="E163" i="101"/>
  <c r="E82" i="34"/>
  <c r="D82" i="34"/>
  <c r="C82" i="34"/>
  <c r="G82" i="34"/>
  <c r="B82" i="34"/>
  <c r="E60" i="34"/>
  <c r="B60" i="34"/>
  <c r="G60" i="34"/>
  <c r="C60" i="34"/>
  <c r="D60" i="34"/>
  <c r="B73" i="34"/>
  <c r="C73" i="34"/>
  <c r="D73" i="34"/>
  <c r="G73" i="34"/>
  <c r="E73" i="34"/>
  <c r="C75" i="34"/>
  <c r="D75" i="34"/>
  <c r="G75" i="34"/>
  <c r="E75" i="34"/>
  <c r="B75" i="34"/>
  <c r="E50" i="34"/>
  <c r="B50" i="34"/>
  <c r="G50" i="34"/>
  <c r="D50" i="34"/>
  <c r="C50" i="34"/>
  <c r="D34" i="22"/>
  <c r="G34" i="22"/>
  <c r="B34" i="22"/>
  <c r="E34" i="22"/>
  <c r="C34" i="22"/>
  <c r="E83" i="22"/>
  <c r="C83" i="22"/>
  <c r="G83" i="22"/>
  <c r="D83" i="22"/>
  <c r="B83" i="22"/>
  <c r="K41" i="51" a="1"/>
  <c r="K41" i="51" s="1"/>
  <c r="D41" i="51"/>
  <c r="C41" i="51"/>
  <c r="I41" i="51"/>
  <c r="E41" i="51"/>
  <c r="F41" i="51" a="1"/>
  <c r="F41" i="51" s="1"/>
  <c r="F21" i="51" a="1"/>
  <c r="F21" i="51" s="1"/>
  <c r="K21" i="51" a="1"/>
  <c r="K21" i="51" s="1"/>
  <c r="E21" i="51"/>
  <c r="I21" i="51"/>
  <c r="D21" i="51"/>
  <c r="C21" i="51"/>
  <c r="I18" i="51"/>
  <c r="E18" i="51"/>
  <c r="C18" i="51"/>
  <c r="D18" i="51"/>
  <c r="K18" i="51" a="1"/>
  <c r="K18" i="51" s="1"/>
  <c r="F18" i="51" a="1"/>
  <c r="F18" i="51" s="1"/>
  <c r="C35" i="51"/>
  <c r="E35" i="51"/>
  <c r="F35" i="51" a="1"/>
  <c r="F35" i="51" s="1"/>
  <c r="D35" i="51"/>
  <c r="I35" i="51"/>
  <c r="K35" i="51" a="1"/>
  <c r="K35" i="51" s="1"/>
  <c r="F85" i="51" a="1"/>
  <c r="F85" i="51" s="1"/>
  <c r="D85" i="51"/>
  <c r="I85" i="51"/>
  <c r="C85" i="51"/>
  <c r="E85" i="51"/>
  <c r="K85" i="51" a="1"/>
  <c r="K85" i="51" s="1"/>
  <c r="G79" i="39"/>
  <c r="C50" i="39"/>
  <c r="G58" i="39"/>
  <c r="C64" i="39"/>
  <c r="E35" i="39"/>
  <c r="B22" i="39"/>
  <c r="E8" i="35"/>
  <c r="G34" i="53" a="1"/>
  <c r="G34" i="53" s="1"/>
  <c r="D28" i="53"/>
  <c r="E28" i="53" s="1"/>
  <c r="E6" i="53"/>
  <c r="D38" i="53"/>
  <c r="G71" i="91"/>
  <c r="G78" i="22"/>
  <c r="C20" i="21"/>
  <c r="B43" i="24"/>
  <c r="D43" i="24"/>
  <c r="G43" i="24"/>
  <c r="C43" i="24"/>
  <c r="E43" i="24"/>
  <c r="E36" i="24"/>
  <c r="B36" i="24"/>
  <c r="C36" i="24"/>
  <c r="D36" i="24"/>
  <c r="C20" i="24"/>
  <c r="E20" i="24"/>
  <c r="B20" i="24"/>
  <c r="D20" i="24"/>
  <c r="E74" i="24"/>
  <c r="D74" i="24"/>
  <c r="B74" i="24"/>
  <c r="C74" i="24"/>
  <c r="G74" i="24"/>
  <c r="B81" i="24"/>
  <c r="G81" i="24"/>
  <c r="C81" i="24"/>
  <c r="D81" i="24"/>
  <c r="E81" i="24"/>
  <c r="E308" i="53"/>
  <c r="D308" i="53"/>
  <c r="F308" i="53"/>
  <c r="U308" i="53" s="1"/>
  <c r="G308" i="53" a="1"/>
  <c r="G308" i="53" s="1"/>
  <c r="J308" i="53"/>
  <c r="E283" i="53"/>
  <c r="J283" i="53"/>
  <c r="D283" i="53"/>
  <c r="F283" i="53"/>
  <c r="U283" i="53" s="1"/>
  <c r="G283" i="53" a="1"/>
  <c r="G283" i="53" s="1"/>
  <c r="J228" i="53"/>
  <c r="F228" i="53"/>
  <c r="U228" i="53" s="1"/>
  <c r="E228" i="53"/>
  <c r="D228" i="53"/>
  <c r="G228" i="53" a="1"/>
  <c r="G228" i="53" s="1"/>
  <c r="E70" i="53"/>
  <c r="F70" i="53"/>
  <c r="U70" i="53" s="1"/>
  <c r="J70" i="53"/>
  <c r="G70" i="53" a="1"/>
  <c r="G70" i="53" s="1"/>
  <c r="D70" i="53"/>
  <c r="G204" i="53" a="1"/>
  <c r="G204" i="53" s="1"/>
  <c r="E204" i="53"/>
  <c r="D204" i="53"/>
  <c r="J204" i="53"/>
  <c r="F204" i="53"/>
  <c r="U204" i="53" s="1"/>
  <c r="E102" i="53"/>
  <c r="D102" i="53"/>
  <c r="G102" i="53" a="1"/>
  <c r="G102" i="53" s="1"/>
  <c r="J102" i="53"/>
  <c r="F102" i="53"/>
  <c r="U102" i="53" s="1"/>
  <c r="G141" i="53" a="1"/>
  <c r="G141" i="53" s="1"/>
  <c r="F141" i="53"/>
  <c r="U141" i="53" s="1"/>
  <c r="D141" i="53"/>
  <c r="E141" i="53"/>
  <c r="J141" i="53"/>
  <c r="J90" i="53"/>
  <c r="F90" i="53"/>
  <c r="U90" i="53" s="1"/>
  <c r="G90" i="53" a="1"/>
  <c r="G90" i="53" s="1"/>
  <c r="D90" i="53"/>
  <c r="E90" i="53"/>
  <c r="D340" i="53"/>
  <c r="F340" i="53"/>
  <c r="U340" i="53" s="1"/>
  <c r="J340" i="53"/>
  <c r="E340" i="53"/>
  <c r="G340" i="53" a="1"/>
  <c r="G340" i="53" s="1"/>
  <c r="F250" i="53"/>
  <c r="U250" i="53" s="1"/>
  <c r="D250" i="53"/>
  <c r="E250" i="53"/>
  <c r="J250" i="53"/>
  <c r="G250" i="53" a="1"/>
  <c r="G250" i="53" s="1"/>
  <c r="G355" i="53" a="1"/>
  <c r="G355" i="53" s="1"/>
  <c r="E355" i="53"/>
  <c r="F355" i="53"/>
  <c r="U355" i="53" s="1"/>
  <c r="J355" i="53"/>
  <c r="D355" i="53"/>
  <c r="J183" i="53"/>
  <c r="F183" i="53"/>
  <c r="U183" i="53" s="1"/>
  <c r="E183" i="53"/>
  <c r="G183" i="53" a="1"/>
  <c r="G183" i="53" s="1"/>
  <c r="D183" i="53"/>
  <c r="G80" i="53" a="1"/>
  <c r="G80" i="53" s="1"/>
  <c r="E80" i="53"/>
  <c r="F80" i="53"/>
  <c r="U80" i="53" s="1"/>
  <c r="D80" i="53"/>
  <c r="J80" i="53"/>
  <c r="D286" i="53"/>
  <c r="G286" i="53" a="1"/>
  <c r="G286" i="53" s="1"/>
  <c r="J286" i="53"/>
  <c r="F286" i="53"/>
  <c r="U286" i="53" s="1"/>
  <c r="E286" i="53"/>
  <c r="J109" i="53"/>
  <c r="F109" i="53"/>
  <c r="U109" i="53" s="1"/>
  <c r="G109" i="53" a="1"/>
  <c r="G109" i="53" s="1"/>
  <c r="E109" i="53"/>
  <c r="D109" i="53"/>
  <c r="J243" i="53"/>
  <c r="E243" i="53"/>
  <c r="D243" i="53"/>
  <c r="G243" i="53" a="1"/>
  <c r="G243" i="53" s="1"/>
  <c r="F243" i="53"/>
  <c r="U243" i="53" s="1"/>
  <c r="D261" i="53"/>
  <c r="E261" i="53"/>
  <c r="G261" i="53" a="1"/>
  <c r="G261" i="53" s="1"/>
  <c r="F261" i="53"/>
  <c r="U261" i="53" s="1"/>
  <c r="J261" i="53"/>
  <c r="E101" i="53"/>
  <c r="J101" i="53"/>
  <c r="G101" i="53" a="1"/>
  <c r="G101" i="53" s="1"/>
  <c r="F101" i="53"/>
  <c r="U101" i="53" s="1"/>
  <c r="D101" i="53"/>
  <c r="E299" i="53"/>
  <c r="D299" i="53"/>
  <c r="F299" i="53"/>
  <c r="U299" i="53" s="1"/>
  <c r="G299" i="53" a="1"/>
  <c r="G299" i="53" s="1"/>
  <c r="J299" i="53"/>
  <c r="F285" i="53"/>
  <c r="U285" i="53" s="1"/>
  <c r="E285" i="53"/>
  <c r="J285" i="53"/>
  <c r="D285" i="53"/>
  <c r="G285" i="53" a="1"/>
  <c r="G285" i="53" s="1"/>
  <c r="G187" i="53" a="1"/>
  <c r="G187" i="53" s="1"/>
  <c r="J187" i="53"/>
  <c r="F187" i="53"/>
  <c r="U187" i="53" s="1"/>
  <c r="D187" i="53"/>
  <c r="E187" i="53"/>
  <c r="D50" i="50"/>
  <c r="F50" i="50"/>
  <c r="G50" i="50" a="1"/>
  <c r="G50" i="50" s="1"/>
  <c r="E214" i="50"/>
  <c r="D214" i="50"/>
  <c r="J214" i="50"/>
  <c r="G214" i="50" a="1"/>
  <c r="G214" i="50" s="1"/>
  <c r="F214" i="50"/>
  <c r="U214" i="50" s="1"/>
  <c r="F283" i="50"/>
  <c r="U283" i="50" s="1"/>
  <c r="J283" i="50"/>
  <c r="E283" i="50"/>
  <c r="D283" i="50"/>
  <c r="G283" i="50" a="1"/>
  <c r="G283" i="50" s="1"/>
  <c r="J75" i="50"/>
  <c r="G75" i="50" a="1"/>
  <c r="G75" i="50" s="1"/>
  <c r="E75" i="50"/>
  <c r="F75" i="50"/>
  <c r="U75" i="50" s="1"/>
  <c r="D75" i="50"/>
  <c r="D228" i="50"/>
  <c r="F228" i="50"/>
  <c r="U228" i="50" s="1"/>
  <c r="E228" i="50"/>
  <c r="J228" i="50"/>
  <c r="G228" i="50" a="1"/>
  <c r="G228" i="50" s="1"/>
  <c r="E324" i="50"/>
  <c r="F324" i="50"/>
  <c r="U324" i="50" s="1"/>
  <c r="J324" i="50"/>
  <c r="D324" i="50"/>
  <c r="G324" i="50" a="1"/>
  <c r="G324" i="50" s="1"/>
  <c r="G48" i="50" a="1"/>
  <c r="G48" i="50" s="1"/>
  <c r="D48" i="50"/>
  <c r="F48" i="50"/>
  <c r="D219" i="50"/>
  <c r="F219" i="50"/>
  <c r="U219" i="50" s="1"/>
  <c r="G219" i="50" a="1"/>
  <c r="G219" i="50" s="1"/>
  <c r="J219" i="50"/>
  <c r="E219" i="50"/>
  <c r="G136" i="50" a="1"/>
  <c r="G136" i="50" s="1"/>
  <c r="E136" i="50"/>
  <c r="D136" i="50"/>
  <c r="J136" i="50"/>
  <c r="F136" i="50"/>
  <c r="U136" i="50" s="1"/>
  <c r="G103" i="50" a="1"/>
  <c r="G103" i="50" s="1"/>
  <c r="D103" i="50"/>
  <c r="E103" i="50"/>
  <c r="F103" i="50"/>
  <c r="U103" i="50" s="1"/>
  <c r="J103" i="50"/>
  <c r="D76" i="50"/>
  <c r="E76" i="50"/>
  <c r="G76" i="50" a="1"/>
  <c r="G76" i="50" s="1"/>
  <c r="J76" i="50"/>
  <c r="F76" i="50"/>
  <c r="U76" i="50" s="1"/>
  <c r="E141" i="50"/>
  <c r="J141" i="50"/>
  <c r="F141" i="50"/>
  <c r="U141" i="50" s="1"/>
  <c r="D141" i="50"/>
  <c r="G141" i="50" a="1"/>
  <c r="G141" i="50" s="1"/>
  <c r="F13" i="50"/>
  <c r="D13" i="50"/>
  <c r="G13" i="50" a="1"/>
  <c r="G13" i="50" s="1"/>
  <c r="F122" i="50"/>
  <c r="U122" i="50" s="1"/>
  <c r="J122" i="50"/>
  <c r="G122" i="50" a="1"/>
  <c r="G122" i="50" s="1"/>
  <c r="D122" i="50"/>
  <c r="E122" i="50"/>
  <c r="J278" i="50"/>
  <c r="E278" i="50"/>
  <c r="F278" i="50"/>
  <c r="U278" i="50" s="1"/>
  <c r="G278" i="50" a="1"/>
  <c r="G278" i="50" s="1"/>
  <c r="D278" i="50"/>
  <c r="G158" i="50" a="1"/>
  <c r="G158" i="50" s="1"/>
  <c r="D158" i="50"/>
  <c r="F158" i="50"/>
  <c r="U158" i="50" s="1"/>
  <c r="E158" i="50"/>
  <c r="J158" i="50"/>
  <c r="G80" i="50" a="1"/>
  <c r="G80" i="50" s="1"/>
  <c r="D80" i="50"/>
  <c r="F80" i="50"/>
  <c r="U80" i="50" s="1"/>
  <c r="E80" i="50"/>
  <c r="J80" i="50"/>
  <c r="G165" i="50" a="1"/>
  <c r="G165" i="50" s="1"/>
  <c r="E165" i="50"/>
  <c r="F165" i="50"/>
  <c r="U165" i="50" s="1"/>
  <c r="J165" i="50"/>
  <c r="D165" i="50"/>
  <c r="D146" i="50"/>
  <c r="G146" i="50" a="1"/>
  <c r="G146" i="50" s="1"/>
  <c r="J146" i="50"/>
  <c r="E146" i="50"/>
  <c r="F146" i="50"/>
  <c r="U146" i="50" s="1"/>
  <c r="D240" i="50"/>
  <c r="E240" i="50"/>
  <c r="F240" i="50"/>
  <c r="U240" i="50" s="1"/>
  <c r="J240" i="50"/>
  <c r="G240" i="50" a="1"/>
  <c r="G240" i="50" s="1"/>
  <c r="F171" i="50"/>
  <c r="U171" i="50" s="1"/>
  <c r="J171" i="50"/>
  <c r="G171" i="50" a="1"/>
  <c r="G171" i="50" s="1"/>
  <c r="E171" i="50"/>
  <c r="D171" i="50"/>
  <c r="E97" i="50"/>
  <c r="F97" i="50"/>
  <c r="U97" i="50" s="1"/>
  <c r="G97" i="50" a="1"/>
  <c r="G97" i="50" s="1"/>
  <c r="J97" i="50"/>
  <c r="D97" i="50"/>
  <c r="G217" i="50" a="1"/>
  <c r="G217" i="50" s="1"/>
  <c r="J217" i="50"/>
  <c r="D217" i="50"/>
  <c r="F217" i="50"/>
  <c r="U217" i="50" s="1"/>
  <c r="E217" i="50"/>
  <c r="G295" i="50" a="1"/>
  <c r="G295" i="50" s="1"/>
  <c r="D295" i="50"/>
  <c r="F295" i="50"/>
  <c r="U295" i="50" s="1"/>
  <c r="E295" i="50"/>
  <c r="J295" i="50"/>
  <c r="J169" i="50"/>
  <c r="D169" i="50"/>
  <c r="E169" i="50"/>
  <c r="G169" i="50" a="1"/>
  <c r="G169" i="50" s="1"/>
  <c r="F169" i="50"/>
  <c r="U169" i="50" s="1"/>
  <c r="G179" i="50" a="1"/>
  <c r="G179" i="50" s="1"/>
  <c r="J179" i="50"/>
  <c r="F179" i="50"/>
  <c r="U179" i="50" s="1"/>
  <c r="D179" i="50"/>
  <c r="E179" i="50"/>
  <c r="D59" i="33"/>
  <c r="E59" i="33"/>
  <c r="G59" i="33"/>
  <c r="C59" i="33"/>
  <c r="B59" i="33"/>
  <c r="D10" i="33"/>
  <c r="E10" i="33"/>
  <c r="B10" i="33"/>
  <c r="G10" i="33"/>
  <c r="C10" i="33"/>
  <c r="B84" i="33"/>
  <c r="C84" i="33"/>
  <c r="D84" i="33"/>
  <c r="G84" i="33"/>
  <c r="E84" i="33"/>
  <c r="C12" i="33"/>
  <c r="B12" i="33"/>
  <c r="E12" i="33"/>
  <c r="D12" i="33"/>
  <c r="G12" i="33"/>
  <c r="G47" i="33"/>
  <c r="C47" i="33"/>
  <c r="E47" i="33"/>
  <c r="B47" i="33"/>
  <c r="D47" i="33"/>
  <c r="C71" i="33"/>
  <c r="D71" i="33"/>
  <c r="E71" i="33"/>
  <c r="G71" i="33"/>
  <c r="B71" i="33"/>
  <c r="E45" i="33"/>
  <c r="D45" i="33"/>
  <c r="B45" i="33"/>
  <c r="C45" i="33"/>
  <c r="G45" i="33"/>
  <c r="C15" i="33"/>
  <c r="B15" i="33"/>
  <c r="E15" i="33"/>
  <c r="G15" i="33"/>
  <c r="D15" i="33"/>
  <c r="D9" i="33"/>
  <c r="E9" i="33"/>
  <c r="G9" i="33"/>
  <c r="C9" i="33"/>
  <c r="B9" i="33"/>
  <c r="C16" i="33"/>
  <c r="D16" i="33"/>
  <c r="E16" i="33"/>
  <c r="B16" i="33"/>
  <c r="G16" i="33"/>
  <c r="I59" i="49"/>
  <c r="F59" i="49" a="1"/>
  <c r="F59" i="49" s="1"/>
  <c r="D59" i="49"/>
  <c r="C59" i="49"/>
  <c r="E59" i="49"/>
  <c r="K59" i="49" a="1"/>
  <c r="K59" i="49" s="1"/>
  <c r="D199" i="49"/>
  <c r="F199" i="49" a="1"/>
  <c r="F199" i="49" s="1"/>
  <c r="E199" i="49"/>
  <c r="I199" i="49"/>
  <c r="C199" i="49"/>
  <c r="K199" i="49" a="1"/>
  <c r="K199" i="49" s="1"/>
  <c r="I216" i="49"/>
  <c r="C216" i="49"/>
  <c r="E216" i="49"/>
  <c r="D216" i="49"/>
  <c r="F216" i="49" a="1"/>
  <c r="F216" i="49" s="1"/>
  <c r="K216" i="49" a="1"/>
  <c r="K216" i="49" s="1"/>
  <c r="D293" i="49"/>
  <c r="I293" i="49"/>
  <c r="F293" i="49" a="1"/>
  <c r="F293" i="49" s="1"/>
  <c r="E293" i="49"/>
  <c r="C293" i="49"/>
  <c r="K293" i="49" a="1"/>
  <c r="K293" i="49" s="1"/>
  <c r="I146" i="49"/>
  <c r="C146" i="49"/>
  <c r="D146" i="49"/>
  <c r="F146" i="49" a="1"/>
  <c r="F146" i="49" s="1"/>
  <c r="E146" i="49"/>
  <c r="K146" i="49" a="1"/>
  <c r="K146" i="49" s="1"/>
  <c r="D212" i="49"/>
  <c r="F212" i="49" a="1"/>
  <c r="F212" i="49" s="1"/>
  <c r="C212" i="49"/>
  <c r="E212" i="49"/>
  <c r="I212" i="49"/>
  <c r="K212" i="49" a="1"/>
  <c r="K212" i="49" s="1"/>
  <c r="C30" i="49"/>
  <c r="E30" i="49"/>
  <c r="D30" i="49"/>
  <c r="F30" i="49" a="1"/>
  <c r="F30" i="49" s="1"/>
  <c r="F137" i="49" a="1"/>
  <c r="F137" i="49" s="1"/>
  <c r="C137" i="49"/>
  <c r="I137" i="49"/>
  <c r="E137" i="49"/>
  <c r="D137" i="49"/>
  <c r="K137" i="49" a="1"/>
  <c r="K137" i="49" s="1"/>
  <c r="K249" i="49" a="1"/>
  <c r="K249" i="49" s="1"/>
  <c r="F249" i="49" a="1"/>
  <c r="F249" i="49" s="1"/>
  <c r="D249" i="49"/>
  <c r="E249" i="49"/>
  <c r="I249" i="49"/>
  <c r="C249" i="49"/>
  <c r="E32" i="49"/>
  <c r="C32" i="49"/>
  <c r="D32" i="49"/>
  <c r="F32" i="49" a="1"/>
  <c r="F32" i="49" s="1"/>
  <c r="F36" i="49" a="1"/>
  <c r="F36" i="49" s="1"/>
  <c r="D36" i="49"/>
  <c r="C36" i="49"/>
  <c r="E36" i="49"/>
  <c r="I256" i="49"/>
  <c r="E256" i="49"/>
  <c r="D256" i="49"/>
  <c r="F256" i="49" a="1"/>
  <c r="F256" i="49" s="1"/>
  <c r="C256" i="49"/>
  <c r="K256" i="49" a="1"/>
  <c r="K256" i="49" s="1"/>
  <c r="D99" i="49"/>
  <c r="F99" i="49" a="1"/>
  <c r="F99" i="49" s="1"/>
  <c r="I99" i="49"/>
  <c r="C99" i="49"/>
  <c r="E99" i="49"/>
  <c r="K99" i="49" a="1"/>
  <c r="K99" i="49" s="1"/>
  <c r="F133" i="49" a="1"/>
  <c r="F133" i="49" s="1"/>
  <c r="I133" i="49"/>
  <c r="E133" i="49"/>
  <c r="C133" i="49"/>
  <c r="D133" i="49"/>
  <c r="K133" i="49" a="1"/>
  <c r="K133" i="49" s="1"/>
  <c r="C159" i="49"/>
  <c r="D159" i="49"/>
  <c r="F159" i="49" a="1"/>
  <c r="F159" i="49" s="1"/>
  <c r="E159" i="49"/>
  <c r="I159" i="49"/>
  <c r="K159" i="49" a="1"/>
  <c r="K159" i="49" s="1"/>
  <c r="C131" i="49"/>
  <c r="I131" i="49"/>
  <c r="D131" i="49"/>
  <c r="E131" i="49"/>
  <c r="F131" i="49" a="1"/>
  <c r="F131" i="49" s="1"/>
  <c r="K131" i="49" a="1"/>
  <c r="K131" i="49" s="1"/>
  <c r="K121" i="49" a="1"/>
  <c r="K121" i="49" s="1"/>
  <c r="I121" i="49"/>
  <c r="E121" i="49"/>
  <c r="C121" i="49"/>
  <c r="D121" i="49"/>
  <c r="F121" i="49" a="1"/>
  <c r="F121" i="49" s="1"/>
  <c r="I44" i="49"/>
  <c r="F44" i="49" a="1"/>
  <c r="F44" i="49" s="1"/>
  <c r="D44" i="49"/>
  <c r="E44" i="49"/>
  <c r="C44" i="49"/>
  <c r="K44" i="49" a="1"/>
  <c r="K44" i="49" s="1"/>
  <c r="E211" i="49"/>
  <c r="C211" i="49"/>
  <c r="F211" i="49" a="1"/>
  <c r="F211" i="49" s="1"/>
  <c r="D211" i="49"/>
  <c r="I211" i="49"/>
  <c r="K211" i="49" a="1"/>
  <c r="K211" i="49" s="1"/>
  <c r="C63" i="49"/>
  <c r="I63" i="49"/>
  <c r="E63" i="49"/>
  <c r="D63" i="49"/>
  <c r="F63" i="49" a="1"/>
  <c r="F63" i="49" s="1"/>
  <c r="K63" i="49" a="1"/>
  <c r="K63" i="49" s="1"/>
  <c r="F108" i="49" a="1"/>
  <c r="F108" i="49" s="1"/>
  <c r="D108" i="49"/>
  <c r="I108" i="49"/>
  <c r="E108" i="49"/>
  <c r="C108" i="49"/>
  <c r="K108" i="49" a="1"/>
  <c r="K108" i="49" s="1"/>
  <c r="I220" i="49"/>
  <c r="E220" i="49"/>
  <c r="D220" i="49"/>
  <c r="F220" i="49" a="1"/>
  <c r="F220" i="49" s="1"/>
  <c r="C220" i="49"/>
  <c r="K220" i="49" a="1"/>
  <c r="K220" i="49" s="1"/>
  <c r="C186" i="49"/>
  <c r="E186" i="49"/>
  <c r="I186" i="49"/>
  <c r="F186" i="49" a="1"/>
  <c r="F186" i="49" s="1"/>
  <c r="D186" i="49"/>
  <c r="K186" i="49" a="1"/>
  <c r="K186" i="49" s="1"/>
  <c r="C200" i="49"/>
  <c r="I200" i="49"/>
  <c r="F200" i="49" a="1"/>
  <c r="F200" i="49" s="1"/>
  <c r="D200" i="49"/>
  <c r="E200" i="49"/>
  <c r="K200" i="49" a="1"/>
  <c r="K200" i="49" s="1"/>
  <c r="D8" i="91"/>
  <c r="B8" i="91"/>
  <c r="E8" i="91"/>
  <c r="C8" i="91"/>
  <c r="B52" i="91"/>
  <c r="D52" i="91"/>
  <c r="C52" i="91"/>
  <c r="E52" i="91"/>
  <c r="G52" i="91"/>
  <c r="C13" i="91"/>
  <c r="G13" i="91"/>
  <c r="B13" i="91"/>
  <c r="D13" i="91"/>
  <c r="E13" i="91"/>
  <c r="D12" i="91"/>
  <c r="C12" i="91"/>
  <c r="E12" i="91"/>
  <c r="G12" i="91"/>
  <c r="B12" i="91"/>
  <c r="G70" i="91"/>
  <c r="C70" i="91"/>
  <c r="B70" i="91"/>
  <c r="D70" i="91"/>
  <c r="E70" i="91"/>
  <c r="C37" i="91"/>
  <c r="D37" i="91"/>
  <c r="E37" i="91"/>
  <c r="B37" i="91"/>
  <c r="G37" i="91"/>
  <c r="B36" i="91"/>
  <c r="E36" i="91"/>
  <c r="D36" i="91"/>
  <c r="G36" i="91"/>
  <c r="C36" i="91"/>
  <c r="B41" i="19"/>
  <c r="C41" i="19"/>
  <c r="G41" i="19"/>
  <c r="E41" i="19"/>
  <c r="D41" i="19"/>
  <c r="B25" i="19"/>
  <c r="G25" i="19"/>
  <c r="C25" i="19"/>
  <c r="E25" i="19"/>
  <c r="D25" i="19"/>
  <c r="E64" i="19"/>
  <c r="G64" i="19"/>
  <c r="B64" i="19"/>
  <c r="D64" i="19"/>
  <c r="C64" i="19"/>
  <c r="C62" i="19"/>
  <c r="G62" i="19"/>
  <c r="E62" i="19"/>
  <c r="B62" i="19"/>
  <c r="D62" i="19"/>
  <c r="B8" i="19"/>
  <c r="D8" i="19"/>
  <c r="C69" i="52"/>
  <c r="E69" i="52"/>
  <c r="D69" i="52"/>
  <c r="F69" i="52" a="1"/>
  <c r="F69" i="52" s="1"/>
  <c r="E23" i="52"/>
  <c r="F23" i="52" a="1"/>
  <c r="F23" i="52" s="1"/>
  <c r="D23" i="52"/>
  <c r="C23" i="52"/>
  <c r="E158" i="52"/>
  <c r="F158" i="52" a="1"/>
  <c r="F158" i="52" s="1"/>
  <c r="C158" i="52"/>
  <c r="L158" i="52" a="1"/>
  <c r="L158" i="52" s="1"/>
  <c r="D158" i="52"/>
  <c r="I158" i="52"/>
  <c r="L195" i="52" a="1"/>
  <c r="L195" i="52" s="1"/>
  <c r="D195" i="52"/>
  <c r="C195" i="52"/>
  <c r="E195" i="52"/>
  <c r="F195" i="52" a="1"/>
  <c r="F195" i="52" s="1"/>
  <c r="I195" i="52"/>
  <c r="L174" i="52" a="1"/>
  <c r="L174" i="52" s="1"/>
  <c r="D174" i="52"/>
  <c r="F174" i="52" a="1"/>
  <c r="F174" i="52" s="1"/>
  <c r="E174" i="52"/>
  <c r="I174" i="52"/>
  <c r="C174" i="52"/>
  <c r="L256" i="52" a="1"/>
  <c r="L256" i="52" s="1"/>
  <c r="E256" i="52"/>
  <c r="F256" i="52" a="1"/>
  <c r="F256" i="52" s="1"/>
  <c r="C256" i="52"/>
  <c r="D256" i="52"/>
  <c r="I256" i="52"/>
  <c r="F42" i="52" a="1"/>
  <c r="F42" i="52" s="1"/>
  <c r="D42" i="52"/>
  <c r="E42" i="52"/>
  <c r="C42" i="52"/>
  <c r="I203" i="52"/>
  <c r="C203" i="52"/>
  <c r="L203" i="52" a="1"/>
  <c r="L203" i="52" s="1"/>
  <c r="D203" i="52"/>
  <c r="F203" i="52" a="1"/>
  <c r="F203" i="52" s="1"/>
  <c r="E203" i="52"/>
  <c r="L223" i="52" a="1"/>
  <c r="L223" i="52" s="1"/>
  <c r="D223" i="52"/>
  <c r="I223" i="52"/>
  <c r="C223" i="52"/>
  <c r="F223" i="52" a="1"/>
  <c r="F223" i="52" s="1"/>
  <c r="E223" i="52"/>
  <c r="C225" i="52"/>
  <c r="E225" i="52"/>
  <c r="L225" i="52" a="1"/>
  <c r="L225" i="52" s="1"/>
  <c r="F225" i="52" a="1"/>
  <c r="F225" i="52" s="1"/>
  <c r="I225" i="52"/>
  <c r="D225" i="52"/>
  <c r="F52" i="52" a="1"/>
  <c r="F52" i="52" s="1"/>
  <c r="E52" i="52"/>
  <c r="C52" i="52"/>
  <c r="D52" i="52"/>
  <c r="C350" i="52"/>
  <c r="L350" i="52" a="1"/>
  <c r="L350" i="52" s="1"/>
  <c r="E350" i="52"/>
  <c r="D350" i="52"/>
  <c r="I350" i="52"/>
  <c r="F350" i="52" a="1"/>
  <c r="F350" i="52" s="1"/>
  <c r="F204" i="52" a="1"/>
  <c r="F204" i="52" s="1"/>
  <c r="D204" i="52"/>
  <c r="C204" i="52"/>
  <c r="E204" i="52"/>
  <c r="L204" i="52" a="1"/>
  <c r="L204" i="52" s="1"/>
  <c r="I204" i="52"/>
  <c r="E133" i="52"/>
  <c r="F133" i="52" a="1"/>
  <c r="F133" i="52" s="1"/>
  <c r="C133" i="52"/>
  <c r="I133" i="52"/>
  <c r="L133" i="52" a="1"/>
  <c r="L133" i="52" s="1"/>
  <c r="D133" i="52"/>
  <c r="D114" i="52"/>
  <c r="I114" i="52"/>
  <c r="E114" i="52"/>
  <c r="F114" i="52" a="1"/>
  <c r="F114" i="52" s="1"/>
  <c r="L114" i="52" a="1"/>
  <c r="L114" i="52" s="1"/>
  <c r="C114" i="52"/>
  <c r="L277" i="52" a="1"/>
  <c r="L277" i="52" s="1"/>
  <c r="C277" i="52"/>
  <c r="F277" i="52" a="1"/>
  <c r="F277" i="52" s="1"/>
  <c r="D277" i="52"/>
  <c r="I277" i="52"/>
  <c r="E277" i="52"/>
  <c r="I122" i="52"/>
  <c r="L122" i="52" a="1"/>
  <c r="L122" i="52" s="1"/>
  <c r="E122" i="52"/>
  <c r="F122" i="52" a="1"/>
  <c r="F122" i="52" s="1"/>
  <c r="C122" i="52"/>
  <c r="D122" i="52"/>
  <c r="I268" i="52"/>
  <c r="F268" i="52" a="1"/>
  <c r="F268" i="52" s="1"/>
  <c r="C268" i="52"/>
  <c r="E268" i="52"/>
  <c r="D268" i="52"/>
  <c r="L268" i="52" a="1"/>
  <c r="L268" i="52" s="1"/>
  <c r="C16" i="52"/>
  <c r="F16" i="52" a="1"/>
  <c r="F16" i="52" s="1"/>
  <c r="E16" i="52"/>
  <c r="L216" i="52" a="1"/>
  <c r="L216" i="52" s="1"/>
  <c r="I216" i="52"/>
  <c r="C216" i="52"/>
  <c r="F216" i="52" a="1"/>
  <c r="F216" i="52" s="1"/>
  <c r="E216" i="52"/>
  <c r="D216" i="52"/>
  <c r="L123" i="52" a="1"/>
  <c r="L123" i="52" s="1"/>
  <c r="D123" i="52"/>
  <c r="E123" i="52"/>
  <c r="C123" i="52"/>
  <c r="I123" i="52"/>
  <c r="F123" i="52" a="1"/>
  <c r="F123" i="52" s="1"/>
  <c r="E317" i="52"/>
  <c r="D317" i="52"/>
  <c r="I317" i="52"/>
  <c r="C317" i="52"/>
  <c r="L317" i="52" a="1"/>
  <c r="L317" i="52" s="1"/>
  <c r="F317" i="52" a="1"/>
  <c r="F317" i="52" s="1"/>
  <c r="I247" i="52"/>
  <c r="L247" i="52" a="1"/>
  <c r="L247" i="52" s="1"/>
  <c r="D247" i="52"/>
  <c r="C247" i="52"/>
  <c r="E247" i="52"/>
  <c r="F247" i="52" a="1"/>
  <c r="F247" i="52" s="1"/>
  <c r="E337" i="52"/>
  <c r="L337" i="52" a="1"/>
  <c r="L337" i="52" s="1"/>
  <c r="F337" i="52" a="1"/>
  <c r="F337" i="52" s="1"/>
  <c r="D337" i="52"/>
  <c r="I337" i="52"/>
  <c r="C337" i="52"/>
  <c r="L239" i="52" a="1"/>
  <c r="L239" i="52" s="1"/>
  <c r="F239" i="52" a="1"/>
  <c r="F239" i="52" s="1"/>
  <c r="D239" i="52"/>
  <c r="C239" i="52"/>
  <c r="E239" i="52"/>
  <c r="I239" i="52"/>
  <c r="D71" i="52"/>
  <c r="F71" i="52" a="1"/>
  <c r="F71" i="52" s="1"/>
  <c r="E71" i="52"/>
  <c r="C71" i="52"/>
  <c r="E80" i="52"/>
  <c r="D80" i="52"/>
  <c r="C80" i="52"/>
  <c r="I80" i="52"/>
  <c r="L80" i="52" a="1"/>
  <c r="L80" i="52" s="1"/>
  <c r="F80" i="52" a="1"/>
  <c r="F80" i="52" s="1"/>
  <c r="L184" i="52" a="1"/>
  <c r="L184" i="52" s="1"/>
  <c r="C184" i="52"/>
  <c r="E184" i="52"/>
  <c r="I184" i="52"/>
  <c r="F184" i="52" a="1"/>
  <c r="F184" i="52" s="1"/>
  <c r="D184" i="52"/>
  <c r="D57" i="52"/>
  <c r="F57" i="52" a="1"/>
  <c r="F57" i="52" s="1"/>
  <c r="C57" i="52"/>
  <c r="E57" i="52"/>
  <c r="F236" i="52" a="1"/>
  <c r="F236" i="52" s="1"/>
  <c r="L236" i="52" a="1"/>
  <c r="L236" i="52" s="1"/>
  <c r="I236" i="52"/>
  <c r="D236" i="52"/>
  <c r="C236" i="52"/>
  <c r="E236" i="52"/>
  <c r="L51" i="52" a="1"/>
  <c r="L51" i="52" s="1"/>
  <c r="C51" i="52"/>
  <c r="E51" i="52"/>
  <c r="F51" i="52" a="1"/>
  <c r="F51" i="52" s="1"/>
  <c r="F38" i="52" a="1"/>
  <c r="F38" i="52" s="1"/>
  <c r="C38" i="52"/>
  <c r="E38" i="52"/>
  <c r="D38" i="52"/>
  <c r="F67" i="52" a="1"/>
  <c r="F67" i="52" s="1"/>
  <c r="C67" i="52"/>
  <c r="E67" i="52"/>
  <c r="D67" i="52"/>
  <c r="E101" i="52"/>
  <c r="C101" i="52"/>
  <c r="F101" i="52" a="1"/>
  <c r="F101" i="52" s="1"/>
  <c r="I101" i="52"/>
  <c r="L101" i="52" a="1"/>
  <c r="L101" i="52" s="1"/>
  <c r="D101" i="52"/>
  <c r="C47" i="52"/>
  <c r="F47" i="52" a="1"/>
  <c r="F47" i="52" s="1"/>
  <c r="E47" i="52"/>
  <c r="D47" i="52"/>
  <c r="D50" i="25"/>
  <c r="G50" i="25"/>
  <c r="B50" i="25"/>
  <c r="E50" i="25"/>
  <c r="C50" i="25"/>
  <c r="D58" i="25"/>
  <c r="B58" i="25"/>
  <c r="C58" i="25"/>
  <c r="G58" i="25"/>
  <c r="E58" i="25"/>
  <c r="C41" i="25"/>
  <c r="G41" i="25"/>
  <c r="D41" i="25"/>
  <c r="E41" i="25"/>
  <c r="B41" i="25"/>
  <c r="D77" i="25"/>
  <c r="E77" i="25"/>
  <c r="G77" i="25"/>
  <c r="B77" i="25"/>
  <c r="C77" i="25"/>
  <c r="C47" i="25"/>
  <c r="D47" i="25"/>
  <c r="G47" i="25"/>
  <c r="B47" i="25"/>
  <c r="E47" i="25"/>
  <c r="G48" i="25"/>
  <c r="D48" i="25"/>
  <c r="C48" i="25"/>
  <c r="E48" i="25"/>
  <c r="B48" i="25"/>
  <c r="D79" i="25"/>
  <c r="E79" i="25"/>
  <c r="B79" i="25"/>
  <c r="C79" i="25"/>
  <c r="G79" i="25"/>
  <c r="B51" i="25"/>
  <c r="E51" i="25"/>
  <c r="D51" i="25"/>
  <c r="C51" i="25"/>
  <c r="G51" i="25"/>
  <c r="B61" i="25"/>
  <c r="D61" i="25"/>
  <c r="C61" i="25"/>
  <c r="G61" i="25"/>
  <c r="E61" i="25"/>
  <c r="C122" i="100"/>
  <c r="F122" i="100" a="1"/>
  <c r="F122" i="100" s="1"/>
  <c r="E122" i="100"/>
  <c r="I122" i="100"/>
  <c r="D122" i="100"/>
  <c r="K122" i="100" a="1"/>
  <c r="K122" i="100" s="1"/>
  <c r="C154" i="100"/>
  <c r="F154" i="100" a="1"/>
  <c r="F154" i="100" s="1"/>
  <c r="E154" i="100"/>
  <c r="I154" i="100"/>
  <c r="D154" i="100"/>
  <c r="K154" i="100" a="1"/>
  <c r="K154" i="100" s="1"/>
  <c r="F39" i="100" a="1"/>
  <c r="F39" i="100" s="1"/>
  <c r="D39" i="100"/>
  <c r="E39" i="100"/>
  <c r="C39" i="100"/>
  <c r="F88" i="100" a="1"/>
  <c r="F88" i="100" s="1"/>
  <c r="E88" i="100"/>
  <c r="C88" i="100"/>
  <c r="I88" i="100"/>
  <c r="D88" i="100"/>
  <c r="K88" i="100" a="1"/>
  <c r="K88" i="100" s="1"/>
  <c r="E256" i="100"/>
  <c r="F256" i="100" a="1"/>
  <c r="F256" i="100" s="1"/>
  <c r="I256" i="100"/>
  <c r="D256" i="100"/>
  <c r="C256" i="100"/>
  <c r="K256" i="100" a="1"/>
  <c r="K256" i="100" s="1"/>
  <c r="C349" i="100"/>
  <c r="E349" i="100"/>
  <c r="F349" i="100" a="1"/>
  <c r="F349" i="100" s="1"/>
  <c r="I349" i="100"/>
  <c r="D349" i="100"/>
  <c r="K349" i="100" a="1"/>
  <c r="K349" i="100" s="1"/>
  <c r="E350" i="100"/>
  <c r="C350" i="100"/>
  <c r="D350" i="100"/>
  <c r="I350" i="100"/>
  <c r="F350" i="100" a="1"/>
  <c r="F350" i="100" s="1"/>
  <c r="K350" i="100" a="1"/>
  <c r="K350" i="100" s="1"/>
  <c r="I347" i="100"/>
  <c r="F347" i="100" a="1"/>
  <c r="F347" i="100" s="1"/>
  <c r="C347" i="100"/>
  <c r="D347" i="100"/>
  <c r="E347" i="100"/>
  <c r="K347" i="100" a="1"/>
  <c r="K347" i="100" s="1"/>
  <c r="C10" i="100"/>
  <c r="F10" i="100" a="1"/>
  <c r="F10" i="100" s="1"/>
  <c r="D10" i="100"/>
  <c r="E10" i="100"/>
  <c r="D136" i="100"/>
  <c r="C136" i="100"/>
  <c r="E136" i="100"/>
  <c r="F136" i="100" a="1"/>
  <c r="F136" i="100" s="1"/>
  <c r="I136" i="100"/>
  <c r="K136" i="100" a="1"/>
  <c r="K136" i="100" s="1"/>
  <c r="C263" i="100"/>
  <c r="D263" i="100"/>
  <c r="I263" i="100"/>
  <c r="F263" i="100" a="1"/>
  <c r="F263" i="100" s="1"/>
  <c r="E263" i="100"/>
  <c r="K263" i="100" a="1"/>
  <c r="K263" i="100" s="1"/>
  <c r="I348" i="100"/>
  <c r="E348" i="100"/>
  <c r="D348" i="100"/>
  <c r="C348" i="100"/>
  <c r="F348" i="100" a="1"/>
  <c r="F348" i="100" s="1"/>
  <c r="K348" i="100" a="1"/>
  <c r="K348" i="100" s="1"/>
  <c r="C168" i="100"/>
  <c r="E168" i="100"/>
  <c r="D168" i="100"/>
  <c r="I168" i="100"/>
  <c r="F168" i="100" a="1"/>
  <c r="F168" i="100" s="1"/>
  <c r="K168" i="100" a="1"/>
  <c r="K168" i="100" s="1"/>
  <c r="E244" i="100"/>
  <c r="C244" i="100"/>
  <c r="I244" i="100"/>
  <c r="D244" i="100"/>
  <c r="F244" i="100" a="1"/>
  <c r="F244" i="100" s="1"/>
  <c r="K244" i="100" a="1"/>
  <c r="K244" i="100" s="1"/>
  <c r="E278" i="100"/>
  <c r="C278" i="100"/>
  <c r="I278" i="100"/>
  <c r="D278" i="100"/>
  <c r="F278" i="100" a="1"/>
  <c r="F278" i="100" s="1"/>
  <c r="K278" i="100" a="1"/>
  <c r="K278" i="100" s="1"/>
  <c r="D48" i="100"/>
  <c r="F48" i="100" a="1"/>
  <c r="F48" i="100" s="1"/>
  <c r="C48" i="100"/>
  <c r="E48" i="100"/>
  <c r="F187" i="100" a="1"/>
  <c r="F187" i="100" s="1"/>
  <c r="E187" i="100"/>
  <c r="I187" i="100"/>
  <c r="C187" i="100"/>
  <c r="D187" i="100"/>
  <c r="K187" i="100" a="1"/>
  <c r="K187" i="100" s="1"/>
  <c r="E261" i="100"/>
  <c r="F261" i="100" a="1"/>
  <c r="F261" i="100" s="1"/>
  <c r="D261" i="100"/>
  <c r="C261" i="100"/>
  <c r="I261" i="100"/>
  <c r="K261" i="100" a="1"/>
  <c r="K261" i="100" s="1"/>
  <c r="F71" i="100" a="1"/>
  <c r="F71" i="100" s="1"/>
  <c r="I71" i="100"/>
  <c r="C71" i="100"/>
  <c r="D71" i="100"/>
  <c r="E71" i="100"/>
  <c r="K71" i="100" a="1"/>
  <c r="K71" i="100" s="1"/>
  <c r="F237" i="100" a="1"/>
  <c r="F237" i="100" s="1"/>
  <c r="D237" i="100"/>
  <c r="E237" i="100"/>
  <c r="I237" i="100"/>
  <c r="C237" i="100"/>
  <c r="K237" i="100" a="1"/>
  <c r="K237" i="100" s="1"/>
  <c r="F207" i="100" a="1"/>
  <c r="F207" i="100" s="1"/>
  <c r="E207" i="100"/>
  <c r="D207" i="100"/>
  <c r="C207" i="100"/>
  <c r="I207" i="100"/>
  <c r="K207" i="100" a="1"/>
  <c r="K207" i="100" s="1"/>
  <c r="I283" i="100"/>
  <c r="E283" i="100"/>
  <c r="C283" i="100"/>
  <c r="F283" i="100" a="1"/>
  <c r="F283" i="100" s="1"/>
  <c r="D283" i="100"/>
  <c r="K283" i="100" a="1"/>
  <c r="K283" i="100" s="1"/>
  <c r="E116" i="100"/>
  <c r="D116" i="100"/>
  <c r="F116" i="100" a="1"/>
  <c r="F116" i="100" s="1"/>
  <c r="C116" i="100"/>
  <c r="I116" i="100"/>
  <c r="K116" i="100" a="1"/>
  <c r="K116" i="100" s="1"/>
  <c r="I305" i="100"/>
  <c r="D305" i="100"/>
  <c r="F305" i="100" a="1"/>
  <c r="F305" i="100" s="1"/>
  <c r="C305" i="100"/>
  <c r="E305" i="100"/>
  <c r="K305" i="100" a="1"/>
  <c r="K305" i="100" s="1"/>
  <c r="D96" i="100"/>
  <c r="E96" i="100"/>
  <c r="F96" i="100" a="1"/>
  <c r="F96" i="100" s="1"/>
  <c r="I96" i="100"/>
  <c r="C96" i="100"/>
  <c r="K96" i="100" a="1"/>
  <c r="K96" i="100" s="1"/>
  <c r="E301" i="100"/>
  <c r="D301" i="100"/>
  <c r="I301" i="100"/>
  <c r="F301" i="100" a="1"/>
  <c r="F301" i="100" s="1"/>
  <c r="C301" i="100"/>
  <c r="K301" i="100" a="1"/>
  <c r="K301" i="100" s="1"/>
  <c r="E108" i="100"/>
  <c r="F108" i="100" a="1"/>
  <c r="F108" i="100" s="1"/>
  <c r="D108" i="100"/>
  <c r="I108" i="100"/>
  <c r="C108" i="100"/>
  <c r="K108" i="100" a="1"/>
  <c r="K108" i="100" s="1"/>
  <c r="E32" i="100"/>
  <c r="F32" i="100" a="1"/>
  <c r="F32" i="100" s="1"/>
  <c r="C32" i="100"/>
  <c r="F8" i="100" a="1"/>
  <c r="F8" i="100" s="1"/>
  <c r="D8" i="100"/>
  <c r="C8" i="100"/>
  <c r="E8" i="100"/>
  <c r="E147" i="100"/>
  <c r="D147" i="100"/>
  <c r="F147" i="100" a="1"/>
  <c r="F147" i="100" s="1"/>
  <c r="C147" i="100"/>
  <c r="I147" i="100"/>
  <c r="K147" i="100" a="1"/>
  <c r="K147" i="100" s="1"/>
  <c r="I292" i="100"/>
  <c r="C292" i="100"/>
  <c r="E292" i="100"/>
  <c r="D292" i="100"/>
  <c r="F292" i="100" a="1"/>
  <c r="F292" i="100" s="1"/>
  <c r="K292" i="100" a="1"/>
  <c r="K292" i="100" s="1"/>
  <c r="C41" i="100"/>
  <c r="F41" i="100" a="1"/>
  <c r="F41" i="100" s="1"/>
  <c r="D41" i="100"/>
  <c r="E41" i="100"/>
  <c r="I300" i="100"/>
  <c r="E300" i="100"/>
  <c r="F300" i="100" a="1"/>
  <c r="F300" i="100" s="1"/>
  <c r="C300" i="100"/>
  <c r="D300" i="100"/>
  <c r="K300" i="100" a="1"/>
  <c r="K300" i="100" s="1"/>
  <c r="F257" i="100" a="1"/>
  <c r="F257" i="100" s="1"/>
  <c r="E257" i="100"/>
  <c r="C257" i="100"/>
  <c r="I257" i="100"/>
  <c r="D257" i="100"/>
  <c r="K257" i="100" a="1"/>
  <c r="K257" i="100" s="1"/>
  <c r="I254" i="100"/>
  <c r="D254" i="100"/>
  <c r="E254" i="100"/>
  <c r="C254" i="100"/>
  <c r="F254" i="100" a="1"/>
  <c r="F254" i="100" s="1"/>
  <c r="K254" i="100" a="1"/>
  <c r="K254" i="100" s="1"/>
  <c r="F6" i="100" a="1"/>
  <c r="F6" i="100" s="1"/>
  <c r="E6" i="100"/>
  <c r="D6" i="100"/>
  <c r="C6" i="100"/>
  <c r="F284" i="101" a="1"/>
  <c r="F284" i="101" s="1"/>
  <c r="E284" i="101"/>
  <c r="I284" i="101"/>
  <c r="C284" i="101"/>
  <c r="D284" i="101"/>
  <c r="C343" i="101"/>
  <c r="I343" i="101"/>
  <c r="E343" i="101"/>
  <c r="F343" i="101" a="1"/>
  <c r="F343" i="101" s="1"/>
  <c r="D343" i="101"/>
  <c r="E178" i="101"/>
  <c r="C178" i="101"/>
  <c r="D178" i="101"/>
  <c r="I178" i="101"/>
  <c r="F178" i="101" a="1"/>
  <c r="F178" i="101" s="1"/>
  <c r="E142" i="101"/>
  <c r="F142" i="101" a="1"/>
  <c r="F142" i="101" s="1"/>
  <c r="C142" i="101"/>
  <c r="D142" i="101"/>
  <c r="I142" i="101"/>
  <c r="F14" i="101" a="1"/>
  <c r="F14" i="101" s="1"/>
  <c r="E14" i="101"/>
  <c r="C14" i="101"/>
  <c r="D14" i="101"/>
  <c r="C339" i="101"/>
  <c r="F339" i="101" a="1"/>
  <c r="F339" i="101" s="1"/>
  <c r="I339" i="101"/>
  <c r="E339" i="101"/>
  <c r="D339" i="101"/>
  <c r="I257" i="101"/>
  <c r="D257" i="101"/>
  <c r="C257" i="101"/>
  <c r="F257" i="101" a="1"/>
  <c r="F257" i="101" s="1"/>
  <c r="E257" i="101"/>
  <c r="E350" i="101"/>
  <c r="D350" i="101"/>
  <c r="I350" i="101"/>
  <c r="K350" i="101" a="1"/>
  <c r="K350" i="101" s="1"/>
  <c r="F350" i="101" a="1"/>
  <c r="F350" i="101" s="1"/>
  <c r="C350" i="101"/>
  <c r="D72" i="101"/>
  <c r="I72" i="101"/>
  <c r="F72" i="101" a="1"/>
  <c r="F72" i="101" s="1"/>
  <c r="C72" i="101"/>
  <c r="E72" i="101"/>
  <c r="I111" i="101"/>
  <c r="F111" i="101" a="1"/>
  <c r="F111" i="101" s="1"/>
  <c r="D111" i="101"/>
  <c r="C111" i="101"/>
  <c r="E111" i="101"/>
  <c r="E309" i="101"/>
  <c r="C309" i="101"/>
  <c r="D309" i="101"/>
  <c r="I309" i="101"/>
  <c r="F309" i="101" a="1"/>
  <c r="F309" i="101" s="1"/>
  <c r="E345" i="101"/>
  <c r="I345" i="101"/>
  <c r="F345" i="101" a="1"/>
  <c r="F345" i="101" s="1"/>
  <c r="C345" i="101"/>
  <c r="D345" i="101"/>
  <c r="D129" i="101"/>
  <c r="C129" i="101"/>
  <c r="E129" i="101"/>
  <c r="I129" i="101"/>
  <c r="F129" i="101" a="1"/>
  <c r="F129" i="101" s="1"/>
  <c r="F301" i="101" a="1"/>
  <c r="F301" i="101" s="1"/>
  <c r="D301" i="101"/>
  <c r="I301" i="101"/>
  <c r="E301" i="101"/>
  <c r="C301" i="101"/>
  <c r="D6" i="101"/>
  <c r="F6" i="101" a="1"/>
  <c r="F6" i="101" s="1"/>
  <c r="E6" i="101"/>
  <c r="C6" i="101"/>
  <c r="C34" i="101"/>
  <c r="D34" i="101"/>
  <c r="E34" i="101"/>
  <c r="F34" i="101" a="1"/>
  <c r="F34" i="101" s="1"/>
  <c r="I34" i="101"/>
  <c r="C66" i="101"/>
  <c r="F66" i="101" a="1"/>
  <c r="F66" i="101" s="1"/>
  <c r="D66" i="101"/>
  <c r="E66" i="101"/>
  <c r="I66" i="101"/>
  <c r="C152" i="101"/>
  <c r="E152" i="101"/>
  <c r="F152" i="101" a="1"/>
  <c r="F152" i="101" s="1"/>
  <c r="D152" i="101"/>
  <c r="I152" i="101"/>
  <c r="I60" i="101"/>
  <c r="C60" i="101"/>
  <c r="D60" i="101"/>
  <c r="F60" i="101" a="1"/>
  <c r="F60" i="101" s="1"/>
  <c r="E60" i="101"/>
  <c r="E43" i="101"/>
  <c r="D43" i="101"/>
  <c r="F43" i="101" a="1"/>
  <c r="F43" i="101" s="1"/>
  <c r="I43" i="101"/>
  <c r="C43" i="101"/>
  <c r="F151" i="101" a="1"/>
  <c r="F151" i="101" s="1"/>
  <c r="C151" i="101"/>
  <c r="E151" i="101"/>
  <c r="I151" i="101"/>
  <c r="D151" i="101"/>
  <c r="E143" i="101"/>
  <c r="C143" i="101"/>
  <c r="I143" i="101"/>
  <c r="F143" i="101" a="1"/>
  <c r="F143" i="101" s="1"/>
  <c r="D143" i="101"/>
  <c r="I323" i="101"/>
  <c r="D323" i="101"/>
  <c r="E323" i="101"/>
  <c r="F323" i="101" a="1"/>
  <c r="F323" i="101" s="1"/>
  <c r="C323" i="101"/>
  <c r="I260" i="101"/>
  <c r="D260" i="101"/>
  <c r="E260" i="101"/>
  <c r="C260" i="101"/>
  <c r="F260" i="101" a="1"/>
  <c r="F260" i="101" s="1"/>
  <c r="D113" i="101"/>
  <c r="F113" i="101" a="1"/>
  <c r="F113" i="101" s="1"/>
  <c r="I113" i="101"/>
  <c r="E113" i="101"/>
  <c r="C113" i="101"/>
  <c r="F298" i="101" a="1"/>
  <c r="F298" i="101" s="1"/>
  <c r="I298" i="101"/>
  <c r="D298" i="101"/>
  <c r="E298" i="101"/>
  <c r="C298" i="101"/>
  <c r="I88" i="101"/>
  <c r="D88" i="101"/>
  <c r="F88" i="101" a="1"/>
  <c r="F88" i="101" s="1"/>
  <c r="E88" i="101"/>
  <c r="C88" i="101"/>
  <c r="E235" i="101"/>
  <c r="C235" i="101"/>
  <c r="F235" i="101" a="1"/>
  <c r="F235" i="101" s="1"/>
  <c r="I235" i="101"/>
  <c r="D235" i="101"/>
  <c r="F191" i="101" a="1"/>
  <c r="F191" i="101" s="1"/>
  <c r="E191" i="101"/>
  <c r="D191" i="101"/>
  <c r="I191" i="101"/>
  <c r="C191" i="101"/>
  <c r="F315" i="101" a="1"/>
  <c r="F315" i="101" s="1"/>
  <c r="C315" i="101"/>
  <c r="E315" i="101"/>
  <c r="I315" i="101"/>
  <c r="D315" i="101"/>
  <c r="I325" i="101"/>
  <c r="D325" i="101"/>
  <c r="C325" i="101"/>
  <c r="E325" i="101"/>
  <c r="F325" i="101" a="1"/>
  <c r="F325" i="101" s="1"/>
  <c r="D72" i="34"/>
  <c r="E72" i="34"/>
  <c r="G72" i="34"/>
  <c r="B72" i="34"/>
  <c r="C72" i="34"/>
  <c r="C69" i="34"/>
  <c r="B69" i="34"/>
  <c r="G69" i="34"/>
  <c r="D69" i="34"/>
  <c r="E69" i="34"/>
  <c r="D21" i="34"/>
  <c r="G21" i="34"/>
  <c r="C21" i="34"/>
  <c r="E21" i="34"/>
  <c r="B21" i="34"/>
  <c r="G29" i="34"/>
  <c r="D29" i="34"/>
  <c r="C29" i="34"/>
  <c r="B29" i="34"/>
  <c r="E29" i="34"/>
  <c r="G9" i="34"/>
  <c r="B9" i="34"/>
  <c r="E9" i="34"/>
  <c r="C9" i="34"/>
  <c r="D9" i="34"/>
  <c r="D54" i="34"/>
  <c r="B54" i="34"/>
  <c r="E54" i="34"/>
  <c r="C54" i="34"/>
  <c r="G54" i="34"/>
  <c r="G69" i="22"/>
  <c r="C69" i="22"/>
  <c r="B69" i="22"/>
  <c r="E69" i="22"/>
  <c r="D69" i="22"/>
  <c r="E47" i="22"/>
  <c r="B47" i="22"/>
  <c r="D47" i="22"/>
  <c r="G47" i="22"/>
  <c r="C47" i="22"/>
  <c r="D59" i="22"/>
  <c r="E59" i="22"/>
  <c r="B59" i="22"/>
  <c r="C59" i="22"/>
  <c r="G59" i="22"/>
  <c r="C9" i="51"/>
  <c r="E9" i="51"/>
  <c r="F9" i="51" a="1"/>
  <c r="F9" i="51" s="1"/>
  <c r="K32" i="51" a="1"/>
  <c r="K32" i="51" s="1"/>
  <c r="D32" i="51"/>
  <c r="F32" i="51" a="1"/>
  <c r="F32" i="51" s="1"/>
  <c r="C32" i="51"/>
  <c r="E32" i="51"/>
  <c r="I32" i="51"/>
  <c r="F27" i="51" a="1"/>
  <c r="F27" i="51" s="1"/>
  <c r="I27" i="51"/>
  <c r="K27" i="51" a="1"/>
  <c r="K27" i="51" s="1"/>
  <c r="E27" i="51"/>
  <c r="D27" i="51"/>
  <c r="C27" i="51"/>
  <c r="E24" i="51"/>
  <c r="K24" i="51" a="1"/>
  <c r="K24" i="51" s="1"/>
  <c r="I24" i="51"/>
  <c r="F24" i="51" a="1"/>
  <c r="F24" i="51" s="1"/>
  <c r="D24" i="51"/>
  <c r="C24" i="51"/>
  <c r="E40" i="51"/>
  <c r="K40" i="51" a="1"/>
  <c r="K40" i="51" s="1"/>
  <c r="C40" i="51"/>
  <c r="D40" i="51"/>
  <c r="F40" i="51" a="1"/>
  <c r="F40" i="51" s="1"/>
  <c r="I40" i="51"/>
  <c r="C44" i="51"/>
  <c r="D44" i="51"/>
  <c r="K44" i="51" a="1"/>
  <c r="K44" i="51" s="1"/>
  <c r="F44" i="51" a="1"/>
  <c r="F44" i="51" s="1"/>
  <c r="I44" i="51"/>
  <c r="E44" i="51"/>
  <c r="E72" i="24"/>
  <c r="C72" i="24"/>
  <c r="B72" i="24"/>
  <c r="D72" i="24"/>
  <c r="G72" i="24"/>
  <c r="E33" i="24"/>
  <c r="C33" i="24"/>
  <c r="B33" i="24"/>
  <c r="D33" i="24"/>
  <c r="B64" i="24"/>
  <c r="C64" i="24"/>
  <c r="G64" i="24"/>
  <c r="E64" i="24"/>
  <c r="D64" i="24"/>
  <c r="D24" i="24"/>
  <c r="B24" i="24"/>
  <c r="C24" i="24"/>
  <c r="E24" i="24"/>
  <c r="G76" i="24"/>
  <c r="E76" i="24"/>
  <c r="D76" i="24"/>
  <c r="C76" i="24"/>
  <c r="B76" i="24"/>
  <c r="D62" i="24"/>
  <c r="G62" i="24"/>
  <c r="C62" i="24"/>
  <c r="E62" i="24"/>
  <c r="B62" i="24"/>
  <c r="G47" i="24"/>
  <c r="C47" i="24"/>
  <c r="E47" i="24"/>
  <c r="D47" i="24"/>
  <c r="B47" i="24"/>
  <c r="J233" i="53"/>
  <c r="F233" i="53"/>
  <c r="U233" i="53" s="1"/>
  <c r="D233" i="53"/>
  <c r="E233" i="53"/>
  <c r="G233" i="53" a="1"/>
  <c r="G233" i="53" s="1"/>
  <c r="F353" i="53"/>
  <c r="U353" i="53" s="1"/>
  <c r="J353" i="53"/>
  <c r="D353" i="53"/>
  <c r="G353" i="53" a="1"/>
  <c r="G353" i="53" s="1"/>
  <c r="E353" i="53"/>
  <c r="D124" i="53"/>
  <c r="E124" i="53"/>
  <c r="F124" i="53"/>
  <c r="U124" i="53" s="1"/>
  <c r="J124" i="53"/>
  <c r="G124" i="53" a="1"/>
  <c r="G124" i="53" s="1"/>
  <c r="G269" i="53" a="1"/>
  <c r="G269" i="53" s="1"/>
  <c r="E269" i="53"/>
  <c r="J269" i="53"/>
  <c r="D269" i="53"/>
  <c r="F269" i="53"/>
  <c r="U269" i="53" s="1"/>
  <c r="J221" i="53"/>
  <c r="D221" i="53"/>
  <c r="G221" i="53" a="1"/>
  <c r="G221" i="53" s="1"/>
  <c r="E221" i="53"/>
  <c r="F221" i="53"/>
  <c r="U221" i="53" s="1"/>
  <c r="F249" i="53"/>
  <c r="U249" i="53" s="1"/>
  <c r="G249" i="53" a="1"/>
  <c r="G249" i="53" s="1"/>
  <c r="D249" i="53"/>
  <c r="J249" i="53"/>
  <c r="E249" i="53"/>
  <c r="G62" i="53" a="1"/>
  <c r="G62" i="53" s="1"/>
  <c r="D62" i="53"/>
  <c r="J62" i="53"/>
  <c r="E62" i="53"/>
  <c r="F62" i="53"/>
  <c r="U62" i="53" s="1"/>
  <c r="G103" i="53" a="1"/>
  <c r="G103" i="53" s="1"/>
  <c r="F103" i="53"/>
  <c r="U103" i="53" s="1"/>
  <c r="E103" i="53"/>
  <c r="J103" i="53"/>
  <c r="D103" i="53"/>
  <c r="G91" i="53" a="1"/>
  <c r="G91" i="53" s="1"/>
  <c r="F91" i="53"/>
  <c r="U91" i="53" s="1"/>
  <c r="D91" i="53"/>
  <c r="J91" i="53"/>
  <c r="E91" i="53"/>
  <c r="F207" i="53"/>
  <c r="U207" i="53" s="1"/>
  <c r="E207" i="53"/>
  <c r="J207" i="53"/>
  <c r="G207" i="53" a="1"/>
  <c r="G207" i="53" s="1"/>
  <c r="D207" i="53"/>
  <c r="J49" i="53"/>
  <c r="G49" i="53" a="1"/>
  <c r="G49" i="53" s="1"/>
  <c r="F49" i="53"/>
  <c r="U49" i="53" s="1"/>
  <c r="E49" i="53"/>
  <c r="D49" i="53"/>
  <c r="J311" i="53"/>
  <c r="D311" i="53"/>
  <c r="F311" i="53"/>
  <c r="U311" i="53" s="1"/>
  <c r="E311" i="53"/>
  <c r="G311" i="53" a="1"/>
  <c r="G311" i="53" s="1"/>
  <c r="F232" i="53"/>
  <c r="U232" i="53" s="1"/>
  <c r="D232" i="53"/>
  <c r="E232" i="53"/>
  <c r="J232" i="53"/>
  <c r="G232" i="53" a="1"/>
  <c r="G232" i="53" s="1"/>
  <c r="D331" i="53"/>
  <c r="E331" i="53"/>
  <c r="F331" i="53"/>
  <c r="U331" i="53" s="1"/>
  <c r="J331" i="53"/>
  <c r="G331" i="53" a="1"/>
  <c r="G331" i="53" s="1"/>
  <c r="E83" i="53"/>
  <c r="F83" i="53"/>
  <c r="U83" i="53" s="1"/>
  <c r="D83" i="53"/>
  <c r="G83" i="53" a="1"/>
  <c r="G83" i="53" s="1"/>
  <c r="J83" i="53"/>
  <c r="F146" i="53"/>
  <c r="U146" i="53" s="1"/>
  <c r="E146" i="53"/>
  <c r="D146" i="53"/>
  <c r="J146" i="53"/>
  <c r="G146" i="53" a="1"/>
  <c r="G146" i="53" s="1"/>
  <c r="F324" i="53"/>
  <c r="U324" i="53" s="1"/>
  <c r="D324" i="53"/>
  <c r="G324" i="53" a="1"/>
  <c r="G324" i="53" s="1"/>
  <c r="J324" i="53"/>
  <c r="E324" i="53"/>
  <c r="J93" i="53"/>
  <c r="F93" i="53"/>
  <c r="U93" i="53" s="1"/>
  <c r="D93" i="53"/>
  <c r="E93" i="53"/>
  <c r="G93" i="53" a="1"/>
  <c r="G93" i="53" s="1"/>
  <c r="G56" i="53" a="1"/>
  <c r="G56" i="53" s="1"/>
  <c r="F56" i="53"/>
  <c r="U56" i="53" s="1"/>
  <c r="J56" i="53"/>
  <c r="E56" i="53"/>
  <c r="D56" i="53"/>
  <c r="G78" i="53" a="1"/>
  <c r="G78" i="53" s="1"/>
  <c r="J78" i="53"/>
  <c r="F78" i="53"/>
  <c r="U78" i="53" s="1"/>
  <c r="D78" i="53"/>
  <c r="E78" i="53"/>
  <c r="J59" i="53"/>
  <c r="F59" i="53"/>
  <c r="U59" i="53" s="1"/>
  <c r="G59" i="53" a="1"/>
  <c r="G59" i="53" s="1"/>
  <c r="D59" i="53"/>
  <c r="E59" i="53"/>
  <c r="D335" i="53"/>
  <c r="G335" i="53" a="1"/>
  <c r="G335" i="53" s="1"/>
  <c r="F335" i="53"/>
  <c r="U335" i="53" s="1"/>
  <c r="J335" i="53"/>
  <c r="E335" i="53"/>
  <c r="J136" i="53"/>
  <c r="E136" i="53"/>
  <c r="F136" i="53"/>
  <c r="U136" i="53" s="1"/>
  <c r="D136" i="53"/>
  <c r="G136" i="53" a="1"/>
  <c r="G136" i="53" s="1"/>
  <c r="J223" i="53"/>
  <c r="D223" i="53"/>
  <c r="E223" i="53"/>
  <c r="G223" i="53" a="1"/>
  <c r="G223" i="53" s="1"/>
  <c r="F223" i="53"/>
  <c r="U223" i="53" s="1"/>
  <c r="J131" i="53"/>
  <c r="E131" i="53"/>
  <c r="F131" i="53"/>
  <c r="U131" i="53" s="1"/>
  <c r="G131" i="53" a="1"/>
  <c r="G131" i="53" s="1"/>
  <c r="D131" i="53"/>
  <c r="J206" i="53"/>
  <c r="E206" i="53"/>
  <c r="G206" i="53" a="1"/>
  <c r="G206" i="53" s="1"/>
  <c r="F206" i="53"/>
  <c r="U206" i="53" s="1"/>
  <c r="D206" i="53"/>
  <c r="F58" i="53"/>
  <c r="U58" i="53" s="1"/>
  <c r="G58" i="53" a="1"/>
  <c r="G58" i="53" s="1"/>
  <c r="E58" i="53"/>
  <c r="J58" i="53"/>
  <c r="D58" i="53"/>
  <c r="G272" i="53" a="1"/>
  <c r="G272" i="53" s="1"/>
  <c r="J272" i="53"/>
  <c r="E272" i="53"/>
  <c r="D272" i="53"/>
  <c r="F272" i="53"/>
  <c r="U272" i="53" s="1"/>
  <c r="F178" i="53"/>
  <c r="U178" i="53" s="1"/>
  <c r="E178" i="53"/>
  <c r="G178" i="53" a="1"/>
  <c r="G178" i="53" s="1"/>
  <c r="J178" i="53"/>
  <c r="D178" i="53"/>
  <c r="E321" i="53"/>
  <c r="J321" i="53"/>
  <c r="G321" i="53" a="1"/>
  <c r="G321" i="53" s="1"/>
  <c r="D321" i="53"/>
  <c r="F321" i="53"/>
  <c r="U321" i="53" s="1"/>
  <c r="F173" i="53"/>
  <c r="U173" i="53" s="1"/>
  <c r="E173" i="53"/>
  <c r="G173" i="53" a="1"/>
  <c r="G173" i="53" s="1"/>
  <c r="D173" i="53"/>
  <c r="J173" i="53"/>
  <c r="F54" i="53"/>
  <c r="U54" i="53" s="1"/>
  <c r="J54" i="53"/>
  <c r="G54" i="53" a="1"/>
  <c r="G54" i="53" s="1"/>
  <c r="E54" i="53"/>
  <c r="D54" i="53"/>
  <c r="F162" i="53"/>
  <c r="U162" i="53" s="1"/>
  <c r="D162" i="53"/>
  <c r="G162" i="53" a="1"/>
  <c r="G162" i="53" s="1"/>
  <c r="J162" i="53"/>
  <c r="E162" i="53"/>
  <c r="G177" i="50" a="1"/>
  <c r="G177" i="50" s="1"/>
  <c r="E177" i="50"/>
  <c r="D177" i="50"/>
  <c r="J177" i="50"/>
  <c r="F177" i="50"/>
  <c r="U177" i="50" s="1"/>
  <c r="D154" i="50"/>
  <c r="F154" i="50"/>
  <c r="U154" i="50" s="1"/>
  <c r="E154" i="50"/>
  <c r="J154" i="50"/>
  <c r="G154" i="50" a="1"/>
  <c r="G154" i="50" s="1"/>
  <c r="D185" i="50"/>
  <c r="G185" i="50" a="1"/>
  <c r="G185" i="50" s="1"/>
  <c r="J185" i="50"/>
  <c r="F185" i="50"/>
  <c r="U185" i="50" s="1"/>
  <c r="E185" i="50"/>
  <c r="D130" i="50"/>
  <c r="G130" i="50" a="1"/>
  <c r="G130" i="50" s="1"/>
  <c r="E130" i="50"/>
  <c r="F130" i="50"/>
  <c r="U130" i="50" s="1"/>
  <c r="J130" i="50"/>
  <c r="D207" i="50"/>
  <c r="J207" i="50"/>
  <c r="G207" i="50" a="1"/>
  <c r="G207" i="50" s="1"/>
  <c r="F207" i="50"/>
  <c r="U207" i="50" s="1"/>
  <c r="E207" i="50"/>
  <c r="E305" i="50"/>
  <c r="J305" i="50"/>
  <c r="F305" i="50"/>
  <c r="U305" i="50" s="1"/>
  <c r="D305" i="50"/>
  <c r="G305" i="50" a="1"/>
  <c r="G305" i="50" s="1"/>
  <c r="J113" i="50"/>
  <c r="D113" i="50"/>
  <c r="E113" i="50"/>
  <c r="G113" i="50" a="1"/>
  <c r="G113" i="50" s="1"/>
  <c r="F113" i="50"/>
  <c r="U113" i="50" s="1"/>
  <c r="E84" i="50"/>
  <c r="F84" i="50"/>
  <c r="U84" i="50" s="1"/>
  <c r="J84" i="50"/>
  <c r="G84" i="50" a="1"/>
  <c r="G84" i="50" s="1"/>
  <c r="D84" i="50"/>
  <c r="E188" i="50"/>
  <c r="F188" i="50"/>
  <c r="U188" i="50" s="1"/>
  <c r="J188" i="50"/>
  <c r="D188" i="50"/>
  <c r="G188" i="50" a="1"/>
  <c r="G188" i="50" s="1"/>
  <c r="D58" i="50"/>
  <c r="J58" i="50"/>
  <c r="F58" i="50"/>
  <c r="U58" i="50" s="1"/>
  <c r="G58" i="50" a="1"/>
  <c r="G58" i="50" s="1"/>
  <c r="E58" i="50"/>
  <c r="G189" i="50" a="1"/>
  <c r="G189" i="50" s="1"/>
  <c r="E189" i="50"/>
  <c r="J189" i="50"/>
  <c r="D189" i="50"/>
  <c r="F189" i="50"/>
  <c r="U189" i="50" s="1"/>
  <c r="D17" i="50"/>
  <c r="F17" i="50"/>
  <c r="G17" i="50" a="1"/>
  <c r="G17" i="50" s="1"/>
  <c r="J291" i="50"/>
  <c r="G291" i="50" a="1"/>
  <c r="G291" i="50" s="1"/>
  <c r="E291" i="50"/>
  <c r="D291" i="50"/>
  <c r="F291" i="50"/>
  <c r="U291" i="50" s="1"/>
  <c r="D116" i="50"/>
  <c r="J116" i="50"/>
  <c r="E116" i="50"/>
  <c r="G116" i="50" a="1"/>
  <c r="G116" i="50" s="1"/>
  <c r="F116" i="50"/>
  <c r="U116" i="50" s="1"/>
  <c r="D288" i="50"/>
  <c r="G288" i="50" a="1"/>
  <c r="G288" i="50" s="1"/>
  <c r="E288" i="50"/>
  <c r="F288" i="50"/>
  <c r="U288" i="50" s="1"/>
  <c r="J288" i="50"/>
  <c r="E187" i="50"/>
  <c r="J187" i="50"/>
  <c r="D187" i="50"/>
  <c r="F187" i="50"/>
  <c r="U187" i="50" s="1"/>
  <c r="G187" i="50" a="1"/>
  <c r="G187" i="50" s="1"/>
  <c r="E195" i="50"/>
  <c r="F195" i="50"/>
  <c r="U195" i="50" s="1"/>
  <c r="G195" i="50" a="1"/>
  <c r="G195" i="50" s="1"/>
  <c r="D195" i="50"/>
  <c r="J195" i="50"/>
  <c r="D353" i="50"/>
  <c r="E353" i="50"/>
  <c r="J353" i="50"/>
  <c r="F353" i="50"/>
  <c r="U353" i="50" s="1"/>
  <c r="G353" i="50" a="1"/>
  <c r="G353" i="50" s="1"/>
  <c r="D127" i="50"/>
  <c r="E127" i="50"/>
  <c r="F127" i="50"/>
  <c r="U127" i="50" s="1"/>
  <c r="G127" i="50" a="1"/>
  <c r="G127" i="50" s="1"/>
  <c r="J127" i="50"/>
  <c r="J221" i="50"/>
  <c r="E221" i="50"/>
  <c r="D221" i="50"/>
  <c r="G221" i="50" a="1"/>
  <c r="G221" i="50" s="1"/>
  <c r="F221" i="50"/>
  <c r="U221" i="50" s="1"/>
  <c r="G151" i="50" a="1"/>
  <c r="G151" i="50" s="1"/>
  <c r="J151" i="50"/>
  <c r="D151" i="50"/>
  <c r="F151" i="50"/>
  <c r="U151" i="50" s="1"/>
  <c r="E151" i="50"/>
  <c r="D56" i="50"/>
  <c r="J56" i="50"/>
  <c r="F56" i="50"/>
  <c r="U56" i="50" s="1"/>
  <c r="E56" i="50"/>
  <c r="G56" i="50" a="1"/>
  <c r="G56" i="50" s="1"/>
  <c r="D233" i="50"/>
  <c r="J233" i="50"/>
  <c r="F233" i="50"/>
  <c r="U233" i="50" s="1"/>
  <c r="G233" i="50" a="1"/>
  <c r="G233" i="50" s="1"/>
  <c r="E233" i="50"/>
  <c r="D230" i="50"/>
  <c r="F230" i="50"/>
  <c r="U230" i="50" s="1"/>
  <c r="J230" i="50"/>
  <c r="G230" i="50" a="1"/>
  <c r="G230" i="50" s="1"/>
  <c r="E230" i="50"/>
  <c r="E129" i="50"/>
  <c r="J129" i="50"/>
  <c r="D129" i="50"/>
  <c r="F129" i="50"/>
  <c r="U129" i="50" s="1"/>
  <c r="G129" i="50" a="1"/>
  <c r="G129" i="50" s="1"/>
  <c r="E174" i="50"/>
  <c r="G174" i="50" a="1"/>
  <c r="G174" i="50" s="1"/>
  <c r="F174" i="50"/>
  <c r="U174" i="50" s="1"/>
  <c r="D174" i="50"/>
  <c r="J174" i="50"/>
  <c r="F272" i="50"/>
  <c r="U272" i="50" s="1"/>
  <c r="E272" i="50"/>
  <c r="D272" i="50"/>
  <c r="J272" i="50"/>
  <c r="G272" i="50" a="1"/>
  <c r="G272" i="50" s="1"/>
  <c r="G157" i="50" a="1"/>
  <c r="G157" i="50" s="1"/>
  <c r="E157" i="50"/>
  <c r="F157" i="50"/>
  <c r="U157" i="50" s="1"/>
  <c r="J157" i="50"/>
  <c r="D157" i="50"/>
  <c r="F209" i="50"/>
  <c r="U209" i="50" s="1"/>
  <c r="E209" i="50"/>
  <c r="D209" i="50"/>
  <c r="J209" i="50"/>
  <c r="G209" i="50" a="1"/>
  <c r="G209" i="50" s="1"/>
  <c r="C46" i="33"/>
  <c r="E46" i="33"/>
  <c r="B46" i="33"/>
  <c r="D46" i="33"/>
  <c r="G46" i="33"/>
  <c r="D76" i="33"/>
  <c r="B76" i="33"/>
  <c r="G76" i="33"/>
  <c r="E76" i="33"/>
  <c r="C76" i="33"/>
  <c r="B79" i="33"/>
  <c r="E79" i="33"/>
  <c r="D79" i="33"/>
  <c r="G79" i="33"/>
  <c r="C79" i="33"/>
  <c r="E60" i="33"/>
  <c r="C60" i="33"/>
  <c r="D60" i="33"/>
  <c r="G60" i="33"/>
  <c r="B60" i="33"/>
  <c r="C29" i="33"/>
  <c r="B29" i="33"/>
  <c r="E29" i="33"/>
  <c r="D29" i="33"/>
  <c r="G29" i="33"/>
  <c r="G72" i="33"/>
  <c r="B72" i="33"/>
  <c r="C72" i="33"/>
  <c r="E72" i="33"/>
  <c r="D72" i="33"/>
  <c r="D22" i="33"/>
  <c r="E22" i="33"/>
  <c r="B22" i="33"/>
  <c r="G22" i="33"/>
  <c r="C22" i="33"/>
  <c r="G75" i="33"/>
  <c r="E75" i="33"/>
  <c r="C75" i="33"/>
  <c r="B75" i="33"/>
  <c r="D75" i="33"/>
  <c r="B56" i="33"/>
  <c r="E56" i="33"/>
  <c r="G56" i="33"/>
  <c r="D56" i="33"/>
  <c r="C56" i="33"/>
  <c r="B40" i="33"/>
  <c r="D40" i="33"/>
  <c r="E40" i="33"/>
  <c r="G40" i="33"/>
  <c r="C40" i="33"/>
  <c r="D230" i="49"/>
  <c r="I230" i="49"/>
  <c r="E230" i="49"/>
  <c r="F230" i="49" a="1"/>
  <c r="F230" i="49" s="1"/>
  <c r="C230" i="49"/>
  <c r="K230" i="49" a="1"/>
  <c r="K230" i="49" s="1"/>
  <c r="D339" i="49"/>
  <c r="C339" i="49"/>
  <c r="F339" i="49" a="1"/>
  <c r="F339" i="49" s="1"/>
  <c r="I339" i="49"/>
  <c r="E339" i="49"/>
  <c r="K339" i="49" a="1"/>
  <c r="K339" i="49" s="1"/>
  <c r="C203" i="49"/>
  <c r="F203" i="49" a="1"/>
  <c r="F203" i="49" s="1"/>
  <c r="D203" i="49"/>
  <c r="I203" i="49"/>
  <c r="E203" i="49"/>
  <c r="K203" i="49" a="1"/>
  <c r="K203" i="49" s="1"/>
  <c r="F251" i="49" a="1"/>
  <c r="F251" i="49" s="1"/>
  <c r="I251" i="49"/>
  <c r="C251" i="49"/>
  <c r="E251" i="49"/>
  <c r="D251" i="49"/>
  <c r="K251" i="49" a="1"/>
  <c r="K251" i="49" s="1"/>
  <c r="I174" i="49"/>
  <c r="C174" i="49"/>
  <c r="F174" i="49" a="1"/>
  <c r="F174" i="49" s="1"/>
  <c r="E174" i="49"/>
  <c r="D174" i="49"/>
  <c r="K174" i="49" a="1"/>
  <c r="K174" i="49" s="1"/>
  <c r="F217" i="49" a="1"/>
  <c r="F217" i="49" s="1"/>
  <c r="E217" i="49"/>
  <c r="D217" i="49"/>
  <c r="C217" i="49"/>
  <c r="I217" i="49"/>
  <c r="K217" i="49" a="1"/>
  <c r="K217" i="49" s="1"/>
  <c r="E38" i="49"/>
  <c r="C38" i="49"/>
  <c r="D38" i="49"/>
  <c r="F38" i="49" a="1"/>
  <c r="F38" i="49" s="1"/>
  <c r="E260" i="49"/>
  <c r="D260" i="49"/>
  <c r="C260" i="49"/>
  <c r="F260" i="49" a="1"/>
  <c r="F260" i="49" s="1"/>
  <c r="I260" i="49"/>
  <c r="K260" i="49" a="1"/>
  <c r="K260" i="49" s="1"/>
  <c r="C243" i="49"/>
  <c r="D243" i="49"/>
  <c r="I243" i="49"/>
  <c r="E243" i="49"/>
  <c r="F243" i="49" a="1"/>
  <c r="F243" i="49" s="1"/>
  <c r="K243" i="49" a="1"/>
  <c r="K243" i="49" s="1"/>
  <c r="C156" i="49"/>
  <c r="I156" i="49"/>
  <c r="E156" i="49"/>
  <c r="D156" i="49"/>
  <c r="F156" i="49" a="1"/>
  <c r="F156" i="49" s="1"/>
  <c r="K156" i="49" a="1"/>
  <c r="K156" i="49" s="1"/>
  <c r="E175" i="49"/>
  <c r="D175" i="49"/>
  <c r="F175" i="49" a="1"/>
  <c r="F175" i="49" s="1"/>
  <c r="C175" i="49"/>
  <c r="I175" i="49"/>
  <c r="K175" i="49" a="1"/>
  <c r="K175" i="49" s="1"/>
  <c r="E49" i="49"/>
  <c r="F49" i="49" a="1"/>
  <c r="F49" i="49" s="1"/>
  <c r="C49" i="49"/>
  <c r="D49" i="49"/>
  <c r="I49" i="49"/>
  <c r="K49" i="49" a="1"/>
  <c r="K49" i="49" s="1"/>
  <c r="C328" i="49"/>
  <c r="D328" i="49"/>
  <c r="F328" i="49" a="1"/>
  <c r="F328" i="49" s="1"/>
  <c r="E328" i="49"/>
  <c r="I328" i="49"/>
  <c r="K328" i="49" a="1"/>
  <c r="K328" i="49" s="1"/>
  <c r="E321" i="49"/>
  <c r="C321" i="49"/>
  <c r="I321" i="49"/>
  <c r="D321" i="49"/>
  <c r="F321" i="49" a="1"/>
  <c r="F321" i="49" s="1"/>
  <c r="K321" i="49" a="1"/>
  <c r="K321" i="49" s="1"/>
  <c r="E285" i="49"/>
  <c r="D285" i="49"/>
  <c r="C285" i="49"/>
  <c r="I285" i="49"/>
  <c r="F285" i="49" a="1"/>
  <c r="F285" i="49" s="1"/>
  <c r="K285" i="49" a="1"/>
  <c r="K285" i="49" s="1"/>
  <c r="E125" i="49"/>
  <c r="F125" i="49" a="1"/>
  <c r="F125" i="49" s="1"/>
  <c r="D125" i="49"/>
  <c r="I125" i="49"/>
  <c r="C125" i="49"/>
  <c r="K125" i="49" a="1"/>
  <c r="K125" i="49" s="1"/>
  <c r="C37" i="49"/>
  <c r="F37" i="49" a="1"/>
  <c r="F37" i="49" s="1"/>
  <c r="D37" i="49"/>
  <c r="E37" i="49"/>
  <c r="F201" i="49" a="1"/>
  <c r="F201" i="49" s="1"/>
  <c r="C201" i="49"/>
  <c r="E201" i="49"/>
  <c r="I201" i="49"/>
  <c r="D201" i="49"/>
  <c r="K201" i="49" a="1"/>
  <c r="K201" i="49" s="1"/>
  <c r="E337" i="49"/>
  <c r="F337" i="49" a="1"/>
  <c r="F337" i="49" s="1"/>
  <c r="I337" i="49"/>
  <c r="D337" i="49"/>
  <c r="C337" i="49"/>
  <c r="K337" i="49" a="1"/>
  <c r="K337" i="49" s="1"/>
  <c r="I353" i="49"/>
  <c r="F353" i="49" a="1"/>
  <c r="F353" i="49" s="1"/>
  <c r="C353" i="49"/>
  <c r="D353" i="49"/>
  <c r="E353" i="49"/>
  <c r="K353" i="49" a="1"/>
  <c r="K353" i="49" s="1"/>
  <c r="D161" i="49"/>
  <c r="F161" i="49" a="1"/>
  <c r="F161" i="49" s="1"/>
  <c r="I161" i="49"/>
  <c r="C161" i="49"/>
  <c r="E161" i="49"/>
  <c r="K161" i="49" a="1"/>
  <c r="K161" i="49" s="1"/>
  <c r="C134" i="49"/>
  <c r="F134" i="49" a="1"/>
  <c r="F134" i="49" s="1"/>
  <c r="D134" i="49"/>
  <c r="E134" i="49"/>
  <c r="I134" i="49"/>
  <c r="K134" i="49" a="1"/>
  <c r="K134" i="49" s="1"/>
  <c r="E57" i="49"/>
  <c r="F57" i="49" a="1"/>
  <c r="F57" i="49" s="1"/>
  <c r="D57" i="49"/>
  <c r="I57" i="49"/>
  <c r="C57" i="49"/>
  <c r="K57" i="49" a="1"/>
  <c r="K57" i="49" s="1"/>
  <c r="E335" i="49"/>
  <c r="C335" i="49"/>
  <c r="F335" i="49" a="1"/>
  <c r="F335" i="49" s="1"/>
  <c r="I335" i="49"/>
  <c r="D335" i="49"/>
  <c r="K335" i="49" a="1"/>
  <c r="K335" i="49" s="1"/>
  <c r="F344" i="49" a="1"/>
  <c r="F344" i="49" s="1"/>
  <c r="D344" i="49"/>
  <c r="C344" i="49"/>
  <c r="E344" i="49"/>
  <c r="I344" i="49"/>
  <c r="K344" i="49" a="1"/>
  <c r="K344" i="49" s="1"/>
  <c r="C270" i="49"/>
  <c r="D270" i="49"/>
  <c r="F270" i="49" a="1"/>
  <c r="F270" i="49" s="1"/>
  <c r="E270" i="49"/>
  <c r="I270" i="49"/>
  <c r="K270" i="49" a="1"/>
  <c r="K270" i="49" s="1"/>
  <c r="C27" i="49"/>
  <c r="E27" i="49"/>
  <c r="F27" i="49" a="1"/>
  <c r="F27" i="49" s="1"/>
  <c r="D27" i="49"/>
  <c r="E352" i="49"/>
  <c r="F352" i="49" a="1"/>
  <c r="F352" i="49" s="1"/>
  <c r="D352" i="49"/>
  <c r="C352" i="49"/>
  <c r="I352" i="49"/>
  <c r="K352" i="49" a="1"/>
  <c r="K352" i="49" s="1"/>
  <c r="B26" i="91"/>
  <c r="C26" i="91"/>
  <c r="D26" i="91"/>
  <c r="E26" i="91"/>
  <c r="G26" i="91"/>
  <c r="G78" i="91"/>
  <c r="D78" i="91"/>
  <c r="C78" i="91"/>
  <c r="B78" i="91"/>
  <c r="E78" i="91"/>
  <c r="C80" i="91"/>
  <c r="B80" i="91"/>
  <c r="G80" i="91"/>
  <c r="D80" i="91"/>
  <c r="E80" i="91"/>
  <c r="C40" i="91"/>
  <c r="G40" i="91"/>
  <c r="E40" i="91"/>
  <c r="B40" i="91"/>
  <c r="D40" i="91"/>
  <c r="B60" i="91"/>
  <c r="D60" i="91"/>
  <c r="C60" i="91"/>
  <c r="G60" i="91"/>
  <c r="E60" i="91"/>
  <c r="G29" i="91"/>
  <c r="E29" i="91"/>
  <c r="B29" i="91"/>
  <c r="C29" i="91"/>
  <c r="D29" i="91"/>
  <c r="G33" i="91"/>
  <c r="D33" i="91"/>
  <c r="C33" i="91"/>
  <c r="B33" i="91"/>
  <c r="E33" i="91"/>
  <c r="G59" i="91"/>
  <c r="B59" i="91"/>
  <c r="C59" i="91"/>
  <c r="E59" i="91"/>
  <c r="D59" i="91"/>
  <c r="D52" i="19"/>
  <c r="B52" i="19"/>
  <c r="C52" i="19"/>
  <c r="E52" i="19"/>
  <c r="G52" i="19"/>
  <c r="C26" i="19"/>
  <c r="B26" i="19"/>
  <c r="E26" i="19"/>
  <c r="D26" i="19"/>
  <c r="G26" i="19"/>
  <c r="D69" i="19"/>
  <c r="E69" i="19"/>
  <c r="G69" i="19"/>
  <c r="C69" i="19"/>
  <c r="B69" i="19"/>
  <c r="G39" i="19"/>
  <c r="B39" i="19"/>
  <c r="D39" i="19"/>
  <c r="E39" i="19"/>
  <c r="C39" i="19"/>
  <c r="B24" i="19"/>
  <c r="G24" i="19"/>
  <c r="E24" i="19"/>
  <c r="D24" i="19"/>
  <c r="C24" i="19"/>
  <c r="E79" i="52"/>
  <c r="L79" i="52" a="1"/>
  <c r="L79" i="52" s="1"/>
  <c r="C79" i="52"/>
  <c r="F79" i="52" a="1"/>
  <c r="F79" i="52" s="1"/>
  <c r="F37" i="52" a="1"/>
  <c r="F37" i="52" s="1"/>
  <c r="E37" i="52"/>
  <c r="C37" i="52"/>
  <c r="F78" i="52" a="1"/>
  <c r="F78" i="52" s="1"/>
  <c r="E78" i="52"/>
  <c r="D78" i="52"/>
  <c r="C78" i="52"/>
  <c r="C237" i="52"/>
  <c r="L237" i="52" a="1"/>
  <c r="L237" i="52" s="1"/>
  <c r="D237" i="52"/>
  <c r="I237" i="52"/>
  <c r="E237" i="52"/>
  <c r="F237" i="52" a="1"/>
  <c r="F237" i="52" s="1"/>
  <c r="D55" i="52"/>
  <c r="C55" i="52"/>
  <c r="E55" i="52"/>
  <c r="F55" i="52" a="1"/>
  <c r="F55" i="52" s="1"/>
  <c r="F181" i="52" a="1"/>
  <c r="F181" i="52" s="1"/>
  <c r="L181" i="52" a="1"/>
  <c r="L181" i="52" s="1"/>
  <c r="D181" i="52"/>
  <c r="E181" i="52"/>
  <c r="C181" i="52"/>
  <c r="I181" i="52"/>
  <c r="E73" i="52"/>
  <c r="D73" i="52"/>
  <c r="F73" i="52" a="1"/>
  <c r="F73" i="52" s="1"/>
  <c r="C73" i="52"/>
  <c r="E109" i="52"/>
  <c r="I109" i="52"/>
  <c r="D109" i="52"/>
  <c r="F109" i="52" a="1"/>
  <c r="F109" i="52" s="1"/>
  <c r="C109" i="52"/>
  <c r="L109" i="52" a="1"/>
  <c r="L109" i="52" s="1"/>
  <c r="F312" i="52" a="1"/>
  <c r="F312" i="52" s="1"/>
  <c r="I312" i="52"/>
  <c r="L312" i="52" a="1"/>
  <c r="L312" i="52" s="1"/>
  <c r="E312" i="52"/>
  <c r="C312" i="52"/>
  <c r="D312" i="52"/>
  <c r="I121" i="52"/>
  <c r="L121" i="52" a="1"/>
  <c r="L121" i="52" s="1"/>
  <c r="E121" i="52"/>
  <c r="C121" i="52"/>
  <c r="F121" i="52" a="1"/>
  <c r="F121" i="52" s="1"/>
  <c r="D121" i="52"/>
  <c r="I191" i="52"/>
  <c r="L191" i="52" a="1"/>
  <c r="L191" i="52" s="1"/>
  <c r="C191" i="52"/>
  <c r="F191" i="52" a="1"/>
  <c r="F191" i="52" s="1"/>
  <c r="E191" i="52"/>
  <c r="D191" i="52"/>
  <c r="D307" i="52"/>
  <c r="L307" i="52" a="1"/>
  <c r="L307" i="52" s="1"/>
  <c r="E307" i="52"/>
  <c r="I307" i="52"/>
  <c r="F307" i="52" a="1"/>
  <c r="F307" i="52" s="1"/>
  <c r="C307" i="52"/>
  <c r="E96" i="52"/>
  <c r="F96" i="52" a="1"/>
  <c r="F96" i="52" s="1"/>
  <c r="I96" i="52"/>
  <c r="C96" i="52"/>
  <c r="L96" i="52" a="1"/>
  <c r="L96" i="52" s="1"/>
  <c r="D96" i="52"/>
  <c r="D288" i="52"/>
  <c r="F288" i="52" a="1"/>
  <c r="F288" i="52" s="1"/>
  <c r="C288" i="52"/>
  <c r="L288" i="52" a="1"/>
  <c r="L288" i="52" s="1"/>
  <c r="I288" i="52"/>
  <c r="E288" i="52"/>
  <c r="F33" i="52" a="1"/>
  <c r="F33" i="52" s="1"/>
  <c r="E33" i="52"/>
  <c r="D33" i="52"/>
  <c r="C33" i="52"/>
  <c r="L231" i="52" a="1"/>
  <c r="L231" i="52" s="1"/>
  <c r="D231" i="52"/>
  <c r="I231" i="52"/>
  <c r="F231" i="52" a="1"/>
  <c r="F231" i="52" s="1"/>
  <c r="E231" i="52"/>
  <c r="C231" i="52"/>
  <c r="C12" i="52"/>
  <c r="D12" i="52"/>
  <c r="E12" i="52"/>
  <c r="F12" i="52" a="1"/>
  <c r="F12" i="52" s="1"/>
  <c r="E273" i="52"/>
  <c r="F273" i="52" a="1"/>
  <c r="F273" i="52" s="1"/>
  <c r="L273" i="52" a="1"/>
  <c r="L273" i="52" s="1"/>
  <c r="I273" i="52"/>
  <c r="C273" i="52"/>
  <c r="D273" i="52"/>
  <c r="D252" i="52"/>
  <c r="L252" i="52" a="1"/>
  <c r="L252" i="52" s="1"/>
  <c r="E252" i="52"/>
  <c r="C252" i="52"/>
  <c r="F252" i="52" a="1"/>
  <c r="F252" i="52" s="1"/>
  <c r="I252" i="52"/>
  <c r="D196" i="52"/>
  <c r="I196" i="52"/>
  <c r="E196" i="52"/>
  <c r="L196" i="52" a="1"/>
  <c r="L196" i="52" s="1"/>
  <c r="C196" i="52"/>
  <c r="F196" i="52" a="1"/>
  <c r="F196" i="52" s="1"/>
  <c r="D245" i="52"/>
  <c r="C245" i="52"/>
  <c r="L245" i="52" a="1"/>
  <c r="L245" i="52" s="1"/>
  <c r="I245" i="52"/>
  <c r="F245" i="52" a="1"/>
  <c r="F245" i="52" s="1"/>
  <c r="E245" i="52"/>
  <c r="I159" i="52"/>
  <c r="C159" i="52"/>
  <c r="E159" i="52"/>
  <c r="F159" i="52" a="1"/>
  <c r="F159" i="52" s="1"/>
  <c r="L159" i="52" a="1"/>
  <c r="L159" i="52" s="1"/>
  <c r="D159" i="52"/>
  <c r="L274" i="52" a="1"/>
  <c r="L274" i="52" s="1"/>
  <c r="D274" i="52"/>
  <c r="I274" i="52"/>
  <c r="C274" i="52"/>
  <c r="E274" i="52"/>
  <c r="F274" i="52" a="1"/>
  <c r="F274" i="52" s="1"/>
  <c r="C160" i="52"/>
  <c r="E160" i="52"/>
  <c r="F160" i="52" a="1"/>
  <c r="F160" i="52" s="1"/>
  <c r="I160" i="52"/>
  <c r="L160" i="52" a="1"/>
  <c r="L160" i="52" s="1"/>
  <c r="D160" i="52"/>
  <c r="L126" i="52" a="1"/>
  <c r="L126" i="52" s="1"/>
  <c r="D126" i="52"/>
  <c r="C126" i="52"/>
  <c r="I126" i="52"/>
  <c r="F126" i="52" a="1"/>
  <c r="F126" i="52" s="1"/>
  <c r="E126" i="52"/>
  <c r="I319" i="52"/>
  <c r="F319" i="52" a="1"/>
  <c r="F319" i="52" s="1"/>
  <c r="C319" i="52"/>
  <c r="L319" i="52" a="1"/>
  <c r="L319" i="52" s="1"/>
  <c r="D319" i="52"/>
  <c r="E319" i="52"/>
  <c r="E327" i="52"/>
  <c r="L327" i="52" a="1"/>
  <c r="L327" i="52" s="1"/>
  <c r="F327" i="52" a="1"/>
  <c r="F327" i="52" s="1"/>
  <c r="D327" i="52"/>
  <c r="C327" i="52"/>
  <c r="I327" i="52"/>
  <c r="L192" i="52" a="1"/>
  <c r="L192" i="52" s="1"/>
  <c r="F192" i="52" a="1"/>
  <c r="F192" i="52" s="1"/>
  <c r="E192" i="52"/>
  <c r="I192" i="52"/>
  <c r="D192" i="52"/>
  <c r="C192" i="52"/>
  <c r="L249" i="52" a="1"/>
  <c r="L249" i="52" s="1"/>
  <c r="I249" i="52"/>
  <c r="E249" i="52"/>
  <c r="D249" i="52"/>
  <c r="C249" i="52"/>
  <c r="F249" i="52" a="1"/>
  <c r="F249" i="52" s="1"/>
  <c r="D29" i="52"/>
  <c r="F29" i="52" a="1"/>
  <c r="F29" i="52" s="1"/>
  <c r="C29" i="52"/>
  <c r="E29" i="52"/>
  <c r="D41" i="52"/>
  <c r="C41" i="52"/>
  <c r="E41" i="52"/>
  <c r="F41" i="52" a="1"/>
  <c r="F41" i="52" s="1"/>
  <c r="F115" i="52" a="1"/>
  <c r="F115" i="52" s="1"/>
  <c r="C115" i="52"/>
  <c r="E115" i="52"/>
  <c r="D115" i="52"/>
  <c r="I115" i="52"/>
  <c r="L115" i="52" a="1"/>
  <c r="L115" i="52" s="1"/>
  <c r="C284" i="52"/>
  <c r="E284" i="52"/>
  <c r="F284" i="52" a="1"/>
  <c r="F284" i="52" s="1"/>
  <c r="I284" i="52"/>
  <c r="L284" i="52" a="1"/>
  <c r="L284" i="52" s="1"/>
  <c r="D284" i="52"/>
  <c r="I222" i="52"/>
  <c r="F222" i="52" a="1"/>
  <c r="F222" i="52" s="1"/>
  <c r="L222" i="52" a="1"/>
  <c r="L222" i="52" s="1"/>
  <c r="C222" i="52"/>
  <c r="D222" i="52"/>
  <c r="E222" i="52"/>
  <c r="C24" i="52"/>
  <c r="E24" i="52"/>
  <c r="F24" i="52" a="1"/>
  <c r="F24" i="52" s="1"/>
  <c r="F333" i="52" a="1"/>
  <c r="F333" i="52" s="1"/>
  <c r="E333" i="52"/>
  <c r="L333" i="52" a="1"/>
  <c r="L333" i="52" s="1"/>
  <c r="C333" i="52"/>
  <c r="D333" i="52"/>
  <c r="I333" i="52"/>
  <c r="L176" i="52" a="1"/>
  <c r="L176" i="52" s="1"/>
  <c r="I176" i="52"/>
  <c r="F176" i="52" a="1"/>
  <c r="F176" i="52" s="1"/>
  <c r="D176" i="52"/>
  <c r="E176" i="52"/>
  <c r="C176" i="52"/>
  <c r="B45" i="25"/>
  <c r="D45" i="25"/>
  <c r="E45" i="25"/>
  <c r="C45" i="25"/>
  <c r="G45" i="25"/>
  <c r="B65" i="25"/>
  <c r="C65" i="25"/>
  <c r="G65" i="25"/>
  <c r="D65" i="25"/>
  <c r="E65" i="25"/>
  <c r="B22" i="25"/>
  <c r="C22" i="25"/>
  <c r="D22" i="25"/>
  <c r="E22" i="25"/>
  <c r="C70" i="25"/>
  <c r="G70" i="25"/>
  <c r="B70" i="25"/>
  <c r="D70" i="25"/>
  <c r="E70" i="25"/>
  <c r="C37" i="25"/>
  <c r="G37" i="25"/>
  <c r="D37" i="25"/>
  <c r="E37" i="25"/>
  <c r="B37" i="25"/>
  <c r="C42" i="25"/>
  <c r="E42" i="25"/>
  <c r="G42" i="25"/>
  <c r="D42" i="25"/>
  <c r="B42" i="25"/>
  <c r="B78" i="25"/>
  <c r="C78" i="25"/>
  <c r="D78" i="25"/>
  <c r="E78" i="25"/>
  <c r="G78" i="25"/>
  <c r="C62" i="25"/>
  <c r="G62" i="25"/>
  <c r="E62" i="25"/>
  <c r="D62" i="25"/>
  <c r="B62" i="25"/>
  <c r="C206" i="100"/>
  <c r="F206" i="100" a="1"/>
  <c r="F206" i="100" s="1"/>
  <c r="I206" i="100"/>
  <c r="K206" i="100" a="1"/>
  <c r="K206" i="100" s="1"/>
  <c r="D206" i="100"/>
  <c r="E206" i="100"/>
  <c r="C159" i="100"/>
  <c r="E159" i="100"/>
  <c r="F159" i="100" a="1"/>
  <c r="F159" i="100" s="1"/>
  <c r="D159" i="100"/>
  <c r="I159" i="100"/>
  <c r="K159" i="100" a="1"/>
  <c r="K159" i="100" s="1"/>
  <c r="D59" i="100"/>
  <c r="I59" i="100"/>
  <c r="E59" i="100"/>
  <c r="F59" i="100" a="1"/>
  <c r="F59" i="100" s="1"/>
  <c r="C59" i="100"/>
  <c r="K59" i="100" a="1"/>
  <c r="K59" i="100" s="1"/>
  <c r="C23" i="100"/>
  <c r="E23" i="100"/>
  <c r="D23" i="100"/>
  <c r="F23" i="100" a="1"/>
  <c r="F23" i="100" s="1"/>
  <c r="F65" i="100" a="1"/>
  <c r="F65" i="100" s="1"/>
  <c r="I65" i="100"/>
  <c r="E65" i="100"/>
  <c r="D65" i="100"/>
  <c r="C65" i="100"/>
  <c r="K65" i="100" a="1"/>
  <c r="K65" i="100" s="1"/>
  <c r="I202" i="100"/>
  <c r="D202" i="100"/>
  <c r="C202" i="100"/>
  <c r="E202" i="100"/>
  <c r="F202" i="100" a="1"/>
  <c r="F202" i="100" s="1"/>
  <c r="K202" i="100" a="1"/>
  <c r="K202" i="100" s="1"/>
  <c r="D234" i="100"/>
  <c r="I234" i="100"/>
  <c r="C234" i="100"/>
  <c r="F234" i="100" a="1"/>
  <c r="F234" i="100" s="1"/>
  <c r="E234" i="100"/>
  <c r="K234" i="100" a="1"/>
  <c r="K234" i="100" s="1"/>
  <c r="E226" i="100"/>
  <c r="D226" i="100"/>
  <c r="C226" i="100"/>
  <c r="I226" i="100"/>
  <c r="F226" i="100" a="1"/>
  <c r="F226" i="100" s="1"/>
  <c r="K226" i="100" a="1"/>
  <c r="K226" i="100" s="1"/>
  <c r="F239" i="100" a="1"/>
  <c r="F239" i="100" s="1"/>
  <c r="C239" i="100"/>
  <c r="I239" i="100"/>
  <c r="D239" i="100"/>
  <c r="E239" i="100"/>
  <c r="K239" i="100" a="1"/>
  <c r="K239" i="100" s="1"/>
  <c r="C309" i="100"/>
  <c r="I309" i="100"/>
  <c r="F309" i="100" a="1"/>
  <c r="F309" i="100" s="1"/>
  <c r="E309" i="100"/>
  <c r="D309" i="100"/>
  <c r="K309" i="100" a="1"/>
  <c r="K309" i="100" s="1"/>
  <c r="F307" i="100" a="1"/>
  <c r="F307" i="100" s="1"/>
  <c r="D307" i="100"/>
  <c r="C307" i="100"/>
  <c r="I307" i="100"/>
  <c r="E307" i="100"/>
  <c r="K307" i="100" a="1"/>
  <c r="K307" i="100" s="1"/>
  <c r="I338" i="100"/>
  <c r="C338" i="100"/>
  <c r="E338" i="100"/>
  <c r="F338" i="100" a="1"/>
  <c r="F338" i="100" s="1"/>
  <c r="D338" i="100"/>
  <c r="K338" i="100" a="1"/>
  <c r="K338" i="100" s="1"/>
  <c r="I227" i="100"/>
  <c r="C227" i="100"/>
  <c r="F227" i="100" a="1"/>
  <c r="F227" i="100" s="1"/>
  <c r="D227" i="100"/>
  <c r="E227" i="100"/>
  <c r="K227" i="100" a="1"/>
  <c r="K227" i="100" s="1"/>
  <c r="C322" i="100"/>
  <c r="F322" i="100" a="1"/>
  <c r="F322" i="100" s="1"/>
  <c r="I322" i="100"/>
  <c r="D322" i="100"/>
  <c r="E322" i="100"/>
  <c r="K322" i="100" a="1"/>
  <c r="K322" i="100" s="1"/>
  <c r="E82" i="100"/>
  <c r="F82" i="100" a="1"/>
  <c r="F82" i="100" s="1"/>
  <c r="D82" i="100"/>
  <c r="I82" i="100"/>
  <c r="C82" i="100"/>
  <c r="K82" i="100" a="1"/>
  <c r="K82" i="100" s="1"/>
  <c r="E320" i="100"/>
  <c r="F320" i="100" a="1"/>
  <c r="F320" i="100" s="1"/>
  <c r="D320" i="100"/>
  <c r="I320" i="100"/>
  <c r="C320" i="100"/>
  <c r="K320" i="100" a="1"/>
  <c r="K320" i="100" s="1"/>
  <c r="D54" i="100"/>
  <c r="F54" i="100" a="1"/>
  <c r="F54" i="100" s="1"/>
  <c r="I54" i="100"/>
  <c r="E54" i="100"/>
  <c r="C54" i="100"/>
  <c r="K54" i="100" a="1"/>
  <c r="K54" i="100" s="1"/>
  <c r="I342" i="100"/>
  <c r="F342" i="100" a="1"/>
  <c r="F342" i="100" s="1"/>
  <c r="C342" i="100"/>
  <c r="E342" i="100"/>
  <c r="D342" i="100"/>
  <c r="K342" i="100" a="1"/>
  <c r="K342" i="100" s="1"/>
  <c r="F290" i="100" a="1"/>
  <c r="F290" i="100" s="1"/>
  <c r="E290" i="100"/>
  <c r="D290" i="100"/>
  <c r="I290" i="100"/>
  <c r="C290" i="100"/>
  <c r="K290" i="100" a="1"/>
  <c r="K290" i="100" s="1"/>
  <c r="E81" i="100"/>
  <c r="C81" i="100"/>
  <c r="I81" i="100"/>
  <c r="F81" i="100" a="1"/>
  <c r="F81" i="100" s="1"/>
  <c r="D81" i="100"/>
  <c r="K81" i="100" a="1"/>
  <c r="K81" i="100" s="1"/>
  <c r="I281" i="100"/>
  <c r="C281" i="100"/>
  <c r="E281" i="100"/>
  <c r="D281" i="100"/>
  <c r="F281" i="100" a="1"/>
  <c r="F281" i="100" s="1"/>
  <c r="K281" i="100" a="1"/>
  <c r="K281" i="100" s="1"/>
  <c r="D289" i="100"/>
  <c r="I289" i="100"/>
  <c r="F289" i="100" a="1"/>
  <c r="F289" i="100" s="1"/>
  <c r="E289" i="100"/>
  <c r="C289" i="100"/>
  <c r="K289" i="100" a="1"/>
  <c r="K289" i="100" s="1"/>
  <c r="D331" i="100"/>
  <c r="I331" i="100"/>
  <c r="C331" i="100"/>
  <c r="E331" i="100"/>
  <c r="F331" i="100" a="1"/>
  <c r="F331" i="100" s="1"/>
  <c r="K331" i="100" a="1"/>
  <c r="K331" i="100" s="1"/>
  <c r="E123" i="100"/>
  <c r="I123" i="100"/>
  <c r="F123" i="100" a="1"/>
  <c r="F123" i="100" s="1"/>
  <c r="C123" i="100"/>
  <c r="D123" i="100"/>
  <c r="K123" i="100" a="1"/>
  <c r="K123" i="100" s="1"/>
  <c r="I74" i="100"/>
  <c r="C74" i="100"/>
  <c r="E74" i="100"/>
  <c r="D74" i="100"/>
  <c r="F74" i="100" a="1"/>
  <c r="F74" i="100" s="1"/>
  <c r="K74" i="100" a="1"/>
  <c r="K74" i="100" s="1"/>
  <c r="E175" i="100"/>
  <c r="I175" i="100"/>
  <c r="C175" i="100"/>
  <c r="F175" i="100" a="1"/>
  <c r="F175" i="100" s="1"/>
  <c r="D175" i="100"/>
  <c r="K175" i="100" a="1"/>
  <c r="K175" i="100" s="1"/>
  <c r="D201" i="100"/>
  <c r="F201" i="100" a="1"/>
  <c r="F201" i="100" s="1"/>
  <c r="E201" i="100"/>
  <c r="C201" i="100"/>
  <c r="I201" i="100"/>
  <c r="K201" i="100" a="1"/>
  <c r="K201" i="100" s="1"/>
  <c r="C53" i="100"/>
  <c r="D53" i="100"/>
  <c r="E53" i="100"/>
  <c r="F53" i="100" a="1"/>
  <c r="F53" i="100" s="1"/>
  <c r="I53" i="100"/>
  <c r="K53" i="100" a="1"/>
  <c r="K53" i="100" s="1"/>
  <c r="C121" i="100"/>
  <c r="E121" i="100"/>
  <c r="I121" i="100"/>
  <c r="F121" i="100" a="1"/>
  <c r="F121" i="100" s="1"/>
  <c r="D121" i="100"/>
  <c r="K121" i="100" a="1"/>
  <c r="K121" i="100" s="1"/>
  <c r="I312" i="100"/>
  <c r="F312" i="100" a="1"/>
  <c r="F312" i="100" s="1"/>
  <c r="D312" i="100"/>
  <c r="C312" i="100"/>
  <c r="E312" i="100"/>
  <c r="K312" i="100" a="1"/>
  <c r="K312" i="100" s="1"/>
  <c r="E192" i="100"/>
  <c r="C192" i="100"/>
  <c r="F192" i="100" a="1"/>
  <c r="F192" i="100" s="1"/>
  <c r="I192" i="100"/>
  <c r="D192" i="100"/>
  <c r="K192" i="100" a="1"/>
  <c r="K192" i="100" s="1"/>
  <c r="I55" i="100"/>
  <c r="F55" i="100" a="1"/>
  <c r="F55" i="100" s="1"/>
  <c r="D55" i="100"/>
  <c r="E55" i="100"/>
  <c r="C55" i="100"/>
  <c r="K55" i="100" a="1"/>
  <c r="K55" i="100" s="1"/>
  <c r="C138" i="101"/>
  <c r="E138" i="101"/>
  <c r="I138" i="101"/>
  <c r="D138" i="101"/>
  <c r="F138" i="101" a="1"/>
  <c r="F138" i="101" s="1"/>
  <c r="F294" i="101" a="1"/>
  <c r="F294" i="101" s="1"/>
  <c r="E294" i="101"/>
  <c r="I294" i="101"/>
  <c r="D294" i="101"/>
  <c r="C294" i="101"/>
  <c r="I110" i="101"/>
  <c r="F110" i="101" a="1"/>
  <c r="F110" i="101" s="1"/>
  <c r="C110" i="101"/>
  <c r="D110" i="101"/>
  <c r="E110" i="101"/>
  <c r="D244" i="101"/>
  <c r="C244" i="101"/>
  <c r="F244" i="101" a="1"/>
  <c r="F244" i="101" s="1"/>
  <c r="I244" i="101"/>
  <c r="E244" i="101"/>
  <c r="D41" i="101"/>
  <c r="C41" i="101"/>
  <c r="I41" i="101"/>
  <c r="E41" i="101"/>
  <c r="F41" i="101" a="1"/>
  <c r="F41" i="101" s="1"/>
  <c r="E278" i="101"/>
  <c r="I278" i="101"/>
  <c r="C278" i="101"/>
  <c r="D278" i="101"/>
  <c r="F278" i="101" a="1"/>
  <c r="F278" i="101" s="1"/>
  <c r="C287" i="101"/>
  <c r="D287" i="101"/>
  <c r="I287" i="101"/>
  <c r="F287" i="101" a="1"/>
  <c r="F287" i="101" s="1"/>
  <c r="E287" i="101"/>
  <c r="I306" i="101"/>
  <c r="E306" i="101"/>
  <c r="D306" i="101"/>
  <c r="F306" i="101" a="1"/>
  <c r="F306" i="101" s="1"/>
  <c r="C306" i="101"/>
  <c r="E89" i="101"/>
  <c r="D89" i="101"/>
  <c r="I89" i="101"/>
  <c r="C89" i="101"/>
  <c r="F89" i="101" a="1"/>
  <c r="F89" i="101" s="1"/>
  <c r="E351" i="101"/>
  <c r="I351" i="101"/>
  <c r="C351" i="101"/>
  <c r="D351" i="101"/>
  <c r="F351" i="101" a="1"/>
  <c r="F351" i="101" s="1"/>
  <c r="K351" i="101" a="1"/>
  <c r="K351" i="101" s="1"/>
  <c r="E82" i="101"/>
  <c r="D82" i="101"/>
  <c r="I82" i="101"/>
  <c r="F82" i="101" a="1"/>
  <c r="F82" i="101" s="1"/>
  <c r="C82" i="101"/>
  <c r="C167" i="101"/>
  <c r="E167" i="101"/>
  <c r="D167" i="101"/>
  <c r="F167" i="101" a="1"/>
  <c r="F167" i="101" s="1"/>
  <c r="I167" i="101"/>
  <c r="C28" i="101"/>
  <c r="I28" i="101"/>
  <c r="E28" i="101"/>
  <c r="F28" i="101" a="1"/>
  <c r="F28" i="101" s="1"/>
  <c r="D28" i="101"/>
  <c r="I177" i="101"/>
  <c r="F177" i="101" a="1"/>
  <c r="F177" i="101" s="1"/>
  <c r="E177" i="101"/>
  <c r="D177" i="101"/>
  <c r="C177" i="101"/>
  <c r="D312" i="101"/>
  <c r="I312" i="101"/>
  <c r="E312" i="101"/>
  <c r="F312" i="101" a="1"/>
  <c r="F312" i="101" s="1"/>
  <c r="C312" i="101"/>
  <c r="I252" i="101"/>
  <c r="F252" i="101" a="1"/>
  <c r="F252" i="101" s="1"/>
  <c r="D252" i="101"/>
  <c r="C252" i="101"/>
  <c r="E252" i="101"/>
  <c r="F285" i="101" a="1"/>
  <c r="F285" i="101" s="1"/>
  <c r="D285" i="101"/>
  <c r="I285" i="101"/>
  <c r="E285" i="101"/>
  <c r="C285" i="101"/>
  <c r="F333" i="101" a="1"/>
  <c r="F333" i="101" s="1"/>
  <c r="C333" i="101"/>
  <c r="I333" i="101"/>
  <c r="D333" i="101"/>
  <c r="E333" i="101"/>
  <c r="C292" i="101"/>
  <c r="F292" i="101" a="1"/>
  <c r="F292" i="101" s="1"/>
  <c r="E292" i="101"/>
  <c r="I292" i="101"/>
  <c r="D292" i="101"/>
  <c r="E231" i="101"/>
  <c r="I231" i="101"/>
  <c r="D231" i="101"/>
  <c r="F231" i="101" a="1"/>
  <c r="F231" i="101" s="1"/>
  <c r="C231" i="101"/>
  <c r="D107" i="101"/>
  <c r="F107" i="101" a="1"/>
  <c r="F107" i="101" s="1"/>
  <c r="I107" i="101"/>
  <c r="E107" i="101"/>
  <c r="C107" i="101"/>
  <c r="F29" i="101" a="1"/>
  <c r="F29" i="101" s="1"/>
  <c r="I29" i="101"/>
  <c r="D29" i="101"/>
  <c r="C29" i="101"/>
  <c r="E29" i="101"/>
  <c r="D274" i="101"/>
  <c r="C274" i="101"/>
  <c r="E274" i="101"/>
  <c r="I274" i="101"/>
  <c r="F274" i="101" a="1"/>
  <c r="F274" i="101" s="1"/>
  <c r="E256" i="101"/>
  <c r="C256" i="101"/>
  <c r="D256" i="101"/>
  <c r="I256" i="101"/>
  <c r="F256" i="101" a="1"/>
  <c r="F256" i="101" s="1"/>
  <c r="C196" i="101"/>
  <c r="F196" i="101" a="1"/>
  <c r="F196" i="101" s="1"/>
  <c r="I196" i="101"/>
  <c r="D196" i="101"/>
  <c r="E196" i="101"/>
  <c r="E119" i="101"/>
  <c r="C119" i="101"/>
  <c r="F119" i="101" a="1"/>
  <c r="F119" i="101" s="1"/>
  <c r="D119" i="101"/>
  <c r="I119" i="101"/>
  <c r="D259" i="101"/>
  <c r="I259" i="101"/>
  <c r="C259" i="101"/>
  <c r="E259" i="101"/>
  <c r="F259" i="101" a="1"/>
  <c r="F259" i="101" s="1"/>
  <c r="F137" i="101" a="1"/>
  <c r="F137" i="101" s="1"/>
  <c r="I137" i="101"/>
  <c r="E137" i="101"/>
  <c r="C137" i="101"/>
  <c r="D137" i="101"/>
  <c r="E280" i="101"/>
  <c r="C280" i="101"/>
  <c r="F280" i="101" a="1"/>
  <c r="F280" i="101" s="1"/>
  <c r="I280" i="101"/>
  <c r="D280" i="101"/>
  <c r="F220" i="101" a="1"/>
  <c r="F220" i="101" s="1"/>
  <c r="C220" i="101"/>
  <c r="E220" i="101"/>
  <c r="I220" i="101"/>
  <c r="D220" i="101"/>
  <c r="F54" i="101" a="1"/>
  <c r="F54" i="101" s="1"/>
  <c r="D54" i="101"/>
  <c r="I54" i="101"/>
  <c r="E54" i="101"/>
  <c r="C54" i="101"/>
  <c r="E116" i="101"/>
  <c r="C116" i="101"/>
  <c r="I116" i="101"/>
  <c r="D116" i="101"/>
  <c r="F116" i="101" a="1"/>
  <c r="F116" i="101" s="1"/>
  <c r="C9" i="101"/>
  <c r="E9" i="101"/>
  <c r="F9" i="101" a="1"/>
  <c r="F9" i="101" s="1"/>
  <c r="F174" i="101" a="1"/>
  <c r="F174" i="101" s="1"/>
  <c r="D174" i="101"/>
  <c r="E174" i="101"/>
  <c r="C174" i="101"/>
  <c r="I174" i="101"/>
  <c r="D328" i="101"/>
  <c r="F328" i="101" a="1"/>
  <c r="F328" i="101" s="1"/>
  <c r="C328" i="101"/>
  <c r="E328" i="101"/>
  <c r="I328" i="101"/>
  <c r="B12" i="34"/>
  <c r="G12" i="34"/>
  <c r="D12" i="34"/>
  <c r="E12" i="34"/>
  <c r="C12" i="34"/>
  <c r="E83" i="34"/>
  <c r="B83" i="34"/>
  <c r="G83" i="34"/>
  <c r="D83" i="34"/>
  <c r="C83" i="34"/>
  <c r="D24" i="34"/>
  <c r="G24" i="34"/>
  <c r="C24" i="34"/>
  <c r="B24" i="34"/>
  <c r="E24" i="34"/>
  <c r="C7" i="34"/>
  <c r="D7" i="34"/>
  <c r="E7" i="34"/>
  <c r="G7" i="34"/>
  <c r="B7" i="34"/>
  <c r="C84" i="34"/>
  <c r="B84" i="34"/>
  <c r="E84" i="34"/>
  <c r="G84" i="34"/>
  <c r="D84" i="34"/>
  <c r="G31" i="34"/>
  <c r="B31" i="34"/>
  <c r="C31" i="34"/>
  <c r="E31" i="34"/>
  <c r="D31" i="34"/>
  <c r="B64" i="34"/>
  <c r="E64" i="34"/>
  <c r="D64" i="34"/>
  <c r="G64" i="34"/>
  <c r="C64" i="34"/>
  <c r="B14" i="34"/>
  <c r="E14" i="34"/>
  <c r="D14" i="34"/>
  <c r="G14" i="34"/>
  <c r="C14" i="34"/>
  <c r="D66" i="22"/>
  <c r="G66" i="22"/>
  <c r="E66" i="22"/>
  <c r="B66" i="22"/>
  <c r="C66" i="22"/>
  <c r="G76" i="22"/>
  <c r="B76" i="22"/>
  <c r="D76" i="22"/>
  <c r="E76" i="22"/>
  <c r="C76" i="22"/>
  <c r="B65" i="22"/>
  <c r="E65" i="22"/>
  <c r="D65" i="22"/>
  <c r="G65" i="22"/>
  <c r="C65" i="22"/>
  <c r="D15" i="51"/>
  <c r="I15" i="51"/>
  <c r="K15" i="51" a="1"/>
  <c r="K15" i="51" s="1"/>
  <c r="E15" i="51"/>
  <c r="F15" i="51" a="1"/>
  <c r="F15" i="51" s="1"/>
  <c r="C15" i="51"/>
  <c r="K62" i="51" a="1"/>
  <c r="K62" i="51" s="1"/>
  <c r="E62" i="51"/>
  <c r="D62" i="51"/>
  <c r="C62" i="51"/>
  <c r="I62" i="51"/>
  <c r="F62" i="51" a="1"/>
  <c r="F62" i="51" s="1"/>
  <c r="K12" i="51" a="1"/>
  <c r="K12" i="51" s="1"/>
  <c r="E12" i="51"/>
  <c r="C12" i="51"/>
  <c r="D12" i="51"/>
  <c r="F12" i="51" a="1"/>
  <c r="F12" i="51" s="1"/>
  <c r="I12" i="51"/>
  <c r="E77" i="51"/>
  <c r="C77" i="51"/>
  <c r="I77" i="51"/>
  <c r="D77" i="51"/>
  <c r="F77" i="51" a="1"/>
  <c r="F77" i="51" s="1"/>
  <c r="K77" i="51" a="1"/>
  <c r="K77" i="51" s="1"/>
  <c r="D8" i="51"/>
  <c r="F8" i="51" a="1"/>
  <c r="F8" i="51" s="1"/>
  <c r="E8" i="51"/>
  <c r="C8" i="51"/>
  <c r="I54" i="51"/>
  <c r="F54" i="51" a="1"/>
  <c r="F54" i="51" s="1"/>
  <c r="K54" i="51" a="1"/>
  <c r="K54" i="51" s="1"/>
  <c r="D54" i="51"/>
  <c r="E54" i="51"/>
  <c r="C54" i="51"/>
  <c r="E14" i="51"/>
  <c r="C14" i="51"/>
  <c r="F14" i="51" a="1"/>
  <c r="F14" i="51" s="1"/>
  <c r="D14" i="51"/>
  <c r="I14" i="51"/>
  <c r="K14" i="51" a="1"/>
  <c r="K14" i="51" s="1"/>
  <c r="F59" i="51" a="1"/>
  <c r="F59" i="51" s="1"/>
  <c r="I59" i="51"/>
  <c r="C59" i="51"/>
  <c r="D59" i="51"/>
  <c r="E59" i="51"/>
  <c r="K59" i="51" a="1"/>
  <c r="K59" i="51" s="1"/>
  <c r="E61" i="51"/>
  <c r="D61" i="51"/>
  <c r="C61" i="51"/>
  <c r="F61" i="51" a="1"/>
  <c r="F61" i="51" s="1"/>
  <c r="I61" i="51"/>
  <c r="K61" i="51" a="1"/>
  <c r="K61" i="51" s="1"/>
  <c r="G35" i="39"/>
  <c r="E35" i="53"/>
  <c r="C13" i="24"/>
  <c r="D13" i="24"/>
  <c r="B13" i="24"/>
  <c r="E13" i="24"/>
  <c r="C67" i="24"/>
  <c r="E67" i="24"/>
  <c r="D67" i="24"/>
  <c r="B67" i="24"/>
  <c r="G67" i="24"/>
  <c r="D32" i="24"/>
  <c r="E32" i="24"/>
  <c r="B32" i="24"/>
  <c r="C32" i="24"/>
  <c r="G44" i="24"/>
  <c r="C44" i="24"/>
  <c r="D44" i="24"/>
  <c r="B44" i="24"/>
  <c r="E44" i="24"/>
  <c r="B27" i="24"/>
  <c r="D27" i="24"/>
  <c r="E27" i="24"/>
  <c r="C27" i="24"/>
  <c r="B18" i="24"/>
  <c r="E18" i="24"/>
  <c r="D18" i="24"/>
  <c r="C18" i="24"/>
  <c r="G59" i="24"/>
  <c r="C59" i="24"/>
  <c r="D59" i="24"/>
  <c r="B59" i="24"/>
  <c r="E59" i="24"/>
  <c r="F235" i="53"/>
  <c r="U235" i="53" s="1"/>
  <c r="E235" i="53"/>
  <c r="G235" i="53" a="1"/>
  <c r="G235" i="53" s="1"/>
  <c r="D235" i="53"/>
  <c r="J235" i="53"/>
  <c r="J114" i="53"/>
  <c r="G114" i="53" a="1"/>
  <c r="G114" i="53" s="1"/>
  <c r="E114" i="53"/>
  <c r="F114" i="53"/>
  <c r="U114" i="53" s="1"/>
  <c r="D114" i="53"/>
  <c r="D325" i="53"/>
  <c r="J325" i="53"/>
  <c r="F325" i="53"/>
  <c r="U325" i="53" s="1"/>
  <c r="E325" i="53"/>
  <c r="G325" i="53" a="1"/>
  <c r="G325" i="53" s="1"/>
  <c r="E349" i="53"/>
  <c r="J349" i="53"/>
  <c r="D349" i="53"/>
  <c r="F349" i="53"/>
  <c r="U349" i="53" s="1"/>
  <c r="G349" i="53" a="1"/>
  <c r="G349" i="53" s="1"/>
  <c r="D329" i="53"/>
  <c r="G329" i="53" a="1"/>
  <c r="G329" i="53" s="1"/>
  <c r="F329" i="53"/>
  <c r="U329" i="53" s="1"/>
  <c r="E329" i="53"/>
  <c r="J329" i="53"/>
  <c r="G148" i="53" a="1"/>
  <c r="G148" i="53" s="1"/>
  <c r="J148" i="53"/>
  <c r="D148" i="53"/>
  <c r="F148" i="53"/>
  <c r="U148" i="53" s="1"/>
  <c r="E148" i="53"/>
  <c r="F71" i="53"/>
  <c r="U71" i="53" s="1"/>
  <c r="J71" i="53"/>
  <c r="G71" i="53" a="1"/>
  <c r="G71" i="53" s="1"/>
  <c r="E71" i="53"/>
  <c r="D71" i="53"/>
  <c r="F74" i="53"/>
  <c r="U74" i="53" s="1"/>
  <c r="J74" i="53"/>
  <c r="G74" i="53" a="1"/>
  <c r="G74" i="53" s="1"/>
  <c r="E74" i="53"/>
  <c r="D74" i="53"/>
  <c r="G122" i="53" a="1"/>
  <c r="G122" i="53" s="1"/>
  <c r="F122" i="53"/>
  <c r="U122" i="53" s="1"/>
  <c r="D122" i="53"/>
  <c r="E122" i="53"/>
  <c r="J122" i="53"/>
  <c r="J219" i="53"/>
  <c r="E219" i="53"/>
  <c r="G219" i="53" a="1"/>
  <c r="G219" i="53" s="1"/>
  <c r="D219" i="53"/>
  <c r="F219" i="53"/>
  <c r="U219" i="53" s="1"/>
  <c r="F328" i="53"/>
  <c r="U328" i="53" s="1"/>
  <c r="E328" i="53"/>
  <c r="D328" i="53"/>
  <c r="G328" i="53" a="1"/>
  <c r="G328" i="53" s="1"/>
  <c r="J328" i="53"/>
  <c r="F51" i="53"/>
  <c r="U51" i="53" s="1"/>
  <c r="J51" i="53"/>
  <c r="G51" i="53" a="1"/>
  <c r="G51" i="53" s="1"/>
  <c r="E51" i="53"/>
  <c r="D51" i="53"/>
  <c r="J117" i="53"/>
  <c r="G117" i="53" a="1"/>
  <c r="G117" i="53" s="1"/>
  <c r="D117" i="53"/>
  <c r="F117" i="53"/>
  <c r="U117" i="53" s="1"/>
  <c r="E117" i="53"/>
  <c r="J277" i="53"/>
  <c r="F277" i="53"/>
  <c r="U277" i="53" s="1"/>
  <c r="E277" i="53"/>
  <c r="G277" i="53" a="1"/>
  <c r="G277" i="53" s="1"/>
  <c r="D277" i="53"/>
  <c r="G107" i="53" a="1"/>
  <c r="G107" i="53" s="1"/>
  <c r="E107" i="53"/>
  <c r="F107" i="53"/>
  <c r="U107" i="53" s="1"/>
  <c r="D107" i="53"/>
  <c r="J107" i="53"/>
  <c r="F265" i="53"/>
  <c r="U265" i="53" s="1"/>
  <c r="G265" i="53" a="1"/>
  <c r="G265" i="53" s="1"/>
  <c r="E265" i="53"/>
  <c r="D265" i="53"/>
  <c r="J265" i="53"/>
  <c r="F150" i="53"/>
  <c r="U150" i="53" s="1"/>
  <c r="D150" i="53"/>
  <c r="E150" i="53"/>
  <c r="G150" i="53" a="1"/>
  <c r="G150" i="53" s="1"/>
  <c r="J150" i="53"/>
  <c r="E106" i="53"/>
  <c r="G106" i="53" a="1"/>
  <c r="G106" i="53" s="1"/>
  <c r="F106" i="53"/>
  <c r="U106" i="53" s="1"/>
  <c r="D106" i="53"/>
  <c r="J106" i="53"/>
  <c r="F248" i="53"/>
  <c r="U248" i="53" s="1"/>
  <c r="J248" i="53"/>
  <c r="D248" i="53"/>
  <c r="G248" i="53" a="1"/>
  <c r="G248" i="53" s="1"/>
  <c r="E248" i="53"/>
  <c r="D89" i="53"/>
  <c r="F89" i="53"/>
  <c r="U89" i="53" s="1"/>
  <c r="E89" i="53"/>
  <c r="J89" i="53"/>
  <c r="G89" i="53" a="1"/>
  <c r="G89" i="53" s="1"/>
  <c r="D159" i="53"/>
  <c r="G159" i="53" a="1"/>
  <c r="G159" i="53" s="1"/>
  <c r="F159" i="53"/>
  <c r="U159" i="53" s="1"/>
  <c r="E159" i="53"/>
  <c r="J159" i="53"/>
  <c r="F297" i="53"/>
  <c r="U297" i="53" s="1"/>
  <c r="J297" i="53"/>
  <c r="E297" i="53"/>
  <c r="D297" i="53"/>
  <c r="G297" i="53" a="1"/>
  <c r="G297" i="53" s="1"/>
  <c r="J295" i="53"/>
  <c r="F295" i="53"/>
  <c r="U295" i="53" s="1"/>
  <c r="D295" i="53"/>
  <c r="E295" i="53"/>
  <c r="G295" i="53" a="1"/>
  <c r="G295" i="53" s="1"/>
  <c r="J313" i="53"/>
  <c r="E313" i="53"/>
  <c r="G313" i="53" a="1"/>
  <c r="G313" i="53" s="1"/>
  <c r="F313" i="53"/>
  <c r="U313" i="53" s="1"/>
  <c r="D313" i="53"/>
  <c r="D301" i="53"/>
  <c r="F301" i="53"/>
  <c r="U301" i="53" s="1"/>
  <c r="G301" i="53" a="1"/>
  <c r="G301" i="53" s="1"/>
  <c r="J301" i="53"/>
  <c r="E301" i="53"/>
  <c r="F143" i="50"/>
  <c r="U143" i="50" s="1"/>
  <c r="D143" i="50"/>
  <c r="J143" i="50"/>
  <c r="E143" i="50"/>
  <c r="G143" i="50" a="1"/>
  <c r="G143" i="50" s="1"/>
  <c r="D322" i="50"/>
  <c r="J322" i="50"/>
  <c r="F322" i="50"/>
  <c r="U322" i="50" s="1"/>
  <c r="E322" i="50"/>
  <c r="G322" i="50" a="1"/>
  <c r="G322" i="50" s="1"/>
  <c r="E226" i="50"/>
  <c r="D226" i="50"/>
  <c r="G226" i="50" a="1"/>
  <c r="G226" i="50" s="1"/>
  <c r="F226" i="50"/>
  <c r="U226" i="50" s="1"/>
  <c r="J226" i="50"/>
  <c r="F211" i="50"/>
  <c r="U211" i="50" s="1"/>
  <c r="J211" i="50"/>
  <c r="G211" i="50" a="1"/>
  <c r="G211" i="50" s="1"/>
  <c r="D211" i="50"/>
  <c r="E211" i="50"/>
  <c r="E347" i="50"/>
  <c r="F347" i="50"/>
  <c r="U347" i="50" s="1"/>
  <c r="J347" i="50"/>
  <c r="D347" i="50"/>
  <c r="G347" i="50" a="1"/>
  <c r="G347" i="50" s="1"/>
  <c r="E316" i="50"/>
  <c r="J316" i="50"/>
  <c r="F316" i="50"/>
  <c r="U316" i="50" s="1"/>
  <c r="D316" i="50"/>
  <c r="G316" i="50" a="1"/>
  <c r="G316" i="50" s="1"/>
  <c r="F142" i="50"/>
  <c r="U142" i="50" s="1"/>
  <c r="G142" i="50" a="1"/>
  <c r="G142" i="50" s="1"/>
  <c r="J142" i="50"/>
  <c r="D142" i="50"/>
  <c r="E142" i="50"/>
  <c r="G96" i="50" a="1"/>
  <c r="G96" i="50" s="1"/>
  <c r="F96" i="50"/>
  <c r="U96" i="50" s="1"/>
  <c r="E96" i="50"/>
  <c r="J96" i="50"/>
  <c r="D96" i="50"/>
  <c r="E274" i="50"/>
  <c r="J274" i="50"/>
  <c r="D274" i="50"/>
  <c r="G274" i="50" a="1"/>
  <c r="G274" i="50" s="1"/>
  <c r="F274" i="50"/>
  <c r="U274" i="50" s="1"/>
  <c r="F290" i="50"/>
  <c r="U290" i="50" s="1"/>
  <c r="J290" i="50"/>
  <c r="D290" i="50"/>
  <c r="E290" i="50"/>
  <c r="G290" i="50" a="1"/>
  <c r="G290" i="50" s="1"/>
  <c r="J243" i="50"/>
  <c r="D243" i="50"/>
  <c r="G243" i="50" a="1"/>
  <c r="G243" i="50" s="1"/>
  <c r="E243" i="50"/>
  <c r="F243" i="50"/>
  <c r="U243" i="50" s="1"/>
  <c r="F108" i="50"/>
  <c r="U108" i="50" s="1"/>
  <c r="D108" i="50"/>
  <c r="G108" i="50" a="1"/>
  <c r="G108" i="50" s="1"/>
  <c r="E108" i="50"/>
  <c r="J108" i="50"/>
  <c r="G318" i="50" a="1"/>
  <c r="G318" i="50" s="1"/>
  <c r="J318" i="50"/>
  <c r="D318" i="50"/>
  <c r="F318" i="50"/>
  <c r="U318" i="50" s="1"/>
  <c r="E318" i="50"/>
  <c r="E180" i="50"/>
  <c r="J180" i="50"/>
  <c r="G180" i="50" a="1"/>
  <c r="G180" i="50" s="1"/>
  <c r="F180" i="50"/>
  <c r="U180" i="50" s="1"/>
  <c r="D180" i="50"/>
  <c r="E262" i="50"/>
  <c r="D262" i="50"/>
  <c r="G262" i="50" a="1"/>
  <c r="G262" i="50" s="1"/>
  <c r="F262" i="50"/>
  <c r="U262" i="50" s="1"/>
  <c r="J262" i="50"/>
  <c r="D128" i="50"/>
  <c r="E128" i="50"/>
  <c r="F128" i="50"/>
  <c r="U128" i="50" s="1"/>
  <c r="G128" i="50" a="1"/>
  <c r="G128" i="50" s="1"/>
  <c r="J128" i="50"/>
  <c r="E330" i="50"/>
  <c r="D330" i="50"/>
  <c r="F330" i="50"/>
  <c r="U330" i="50" s="1"/>
  <c r="J330" i="50"/>
  <c r="G330" i="50" a="1"/>
  <c r="G330" i="50" s="1"/>
  <c r="F12" i="50"/>
  <c r="G12" i="50" a="1"/>
  <c r="G12" i="50" s="1"/>
  <c r="E12" i="50"/>
  <c r="D12" i="50"/>
  <c r="G59" i="50" a="1"/>
  <c r="G59" i="50" s="1"/>
  <c r="F59" i="50"/>
  <c r="U59" i="50" s="1"/>
  <c r="J59" i="50"/>
  <c r="D59" i="50"/>
  <c r="E59" i="50"/>
  <c r="E250" i="50"/>
  <c r="D250" i="50"/>
  <c r="J250" i="50"/>
  <c r="G250" i="50" a="1"/>
  <c r="G250" i="50" s="1"/>
  <c r="F250" i="50"/>
  <c r="U250" i="50" s="1"/>
  <c r="G134" i="50" a="1"/>
  <c r="G134" i="50" s="1"/>
  <c r="F134" i="50"/>
  <c r="U134" i="50" s="1"/>
  <c r="J134" i="50"/>
  <c r="E134" i="50"/>
  <c r="D134" i="50"/>
  <c r="G160" i="50" a="1"/>
  <c r="G160" i="50" s="1"/>
  <c r="D160" i="50"/>
  <c r="J160" i="50"/>
  <c r="E160" i="50"/>
  <c r="F160" i="50"/>
  <c r="U160" i="50" s="1"/>
  <c r="F34" i="50"/>
  <c r="G34" i="50" a="1"/>
  <c r="G34" i="50" s="1"/>
  <c r="D34" i="50"/>
  <c r="G300" i="50" a="1"/>
  <c r="G300" i="50" s="1"/>
  <c r="E300" i="50"/>
  <c r="D300" i="50"/>
  <c r="J300" i="50"/>
  <c r="F300" i="50"/>
  <c r="U300" i="50" s="1"/>
  <c r="D72" i="50"/>
  <c r="E72" i="50"/>
  <c r="F72" i="50"/>
  <c r="U72" i="50" s="1"/>
  <c r="G72" i="50" a="1"/>
  <c r="G72" i="50" s="1"/>
  <c r="J72" i="50"/>
  <c r="J335" i="50"/>
  <c r="F335" i="50"/>
  <c r="U335" i="50" s="1"/>
  <c r="D335" i="50"/>
  <c r="G335" i="50" a="1"/>
  <c r="G335" i="50" s="1"/>
  <c r="E335" i="50"/>
  <c r="E148" i="50"/>
  <c r="G148" i="50" a="1"/>
  <c r="G148" i="50" s="1"/>
  <c r="J148" i="50"/>
  <c r="D148" i="50"/>
  <c r="F148" i="50"/>
  <c r="U148" i="50" s="1"/>
  <c r="J70" i="50"/>
  <c r="G70" i="50" a="1"/>
  <c r="G70" i="50" s="1"/>
  <c r="E70" i="50"/>
  <c r="F70" i="50"/>
  <c r="U70" i="50" s="1"/>
  <c r="D70" i="50"/>
  <c r="G203" i="50" a="1"/>
  <c r="G203" i="50" s="1"/>
  <c r="D203" i="50"/>
  <c r="J203" i="50"/>
  <c r="F203" i="50"/>
  <c r="U203" i="50" s="1"/>
  <c r="E203" i="50"/>
  <c r="F202" i="50"/>
  <c r="U202" i="50" s="1"/>
  <c r="J202" i="50"/>
  <c r="E202" i="50"/>
  <c r="G202" i="50" a="1"/>
  <c r="G202" i="50" s="1"/>
  <c r="D202" i="50"/>
  <c r="D341" i="50"/>
  <c r="G341" i="50" a="1"/>
  <c r="G341" i="50" s="1"/>
  <c r="E341" i="50"/>
  <c r="J341" i="50"/>
  <c r="F341" i="50"/>
  <c r="U341" i="50" s="1"/>
  <c r="G294" i="50" a="1"/>
  <c r="G294" i="50" s="1"/>
  <c r="J294" i="50"/>
  <c r="D294" i="50"/>
  <c r="E294" i="50"/>
  <c r="F294" i="50"/>
  <c r="U294" i="50" s="1"/>
  <c r="E68" i="50"/>
  <c r="G68" i="50" a="1"/>
  <c r="G68" i="50" s="1"/>
  <c r="D68" i="50"/>
  <c r="F68" i="50"/>
  <c r="U68" i="50" s="1"/>
  <c r="J68" i="50"/>
  <c r="E43" i="50"/>
  <c r="G43" i="50" a="1"/>
  <c r="G43" i="50" s="1"/>
  <c r="D43" i="50"/>
  <c r="F43" i="50"/>
  <c r="E328" i="50"/>
  <c r="D328" i="50"/>
  <c r="G328" i="50" a="1"/>
  <c r="G328" i="50" s="1"/>
  <c r="J328" i="50"/>
  <c r="F328" i="50"/>
  <c r="U328" i="50" s="1"/>
  <c r="G10" i="50" a="1"/>
  <c r="G10" i="50" s="1"/>
  <c r="F10" i="50"/>
  <c r="D10" i="50"/>
  <c r="F132" i="50"/>
  <c r="U132" i="50" s="1"/>
  <c r="J132" i="50"/>
  <c r="E132" i="50"/>
  <c r="G132" i="50" a="1"/>
  <c r="G132" i="50" s="1"/>
  <c r="D132" i="50"/>
  <c r="F350" i="50"/>
  <c r="U350" i="50" s="1"/>
  <c r="D350" i="50"/>
  <c r="G350" i="50" a="1"/>
  <c r="G350" i="50" s="1"/>
  <c r="J350" i="50"/>
  <c r="E350" i="50"/>
  <c r="E309" i="50"/>
  <c r="F309" i="50"/>
  <c r="U309" i="50" s="1"/>
  <c r="J309" i="50"/>
  <c r="G309" i="50" a="1"/>
  <c r="G309" i="50" s="1"/>
  <c r="D309" i="50"/>
  <c r="D89" i="50"/>
  <c r="J89" i="50"/>
  <c r="F89" i="50"/>
  <c r="U89" i="50" s="1"/>
  <c r="E89" i="50"/>
  <c r="G89" i="50" a="1"/>
  <c r="G89" i="50" s="1"/>
  <c r="D285" i="50"/>
  <c r="F285" i="50"/>
  <c r="U285" i="50" s="1"/>
  <c r="G285" i="50" a="1"/>
  <c r="G285" i="50" s="1"/>
  <c r="E285" i="50"/>
  <c r="J285" i="50"/>
  <c r="D320" i="50"/>
  <c r="J320" i="50"/>
  <c r="E320" i="50"/>
  <c r="F320" i="50"/>
  <c r="U320" i="50" s="1"/>
  <c r="G320" i="50" a="1"/>
  <c r="G320" i="50" s="1"/>
  <c r="D135" i="50"/>
  <c r="G135" i="50" a="1"/>
  <c r="G135" i="50" s="1"/>
  <c r="E135" i="50"/>
  <c r="J135" i="50"/>
  <c r="F135" i="50"/>
  <c r="U135" i="50" s="1"/>
  <c r="D49" i="33"/>
  <c r="E49" i="33"/>
  <c r="C49" i="33"/>
  <c r="G49" i="33"/>
  <c r="B49" i="33"/>
  <c r="D24" i="33"/>
  <c r="G24" i="33"/>
  <c r="C24" i="33"/>
  <c r="E24" i="33"/>
  <c r="B24" i="33"/>
  <c r="B42" i="33"/>
  <c r="G42" i="33"/>
  <c r="E42" i="33"/>
  <c r="D42" i="33"/>
  <c r="C42" i="33"/>
  <c r="C82" i="33"/>
  <c r="B82" i="33"/>
  <c r="G82" i="33"/>
  <c r="E82" i="33"/>
  <c r="D82" i="33"/>
  <c r="D55" i="33"/>
  <c r="C55" i="33"/>
  <c r="B55" i="33"/>
  <c r="E55" i="33"/>
  <c r="G55" i="33"/>
  <c r="D70" i="33"/>
  <c r="B70" i="33"/>
  <c r="E70" i="33"/>
  <c r="G70" i="33"/>
  <c r="C70" i="33"/>
  <c r="C115" i="49"/>
  <c r="F115" i="49" a="1"/>
  <c r="F115" i="49" s="1"/>
  <c r="E115" i="49"/>
  <c r="D115" i="49"/>
  <c r="I115" i="49"/>
  <c r="K115" i="49" a="1"/>
  <c r="K115" i="49" s="1"/>
  <c r="D10" i="49"/>
  <c r="E10" i="49"/>
  <c r="F10" i="49" a="1"/>
  <c r="F10" i="49" s="1"/>
  <c r="C10" i="49"/>
  <c r="E287" i="49"/>
  <c r="C287" i="49"/>
  <c r="D287" i="49"/>
  <c r="F287" i="49" a="1"/>
  <c r="F287" i="49" s="1"/>
  <c r="I287" i="49"/>
  <c r="K287" i="49" a="1"/>
  <c r="K287" i="49" s="1"/>
  <c r="E180" i="49"/>
  <c r="D180" i="49"/>
  <c r="F180" i="49" a="1"/>
  <c r="F180" i="49" s="1"/>
  <c r="I180" i="49"/>
  <c r="C180" i="49"/>
  <c r="K180" i="49" a="1"/>
  <c r="K180" i="49" s="1"/>
  <c r="D288" i="49"/>
  <c r="E288" i="49"/>
  <c r="I288" i="49"/>
  <c r="C288" i="49"/>
  <c r="F288" i="49" a="1"/>
  <c r="F288" i="49" s="1"/>
  <c r="K288" i="49" a="1"/>
  <c r="K288" i="49" s="1"/>
  <c r="D51" i="49"/>
  <c r="F51" i="49" a="1"/>
  <c r="F51" i="49" s="1"/>
  <c r="E51" i="49"/>
  <c r="I51" i="49"/>
  <c r="C51" i="49"/>
  <c r="K51" i="49" a="1"/>
  <c r="K51" i="49" s="1"/>
  <c r="D7" i="49"/>
  <c r="F7" i="49" a="1"/>
  <c r="F7" i="49" s="1"/>
  <c r="C7" i="49"/>
  <c r="E7" i="49"/>
  <c r="C16" i="49"/>
  <c r="E16" i="49"/>
  <c r="F16" i="49" a="1"/>
  <c r="F16" i="49" s="1"/>
  <c r="E55" i="49"/>
  <c r="F55" i="49" a="1"/>
  <c r="F55" i="49" s="1"/>
  <c r="D55" i="49"/>
  <c r="I55" i="49"/>
  <c r="C55" i="49"/>
  <c r="K55" i="49" a="1"/>
  <c r="K55" i="49" s="1"/>
  <c r="E171" i="49"/>
  <c r="C171" i="49"/>
  <c r="I171" i="49"/>
  <c r="D171" i="49"/>
  <c r="F171" i="49" a="1"/>
  <c r="F171" i="49" s="1"/>
  <c r="K171" i="49" a="1"/>
  <c r="K171" i="49" s="1"/>
  <c r="D136" i="49"/>
  <c r="C136" i="49"/>
  <c r="I136" i="49"/>
  <c r="E136" i="49"/>
  <c r="F136" i="49" a="1"/>
  <c r="F136" i="49" s="1"/>
  <c r="K136" i="49" a="1"/>
  <c r="K136" i="49" s="1"/>
  <c r="E345" i="49"/>
  <c r="I345" i="49"/>
  <c r="F345" i="49" a="1"/>
  <c r="F345" i="49" s="1"/>
  <c r="D345" i="49"/>
  <c r="C345" i="49"/>
  <c r="K345" i="49" a="1"/>
  <c r="K345" i="49" s="1"/>
  <c r="E71" i="49"/>
  <c r="F71" i="49" a="1"/>
  <c r="F71" i="49" s="1"/>
  <c r="C71" i="49"/>
  <c r="I71" i="49"/>
  <c r="D71" i="49"/>
  <c r="K71" i="49" a="1"/>
  <c r="K71" i="49" s="1"/>
  <c r="E102" i="49"/>
  <c r="D102" i="49"/>
  <c r="C102" i="49"/>
  <c r="I102" i="49"/>
  <c r="F102" i="49" a="1"/>
  <c r="F102" i="49" s="1"/>
  <c r="K102" i="49" a="1"/>
  <c r="K102" i="49" s="1"/>
  <c r="I289" i="49"/>
  <c r="F289" i="49" a="1"/>
  <c r="F289" i="49" s="1"/>
  <c r="D289" i="49"/>
  <c r="C289" i="49"/>
  <c r="E289" i="49"/>
  <c r="K289" i="49" a="1"/>
  <c r="K289" i="49" s="1"/>
  <c r="E283" i="49"/>
  <c r="C283" i="49"/>
  <c r="I283" i="49"/>
  <c r="F283" i="49" a="1"/>
  <c r="F283" i="49" s="1"/>
  <c r="D283" i="49"/>
  <c r="K283" i="49" a="1"/>
  <c r="K283" i="49" s="1"/>
  <c r="D354" i="49"/>
  <c r="E354" i="49"/>
  <c r="C354" i="49"/>
  <c r="I354" i="49"/>
  <c r="F354" i="49" a="1"/>
  <c r="F354" i="49" s="1"/>
  <c r="K354" i="49" a="1"/>
  <c r="K354" i="49" s="1"/>
  <c r="C25" i="49"/>
  <c r="F25" i="49" a="1"/>
  <c r="F25" i="49" s="1"/>
  <c r="E25" i="49"/>
  <c r="K25" i="49" a="1"/>
  <c r="K25" i="49" s="1"/>
  <c r="I319" i="49"/>
  <c r="E319" i="49"/>
  <c r="F319" i="49" a="1"/>
  <c r="F319" i="49" s="1"/>
  <c r="D319" i="49"/>
  <c r="C319" i="49"/>
  <c r="K319" i="49" a="1"/>
  <c r="K319" i="49" s="1"/>
  <c r="E224" i="49"/>
  <c r="D224" i="49"/>
  <c r="I224" i="49"/>
  <c r="C224" i="49"/>
  <c r="F224" i="49" a="1"/>
  <c r="F224" i="49" s="1"/>
  <c r="K224" i="49" a="1"/>
  <c r="K224" i="49" s="1"/>
  <c r="I172" i="49"/>
  <c r="F172" i="49" a="1"/>
  <c r="F172" i="49" s="1"/>
  <c r="D172" i="49"/>
  <c r="C172" i="49"/>
  <c r="E172" i="49"/>
  <c r="K172" i="49" a="1"/>
  <c r="K172" i="49" s="1"/>
  <c r="C302" i="49"/>
  <c r="E302" i="49"/>
  <c r="I302" i="49"/>
  <c r="D302" i="49"/>
  <c r="F302" i="49" a="1"/>
  <c r="F302" i="49" s="1"/>
  <c r="K302" i="49" a="1"/>
  <c r="K302" i="49" s="1"/>
  <c r="I43" i="49"/>
  <c r="F43" i="49" a="1"/>
  <c r="F43" i="49" s="1"/>
  <c r="D43" i="49"/>
  <c r="E43" i="49"/>
  <c r="C43" i="49"/>
  <c r="K43" i="49" a="1"/>
  <c r="K43" i="49" s="1"/>
  <c r="E162" i="49"/>
  <c r="I162" i="49"/>
  <c r="F162" i="49" a="1"/>
  <c r="F162" i="49" s="1"/>
  <c r="D162" i="49"/>
  <c r="C162" i="49"/>
  <c r="K162" i="49" a="1"/>
  <c r="K162" i="49" s="1"/>
  <c r="C141" i="49"/>
  <c r="E141" i="49"/>
  <c r="I141" i="49"/>
  <c r="F141" i="49" a="1"/>
  <c r="F141" i="49" s="1"/>
  <c r="D141" i="49"/>
  <c r="K141" i="49" a="1"/>
  <c r="K141" i="49" s="1"/>
  <c r="F163" i="49" a="1"/>
  <c r="F163" i="49" s="1"/>
  <c r="I163" i="49"/>
  <c r="C163" i="49"/>
  <c r="D163" i="49"/>
  <c r="E163" i="49"/>
  <c r="K163" i="49" a="1"/>
  <c r="K163" i="49" s="1"/>
  <c r="D42" i="49"/>
  <c r="F42" i="49" a="1"/>
  <c r="F42" i="49" s="1"/>
  <c r="C42" i="49"/>
  <c r="E42" i="49"/>
  <c r="I42" i="49"/>
  <c r="K42" i="49" a="1"/>
  <c r="K42" i="49" s="1"/>
  <c r="C231" i="49"/>
  <c r="I231" i="49"/>
  <c r="D231" i="49"/>
  <c r="E231" i="49"/>
  <c r="F231" i="49" a="1"/>
  <c r="F231" i="49" s="1"/>
  <c r="K231" i="49" a="1"/>
  <c r="K231" i="49" s="1"/>
  <c r="C128" i="49"/>
  <c r="E128" i="49"/>
  <c r="F128" i="49" a="1"/>
  <c r="F128" i="49" s="1"/>
  <c r="D128" i="49"/>
  <c r="I128" i="49"/>
  <c r="K128" i="49" a="1"/>
  <c r="K128" i="49" s="1"/>
  <c r="F284" i="49" a="1"/>
  <c r="F284" i="49" s="1"/>
  <c r="E284" i="49"/>
  <c r="C284" i="49"/>
  <c r="I284" i="49"/>
  <c r="D284" i="49"/>
  <c r="K284" i="49" a="1"/>
  <c r="K284" i="49" s="1"/>
  <c r="C265" i="49"/>
  <c r="I265" i="49"/>
  <c r="D265" i="49"/>
  <c r="E265" i="49"/>
  <c r="F265" i="49" a="1"/>
  <c r="F265" i="49" s="1"/>
  <c r="K265" i="49" a="1"/>
  <c r="K265" i="49" s="1"/>
  <c r="C26" i="49"/>
  <c r="E26" i="49"/>
  <c r="F26" i="49" a="1"/>
  <c r="F26" i="49" s="1"/>
  <c r="D26" i="49"/>
  <c r="C154" i="49"/>
  <c r="E154" i="49"/>
  <c r="D154" i="49"/>
  <c r="I154" i="49"/>
  <c r="F154" i="49" a="1"/>
  <c r="F154" i="49" s="1"/>
  <c r="K154" i="49" a="1"/>
  <c r="K154" i="49" s="1"/>
  <c r="D297" i="49"/>
  <c r="C297" i="49"/>
  <c r="I297" i="49"/>
  <c r="F297" i="49" a="1"/>
  <c r="F297" i="49" s="1"/>
  <c r="E297" i="49"/>
  <c r="K297" i="49" a="1"/>
  <c r="K297" i="49" s="1"/>
  <c r="F330" i="49" a="1"/>
  <c r="F330" i="49" s="1"/>
  <c r="C330" i="49"/>
  <c r="I330" i="49"/>
  <c r="E330" i="49"/>
  <c r="D330" i="49"/>
  <c r="K330" i="49" a="1"/>
  <c r="K330" i="49" s="1"/>
  <c r="I188" i="49"/>
  <c r="D188" i="49"/>
  <c r="E188" i="49"/>
  <c r="F188" i="49" a="1"/>
  <c r="F188" i="49" s="1"/>
  <c r="C188" i="49"/>
  <c r="K188" i="49" a="1"/>
  <c r="K188" i="49" s="1"/>
  <c r="F155" i="49" a="1"/>
  <c r="F155" i="49" s="1"/>
  <c r="E155" i="49"/>
  <c r="I155" i="49"/>
  <c r="C155" i="49"/>
  <c r="D155" i="49"/>
  <c r="K155" i="49" a="1"/>
  <c r="K155" i="49" s="1"/>
  <c r="C116" i="49"/>
  <c r="I116" i="49"/>
  <c r="D116" i="49"/>
  <c r="E116" i="49"/>
  <c r="F116" i="49" a="1"/>
  <c r="F116" i="49" s="1"/>
  <c r="K116" i="49" a="1"/>
  <c r="K116" i="49" s="1"/>
  <c r="C27" i="91"/>
  <c r="E27" i="91"/>
  <c r="B27" i="91"/>
  <c r="D27" i="91"/>
  <c r="G27" i="91"/>
  <c r="G56" i="91"/>
  <c r="C56" i="91"/>
  <c r="B56" i="91"/>
  <c r="D56" i="91"/>
  <c r="E56" i="91"/>
  <c r="D20" i="91"/>
  <c r="B20" i="91"/>
  <c r="E20" i="91"/>
  <c r="C20" i="91"/>
  <c r="G20" i="91"/>
  <c r="D72" i="91"/>
  <c r="B72" i="91"/>
  <c r="E72" i="91"/>
  <c r="C72" i="91"/>
  <c r="G72" i="91"/>
  <c r="C85" i="91"/>
  <c r="D85" i="91"/>
  <c r="B85" i="91"/>
  <c r="E85" i="91"/>
  <c r="G85" i="91"/>
  <c r="C68" i="19"/>
  <c r="B68" i="19"/>
  <c r="G68" i="19"/>
  <c r="E68" i="19"/>
  <c r="D68" i="19"/>
  <c r="B63" i="19"/>
  <c r="E63" i="19"/>
  <c r="D63" i="19"/>
  <c r="G63" i="19"/>
  <c r="C63" i="19"/>
  <c r="C13" i="19"/>
  <c r="D13" i="19"/>
  <c r="B13" i="19"/>
  <c r="D50" i="19"/>
  <c r="B50" i="19"/>
  <c r="G50" i="19"/>
  <c r="C50" i="19"/>
  <c r="E50" i="19"/>
  <c r="E38" i="19"/>
  <c r="B38" i="19"/>
  <c r="C38" i="19"/>
  <c r="G38" i="19"/>
  <c r="D38" i="19"/>
  <c r="E79" i="19"/>
  <c r="C79" i="19"/>
  <c r="G79" i="19"/>
  <c r="D79" i="19"/>
  <c r="B79" i="19"/>
  <c r="D56" i="19"/>
  <c r="B56" i="19"/>
  <c r="C56" i="19"/>
  <c r="E56" i="19"/>
  <c r="G56" i="19"/>
  <c r="L258" i="52" a="1"/>
  <c r="L258" i="52" s="1"/>
  <c r="C258" i="52"/>
  <c r="D258" i="52"/>
  <c r="I258" i="52"/>
  <c r="E258" i="52"/>
  <c r="F258" i="52" a="1"/>
  <c r="F258" i="52" s="1"/>
  <c r="F272" i="52" a="1"/>
  <c r="F272" i="52" s="1"/>
  <c r="E272" i="52"/>
  <c r="D272" i="52"/>
  <c r="L272" i="52" a="1"/>
  <c r="L272" i="52" s="1"/>
  <c r="I272" i="52"/>
  <c r="C272" i="52"/>
  <c r="E130" i="52"/>
  <c r="F130" i="52" a="1"/>
  <c r="F130" i="52" s="1"/>
  <c r="D130" i="52"/>
  <c r="I130" i="52"/>
  <c r="L130" i="52" a="1"/>
  <c r="L130" i="52" s="1"/>
  <c r="C130" i="52"/>
  <c r="F228" i="52" a="1"/>
  <c r="F228" i="52" s="1"/>
  <c r="E228" i="52"/>
  <c r="C228" i="52"/>
  <c r="D228" i="52"/>
  <c r="L228" i="52" a="1"/>
  <c r="L228" i="52" s="1"/>
  <c r="I228" i="52"/>
  <c r="D107" i="52"/>
  <c r="C107" i="52"/>
  <c r="L107" i="52" a="1"/>
  <c r="L107" i="52" s="1"/>
  <c r="I107" i="52"/>
  <c r="E107" i="52"/>
  <c r="F107" i="52" a="1"/>
  <c r="F107" i="52" s="1"/>
  <c r="D339" i="52"/>
  <c r="L339" i="52" a="1"/>
  <c r="L339" i="52" s="1"/>
  <c r="E339" i="52"/>
  <c r="C339" i="52"/>
  <c r="F339" i="52" a="1"/>
  <c r="F339" i="52" s="1"/>
  <c r="I339" i="52"/>
  <c r="E117" i="52"/>
  <c r="I117" i="52"/>
  <c r="L117" i="52" a="1"/>
  <c r="L117" i="52" s="1"/>
  <c r="C117" i="52"/>
  <c r="D117" i="52"/>
  <c r="F117" i="52" a="1"/>
  <c r="F117" i="52" s="1"/>
  <c r="D60" i="52"/>
  <c r="C60" i="52"/>
  <c r="F60" i="52" a="1"/>
  <c r="F60" i="52" s="1"/>
  <c r="E60" i="52"/>
  <c r="I185" i="52"/>
  <c r="L185" i="52" a="1"/>
  <c r="L185" i="52" s="1"/>
  <c r="C185" i="52"/>
  <c r="D185" i="52"/>
  <c r="F185" i="52" a="1"/>
  <c r="F185" i="52" s="1"/>
  <c r="E185" i="52"/>
  <c r="L322" i="52" a="1"/>
  <c r="L322" i="52" s="1"/>
  <c r="I322" i="52"/>
  <c r="E322" i="52"/>
  <c r="D322" i="52"/>
  <c r="F322" i="52" a="1"/>
  <c r="F322" i="52" s="1"/>
  <c r="C322" i="52"/>
  <c r="C61" i="52"/>
  <c r="E61" i="52"/>
  <c r="F61" i="52" a="1"/>
  <c r="F61" i="52" s="1"/>
  <c r="D61" i="52"/>
  <c r="D246" i="52"/>
  <c r="I246" i="52"/>
  <c r="L246" i="52" a="1"/>
  <c r="L246" i="52" s="1"/>
  <c r="C246" i="52"/>
  <c r="F246" i="52" a="1"/>
  <c r="F246" i="52" s="1"/>
  <c r="E246" i="52"/>
  <c r="I168" i="52"/>
  <c r="L168" i="52" a="1"/>
  <c r="L168" i="52" s="1"/>
  <c r="E168" i="52"/>
  <c r="D168" i="52"/>
  <c r="C168" i="52"/>
  <c r="F168" i="52" a="1"/>
  <c r="F168" i="52" s="1"/>
  <c r="C27" i="52"/>
  <c r="F27" i="52" a="1"/>
  <c r="F27" i="52" s="1"/>
  <c r="E27" i="52"/>
  <c r="E331" i="52"/>
  <c r="L331" i="52" a="1"/>
  <c r="L331" i="52" s="1"/>
  <c r="I331" i="52"/>
  <c r="C331" i="52"/>
  <c r="F331" i="52" a="1"/>
  <c r="F331" i="52" s="1"/>
  <c r="D331" i="52"/>
  <c r="L169" i="52" a="1"/>
  <c r="L169" i="52" s="1"/>
  <c r="C169" i="52"/>
  <c r="F169" i="52" a="1"/>
  <c r="F169" i="52" s="1"/>
  <c r="D169" i="52"/>
  <c r="I169" i="52"/>
  <c r="E169" i="52"/>
  <c r="C20" i="52"/>
  <c r="F20" i="52" a="1"/>
  <c r="F20" i="52" s="1"/>
  <c r="D20" i="52"/>
  <c r="E20" i="52"/>
  <c r="C201" i="52"/>
  <c r="L201" i="52" a="1"/>
  <c r="L201" i="52" s="1"/>
  <c r="F201" i="52" a="1"/>
  <c r="F201" i="52" s="1"/>
  <c r="I201" i="52"/>
  <c r="D201" i="52"/>
  <c r="E201" i="52"/>
  <c r="E141" i="52"/>
  <c r="I141" i="52"/>
  <c r="L141" i="52" a="1"/>
  <c r="L141" i="52" s="1"/>
  <c r="C141" i="52"/>
  <c r="F141" i="52" a="1"/>
  <c r="F141" i="52" s="1"/>
  <c r="D141" i="52"/>
  <c r="F81" i="52" a="1"/>
  <c r="F81" i="52" s="1"/>
  <c r="D81" i="52"/>
  <c r="I81" i="52"/>
  <c r="L81" i="52" a="1"/>
  <c r="L81" i="52" s="1"/>
  <c r="C81" i="52"/>
  <c r="E81" i="52"/>
  <c r="I214" i="52"/>
  <c r="D214" i="52"/>
  <c r="C214" i="52"/>
  <c r="F214" i="52" a="1"/>
  <c r="F214" i="52" s="1"/>
  <c r="L214" i="52" a="1"/>
  <c r="L214" i="52" s="1"/>
  <c r="E214" i="52"/>
  <c r="D18" i="52"/>
  <c r="F18" i="52" a="1"/>
  <c r="F18" i="52" s="1"/>
  <c r="C18" i="52"/>
  <c r="E18" i="52"/>
  <c r="C49" i="52"/>
  <c r="D49" i="52"/>
  <c r="F49" i="52" a="1"/>
  <c r="F49" i="52" s="1"/>
  <c r="E49" i="52"/>
  <c r="F243" i="52" a="1"/>
  <c r="F243" i="52" s="1"/>
  <c r="E243" i="52"/>
  <c r="C243" i="52"/>
  <c r="D243" i="52"/>
  <c r="I243" i="52"/>
  <c r="L243" i="52" a="1"/>
  <c r="L243" i="52" s="1"/>
  <c r="L285" i="52" a="1"/>
  <c r="L285" i="52" s="1"/>
  <c r="F285" i="52" a="1"/>
  <c r="F285" i="52" s="1"/>
  <c r="C285" i="52"/>
  <c r="D285" i="52"/>
  <c r="I285" i="52"/>
  <c r="E285" i="52"/>
  <c r="D7" i="25"/>
  <c r="C7" i="25"/>
  <c r="B7" i="25"/>
  <c r="E7" i="25"/>
  <c r="B31" i="25"/>
  <c r="D31" i="25"/>
  <c r="G31" i="25"/>
  <c r="C31" i="25"/>
  <c r="E31" i="25"/>
  <c r="E85" i="25"/>
  <c r="C85" i="25"/>
  <c r="B85" i="25"/>
  <c r="G85" i="25"/>
  <c r="D85" i="25"/>
  <c r="G36" i="25"/>
  <c r="D36" i="25"/>
  <c r="E36" i="25"/>
  <c r="B36" i="25"/>
  <c r="C36" i="25"/>
  <c r="C27" i="25"/>
  <c r="E27" i="25"/>
  <c r="B27" i="25"/>
  <c r="D27" i="25"/>
  <c r="C75" i="25"/>
  <c r="B75" i="25"/>
  <c r="G75" i="25"/>
  <c r="E75" i="25"/>
  <c r="D75" i="25"/>
  <c r="C54" i="25"/>
  <c r="D54" i="25"/>
  <c r="B54" i="25"/>
  <c r="E54" i="25"/>
  <c r="G54" i="25"/>
  <c r="D32" i="25"/>
  <c r="C32" i="25"/>
  <c r="E32" i="25"/>
  <c r="B32" i="25"/>
  <c r="G32" i="25"/>
  <c r="D25" i="25"/>
  <c r="E25" i="25"/>
  <c r="C25" i="25"/>
  <c r="B25" i="25"/>
  <c r="I272" i="100"/>
  <c r="C272" i="100"/>
  <c r="E272" i="100"/>
  <c r="D272" i="100"/>
  <c r="F272" i="100" a="1"/>
  <c r="F272" i="100" s="1"/>
  <c r="K272" i="100" a="1"/>
  <c r="K272" i="100" s="1"/>
  <c r="E162" i="100"/>
  <c r="C162" i="100"/>
  <c r="D162" i="100"/>
  <c r="I162" i="100"/>
  <c r="F162" i="100" a="1"/>
  <c r="F162" i="100" s="1"/>
  <c r="K162" i="100" a="1"/>
  <c r="K162" i="100" s="1"/>
  <c r="C291" i="100"/>
  <c r="E291" i="100"/>
  <c r="I291" i="100"/>
  <c r="F291" i="100" a="1"/>
  <c r="F291" i="100" s="1"/>
  <c r="D291" i="100"/>
  <c r="K291" i="100" a="1"/>
  <c r="K291" i="100" s="1"/>
  <c r="I259" i="100"/>
  <c r="D259" i="100"/>
  <c r="F259" i="100" a="1"/>
  <c r="F259" i="100" s="1"/>
  <c r="C259" i="100"/>
  <c r="E259" i="100"/>
  <c r="K259" i="100" a="1"/>
  <c r="K259" i="100" s="1"/>
  <c r="I318" i="100"/>
  <c r="F318" i="100" a="1"/>
  <c r="F318" i="100" s="1"/>
  <c r="D318" i="100"/>
  <c r="C318" i="100"/>
  <c r="E318" i="100"/>
  <c r="K318" i="100" a="1"/>
  <c r="K318" i="100" s="1"/>
  <c r="E203" i="100"/>
  <c r="F203" i="100" a="1"/>
  <c r="F203" i="100" s="1"/>
  <c r="C203" i="100"/>
  <c r="D203" i="100"/>
  <c r="I203" i="100"/>
  <c r="K203" i="100" a="1"/>
  <c r="K203" i="100" s="1"/>
  <c r="I137" i="100"/>
  <c r="F137" i="100" a="1"/>
  <c r="F137" i="100" s="1"/>
  <c r="C137" i="100"/>
  <c r="E137" i="100"/>
  <c r="D137" i="100"/>
  <c r="K137" i="100" a="1"/>
  <c r="K137" i="100" s="1"/>
  <c r="I98" i="100"/>
  <c r="E98" i="100"/>
  <c r="C98" i="100"/>
  <c r="F98" i="100" a="1"/>
  <c r="F98" i="100" s="1"/>
  <c r="D98" i="100"/>
  <c r="K98" i="100" a="1"/>
  <c r="K98" i="100" s="1"/>
  <c r="D103" i="100"/>
  <c r="I103" i="100"/>
  <c r="F103" i="100" a="1"/>
  <c r="F103" i="100" s="1"/>
  <c r="E103" i="100"/>
  <c r="C103" i="100"/>
  <c r="K103" i="100" a="1"/>
  <c r="K103" i="100" s="1"/>
  <c r="C240" i="100"/>
  <c r="I240" i="100"/>
  <c r="F240" i="100" a="1"/>
  <c r="F240" i="100" s="1"/>
  <c r="D240" i="100"/>
  <c r="E240" i="100"/>
  <c r="K240" i="100" a="1"/>
  <c r="K240" i="100" s="1"/>
  <c r="C250" i="100"/>
  <c r="F250" i="100" a="1"/>
  <c r="F250" i="100" s="1"/>
  <c r="E250" i="100"/>
  <c r="D250" i="100"/>
  <c r="I250" i="100"/>
  <c r="K250" i="100" a="1"/>
  <c r="K250" i="100" s="1"/>
  <c r="I296" i="100"/>
  <c r="D296" i="100"/>
  <c r="F296" i="100" a="1"/>
  <c r="F296" i="100" s="1"/>
  <c r="C296" i="100"/>
  <c r="E296" i="100"/>
  <c r="K296" i="100" a="1"/>
  <c r="K296" i="100" s="1"/>
  <c r="D64" i="100"/>
  <c r="I64" i="100"/>
  <c r="F64" i="100" a="1"/>
  <c r="F64" i="100" s="1"/>
  <c r="E64" i="100"/>
  <c r="C64" i="100"/>
  <c r="K64" i="100" a="1"/>
  <c r="K64" i="100" s="1"/>
  <c r="I251" i="100"/>
  <c r="E251" i="100"/>
  <c r="D251" i="100"/>
  <c r="F251" i="100" a="1"/>
  <c r="F251" i="100" s="1"/>
  <c r="C251" i="100"/>
  <c r="K251" i="100" a="1"/>
  <c r="K251" i="100" s="1"/>
  <c r="D180" i="100"/>
  <c r="F180" i="100" a="1"/>
  <c r="F180" i="100" s="1"/>
  <c r="I180" i="100"/>
  <c r="C180" i="100"/>
  <c r="E180" i="100"/>
  <c r="K180" i="100" a="1"/>
  <c r="K180" i="100" s="1"/>
  <c r="E21" i="100"/>
  <c r="F21" i="100" a="1"/>
  <c r="F21" i="100" s="1"/>
  <c r="D21" i="100"/>
  <c r="C21" i="100"/>
  <c r="D12" i="100"/>
  <c r="C12" i="100"/>
  <c r="E12" i="100"/>
  <c r="F12" i="100" a="1"/>
  <c r="F12" i="100" s="1"/>
  <c r="E160" i="100"/>
  <c r="I160" i="100"/>
  <c r="C160" i="100"/>
  <c r="F160" i="100" a="1"/>
  <c r="F160" i="100" s="1"/>
  <c r="D160" i="100"/>
  <c r="K160" i="100" a="1"/>
  <c r="K160" i="100" s="1"/>
  <c r="K100" i="100" a="1"/>
  <c r="K100" i="100" s="1"/>
  <c r="D100" i="100"/>
  <c r="E100" i="100"/>
  <c r="I100" i="100"/>
  <c r="F100" i="100" a="1"/>
  <c r="F100" i="100" s="1"/>
  <c r="C100" i="100"/>
  <c r="D334" i="100"/>
  <c r="C334" i="100"/>
  <c r="E334" i="100"/>
  <c r="I334" i="100"/>
  <c r="F334" i="100" a="1"/>
  <c r="F334" i="100" s="1"/>
  <c r="K334" i="100" a="1"/>
  <c r="K334" i="100" s="1"/>
  <c r="F50" i="100" a="1"/>
  <c r="F50" i="100" s="1"/>
  <c r="C50" i="100"/>
  <c r="E50" i="100"/>
  <c r="K50" i="100" a="1"/>
  <c r="K50" i="100" s="1"/>
  <c r="I223" i="100"/>
  <c r="E223" i="100"/>
  <c r="F223" i="100" a="1"/>
  <c r="F223" i="100" s="1"/>
  <c r="D223" i="100"/>
  <c r="C223" i="100"/>
  <c r="K223" i="100" a="1"/>
  <c r="K223" i="100" s="1"/>
  <c r="K114" i="100" a="1"/>
  <c r="K114" i="100" s="1"/>
  <c r="F114" i="100" a="1"/>
  <c r="F114" i="100" s="1"/>
  <c r="I114" i="100"/>
  <c r="D114" i="100"/>
  <c r="E114" i="100"/>
  <c r="C114" i="100"/>
  <c r="F14" i="100" a="1"/>
  <c r="F14" i="100" s="1"/>
  <c r="D14" i="100"/>
  <c r="E14" i="100"/>
  <c r="C14" i="100"/>
  <c r="D66" i="100"/>
  <c r="E66" i="100"/>
  <c r="F66" i="100" a="1"/>
  <c r="F66" i="100" s="1"/>
  <c r="I66" i="100"/>
  <c r="C66" i="100"/>
  <c r="K66" i="100" a="1"/>
  <c r="K66" i="100" s="1"/>
  <c r="D22" i="100"/>
  <c r="E22" i="100"/>
  <c r="F22" i="100" a="1"/>
  <c r="F22" i="100" s="1"/>
  <c r="C22" i="100"/>
  <c r="C293" i="100"/>
  <c r="I293" i="100"/>
  <c r="F293" i="100" a="1"/>
  <c r="F293" i="100" s="1"/>
  <c r="E293" i="100"/>
  <c r="D293" i="100"/>
  <c r="K293" i="100" a="1"/>
  <c r="K293" i="100" s="1"/>
  <c r="F155" i="100" a="1"/>
  <c r="F155" i="100" s="1"/>
  <c r="E155" i="100"/>
  <c r="I155" i="100"/>
  <c r="K155" i="100" a="1"/>
  <c r="K155" i="100" s="1"/>
  <c r="D155" i="100"/>
  <c r="C155" i="100"/>
  <c r="E141" i="100"/>
  <c r="I141" i="100"/>
  <c r="D141" i="100"/>
  <c r="C141" i="100"/>
  <c r="F141" i="100" a="1"/>
  <c r="F141" i="100" s="1"/>
  <c r="K141" i="100" a="1"/>
  <c r="K141" i="100" s="1"/>
  <c r="I166" i="100"/>
  <c r="C166" i="100"/>
  <c r="D166" i="100"/>
  <c r="E166" i="100"/>
  <c r="F166" i="100" a="1"/>
  <c r="F166" i="100" s="1"/>
  <c r="K166" i="100" a="1"/>
  <c r="K166" i="100" s="1"/>
  <c r="I241" i="100"/>
  <c r="C241" i="100"/>
  <c r="F241" i="100" a="1"/>
  <c r="F241" i="100" s="1"/>
  <c r="E241" i="100"/>
  <c r="D241" i="100"/>
  <c r="K241" i="100" a="1"/>
  <c r="K241" i="100" s="1"/>
  <c r="C288" i="101"/>
  <c r="F288" i="101" a="1"/>
  <c r="F288" i="101" s="1"/>
  <c r="E288" i="101"/>
  <c r="I288" i="101"/>
  <c r="D288" i="101"/>
  <c r="E202" i="101"/>
  <c r="C202" i="101"/>
  <c r="F202" i="101" a="1"/>
  <c r="F202" i="101" s="1"/>
  <c r="D202" i="101"/>
  <c r="I202" i="101"/>
  <c r="D121" i="101"/>
  <c r="I121" i="101"/>
  <c r="C121" i="101"/>
  <c r="E121" i="101"/>
  <c r="F121" i="101" a="1"/>
  <c r="F121" i="101" s="1"/>
  <c r="E329" i="101"/>
  <c r="F329" i="101" a="1"/>
  <c r="F329" i="101" s="1"/>
  <c r="I329" i="101"/>
  <c r="C329" i="101"/>
  <c r="D329" i="101"/>
  <c r="F51" i="101" a="1"/>
  <c r="F51" i="101" s="1"/>
  <c r="D51" i="101"/>
  <c r="C51" i="101"/>
  <c r="E51" i="101"/>
  <c r="I51" i="101"/>
  <c r="F17" i="101" a="1"/>
  <c r="F17" i="101" s="1"/>
  <c r="I17" i="101"/>
  <c r="D17" i="101"/>
  <c r="C17" i="101"/>
  <c r="E17" i="101"/>
  <c r="C49" i="101"/>
  <c r="F49" i="101" a="1"/>
  <c r="F49" i="101" s="1"/>
  <c r="I49" i="101"/>
  <c r="E49" i="101"/>
  <c r="D49" i="101"/>
  <c r="E263" i="101"/>
  <c r="I263" i="101"/>
  <c r="D263" i="101"/>
  <c r="C263" i="101"/>
  <c r="F263" i="101" a="1"/>
  <c r="F263" i="101" s="1"/>
  <c r="C153" i="101"/>
  <c r="F153" i="101" a="1"/>
  <c r="F153" i="101" s="1"/>
  <c r="E153" i="101"/>
  <c r="D153" i="101"/>
  <c r="I153" i="101"/>
  <c r="F48" i="101" a="1"/>
  <c r="F48" i="101" s="1"/>
  <c r="D48" i="101"/>
  <c r="I48" i="101"/>
  <c r="E48" i="101"/>
  <c r="C48" i="101"/>
  <c r="I299" i="101"/>
  <c r="F299" i="101" a="1"/>
  <c r="F299" i="101" s="1"/>
  <c r="D299" i="101"/>
  <c r="E299" i="101"/>
  <c r="C299" i="101"/>
  <c r="D157" i="101"/>
  <c r="F157" i="101" a="1"/>
  <c r="F157" i="101" s="1"/>
  <c r="E157" i="101"/>
  <c r="I157" i="101"/>
  <c r="C157" i="101"/>
  <c r="F136" i="101" a="1"/>
  <c r="F136" i="101" s="1"/>
  <c r="I136" i="101"/>
  <c r="D136" i="101"/>
  <c r="E136" i="101"/>
  <c r="C136" i="101"/>
  <c r="C166" i="101"/>
  <c r="F166" i="101" a="1"/>
  <c r="F166" i="101" s="1"/>
  <c r="I166" i="101"/>
  <c r="E166" i="101"/>
  <c r="D166" i="101"/>
  <c r="C346" i="101"/>
  <c r="E346" i="101"/>
  <c r="F346" i="101" a="1"/>
  <c r="F346" i="101" s="1"/>
  <c r="D346" i="101"/>
  <c r="I346" i="101"/>
  <c r="E100" i="101"/>
  <c r="I100" i="101"/>
  <c r="D100" i="101"/>
  <c r="F100" i="101" a="1"/>
  <c r="F100" i="101" s="1"/>
  <c r="C100" i="101"/>
  <c r="I229" i="101"/>
  <c r="F229" i="101" a="1"/>
  <c r="F229" i="101" s="1"/>
  <c r="D229" i="101"/>
  <c r="C229" i="101"/>
  <c r="E229" i="101"/>
  <c r="C154" i="101"/>
  <c r="I154" i="101"/>
  <c r="D154" i="101"/>
  <c r="F154" i="101" a="1"/>
  <c r="F154" i="101" s="1"/>
  <c r="E154" i="101"/>
  <c r="I258" i="101"/>
  <c r="F258" i="101" a="1"/>
  <c r="F258" i="101" s="1"/>
  <c r="D258" i="101"/>
  <c r="C258" i="101"/>
  <c r="E258" i="101"/>
  <c r="I125" i="101"/>
  <c r="F125" i="101" a="1"/>
  <c r="F125" i="101" s="1"/>
  <c r="E125" i="101"/>
  <c r="D125" i="101"/>
  <c r="C125" i="101"/>
  <c r="I221" i="101"/>
  <c r="F221" i="101" a="1"/>
  <c r="F221" i="101" s="1"/>
  <c r="D221" i="101"/>
  <c r="E221" i="101"/>
  <c r="C221" i="101"/>
  <c r="D81" i="101"/>
  <c r="F81" i="101" a="1"/>
  <c r="F81" i="101" s="1"/>
  <c r="I81" i="101"/>
  <c r="E81" i="101"/>
  <c r="C81" i="101"/>
  <c r="I75" i="101"/>
  <c r="D75" i="101"/>
  <c r="C75" i="101"/>
  <c r="E75" i="101"/>
  <c r="F75" i="101" a="1"/>
  <c r="F75" i="101" s="1"/>
  <c r="E165" i="101"/>
  <c r="D165" i="101"/>
  <c r="I165" i="101"/>
  <c r="C165" i="101"/>
  <c r="F165" i="101" a="1"/>
  <c r="F165" i="101" s="1"/>
  <c r="C12" i="101"/>
  <c r="E12" i="101"/>
  <c r="D12" i="101"/>
  <c r="F12" i="101" a="1"/>
  <c r="F12" i="101" s="1"/>
  <c r="C355" i="101"/>
  <c r="I355" i="101"/>
  <c r="D355" i="101"/>
  <c r="E355" i="101"/>
  <c r="F355" i="101" a="1"/>
  <c r="F355" i="101" s="1"/>
  <c r="K355" i="101" a="1"/>
  <c r="K355" i="101" s="1"/>
  <c r="D296" i="101"/>
  <c r="C296" i="101"/>
  <c r="I296" i="101"/>
  <c r="E296" i="101"/>
  <c r="F296" i="101" a="1"/>
  <c r="F296" i="101" s="1"/>
  <c r="F228" i="101" a="1"/>
  <c r="F228" i="101" s="1"/>
  <c r="I228" i="101"/>
  <c r="C228" i="101"/>
  <c r="E228" i="101"/>
  <c r="D228" i="101"/>
  <c r="E105" i="101"/>
  <c r="I105" i="101"/>
  <c r="D105" i="101"/>
  <c r="F105" i="101" a="1"/>
  <c r="F105" i="101" s="1"/>
  <c r="C105" i="101"/>
  <c r="I76" i="101"/>
  <c r="E76" i="101"/>
  <c r="D76" i="101"/>
  <c r="F76" i="101" a="1"/>
  <c r="F76" i="101" s="1"/>
  <c r="C76" i="101"/>
  <c r="D192" i="101"/>
  <c r="I192" i="101"/>
  <c r="C192" i="101"/>
  <c r="F192" i="101" a="1"/>
  <c r="F192" i="101" s="1"/>
  <c r="E192" i="101"/>
  <c r="D96" i="101"/>
  <c r="I96" i="101"/>
  <c r="E96" i="101"/>
  <c r="F96" i="101" a="1"/>
  <c r="F96" i="101" s="1"/>
  <c r="C96" i="101"/>
  <c r="C173" i="101"/>
  <c r="F173" i="101" a="1"/>
  <c r="F173" i="101" s="1"/>
  <c r="E173" i="101"/>
  <c r="I173" i="101"/>
  <c r="D173" i="101"/>
  <c r="C267" i="101"/>
  <c r="D267" i="101"/>
  <c r="E267" i="101"/>
  <c r="I267" i="101"/>
  <c r="F267" i="101" a="1"/>
  <c r="F267" i="101" s="1"/>
  <c r="I272" i="101"/>
  <c r="C272" i="101"/>
  <c r="F272" i="101" a="1"/>
  <c r="F272" i="101" s="1"/>
  <c r="D272" i="101"/>
  <c r="E272" i="101"/>
  <c r="C19" i="34"/>
  <c r="D19" i="34"/>
  <c r="E19" i="34"/>
  <c r="B19" i="34"/>
  <c r="G19" i="34"/>
  <c r="B57" i="34"/>
  <c r="G57" i="34"/>
  <c r="D57" i="34"/>
  <c r="E57" i="34"/>
  <c r="C57" i="34"/>
  <c r="E42" i="34"/>
  <c r="B42" i="34"/>
  <c r="D42" i="34"/>
  <c r="C42" i="34"/>
  <c r="G42" i="34"/>
  <c r="B16" i="34"/>
  <c r="D16" i="34"/>
  <c r="G16" i="34"/>
  <c r="C16" i="34"/>
  <c r="E16" i="34"/>
  <c r="G22" i="34"/>
  <c r="E22" i="34"/>
  <c r="B22" i="34"/>
  <c r="C22" i="34"/>
  <c r="D22" i="34"/>
  <c r="B49" i="34"/>
  <c r="E49" i="34"/>
  <c r="D49" i="34"/>
  <c r="G49" i="34"/>
  <c r="C49" i="34"/>
  <c r="E67" i="34"/>
  <c r="D67" i="34"/>
  <c r="B67" i="34"/>
  <c r="G67" i="34"/>
  <c r="C67" i="34"/>
  <c r="G26" i="34"/>
  <c r="C26" i="34"/>
  <c r="E26" i="34"/>
  <c r="B26" i="34"/>
  <c r="D26" i="34"/>
  <c r="C28" i="34"/>
  <c r="E28" i="34"/>
  <c r="G28" i="34"/>
  <c r="D28" i="34"/>
  <c r="B28" i="34"/>
  <c r="E51" i="34"/>
  <c r="C51" i="34"/>
  <c r="G51" i="34"/>
  <c r="B51" i="34"/>
  <c r="D51" i="34"/>
  <c r="D24" i="22"/>
  <c r="B24" i="22"/>
  <c r="C24" i="22"/>
  <c r="G84" i="22"/>
  <c r="C84" i="22"/>
  <c r="B84" i="22"/>
  <c r="D84" i="22"/>
  <c r="E84" i="22"/>
  <c r="E68" i="22"/>
  <c r="D68" i="22"/>
  <c r="C68" i="22"/>
  <c r="B68" i="22"/>
  <c r="G68" i="22"/>
  <c r="E50" i="22"/>
  <c r="C50" i="22"/>
  <c r="B50" i="22"/>
  <c r="D50" i="22"/>
  <c r="G50" i="22"/>
  <c r="B35" i="22"/>
  <c r="G35" i="22"/>
  <c r="D35" i="22"/>
  <c r="E35" i="22"/>
  <c r="C35" i="22"/>
  <c r="D72" i="22"/>
  <c r="E72" i="22"/>
  <c r="C72" i="22"/>
  <c r="G72" i="22"/>
  <c r="B72" i="22"/>
  <c r="D22" i="22"/>
  <c r="B22" i="22"/>
  <c r="C22" i="22"/>
  <c r="C15" i="22"/>
  <c r="D15" i="22"/>
  <c r="B15" i="22"/>
  <c r="K346" i="101" a="1"/>
  <c r="K346" i="101" s="1"/>
  <c r="D84" i="51"/>
  <c r="I84" i="51"/>
  <c r="E84" i="51"/>
  <c r="K84" i="51" a="1"/>
  <c r="K84" i="51" s="1"/>
  <c r="C84" i="51"/>
  <c r="F84" i="51" a="1"/>
  <c r="F84" i="51" s="1"/>
  <c r="C82" i="51"/>
  <c r="F82" i="51" a="1"/>
  <c r="F82" i="51" s="1"/>
  <c r="D82" i="51"/>
  <c r="I82" i="51"/>
  <c r="K82" i="51" a="1"/>
  <c r="K82" i="51" s="1"/>
  <c r="E82" i="51"/>
  <c r="D31" i="51"/>
  <c r="K31" i="51" a="1"/>
  <c r="K31" i="51" s="1"/>
  <c r="C31" i="51"/>
  <c r="F31" i="51" a="1"/>
  <c r="F31" i="51" s="1"/>
  <c r="I31" i="51"/>
  <c r="E31" i="51"/>
  <c r="F69" i="51" a="1"/>
  <c r="F69" i="51" s="1"/>
  <c r="K69" i="51" a="1"/>
  <c r="K69" i="51" s="1"/>
  <c r="I69" i="51"/>
  <c r="C69" i="51"/>
  <c r="E69" i="51"/>
  <c r="D69" i="51"/>
  <c r="D51" i="51"/>
  <c r="F51" i="51" a="1"/>
  <c r="F51" i="51" s="1"/>
  <c r="K51" i="51" a="1"/>
  <c r="K51" i="51" s="1"/>
  <c r="I51" i="51"/>
  <c r="E51" i="51"/>
  <c r="C51" i="51"/>
  <c r="I16" i="51"/>
  <c r="E16" i="51"/>
  <c r="F16" i="51" a="1"/>
  <c r="F16" i="51" s="1"/>
  <c r="K16" i="51" a="1"/>
  <c r="K16" i="51" s="1"/>
  <c r="D16" i="51"/>
  <c r="C16" i="51"/>
  <c r="E11" i="51"/>
  <c r="F11" i="51" a="1"/>
  <c r="F11" i="51" s="1"/>
  <c r="D11" i="51"/>
  <c r="C11" i="51"/>
  <c r="E38" i="51"/>
  <c r="I38" i="51"/>
  <c r="F38" i="51" a="1"/>
  <c r="F38" i="51" s="1"/>
  <c r="K38" i="51" a="1"/>
  <c r="K38" i="51" s="1"/>
  <c r="C38" i="51"/>
  <c r="D38" i="51"/>
  <c r="C53" i="51"/>
  <c r="K53" i="51" a="1"/>
  <c r="K53" i="51" s="1"/>
  <c r="F53" i="51" a="1"/>
  <c r="F53" i="51" s="1"/>
  <c r="I53" i="51"/>
  <c r="D53" i="51"/>
  <c r="E53" i="51"/>
  <c r="F74" i="51" a="1"/>
  <c r="F74" i="51" s="1"/>
  <c r="C74" i="51"/>
  <c r="I74" i="51"/>
  <c r="E74" i="51"/>
  <c r="D74" i="51"/>
  <c r="K74" i="51" a="1"/>
  <c r="K74" i="51" s="1"/>
  <c r="E15" i="24"/>
  <c r="C15" i="24"/>
  <c r="B15" i="24"/>
  <c r="D15" i="24"/>
  <c r="E69" i="24"/>
  <c r="D69" i="24"/>
  <c r="G69" i="24"/>
  <c r="B69" i="24"/>
  <c r="C69" i="24"/>
  <c r="G71" i="24"/>
  <c r="D71" i="24"/>
  <c r="B71" i="24"/>
  <c r="C71" i="24"/>
  <c r="E71" i="24"/>
  <c r="G49" i="24"/>
  <c r="B49" i="24"/>
  <c r="D49" i="24"/>
  <c r="E49" i="24"/>
  <c r="C49" i="24"/>
  <c r="B10" i="24"/>
  <c r="D10" i="24"/>
  <c r="E10" i="24"/>
  <c r="C10" i="24"/>
  <c r="C46" i="24"/>
  <c r="D46" i="24"/>
  <c r="B46" i="24"/>
  <c r="G46" i="24"/>
  <c r="E46" i="24"/>
  <c r="G52" i="24"/>
  <c r="B52" i="24"/>
  <c r="E52" i="24"/>
  <c r="D52" i="24"/>
  <c r="C52" i="24"/>
  <c r="G45" i="24"/>
  <c r="B45" i="24"/>
  <c r="D45" i="24"/>
  <c r="E45" i="24"/>
  <c r="C45" i="24"/>
  <c r="E48" i="24"/>
  <c r="B48" i="24"/>
  <c r="D48" i="24"/>
  <c r="G48" i="24"/>
  <c r="C48" i="24"/>
  <c r="E323" i="53"/>
  <c r="D323" i="53"/>
  <c r="J323" i="53"/>
  <c r="F323" i="53"/>
  <c r="U323" i="53" s="1"/>
  <c r="G323" i="53" a="1"/>
  <c r="G323" i="53" s="1"/>
  <c r="G73" i="53" a="1"/>
  <c r="G73" i="53" s="1"/>
  <c r="D73" i="53"/>
  <c r="J73" i="53"/>
  <c r="F73" i="53"/>
  <c r="U73" i="53" s="1"/>
  <c r="E73" i="53"/>
  <c r="E220" i="53"/>
  <c r="F220" i="53"/>
  <c r="U220" i="53" s="1"/>
  <c r="G220" i="53" a="1"/>
  <c r="G220" i="53" s="1"/>
  <c r="D220" i="53"/>
  <c r="J220" i="53"/>
  <c r="F75" i="53"/>
  <c r="U75" i="53" s="1"/>
  <c r="G75" i="53" a="1"/>
  <c r="G75" i="53" s="1"/>
  <c r="E75" i="53"/>
  <c r="J75" i="53"/>
  <c r="D75" i="53"/>
  <c r="G179" i="53" a="1"/>
  <c r="G179" i="53" s="1"/>
  <c r="F179" i="53"/>
  <c r="U179" i="53" s="1"/>
  <c r="D179" i="53"/>
  <c r="J179" i="53"/>
  <c r="E179" i="53"/>
  <c r="G65" i="53" a="1"/>
  <c r="G65" i="53" s="1"/>
  <c r="D65" i="53"/>
  <c r="E65" i="53"/>
  <c r="F65" i="53"/>
  <c r="U65" i="53" s="1"/>
  <c r="J65" i="53"/>
  <c r="D48" i="53"/>
  <c r="G48" i="53" a="1"/>
  <c r="G48" i="53" s="1"/>
  <c r="E48" i="53"/>
  <c r="F48" i="53"/>
  <c r="U48" i="53" s="1"/>
  <c r="J48" i="53"/>
  <c r="F270" i="53"/>
  <c r="U270" i="53" s="1"/>
  <c r="G270" i="53" a="1"/>
  <c r="G270" i="53" s="1"/>
  <c r="J270" i="53"/>
  <c r="D270" i="53"/>
  <c r="E270" i="53"/>
  <c r="D163" i="53"/>
  <c r="G163" i="53" a="1"/>
  <c r="G163" i="53" s="1"/>
  <c r="J163" i="53"/>
  <c r="E163" i="53"/>
  <c r="F163" i="53"/>
  <c r="U163" i="53" s="1"/>
  <c r="F15" i="53"/>
  <c r="D15" i="53"/>
  <c r="J294" i="53"/>
  <c r="E294" i="53"/>
  <c r="D294" i="53"/>
  <c r="F294" i="53"/>
  <c r="U294" i="53" s="1"/>
  <c r="G294" i="53" a="1"/>
  <c r="G294" i="53" s="1"/>
  <c r="E184" i="53"/>
  <c r="F184" i="53"/>
  <c r="U184" i="53" s="1"/>
  <c r="J184" i="53"/>
  <c r="D184" i="53"/>
  <c r="G184" i="53" a="1"/>
  <c r="G184" i="53" s="1"/>
  <c r="D336" i="53"/>
  <c r="J336" i="53"/>
  <c r="E336" i="53"/>
  <c r="F336" i="53"/>
  <c r="U336" i="53" s="1"/>
  <c r="G336" i="53" a="1"/>
  <c r="G336" i="53" s="1"/>
  <c r="E181" i="53"/>
  <c r="F181" i="53"/>
  <c r="U181" i="53" s="1"/>
  <c r="J181" i="53"/>
  <c r="G181" i="53" a="1"/>
  <c r="G181" i="53" s="1"/>
  <c r="D181" i="53"/>
  <c r="G209" i="53" a="1"/>
  <c r="G209" i="53" s="1"/>
  <c r="J209" i="53"/>
  <c r="E209" i="53"/>
  <c r="F209" i="53"/>
  <c r="U209" i="53" s="1"/>
  <c r="D209" i="53"/>
  <c r="G208" i="50" a="1"/>
  <c r="G208" i="50" s="1"/>
  <c r="J208" i="50"/>
  <c r="D208" i="50"/>
  <c r="E208" i="50"/>
  <c r="F208" i="50"/>
  <c r="U208" i="50" s="1"/>
  <c r="G87" i="50" a="1"/>
  <c r="G87" i="50" s="1"/>
  <c r="D87" i="50"/>
  <c r="E87" i="50"/>
  <c r="F87" i="50"/>
  <c r="U87" i="50" s="1"/>
  <c r="J87" i="50"/>
  <c r="D71" i="50"/>
  <c r="F71" i="50"/>
  <c r="U71" i="50" s="1"/>
  <c r="G71" i="50" a="1"/>
  <c r="G71" i="50" s="1"/>
  <c r="E71" i="50"/>
  <c r="J71" i="50"/>
  <c r="D155" i="50"/>
  <c r="E155" i="50"/>
  <c r="J155" i="50"/>
  <c r="F155" i="50"/>
  <c r="U155" i="50" s="1"/>
  <c r="G155" i="50" a="1"/>
  <c r="G155" i="50" s="1"/>
  <c r="J170" i="50"/>
  <c r="E170" i="50"/>
  <c r="D170" i="50"/>
  <c r="G170" i="50" a="1"/>
  <c r="G170" i="50" s="1"/>
  <c r="F170" i="50"/>
  <c r="U170" i="50" s="1"/>
  <c r="D199" i="50"/>
  <c r="G199" i="50" a="1"/>
  <c r="G199" i="50" s="1"/>
  <c r="E199" i="50"/>
  <c r="J199" i="50"/>
  <c r="F199" i="50"/>
  <c r="U199" i="50" s="1"/>
  <c r="F73" i="50"/>
  <c r="U73" i="50" s="1"/>
  <c r="D73" i="50"/>
  <c r="G73" i="50" a="1"/>
  <c r="G73" i="50" s="1"/>
  <c r="E73" i="50"/>
  <c r="J73" i="50"/>
  <c r="G345" i="50" a="1"/>
  <c r="G345" i="50" s="1"/>
  <c r="D345" i="50"/>
  <c r="F345" i="50"/>
  <c r="U345" i="50" s="1"/>
  <c r="E345" i="50"/>
  <c r="J345" i="50"/>
  <c r="G24" i="50" a="1"/>
  <c r="G24" i="50" s="1"/>
  <c r="F24" i="50"/>
  <c r="E24" i="50"/>
  <c r="D24" i="50"/>
  <c r="G114" i="50" a="1"/>
  <c r="G114" i="50" s="1"/>
  <c r="E114" i="50"/>
  <c r="F114" i="50"/>
  <c r="U114" i="50" s="1"/>
  <c r="D114" i="50"/>
  <c r="J114" i="50"/>
  <c r="J260" i="50"/>
  <c r="E260" i="50"/>
  <c r="F260" i="50"/>
  <c r="U260" i="50" s="1"/>
  <c r="D260" i="50"/>
  <c r="G260" i="50" a="1"/>
  <c r="G260" i="50" s="1"/>
  <c r="F259" i="50"/>
  <c r="U259" i="50" s="1"/>
  <c r="D259" i="50"/>
  <c r="E259" i="50"/>
  <c r="J259" i="50"/>
  <c r="G259" i="50" a="1"/>
  <c r="G259" i="50" s="1"/>
  <c r="D19" i="50"/>
  <c r="F19" i="50"/>
  <c r="G19" i="50" a="1"/>
  <c r="G19" i="50" s="1"/>
  <c r="E254" i="50"/>
  <c r="F254" i="50"/>
  <c r="U254" i="50" s="1"/>
  <c r="D254" i="50"/>
  <c r="J254" i="50"/>
  <c r="G254" i="50" a="1"/>
  <c r="G254" i="50" s="1"/>
  <c r="E156" i="50"/>
  <c r="J156" i="50"/>
  <c r="F156" i="50"/>
  <c r="U156" i="50" s="1"/>
  <c r="D156" i="50"/>
  <c r="G156" i="50" a="1"/>
  <c r="G156" i="50" s="1"/>
  <c r="F118" i="50"/>
  <c r="U118" i="50" s="1"/>
  <c r="D118" i="50"/>
  <c r="J118" i="50"/>
  <c r="E118" i="50"/>
  <c r="G118" i="50" a="1"/>
  <c r="G118" i="50" s="1"/>
  <c r="E313" i="50"/>
  <c r="D313" i="50"/>
  <c r="J313" i="50"/>
  <c r="F313" i="50"/>
  <c r="U313" i="50" s="1"/>
  <c r="G313" i="50" a="1"/>
  <c r="G313" i="50" s="1"/>
  <c r="F85" i="50"/>
  <c r="U85" i="50" s="1"/>
  <c r="G85" i="50" a="1"/>
  <c r="G85" i="50" s="1"/>
  <c r="E85" i="50"/>
  <c r="J85" i="50"/>
  <c r="D85" i="50"/>
  <c r="E145" i="50"/>
  <c r="F145" i="50"/>
  <c r="U145" i="50" s="1"/>
  <c r="J145" i="50"/>
  <c r="G145" i="50" a="1"/>
  <c r="G145" i="50" s="1"/>
  <c r="D145" i="50"/>
  <c r="F49" i="50"/>
  <c r="D49" i="50"/>
  <c r="G49" i="50" a="1"/>
  <c r="G49" i="50" s="1"/>
  <c r="E248" i="50"/>
  <c r="F248" i="50"/>
  <c r="U248" i="50" s="1"/>
  <c r="D248" i="50"/>
  <c r="J248" i="50"/>
  <c r="G248" i="50" a="1"/>
  <c r="G248" i="50" s="1"/>
  <c r="F121" i="50"/>
  <c r="U121" i="50" s="1"/>
  <c r="G121" i="50" a="1"/>
  <c r="G121" i="50" s="1"/>
  <c r="J121" i="50"/>
  <c r="E121" i="50"/>
  <c r="D121" i="50"/>
  <c r="D349" i="50"/>
  <c r="G349" i="50" a="1"/>
  <c r="G349" i="50" s="1"/>
  <c r="F349" i="50"/>
  <c r="U349" i="50" s="1"/>
  <c r="E349" i="50"/>
  <c r="J349" i="50"/>
  <c r="E270" i="50"/>
  <c r="D270" i="50"/>
  <c r="F270" i="50"/>
  <c r="U270" i="50" s="1"/>
  <c r="G270" i="50" a="1"/>
  <c r="G270" i="50" s="1"/>
  <c r="J270" i="50"/>
  <c r="J90" i="50"/>
  <c r="F90" i="50"/>
  <c r="U90" i="50" s="1"/>
  <c r="E90" i="50"/>
  <c r="G90" i="50" a="1"/>
  <c r="G90" i="50" s="1"/>
  <c r="D90" i="50"/>
  <c r="G282" i="50" a="1"/>
  <c r="G282" i="50" s="1"/>
  <c r="F282" i="50"/>
  <c r="U282" i="50" s="1"/>
  <c r="J282" i="50"/>
  <c r="D282" i="50"/>
  <c r="E282" i="50"/>
  <c r="J289" i="50"/>
  <c r="F289" i="50"/>
  <c r="U289" i="50" s="1"/>
  <c r="G289" i="50" a="1"/>
  <c r="G289" i="50" s="1"/>
  <c r="E289" i="50"/>
  <c r="D289" i="50"/>
  <c r="F176" i="50"/>
  <c r="U176" i="50" s="1"/>
  <c r="G176" i="50" a="1"/>
  <c r="G176" i="50" s="1"/>
  <c r="D176" i="50"/>
  <c r="E176" i="50"/>
  <c r="J176" i="50"/>
  <c r="J237" i="50"/>
  <c r="E237" i="50"/>
  <c r="G237" i="50" a="1"/>
  <c r="G237" i="50" s="1"/>
  <c r="F237" i="50"/>
  <c r="U237" i="50" s="1"/>
  <c r="D237" i="50"/>
  <c r="E163" i="50"/>
  <c r="J163" i="50"/>
  <c r="D163" i="50"/>
  <c r="G163" i="50" a="1"/>
  <c r="G163" i="50" s="1"/>
  <c r="F163" i="50"/>
  <c r="U163" i="50" s="1"/>
  <c r="G78" i="50" a="1"/>
  <c r="G78" i="50" s="1"/>
  <c r="J78" i="50"/>
  <c r="F78" i="50"/>
  <c r="U78" i="50" s="1"/>
  <c r="D78" i="50"/>
  <c r="E78" i="50"/>
  <c r="E181" i="50"/>
  <c r="D181" i="50"/>
  <c r="G181" i="50" a="1"/>
  <c r="G181" i="50" s="1"/>
  <c r="F181" i="50"/>
  <c r="U181" i="50" s="1"/>
  <c r="J181" i="50"/>
  <c r="D245" i="50"/>
  <c r="J245" i="50"/>
  <c r="E245" i="50"/>
  <c r="F245" i="50"/>
  <c r="U245" i="50" s="1"/>
  <c r="G245" i="50" a="1"/>
  <c r="G245" i="50" s="1"/>
  <c r="F117" i="50"/>
  <c r="U117" i="50" s="1"/>
  <c r="G117" i="50" a="1"/>
  <c r="G117" i="50" s="1"/>
  <c r="D117" i="50"/>
  <c r="J117" i="50"/>
  <c r="E117" i="50"/>
  <c r="D261" i="50"/>
  <c r="G261" i="50" a="1"/>
  <c r="G261" i="50" s="1"/>
  <c r="F261" i="50"/>
  <c r="U261" i="50" s="1"/>
  <c r="J261" i="50"/>
  <c r="E261" i="50"/>
  <c r="J74" i="50"/>
  <c r="G74" i="50" a="1"/>
  <c r="G74" i="50" s="1"/>
  <c r="E74" i="50"/>
  <c r="D74" i="50"/>
  <c r="F74" i="50"/>
  <c r="U74" i="50" s="1"/>
  <c r="G249" i="50" a="1"/>
  <c r="G249" i="50" s="1"/>
  <c r="D249" i="50"/>
  <c r="F249" i="50"/>
  <c r="U249" i="50" s="1"/>
  <c r="E249" i="50"/>
  <c r="J249" i="50"/>
  <c r="E74" i="33"/>
  <c r="B74" i="33"/>
  <c r="C74" i="33"/>
  <c r="D74" i="33"/>
  <c r="G74" i="33"/>
  <c r="D28" i="33"/>
  <c r="G28" i="33"/>
  <c r="B28" i="33"/>
  <c r="E28" i="33"/>
  <c r="C28" i="33"/>
  <c r="G43" i="33"/>
  <c r="E43" i="33"/>
  <c r="C43" i="33"/>
  <c r="B43" i="33"/>
  <c r="D43" i="33"/>
  <c r="G61" i="33"/>
  <c r="B61" i="33"/>
  <c r="E61" i="33"/>
  <c r="C61" i="33"/>
  <c r="D61" i="33"/>
  <c r="G23" i="33"/>
  <c r="D23" i="33"/>
  <c r="E23" i="33"/>
  <c r="C23" i="33"/>
  <c r="B23" i="33"/>
  <c r="C26" i="33"/>
  <c r="G26" i="33"/>
  <c r="D26" i="33"/>
  <c r="E26" i="33"/>
  <c r="B26" i="33"/>
  <c r="G62" i="33"/>
  <c r="B62" i="33"/>
  <c r="C62" i="33"/>
  <c r="E62" i="33"/>
  <c r="D62" i="33"/>
  <c r="C85" i="33"/>
  <c r="D85" i="33"/>
  <c r="B85" i="33"/>
  <c r="G85" i="33"/>
  <c r="E85" i="33"/>
  <c r="I308" i="49"/>
  <c r="C308" i="49"/>
  <c r="E308" i="49"/>
  <c r="F308" i="49" a="1"/>
  <c r="F308" i="49" s="1"/>
  <c r="D308" i="49"/>
  <c r="K308" i="49" a="1"/>
  <c r="K308" i="49" s="1"/>
  <c r="F40" i="49" a="1"/>
  <c r="F40" i="49" s="1"/>
  <c r="C40" i="49"/>
  <c r="I40" i="49"/>
  <c r="D40" i="49"/>
  <c r="E40" i="49"/>
  <c r="K40" i="49" a="1"/>
  <c r="K40" i="49" s="1"/>
  <c r="E291" i="49"/>
  <c r="C291" i="49"/>
  <c r="D291" i="49"/>
  <c r="I291" i="49"/>
  <c r="F291" i="49" a="1"/>
  <c r="F291" i="49" s="1"/>
  <c r="K291" i="49" a="1"/>
  <c r="K291" i="49" s="1"/>
  <c r="F254" i="49" a="1"/>
  <c r="F254" i="49" s="1"/>
  <c r="C254" i="49"/>
  <c r="E254" i="49"/>
  <c r="D254" i="49"/>
  <c r="I254" i="49"/>
  <c r="K254" i="49" a="1"/>
  <c r="K254" i="49" s="1"/>
  <c r="I309" i="49"/>
  <c r="F309" i="49" a="1"/>
  <c r="F309" i="49" s="1"/>
  <c r="D309" i="49"/>
  <c r="E309" i="49"/>
  <c r="C309" i="49"/>
  <c r="K309" i="49" a="1"/>
  <c r="K309" i="49" s="1"/>
  <c r="D272" i="49"/>
  <c r="C272" i="49"/>
  <c r="I272" i="49"/>
  <c r="E272" i="49"/>
  <c r="F272" i="49" a="1"/>
  <c r="F272" i="49" s="1"/>
  <c r="K272" i="49" a="1"/>
  <c r="K272" i="49" s="1"/>
  <c r="I76" i="49"/>
  <c r="F76" i="49" a="1"/>
  <c r="F76" i="49" s="1"/>
  <c r="D76" i="49"/>
  <c r="E76" i="49"/>
  <c r="C76" i="49"/>
  <c r="K76" i="49" a="1"/>
  <c r="K76" i="49" s="1"/>
  <c r="C182" i="49"/>
  <c r="D182" i="49"/>
  <c r="E182" i="49"/>
  <c r="I182" i="49"/>
  <c r="F182" i="49" a="1"/>
  <c r="F182" i="49" s="1"/>
  <c r="K182" i="49" a="1"/>
  <c r="K182" i="49" s="1"/>
  <c r="F343" i="49" a="1"/>
  <c r="F343" i="49" s="1"/>
  <c r="D343" i="49"/>
  <c r="I343" i="49"/>
  <c r="C343" i="49"/>
  <c r="E343" i="49"/>
  <c r="K343" i="49" a="1"/>
  <c r="K343" i="49" s="1"/>
  <c r="D107" i="49"/>
  <c r="E107" i="49"/>
  <c r="I107" i="49"/>
  <c r="C107" i="49"/>
  <c r="F107" i="49" a="1"/>
  <c r="F107" i="49" s="1"/>
  <c r="K107" i="49" a="1"/>
  <c r="K107" i="49" s="1"/>
  <c r="F148" i="49" a="1"/>
  <c r="F148" i="49" s="1"/>
  <c r="I148" i="49"/>
  <c r="E148" i="49"/>
  <c r="C148" i="49"/>
  <c r="D148" i="49"/>
  <c r="K148" i="49" a="1"/>
  <c r="K148" i="49" s="1"/>
  <c r="D245" i="49"/>
  <c r="E245" i="49"/>
  <c r="C245" i="49"/>
  <c r="F245" i="49" a="1"/>
  <c r="F245" i="49" s="1"/>
  <c r="I245" i="49"/>
  <c r="K245" i="49" a="1"/>
  <c r="K245" i="49" s="1"/>
  <c r="F276" i="49" a="1"/>
  <c r="F276" i="49" s="1"/>
  <c r="I276" i="49"/>
  <c r="E276" i="49"/>
  <c r="C276" i="49"/>
  <c r="D276" i="49"/>
  <c r="K276" i="49" a="1"/>
  <c r="K276" i="49" s="1"/>
  <c r="C242" i="49"/>
  <c r="E242" i="49"/>
  <c r="D242" i="49"/>
  <c r="F242" i="49" a="1"/>
  <c r="F242" i="49" s="1"/>
  <c r="I242" i="49"/>
  <c r="K242" i="49" a="1"/>
  <c r="K242" i="49" s="1"/>
  <c r="C72" i="49"/>
  <c r="I72" i="49"/>
  <c r="F72" i="49" a="1"/>
  <c r="F72" i="49" s="1"/>
  <c r="D72" i="49"/>
  <c r="E72" i="49"/>
  <c r="K72" i="49" a="1"/>
  <c r="K72" i="49" s="1"/>
  <c r="C202" i="49"/>
  <c r="D202" i="49"/>
  <c r="E202" i="49"/>
  <c r="F202" i="49" a="1"/>
  <c r="F202" i="49" s="1"/>
  <c r="I202" i="49"/>
  <c r="K202" i="49" a="1"/>
  <c r="K202" i="49" s="1"/>
  <c r="E124" i="49"/>
  <c r="I124" i="49"/>
  <c r="D124" i="49"/>
  <c r="C124" i="49"/>
  <c r="F124" i="49" a="1"/>
  <c r="F124" i="49" s="1"/>
  <c r="K124" i="49" a="1"/>
  <c r="K124" i="49" s="1"/>
  <c r="F226" i="49" a="1"/>
  <c r="F226" i="49" s="1"/>
  <c r="E226" i="49"/>
  <c r="C226" i="49"/>
  <c r="I226" i="49"/>
  <c r="D226" i="49"/>
  <c r="K226" i="49" a="1"/>
  <c r="K226" i="49" s="1"/>
  <c r="C241" i="49"/>
  <c r="F241" i="49" a="1"/>
  <c r="F241" i="49" s="1"/>
  <c r="E241" i="49"/>
  <c r="D241" i="49"/>
  <c r="I241" i="49"/>
  <c r="K241" i="49" a="1"/>
  <c r="K241" i="49" s="1"/>
  <c r="D91" i="49"/>
  <c r="E91" i="49"/>
  <c r="F91" i="49" a="1"/>
  <c r="F91" i="49" s="1"/>
  <c r="C91" i="49"/>
  <c r="I91" i="49"/>
  <c r="K91" i="49" a="1"/>
  <c r="K91" i="49" s="1"/>
  <c r="I333" i="49"/>
  <c r="F333" i="49" a="1"/>
  <c r="F333" i="49" s="1"/>
  <c r="E333" i="49"/>
  <c r="D333" i="49"/>
  <c r="C333" i="49"/>
  <c r="K333" i="49" a="1"/>
  <c r="K333" i="49" s="1"/>
  <c r="I194" i="49"/>
  <c r="D194" i="49"/>
  <c r="C194" i="49"/>
  <c r="E194" i="49"/>
  <c r="F194" i="49" a="1"/>
  <c r="F194" i="49" s="1"/>
  <c r="K194" i="49" a="1"/>
  <c r="K194" i="49" s="1"/>
  <c r="F29" i="49" a="1"/>
  <c r="F29" i="49" s="1"/>
  <c r="D29" i="49"/>
  <c r="E29" i="49"/>
  <c r="C29" i="49"/>
  <c r="C15" i="49"/>
  <c r="E15" i="49"/>
  <c r="D15" i="49"/>
  <c r="F15" i="49" a="1"/>
  <c r="F15" i="49" s="1"/>
  <c r="D58" i="49"/>
  <c r="E58" i="49"/>
  <c r="I58" i="49"/>
  <c r="F58" i="49" a="1"/>
  <c r="F58" i="49" s="1"/>
  <c r="C58" i="49"/>
  <c r="K58" i="49" a="1"/>
  <c r="K58" i="49" s="1"/>
  <c r="F225" i="49" a="1"/>
  <c r="F225" i="49" s="1"/>
  <c r="E225" i="49"/>
  <c r="I225" i="49"/>
  <c r="D225" i="49"/>
  <c r="C225" i="49"/>
  <c r="K225" i="49" a="1"/>
  <c r="K225" i="49" s="1"/>
  <c r="I45" i="49"/>
  <c r="F45" i="49" a="1"/>
  <c r="F45" i="49" s="1"/>
  <c r="D45" i="49"/>
  <c r="E45" i="49"/>
  <c r="C45" i="49"/>
  <c r="K45" i="49" a="1"/>
  <c r="K45" i="49" s="1"/>
  <c r="F119" i="49" a="1"/>
  <c r="F119" i="49" s="1"/>
  <c r="E119" i="49"/>
  <c r="I119" i="49"/>
  <c r="C119" i="49"/>
  <c r="D119" i="49"/>
  <c r="K119" i="49" a="1"/>
  <c r="K119" i="49" s="1"/>
  <c r="C10" i="91"/>
  <c r="E10" i="91"/>
  <c r="G10" i="91"/>
  <c r="B10" i="91"/>
  <c r="D10" i="91"/>
  <c r="C39" i="91"/>
  <c r="E39" i="91"/>
  <c r="D39" i="91"/>
  <c r="G39" i="91"/>
  <c r="B39" i="91"/>
  <c r="G21" i="91"/>
  <c r="D21" i="91"/>
  <c r="E21" i="91"/>
  <c r="B21" i="91"/>
  <c r="C21" i="91"/>
  <c r="E79" i="91"/>
  <c r="G79" i="91"/>
  <c r="C79" i="91"/>
  <c r="B79" i="91"/>
  <c r="D79" i="91"/>
  <c r="D67" i="91"/>
  <c r="B67" i="91"/>
  <c r="E67" i="91"/>
  <c r="C67" i="91"/>
  <c r="G67" i="91"/>
  <c r="B75" i="91"/>
  <c r="D75" i="91"/>
  <c r="E75" i="91"/>
  <c r="C75" i="91"/>
  <c r="G75" i="91"/>
  <c r="C60" i="19"/>
  <c r="G60" i="19"/>
  <c r="B60" i="19"/>
  <c r="D60" i="19"/>
  <c r="E60" i="19"/>
  <c r="G76" i="19"/>
  <c r="D76" i="19"/>
  <c r="C76" i="19"/>
  <c r="B76" i="19"/>
  <c r="E76" i="19"/>
  <c r="B55" i="19"/>
  <c r="E55" i="19"/>
  <c r="C55" i="19"/>
  <c r="G55" i="19"/>
  <c r="D55" i="19"/>
  <c r="E78" i="19"/>
  <c r="D78" i="19"/>
  <c r="B78" i="19"/>
  <c r="C78" i="19"/>
  <c r="G78" i="19"/>
  <c r="D43" i="19"/>
  <c r="G43" i="19"/>
  <c r="C43" i="19"/>
  <c r="B43" i="19"/>
  <c r="E43" i="19"/>
  <c r="B23" i="19"/>
  <c r="G23" i="19"/>
  <c r="C23" i="19"/>
  <c r="D23" i="19"/>
  <c r="E23" i="19"/>
  <c r="D48" i="19"/>
  <c r="C48" i="19"/>
  <c r="B48" i="19"/>
  <c r="G48" i="19"/>
  <c r="E48" i="19"/>
  <c r="C47" i="19"/>
  <c r="E47" i="19"/>
  <c r="B47" i="19"/>
  <c r="D47" i="19"/>
  <c r="G47" i="19"/>
  <c r="C27" i="19"/>
  <c r="D27" i="19"/>
  <c r="G27" i="19"/>
  <c r="B27" i="19"/>
  <c r="E27" i="19"/>
  <c r="L353" i="52" a="1"/>
  <c r="L353" i="52" s="1"/>
  <c r="C353" i="52"/>
  <c r="F353" i="52" a="1"/>
  <c r="F353" i="52" s="1"/>
  <c r="I353" i="52"/>
  <c r="D353" i="52"/>
  <c r="E353" i="52"/>
  <c r="D302" i="52"/>
  <c r="L302" i="52" a="1"/>
  <c r="L302" i="52" s="1"/>
  <c r="F302" i="52" a="1"/>
  <c r="F302" i="52" s="1"/>
  <c r="E302" i="52"/>
  <c r="C302" i="52"/>
  <c r="I302" i="52"/>
  <c r="C148" i="52"/>
  <c r="F148" i="52" a="1"/>
  <c r="F148" i="52" s="1"/>
  <c r="L148" i="52" a="1"/>
  <c r="L148" i="52" s="1"/>
  <c r="I148" i="52"/>
  <c r="E148" i="52"/>
  <c r="D148" i="52"/>
  <c r="D343" i="52"/>
  <c r="E343" i="52"/>
  <c r="I343" i="52"/>
  <c r="F343" i="52" a="1"/>
  <c r="F343" i="52" s="1"/>
  <c r="C343" i="52"/>
  <c r="L343" i="52" a="1"/>
  <c r="L343" i="52" s="1"/>
  <c r="C206" i="52"/>
  <c r="E206" i="52"/>
  <c r="F206" i="52" a="1"/>
  <c r="F206" i="52" s="1"/>
  <c r="L206" i="52" a="1"/>
  <c r="L206" i="52" s="1"/>
  <c r="D206" i="52"/>
  <c r="I206" i="52"/>
  <c r="C63" i="52"/>
  <c r="E63" i="52"/>
  <c r="D63" i="52"/>
  <c r="F63" i="52" a="1"/>
  <c r="F63" i="52" s="1"/>
  <c r="C265" i="52"/>
  <c r="L265" i="52" a="1"/>
  <c r="L265" i="52" s="1"/>
  <c r="I265" i="52"/>
  <c r="D265" i="52"/>
  <c r="E265" i="52"/>
  <c r="F265" i="52" a="1"/>
  <c r="F265" i="52" s="1"/>
  <c r="L155" i="52" a="1"/>
  <c r="L155" i="52" s="1"/>
  <c r="F155" i="52" a="1"/>
  <c r="F155" i="52" s="1"/>
  <c r="E155" i="52"/>
  <c r="D155" i="52"/>
  <c r="I155" i="52"/>
  <c r="C155" i="52"/>
  <c r="C9" i="52"/>
  <c r="D9" i="52"/>
  <c r="E9" i="52"/>
  <c r="F9" i="52" a="1"/>
  <c r="F9" i="52" s="1"/>
  <c r="F244" i="52" a="1"/>
  <c r="F244" i="52" s="1"/>
  <c r="D244" i="52"/>
  <c r="E244" i="52"/>
  <c r="C244" i="52"/>
  <c r="I244" i="52"/>
  <c r="L244" i="52" a="1"/>
  <c r="L244" i="52" s="1"/>
  <c r="L177" i="52" a="1"/>
  <c r="L177" i="52" s="1"/>
  <c r="F177" i="52" a="1"/>
  <c r="F177" i="52" s="1"/>
  <c r="C177" i="52"/>
  <c r="I177" i="52"/>
  <c r="D177" i="52"/>
  <c r="E177" i="52"/>
  <c r="D91" i="52"/>
  <c r="F91" i="52" a="1"/>
  <c r="F91" i="52" s="1"/>
  <c r="I91" i="52"/>
  <c r="C91" i="52"/>
  <c r="L91" i="52" a="1"/>
  <c r="L91" i="52" s="1"/>
  <c r="E91" i="52"/>
  <c r="E62" i="52"/>
  <c r="C62" i="52"/>
  <c r="F62" i="52" a="1"/>
  <c r="F62" i="52" s="1"/>
  <c r="L62" i="52" a="1"/>
  <c r="L62" i="52" s="1"/>
  <c r="F304" i="52" a="1"/>
  <c r="F304" i="52" s="1"/>
  <c r="D304" i="52"/>
  <c r="I304" i="52"/>
  <c r="C304" i="52"/>
  <c r="E304" i="52"/>
  <c r="L304" i="52" a="1"/>
  <c r="L304" i="52" s="1"/>
  <c r="F347" i="52" a="1"/>
  <c r="F347" i="52" s="1"/>
  <c r="L347" i="52" a="1"/>
  <c r="L347" i="52" s="1"/>
  <c r="I347" i="52"/>
  <c r="C347" i="52"/>
  <c r="E347" i="52"/>
  <c r="D347" i="52"/>
  <c r="L310" i="52" a="1"/>
  <c r="L310" i="52" s="1"/>
  <c r="F310" i="52" a="1"/>
  <c r="F310" i="52" s="1"/>
  <c r="C310" i="52"/>
  <c r="I310" i="52"/>
  <c r="D310" i="52"/>
  <c r="E310" i="52"/>
  <c r="F83" i="52" a="1"/>
  <c r="F83" i="52" s="1"/>
  <c r="E83" i="52"/>
  <c r="L83" i="52" a="1"/>
  <c r="L83" i="52" s="1"/>
  <c r="C83" i="52"/>
  <c r="I83" i="52"/>
  <c r="D83" i="52"/>
  <c r="I318" i="52"/>
  <c r="L318" i="52" a="1"/>
  <c r="L318" i="52" s="1"/>
  <c r="D318" i="52"/>
  <c r="F318" i="52" a="1"/>
  <c r="F318" i="52" s="1"/>
  <c r="E318" i="52"/>
  <c r="C318" i="52"/>
  <c r="I112" i="52"/>
  <c r="F112" i="52" a="1"/>
  <c r="F112" i="52" s="1"/>
  <c r="C112" i="52"/>
  <c r="D112" i="52"/>
  <c r="E112" i="52"/>
  <c r="L112" i="52" a="1"/>
  <c r="L112" i="52" s="1"/>
  <c r="E87" i="52"/>
  <c r="D87" i="52"/>
  <c r="I87" i="52"/>
  <c r="L87" i="52" a="1"/>
  <c r="L87" i="52" s="1"/>
  <c r="F87" i="52" a="1"/>
  <c r="F87" i="52" s="1"/>
  <c r="C87" i="52"/>
  <c r="L92" i="52" a="1"/>
  <c r="L92" i="52" s="1"/>
  <c r="D92" i="52"/>
  <c r="C92" i="52"/>
  <c r="F92" i="52" a="1"/>
  <c r="F92" i="52" s="1"/>
  <c r="I92" i="52"/>
  <c r="E92" i="52"/>
  <c r="I161" i="52"/>
  <c r="L161" i="52" a="1"/>
  <c r="L161" i="52" s="1"/>
  <c r="F161" i="52" a="1"/>
  <c r="F161" i="52" s="1"/>
  <c r="E161" i="52"/>
  <c r="D161" i="52"/>
  <c r="C161" i="52"/>
  <c r="C267" i="52"/>
  <c r="L267" i="52" a="1"/>
  <c r="L267" i="52" s="1"/>
  <c r="I267" i="52"/>
  <c r="D267" i="52"/>
  <c r="F267" i="52" a="1"/>
  <c r="F267" i="52" s="1"/>
  <c r="E267" i="52"/>
  <c r="I314" i="52"/>
  <c r="L314" i="52" a="1"/>
  <c r="L314" i="52" s="1"/>
  <c r="D314" i="52"/>
  <c r="F314" i="52" a="1"/>
  <c r="F314" i="52" s="1"/>
  <c r="C314" i="52"/>
  <c r="E314" i="52"/>
  <c r="C182" i="52"/>
  <c r="I182" i="52"/>
  <c r="L182" i="52" a="1"/>
  <c r="L182" i="52" s="1"/>
  <c r="E182" i="52"/>
  <c r="D182" i="52"/>
  <c r="F182" i="52" a="1"/>
  <c r="F182" i="52" s="1"/>
  <c r="I324" i="52"/>
  <c r="D324" i="52"/>
  <c r="F324" i="52" a="1"/>
  <c r="F324" i="52" s="1"/>
  <c r="E324" i="52"/>
  <c r="C324" i="52"/>
  <c r="L324" i="52" a="1"/>
  <c r="L324" i="52" s="1"/>
  <c r="F173" i="52" a="1"/>
  <c r="F173" i="52" s="1"/>
  <c r="E173" i="52"/>
  <c r="C173" i="52"/>
  <c r="L173" i="52" a="1"/>
  <c r="L173" i="52" s="1"/>
  <c r="I173" i="52"/>
  <c r="D173" i="52"/>
  <c r="L241" i="52" a="1"/>
  <c r="L241" i="52" s="1"/>
  <c r="F241" i="52" a="1"/>
  <c r="F241" i="52" s="1"/>
  <c r="E241" i="52"/>
  <c r="D241" i="52"/>
  <c r="I241" i="52"/>
  <c r="C241" i="52"/>
  <c r="I224" i="52"/>
  <c r="C224" i="52"/>
  <c r="L224" i="52" a="1"/>
  <c r="L224" i="52" s="1"/>
  <c r="F224" i="52" a="1"/>
  <c r="F224" i="52" s="1"/>
  <c r="E224" i="52"/>
  <c r="D224" i="52"/>
  <c r="B63" i="25"/>
  <c r="C63" i="25"/>
  <c r="D63" i="25"/>
  <c r="G63" i="25"/>
  <c r="E63" i="25"/>
  <c r="D20" i="25"/>
  <c r="E20" i="25"/>
  <c r="B20" i="25"/>
  <c r="C20" i="25"/>
  <c r="B18" i="25"/>
  <c r="C18" i="25"/>
  <c r="D18" i="25"/>
  <c r="E18" i="25"/>
  <c r="D73" i="25"/>
  <c r="B73" i="25"/>
  <c r="E73" i="25"/>
  <c r="G73" i="25"/>
  <c r="C73" i="25"/>
  <c r="G52" i="25"/>
  <c r="C52" i="25"/>
  <c r="E52" i="25"/>
  <c r="D52" i="25"/>
  <c r="B52" i="25"/>
  <c r="D38" i="25"/>
  <c r="C38" i="25"/>
  <c r="G38" i="25"/>
  <c r="B38" i="25"/>
  <c r="E38" i="25"/>
  <c r="C68" i="25"/>
  <c r="D68" i="25"/>
  <c r="E68" i="25"/>
  <c r="B68" i="25"/>
  <c r="G68" i="25"/>
  <c r="F79" i="100" a="1"/>
  <c r="F79" i="100" s="1"/>
  <c r="D79" i="100"/>
  <c r="C79" i="100"/>
  <c r="E79" i="100"/>
  <c r="I79" i="100"/>
  <c r="K79" i="100" a="1"/>
  <c r="K79" i="100" s="1"/>
  <c r="E13" i="100"/>
  <c r="D13" i="100"/>
  <c r="F13" i="100" a="1"/>
  <c r="F13" i="100" s="1"/>
  <c r="C13" i="100"/>
  <c r="F93" i="100" a="1"/>
  <c r="F93" i="100" s="1"/>
  <c r="C93" i="100"/>
  <c r="D93" i="100"/>
  <c r="E93" i="100"/>
  <c r="I93" i="100"/>
  <c r="K93" i="100" a="1"/>
  <c r="K93" i="100" s="1"/>
  <c r="D258" i="100"/>
  <c r="E258" i="100"/>
  <c r="I258" i="100"/>
  <c r="C258" i="100"/>
  <c r="F258" i="100" a="1"/>
  <c r="F258" i="100" s="1"/>
  <c r="K258" i="100" a="1"/>
  <c r="K258" i="100" s="1"/>
  <c r="C38" i="100"/>
  <c r="E38" i="100"/>
  <c r="F38" i="100" a="1"/>
  <c r="F38" i="100" s="1"/>
  <c r="D210" i="100"/>
  <c r="I210" i="100"/>
  <c r="C210" i="100"/>
  <c r="F210" i="100" a="1"/>
  <c r="F210" i="100" s="1"/>
  <c r="E210" i="100"/>
  <c r="K210" i="100" a="1"/>
  <c r="K210" i="100" s="1"/>
  <c r="I333" i="100"/>
  <c r="D333" i="100"/>
  <c r="C333" i="100"/>
  <c r="F333" i="100" a="1"/>
  <c r="F333" i="100" s="1"/>
  <c r="E333" i="100"/>
  <c r="K333" i="100" a="1"/>
  <c r="K333" i="100" s="1"/>
  <c r="I271" i="100"/>
  <c r="E271" i="100"/>
  <c r="D271" i="100"/>
  <c r="C271" i="100"/>
  <c r="F271" i="100" a="1"/>
  <c r="F271" i="100" s="1"/>
  <c r="K271" i="100" a="1"/>
  <c r="K271" i="100" s="1"/>
  <c r="E77" i="100"/>
  <c r="C77" i="100"/>
  <c r="D77" i="100"/>
  <c r="F77" i="100" a="1"/>
  <c r="F77" i="100" s="1"/>
  <c r="I77" i="100"/>
  <c r="K77" i="100" a="1"/>
  <c r="K77" i="100" s="1"/>
  <c r="E56" i="100"/>
  <c r="F56" i="100" a="1"/>
  <c r="F56" i="100" s="1"/>
  <c r="I56" i="100"/>
  <c r="D56" i="100"/>
  <c r="C56" i="100"/>
  <c r="K56" i="100" a="1"/>
  <c r="K56" i="100" s="1"/>
  <c r="C330" i="100"/>
  <c r="I330" i="100"/>
  <c r="D330" i="100"/>
  <c r="E330" i="100"/>
  <c r="F330" i="100" a="1"/>
  <c r="F330" i="100" s="1"/>
  <c r="K330" i="100" a="1"/>
  <c r="K330" i="100" s="1"/>
  <c r="F83" i="100" a="1"/>
  <c r="F83" i="100" s="1"/>
  <c r="I83" i="100"/>
  <c r="C83" i="100"/>
  <c r="D83" i="100"/>
  <c r="E83" i="100"/>
  <c r="K83" i="100" a="1"/>
  <c r="K83" i="100" s="1"/>
  <c r="F194" i="100" a="1"/>
  <c r="F194" i="100" s="1"/>
  <c r="D194" i="100"/>
  <c r="C194" i="100"/>
  <c r="I194" i="100"/>
  <c r="E194" i="100"/>
  <c r="K194" i="100" a="1"/>
  <c r="K194" i="100" s="1"/>
  <c r="D167" i="100"/>
  <c r="C167" i="100"/>
  <c r="I167" i="100"/>
  <c r="E167" i="100"/>
  <c r="F167" i="100" a="1"/>
  <c r="F167" i="100" s="1"/>
  <c r="K167" i="100" a="1"/>
  <c r="K167" i="100" s="1"/>
  <c r="D67" i="100"/>
  <c r="E67" i="100"/>
  <c r="I67" i="100"/>
  <c r="F67" i="100" a="1"/>
  <c r="F67" i="100" s="1"/>
  <c r="C67" i="100"/>
  <c r="K67" i="100" a="1"/>
  <c r="K67" i="100" s="1"/>
  <c r="F306" i="100" a="1"/>
  <c r="F306" i="100" s="1"/>
  <c r="E306" i="100"/>
  <c r="D306" i="100"/>
  <c r="C306" i="100"/>
  <c r="I306" i="100"/>
  <c r="K306" i="100" a="1"/>
  <c r="K306" i="100" s="1"/>
  <c r="F44" i="100" a="1"/>
  <c r="F44" i="100" s="1"/>
  <c r="E44" i="100"/>
  <c r="C44" i="100"/>
  <c r="K157" i="100" a="1"/>
  <c r="K157" i="100" s="1"/>
  <c r="C157" i="100"/>
  <c r="I157" i="100"/>
  <c r="F157" i="100" a="1"/>
  <c r="F157" i="100" s="1"/>
  <c r="D157" i="100"/>
  <c r="E157" i="100"/>
  <c r="D85" i="100"/>
  <c r="F85" i="100" a="1"/>
  <c r="F85" i="100" s="1"/>
  <c r="C85" i="100"/>
  <c r="I85" i="100"/>
  <c r="E85" i="100"/>
  <c r="K85" i="100" a="1"/>
  <c r="K85" i="100" s="1"/>
  <c r="I355" i="100"/>
  <c r="F355" i="100" a="1"/>
  <c r="F355" i="100" s="1"/>
  <c r="E355" i="100"/>
  <c r="C355" i="100"/>
  <c r="D355" i="100"/>
  <c r="K355" i="100" a="1"/>
  <c r="K355" i="100" s="1"/>
  <c r="C188" i="100"/>
  <c r="E188" i="100"/>
  <c r="I188" i="100"/>
  <c r="F188" i="100" a="1"/>
  <c r="F188" i="100" s="1"/>
  <c r="D188" i="100"/>
  <c r="K188" i="100" a="1"/>
  <c r="K188" i="100" s="1"/>
  <c r="I51" i="100"/>
  <c r="F51" i="100" a="1"/>
  <c r="F51" i="100" s="1"/>
  <c r="E51" i="100"/>
  <c r="C51" i="100"/>
  <c r="D51" i="100"/>
  <c r="K51" i="100" a="1"/>
  <c r="K51" i="100" s="1"/>
  <c r="F332" i="100" a="1"/>
  <c r="F332" i="100" s="1"/>
  <c r="C332" i="100"/>
  <c r="E332" i="100"/>
  <c r="I332" i="100"/>
  <c r="D332" i="100"/>
  <c r="K332" i="100" a="1"/>
  <c r="K332" i="100" s="1"/>
  <c r="I130" i="100"/>
  <c r="C130" i="100"/>
  <c r="E130" i="100"/>
  <c r="F130" i="100" a="1"/>
  <c r="F130" i="100" s="1"/>
  <c r="D130" i="100"/>
  <c r="K130" i="100" a="1"/>
  <c r="K130" i="100" s="1"/>
  <c r="E176" i="100"/>
  <c r="F176" i="100" a="1"/>
  <c r="F176" i="100" s="1"/>
  <c r="D176" i="100"/>
  <c r="I176" i="100"/>
  <c r="C176" i="100"/>
  <c r="K176" i="100" a="1"/>
  <c r="K176" i="100" s="1"/>
  <c r="E115" i="100"/>
  <c r="I115" i="100"/>
  <c r="D115" i="100"/>
  <c r="C115" i="100"/>
  <c r="F115" i="100" a="1"/>
  <c r="F115" i="100" s="1"/>
  <c r="K115" i="100" a="1"/>
  <c r="K115" i="100" s="1"/>
  <c r="F58" i="100" a="1"/>
  <c r="F58" i="100" s="1"/>
  <c r="E58" i="100"/>
  <c r="C58" i="100"/>
  <c r="D58" i="100"/>
  <c r="I58" i="100"/>
  <c r="K58" i="100" a="1"/>
  <c r="K58" i="100" s="1"/>
  <c r="E332" i="101"/>
  <c r="C332" i="101"/>
  <c r="D332" i="101"/>
  <c r="I332" i="101"/>
  <c r="F332" i="101" a="1"/>
  <c r="F332" i="101" s="1"/>
  <c r="C321" i="101"/>
  <c r="D321" i="101"/>
  <c r="E321" i="101"/>
  <c r="I321" i="101"/>
  <c r="F321" i="101" a="1"/>
  <c r="F321" i="101" s="1"/>
  <c r="F227" i="101" a="1"/>
  <c r="F227" i="101" s="1"/>
  <c r="C227" i="101"/>
  <c r="I227" i="101"/>
  <c r="E227" i="101"/>
  <c r="D227" i="101"/>
  <c r="D140" i="101"/>
  <c r="E140" i="101"/>
  <c r="F140" i="101" a="1"/>
  <c r="F140" i="101" s="1"/>
  <c r="C140" i="101"/>
  <c r="I140" i="101"/>
  <c r="F127" i="101" a="1"/>
  <c r="F127" i="101" s="1"/>
  <c r="C127" i="101"/>
  <c r="D127" i="101"/>
  <c r="E127" i="101"/>
  <c r="I127" i="101"/>
  <c r="E344" i="101"/>
  <c r="I344" i="101"/>
  <c r="D344" i="101"/>
  <c r="F344" i="101" a="1"/>
  <c r="F344" i="101" s="1"/>
  <c r="C344" i="101"/>
  <c r="C55" i="101"/>
  <c r="D55" i="101"/>
  <c r="E55" i="101"/>
  <c r="F55" i="101" a="1"/>
  <c r="F55" i="101" s="1"/>
  <c r="I55" i="101"/>
  <c r="E207" i="101"/>
  <c r="C207" i="101"/>
  <c r="I207" i="101"/>
  <c r="F207" i="101" a="1"/>
  <c r="F207" i="101" s="1"/>
  <c r="D207" i="101"/>
  <c r="E94" i="101"/>
  <c r="I94" i="101"/>
  <c r="F94" i="101" a="1"/>
  <c r="F94" i="101" s="1"/>
  <c r="D94" i="101"/>
  <c r="C94" i="101"/>
  <c r="C155" i="101"/>
  <c r="I155" i="101"/>
  <c r="E155" i="101"/>
  <c r="D155" i="101"/>
  <c r="F155" i="101" a="1"/>
  <c r="F155" i="101" s="1"/>
  <c r="I206" i="101"/>
  <c r="F206" i="101" a="1"/>
  <c r="F206" i="101" s="1"/>
  <c r="D206" i="101"/>
  <c r="E206" i="101"/>
  <c r="C206" i="101"/>
  <c r="D293" i="101"/>
  <c r="I293" i="101"/>
  <c r="F293" i="101" a="1"/>
  <c r="F293" i="101" s="1"/>
  <c r="E293" i="101"/>
  <c r="C293" i="101"/>
  <c r="C44" i="101"/>
  <c r="F44" i="101" a="1"/>
  <c r="F44" i="101" s="1"/>
  <c r="I44" i="101"/>
  <c r="D44" i="101"/>
  <c r="E44" i="101"/>
  <c r="F248" i="101" a="1"/>
  <c r="F248" i="101" s="1"/>
  <c r="C248" i="101"/>
  <c r="E248" i="101"/>
  <c r="I248" i="101"/>
  <c r="D248" i="101"/>
  <c r="E30" i="101"/>
  <c r="I30" i="101"/>
  <c r="F30" i="101" a="1"/>
  <c r="F30" i="101" s="1"/>
  <c r="C30" i="101"/>
  <c r="D30" i="101"/>
  <c r="C95" i="101"/>
  <c r="E95" i="101"/>
  <c r="D95" i="101"/>
  <c r="F95" i="101" a="1"/>
  <c r="F95" i="101" s="1"/>
  <c r="I95" i="101"/>
  <c r="E271" i="101"/>
  <c r="I271" i="101"/>
  <c r="F271" i="101" a="1"/>
  <c r="F271" i="101" s="1"/>
  <c r="D271" i="101"/>
  <c r="C271" i="101"/>
  <c r="E338" i="101"/>
  <c r="C338" i="101"/>
  <c r="I338" i="101"/>
  <c r="D338" i="101"/>
  <c r="F338" i="101" a="1"/>
  <c r="F338" i="101" s="1"/>
  <c r="F289" i="101" a="1"/>
  <c r="F289" i="101" s="1"/>
  <c r="E289" i="101"/>
  <c r="D289" i="101"/>
  <c r="I289" i="101"/>
  <c r="C289" i="101"/>
  <c r="E304" i="101"/>
  <c r="F304" i="101" a="1"/>
  <c r="F304" i="101" s="1"/>
  <c r="C304" i="101"/>
  <c r="D304" i="101"/>
  <c r="I304" i="101"/>
  <c r="F120" i="101" a="1"/>
  <c r="F120" i="101" s="1"/>
  <c r="C120" i="101"/>
  <c r="I120" i="101"/>
  <c r="E120" i="101"/>
  <c r="D120" i="101"/>
  <c r="C169" i="101"/>
  <c r="E169" i="101"/>
  <c r="D169" i="101"/>
  <c r="I169" i="101"/>
  <c r="F169" i="101" a="1"/>
  <c r="F169" i="101" s="1"/>
  <c r="C73" i="101"/>
  <c r="I73" i="101"/>
  <c r="D73" i="101"/>
  <c r="F73" i="101" a="1"/>
  <c r="F73" i="101" s="1"/>
  <c r="E73" i="101"/>
  <c r="E185" i="101"/>
  <c r="C185" i="101"/>
  <c r="D185" i="101"/>
  <c r="F185" i="101" a="1"/>
  <c r="F185" i="101" s="1"/>
  <c r="I185" i="101"/>
  <c r="F233" i="101" a="1"/>
  <c r="F233" i="101" s="1"/>
  <c r="C233" i="101"/>
  <c r="I233" i="101"/>
  <c r="E233" i="101"/>
  <c r="D233" i="101"/>
  <c r="C275" i="101"/>
  <c r="F275" i="101" a="1"/>
  <c r="F275" i="101" s="1"/>
  <c r="D275" i="101"/>
  <c r="E275" i="101"/>
  <c r="I275" i="101"/>
  <c r="C230" i="101"/>
  <c r="E230" i="101"/>
  <c r="D230" i="101"/>
  <c r="I230" i="101"/>
  <c r="F230" i="101" a="1"/>
  <c r="F230" i="101" s="1"/>
  <c r="C249" i="101"/>
  <c r="F249" i="101" a="1"/>
  <c r="F249" i="101" s="1"/>
  <c r="I249" i="101"/>
  <c r="D249" i="101"/>
  <c r="E249" i="101"/>
  <c r="C42" i="101"/>
  <c r="E42" i="101"/>
  <c r="F42" i="101" a="1"/>
  <c r="F42" i="101" s="1"/>
  <c r="I42" i="101"/>
  <c r="D42" i="101"/>
  <c r="C123" i="101"/>
  <c r="F123" i="101" a="1"/>
  <c r="F123" i="101" s="1"/>
  <c r="D123" i="101"/>
  <c r="I123" i="101"/>
  <c r="E123" i="101"/>
  <c r="F13" i="101" a="1"/>
  <c r="F13" i="101" s="1"/>
  <c r="E13" i="101"/>
  <c r="D13" i="101"/>
  <c r="C13" i="101"/>
  <c r="E78" i="101"/>
  <c r="C78" i="101"/>
  <c r="I78" i="101"/>
  <c r="F78" i="101" a="1"/>
  <c r="F78" i="101" s="1"/>
  <c r="D78" i="101"/>
  <c r="E33" i="34"/>
  <c r="B33" i="34"/>
  <c r="D33" i="34"/>
  <c r="C33" i="34"/>
  <c r="G33" i="34"/>
  <c r="E35" i="34"/>
  <c r="G35" i="34"/>
  <c r="B35" i="34"/>
  <c r="C35" i="34"/>
  <c r="D35" i="34"/>
  <c r="G13" i="34"/>
  <c r="E13" i="34"/>
  <c r="D13" i="34"/>
  <c r="B13" i="34"/>
  <c r="C13" i="34"/>
  <c r="B43" i="34"/>
  <c r="D43" i="34"/>
  <c r="E43" i="34"/>
  <c r="G43" i="34"/>
  <c r="C43" i="34"/>
  <c r="D17" i="34"/>
  <c r="B17" i="34"/>
  <c r="G17" i="34"/>
  <c r="E17" i="34"/>
  <c r="C17" i="34"/>
  <c r="E49" i="22"/>
  <c r="B49" i="22"/>
  <c r="G49" i="22"/>
  <c r="C49" i="22"/>
  <c r="D49" i="22"/>
  <c r="E6" i="22"/>
  <c r="D6" i="22"/>
  <c r="B6" i="22"/>
  <c r="C6" i="22"/>
  <c r="D25" i="22"/>
  <c r="C25" i="22"/>
  <c r="B25" i="22"/>
  <c r="C21" i="22"/>
  <c r="B21" i="22"/>
  <c r="D21" i="22"/>
  <c r="I47" i="51"/>
  <c r="E47" i="51"/>
  <c r="C47" i="51"/>
  <c r="D47" i="51"/>
  <c r="K47" i="51" a="1"/>
  <c r="K47" i="51" s="1"/>
  <c r="F47" i="51" a="1"/>
  <c r="F47" i="51" s="1"/>
  <c r="C23" i="51"/>
  <c r="E23" i="51"/>
  <c r="I23" i="51"/>
  <c r="F23" i="51" a="1"/>
  <c r="F23" i="51" s="1"/>
  <c r="D23" i="51"/>
  <c r="K23" i="51" a="1"/>
  <c r="K23" i="51" s="1"/>
  <c r="K42" i="51" a="1"/>
  <c r="K42" i="51" s="1"/>
  <c r="F42" i="51" a="1"/>
  <c r="F42" i="51" s="1"/>
  <c r="E42" i="51"/>
  <c r="D42" i="51"/>
  <c r="I42" i="51"/>
  <c r="C42" i="51"/>
  <c r="E68" i="51"/>
  <c r="C68" i="51"/>
  <c r="D68" i="51"/>
  <c r="F68" i="51" a="1"/>
  <c r="F68" i="51" s="1"/>
  <c r="K68" i="51" a="1"/>
  <c r="K68" i="51" s="1"/>
  <c r="I68" i="51"/>
  <c r="C81" i="51"/>
  <c r="I81" i="51"/>
  <c r="F81" i="51" a="1"/>
  <c r="F81" i="51" s="1"/>
  <c r="E81" i="51"/>
  <c r="D81" i="51"/>
  <c r="K81" i="51" a="1"/>
  <c r="K81" i="51" s="1"/>
  <c r="F73" i="51" a="1"/>
  <c r="F73" i="51" s="1"/>
  <c r="D73" i="51"/>
  <c r="E73" i="51"/>
  <c r="K73" i="51" a="1"/>
  <c r="K73" i="51" s="1"/>
  <c r="C73" i="51"/>
  <c r="I73" i="51"/>
  <c r="F72" i="51" a="1"/>
  <c r="F72" i="51" s="1"/>
  <c r="E72" i="51"/>
  <c r="D72" i="51"/>
  <c r="I72" i="51"/>
  <c r="K72" i="51" a="1"/>
  <c r="K72" i="51" s="1"/>
  <c r="C72" i="51"/>
  <c r="D46" i="51"/>
  <c r="F46" i="51" a="1"/>
  <c r="F46" i="51" s="1"/>
  <c r="K46" i="51" a="1"/>
  <c r="K46" i="51" s="1"/>
  <c r="I46" i="51"/>
  <c r="C46" i="51"/>
  <c r="E46" i="51"/>
  <c r="E25" i="51"/>
  <c r="C25" i="51"/>
  <c r="D25" i="51"/>
  <c r="K25" i="51" a="1"/>
  <c r="K25" i="51" s="1"/>
  <c r="I25" i="51"/>
  <c r="F25" i="51" a="1"/>
  <c r="F25" i="51" s="1"/>
  <c r="C52" i="51"/>
  <c r="K52" i="51" a="1"/>
  <c r="K52" i="51" s="1"/>
  <c r="I52" i="51"/>
  <c r="F52" i="51" a="1"/>
  <c r="F52" i="51" s="1"/>
  <c r="E52" i="51"/>
  <c r="D52" i="51"/>
  <c r="C57" i="51"/>
  <c r="D57" i="51"/>
  <c r="E57" i="51"/>
  <c r="I57" i="51"/>
  <c r="F57" i="51" a="1"/>
  <c r="F57" i="51" s="1"/>
  <c r="K57" i="51" a="1"/>
  <c r="K57" i="51" s="1"/>
  <c r="G9" i="39"/>
  <c r="B35" i="39"/>
  <c r="E42" i="24"/>
  <c r="G42" i="24"/>
  <c r="C42" i="24"/>
  <c r="B42" i="24"/>
  <c r="D42" i="24"/>
  <c r="C63" i="24"/>
  <c r="E63" i="24"/>
  <c r="G63" i="24"/>
  <c r="B63" i="24"/>
  <c r="D63" i="24"/>
  <c r="C19" i="24"/>
  <c r="D19" i="24"/>
  <c r="B19" i="24"/>
  <c r="E19" i="24"/>
  <c r="E39" i="24"/>
  <c r="C39" i="24"/>
  <c r="B39" i="24"/>
  <c r="D39" i="24"/>
  <c r="E66" i="24"/>
  <c r="G66" i="24"/>
  <c r="B66" i="24"/>
  <c r="C66" i="24"/>
  <c r="D66" i="24"/>
  <c r="E70" i="24"/>
  <c r="C70" i="24"/>
  <c r="B70" i="24"/>
  <c r="G70" i="24"/>
  <c r="D70" i="24"/>
  <c r="B21" i="24"/>
  <c r="D21" i="24"/>
  <c r="E21" i="24"/>
  <c r="C21" i="24"/>
  <c r="B16" i="24"/>
  <c r="E16" i="24"/>
  <c r="D16" i="24"/>
  <c r="C16" i="24"/>
  <c r="G88" i="53" a="1"/>
  <c r="G88" i="53" s="1"/>
  <c r="E88" i="53"/>
  <c r="J88" i="53"/>
  <c r="D88" i="53"/>
  <c r="F88" i="53"/>
  <c r="U88" i="53" s="1"/>
  <c r="G77" i="53" a="1"/>
  <c r="G77" i="53" s="1"/>
  <c r="E77" i="53"/>
  <c r="J77" i="53"/>
  <c r="F77" i="53"/>
  <c r="U77" i="53" s="1"/>
  <c r="D77" i="53"/>
  <c r="E143" i="53"/>
  <c r="F143" i="53"/>
  <c r="U143" i="53" s="1"/>
  <c r="G143" i="53" a="1"/>
  <c r="G143" i="53" s="1"/>
  <c r="D143" i="53"/>
  <c r="J143" i="53"/>
  <c r="F193" i="53"/>
  <c r="U193" i="53" s="1"/>
  <c r="J193" i="53"/>
  <c r="E193" i="53"/>
  <c r="G193" i="53" a="1"/>
  <c r="G193" i="53" s="1"/>
  <c r="D193" i="53"/>
  <c r="F138" i="53"/>
  <c r="U138" i="53" s="1"/>
  <c r="J138" i="53"/>
  <c r="E138" i="53"/>
  <c r="D138" i="53"/>
  <c r="G138" i="53" a="1"/>
  <c r="G138" i="53" s="1"/>
  <c r="D337" i="53"/>
  <c r="F337" i="53"/>
  <c r="U337" i="53" s="1"/>
  <c r="E337" i="53"/>
  <c r="J337" i="53"/>
  <c r="G337" i="53" a="1"/>
  <c r="G337" i="53" s="1"/>
  <c r="G24" i="53" a="1"/>
  <c r="G24" i="53" s="1"/>
  <c r="E24" i="53"/>
  <c r="D24" i="53"/>
  <c r="F24" i="53"/>
  <c r="G152" i="53" a="1"/>
  <c r="G152" i="53" s="1"/>
  <c r="D152" i="53"/>
  <c r="F152" i="53"/>
  <c r="U152" i="53" s="1"/>
  <c r="E152" i="53"/>
  <c r="J152" i="53"/>
  <c r="D266" i="53"/>
  <c r="J266" i="53"/>
  <c r="F266" i="53"/>
  <c r="U266" i="53" s="1"/>
  <c r="E266" i="53"/>
  <c r="G266" i="53" a="1"/>
  <c r="G266" i="53" s="1"/>
  <c r="E342" i="53"/>
  <c r="D342" i="53"/>
  <c r="J342" i="53"/>
  <c r="F342" i="53"/>
  <c r="U342" i="53" s="1"/>
  <c r="G342" i="53" a="1"/>
  <c r="G342" i="53" s="1"/>
  <c r="F339" i="53"/>
  <c r="U339" i="53" s="1"/>
  <c r="E339" i="53"/>
  <c r="D339" i="53"/>
  <c r="J339" i="53"/>
  <c r="G339" i="53" a="1"/>
  <c r="G339" i="53" s="1"/>
  <c r="F112" i="53"/>
  <c r="U112" i="53" s="1"/>
  <c r="D112" i="53"/>
  <c r="E112" i="53"/>
  <c r="G112" i="53" a="1"/>
  <c r="G112" i="53" s="1"/>
  <c r="J112" i="53"/>
  <c r="G212" i="53" a="1"/>
  <c r="G212" i="53" s="1"/>
  <c r="F212" i="53"/>
  <c r="U212" i="53" s="1"/>
  <c r="E212" i="53"/>
  <c r="J212" i="53"/>
  <c r="D212" i="53"/>
  <c r="F230" i="53"/>
  <c r="U230" i="53" s="1"/>
  <c r="D230" i="53"/>
  <c r="G230" i="53" a="1"/>
  <c r="G230" i="53" s="1"/>
  <c r="E230" i="53"/>
  <c r="J230" i="53"/>
  <c r="G135" i="53" a="1"/>
  <c r="G135" i="53" s="1"/>
  <c r="E135" i="53"/>
  <c r="J135" i="53"/>
  <c r="F135" i="53"/>
  <c r="U135" i="53" s="1"/>
  <c r="D135" i="53"/>
  <c r="F160" i="53"/>
  <c r="U160" i="53" s="1"/>
  <c r="E160" i="53"/>
  <c r="G160" i="53" a="1"/>
  <c r="G160" i="53" s="1"/>
  <c r="J160" i="53"/>
  <c r="D160" i="53"/>
  <c r="F11" i="53"/>
  <c r="D11" i="53"/>
  <c r="G81" i="53" a="1"/>
  <c r="G81" i="53" s="1"/>
  <c r="J81" i="53"/>
  <c r="E81" i="53"/>
  <c r="F81" i="53"/>
  <c r="U81" i="53" s="1"/>
  <c r="D81" i="53"/>
  <c r="G127" i="53" a="1"/>
  <c r="G127" i="53" s="1"/>
  <c r="E127" i="53"/>
  <c r="J127" i="53"/>
  <c r="F127" i="53"/>
  <c r="U127" i="53" s="1"/>
  <c r="D127" i="53"/>
  <c r="D144" i="53"/>
  <c r="G144" i="53" a="1"/>
  <c r="G144" i="53" s="1"/>
  <c r="F144" i="53"/>
  <c r="U144" i="53" s="1"/>
  <c r="J144" i="53"/>
  <c r="E144" i="53"/>
  <c r="E67" i="53"/>
  <c r="F67" i="53"/>
  <c r="U67" i="53" s="1"/>
  <c r="D67" i="53"/>
  <c r="J67" i="53"/>
  <c r="G67" i="53" a="1"/>
  <c r="G67" i="53" s="1"/>
  <c r="F292" i="53"/>
  <c r="U292" i="53" s="1"/>
  <c r="D292" i="53"/>
  <c r="G292" i="53" a="1"/>
  <c r="G292" i="53" s="1"/>
  <c r="J292" i="53"/>
  <c r="E292" i="53"/>
  <c r="J110" i="53"/>
  <c r="F110" i="53"/>
  <c r="U110" i="53" s="1"/>
  <c r="E110" i="53"/>
  <c r="D110" i="53"/>
  <c r="G110" i="53" a="1"/>
  <c r="G110" i="53" s="1"/>
  <c r="J346" i="50"/>
  <c r="G346" i="50" a="1"/>
  <c r="G346" i="50" s="1"/>
  <c r="D346" i="50"/>
  <c r="F346" i="50"/>
  <c r="U346" i="50" s="1"/>
  <c r="E346" i="50"/>
  <c r="G268" i="50" a="1"/>
  <c r="G268" i="50" s="1"/>
  <c r="J268" i="50"/>
  <c r="E268" i="50"/>
  <c r="D268" i="50"/>
  <c r="F268" i="50"/>
  <c r="U268" i="50" s="1"/>
  <c r="F315" i="50"/>
  <c r="U315" i="50" s="1"/>
  <c r="G315" i="50" a="1"/>
  <c r="G315" i="50" s="1"/>
  <c r="E315" i="50"/>
  <c r="J315" i="50"/>
  <c r="D315" i="50"/>
  <c r="F63" i="50"/>
  <c r="U63" i="50" s="1"/>
  <c r="E63" i="50"/>
  <c r="J63" i="50"/>
  <c r="G63" i="50" a="1"/>
  <c r="G63" i="50" s="1"/>
  <c r="D63" i="50"/>
  <c r="G54" i="50" a="1"/>
  <c r="G54" i="50" s="1"/>
  <c r="D54" i="50"/>
  <c r="F54" i="50"/>
  <c r="U54" i="50" s="1"/>
  <c r="E54" i="50"/>
  <c r="J54" i="50"/>
  <c r="E14" i="50"/>
  <c r="F14" i="50"/>
  <c r="D14" i="50"/>
  <c r="G14" i="50" a="1"/>
  <c r="G14" i="50" s="1"/>
  <c r="D42" i="50"/>
  <c r="E42" i="50"/>
  <c r="F42" i="50"/>
  <c r="G42" i="50" a="1"/>
  <c r="G42" i="50" s="1"/>
  <c r="F172" i="50"/>
  <c r="U172" i="50" s="1"/>
  <c r="J172" i="50"/>
  <c r="G172" i="50" a="1"/>
  <c r="G172" i="50" s="1"/>
  <c r="E172" i="50"/>
  <c r="D172" i="50"/>
  <c r="D251" i="50"/>
  <c r="J251" i="50"/>
  <c r="E251" i="50"/>
  <c r="F251" i="50"/>
  <c r="U251" i="50" s="1"/>
  <c r="G251" i="50" a="1"/>
  <c r="G251" i="50" s="1"/>
  <c r="J194" i="50"/>
  <c r="D194" i="50"/>
  <c r="E194" i="50"/>
  <c r="G194" i="50" a="1"/>
  <c r="G194" i="50" s="1"/>
  <c r="F194" i="50"/>
  <c r="U194" i="50" s="1"/>
  <c r="D25" i="50"/>
  <c r="F25" i="50"/>
  <c r="G25" i="50" a="1"/>
  <c r="G25" i="50" s="1"/>
  <c r="D162" i="50"/>
  <c r="J162" i="50"/>
  <c r="E162" i="50"/>
  <c r="F162" i="50"/>
  <c r="U162" i="50" s="1"/>
  <c r="G162" i="50" a="1"/>
  <c r="G162" i="50" s="1"/>
  <c r="E55" i="50"/>
  <c r="F55" i="50"/>
  <c r="U55" i="50" s="1"/>
  <c r="J55" i="50"/>
  <c r="G55" i="50" a="1"/>
  <c r="G55" i="50" s="1"/>
  <c r="D55" i="50"/>
  <c r="G232" i="50" a="1"/>
  <c r="G232" i="50" s="1"/>
  <c r="F232" i="50"/>
  <c r="U232" i="50" s="1"/>
  <c r="E232" i="50"/>
  <c r="J232" i="50"/>
  <c r="D232" i="50"/>
  <c r="G31" i="50" a="1"/>
  <c r="G31" i="50" s="1"/>
  <c r="D31" i="50"/>
  <c r="E31" i="50"/>
  <c r="F31" i="50"/>
  <c r="G26" i="50" a="1"/>
  <c r="G26" i="50" s="1"/>
  <c r="F26" i="50"/>
  <c r="D26" i="50"/>
  <c r="E26" i="50"/>
  <c r="D7" i="50"/>
  <c r="F7" i="50"/>
  <c r="G7" i="50" a="1"/>
  <c r="G7" i="50" s="1"/>
  <c r="G190" i="50" a="1"/>
  <c r="G190" i="50" s="1"/>
  <c r="F190" i="50"/>
  <c r="U190" i="50" s="1"/>
  <c r="D190" i="50"/>
  <c r="J190" i="50"/>
  <c r="E190" i="50"/>
  <c r="G27" i="50" a="1"/>
  <c r="G27" i="50" s="1"/>
  <c r="E27" i="50"/>
  <c r="D27" i="50"/>
  <c r="F27" i="50"/>
  <c r="E46" i="50"/>
  <c r="G46" i="50" a="1"/>
  <c r="G46" i="50" s="1"/>
  <c r="D46" i="50"/>
  <c r="F46" i="50"/>
  <c r="D168" i="50"/>
  <c r="J168" i="50"/>
  <c r="E168" i="50"/>
  <c r="G168" i="50" a="1"/>
  <c r="G168" i="50" s="1"/>
  <c r="F168" i="50"/>
  <c r="U168" i="50" s="1"/>
  <c r="E102" i="50"/>
  <c r="G102" i="50" a="1"/>
  <c r="G102" i="50" s="1"/>
  <c r="F102" i="50"/>
  <c r="U102" i="50" s="1"/>
  <c r="J102" i="50"/>
  <c r="D102" i="50"/>
  <c r="J296" i="50"/>
  <c r="F296" i="50"/>
  <c r="U296" i="50" s="1"/>
  <c r="G296" i="50" a="1"/>
  <c r="G296" i="50" s="1"/>
  <c r="E296" i="50"/>
  <c r="D296" i="50"/>
  <c r="F173" i="50"/>
  <c r="U173" i="50" s="1"/>
  <c r="D173" i="50"/>
  <c r="E173" i="50"/>
  <c r="G173" i="50" a="1"/>
  <c r="G173" i="50" s="1"/>
  <c r="J173" i="50"/>
  <c r="G206" i="50" a="1"/>
  <c r="G206" i="50" s="1"/>
  <c r="F206" i="50"/>
  <c r="U206" i="50" s="1"/>
  <c r="D206" i="50"/>
  <c r="E206" i="50"/>
  <c r="J206" i="50"/>
  <c r="F138" i="50"/>
  <c r="U138" i="50" s="1"/>
  <c r="J138" i="50"/>
  <c r="D138" i="50"/>
  <c r="E138" i="50"/>
  <c r="G138" i="50" a="1"/>
  <c r="G138" i="50" s="1"/>
  <c r="D152" i="50"/>
  <c r="E152" i="50"/>
  <c r="J152" i="50"/>
  <c r="F152" i="50"/>
  <c r="U152" i="50" s="1"/>
  <c r="G152" i="50" a="1"/>
  <c r="G152" i="50" s="1"/>
  <c r="G307" i="50" a="1"/>
  <c r="G307" i="50" s="1"/>
  <c r="F307" i="50"/>
  <c r="U307" i="50" s="1"/>
  <c r="J307" i="50"/>
  <c r="E307" i="50"/>
  <c r="D307" i="50"/>
  <c r="E32" i="50"/>
  <c r="G32" i="50" a="1"/>
  <c r="G32" i="50" s="1"/>
  <c r="D32" i="50"/>
  <c r="F32" i="50"/>
  <c r="G235" i="50" a="1"/>
  <c r="G235" i="50" s="1"/>
  <c r="J235" i="50"/>
  <c r="D235" i="50"/>
  <c r="E235" i="50"/>
  <c r="F235" i="50"/>
  <c r="U235" i="50" s="1"/>
  <c r="F99" i="50"/>
  <c r="U99" i="50" s="1"/>
  <c r="D99" i="50"/>
  <c r="E99" i="50"/>
  <c r="J99" i="50"/>
  <c r="G99" i="50" a="1"/>
  <c r="G99" i="50" s="1"/>
  <c r="G284" i="50" a="1"/>
  <c r="G284" i="50" s="1"/>
  <c r="D284" i="50"/>
  <c r="E284" i="50"/>
  <c r="J284" i="50"/>
  <c r="F284" i="50"/>
  <c r="U284" i="50" s="1"/>
  <c r="G98" i="50" a="1"/>
  <c r="G98" i="50" s="1"/>
  <c r="F98" i="50"/>
  <c r="U98" i="50" s="1"/>
  <c r="D98" i="50"/>
  <c r="E98" i="50"/>
  <c r="J98" i="50"/>
  <c r="D39" i="50"/>
  <c r="G39" i="50" a="1"/>
  <c r="G39" i="50" s="1"/>
  <c r="F39" i="50"/>
  <c r="G333" i="50" a="1"/>
  <c r="G333" i="50" s="1"/>
  <c r="E333" i="50"/>
  <c r="F333" i="50"/>
  <c r="U333" i="50" s="1"/>
  <c r="J333" i="50"/>
  <c r="D333" i="50"/>
  <c r="F255" i="50"/>
  <c r="U255" i="50" s="1"/>
  <c r="D255" i="50"/>
  <c r="E255" i="50"/>
  <c r="G255" i="50" a="1"/>
  <c r="G255" i="50" s="1"/>
  <c r="J255" i="50"/>
  <c r="B64" i="33"/>
  <c r="G64" i="33"/>
  <c r="D64" i="33"/>
  <c r="C64" i="33"/>
  <c r="E64" i="33"/>
  <c r="C35" i="33"/>
  <c r="B35" i="33"/>
  <c r="D35" i="33"/>
  <c r="E35" i="33"/>
  <c r="G35" i="33"/>
  <c r="D19" i="33"/>
  <c r="B19" i="33"/>
  <c r="G19" i="33"/>
  <c r="C19" i="33"/>
  <c r="E19" i="33"/>
  <c r="B20" i="33"/>
  <c r="D20" i="33"/>
  <c r="E20" i="33"/>
  <c r="C20" i="33"/>
  <c r="G20" i="33"/>
  <c r="B80" i="33"/>
  <c r="E80" i="33"/>
  <c r="D80" i="33"/>
  <c r="G80" i="33"/>
  <c r="C80" i="33"/>
  <c r="D27" i="33"/>
  <c r="E27" i="33"/>
  <c r="B27" i="33"/>
  <c r="C27" i="33"/>
  <c r="G27" i="33"/>
  <c r="D63" i="33"/>
  <c r="C63" i="33"/>
  <c r="E63" i="33"/>
  <c r="G63" i="33"/>
  <c r="B63" i="33"/>
  <c r="D31" i="33"/>
  <c r="G31" i="33"/>
  <c r="E31" i="33"/>
  <c r="C31" i="33"/>
  <c r="B31" i="33"/>
  <c r="D82" i="49"/>
  <c r="E82" i="49"/>
  <c r="C82" i="49"/>
  <c r="F82" i="49" a="1"/>
  <c r="F82" i="49" s="1"/>
  <c r="I82" i="49"/>
  <c r="K82" i="49" a="1"/>
  <c r="K82" i="49" s="1"/>
  <c r="E315" i="49"/>
  <c r="I315" i="49"/>
  <c r="C315" i="49"/>
  <c r="F315" i="49" a="1"/>
  <c r="F315" i="49" s="1"/>
  <c r="D315" i="49"/>
  <c r="K315" i="49" a="1"/>
  <c r="K315" i="49" s="1"/>
  <c r="F95" i="49" a="1"/>
  <c r="F95" i="49" s="1"/>
  <c r="D95" i="49"/>
  <c r="E95" i="49"/>
  <c r="C95" i="49"/>
  <c r="I95" i="49"/>
  <c r="K95" i="49" a="1"/>
  <c r="K95" i="49" s="1"/>
  <c r="E93" i="49"/>
  <c r="I93" i="49"/>
  <c r="D93" i="49"/>
  <c r="C93" i="49"/>
  <c r="F93" i="49" a="1"/>
  <c r="F93" i="49" s="1"/>
  <c r="K93" i="49" a="1"/>
  <c r="K93" i="49" s="1"/>
  <c r="F86" i="49" a="1"/>
  <c r="F86" i="49" s="1"/>
  <c r="C86" i="49"/>
  <c r="E86" i="49"/>
  <c r="I86" i="49"/>
  <c r="D86" i="49"/>
  <c r="K86" i="49" a="1"/>
  <c r="K86" i="49" s="1"/>
  <c r="E323" i="49"/>
  <c r="C323" i="49"/>
  <c r="F323" i="49" a="1"/>
  <c r="F323" i="49" s="1"/>
  <c r="I323" i="49"/>
  <c r="D323" i="49"/>
  <c r="K323" i="49" a="1"/>
  <c r="K323" i="49" s="1"/>
  <c r="I351" i="49"/>
  <c r="C351" i="49"/>
  <c r="F351" i="49" a="1"/>
  <c r="F351" i="49" s="1"/>
  <c r="D351" i="49"/>
  <c r="E351" i="49"/>
  <c r="K351" i="49" a="1"/>
  <c r="K351" i="49" s="1"/>
  <c r="E31" i="49"/>
  <c r="C31" i="49"/>
  <c r="F31" i="49" a="1"/>
  <c r="F31" i="49" s="1"/>
  <c r="K31" i="49" a="1"/>
  <c r="K31" i="49" s="1"/>
  <c r="E90" i="49"/>
  <c r="C90" i="49"/>
  <c r="I90" i="49"/>
  <c r="F90" i="49" a="1"/>
  <c r="F90" i="49" s="1"/>
  <c r="D90" i="49"/>
  <c r="K90" i="49" a="1"/>
  <c r="K90" i="49" s="1"/>
  <c r="E19" i="49"/>
  <c r="F19" i="49" a="1"/>
  <c r="F19" i="49" s="1"/>
  <c r="C19" i="49"/>
  <c r="E135" i="49"/>
  <c r="F135" i="49" a="1"/>
  <c r="F135" i="49" s="1"/>
  <c r="D135" i="49"/>
  <c r="I135" i="49"/>
  <c r="C135" i="49"/>
  <c r="K135" i="49" a="1"/>
  <c r="K135" i="49" s="1"/>
  <c r="E257" i="49"/>
  <c r="D257" i="49"/>
  <c r="C257" i="49"/>
  <c r="I257" i="49"/>
  <c r="F257" i="49" a="1"/>
  <c r="F257" i="49" s="1"/>
  <c r="K257" i="49" a="1"/>
  <c r="K257" i="49" s="1"/>
  <c r="C273" i="49"/>
  <c r="E273" i="49"/>
  <c r="F273" i="49" a="1"/>
  <c r="F273" i="49" s="1"/>
  <c r="D273" i="49"/>
  <c r="I273" i="49"/>
  <c r="K273" i="49" a="1"/>
  <c r="K273" i="49" s="1"/>
  <c r="D336" i="49"/>
  <c r="E336" i="49"/>
  <c r="I336" i="49"/>
  <c r="F336" i="49" a="1"/>
  <c r="F336" i="49" s="1"/>
  <c r="C336" i="49"/>
  <c r="K336" i="49" a="1"/>
  <c r="K336" i="49" s="1"/>
  <c r="C13" i="49"/>
  <c r="E13" i="49"/>
  <c r="F13" i="49" a="1"/>
  <c r="F13" i="49" s="1"/>
  <c r="C130" i="49"/>
  <c r="D130" i="49"/>
  <c r="E130" i="49"/>
  <c r="F130" i="49" a="1"/>
  <c r="F130" i="49" s="1"/>
  <c r="I130" i="49"/>
  <c r="K130" i="49" a="1"/>
  <c r="K130" i="49" s="1"/>
  <c r="K219" i="49" a="1"/>
  <c r="K219" i="49" s="1"/>
  <c r="D219" i="49"/>
  <c r="F219" i="49" a="1"/>
  <c r="F219" i="49" s="1"/>
  <c r="I219" i="49"/>
  <c r="E219" i="49"/>
  <c r="C219" i="49"/>
  <c r="F122" i="49" a="1"/>
  <c r="F122" i="49" s="1"/>
  <c r="E122" i="49"/>
  <c r="C122" i="49"/>
  <c r="D122" i="49"/>
  <c r="I122" i="49"/>
  <c r="K122" i="49" a="1"/>
  <c r="K122" i="49" s="1"/>
  <c r="E311" i="49"/>
  <c r="C311" i="49"/>
  <c r="F311" i="49" a="1"/>
  <c r="F311" i="49" s="1"/>
  <c r="D311" i="49"/>
  <c r="I311" i="49"/>
  <c r="K311" i="49" a="1"/>
  <c r="K311" i="49" s="1"/>
  <c r="I143" i="49"/>
  <c r="F143" i="49" a="1"/>
  <c r="F143" i="49" s="1"/>
  <c r="E143" i="49"/>
  <c r="C143" i="49"/>
  <c r="D143" i="49"/>
  <c r="K143" i="49" a="1"/>
  <c r="K143" i="49" s="1"/>
  <c r="F250" i="49" a="1"/>
  <c r="F250" i="49" s="1"/>
  <c r="I250" i="49"/>
  <c r="D250" i="49"/>
  <c r="E250" i="49"/>
  <c r="C250" i="49"/>
  <c r="K250" i="49" a="1"/>
  <c r="K250" i="49" s="1"/>
  <c r="E34" i="49"/>
  <c r="C34" i="49"/>
  <c r="F34" i="49" a="1"/>
  <c r="F34" i="49" s="1"/>
  <c r="K34" i="49" a="1"/>
  <c r="K34" i="49" s="1"/>
  <c r="F132" i="49" a="1"/>
  <c r="F132" i="49" s="1"/>
  <c r="E132" i="49"/>
  <c r="C132" i="49"/>
  <c r="I132" i="49"/>
  <c r="D132" i="49"/>
  <c r="K132" i="49" a="1"/>
  <c r="K132" i="49" s="1"/>
  <c r="E149" i="49"/>
  <c r="F149" i="49" a="1"/>
  <c r="F149" i="49" s="1"/>
  <c r="I149" i="49"/>
  <c r="D149" i="49"/>
  <c r="C149" i="49"/>
  <c r="K149" i="49" a="1"/>
  <c r="K149" i="49" s="1"/>
  <c r="F222" i="49" a="1"/>
  <c r="F222" i="49" s="1"/>
  <c r="E222" i="49"/>
  <c r="I222" i="49"/>
  <c r="D222" i="49"/>
  <c r="C222" i="49"/>
  <c r="K222" i="49" a="1"/>
  <c r="K222" i="49" s="1"/>
  <c r="C228" i="49"/>
  <c r="F228" i="49" a="1"/>
  <c r="F228" i="49" s="1"/>
  <c r="I228" i="49"/>
  <c r="D228" i="49"/>
  <c r="E228" i="49"/>
  <c r="K228" i="49" a="1"/>
  <c r="K228" i="49" s="1"/>
  <c r="C326" i="49"/>
  <c r="E326" i="49"/>
  <c r="F326" i="49" a="1"/>
  <c r="F326" i="49" s="1"/>
  <c r="D326" i="49"/>
  <c r="I326" i="49"/>
  <c r="K326" i="49" a="1"/>
  <c r="K326" i="49" s="1"/>
  <c r="E325" i="49"/>
  <c r="F325" i="49" a="1"/>
  <c r="F325" i="49" s="1"/>
  <c r="I325" i="49"/>
  <c r="D325" i="49"/>
  <c r="C325" i="49"/>
  <c r="K325" i="49" a="1"/>
  <c r="K325" i="49" s="1"/>
  <c r="D213" i="49"/>
  <c r="E213" i="49"/>
  <c r="C213" i="49"/>
  <c r="F213" i="49" a="1"/>
  <c r="F213" i="49" s="1"/>
  <c r="I213" i="49"/>
  <c r="K213" i="49" a="1"/>
  <c r="K213" i="49" s="1"/>
  <c r="I240" i="49"/>
  <c r="E240" i="49"/>
  <c r="C240" i="49"/>
  <c r="D240" i="49"/>
  <c r="F240" i="49" a="1"/>
  <c r="F240" i="49" s="1"/>
  <c r="K240" i="49" a="1"/>
  <c r="K240" i="49" s="1"/>
  <c r="F304" i="49" a="1"/>
  <c r="F304" i="49" s="1"/>
  <c r="I304" i="49"/>
  <c r="E304" i="49"/>
  <c r="D304" i="49"/>
  <c r="C304" i="49"/>
  <c r="K304" i="49" a="1"/>
  <c r="K304" i="49" s="1"/>
  <c r="D317" i="49"/>
  <c r="F317" i="49" a="1"/>
  <c r="F317" i="49" s="1"/>
  <c r="I317" i="49"/>
  <c r="E317" i="49"/>
  <c r="C317" i="49"/>
  <c r="K317" i="49" a="1"/>
  <c r="K317" i="49" s="1"/>
  <c r="I181" i="49"/>
  <c r="C181" i="49"/>
  <c r="F181" i="49" a="1"/>
  <c r="F181" i="49" s="1"/>
  <c r="D181" i="49"/>
  <c r="E181" i="49"/>
  <c r="K181" i="49" a="1"/>
  <c r="K181" i="49" s="1"/>
  <c r="I170" i="49"/>
  <c r="C170" i="49"/>
  <c r="E170" i="49"/>
  <c r="F170" i="49" a="1"/>
  <c r="F170" i="49" s="1"/>
  <c r="D170" i="49"/>
  <c r="K170" i="49" a="1"/>
  <c r="K170" i="49" s="1"/>
  <c r="E12" i="49"/>
  <c r="C12" i="49"/>
  <c r="F12" i="49" a="1"/>
  <c r="F12" i="49" s="1"/>
  <c r="E262" i="49"/>
  <c r="D262" i="49"/>
  <c r="C262" i="49"/>
  <c r="F262" i="49" a="1"/>
  <c r="F262" i="49" s="1"/>
  <c r="I262" i="49"/>
  <c r="K262" i="49" a="1"/>
  <c r="K262" i="49" s="1"/>
  <c r="E98" i="49"/>
  <c r="F98" i="49" a="1"/>
  <c r="F98" i="49" s="1"/>
  <c r="C98" i="49"/>
  <c r="I98" i="49"/>
  <c r="D98" i="49"/>
  <c r="K98" i="49" a="1"/>
  <c r="K98" i="49" s="1"/>
  <c r="F223" i="49" a="1"/>
  <c r="F223" i="49" s="1"/>
  <c r="C223" i="49"/>
  <c r="E223" i="49"/>
  <c r="I223" i="49"/>
  <c r="D223" i="49"/>
  <c r="K223" i="49" a="1"/>
  <c r="K223" i="49" s="1"/>
  <c r="F221" i="49" a="1"/>
  <c r="F221" i="49" s="1"/>
  <c r="I221" i="49"/>
  <c r="D221" i="49"/>
  <c r="E221" i="49"/>
  <c r="C221" i="49"/>
  <c r="K221" i="49" a="1"/>
  <c r="K221" i="49" s="1"/>
  <c r="F192" i="49" a="1"/>
  <c r="F192" i="49" s="1"/>
  <c r="D192" i="49"/>
  <c r="I192" i="49"/>
  <c r="C192" i="49"/>
  <c r="E192" i="49"/>
  <c r="K192" i="49" a="1"/>
  <c r="K192" i="49" s="1"/>
  <c r="B61" i="91"/>
  <c r="C61" i="91"/>
  <c r="D61" i="91"/>
  <c r="G61" i="91"/>
  <c r="E61" i="91"/>
  <c r="E62" i="91"/>
  <c r="C62" i="91"/>
  <c r="G62" i="91"/>
  <c r="D62" i="91"/>
  <c r="B62" i="91"/>
  <c r="C9" i="91"/>
  <c r="E9" i="91"/>
  <c r="B9" i="91"/>
  <c r="D9" i="91"/>
  <c r="G9" i="91"/>
  <c r="D22" i="91"/>
  <c r="G22" i="91"/>
  <c r="C22" i="91"/>
  <c r="B22" i="91"/>
  <c r="E22" i="91"/>
  <c r="C30" i="91"/>
  <c r="B30" i="91"/>
  <c r="G30" i="91"/>
  <c r="D30" i="91"/>
  <c r="E30" i="91"/>
  <c r="D11" i="91"/>
  <c r="E11" i="91"/>
  <c r="C11" i="91"/>
  <c r="G11" i="91"/>
  <c r="B11" i="91"/>
  <c r="C65" i="91"/>
  <c r="E65" i="91"/>
  <c r="G65" i="91"/>
  <c r="D65" i="91"/>
  <c r="B65" i="91"/>
  <c r="G44" i="91"/>
  <c r="B44" i="91"/>
  <c r="D44" i="91"/>
  <c r="C44" i="91"/>
  <c r="E44" i="91"/>
  <c r="G65" i="19"/>
  <c r="C65" i="19"/>
  <c r="E65" i="19"/>
  <c r="B65" i="19"/>
  <c r="D65" i="19"/>
  <c r="G17" i="19"/>
  <c r="E17" i="19"/>
  <c r="B17" i="19"/>
  <c r="D17" i="19"/>
  <c r="C17" i="19"/>
  <c r="C83" i="19"/>
  <c r="B83" i="19"/>
  <c r="G83" i="19"/>
  <c r="E83" i="19"/>
  <c r="D83" i="19"/>
  <c r="G75" i="19"/>
  <c r="C75" i="19"/>
  <c r="B75" i="19"/>
  <c r="D75" i="19"/>
  <c r="E75" i="19"/>
  <c r="E10" i="19"/>
  <c r="C10" i="19"/>
  <c r="B10" i="19"/>
  <c r="G54" i="19"/>
  <c r="E54" i="19"/>
  <c r="B54" i="19"/>
  <c r="C54" i="19"/>
  <c r="D54" i="19"/>
  <c r="B31" i="19"/>
  <c r="G31" i="19"/>
  <c r="D31" i="19"/>
  <c r="E31" i="19"/>
  <c r="C31" i="19"/>
  <c r="D9" i="19"/>
  <c r="B9" i="19"/>
  <c r="C9" i="19"/>
  <c r="E9" i="19"/>
  <c r="I118" i="52"/>
  <c r="E118" i="52"/>
  <c r="F118" i="52" a="1"/>
  <c r="F118" i="52" s="1"/>
  <c r="L118" i="52" a="1"/>
  <c r="L118" i="52" s="1"/>
  <c r="C118" i="52"/>
  <c r="D118" i="52"/>
  <c r="I271" i="52"/>
  <c r="F271" i="52" a="1"/>
  <c r="F271" i="52" s="1"/>
  <c r="L271" i="52" a="1"/>
  <c r="L271" i="52" s="1"/>
  <c r="D271" i="52"/>
  <c r="E271" i="52"/>
  <c r="C271" i="52"/>
  <c r="L200" i="52" a="1"/>
  <c r="L200" i="52" s="1"/>
  <c r="F200" i="52" a="1"/>
  <c r="F200" i="52" s="1"/>
  <c r="C200" i="52"/>
  <c r="I200" i="52"/>
  <c r="D200" i="52"/>
  <c r="E200" i="52"/>
  <c r="C146" i="52"/>
  <c r="E146" i="52"/>
  <c r="L146" i="52" a="1"/>
  <c r="L146" i="52" s="1"/>
  <c r="I146" i="52"/>
  <c r="F146" i="52" a="1"/>
  <c r="F146" i="52" s="1"/>
  <c r="D146" i="52"/>
  <c r="D219" i="52"/>
  <c r="I219" i="52"/>
  <c r="C219" i="52"/>
  <c r="F219" i="52" a="1"/>
  <c r="F219" i="52" s="1"/>
  <c r="E219" i="52"/>
  <c r="L219" i="52" a="1"/>
  <c r="L219" i="52" s="1"/>
  <c r="L53" i="52" a="1"/>
  <c r="L53" i="52" s="1"/>
  <c r="E53" i="52"/>
  <c r="C53" i="52"/>
  <c r="F53" i="52" a="1"/>
  <c r="F53" i="52" s="1"/>
  <c r="F28" i="52" a="1"/>
  <c r="F28" i="52" s="1"/>
  <c r="C28" i="52"/>
  <c r="E28" i="52"/>
  <c r="D28" i="52"/>
  <c r="L66" i="52" a="1"/>
  <c r="L66" i="52" s="1"/>
  <c r="C66" i="52"/>
  <c r="E66" i="52"/>
  <c r="F66" i="52" a="1"/>
  <c r="F66" i="52" s="1"/>
  <c r="C338" i="52"/>
  <c r="D338" i="52"/>
  <c r="F338" i="52" a="1"/>
  <c r="F338" i="52" s="1"/>
  <c r="E338" i="52"/>
  <c r="L338" i="52" a="1"/>
  <c r="L338" i="52" s="1"/>
  <c r="I338" i="52"/>
  <c r="D145" i="52"/>
  <c r="L145" i="52" a="1"/>
  <c r="L145" i="52" s="1"/>
  <c r="F145" i="52" a="1"/>
  <c r="F145" i="52" s="1"/>
  <c r="C145" i="52"/>
  <c r="E145" i="52"/>
  <c r="I145" i="52"/>
  <c r="F45" i="52" a="1"/>
  <c r="F45" i="52" s="1"/>
  <c r="E45" i="52"/>
  <c r="D45" i="52"/>
  <c r="C45" i="52"/>
  <c r="L234" i="52" a="1"/>
  <c r="L234" i="52" s="1"/>
  <c r="E234" i="52"/>
  <c r="D234" i="52"/>
  <c r="I234" i="52"/>
  <c r="C234" i="52"/>
  <c r="F234" i="52" a="1"/>
  <c r="F234" i="52" s="1"/>
  <c r="E102" i="52"/>
  <c r="C102" i="52"/>
  <c r="L102" i="52" a="1"/>
  <c r="L102" i="52" s="1"/>
  <c r="D102" i="52"/>
  <c r="I102" i="52"/>
  <c r="F102" i="52" a="1"/>
  <c r="F102" i="52" s="1"/>
  <c r="L352" i="52" a="1"/>
  <c r="L352" i="52" s="1"/>
  <c r="D352" i="52"/>
  <c r="C352" i="52"/>
  <c r="F352" i="52" a="1"/>
  <c r="F352" i="52" s="1"/>
  <c r="I352" i="52"/>
  <c r="E352" i="52"/>
  <c r="E157" i="52"/>
  <c r="C157" i="52"/>
  <c r="F157" i="52" a="1"/>
  <c r="F157" i="52" s="1"/>
  <c r="L157" i="52" a="1"/>
  <c r="L157" i="52" s="1"/>
  <c r="I157" i="52"/>
  <c r="D157" i="52"/>
  <c r="L193" i="52" a="1"/>
  <c r="L193" i="52" s="1"/>
  <c r="C193" i="52"/>
  <c r="E193" i="52"/>
  <c r="I193" i="52"/>
  <c r="D193" i="52"/>
  <c r="F193" i="52" a="1"/>
  <c r="F193" i="52" s="1"/>
  <c r="I300" i="52"/>
  <c r="D300" i="52"/>
  <c r="C300" i="52"/>
  <c r="F300" i="52" a="1"/>
  <c r="F300" i="52" s="1"/>
  <c r="E300" i="52"/>
  <c r="L300" i="52" a="1"/>
  <c r="L300" i="52" s="1"/>
  <c r="L259" i="52" a="1"/>
  <c r="L259" i="52" s="1"/>
  <c r="C259" i="52"/>
  <c r="F259" i="52" a="1"/>
  <c r="F259" i="52" s="1"/>
  <c r="D259" i="52"/>
  <c r="I259" i="52"/>
  <c r="E259" i="52"/>
  <c r="C194" i="52"/>
  <c r="E194" i="52"/>
  <c r="D194" i="52"/>
  <c r="F194" i="52" a="1"/>
  <c r="F194" i="52" s="1"/>
  <c r="I194" i="52"/>
  <c r="L194" i="52" a="1"/>
  <c r="L194" i="52" s="1"/>
  <c r="L250" i="52" a="1"/>
  <c r="L250" i="52" s="1"/>
  <c r="C250" i="52"/>
  <c r="D250" i="52"/>
  <c r="I250" i="52"/>
  <c r="E250" i="52"/>
  <c r="F250" i="52" a="1"/>
  <c r="F250" i="52" s="1"/>
  <c r="L189" i="52" a="1"/>
  <c r="L189" i="52" s="1"/>
  <c r="C189" i="52"/>
  <c r="E189" i="52"/>
  <c r="I189" i="52"/>
  <c r="D189" i="52"/>
  <c r="F189" i="52" a="1"/>
  <c r="F189" i="52" s="1"/>
  <c r="E295" i="52"/>
  <c r="D295" i="52"/>
  <c r="I295" i="52"/>
  <c r="L295" i="52" a="1"/>
  <c r="L295" i="52" s="1"/>
  <c r="C295" i="52"/>
  <c r="F295" i="52" a="1"/>
  <c r="F295" i="52" s="1"/>
  <c r="C98" i="52"/>
  <c r="L98" i="52" a="1"/>
  <c r="L98" i="52" s="1"/>
  <c r="I98" i="52"/>
  <c r="F98" i="52" a="1"/>
  <c r="F98" i="52" s="1"/>
  <c r="D98" i="52"/>
  <c r="E98" i="52"/>
  <c r="D209" i="52"/>
  <c r="E209" i="52"/>
  <c r="L209" i="52" a="1"/>
  <c r="L209" i="52" s="1"/>
  <c r="C209" i="52"/>
  <c r="F209" i="52" a="1"/>
  <c r="F209" i="52" s="1"/>
  <c r="I209" i="52"/>
  <c r="L138" i="52" a="1"/>
  <c r="L138" i="52" s="1"/>
  <c r="D138" i="52"/>
  <c r="E138" i="52"/>
  <c r="C138" i="52"/>
  <c r="I138" i="52"/>
  <c r="F138" i="52" a="1"/>
  <c r="F138" i="52" s="1"/>
  <c r="E266" i="52"/>
  <c r="F266" i="52" a="1"/>
  <c r="F266" i="52" s="1"/>
  <c r="D266" i="52"/>
  <c r="C266" i="52"/>
  <c r="L266" i="52" a="1"/>
  <c r="L266" i="52" s="1"/>
  <c r="I266" i="52"/>
  <c r="F144" i="52" a="1"/>
  <c r="F144" i="52" s="1"/>
  <c r="L144" i="52" a="1"/>
  <c r="L144" i="52" s="1"/>
  <c r="I144" i="52"/>
  <c r="E144" i="52"/>
  <c r="C144" i="52"/>
  <c r="D144" i="52"/>
  <c r="I323" i="52"/>
  <c r="C323" i="52"/>
  <c r="F323" i="52" a="1"/>
  <c r="F323" i="52" s="1"/>
  <c r="E323" i="52"/>
  <c r="L323" i="52" a="1"/>
  <c r="L323" i="52" s="1"/>
  <c r="D323" i="52"/>
  <c r="D187" i="52"/>
  <c r="C187" i="52"/>
  <c r="F187" i="52" a="1"/>
  <c r="F187" i="52" s="1"/>
  <c r="E187" i="52"/>
  <c r="I187" i="52"/>
  <c r="L187" i="52" a="1"/>
  <c r="L187" i="52" s="1"/>
  <c r="C15" i="52"/>
  <c r="E15" i="52"/>
  <c r="F15" i="52" a="1"/>
  <c r="F15" i="52" s="1"/>
  <c r="D15" i="52"/>
  <c r="E94" i="52"/>
  <c r="C94" i="52"/>
  <c r="L94" i="52" a="1"/>
  <c r="L94" i="52" s="1"/>
  <c r="D94" i="52"/>
  <c r="F94" i="52" a="1"/>
  <c r="F94" i="52" s="1"/>
  <c r="I94" i="52"/>
  <c r="C26" i="52"/>
  <c r="F26" i="52" a="1"/>
  <c r="F26" i="52" s="1"/>
  <c r="D26" i="52"/>
  <c r="E26" i="52"/>
  <c r="F19" i="52" a="1"/>
  <c r="F19" i="52" s="1"/>
  <c r="C19" i="52"/>
  <c r="E19" i="52"/>
  <c r="D19" i="52"/>
  <c r="E294" i="52"/>
  <c r="I294" i="52"/>
  <c r="F294" i="52" a="1"/>
  <c r="F294" i="52" s="1"/>
  <c r="C294" i="52"/>
  <c r="D294" i="52"/>
  <c r="L294" i="52" a="1"/>
  <c r="L294" i="52" s="1"/>
  <c r="C40" i="52"/>
  <c r="E40" i="52"/>
  <c r="F40" i="52" a="1"/>
  <c r="F40" i="52" s="1"/>
  <c r="C14" i="25"/>
  <c r="B14" i="25"/>
  <c r="D14" i="25"/>
  <c r="E14" i="25"/>
  <c r="B66" i="25"/>
  <c r="G66" i="25"/>
  <c r="D66" i="25"/>
  <c r="E66" i="25"/>
  <c r="C66" i="25"/>
  <c r="B24" i="25"/>
  <c r="D24" i="25"/>
  <c r="C24" i="25"/>
  <c r="E24" i="25"/>
  <c r="E43" i="25"/>
  <c r="G43" i="25"/>
  <c r="D43" i="25"/>
  <c r="C43" i="25"/>
  <c r="B43" i="25"/>
  <c r="C53" i="25"/>
  <c r="D53" i="25"/>
  <c r="E53" i="25"/>
  <c r="B53" i="25"/>
  <c r="G53" i="25"/>
  <c r="B17" i="25"/>
  <c r="C17" i="25"/>
  <c r="E17" i="25"/>
  <c r="D17" i="25"/>
  <c r="B84" i="25"/>
  <c r="E84" i="25"/>
  <c r="C84" i="25"/>
  <c r="D84" i="25"/>
  <c r="G84" i="25"/>
  <c r="B6" i="25"/>
  <c r="E6" i="25"/>
  <c r="A3" i="25"/>
  <c r="C6" i="25"/>
  <c r="D6" i="25"/>
  <c r="E326" i="100"/>
  <c r="F326" i="100" a="1"/>
  <c r="F326" i="100" s="1"/>
  <c r="D326" i="100"/>
  <c r="C326" i="100"/>
  <c r="I326" i="100"/>
  <c r="K326" i="100" a="1"/>
  <c r="K326" i="100" s="1"/>
  <c r="D146" i="100"/>
  <c r="E146" i="100"/>
  <c r="C146" i="100"/>
  <c r="F146" i="100" a="1"/>
  <c r="F146" i="100" s="1"/>
  <c r="I146" i="100"/>
  <c r="K146" i="100" a="1"/>
  <c r="K146" i="100" s="1"/>
  <c r="E99" i="100"/>
  <c r="F99" i="100" a="1"/>
  <c r="F99" i="100" s="1"/>
  <c r="I99" i="100"/>
  <c r="D99" i="100"/>
  <c r="C99" i="100"/>
  <c r="K99" i="100" a="1"/>
  <c r="K99" i="100" s="1"/>
  <c r="F17" i="100" a="1"/>
  <c r="F17" i="100" s="1"/>
  <c r="C17" i="100"/>
  <c r="D17" i="100"/>
  <c r="E17" i="100"/>
  <c r="I287" i="100"/>
  <c r="C287" i="100"/>
  <c r="F287" i="100" a="1"/>
  <c r="F287" i="100" s="1"/>
  <c r="E287" i="100"/>
  <c r="D287" i="100"/>
  <c r="K287" i="100" a="1"/>
  <c r="K287" i="100" s="1"/>
  <c r="C209" i="100"/>
  <c r="F209" i="100" a="1"/>
  <c r="F209" i="100" s="1"/>
  <c r="E209" i="100"/>
  <c r="D209" i="100"/>
  <c r="I209" i="100"/>
  <c r="K209" i="100" a="1"/>
  <c r="K209" i="100" s="1"/>
  <c r="E199" i="100"/>
  <c r="F199" i="100" a="1"/>
  <c r="F199" i="100" s="1"/>
  <c r="C199" i="100"/>
  <c r="D199" i="100"/>
  <c r="I199" i="100"/>
  <c r="K199" i="100" a="1"/>
  <c r="K199" i="100" s="1"/>
  <c r="F268" i="100" a="1"/>
  <c r="F268" i="100" s="1"/>
  <c r="D268" i="100"/>
  <c r="I268" i="100"/>
  <c r="C268" i="100"/>
  <c r="E268" i="100"/>
  <c r="K268" i="100" a="1"/>
  <c r="K268" i="100" s="1"/>
  <c r="F184" i="100" a="1"/>
  <c r="F184" i="100" s="1"/>
  <c r="C184" i="100"/>
  <c r="I184" i="100"/>
  <c r="E184" i="100"/>
  <c r="D184" i="100"/>
  <c r="K184" i="100" a="1"/>
  <c r="K184" i="100" s="1"/>
  <c r="D325" i="100"/>
  <c r="E325" i="100"/>
  <c r="C325" i="100"/>
  <c r="I325" i="100"/>
  <c r="F325" i="100" a="1"/>
  <c r="F325" i="100" s="1"/>
  <c r="K325" i="100" a="1"/>
  <c r="K325" i="100" s="1"/>
  <c r="C15" i="100"/>
  <c r="F15" i="100" a="1"/>
  <c r="F15" i="100" s="1"/>
  <c r="D15" i="100"/>
  <c r="E15" i="100"/>
  <c r="E230" i="100"/>
  <c r="I230" i="100"/>
  <c r="D230" i="100"/>
  <c r="F230" i="100" a="1"/>
  <c r="F230" i="100" s="1"/>
  <c r="C230" i="100"/>
  <c r="K230" i="100" a="1"/>
  <c r="K230" i="100" s="1"/>
  <c r="F284" i="100" a="1"/>
  <c r="F284" i="100" s="1"/>
  <c r="E284" i="100"/>
  <c r="C284" i="100"/>
  <c r="I284" i="100"/>
  <c r="D284" i="100"/>
  <c r="K284" i="100" a="1"/>
  <c r="K284" i="100" s="1"/>
  <c r="D247" i="100"/>
  <c r="C247" i="100"/>
  <c r="I247" i="100"/>
  <c r="F247" i="100" a="1"/>
  <c r="F247" i="100" s="1"/>
  <c r="E247" i="100"/>
  <c r="K247" i="100" a="1"/>
  <c r="K247" i="100" s="1"/>
  <c r="D269" i="100"/>
  <c r="F269" i="100" a="1"/>
  <c r="F269" i="100" s="1"/>
  <c r="E269" i="100"/>
  <c r="I269" i="100"/>
  <c r="C269" i="100"/>
  <c r="K269" i="100" a="1"/>
  <c r="K269" i="100" s="1"/>
  <c r="K189" i="100" a="1"/>
  <c r="K189" i="100" s="1"/>
  <c r="C189" i="100"/>
  <c r="I189" i="100"/>
  <c r="E189" i="100"/>
  <c r="D189" i="100"/>
  <c r="F189" i="100" a="1"/>
  <c r="F189" i="100" s="1"/>
  <c r="F138" i="100" a="1"/>
  <c r="F138" i="100" s="1"/>
  <c r="I138" i="100"/>
  <c r="E138" i="100"/>
  <c r="C138" i="100"/>
  <c r="D138" i="100"/>
  <c r="K138" i="100" a="1"/>
  <c r="K138" i="100" s="1"/>
  <c r="I282" i="100"/>
  <c r="D282" i="100"/>
  <c r="F282" i="100" a="1"/>
  <c r="F282" i="100" s="1"/>
  <c r="C282" i="100"/>
  <c r="E282" i="100"/>
  <c r="K282" i="100" a="1"/>
  <c r="K282" i="100" s="1"/>
  <c r="E214" i="100"/>
  <c r="F214" i="100" a="1"/>
  <c r="F214" i="100" s="1"/>
  <c r="D214" i="100"/>
  <c r="I214" i="100"/>
  <c r="C214" i="100"/>
  <c r="K214" i="100" a="1"/>
  <c r="K214" i="100" s="1"/>
  <c r="F120" i="100" a="1"/>
  <c r="F120" i="100" s="1"/>
  <c r="D120" i="100"/>
  <c r="E120" i="100"/>
  <c r="C120" i="100"/>
  <c r="I120" i="100"/>
  <c r="K120" i="100" a="1"/>
  <c r="K120" i="100" s="1"/>
  <c r="F186" i="100" a="1"/>
  <c r="F186" i="100" s="1"/>
  <c r="C186" i="100"/>
  <c r="E186" i="100"/>
  <c r="I186" i="100"/>
  <c r="D186" i="100"/>
  <c r="K186" i="100" a="1"/>
  <c r="K186" i="100" s="1"/>
  <c r="F229" i="100" a="1"/>
  <c r="F229" i="100" s="1"/>
  <c r="E229" i="100"/>
  <c r="C229" i="100"/>
  <c r="D229" i="100"/>
  <c r="I229" i="100"/>
  <c r="K229" i="100" a="1"/>
  <c r="K229" i="100" s="1"/>
  <c r="D16" i="100"/>
  <c r="E16" i="100"/>
  <c r="F16" i="100" a="1"/>
  <c r="F16" i="100" s="1"/>
  <c r="C16" i="100"/>
  <c r="I238" i="100"/>
  <c r="C238" i="100"/>
  <c r="E238" i="100"/>
  <c r="D238" i="100"/>
  <c r="F238" i="100" a="1"/>
  <c r="F238" i="100" s="1"/>
  <c r="K238" i="100" a="1"/>
  <c r="K238" i="100" s="1"/>
  <c r="E345" i="100"/>
  <c r="C345" i="100"/>
  <c r="F345" i="100" a="1"/>
  <c r="F345" i="100" s="1"/>
  <c r="D345" i="100"/>
  <c r="I345" i="100"/>
  <c r="K345" i="100" a="1"/>
  <c r="K345" i="100" s="1"/>
  <c r="D295" i="100"/>
  <c r="I295" i="100"/>
  <c r="F295" i="100" a="1"/>
  <c r="F295" i="100" s="1"/>
  <c r="C295" i="100"/>
  <c r="E295" i="100"/>
  <c r="K295" i="100" a="1"/>
  <c r="K295" i="100" s="1"/>
  <c r="C213" i="100"/>
  <c r="F213" i="100" a="1"/>
  <c r="F213" i="100" s="1"/>
  <c r="I213" i="100"/>
  <c r="D213" i="100"/>
  <c r="E213" i="100"/>
  <c r="K213" i="100" a="1"/>
  <c r="K213" i="100" s="1"/>
  <c r="I248" i="100"/>
  <c r="F248" i="100" a="1"/>
  <c r="F248" i="100" s="1"/>
  <c r="E248" i="100"/>
  <c r="D248" i="100"/>
  <c r="C248" i="100"/>
  <c r="K248" i="100" a="1"/>
  <c r="K248" i="100" s="1"/>
  <c r="F52" i="100" a="1"/>
  <c r="F52" i="100" s="1"/>
  <c r="C52" i="100"/>
  <c r="I52" i="100"/>
  <c r="E52" i="100"/>
  <c r="D52" i="100"/>
  <c r="K52" i="100" a="1"/>
  <c r="K52" i="100" s="1"/>
  <c r="I286" i="100"/>
  <c r="D286" i="100"/>
  <c r="C286" i="100"/>
  <c r="E286" i="100"/>
  <c r="F286" i="100" a="1"/>
  <c r="F286" i="100" s="1"/>
  <c r="K286" i="100" a="1"/>
  <c r="K286" i="100" s="1"/>
  <c r="C133" i="100"/>
  <c r="E133" i="100"/>
  <c r="D133" i="100"/>
  <c r="I133" i="100"/>
  <c r="F133" i="100" a="1"/>
  <c r="F133" i="100" s="1"/>
  <c r="K133" i="100" a="1"/>
  <c r="K133" i="100" s="1"/>
  <c r="C164" i="100"/>
  <c r="E164" i="100"/>
  <c r="D164" i="100"/>
  <c r="I164" i="100"/>
  <c r="F164" i="100" a="1"/>
  <c r="F164" i="100" s="1"/>
  <c r="K164" i="100" a="1"/>
  <c r="K164" i="100" s="1"/>
  <c r="C110" i="100"/>
  <c r="F110" i="100" a="1"/>
  <c r="F110" i="100" s="1"/>
  <c r="E110" i="100"/>
  <c r="I110" i="100"/>
  <c r="D110" i="100"/>
  <c r="K110" i="100" a="1"/>
  <c r="K110" i="100" s="1"/>
  <c r="C61" i="100"/>
  <c r="F61" i="100" a="1"/>
  <c r="F61" i="100" s="1"/>
  <c r="D61" i="100"/>
  <c r="I61" i="100"/>
  <c r="E61" i="100"/>
  <c r="K61" i="100" a="1"/>
  <c r="K61" i="100" s="1"/>
  <c r="D113" i="100"/>
  <c r="F113" i="100" a="1"/>
  <c r="F113" i="100" s="1"/>
  <c r="C113" i="100"/>
  <c r="E113" i="100"/>
  <c r="I113" i="100"/>
  <c r="K113" i="100" a="1"/>
  <c r="K113" i="100" s="1"/>
  <c r="K275" i="100" a="1"/>
  <c r="K275" i="100" s="1"/>
  <c r="D275" i="100"/>
  <c r="F275" i="100" a="1"/>
  <c r="F275" i="100" s="1"/>
  <c r="I275" i="100"/>
  <c r="C275" i="100"/>
  <c r="E275" i="100"/>
  <c r="I334" i="101"/>
  <c r="F334" i="101" a="1"/>
  <c r="F334" i="101" s="1"/>
  <c r="E334" i="101"/>
  <c r="C334" i="101"/>
  <c r="D334" i="101"/>
  <c r="I77" i="101"/>
  <c r="D77" i="101"/>
  <c r="C77" i="101"/>
  <c r="F77" i="101" a="1"/>
  <c r="F77" i="101" s="1"/>
  <c r="E77" i="101"/>
  <c r="I87" i="101"/>
  <c r="D87" i="101"/>
  <c r="E87" i="101"/>
  <c r="F87" i="101" a="1"/>
  <c r="F87" i="101" s="1"/>
  <c r="C87" i="101"/>
  <c r="D10" i="101"/>
  <c r="F10" i="101" a="1"/>
  <c r="F10" i="101" s="1"/>
  <c r="C10" i="101"/>
  <c r="E10" i="101"/>
  <c r="F305" i="101" a="1"/>
  <c r="F305" i="101" s="1"/>
  <c r="C305" i="101"/>
  <c r="D305" i="101"/>
  <c r="E305" i="101"/>
  <c r="I305" i="101"/>
  <c r="I239" i="101"/>
  <c r="F239" i="101" a="1"/>
  <c r="F239" i="101" s="1"/>
  <c r="C239" i="101"/>
  <c r="D239" i="101"/>
  <c r="E239" i="101"/>
  <c r="E279" i="101"/>
  <c r="I279" i="101"/>
  <c r="F279" i="101" a="1"/>
  <c r="F279" i="101" s="1"/>
  <c r="D279" i="101"/>
  <c r="C279" i="101"/>
  <c r="C58" i="101"/>
  <c r="F58" i="101" a="1"/>
  <c r="F58" i="101" s="1"/>
  <c r="I58" i="101"/>
  <c r="D58" i="101"/>
  <c r="E58" i="101"/>
  <c r="D190" i="101"/>
  <c r="E190" i="101"/>
  <c r="I190" i="101"/>
  <c r="C190" i="101"/>
  <c r="F190" i="101" a="1"/>
  <c r="F190" i="101" s="1"/>
  <c r="E40" i="101"/>
  <c r="I40" i="101"/>
  <c r="F40" i="101" a="1"/>
  <c r="F40" i="101" s="1"/>
  <c r="C40" i="101"/>
  <c r="D40" i="101"/>
  <c r="D214" i="101"/>
  <c r="I214" i="101"/>
  <c r="E214" i="101"/>
  <c r="C214" i="101"/>
  <c r="F214" i="101" a="1"/>
  <c r="F214" i="101" s="1"/>
  <c r="F90" i="101" a="1"/>
  <c r="F90" i="101" s="1"/>
  <c r="E90" i="101"/>
  <c r="C90" i="101"/>
  <c r="I90" i="101"/>
  <c r="D90" i="101"/>
  <c r="D7" i="101"/>
  <c r="F7" i="101" a="1"/>
  <c r="F7" i="101" s="1"/>
  <c r="C7" i="101"/>
  <c r="E7" i="101"/>
  <c r="C56" i="101"/>
  <c r="F56" i="101" a="1"/>
  <c r="F56" i="101" s="1"/>
  <c r="I56" i="101"/>
  <c r="E56" i="101"/>
  <c r="D56" i="101"/>
  <c r="I212" i="101"/>
  <c r="C212" i="101"/>
  <c r="F212" i="101" a="1"/>
  <c r="F212" i="101" s="1"/>
  <c r="E212" i="101"/>
  <c r="D212" i="101"/>
  <c r="F353" i="101" a="1"/>
  <c r="F353" i="101" s="1"/>
  <c r="I353" i="101"/>
  <c r="K353" i="101" a="1"/>
  <c r="K353" i="101" s="1"/>
  <c r="D353" i="101"/>
  <c r="C353" i="101"/>
  <c r="E353" i="101"/>
  <c r="C171" i="101"/>
  <c r="I171" i="101"/>
  <c r="E171" i="101"/>
  <c r="D171" i="101"/>
  <c r="F171" i="101" a="1"/>
  <c r="F171" i="101" s="1"/>
  <c r="F79" i="101" a="1"/>
  <c r="F79" i="101" s="1"/>
  <c r="C79" i="101"/>
  <c r="I79" i="101"/>
  <c r="D79" i="101"/>
  <c r="E79" i="101"/>
  <c r="E211" i="101"/>
  <c r="F211" i="101" a="1"/>
  <c r="F211" i="101" s="1"/>
  <c r="I211" i="101"/>
  <c r="D211" i="101"/>
  <c r="C211" i="101"/>
  <c r="E144" i="101"/>
  <c r="I144" i="101"/>
  <c r="F144" i="101" a="1"/>
  <c r="F144" i="101" s="1"/>
  <c r="D144" i="101"/>
  <c r="C144" i="101"/>
  <c r="D124" i="101"/>
  <c r="I124" i="101"/>
  <c r="F124" i="101" a="1"/>
  <c r="F124" i="101" s="1"/>
  <c r="E124" i="101"/>
  <c r="C124" i="101"/>
  <c r="D330" i="101"/>
  <c r="E330" i="101"/>
  <c r="I330" i="101"/>
  <c r="C330" i="101"/>
  <c r="F330" i="101" a="1"/>
  <c r="F330" i="101" s="1"/>
  <c r="E213" i="101"/>
  <c r="F213" i="101" a="1"/>
  <c r="F213" i="101" s="1"/>
  <c r="C213" i="101"/>
  <c r="I213" i="101"/>
  <c r="D213" i="101"/>
  <c r="F18" i="101" a="1"/>
  <c r="F18" i="101" s="1"/>
  <c r="E18" i="101"/>
  <c r="I18" i="101"/>
  <c r="D18" i="101"/>
  <c r="C18" i="101"/>
  <c r="C146" i="101"/>
  <c r="D146" i="101"/>
  <c r="I146" i="101"/>
  <c r="F146" i="101" a="1"/>
  <c r="F146" i="101" s="1"/>
  <c r="E146" i="101"/>
  <c r="F188" i="101" a="1"/>
  <c r="F188" i="101" s="1"/>
  <c r="C188" i="101"/>
  <c r="I188" i="101"/>
  <c r="D188" i="101"/>
  <c r="E188" i="101"/>
  <c r="D218" i="101"/>
  <c r="I218" i="101"/>
  <c r="C218" i="101"/>
  <c r="E218" i="101"/>
  <c r="F218" i="101" a="1"/>
  <c r="F218" i="101" s="1"/>
  <c r="D246" i="101"/>
  <c r="I246" i="101"/>
  <c r="E246" i="101"/>
  <c r="C246" i="101"/>
  <c r="F246" i="101" a="1"/>
  <c r="F246" i="101" s="1"/>
  <c r="C18" i="34"/>
  <c r="G18" i="34"/>
  <c r="E18" i="34"/>
  <c r="B18" i="34"/>
  <c r="D18" i="34"/>
  <c r="G68" i="34"/>
  <c r="E68" i="34"/>
  <c r="C68" i="34"/>
  <c r="B68" i="34"/>
  <c r="D68" i="34"/>
  <c r="E63" i="34"/>
  <c r="G63" i="34"/>
  <c r="D63" i="34"/>
  <c r="B63" i="34"/>
  <c r="C63" i="34"/>
  <c r="D56" i="34"/>
  <c r="G56" i="34"/>
  <c r="E56" i="34"/>
  <c r="C56" i="34"/>
  <c r="B56" i="34"/>
  <c r="C81" i="34"/>
  <c r="B81" i="34"/>
  <c r="E81" i="34"/>
  <c r="G81" i="34"/>
  <c r="D81" i="34"/>
  <c r="C46" i="34"/>
  <c r="D46" i="34"/>
  <c r="G46" i="34"/>
  <c r="E46" i="34"/>
  <c r="B46" i="34"/>
  <c r="C81" i="22"/>
  <c r="D81" i="22"/>
  <c r="B81" i="22"/>
  <c r="E81" i="22"/>
  <c r="G81" i="22"/>
  <c r="G85" i="22"/>
  <c r="C85" i="22"/>
  <c r="D85" i="22"/>
  <c r="E85" i="22"/>
  <c r="B85" i="22"/>
  <c r="G42" i="22"/>
  <c r="C42" i="22"/>
  <c r="B42" i="22"/>
  <c r="D42" i="22"/>
  <c r="E42" i="22"/>
  <c r="C26" i="22"/>
  <c r="B26" i="22"/>
  <c r="D26" i="22"/>
  <c r="C9" i="22"/>
  <c r="D9" i="22"/>
  <c r="B9" i="22"/>
  <c r="G58" i="22"/>
  <c r="D58" i="22"/>
  <c r="E58" i="22"/>
  <c r="B58" i="22"/>
  <c r="C58" i="22"/>
  <c r="C56" i="51"/>
  <c r="I56" i="51"/>
  <c r="E56" i="51"/>
  <c r="F56" i="51" a="1"/>
  <c r="F56" i="51" s="1"/>
  <c r="D56" i="51"/>
  <c r="K56" i="51" a="1"/>
  <c r="K56" i="51" s="1"/>
  <c r="C34" i="51"/>
  <c r="I34" i="51"/>
  <c r="K34" i="51" a="1"/>
  <c r="K34" i="51" s="1"/>
  <c r="F34" i="51" a="1"/>
  <c r="F34" i="51" s="1"/>
  <c r="E34" i="51"/>
  <c r="D34" i="51"/>
  <c r="F43" i="51" a="1"/>
  <c r="F43" i="51" s="1"/>
  <c r="I43" i="51"/>
  <c r="K43" i="51" a="1"/>
  <c r="K43" i="51" s="1"/>
  <c r="C43" i="51"/>
  <c r="E43" i="51"/>
  <c r="D43" i="51"/>
  <c r="C83" i="51"/>
  <c r="D83" i="51"/>
  <c r="K83" i="51" a="1"/>
  <c r="K83" i="51" s="1"/>
  <c r="I83" i="51"/>
  <c r="E83" i="51"/>
  <c r="F83" i="51" a="1"/>
  <c r="F83" i="51" s="1"/>
  <c r="D83" i="39"/>
  <c r="G83" i="39"/>
  <c r="E83" i="39"/>
  <c r="C71" i="36"/>
  <c r="E55" i="39"/>
  <c r="G14" i="39"/>
  <c r="C74" i="39"/>
  <c r="C9" i="39"/>
  <c r="C83" i="39"/>
  <c r="C49" i="39"/>
  <c r="E53" i="39"/>
  <c r="C85" i="39"/>
  <c r="D7" i="39"/>
  <c r="B66" i="39"/>
  <c r="G10" i="39"/>
  <c r="C23" i="39"/>
  <c r="D42" i="39"/>
  <c r="B30" i="39"/>
  <c r="C57" i="39"/>
  <c r="D37" i="39"/>
  <c r="E38" i="39"/>
  <c r="B47" i="39"/>
  <c r="E26" i="22"/>
  <c r="C15" i="39"/>
  <c r="C78" i="39"/>
  <c r="E15" i="98"/>
  <c r="C7" i="30"/>
  <c r="E47" i="98"/>
  <c r="D22" i="53"/>
  <c r="E43" i="53"/>
  <c r="E36" i="53"/>
  <c r="G18" i="53" a="1"/>
  <c r="G18" i="53" s="1"/>
  <c r="B46" i="22"/>
  <c r="D21" i="13"/>
  <c r="B19" i="22"/>
  <c r="G61" i="24"/>
  <c r="B61" i="24"/>
  <c r="D61" i="24"/>
  <c r="E61" i="24"/>
  <c r="C61" i="24"/>
  <c r="E41" i="24"/>
  <c r="B41" i="24"/>
  <c r="C41" i="24"/>
  <c r="D41" i="24"/>
  <c r="B26" i="24"/>
  <c r="C26" i="24"/>
  <c r="D26" i="24"/>
  <c r="E26" i="24"/>
  <c r="E53" i="24"/>
  <c r="G53" i="24"/>
  <c r="C53" i="24"/>
  <c r="D53" i="24"/>
  <c r="B53" i="24"/>
  <c r="C79" i="24"/>
  <c r="D79" i="24"/>
  <c r="E79" i="24"/>
  <c r="B79" i="24"/>
  <c r="G79" i="24"/>
  <c r="B34" i="24"/>
  <c r="D34" i="24"/>
  <c r="E34" i="24"/>
  <c r="F289" i="53"/>
  <c r="U289" i="53" s="1"/>
  <c r="D289" i="53"/>
  <c r="E289" i="53"/>
  <c r="J289" i="53"/>
  <c r="G289" i="53" a="1"/>
  <c r="G289" i="53" s="1"/>
  <c r="F46" i="53"/>
  <c r="G46" i="53" a="1"/>
  <c r="G46" i="53" s="1"/>
  <c r="E46" i="53"/>
  <c r="D46" i="53"/>
  <c r="F177" i="53"/>
  <c r="U177" i="53" s="1"/>
  <c r="G177" i="53" a="1"/>
  <c r="G177" i="53" s="1"/>
  <c r="E177" i="53"/>
  <c r="J177" i="53"/>
  <c r="D177" i="53"/>
  <c r="D280" i="53"/>
  <c r="J280" i="53"/>
  <c r="F280" i="53"/>
  <c r="U280" i="53" s="1"/>
  <c r="G280" i="53" a="1"/>
  <c r="G280" i="53" s="1"/>
  <c r="E280" i="53"/>
  <c r="D63" i="53"/>
  <c r="E63" i="53"/>
  <c r="J63" i="53"/>
  <c r="F63" i="53"/>
  <c r="U63" i="53" s="1"/>
  <c r="G63" i="53" a="1"/>
  <c r="G63" i="53" s="1"/>
  <c r="E170" i="53"/>
  <c r="D170" i="53"/>
  <c r="G170" i="53" a="1"/>
  <c r="G170" i="53" s="1"/>
  <c r="F170" i="53"/>
  <c r="U170" i="53" s="1"/>
  <c r="J170" i="53"/>
  <c r="E304" i="53"/>
  <c r="G304" i="53" a="1"/>
  <c r="G304" i="53" s="1"/>
  <c r="J304" i="53"/>
  <c r="F304" i="53"/>
  <c r="U304" i="53" s="1"/>
  <c r="D304" i="53"/>
  <c r="G169" i="53" a="1"/>
  <c r="G169" i="53" s="1"/>
  <c r="E169" i="53"/>
  <c r="D169" i="53"/>
  <c r="J169" i="53"/>
  <c r="F169" i="53"/>
  <c r="U169" i="53" s="1"/>
  <c r="D13" i="53"/>
  <c r="G13" i="53" a="1"/>
  <c r="G13" i="53" s="1"/>
  <c r="E13" i="53"/>
  <c r="F13" i="53"/>
  <c r="D164" i="53"/>
  <c r="G164" i="53" a="1"/>
  <c r="G164" i="53" s="1"/>
  <c r="F164" i="53"/>
  <c r="U164" i="53" s="1"/>
  <c r="E164" i="53"/>
  <c r="J164" i="53"/>
  <c r="G291" i="53" a="1"/>
  <c r="G291" i="53" s="1"/>
  <c r="J291" i="53"/>
  <c r="D291" i="53"/>
  <c r="E291" i="53"/>
  <c r="F291" i="53"/>
  <c r="U291" i="53" s="1"/>
  <c r="E273" i="53"/>
  <c r="F273" i="53"/>
  <c r="U273" i="53" s="1"/>
  <c r="J273" i="53"/>
  <c r="D273" i="53"/>
  <c r="G273" i="53" a="1"/>
  <c r="G273" i="53" s="1"/>
  <c r="E199" i="53"/>
  <c r="D199" i="53"/>
  <c r="G199" i="53" a="1"/>
  <c r="G199" i="53" s="1"/>
  <c r="F199" i="53"/>
  <c r="U199" i="53" s="1"/>
  <c r="J199" i="53"/>
  <c r="J174" i="53"/>
  <c r="G174" i="53" a="1"/>
  <c r="G174" i="53" s="1"/>
  <c r="E174" i="53"/>
  <c r="F174" i="53"/>
  <c r="U174" i="53" s="1"/>
  <c r="D174" i="53"/>
  <c r="E354" i="53"/>
  <c r="G354" i="53" a="1"/>
  <c r="G354" i="53" s="1"/>
  <c r="J354" i="53"/>
  <c r="F354" i="53"/>
  <c r="U354" i="53" s="1"/>
  <c r="D354" i="53"/>
  <c r="D218" i="53"/>
  <c r="J218" i="53"/>
  <c r="E218" i="53"/>
  <c r="G218" i="53" a="1"/>
  <c r="G218" i="53" s="1"/>
  <c r="F218" i="53"/>
  <c r="U218" i="53" s="1"/>
  <c r="D205" i="53"/>
  <c r="E205" i="53"/>
  <c r="F205" i="53"/>
  <c r="U205" i="53" s="1"/>
  <c r="G205" i="53" a="1"/>
  <c r="G205" i="53" s="1"/>
  <c r="J205" i="53"/>
  <c r="D45" i="53"/>
  <c r="F45" i="53"/>
  <c r="E279" i="53"/>
  <c r="G279" i="53" a="1"/>
  <c r="G279" i="53" s="1"/>
  <c r="J279" i="53"/>
  <c r="D279" i="53"/>
  <c r="F279" i="53"/>
  <c r="U279" i="53" s="1"/>
  <c r="E52" i="53"/>
  <c r="F52" i="53"/>
  <c r="U52" i="53" s="1"/>
  <c r="D52" i="53"/>
  <c r="G52" i="53" a="1"/>
  <c r="G52" i="53" s="1"/>
  <c r="J52" i="53"/>
  <c r="F166" i="53"/>
  <c r="U166" i="53" s="1"/>
  <c r="J166" i="53"/>
  <c r="G166" i="53" a="1"/>
  <c r="G166" i="53" s="1"/>
  <c r="D166" i="53"/>
  <c r="E166" i="53"/>
  <c r="J172" i="53"/>
  <c r="F172" i="53"/>
  <c r="U172" i="53" s="1"/>
  <c r="D172" i="53"/>
  <c r="E172" i="53"/>
  <c r="G172" i="53" a="1"/>
  <c r="G172" i="53" s="1"/>
  <c r="E309" i="53"/>
  <c r="D309" i="53"/>
  <c r="J309" i="53"/>
  <c r="G309" i="53" a="1"/>
  <c r="G309" i="53" s="1"/>
  <c r="F309" i="53"/>
  <c r="U309" i="53" s="1"/>
  <c r="D287" i="53"/>
  <c r="J287" i="53"/>
  <c r="G287" i="53" a="1"/>
  <c r="G287" i="53" s="1"/>
  <c r="E287" i="53"/>
  <c r="F287" i="53"/>
  <c r="U287" i="53" s="1"/>
  <c r="E111" i="50"/>
  <c r="F111" i="50"/>
  <c r="U111" i="50" s="1"/>
  <c r="J111" i="50"/>
  <c r="G111" i="50" a="1"/>
  <c r="G111" i="50" s="1"/>
  <c r="D111" i="50"/>
  <c r="D35" i="50"/>
  <c r="G35" i="50" a="1"/>
  <c r="G35" i="50" s="1"/>
  <c r="F35" i="50"/>
  <c r="D44" i="50"/>
  <c r="G44" i="50" a="1"/>
  <c r="G44" i="50" s="1"/>
  <c r="E44" i="50"/>
  <c r="F44" i="50"/>
  <c r="D302" i="50"/>
  <c r="F302" i="50"/>
  <c r="U302" i="50" s="1"/>
  <c r="J302" i="50"/>
  <c r="G302" i="50" a="1"/>
  <c r="G302" i="50" s="1"/>
  <c r="E302" i="50"/>
  <c r="J310" i="50"/>
  <c r="E310" i="50"/>
  <c r="F310" i="50"/>
  <c r="U310" i="50" s="1"/>
  <c r="D310" i="50"/>
  <c r="G310" i="50" a="1"/>
  <c r="G310" i="50" s="1"/>
  <c r="D66" i="50"/>
  <c r="J66" i="50"/>
  <c r="E66" i="50"/>
  <c r="G66" i="50" a="1"/>
  <c r="G66" i="50" s="1"/>
  <c r="F66" i="50"/>
  <c r="U66" i="50" s="1"/>
  <c r="F227" i="50"/>
  <c r="U227" i="50" s="1"/>
  <c r="G227" i="50" a="1"/>
  <c r="G227" i="50" s="1"/>
  <c r="J227" i="50"/>
  <c r="D227" i="50"/>
  <c r="E227" i="50"/>
  <c r="E83" i="50"/>
  <c r="J83" i="50"/>
  <c r="D83" i="50"/>
  <c r="G83" i="50" a="1"/>
  <c r="G83" i="50" s="1"/>
  <c r="F83" i="50"/>
  <c r="U83" i="50" s="1"/>
  <c r="E64" i="50"/>
  <c r="J64" i="50"/>
  <c r="D64" i="50"/>
  <c r="G64" i="50" a="1"/>
  <c r="G64" i="50" s="1"/>
  <c r="F64" i="50"/>
  <c r="U64" i="50" s="1"/>
  <c r="D21" i="50"/>
  <c r="G21" i="50" a="1"/>
  <c r="G21" i="50" s="1"/>
  <c r="F21" i="50"/>
  <c r="E77" i="50"/>
  <c r="J77" i="50"/>
  <c r="F77" i="50"/>
  <c r="U77" i="50" s="1"/>
  <c r="D77" i="50"/>
  <c r="G77" i="50" a="1"/>
  <c r="G77" i="50" s="1"/>
  <c r="J246" i="50"/>
  <c r="D246" i="50"/>
  <c r="F246" i="50"/>
  <c r="U246" i="50" s="1"/>
  <c r="E246" i="50"/>
  <c r="G246" i="50" a="1"/>
  <c r="G246" i="50" s="1"/>
  <c r="G159" i="50" a="1"/>
  <c r="G159" i="50" s="1"/>
  <c r="F159" i="50"/>
  <c r="U159" i="50" s="1"/>
  <c r="E159" i="50"/>
  <c r="J159" i="50"/>
  <c r="D159" i="50"/>
  <c r="D167" i="50"/>
  <c r="E167" i="50"/>
  <c r="F167" i="50"/>
  <c r="U167" i="50" s="1"/>
  <c r="J167" i="50"/>
  <c r="G167" i="50" a="1"/>
  <c r="G167" i="50" s="1"/>
  <c r="F247" i="50"/>
  <c r="U247" i="50" s="1"/>
  <c r="G247" i="50" a="1"/>
  <c r="G247" i="50" s="1"/>
  <c r="E247" i="50"/>
  <c r="J247" i="50"/>
  <c r="D247" i="50"/>
  <c r="G28" i="50" a="1"/>
  <c r="G28" i="50" s="1"/>
  <c r="D28" i="50"/>
  <c r="F28" i="50"/>
  <c r="J137" i="50"/>
  <c r="D137" i="50"/>
  <c r="F137" i="50"/>
  <c r="U137" i="50" s="1"/>
  <c r="E137" i="50"/>
  <c r="G137" i="50" a="1"/>
  <c r="G137" i="50" s="1"/>
  <c r="D193" i="50"/>
  <c r="J193" i="50"/>
  <c r="E193" i="50"/>
  <c r="G193" i="50" a="1"/>
  <c r="G193" i="50" s="1"/>
  <c r="F193" i="50"/>
  <c r="U193" i="50" s="1"/>
  <c r="G37" i="50" a="1"/>
  <c r="G37" i="50" s="1"/>
  <c r="D37" i="50"/>
  <c r="F37" i="50"/>
  <c r="E37" i="50"/>
  <c r="F271" i="50"/>
  <c r="U271" i="50" s="1"/>
  <c r="G271" i="50" a="1"/>
  <c r="G271" i="50" s="1"/>
  <c r="J271" i="50"/>
  <c r="D271" i="50"/>
  <c r="E271" i="50"/>
  <c r="E277" i="50"/>
  <c r="G277" i="50" a="1"/>
  <c r="G277" i="50" s="1"/>
  <c r="F277" i="50"/>
  <c r="U277" i="50" s="1"/>
  <c r="D277" i="50"/>
  <c r="J277" i="50"/>
  <c r="D60" i="50"/>
  <c r="J60" i="50"/>
  <c r="G60" i="50" a="1"/>
  <c r="G60" i="50" s="1"/>
  <c r="F60" i="50"/>
  <c r="U60" i="50" s="1"/>
  <c r="E60" i="50"/>
  <c r="G191" i="50" a="1"/>
  <c r="G191" i="50" s="1"/>
  <c r="D191" i="50"/>
  <c r="J191" i="50"/>
  <c r="F191" i="50"/>
  <c r="U191" i="50" s="1"/>
  <c r="E191" i="50"/>
  <c r="J101" i="50"/>
  <c r="F101" i="50"/>
  <c r="U101" i="50" s="1"/>
  <c r="G101" i="50" a="1"/>
  <c r="G101" i="50" s="1"/>
  <c r="E101" i="50"/>
  <c r="D101" i="50"/>
  <c r="D40" i="50"/>
  <c r="F40" i="50"/>
  <c r="G40" i="50" a="1"/>
  <c r="G40" i="50" s="1"/>
  <c r="F22" i="50"/>
  <c r="D22" i="50"/>
  <c r="G22" i="50" a="1"/>
  <c r="G22" i="50" s="1"/>
  <c r="J105" i="50"/>
  <c r="E105" i="50"/>
  <c r="F105" i="50"/>
  <c r="U105" i="50" s="1"/>
  <c r="G105" i="50" a="1"/>
  <c r="G105" i="50" s="1"/>
  <c r="D105" i="50"/>
  <c r="G131" i="50" a="1"/>
  <c r="G131" i="50" s="1"/>
  <c r="D131" i="50"/>
  <c r="J131" i="50"/>
  <c r="F131" i="50"/>
  <c r="U131" i="50" s="1"/>
  <c r="E131" i="50"/>
  <c r="G61" i="50" a="1"/>
  <c r="G61" i="50" s="1"/>
  <c r="D61" i="50"/>
  <c r="E61" i="50"/>
  <c r="J61" i="50"/>
  <c r="F61" i="50"/>
  <c r="U61" i="50" s="1"/>
  <c r="F321" i="50"/>
  <c r="U321" i="50" s="1"/>
  <c r="E321" i="50"/>
  <c r="D321" i="50"/>
  <c r="J321" i="50"/>
  <c r="G321" i="50" a="1"/>
  <c r="G321" i="50" s="1"/>
  <c r="G38" i="50" a="1"/>
  <c r="G38" i="50" s="1"/>
  <c r="D38" i="50"/>
  <c r="F38" i="50"/>
  <c r="E38" i="50"/>
  <c r="D252" i="50"/>
  <c r="J252" i="50"/>
  <c r="G252" i="50" a="1"/>
  <c r="G252" i="50" s="1"/>
  <c r="E252" i="50"/>
  <c r="F252" i="50"/>
  <c r="U252" i="50" s="1"/>
  <c r="D106" i="50"/>
  <c r="J106" i="50"/>
  <c r="F106" i="50"/>
  <c r="U106" i="50" s="1"/>
  <c r="G106" i="50" a="1"/>
  <c r="G106" i="50" s="1"/>
  <c r="E106" i="50"/>
  <c r="J150" i="50"/>
  <c r="G150" i="50" a="1"/>
  <c r="G150" i="50" s="1"/>
  <c r="F150" i="50"/>
  <c r="U150" i="50" s="1"/>
  <c r="E150" i="50"/>
  <c r="D150" i="50"/>
  <c r="E83" i="33"/>
  <c r="C83" i="33"/>
  <c r="B83" i="33"/>
  <c r="G83" i="33"/>
  <c r="D83" i="33"/>
  <c r="D77" i="33"/>
  <c r="E77" i="33"/>
  <c r="G77" i="33"/>
  <c r="B77" i="33"/>
  <c r="C77" i="33"/>
  <c r="G21" i="33"/>
  <c r="C21" i="33"/>
  <c r="B21" i="33"/>
  <c r="D21" i="33"/>
  <c r="E21" i="33"/>
  <c r="E8" i="33"/>
  <c r="D8" i="33"/>
  <c r="G8" i="33"/>
  <c r="C8" i="33"/>
  <c r="B8" i="33"/>
  <c r="C44" i="33"/>
  <c r="B44" i="33"/>
  <c r="D44" i="33"/>
  <c r="E44" i="33"/>
  <c r="G44" i="33"/>
  <c r="B18" i="33"/>
  <c r="E18" i="33"/>
  <c r="C18" i="33"/>
  <c r="D18" i="33"/>
  <c r="G18" i="33"/>
  <c r="B6" i="33"/>
  <c r="D6" i="33"/>
  <c r="E6" i="33"/>
  <c r="G6" i="33"/>
  <c r="C6" i="33"/>
  <c r="A3" i="33"/>
  <c r="D320" i="49"/>
  <c r="I320" i="49"/>
  <c r="E320" i="49"/>
  <c r="F320" i="49" a="1"/>
  <c r="F320" i="49" s="1"/>
  <c r="C320" i="49"/>
  <c r="K320" i="49" a="1"/>
  <c r="K320" i="49" s="1"/>
  <c r="F113" i="49" a="1"/>
  <c r="F113" i="49" s="1"/>
  <c r="E113" i="49"/>
  <c r="D113" i="49"/>
  <c r="C113" i="49"/>
  <c r="I113" i="49"/>
  <c r="K113" i="49" a="1"/>
  <c r="K113" i="49" s="1"/>
  <c r="I193" i="49"/>
  <c r="E193" i="49"/>
  <c r="D193" i="49"/>
  <c r="F193" i="49" a="1"/>
  <c r="F193" i="49" s="1"/>
  <c r="C193" i="49"/>
  <c r="K193" i="49" a="1"/>
  <c r="K193" i="49" s="1"/>
  <c r="E24" i="49"/>
  <c r="C24" i="49"/>
  <c r="F24" i="49" a="1"/>
  <c r="F24" i="49" s="1"/>
  <c r="K24" i="49" a="1"/>
  <c r="K24" i="49" s="1"/>
  <c r="C101" i="49"/>
  <c r="D101" i="49"/>
  <c r="E101" i="49"/>
  <c r="I101" i="49"/>
  <c r="F101" i="49" a="1"/>
  <c r="F101" i="49" s="1"/>
  <c r="K101" i="49" a="1"/>
  <c r="K101" i="49" s="1"/>
  <c r="C355" i="49"/>
  <c r="E355" i="49"/>
  <c r="F355" i="49" a="1"/>
  <c r="F355" i="49" s="1"/>
  <c r="D355" i="49"/>
  <c r="I355" i="49"/>
  <c r="K355" i="49" a="1"/>
  <c r="K355" i="49" s="1"/>
  <c r="D267" i="49"/>
  <c r="E267" i="49"/>
  <c r="I267" i="49"/>
  <c r="C267" i="49"/>
  <c r="F267" i="49" a="1"/>
  <c r="F267" i="49" s="1"/>
  <c r="K267" i="49" a="1"/>
  <c r="K267" i="49" s="1"/>
  <c r="E169" i="49"/>
  <c r="D169" i="49"/>
  <c r="C169" i="49"/>
  <c r="I169" i="49"/>
  <c r="F169" i="49" a="1"/>
  <c r="F169" i="49" s="1"/>
  <c r="K169" i="49" a="1"/>
  <c r="K169" i="49" s="1"/>
  <c r="E176" i="49"/>
  <c r="D176" i="49"/>
  <c r="C176" i="49"/>
  <c r="I176" i="49"/>
  <c r="F176" i="49" a="1"/>
  <c r="F176" i="49" s="1"/>
  <c r="K176" i="49" a="1"/>
  <c r="K176" i="49" s="1"/>
  <c r="D268" i="49"/>
  <c r="F268" i="49" a="1"/>
  <c r="F268" i="49" s="1"/>
  <c r="E268" i="49"/>
  <c r="I268" i="49"/>
  <c r="C268" i="49"/>
  <c r="K268" i="49" a="1"/>
  <c r="K268" i="49" s="1"/>
  <c r="I140" i="49"/>
  <c r="E140" i="49"/>
  <c r="C140" i="49"/>
  <c r="F140" i="49" a="1"/>
  <c r="F140" i="49" s="1"/>
  <c r="D140" i="49"/>
  <c r="K140" i="49" a="1"/>
  <c r="K140" i="49" s="1"/>
  <c r="I280" i="49"/>
  <c r="C280" i="49"/>
  <c r="D280" i="49"/>
  <c r="E280" i="49"/>
  <c r="F280" i="49" a="1"/>
  <c r="F280" i="49" s="1"/>
  <c r="K280" i="49" a="1"/>
  <c r="K280" i="49" s="1"/>
  <c r="C185" i="49"/>
  <c r="E185" i="49"/>
  <c r="I185" i="49"/>
  <c r="D185" i="49"/>
  <c r="F185" i="49" a="1"/>
  <c r="F185" i="49" s="1"/>
  <c r="K185" i="49" a="1"/>
  <c r="K185" i="49" s="1"/>
  <c r="F259" i="49" a="1"/>
  <c r="F259" i="49" s="1"/>
  <c r="I259" i="49"/>
  <c r="E259" i="49"/>
  <c r="C259" i="49"/>
  <c r="D259" i="49"/>
  <c r="K259" i="49" a="1"/>
  <c r="K259" i="49" s="1"/>
  <c r="D195" i="49"/>
  <c r="I195" i="49"/>
  <c r="C195" i="49"/>
  <c r="E195" i="49"/>
  <c r="F195" i="49" a="1"/>
  <c r="F195" i="49" s="1"/>
  <c r="K195" i="49" a="1"/>
  <c r="K195" i="49" s="1"/>
  <c r="E39" i="49"/>
  <c r="C39" i="49"/>
  <c r="F39" i="49" a="1"/>
  <c r="F39" i="49" s="1"/>
  <c r="D39" i="49"/>
  <c r="E312" i="49"/>
  <c r="D312" i="49"/>
  <c r="C312" i="49"/>
  <c r="I312" i="49"/>
  <c r="F312" i="49" a="1"/>
  <c r="F312" i="49" s="1"/>
  <c r="K312" i="49" a="1"/>
  <c r="K312" i="49" s="1"/>
  <c r="E294" i="49"/>
  <c r="I294" i="49"/>
  <c r="C294" i="49"/>
  <c r="F294" i="49" a="1"/>
  <c r="F294" i="49" s="1"/>
  <c r="D294" i="49"/>
  <c r="K294" i="49" a="1"/>
  <c r="K294" i="49" s="1"/>
  <c r="E23" i="49"/>
  <c r="F23" i="49" a="1"/>
  <c r="F23" i="49" s="1"/>
  <c r="D23" i="49"/>
  <c r="C23" i="49"/>
  <c r="D173" i="49"/>
  <c r="F173" i="49" a="1"/>
  <c r="F173" i="49" s="1"/>
  <c r="I173" i="49"/>
  <c r="C173" i="49"/>
  <c r="E173" i="49"/>
  <c r="K173" i="49" a="1"/>
  <c r="K173" i="49" s="1"/>
  <c r="F46" i="49" a="1"/>
  <c r="F46" i="49" s="1"/>
  <c r="D46" i="49"/>
  <c r="I46" i="49"/>
  <c r="E46" i="49"/>
  <c r="C46" i="49"/>
  <c r="K46" i="49" a="1"/>
  <c r="K46" i="49" s="1"/>
  <c r="F56" i="49" a="1"/>
  <c r="F56" i="49" s="1"/>
  <c r="D56" i="49"/>
  <c r="I56" i="49"/>
  <c r="C56" i="49"/>
  <c r="E56" i="49"/>
  <c r="K56" i="49" a="1"/>
  <c r="K56" i="49" s="1"/>
  <c r="E160" i="49"/>
  <c r="D160" i="49"/>
  <c r="C160" i="49"/>
  <c r="F160" i="49" a="1"/>
  <c r="F160" i="49" s="1"/>
  <c r="I160" i="49"/>
  <c r="K160" i="49" a="1"/>
  <c r="K160" i="49" s="1"/>
  <c r="C104" i="49"/>
  <c r="I104" i="49"/>
  <c r="D104" i="49"/>
  <c r="F104" i="49" a="1"/>
  <c r="F104" i="49" s="1"/>
  <c r="E104" i="49"/>
  <c r="K104" i="49" a="1"/>
  <c r="K104" i="49" s="1"/>
  <c r="E109" i="49"/>
  <c r="D109" i="49"/>
  <c r="I109" i="49"/>
  <c r="F109" i="49" a="1"/>
  <c r="F109" i="49" s="1"/>
  <c r="C109" i="49"/>
  <c r="K109" i="49" a="1"/>
  <c r="K109" i="49" s="1"/>
  <c r="K105" i="49" a="1"/>
  <c r="K105" i="49" s="1"/>
  <c r="I105" i="49"/>
  <c r="E105" i="49"/>
  <c r="F105" i="49" a="1"/>
  <c r="F105" i="49" s="1"/>
  <c r="D105" i="49"/>
  <c r="C105" i="49"/>
  <c r="E306" i="49"/>
  <c r="F306" i="49" a="1"/>
  <c r="F306" i="49" s="1"/>
  <c r="C306" i="49"/>
  <c r="I306" i="49"/>
  <c r="D306" i="49"/>
  <c r="K306" i="49" a="1"/>
  <c r="K306" i="49" s="1"/>
  <c r="C19" i="91"/>
  <c r="G19" i="91"/>
  <c r="E19" i="91"/>
  <c r="B19" i="91"/>
  <c r="D19" i="91"/>
  <c r="E82" i="91"/>
  <c r="D82" i="91"/>
  <c r="C82" i="91"/>
  <c r="G82" i="91"/>
  <c r="B82" i="91"/>
  <c r="C84" i="91"/>
  <c r="D84" i="91"/>
  <c r="E84" i="91"/>
  <c r="B84" i="91"/>
  <c r="G84" i="91"/>
  <c r="E6" i="91"/>
  <c r="B6" i="91"/>
  <c r="D6" i="91"/>
  <c r="C6" i="91"/>
  <c r="C38" i="91"/>
  <c r="E38" i="91"/>
  <c r="D38" i="91"/>
  <c r="G38" i="91"/>
  <c r="B38" i="91"/>
  <c r="C76" i="91"/>
  <c r="G76" i="91"/>
  <c r="D76" i="91"/>
  <c r="B76" i="91"/>
  <c r="E76" i="91"/>
  <c r="B35" i="91"/>
  <c r="E35" i="91"/>
  <c r="C35" i="91"/>
  <c r="G35" i="91"/>
  <c r="D35" i="91"/>
  <c r="C14" i="19"/>
  <c r="D14" i="19"/>
  <c r="B14" i="19"/>
  <c r="E8" i="19"/>
  <c r="E7" i="19"/>
  <c r="D7" i="19"/>
  <c r="B7" i="19"/>
  <c r="C7" i="19"/>
  <c r="G29" i="19"/>
  <c r="B29" i="19"/>
  <c r="E29" i="19"/>
  <c r="C29" i="19"/>
  <c r="D29" i="19"/>
  <c r="D20" i="19"/>
  <c r="B20" i="19"/>
  <c r="G20" i="19"/>
  <c r="E20" i="19"/>
  <c r="C20" i="19"/>
  <c r="E67" i="19"/>
  <c r="B67" i="19"/>
  <c r="G67" i="19"/>
  <c r="D67" i="19"/>
  <c r="C67" i="19"/>
  <c r="E18" i="19"/>
  <c r="D18" i="19"/>
  <c r="B18" i="19"/>
  <c r="G18" i="19"/>
  <c r="C18" i="19"/>
  <c r="D12" i="19"/>
  <c r="C12" i="19"/>
  <c r="B12" i="19"/>
  <c r="B44" i="19"/>
  <c r="E44" i="19"/>
  <c r="D44" i="19"/>
  <c r="C44" i="19"/>
  <c r="G44" i="19"/>
  <c r="B30" i="19"/>
  <c r="G30" i="19"/>
  <c r="E30" i="19"/>
  <c r="C30" i="19"/>
  <c r="D30" i="19"/>
  <c r="C49" i="19"/>
  <c r="B49" i="19"/>
  <c r="E49" i="19"/>
  <c r="G49" i="19"/>
  <c r="D49" i="19"/>
  <c r="E97" i="52"/>
  <c r="L97" i="52" a="1"/>
  <c r="L97" i="52" s="1"/>
  <c r="I97" i="52"/>
  <c r="C97" i="52"/>
  <c r="F97" i="52" a="1"/>
  <c r="F97" i="52" s="1"/>
  <c r="D97" i="52"/>
  <c r="L162" i="52" a="1"/>
  <c r="L162" i="52" s="1"/>
  <c r="F162" i="52" a="1"/>
  <c r="F162" i="52" s="1"/>
  <c r="D162" i="52"/>
  <c r="I162" i="52"/>
  <c r="C162" i="52"/>
  <c r="E162" i="52"/>
  <c r="E351" i="52"/>
  <c r="I351" i="52"/>
  <c r="C351" i="52"/>
  <c r="D351" i="52"/>
  <c r="F351" i="52" a="1"/>
  <c r="F351" i="52" s="1"/>
  <c r="L351" i="52" a="1"/>
  <c r="L351" i="52" s="1"/>
  <c r="E301" i="52"/>
  <c r="I301" i="52"/>
  <c r="F301" i="52" a="1"/>
  <c r="F301" i="52" s="1"/>
  <c r="C301" i="52"/>
  <c r="D301" i="52"/>
  <c r="L301" i="52" a="1"/>
  <c r="L301" i="52" s="1"/>
  <c r="E330" i="52"/>
  <c r="D330" i="52"/>
  <c r="C330" i="52"/>
  <c r="F330" i="52" a="1"/>
  <c r="F330" i="52" s="1"/>
  <c r="I330" i="52"/>
  <c r="L330" i="52" a="1"/>
  <c r="L330" i="52" s="1"/>
  <c r="L345" i="52" a="1"/>
  <c r="L345" i="52" s="1"/>
  <c r="C345" i="52"/>
  <c r="D345" i="52"/>
  <c r="I345" i="52"/>
  <c r="F345" i="52" a="1"/>
  <c r="F345" i="52" s="1"/>
  <c r="E345" i="52"/>
  <c r="I283" i="52"/>
  <c r="L283" i="52" a="1"/>
  <c r="L283" i="52" s="1"/>
  <c r="C283" i="52"/>
  <c r="E283" i="52"/>
  <c r="F283" i="52" a="1"/>
  <c r="F283" i="52" s="1"/>
  <c r="D283" i="52"/>
  <c r="F35" i="52" a="1"/>
  <c r="F35" i="52" s="1"/>
  <c r="E35" i="52"/>
  <c r="C35" i="52"/>
  <c r="D35" i="52"/>
  <c r="E293" i="52"/>
  <c r="C293" i="52"/>
  <c r="L293" i="52" a="1"/>
  <c r="L293" i="52" s="1"/>
  <c r="F293" i="52" a="1"/>
  <c r="F293" i="52" s="1"/>
  <c r="D293" i="52"/>
  <c r="I293" i="52"/>
  <c r="F255" i="52" a="1"/>
  <c r="F255" i="52" s="1"/>
  <c r="D255" i="52"/>
  <c r="E255" i="52"/>
  <c r="C255" i="52"/>
  <c r="L255" i="52" a="1"/>
  <c r="L255" i="52" s="1"/>
  <c r="I255" i="52"/>
  <c r="F211" i="52" a="1"/>
  <c r="F211" i="52" s="1"/>
  <c r="D211" i="52"/>
  <c r="L211" i="52" a="1"/>
  <c r="L211" i="52" s="1"/>
  <c r="C211" i="52"/>
  <c r="E211" i="52"/>
  <c r="I211" i="52"/>
  <c r="C131" i="52"/>
  <c r="E131" i="52"/>
  <c r="L131" i="52" a="1"/>
  <c r="L131" i="52" s="1"/>
  <c r="I131" i="52"/>
  <c r="D131" i="52"/>
  <c r="F131" i="52" a="1"/>
  <c r="F131" i="52" s="1"/>
  <c r="C154" i="52"/>
  <c r="L154" i="52" a="1"/>
  <c r="L154" i="52" s="1"/>
  <c r="D154" i="52"/>
  <c r="F154" i="52" a="1"/>
  <c r="F154" i="52" s="1"/>
  <c r="E154" i="52"/>
  <c r="I154" i="52"/>
  <c r="F48" i="52" a="1"/>
  <c r="F48" i="52" s="1"/>
  <c r="D48" i="52"/>
  <c r="C48" i="52"/>
  <c r="E48" i="52"/>
  <c r="F25" i="52" a="1"/>
  <c r="F25" i="52" s="1"/>
  <c r="C25" i="52"/>
  <c r="D25" i="52"/>
  <c r="E25" i="52"/>
  <c r="L261" i="52" a="1"/>
  <c r="L261" i="52" s="1"/>
  <c r="E261" i="52"/>
  <c r="C261" i="52"/>
  <c r="D261" i="52"/>
  <c r="I261" i="52"/>
  <c r="F261" i="52" a="1"/>
  <c r="F261" i="52" s="1"/>
  <c r="E287" i="52"/>
  <c r="L287" i="52" a="1"/>
  <c r="L287" i="52" s="1"/>
  <c r="I287" i="52"/>
  <c r="C287" i="52"/>
  <c r="D287" i="52"/>
  <c r="F287" i="52" a="1"/>
  <c r="F287" i="52" s="1"/>
  <c r="F346" i="52" a="1"/>
  <c r="F346" i="52" s="1"/>
  <c r="D346" i="52"/>
  <c r="C346" i="52"/>
  <c r="L346" i="52" a="1"/>
  <c r="L346" i="52" s="1"/>
  <c r="E346" i="52"/>
  <c r="I346" i="52"/>
  <c r="L213" i="52" a="1"/>
  <c r="L213" i="52" s="1"/>
  <c r="D213" i="52"/>
  <c r="C213" i="52"/>
  <c r="I213" i="52"/>
  <c r="E213" i="52"/>
  <c r="F213" i="52" a="1"/>
  <c r="F213" i="52" s="1"/>
  <c r="L313" i="52" a="1"/>
  <c r="L313" i="52" s="1"/>
  <c r="C313" i="52"/>
  <c r="I313" i="52"/>
  <c r="E313" i="52"/>
  <c r="D313" i="52"/>
  <c r="F313" i="52" a="1"/>
  <c r="F313" i="52" s="1"/>
  <c r="L137" i="52" a="1"/>
  <c r="L137" i="52" s="1"/>
  <c r="C137" i="52"/>
  <c r="F137" i="52" a="1"/>
  <c r="F137" i="52" s="1"/>
  <c r="E137" i="52"/>
  <c r="I137" i="52"/>
  <c r="D137" i="52"/>
  <c r="L198" i="52" a="1"/>
  <c r="L198" i="52" s="1"/>
  <c r="I198" i="52"/>
  <c r="F198" i="52" a="1"/>
  <c r="F198" i="52" s="1"/>
  <c r="C198" i="52"/>
  <c r="D198" i="52"/>
  <c r="E198" i="52"/>
  <c r="L235" i="52" a="1"/>
  <c r="L235" i="52" s="1"/>
  <c r="E235" i="52"/>
  <c r="I235" i="52"/>
  <c r="D235" i="52"/>
  <c r="F235" i="52" a="1"/>
  <c r="F235" i="52" s="1"/>
  <c r="C235" i="52"/>
  <c r="C328" i="52"/>
  <c r="F328" i="52" a="1"/>
  <c r="F328" i="52" s="1"/>
  <c r="D328" i="52"/>
  <c r="E328" i="52"/>
  <c r="I328" i="52"/>
  <c r="L328" i="52" a="1"/>
  <c r="L328" i="52" s="1"/>
  <c r="L232" i="52" a="1"/>
  <c r="L232" i="52" s="1"/>
  <c r="I232" i="52"/>
  <c r="D232" i="52"/>
  <c r="F232" i="52" a="1"/>
  <c r="F232" i="52" s="1"/>
  <c r="C232" i="52"/>
  <c r="E232" i="52"/>
  <c r="L167" i="52" a="1"/>
  <c r="L167" i="52" s="1"/>
  <c r="E167" i="52"/>
  <c r="I167" i="52"/>
  <c r="C167" i="52"/>
  <c r="F167" i="52" a="1"/>
  <c r="F167" i="52" s="1"/>
  <c r="D167" i="52"/>
  <c r="F326" i="52" a="1"/>
  <c r="F326" i="52" s="1"/>
  <c r="C326" i="52"/>
  <c r="L326" i="52" a="1"/>
  <c r="L326" i="52" s="1"/>
  <c r="D326" i="52"/>
  <c r="E326" i="52"/>
  <c r="I326" i="52"/>
  <c r="E76" i="52"/>
  <c r="L76" i="52" a="1"/>
  <c r="L76" i="52" s="1"/>
  <c r="C76" i="52"/>
  <c r="F76" i="52" a="1"/>
  <c r="F76" i="52" s="1"/>
  <c r="F282" i="52" a="1"/>
  <c r="F282" i="52" s="1"/>
  <c r="L282" i="52" a="1"/>
  <c r="L282" i="52" s="1"/>
  <c r="E282" i="52"/>
  <c r="D282" i="52"/>
  <c r="C282" i="52"/>
  <c r="I282" i="52"/>
  <c r="D93" i="52"/>
  <c r="E93" i="52"/>
  <c r="F93" i="52" a="1"/>
  <c r="F93" i="52" s="1"/>
  <c r="C93" i="52"/>
  <c r="I93" i="52"/>
  <c r="L93" i="52" a="1"/>
  <c r="L93" i="52" s="1"/>
  <c r="D290" i="52"/>
  <c r="F290" i="52" a="1"/>
  <c r="F290" i="52" s="1"/>
  <c r="E290" i="52"/>
  <c r="L290" i="52" a="1"/>
  <c r="L290" i="52" s="1"/>
  <c r="I290" i="52"/>
  <c r="C290" i="52"/>
  <c r="F10" i="52" a="1"/>
  <c r="F10" i="52" s="1"/>
  <c r="E10" i="52"/>
  <c r="C10" i="52"/>
  <c r="D10" i="52"/>
  <c r="C227" i="52"/>
  <c r="D227" i="52"/>
  <c r="L227" i="52" a="1"/>
  <c r="L227" i="52" s="1"/>
  <c r="I227" i="52"/>
  <c r="F227" i="52" a="1"/>
  <c r="F227" i="52" s="1"/>
  <c r="E227" i="52"/>
  <c r="C22" i="52"/>
  <c r="F22" i="52" a="1"/>
  <c r="F22" i="52" s="1"/>
  <c r="E22" i="52"/>
  <c r="D22" i="52"/>
  <c r="G81" i="25"/>
  <c r="C81" i="25"/>
  <c r="B81" i="25"/>
  <c r="E81" i="25"/>
  <c r="D81" i="25"/>
  <c r="D67" i="25"/>
  <c r="G67" i="25"/>
  <c r="B67" i="25"/>
  <c r="E67" i="25"/>
  <c r="C67" i="25"/>
  <c r="G33" i="25"/>
  <c r="B33" i="25"/>
  <c r="D33" i="25"/>
  <c r="C33" i="25"/>
  <c r="E33" i="25"/>
  <c r="C26" i="25"/>
  <c r="D26" i="25"/>
  <c r="E26" i="25"/>
  <c r="B26" i="25"/>
  <c r="C76" i="25"/>
  <c r="E76" i="25"/>
  <c r="D76" i="25"/>
  <c r="G76" i="25"/>
  <c r="B76" i="25"/>
  <c r="G72" i="25"/>
  <c r="E72" i="25"/>
  <c r="C72" i="25"/>
  <c r="D72" i="25"/>
  <c r="B72" i="25"/>
  <c r="F311" i="100" a="1"/>
  <c r="F311" i="100" s="1"/>
  <c r="C311" i="100"/>
  <c r="I311" i="100"/>
  <c r="E311" i="100"/>
  <c r="D311" i="100"/>
  <c r="K311" i="100" a="1"/>
  <c r="K311" i="100" s="1"/>
  <c r="F127" i="100" a="1"/>
  <c r="F127" i="100" s="1"/>
  <c r="C127" i="100"/>
  <c r="D127" i="100"/>
  <c r="I127" i="100"/>
  <c r="E127" i="100"/>
  <c r="K127" i="100" a="1"/>
  <c r="K127" i="100" s="1"/>
  <c r="K196" i="100" a="1"/>
  <c r="K196" i="100" s="1"/>
  <c r="C196" i="100"/>
  <c r="D196" i="100"/>
  <c r="I196" i="100"/>
  <c r="E196" i="100"/>
  <c r="F196" i="100" a="1"/>
  <c r="F196" i="100" s="1"/>
  <c r="D124" i="100"/>
  <c r="F124" i="100" a="1"/>
  <c r="F124" i="100" s="1"/>
  <c r="E124" i="100"/>
  <c r="C124" i="100"/>
  <c r="I124" i="100"/>
  <c r="K124" i="100" a="1"/>
  <c r="K124" i="100" s="1"/>
  <c r="F125" i="100" a="1"/>
  <c r="F125" i="100" s="1"/>
  <c r="D125" i="100"/>
  <c r="C125" i="100"/>
  <c r="E125" i="100"/>
  <c r="I125" i="100"/>
  <c r="K125" i="100" a="1"/>
  <c r="K125" i="100" s="1"/>
  <c r="E304" i="100"/>
  <c r="I304" i="100"/>
  <c r="F304" i="100" a="1"/>
  <c r="F304" i="100" s="1"/>
  <c r="C304" i="100"/>
  <c r="D304" i="100"/>
  <c r="K304" i="100" a="1"/>
  <c r="K304" i="100" s="1"/>
  <c r="E264" i="100"/>
  <c r="I264" i="100"/>
  <c r="F264" i="100" a="1"/>
  <c r="F264" i="100" s="1"/>
  <c r="C264" i="100"/>
  <c r="D264" i="100"/>
  <c r="K264" i="100" a="1"/>
  <c r="K264" i="100" s="1"/>
  <c r="F128" i="100" a="1"/>
  <c r="F128" i="100" s="1"/>
  <c r="K128" i="100" a="1"/>
  <c r="K128" i="100" s="1"/>
  <c r="I128" i="100"/>
  <c r="C128" i="100"/>
  <c r="D128" i="100"/>
  <c r="E128" i="100"/>
  <c r="F346" i="100" a="1"/>
  <c r="F346" i="100" s="1"/>
  <c r="D346" i="100"/>
  <c r="C346" i="100"/>
  <c r="I346" i="100"/>
  <c r="E346" i="100"/>
  <c r="K346" i="100" a="1"/>
  <c r="K346" i="100" s="1"/>
  <c r="C40" i="100"/>
  <c r="F40" i="100" a="1"/>
  <c r="F40" i="100" s="1"/>
  <c r="E40" i="100"/>
  <c r="D183" i="100"/>
  <c r="F183" i="100" a="1"/>
  <c r="F183" i="100" s="1"/>
  <c r="C183" i="100"/>
  <c r="E183" i="100"/>
  <c r="I183" i="100"/>
  <c r="K183" i="100" a="1"/>
  <c r="K183" i="100" s="1"/>
  <c r="I150" i="100"/>
  <c r="C150" i="100"/>
  <c r="D150" i="100"/>
  <c r="E150" i="100"/>
  <c r="F150" i="100" a="1"/>
  <c r="F150" i="100" s="1"/>
  <c r="K150" i="100" a="1"/>
  <c r="K150" i="100" s="1"/>
  <c r="E252" i="100"/>
  <c r="I252" i="100"/>
  <c r="F252" i="100" a="1"/>
  <c r="F252" i="100" s="1"/>
  <c r="C252" i="100"/>
  <c r="D252" i="100"/>
  <c r="K252" i="100" a="1"/>
  <c r="K252" i="100" s="1"/>
  <c r="E299" i="100"/>
  <c r="F299" i="100" a="1"/>
  <c r="F299" i="100" s="1"/>
  <c r="I299" i="100"/>
  <c r="D299" i="100"/>
  <c r="C299" i="100"/>
  <c r="K299" i="100" a="1"/>
  <c r="K299" i="100" s="1"/>
  <c r="I106" i="100"/>
  <c r="C106" i="100"/>
  <c r="E106" i="100"/>
  <c r="D106" i="100"/>
  <c r="F106" i="100" a="1"/>
  <c r="F106" i="100" s="1"/>
  <c r="K106" i="100" a="1"/>
  <c r="K106" i="100" s="1"/>
  <c r="E78" i="100"/>
  <c r="I78" i="100"/>
  <c r="D78" i="100"/>
  <c r="C78" i="100"/>
  <c r="F78" i="100" a="1"/>
  <c r="F78" i="100" s="1"/>
  <c r="K78" i="100" a="1"/>
  <c r="K78" i="100" s="1"/>
  <c r="F294" i="100" a="1"/>
  <c r="F294" i="100" s="1"/>
  <c r="E294" i="100"/>
  <c r="C294" i="100"/>
  <c r="D294" i="100"/>
  <c r="I294" i="100"/>
  <c r="K294" i="100" a="1"/>
  <c r="K294" i="100" s="1"/>
  <c r="I280" i="100"/>
  <c r="C280" i="100"/>
  <c r="E280" i="100"/>
  <c r="F280" i="100" a="1"/>
  <c r="F280" i="100" s="1"/>
  <c r="D280" i="100"/>
  <c r="K280" i="100" a="1"/>
  <c r="K280" i="100" s="1"/>
  <c r="F302" i="100" a="1"/>
  <c r="F302" i="100" s="1"/>
  <c r="E302" i="100"/>
  <c r="C302" i="100"/>
  <c r="D302" i="100"/>
  <c r="I302" i="100"/>
  <c r="K302" i="100" a="1"/>
  <c r="K302" i="100" s="1"/>
  <c r="F117" i="100" a="1"/>
  <c r="F117" i="100" s="1"/>
  <c r="E117" i="100"/>
  <c r="C117" i="100"/>
  <c r="I117" i="100"/>
  <c r="D117" i="100"/>
  <c r="K117" i="100" a="1"/>
  <c r="K117" i="100" s="1"/>
  <c r="D231" i="100"/>
  <c r="C231" i="100"/>
  <c r="F231" i="100" a="1"/>
  <c r="F231" i="100" s="1"/>
  <c r="E231" i="100"/>
  <c r="I231" i="100"/>
  <c r="K231" i="100" a="1"/>
  <c r="K231" i="100" s="1"/>
  <c r="I317" i="100"/>
  <c r="D317" i="100"/>
  <c r="E317" i="100"/>
  <c r="C317" i="100"/>
  <c r="F317" i="100" a="1"/>
  <c r="F317" i="100" s="1"/>
  <c r="K317" i="100" a="1"/>
  <c r="K317" i="100" s="1"/>
  <c r="E42" i="100"/>
  <c r="C42" i="100"/>
  <c r="F42" i="100" a="1"/>
  <c r="F42" i="100" s="1"/>
  <c r="D179" i="100"/>
  <c r="I179" i="100"/>
  <c r="F179" i="100" a="1"/>
  <c r="F179" i="100" s="1"/>
  <c r="C179" i="100"/>
  <c r="E179" i="100"/>
  <c r="K179" i="100" a="1"/>
  <c r="K179" i="100" s="1"/>
  <c r="I95" i="100"/>
  <c r="F95" i="100" a="1"/>
  <c r="F95" i="100" s="1"/>
  <c r="D95" i="100"/>
  <c r="E95" i="100"/>
  <c r="C95" i="100"/>
  <c r="K95" i="100" a="1"/>
  <c r="K95" i="100" s="1"/>
  <c r="D20" i="100"/>
  <c r="E20" i="100"/>
  <c r="C20" i="100"/>
  <c r="F20" i="100" a="1"/>
  <c r="F20" i="100" s="1"/>
  <c r="F156" i="100" a="1"/>
  <c r="F156" i="100" s="1"/>
  <c r="C156" i="100"/>
  <c r="D156" i="100"/>
  <c r="E156" i="100"/>
  <c r="I156" i="100"/>
  <c r="K156" i="100" a="1"/>
  <c r="K156" i="100" s="1"/>
  <c r="D225" i="100"/>
  <c r="E225" i="100"/>
  <c r="I225" i="100"/>
  <c r="K225" i="100" a="1"/>
  <c r="K225" i="100" s="1"/>
  <c r="C225" i="100"/>
  <c r="F225" i="100" a="1"/>
  <c r="F225" i="100" s="1"/>
  <c r="I313" i="100"/>
  <c r="C313" i="100"/>
  <c r="D313" i="100"/>
  <c r="F313" i="100" a="1"/>
  <c r="F313" i="100" s="1"/>
  <c r="E313" i="100"/>
  <c r="K313" i="100" a="1"/>
  <c r="K313" i="100" s="1"/>
  <c r="D276" i="100"/>
  <c r="E276" i="100"/>
  <c r="F276" i="100" a="1"/>
  <c r="F276" i="100" s="1"/>
  <c r="C276" i="100"/>
  <c r="I276" i="100"/>
  <c r="K276" i="100" a="1"/>
  <c r="K276" i="100" s="1"/>
  <c r="C111" i="100"/>
  <c r="F111" i="100" a="1"/>
  <c r="F111" i="100" s="1"/>
  <c r="I111" i="100"/>
  <c r="E111" i="100"/>
  <c r="D111" i="100"/>
  <c r="K111" i="100" a="1"/>
  <c r="K111" i="100" s="1"/>
  <c r="C273" i="100"/>
  <c r="I273" i="100"/>
  <c r="D273" i="100"/>
  <c r="E273" i="100"/>
  <c r="F273" i="100" a="1"/>
  <c r="F273" i="100" s="1"/>
  <c r="K273" i="100" a="1"/>
  <c r="K273" i="100" s="1"/>
  <c r="F253" i="100" a="1"/>
  <c r="F253" i="100" s="1"/>
  <c r="E253" i="100"/>
  <c r="I253" i="100"/>
  <c r="D253" i="100"/>
  <c r="C253" i="100"/>
  <c r="K253" i="100" a="1"/>
  <c r="K253" i="100" s="1"/>
  <c r="I57" i="100"/>
  <c r="F57" i="100" a="1"/>
  <c r="F57" i="100" s="1"/>
  <c r="C57" i="100"/>
  <c r="E57" i="100"/>
  <c r="D57" i="100"/>
  <c r="K57" i="100" a="1"/>
  <c r="K57" i="100" s="1"/>
  <c r="C94" i="100"/>
  <c r="F94" i="100" a="1"/>
  <c r="F94" i="100" s="1"/>
  <c r="E94" i="100"/>
  <c r="D94" i="100"/>
  <c r="I94" i="100"/>
  <c r="K94" i="100" a="1"/>
  <c r="K94" i="100" s="1"/>
  <c r="D319" i="100"/>
  <c r="F319" i="100" a="1"/>
  <c r="F319" i="100" s="1"/>
  <c r="C319" i="100"/>
  <c r="E319" i="100"/>
  <c r="I319" i="100"/>
  <c r="K319" i="100" a="1"/>
  <c r="K319" i="100" s="1"/>
  <c r="F139" i="100" a="1"/>
  <c r="F139" i="100" s="1"/>
  <c r="E139" i="100"/>
  <c r="C139" i="100"/>
  <c r="I139" i="100"/>
  <c r="D139" i="100"/>
  <c r="K139" i="100" a="1"/>
  <c r="K139" i="100" s="1"/>
  <c r="E47" i="100"/>
  <c r="D47" i="100"/>
  <c r="C47" i="100"/>
  <c r="F47" i="100" a="1"/>
  <c r="F47" i="100" s="1"/>
  <c r="E148" i="100"/>
  <c r="D148" i="100"/>
  <c r="C148" i="100"/>
  <c r="I148" i="100"/>
  <c r="F148" i="100" a="1"/>
  <c r="F148" i="100" s="1"/>
  <c r="K148" i="100" a="1"/>
  <c r="K148" i="100" s="1"/>
  <c r="D181" i="100"/>
  <c r="I181" i="100"/>
  <c r="F181" i="100" a="1"/>
  <c r="F181" i="100" s="1"/>
  <c r="C181" i="100"/>
  <c r="E181" i="100"/>
  <c r="K181" i="100" a="1"/>
  <c r="K181" i="100" s="1"/>
  <c r="C180" i="101"/>
  <c r="F180" i="101" a="1"/>
  <c r="F180" i="101" s="1"/>
  <c r="E180" i="101"/>
  <c r="D180" i="101"/>
  <c r="I180" i="101"/>
  <c r="C310" i="101"/>
  <c r="E310" i="101"/>
  <c r="D310" i="101"/>
  <c r="F310" i="101" a="1"/>
  <c r="F310" i="101" s="1"/>
  <c r="I310" i="101"/>
  <c r="I104" i="101"/>
  <c r="D104" i="101"/>
  <c r="F104" i="101" a="1"/>
  <c r="F104" i="101" s="1"/>
  <c r="C104" i="101"/>
  <c r="E104" i="101"/>
  <c r="E176" i="101"/>
  <c r="D176" i="101"/>
  <c r="I176" i="101"/>
  <c r="F176" i="101" a="1"/>
  <c r="F176" i="101" s="1"/>
  <c r="C176" i="101"/>
  <c r="F181" i="101" a="1"/>
  <c r="F181" i="101" s="1"/>
  <c r="D181" i="101"/>
  <c r="E181" i="101"/>
  <c r="I181" i="101"/>
  <c r="C181" i="101"/>
  <c r="I83" i="101"/>
  <c r="E83" i="101"/>
  <c r="D83" i="101"/>
  <c r="F83" i="101" a="1"/>
  <c r="F83" i="101" s="1"/>
  <c r="C83" i="101"/>
  <c r="E317" i="101"/>
  <c r="D317" i="101"/>
  <c r="F317" i="101" a="1"/>
  <c r="F317" i="101" s="1"/>
  <c r="I317" i="101"/>
  <c r="C317" i="101"/>
  <c r="F91" i="101" a="1"/>
  <c r="F91" i="101" s="1"/>
  <c r="I91" i="101"/>
  <c r="E91" i="101"/>
  <c r="D91" i="101"/>
  <c r="C91" i="101"/>
  <c r="D266" i="101"/>
  <c r="C266" i="101"/>
  <c r="F266" i="101" a="1"/>
  <c r="F266" i="101" s="1"/>
  <c r="E266" i="101"/>
  <c r="I266" i="101"/>
  <c r="E93" i="101"/>
  <c r="D93" i="101"/>
  <c r="F93" i="101" a="1"/>
  <c r="F93" i="101" s="1"/>
  <c r="I93" i="101"/>
  <c r="C93" i="101"/>
  <c r="C243" i="101"/>
  <c r="D243" i="101"/>
  <c r="F243" i="101" a="1"/>
  <c r="F243" i="101" s="1"/>
  <c r="I243" i="101"/>
  <c r="E243" i="101"/>
  <c r="C262" i="101"/>
  <c r="I262" i="101"/>
  <c r="F262" i="101" a="1"/>
  <c r="F262" i="101" s="1"/>
  <c r="E262" i="101"/>
  <c r="D262" i="101"/>
  <c r="D162" i="101"/>
  <c r="I162" i="101"/>
  <c r="E162" i="101"/>
  <c r="F162" i="101" a="1"/>
  <c r="F162" i="101" s="1"/>
  <c r="C162" i="101"/>
  <c r="F172" i="101" a="1"/>
  <c r="F172" i="101" s="1"/>
  <c r="E172" i="101"/>
  <c r="I172" i="101"/>
  <c r="D172" i="101"/>
  <c r="C172" i="101"/>
  <c r="F118" i="101" a="1"/>
  <c r="F118" i="101" s="1"/>
  <c r="I118" i="101"/>
  <c r="D118" i="101"/>
  <c r="C118" i="101"/>
  <c r="E118" i="101"/>
  <c r="D16" i="101"/>
  <c r="C16" i="101"/>
  <c r="F16" i="101" a="1"/>
  <c r="F16" i="101" s="1"/>
  <c r="E16" i="101"/>
  <c r="I16" i="101"/>
  <c r="F322" i="101" a="1"/>
  <c r="F322" i="101" s="1"/>
  <c r="D322" i="101"/>
  <c r="E322" i="101"/>
  <c r="I322" i="101"/>
  <c r="C322" i="101"/>
  <c r="C53" i="101"/>
  <c r="D53" i="101"/>
  <c r="I53" i="101"/>
  <c r="E53" i="101"/>
  <c r="F53" i="101" a="1"/>
  <c r="F53" i="101" s="1"/>
  <c r="E195" i="101"/>
  <c r="D195" i="101"/>
  <c r="I195" i="101"/>
  <c r="F195" i="101" a="1"/>
  <c r="F195" i="101" s="1"/>
  <c r="C195" i="101"/>
  <c r="C242" i="101"/>
  <c r="E242" i="101"/>
  <c r="I242" i="101"/>
  <c r="D242" i="101"/>
  <c r="F242" i="101" a="1"/>
  <c r="F242" i="101" s="1"/>
  <c r="C11" i="101"/>
  <c r="D11" i="101"/>
  <c r="F11" i="101" a="1"/>
  <c r="F11" i="101" s="1"/>
  <c r="E11" i="101"/>
  <c r="D27" i="101"/>
  <c r="E27" i="101"/>
  <c r="F27" i="101" a="1"/>
  <c r="F27" i="101" s="1"/>
  <c r="C27" i="101"/>
  <c r="I27" i="101"/>
  <c r="F203" i="101" a="1"/>
  <c r="F203" i="101" s="1"/>
  <c r="D203" i="101"/>
  <c r="E203" i="101"/>
  <c r="C203" i="101"/>
  <c r="I203" i="101"/>
  <c r="C50" i="101"/>
  <c r="I50" i="101"/>
  <c r="E50" i="101"/>
  <c r="D50" i="101"/>
  <c r="F50" i="101" a="1"/>
  <c r="F50" i="101" s="1"/>
  <c r="I159" i="101"/>
  <c r="E159" i="101"/>
  <c r="D159" i="101"/>
  <c r="F159" i="101" a="1"/>
  <c r="F159" i="101" s="1"/>
  <c r="C159" i="101"/>
  <c r="E160" i="101"/>
  <c r="F160" i="101" a="1"/>
  <c r="F160" i="101" s="1"/>
  <c r="C160" i="101"/>
  <c r="D160" i="101"/>
  <c r="I160" i="101"/>
  <c r="D308" i="101"/>
  <c r="I308" i="101"/>
  <c r="F308" i="101" a="1"/>
  <c r="F308" i="101" s="1"/>
  <c r="C308" i="101"/>
  <c r="E308" i="101"/>
  <c r="C238" i="101"/>
  <c r="E238" i="101"/>
  <c r="F238" i="101" a="1"/>
  <c r="F238" i="101" s="1"/>
  <c r="I238" i="101"/>
  <c r="D238" i="101"/>
  <c r="F133" i="101" a="1"/>
  <c r="F133" i="101" s="1"/>
  <c r="D133" i="101"/>
  <c r="E133" i="101"/>
  <c r="C133" i="101"/>
  <c r="I133" i="101"/>
  <c r="C268" i="101"/>
  <c r="E268" i="101"/>
  <c r="D268" i="101"/>
  <c r="F268" i="101" a="1"/>
  <c r="F268" i="101" s="1"/>
  <c r="I268" i="101"/>
  <c r="F19" i="101" a="1"/>
  <c r="F19" i="101" s="1"/>
  <c r="E19" i="101"/>
  <c r="I19" i="101"/>
  <c r="C19" i="101"/>
  <c r="D19" i="101"/>
  <c r="F189" i="101" a="1"/>
  <c r="F189" i="101" s="1"/>
  <c r="I189" i="101"/>
  <c r="D189" i="101"/>
  <c r="E189" i="101"/>
  <c r="C189" i="101"/>
  <c r="C61" i="101"/>
  <c r="I61" i="101"/>
  <c r="F61" i="101" a="1"/>
  <c r="F61" i="101" s="1"/>
  <c r="D61" i="101"/>
  <c r="E61" i="101"/>
  <c r="F117" i="101" a="1"/>
  <c r="F117" i="101" s="1"/>
  <c r="D117" i="101"/>
  <c r="E117" i="101"/>
  <c r="C117" i="101"/>
  <c r="I117" i="101"/>
  <c r="I223" i="101"/>
  <c r="D223" i="101"/>
  <c r="E223" i="101"/>
  <c r="F223" i="101" a="1"/>
  <c r="F223" i="101" s="1"/>
  <c r="C223" i="101"/>
  <c r="D38" i="34"/>
  <c r="G38" i="34"/>
  <c r="C38" i="34"/>
  <c r="E38" i="34"/>
  <c r="B38" i="34"/>
  <c r="B40" i="34"/>
  <c r="G40" i="34"/>
  <c r="E40" i="34"/>
  <c r="D40" i="34"/>
  <c r="C40" i="34"/>
  <c r="E23" i="34"/>
  <c r="B23" i="34"/>
  <c r="D23" i="34"/>
  <c r="C23" i="34"/>
  <c r="G23" i="34"/>
  <c r="D55" i="34"/>
  <c r="E55" i="34"/>
  <c r="G55" i="34"/>
  <c r="C55" i="34"/>
  <c r="B55" i="34"/>
  <c r="G85" i="34"/>
  <c r="C85" i="34"/>
  <c r="D85" i="34"/>
  <c r="B85" i="34"/>
  <c r="E85" i="34"/>
  <c r="E15" i="34"/>
  <c r="D15" i="34"/>
  <c r="B15" i="34"/>
  <c r="G15" i="34"/>
  <c r="C15" i="34"/>
  <c r="B20" i="22"/>
  <c r="C20" i="22"/>
  <c r="D20" i="22"/>
  <c r="B79" i="22"/>
  <c r="C79" i="22"/>
  <c r="G79" i="22"/>
  <c r="E79" i="22"/>
  <c r="D79" i="22"/>
  <c r="C45" i="22"/>
  <c r="G45" i="22"/>
  <c r="D45" i="22"/>
  <c r="B45" i="22"/>
  <c r="E45" i="22"/>
  <c r="C12" i="22"/>
  <c r="B12" i="22"/>
  <c r="D12" i="22"/>
  <c r="C28" i="51"/>
  <c r="E28" i="51"/>
  <c r="K28" i="51" a="1"/>
  <c r="K28" i="51" s="1"/>
  <c r="F28" i="51" a="1"/>
  <c r="F28" i="51" s="1"/>
  <c r="D28" i="51"/>
  <c r="I28" i="51"/>
  <c r="K30" i="51" a="1"/>
  <c r="K30" i="51" s="1"/>
  <c r="C30" i="51"/>
  <c r="E30" i="51"/>
  <c r="D30" i="51"/>
  <c r="F30" i="51" a="1"/>
  <c r="F30" i="51" s="1"/>
  <c r="I30" i="51"/>
  <c r="C58" i="51"/>
  <c r="F58" i="51" a="1"/>
  <c r="F58" i="51" s="1"/>
  <c r="K58" i="51" a="1"/>
  <c r="K58" i="51" s="1"/>
  <c r="D58" i="51"/>
  <c r="E58" i="51"/>
  <c r="I58" i="51"/>
  <c r="F13" i="51" a="1"/>
  <c r="F13" i="51" s="1"/>
  <c r="K13" i="51" a="1"/>
  <c r="K13" i="51" s="1"/>
  <c r="D13" i="51"/>
  <c r="C13" i="51"/>
  <c r="E13" i="51"/>
  <c r="I13" i="51"/>
  <c r="I49" i="51"/>
  <c r="K49" i="51" a="1"/>
  <c r="K49" i="51" s="1"/>
  <c r="C49" i="51"/>
  <c r="D49" i="51"/>
  <c r="F49" i="51" a="1"/>
  <c r="F49" i="51" s="1"/>
  <c r="E49" i="51"/>
  <c r="C75" i="51"/>
  <c r="K75" i="51" a="1"/>
  <c r="K75" i="51" s="1"/>
  <c r="F75" i="51" a="1"/>
  <c r="F75" i="51" s="1"/>
  <c r="E75" i="51"/>
  <c r="I75" i="51"/>
  <c r="D75" i="51"/>
  <c r="D47" i="39"/>
  <c r="E78" i="39"/>
  <c r="E16" i="98"/>
  <c r="G7" i="30"/>
  <c r="G15" i="53" a="1"/>
  <c r="G15" i="53" s="1"/>
  <c r="B47" i="98"/>
  <c r="D51" i="98"/>
  <c r="D74" i="98"/>
  <c r="E22" i="53"/>
  <c r="G43" i="53" a="1"/>
  <c r="G43" i="53" s="1"/>
  <c r="F36" i="53"/>
  <c r="C46" i="22"/>
  <c r="D28" i="24"/>
  <c r="C28" i="24"/>
  <c r="B28" i="24"/>
  <c r="E28" i="24"/>
  <c r="E80" i="24"/>
  <c r="B80" i="24"/>
  <c r="C80" i="24"/>
  <c r="D80" i="24"/>
  <c r="G80" i="24"/>
  <c r="C31" i="24"/>
  <c r="B31" i="24"/>
  <c r="E31" i="24"/>
  <c r="D31" i="24"/>
  <c r="C29" i="24"/>
  <c r="E29" i="24"/>
  <c r="B29" i="24"/>
  <c r="D29" i="24"/>
  <c r="E37" i="24"/>
  <c r="D37" i="24"/>
  <c r="C37" i="24"/>
  <c r="B37" i="24"/>
  <c r="B17" i="24"/>
  <c r="C17" i="24"/>
  <c r="D17" i="24"/>
  <c r="E17" i="24"/>
  <c r="D12" i="24"/>
  <c r="C12" i="24"/>
  <c r="B12" i="24"/>
  <c r="E12" i="24"/>
  <c r="D21" i="53"/>
  <c r="F21" i="53"/>
  <c r="E316" i="53"/>
  <c r="D316" i="53"/>
  <c r="F316" i="53"/>
  <c r="U316" i="53" s="1"/>
  <c r="J316" i="53"/>
  <c r="G316" i="53" a="1"/>
  <c r="G316" i="53" s="1"/>
  <c r="D320" i="53"/>
  <c r="E320" i="53"/>
  <c r="G320" i="53" a="1"/>
  <c r="G320" i="53" s="1"/>
  <c r="J320" i="53"/>
  <c r="F320" i="53"/>
  <c r="U320" i="53" s="1"/>
  <c r="J79" i="53"/>
  <c r="F79" i="53"/>
  <c r="U79" i="53" s="1"/>
  <c r="E79" i="53"/>
  <c r="D79" i="53"/>
  <c r="G79" i="53" a="1"/>
  <c r="G79" i="53" s="1"/>
  <c r="G352" i="53" a="1"/>
  <c r="G352" i="53" s="1"/>
  <c r="F352" i="53"/>
  <c r="U352" i="53" s="1"/>
  <c r="E352" i="53"/>
  <c r="D352" i="53"/>
  <c r="J352" i="53"/>
  <c r="G25" i="53" a="1"/>
  <c r="G25" i="53" s="1"/>
  <c r="D108" i="53"/>
  <c r="G108" i="53" a="1"/>
  <c r="G108" i="53" s="1"/>
  <c r="E108" i="53"/>
  <c r="J108" i="53"/>
  <c r="F108" i="53"/>
  <c r="U108" i="53" s="1"/>
  <c r="D200" i="53"/>
  <c r="F200" i="53"/>
  <c r="U200" i="53" s="1"/>
  <c r="E200" i="53"/>
  <c r="G200" i="53" a="1"/>
  <c r="G200" i="53" s="1"/>
  <c r="J200" i="53"/>
  <c r="F255" i="53"/>
  <c r="U255" i="53" s="1"/>
  <c r="D255" i="53"/>
  <c r="G255" i="53" a="1"/>
  <c r="G255" i="53" s="1"/>
  <c r="E255" i="53"/>
  <c r="J255" i="53"/>
  <c r="E327" i="53"/>
  <c r="D327" i="53"/>
  <c r="J327" i="53"/>
  <c r="F327" i="53"/>
  <c r="U327" i="53" s="1"/>
  <c r="G327" i="53" a="1"/>
  <c r="G327" i="53" s="1"/>
  <c r="J147" i="53"/>
  <c r="D147" i="53"/>
  <c r="E147" i="53"/>
  <c r="G147" i="53" a="1"/>
  <c r="G147" i="53" s="1"/>
  <c r="F147" i="53"/>
  <c r="U147" i="53" s="1"/>
  <c r="D227" i="53"/>
  <c r="J227" i="53"/>
  <c r="G227" i="53" a="1"/>
  <c r="G227" i="53" s="1"/>
  <c r="F227" i="53"/>
  <c r="U227" i="53" s="1"/>
  <c r="E227" i="53"/>
  <c r="J119" i="53"/>
  <c r="G119" i="53" a="1"/>
  <c r="G119" i="53" s="1"/>
  <c r="E119" i="53"/>
  <c r="D119" i="53"/>
  <c r="F119" i="53"/>
  <c r="U119" i="53" s="1"/>
  <c r="D241" i="53"/>
  <c r="E241" i="53"/>
  <c r="G241" i="53" a="1"/>
  <c r="G241" i="53" s="1"/>
  <c r="F241" i="53"/>
  <c r="U241" i="53" s="1"/>
  <c r="J241" i="53"/>
  <c r="G167" i="53" a="1"/>
  <c r="G167" i="53" s="1"/>
  <c r="E167" i="53"/>
  <c r="D167" i="53"/>
  <c r="F167" i="53"/>
  <c r="U167" i="53" s="1"/>
  <c r="J167" i="53"/>
  <c r="G351" i="53" a="1"/>
  <c r="G351" i="53" s="1"/>
  <c r="D351" i="53"/>
  <c r="E351" i="53"/>
  <c r="J351" i="53"/>
  <c r="F351" i="53"/>
  <c r="U351" i="53" s="1"/>
  <c r="G99" i="53" a="1"/>
  <c r="G99" i="53" s="1"/>
  <c r="J99" i="53"/>
  <c r="F99" i="53"/>
  <c r="U99" i="53" s="1"/>
  <c r="D99" i="53"/>
  <c r="E99" i="53"/>
  <c r="J298" i="53"/>
  <c r="D298" i="53"/>
  <c r="E298" i="53"/>
  <c r="G298" i="53" a="1"/>
  <c r="G298" i="53" s="1"/>
  <c r="F298" i="53"/>
  <c r="U298" i="53" s="1"/>
  <c r="F130" i="53"/>
  <c r="U130" i="53" s="1"/>
  <c r="D130" i="53"/>
  <c r="G130" i="53" a="1"/>
  <c r="G130" i="53" s="1"/>
  <c r="E130" i="53"/>
  <c r="J130" i="53"/>
  <c r="J314" i="50"/>
  <c r="G314" i="50" a="1"/>
  <c r="G314" i="50" s="1"/>
  <c r="D314" i="50"/>
  <c r="E314" i="50"/>
  <c r="F314" i="50"/>
  <c r="U314" i="50" s="1"/>
  <c r="J220" i="50"/>
  <c r="G220" i="50" a="1"/>
  <c r="G220" i="50" s="1"/>
  <c r="E220" i="50"/>
  <c r="D220" i="50"/>
  <c r="F220" i="50"/>
  <c r="U220" i="50" s="1"/>
  <c r="F319" i="50"/>
  <c r="U319" i="50" s="1"/>
  <c r="E319" i="50"/>
  <c r="G319" i="50" a="1"/>
  <c r="G319" i="50" s="1"/>
  <c r="J319" i="50"/>
  <c r="D319" i="50"/>
  <c r="E198" i="50"/>
  <c r="D198" i="50"/>
  <c r="F198" i="50"/>
  <c r="U198" i="50" s="1"/>
  <c r="G198" i="50" a="1"/>
  <c r="G198" i="50" s="1"/>
  <c r="J198" i="50"/>
  <c r="G354" i="50" a="1"/>
  <c r="G354" i="50" s="1"/>
  <c r="E354" i="50"/>
  <c r="D354" i="50"/>
  <c r="F354" i="50"/>
  <c r="U354" i="50" s="1"/>
  <c r="J354" i="50"/>
  <c r="E280" i="50"/>
  <c r="F280" i="50"/>
  <c r="U280" i="50" s="1"/>
  <c r="G280" i="50" a="1"/>
  <c r="G280" i="50" s="1"/>
  <c r="J280" i="50"/>
  <c r="D280" i="50"/>
  <c r="J175" i="50"/>
  <c r="F175" i="50"/>
  <c r="U175" i="50" s="1"/>
  <c r="D175" i="50"/>
  <c r="E175" i="50"/>
  <c r="G175" i="50" a="1"/>
  <c r="G175" i="50" s="1"/>
  <c r="G93" i="50" a="1"/>
  <c r="G93" i="50" s="1"/>
  <c r="E93" i="50"/>
  <c r="D93" i="50"/>
  <c r="F93" i="50"/>
  <c r="U93" i="50" s="1"/>
  <c r="J93" i="50"/>
  <c r="F224" i="50"/>
  <c r="U224" i="50" s="1"/>
  <c r="E224" i="50"/>
  <c r="J224" i="50"/>
  <c r="G224" i="50" a="1"/>
  <c r="G224" i="50" s="1"/>
  <c r="D224" i="50"/>
  <c r="F110" i="50"/>
  <c r="U110" i="50" s="1"/>
  <c r="E110" i="50"/>
  <c r="G110" i="50" a="1"/>
  <c r="G110" i="50" s="1"/>
  <c r="J110" i="50"/>
  <c r="D110" i="50"/>
  <c r="D299" i="50"/>
  <c r="G299" i="50" a="1"/>
  <c r="G299" i="50" s="1"/>
  <c r="F299" i="50"/>
  <c r="U299" i="50" s="1"/>
  <c r="J299" i="50"/>
  <c r="E299" i="50"/>
  <c r="D79" i="50"/>
  <c r="G79" i="50" a="1"/>
  <c r="G79" i="50" s="1"/>
  <c r="E79" i="50"/>
  <c r="F79" i="50"/>
  <c r="U79" i="50" s="1"/>
  <c r="J79" i="50"/>
  <c r="J218" i="50"/>
  <c r="E218" i="50"/>
  <c r="F218" i="50"/>
  <c r="U218" i="50" s="1"/>
  <c r="G218" i="50" a="1"/>
  <c r="G218" i="50" s="1"/>
  <c r="D218" i="50"/>
  <c r="F292" i="50"/>
  <c r="U292" i="50" s="1"/>
  <c r="J292" i="50"/>
  <c r="G292" i="50" a="1"/>
  <c r="G292" i="50" s="1"/>
  <c r="D292" i="50"/>
  <c r="E292" i="50"/>
  <c r="J231" i="50"/>
  <c r="D231" i="50"/>
  <c r="G231" i="50" a="1"/>
  <c r="G231" i="50" s="1"/>
  <c r="E231" i="50"/>
  <c r="F231" i="50"/>
  <c r="U231" i="50" s="1"/>
  <c r="J332" i="50"/>
  <c r="D332" i="50"/>
  <c r="F332" i="50"/>
  <c r="U332" i="50" s="1"/>
  <c r="G332" i="50" a="1"/>
  <c r="G332" i="50" s="1"/>
  <c r="E332" i="50"/>
  <c r="J281" i="50"/>
  <c r="E281" i="50"/>
  <c r="D281" i="50"/>
  <c r="F281" i="50"/>
  <c r="U281" i="50" s="1"/>
  <c r="G281" i="50" a="1"/>
  <c r="G281" i="50" s="1"/>
  <c r="G178" i="50" a="1"/>
  <c r="G178" i="50" s="1"/>
  <c r="E178" i="50"/>
  <c r="F178" i="50"/>
  <c r="U178" i="50" s="1"/>
  <c r="D178" i="50"/>
  <c r="J178" i="50"/>
  <c r="J94" i="50"/>
  <c r="D94" i="50"/>
  <c r="F94" i="50"/>
  <c r="U94" i="50" s="1"/>
  <c r="E94" i="50"/>
  <c r="G94" i="50" a="1"/>
  <c r="G94" i="50" s="1"/>
  <c r="F275" i="50"/>
  <c r="U275" i="50" s="1"/>
  <c r="J275" i="50"/>
  <c r="G275" i="50" a="1"/>
  <c r="G275" i="50" s="1"/>
  <c r="D275" i="50"/>
  <c r="E275" i="50"/>
  <c r="J205" i="50"/>
  <c r="G205" i="50" a="1"/>
  <c r="G205" i="50" s="1"/>
  <c r="E205" i="50"/>
  <c r="F205" i="50"/>
  <c r="U205" i="50" s="1"/>
  <c r="D205" i="50"/>
  <c r="G166" i="50" a="1"/>
  <c r="G166" i="50" s="1"/>
  <c r="F166" i="50"/>
  <c r="U166" i="50" s="1"/>
  <c r="D166" i="50"/>
  <c r="J166" i="50"/>
  <c r="E166" i="50"/>
  <c r="F69" i="50"/>
  <c r="U69" i="50" s="1"/>
  <c r="G69" i="50" a="1"/>
  <c r="G69" i="50" s="1"/>
  <c r="J69" i="50"/>
  <c r="D69" i="50"/>
  <c r="E69" i="50"/>
  <c r="G51" i="50" a="1"/>
  <c r="G51" i="50" s="1"/>
  <c r="E51" i="50"/>
  <c r="D51" i="50"/>
  <c r="F51" i="50"/>
  <c r="F276" i="50"/>
  <c r="U276" i="50" s="1"/>
  <c r="D276" i="50"/>
  <c r="J276" i="50"/>
  <c r="G276" i="50" a="1"/>
  <c r="G276" i="50" s="1"/>
  <c r="E276" i="50"/>
  <c r="E340" i="50"/>
  <c r="F340" i="50"/>
  <c r="U340" i="50" s="1"/>
  <c r="G340" i="50" a="1"/>
  <c r="G340" i="50" s="1"/>
  <c r="J340" i="50"/>
  <c r="D340" i="50"/>
  <c r="J88" i="50"/>
  <c r="D88" i="50"/>
  <c r="G88" i="50" a="1"/>
  <c r="G88" i="50" s="1"/>
  <c r="F88" i="50"/>
  <c r="U88" i="50" s="1"/>
  <c r="E88" i="50"/>
  <c r="E119" i="50"/>
  <c r="G119" i="50" a="1"/>
  <c r="G119" i="50" s="1"/>
  <c r="J119" i="50"/>
  <c r="D119" i="50"/>
  <c r="F119" i="50"/>
  <c r="U119" i="50" s="1"/>
  <c r="G51" i="33"/>
  <c r="C51" i="33"/>
  <c r="D51" i="33"/>
  <c r="E51" i="33"/>
  <c r="B51" i="33"/>
  <c r="G67" i="33"/>
  <c r="E67" i="33"/>
  <c r="C67" i="33"/>
  <c r="B67" i="33"/>
  <c r="D67" i="33"/>
  <c r="G50" i="33"/>
  <c r="B50" i="33"/>
  <c r="C50" i="33"/>
  <c r="E50" i="33"/>
  <c r="D50" i="33"/>
  <c r="E14" i="33"/>
  <c r="C14" i="33"/>
  <c r="B14" i="33"/>
  <c r="D14" i="33"/>
  <c r="G14" i="33"/>
  <c r="B81" i="33"/>
  <c r="C81" i="33"/>
  <c r="D81" i="33"/>
  <c r="G81" i="33"/>
  <c r="E81" i="33"/>
  <c r="E7" i="33"/>
  <c r="C7" i="33"/>
  <c r="B7" i="33"/>
  <c r="G7" i="33"/>
  <c r="D7" i="33"/>
  <c r="C78" i="33"/>
  <c r="D78" i="33"/>
  <c r="B78" i="33"/>
  <c r="G78" i="33"/>
  <c r="E78" i="33"/>
  <c r="E13" i="33"/>
  <c r="B13" i="33"/>
  <c r="G13" i="33"/>
  <c r="D13" i="33"/>
  <c r="C13" i="33"/>
  <c r="I111" i="49"/>
  <c r="C111" i="49"/>
  <c r="E111" i="49"/>
  <c r="D111" i="49"/>
  <c r="F111" i="49" a="1"/>
  <c r="F111" i="49" s="1"/>
  <c r="K111" i="49" a="1"/>
  <c r="K111" i="49" s="1"/>
  <c r="E233" i="49"/>
  <c r="D233" i="49"/>
  <c r="I233" i="49"/>
  <c r="F233" i="49" a="1"/>
  <c r="F233" i="49" s="1"/>
  <c r="C233" i="49"/>
  <c r="K233" i="49" a="1"/>
  <c r="K233" i="49" s="1"/>
  <c r="F79" i="49" a="1"/>
  <c r="F79" i="49" s="1"/>
  <c r="C79" i="49"/>
  <c r="E79" i="49"/>
  <c r="D79" i="49"/>
  <c r="I79" i="49"/>
  <c r="K79" i="49" a="1"/>
  <c r="K79" i="49" s="1"/>
  <c r="C318" i="49"/>
  <c r="D318" i="49"/>
  <c r="E318" i="49"/>
  <c r="F318" i="49" a="1"/>
  <c r="F318" i="49" s="1"/>
  <c r="I318" i="49"/>
  <c r="K318" i="49" a="1"/>
  <c r="K318" i="49" s="1"/>
  <c r="C263" i="49"/>
  <c r="I263" i="49"/>
  <c r="D263" i="49"/>
  <c r="F263" i="49" a="1"/>
  <c r="F263" i="49" s="1"/>
  <c r="E263" i="49"/>
  <c r="K263" i="49" a="1"/>
  <c r="K263" i="49" s="1"/>
  <c r="F227" i="49" a="1"/>
  <c r="F227" i="49" s="1"/>
  <c r="D227" i="49"/>
  <c r="C227" i="49"/>
  <c r="E227" i="49"/>
  <c r="I227" i="49"/>
  <c r="K227" i="49" a="1"/>
  <c r="K227" i="49" s="1"/>
  <c r="I150" i="49"/>
  <c r="D150" i="49"/>
  <c r="C150" i="49"/>
  <c r="F150" i="49" a="1"/>
  <c r="F150" i="49" s="1"/>
  <c r="E150" i="49"/>
  <c r="K150" i="49" a="1"/>
  <c r="K150" i="49" s="1"/>
  <c r="I307" i="49"/>
  <c r="C307" i="49"/>
  <c r="E307" i="49"/>
  <c r="F307" i="49" a="1"/>
  <c r="F307" i="49" s="1"/>
  <c r="D307" i="49"/>
  <c r="K307" i="49" a="1"/>
  <c r="K307" i="49" s="1"/>
  <c r="D48" i="49"/>
  <c r="F48" i="49" a="1"/>
  <c r="F48" i="49" s="1"/>
  <c r="C48" i="49"/>
  <c r="E48" i="49"/>
  <c r="I48" i="49"/>
  <c r="K48" i="49" a="1"/>
  <c r="K48" i="49" s="1"/>
  <c r="I196" i="49"/>
  <c r="D196" i="49"/>
  <c r="F196" i="49" a="1"/>
  <c r="F196" i="49" s="1"/>
  <c r="E196" i="49"/>
  <c r="C196" i="49"/>
  <c r="K196" i="49" a="1"/>
  <c r="K196" i="49" s="1"/>
  <c r="F179" i="49" a="1"/>
  <c r="F179" i="49" s="1"/>
  <c r="E179" i="49"/>
  <c r="I179" i="49"/>
  <c r="D179" i="49"/>
  <c r="C179" i="49"/>
  <c r="K179" i="49" a="1"/>
  <c r="K179" i="49" s="1"/>
  <c r="I292" i="49"/>
  <c r="D292" i="49"/>
  <c r="E292" i="49"/>
  <c r="C292" i="49"/>
  <c r="F292" i="49" a="1"/>
  <c r="F292" i="49" s="1"/>
  <c r="K292" i="49" a="1"/>
  <c r="K292" i="49" s="1"/>
  <c r="C69" i="49"/>
  <c r="F69" i="49" a="1"/>
  <c r="F69" i="49" s="1"/>
  <c r="D69" i="49"/>
  <c r="I69" i="49"/>
  <c r="E69" i="49"/>
  <c r="K69" i="49" a="1"/>
  <c r="K69" i="49" s="1"/>
  <c r="E17" i="49"/>
  <c r="C17" i="49"/>
  <c r="F17" i="49" a="1"/>
  <c r="F17" i="49" s="1"/>
  <c r="C100" i="49"/>
  <c r="F100" i="49" a="1"/>
  <c r="F100" i="49" s="1"/>
  <c r="I100" i="49"/>
  <c r="D100" i="49"/>
  <c r="E100" i="49"/>
  <c r="K100" i="49" a="1"/>
  <c r="K100" i="49" s="1"/>
  <c r="E235" i="49"/>
  <c r="I235" i="49"/>
  <c r="F235" i="49" a="1"/>
  <c r="F235" i="49" s="1"/>
  <c r="D235" i="49"/>
  <c r="C235" i="49"/>
  <c r="K235" i="49" a="1"/>
  <c r="K235" i="49" s="1"/>
  <c r="E158" i="49"/>
  <c r="D158" i="49"/>
  <c r="C158" i="49"/>
  <c r="I158" i="49"/>
  <c r="F158" i="49" a="1"/>
  <c r="F158" i="49" s="1"/>
  <c r="K158" i="49" a="1"/>
  <c r="K158" i="49" s="1"/>
  <c r="F114" i="49" a="1"/>
  <c r="F114" i="49" s="1"/>
  <c r="I114" i="49"/>
  <c r="D114" i="49"/>
  <c r="E114" i="49"/>
  <c r="C114" i="49"/>
  <c r="K114" i="49" a="1"/>
  <c r="K114" i="49" s="1"/>
  <c r="F70" i="49" a="1"/>
  <c r="F70" i="49" s="1"/>
  <c r="D70" i="49"/>
  <c r="E70" i="49"/>
  <c r="C70" i="49"/>
  <c r="I70" i="49"/>
  <c r="K70" i="49" a="1"/>
  <c r="K70" i="49" s="1"/>
  <c r="I78" i="49"/>
  <c r="C78" i="49"/>
  <c r="E78" i="49"/>
  <c r="D78" i="49"/>
  <c r="F78" i="49" a="1"/>
  <c r="F78" i="49" s="1"/>
  <c r="K78" i="49" a="1"/>
  <c r="K78" i="49" s="1"/>
  <c r="E237" i="49"/>
  <c r="I237" i="49"/>
  <c r="C237" i="49"/>
  <c r="D237" i="49"/>
  <c r="F237" i="49" a="1"/>
  <c r="F237" i="49" s="1"/>
  <c r="K237" i="49" a="1"/>
  <c r="K237" i="49" s="1"/>
  <c r="F275" i="49" a="1"/>
  <c r="F275" i="49" s="1"/>
  <c r="E275" i="49"/>
  <c r="D275" i="49"/>
  <c r="I275" i="49"/>
  <c r="C275" i="49"/>
  <c r="K275" i="49" a="1"/>
  <c r="K275" i="49" s="1"/>
  <c r="C313" i="49"/>
  <c r="E313" i="49"/>
  <c r="F313" i="49" a="1"/>
  <c r="F313" i="49" s="1"/>
  <c r="I313" i="49"/>
  <c r="D313" i="49"/>
  <c r="K313" i="49" a="1"/>
  <c r="K313" i="49" s="1"/>
  <c r="I314" i="49"/>
  <c r="E314" i="49"/>
  <c r="D314" i="49"/>
  <c r="F314" i="49" a="1"/>
  <c r="F314" i="49" s="1"/>
  <c r="C314" i="49"/>
  <c r="K314" i="49" a="1"/>
  <c r="K314" i="49" s="1"/>
  <c r="C205" i="49"/>
  <c r="I205" i="49"/>
  <c r="E205" i="49"/>
  <c r="F205" i="49" a="1"/>
  <c r="F205" i="49" s="1"/>
  <c r="D205" i="49"/>
  <c r="K205" i="49" a="1"/>
  <c r="K205" i="49" s="1"/>
  <c r="C252" i="49"/>
  <c r="E252" i="49"/>
  <c r="I252" i="49"/>
  <c r="F252" i="49" a="1"/>
  <c r="F252" i="49" s="1"/>
  <c r="D252" i="49"/>
  <c r="K252" i="49" a="1"/>
  <c r="K252" i="49" s="1"/>
  <c r="E322" i="49"/>
  <c r="F322" i="49" a="1"/>
  <c r="F322" i="49" s="1"/>
  <c r="C322" i="49"/>
  <c r="I322" i="49"/>
  <c r="D322" i="49"/>
  <c r="K322" i="49" a="1"/>
  <c r="K322" i="49" s="1"/>
  <c r="E305" i="49"/>
  <c r="C305" i="49"/>
  <c r="D305" i="49"/>
  <c r="I305" i="49"/>
  <c r="F305" i="49" a="1"/>
  <c r="F305" i="49" s="1"/>
  <c r="K305" i="49" a="1"/>
  <c r="K305" i="49" s="1"/>
  <c r="D73" i="49"/>
  <c r="E73" i="49"/>
  <c r="C73" i="49"/>
  <c r="I73" i="49"/>
  <c r="F73" i="49" a="1"/>
  <c r="F73" i="49" s="1"/>
  <c r="K73" i="49" a="1"/>
  <c r="K73" i="49" s="1"/>
  <c r="C261" i="49"/>
  <c r="E261" i="49"/>
  <c r="I261" i="49"/>
  <c r="F261" i="49" a="1"/>
  <c r="F261" i="49" s="1"/>
  <c r="D261" i="49"/>
  <c r="K261" i="49" a="1"/>
  <c r="K261" i="49" s="1"/>
  <c r="C347" i="49"/>
  <c r="F347" i="49" a="1"/>
  <c r="F347" i="49" s="1"/>
  <c r="D347" i="49"/>
  <c r="I347" i="49"/>
  <c r="E347" i="49"/>
  <c r="K347" i="49" a="1"/>
  <c r="K347" i="49" s="1"/>
  <c r="C278" i="49"/>
  <c r="I278" i="49"/>
  <c r="F278" i="49" a="1"/>
  <c r="F278" i="49" s="1"/>
  <c r="D278" i="49"/>
  <c r="E278" i="49"/>
  <c r="K278" i="49" a="1"/>
  <c r="K278" i="49" s="1"/>
  <c r="E67" i="49"/>
  <c r="C67" i="49"/>
  <c r="I67" i="49"/>
  <c r="D67" i="49"/>
  <c r="F67" i="49" a="1"/>
  <c r="F67" i="49" s="1"/>
  <c r="K67" i="49" a="1"/>
  <c r="K67" i="49" s="1"/>
  <c r="K236" i="49" a="1"/>
  <c r="K236" i="49" s="1"/>
  <c r="D236" i="49"/>
  <c r="F236" i="49" a="1"/>
  <c r="F236" i="49" s="1"/>
  <c r="E236" i="49"/>
  <c r="C236" i="49"/>
  <c r="I236" i="49"/>
  <c r="F80" i="49" a="1"/>
  <c r="F80" i="49" s="1"/>
  <c r="D80" i="49"/>
  <c r="C80" i="49"/>
  <c r="E80" i="49"/>
  <c r="I80" i="49"/>
  <c r="K80" i="49" a="1"/>
  <c r="K80" i="49" s="1"/>
  <c r="D129" i="49"/>
  <c r="I129" i="49"/>
  <c r="F129" i="49" a="1"/>
  <c r="F129" i="49" s="1"/>
  <c r="E129" i="49"/>
  <c r="C129" i="49"/>
  <c r="K129" i="49" a="1"/>
  <c r="K129" i="49" s="1"/>
  <c r="F229" i="49" a="1"/>
  <c r="F229" i="49" s="1"/>
  <c r="E229" i="49"/>
  <c r="I229" i="49"/>
  <c r="D229" i="49"/>
  <c r="C229" i="49"/>
  <c r="K229" i="49" a="1"/>
  <c r="K229" i="49" s="1"/>
  <c r="D49" i="91"/>
  <c r="C49" i="91"/>
  <c r="G49" i="91"/>
  <c r="B49" i="91"/>
  <c r="E49" i="91"/>
  <c r="C18" i="91"/>
  <c r="D18" i="91"/>
  <c r="G18" i="91"/>
  <c r="B18" i="91"/>
  <c r="E18" i="91"/>
  <c r="C66" i="91"/>
  <c r="B66" i="91"/>
  <c r="G66" i="91"/>
  <c r="E66" i="91"/>
  <c r="D66" i="91"/>
  <c r="C14" i="91"/>
  <c r="G14" i="91"/>
  <c r="D14" i="91"/>
  <c r="E14" i="91"/>
  <c r="B14" i="91"/>
  <c r="E16" i="91"/>
  <c r="D16" i="91"/>
  <c r="C16" i="91"/>
  <c r="G16" i="91"/>
  <c r="B16" i="91"/>
  <c r="C77" i="91"/>
  <c r="G77" i="91"/>
  <c r="D77" i="91"/>
  <c r="B77" i="91"/>
  <c r="E77" i="91"/>
  <c r="E58" i="91"/>
  <c r="C58" i="91"/>
  <c r="D58" i="91"/>
  <c r="G58" i="91"/>
  <c r="B58" i="91"/>
  <c r="G74" i="91"/>
  <c r="B74" i="91"/>
  <c r="C74" i="91"/>
  <c r="D74" i="91"/>
  <c r="E74" i="91"/>
  <c r="E42" i="19"/>
  <c r="B42" i="19"/>
  <c r="D42" i="19"/>
  <c r="C42" i="19"/>
  <c r="G42" i="19"/>
  <c r="C72" i="19"/>
  <c r="B72" i="19"/>
  <c r="E72" i="19"/>
  <c r="D72" i="19"/>
  <c r="G72" i="19"/>
  <c r="G40" i="19"/>
  <c r="E40" i="19"/>
  <c r="D40" i="19"/>
  <c r="C40" i="19"/>
  <c r="B40" i="19"/>
  <c r="B36" i="19"/>
  <c r="G36" i="19"/>
  <c r="D36" i="19"/>
  <c r="E36" i="19"/>
  <c r="C36" i="19"/>
  <c r="C85" i="19"/>
  <c r="G85" i="19"/>
  <c r="E85" i="19"/>
  <c r="D85" i="19"/>
  <c r="B85" i="19"/>
  <c r="B59" i="19"/>
  <c r="C59" i="19"/>
  <c r="G59" i="19"/>
  <c r="D59" i="19"/>
  <c r="E59" i="19"/>
  <c r="G32" i="19"/>
  <c r="E32" i="19"/>
  <c r="C32" i="19"/>
  <c r="B32" i="19"/>
  <c r="D32" i="19"/>
  <c r="F72" i="52" a="1"/>
  <c r="F72" i="52" s="1"/>
  <c r="E72" i="52"/>
  <c r="C72" i="52"/>
  <c r="D72" i="52"/>
  <c r="L172" i="52" a="1"/>
  <c r="L172" i="52" s="1"/>
  <c r="I172" i="52"/>
  <c r="D172" i="52"/>
  <c r="C172" i="52"/>
  <c r="F172" i="52" a="1"/>
  <c r="F172" i="52" s="1"/>
  <c r="E172" i="52"/>
  <c r="D68" i="52"/>
  <c r="E68" i="52"/>
  <c r="C68" i="52"/>
  <c r="F68" i="52" a="1"/>
  <c r="F68" i="52" s="1"/>
  <c r="L238" i="52" a="1"/>
  <c r="L238" i="52" s="1"/>
  <c r="I238" i="52"/>
  <c r="E238" i="52"/>
  <c r="D238" i="52"/>
  <c r="C238" i="52"/>
  <c r="F238" i="52" a="1"/>
  <c r="F238" i="52" s="1"/>
  <c r="C116" i="52"/>
  <c r="D116" i="52"/>
  <c r="L116" i="52" a="1"/>
  <c r="L116" i="52" s="1"/>
  <c r="I116" i="52"/>
  <c r="F116" i="52" a="1"/>
  <c r="F116" i="52" s="1"/>
  <c r="E116" i="52"/>
  <c r="F150" i="52" a="1"/>
  <c r="F150" i="52" s="1"/>
  <c r="I150" i="52"/>
  <c r="E150" i="52"/>
  <c r="C150" i="52"/>
  <c r="D150" i="52"/>
  <c r="L150" i="52" a="1"/>
  <c r="L150" i="52" s="1"/>
  <c r="E303" i="52"/>
  <c r="C303" i="52"/>
  <c r="D303" i="52"/>
  <c r="F303" i="52" a="1"/>
  <c r="F303" i="52" s="1"/>
  <c r="I303" i="52"/>
  <c r="L303" i="52" a="1"/>
  <c r="L303" i="52" s="1"/>
  <c r="I82" i="52"/>
  <c r="L82" i="52" a="1"/>
  <c r="L82" i="52" s="1"/>
  <c r="E82" i="52"/>
  <c r="C82" i="52"/>
  <c r="F82" i="52" a="1"/>
  <c r="F82" i="52" s="1"/>
  <c r="D82" i="52"/>
  <c r="L171" i="52" a="1"/>
  <c r="L171" i="52" s="1"/>
  <c r="C171" i="52"/>
  <c r="D171" i="52"/>
  <c r="I171" i="52"/>
  <c r="E171" i="52"/>
  <c r="F171" i="52" a="1"/>
  <c r="F171" i="52" s="1"/>
  <c r="E139" i="52"/>
  <c r="L139" i="52" a="1"/>
  <c r="L139" i="52" s="1"/>
  <c r="D139" i="52"/>
  <c r="C139" i="52"/>
  <c r="I139" i="52"/>
  <c r="F139" i="52" a="1"/>
  <c r="F139" i="52" s="1"/>
  <c r="E39" i="52"/>
  <c r="C39" i="52"/>
  <c r="F39" i="52" a="1"/>
  <c r="F39" i="52" s="1"/>
  <c r="L212" i="52" a="1"/>
  <c r="L212" i="52" s="1"/>
  <c r="E212" i="52"/>
  <c r="I212" i="52"/>
  <c r="D212" i="52"/>
  <c r="F212" i="52" a="1"/>
  <c r="F212" i="52" s="1"/>
  <c r="C212" i="52"/>
  <c r="D190" i="52"/>
  <c r="I190" i="52"/>
  <c r="C190" i="52"/>
  <c r="L190" i="52" a="1"/>
  <c r="L190" i="52" s="1"/>
  <c r="F190" i="52" a="1"/>
  <c r="F190" i="52" s="1"/>
  <c r="E190" i="52"/>
  <c r="F257" i="52" a="1"/>
  <c r="F257" i="52" s="1"/>
  <c r="D257" i="52"/>
  <c r="C257" i="52"/>
  <c r="L257" i="52" a="1"/>
  <c r="L257" i="52" s="1"/>
  <c r="I257" i="52"/>
  <c r="E257" i="52"/>
  <c r="F170" i="52" a="1"/>
  <c r="F170" i="52" s="1"/>
  <c r="L170" i="52" a="1"/>
  <c r="L170" i="52" s="1"/>
  <c r="C170" i="52"/>
  <c r="E170" i="52"/>
  <c r="I170" i="52"/>
  <c r="D170" i="52"/>
  <c r="I105" i="52"/>
  <c r="E105" i="52"/>
  <c r="L105" i="52" a="1"/>
  <c r="L105" i="52" s="1"/>
  <c r="D105" i="52"/>
  <c r="C105" i="52"/>
  <c r="F105" i="52" a="1"/>
  <c r="F105" i="52" s="1"/>
  <c r="L344" i="52" a="1"/>
  <c r="L344" i="52" s="1"/>
  <c r="C344" i="52"/>
  <c r="E344" i="52"/>
  <c r="D344" i="52"/>
  <c r="F344" i="52" a="1"/>
  <c r="F344" i="52" s="1"/>
  <c r="I344" i="52"/>
  <c r="I291" i="52"/>
  <c r="E291" i="52"/>
  <c r="L291" i="52" a="1"/>
  <c r="L291" i="52" s="1"/>
  <c r="F291" i="52" a="1"/>
  <c r="F291" i="52" s="1"/>
  <c r="C291" i="52"/>
  <c r="D291" i="52"/>
  <c r="E70" i="52"/>
  <c r="C70" i="52"/>
  <c r="F70" i="52" a="1"/>
  <c r="F70" i="52" s="1"/>
  <c r="L70" i="52" a="1"/>
  <c r="L70" i="52" s="1"/>
  <c r="F165" i="52" a="1"/>
  <c r="F165" i="52" s="1"/>
  <c r="C165" i="52"/>
  <c r="D165" i="52"/>
  <c r="L165" i="52" a="1"/>
  <c r="L165" i="52" s="1"/>
  <c r="E165" i="52"/>
  <c r="I165" i="52"/>
  <c r="C108" i="52"/>
  <c r="F108" i="52" a="1"/>
  <c r="F108" i="52" s="1"/>
  <c r="L108" i="52" a="1"/>
  <c r="L108" i="52" s="1"/>
  <c r="I108" i="52"/>
  <c r="E108" i="52"/>
  <c r="D108" i="52"/>
  <c r="D183" i="52"/>
  <c r="F183" i="52" a="1"/>
  <c r="F183" i="52" s="1"/>
  <c r="C183" i="52"/>
  <c r="I183" i="52"/>
  <c r="L183" i="52" a="1"/>
  <c r="L183" i="52" s="1"/>
  <c r="E183" i="52"/>
  <c r="F21" i="52" a="1"/>
  <c r="F21" i="52" s="1"/>
  <c r="C21" i="52"/>
  <c r="E21" i="52"/>
  <c r="D21" i="52"/>
  <c r="L166" i="52" a="1"/>
  <c r="L166" i="52" s="1"/>
  <c r="I166" i="52"/>
  <c r="D166" i="52"/>
  <c r="E166" i="52"/>
  <c r="F166" i="52" a="1"/>
  <c r="F166" i="52" s="1"/>
  <c r="C166" i="52"/>
  <c r="C85" i="52"/>
  <c r="E85" i="52"/>
  <c r="L85" i="52" a="1"/>
  <c r="L85" i="52" s="1"/>
  <c r="I85" i="52"/>
  <c r="D85" i="52"/>
  <c r="F85" i="52" a="1"/>
  <c r="F85" i="52" s="1"/>
  <c r="D31" i="52"/>
  <c r="E31" i="52"/>
  <c r="F31" i="52" a="1"/>
  <c r="F31" i="52" s="1"/>
  <c r="C31" i="52"/>
  <c r="D240" i="52"/>
  <c r="C240" i="52"/>
  <c r="L240" i="52" a="1"/>
  <c r="L240" i="52" s="1"/>
  <c r="F240" i="52" a="1"/>
  <c r="F240" i="52" s="1"/>
  <c r="E240" i="52"/>
  <c r="I240" i="52"/>
  <c r="E58" i="52"/>
  <c r="C58" i="52"/>
  <c r="F58" i="52" a="1"/>
  <c r="F58" i="52" s="1"/>
  <c r="L58" i="52" a="1"/>
  <c r="L58" i="52" s="1"/>
  <c r="L113" i="52" a="1"/>
  <c r="L113" i="52" s="1"/>
  <c r="E113" i="52"/>
  <c r="C113" i="52"/>
  <c r="F113" i="52" a="1"/>
  <c r="F113" i="52" s="1"/>
  <c r="D113" i="52"/>
  <c r="I113" i="52"/>
  <c r="F65" i="52" a="1"/>
  <c r="F65" i="52" s="1"/>
  <c r="D65" i="52"/>
  <c r="E65" i="52"/>
  <c r="C65" i="52"/>
  <c r="L297" i="52" a="1"/>
  <c r="L297" i="52" s="1"/>
  <c r="E297" i="52"/>
  <c r="I297" i="52"/>
  <c r="C297" i="52"/>
  <c r="D297" i="52"/>
  <c r="F297" i="52" a="1"/>
  <c r="F297" i="52" s="1"/>
  <c r="L149" i="52" a="1"/>
  <c r="L149" i="52" s="1"/>
  <c r="F149" i="52" a="1"/>
  <c r="F149" i="52" s="1"/>
  <c r="C149" i="52"/>
  <c r="E149" i="52"/>
  <c r="I149" i="52"/>
  <c r="D149" i="52"/>
  <c r="D44" i="25"/>
  <c r="E44" i="25"/>
  <c r="C44" i="25"/>
  <c r="B44" i="25"/>
  <c r="G44" i="25"/>
  <c r="C80" i="25"/>
  <c r="E80" i="25"/>
  <c r="B80" i="25"/>
  <c r="D80" i="25"/>
  <c r="G80" i="25"/>
  <c r="E74" i="25"/>
  <c r="G74" i="25"/>
  <c r="C74" i="25"/>
  <c r="D74" i="25"/>
  <c r="B74" i="25"/>
  <c r="C83" i="25"/>
  <c r="G83" i="25"/>
  <c r="B83" i="25"/>
  <c r="E83" i="25"/>
  <c r="D83" i="25"/>
  <c r="E219" i="100"/>
  <c r="I219" i="100"/>
  <c r="D219" i="100"/>
  <c r="F219" i="100" a="1"/>
  <c r="F219" i="100" s="1"/>
  <c r="C219" i="100"/>
  <c r="K219" i="100" a="1"/>
  <c r="K219" i="100" s="1"/>
  <c r="D245" i="100"/>
  <c r="C245" i="100"/>
  <c r="E245" i="100"/>
  <c r="I245" i="100"/>
  <c r="F245" i="100" a="1"/>
  <c r="F245" i="100" s="1"/>
  <c r="K245" i="100" a="1"/>
  <c r="K245" i="100" s="1"/>
  <c r="F109" i="100" a="1"/>
  <c r="F109" i="100" s="1"/>
  <c r="E109" i="100"/>
  <c r="D109" i="100"/>
  <c r="I109" i="100"/>
  <c r="C109" i="100"/>
  <c r="K109" i="100" a="1"/>
  <c r="K109" i="100" s="1"/>
  <c r="C246" i="100"/>
  <c r="I246" i="100"/>
  <c r="D246" i="100"/>
  <c r="F246" i="100" a="1"/>
  <c r="F246" i="100" s="1"/>
  <c r="E246" i="100"/>
  <c r="K246" i="100" a="1"/>
  <c r="K246" i="100" s="1"/>
  <c r="D145" i="100"/>
  <c r="C145" i="100"/>
  <c r="F145" i="100" a="1"/>
  <c r="F145" i="100" s="1"/>
  <c r="E145" i="100"/>
  <c r="I145" i="100"/>
  <c r="K145" i="100" a="1"/>
  <c r="K145" i="100" s="1"/>
  <c r="D80" i="100"/>
  <c r="F80" i="100" a="1"/>
  <c r="F80" i="100" s="1"/>
  <c r="I80" i="100"/>
  <c r="E80" i="100"/>
  <c r="C80" i="100"/>
  <c r="K80" i="100" a="1"/>
  <c r="K80" i="100" s="1"/>
  <c r="I212" i="100"/>
  <c r="D212" i="100"/>
  <c r="F212" i="100" a="1"/>
  <c r="F212" i="100" s="1"/>
  <c r="E212" i="100"/>
  <c r="C212" i="100"/>
  <c r="K212" i="100" a="1"/>
  <c r="K212" i="100" s="1"/>
  <c r="F91" i="100" a="1"/>
  <c r="F91" i="100" s="1"/>
  <c r="D91" i="100"/>
  <c r="E91" i="100"/>
  <c r="I91" i="100"/>
  <c r="C91" i="100"/>
  <c r="K91" i="100" a="1"/>
  <c r="K91" i="100" s="1"/>
  <c r="D101" i="100"/>
  <c r="C101" i="100"/>
  <c r="I101" i="100"/>
  <c r="E101" i="100"/>
  <c r="F101" i="100" a="1"/>
  <c r="F101" i="100" s="1"/>
  <c r="K101" i="100" a="1"/>
  <c r="K101" i="100" s="1"/>
  <c r="I62" i="100"/>
  <c r="D62" i="100"/>
  <c r="E62" i="100"/>
  <c r="C62" i="100"/>
  <c r="F62" i="100" a="1"/>
  <c r="F62" i="100" s="1"/>
  <c r="K62" i="100" a="1"/>
  <c r="K62" i="100" s="1"/>
  <c r="E153" i="100"/>
  <c r="F153" i="100" a="1"/>
  <c r="F153" i="100" s="1"/>
  <c r="C153" i="100"/>
  <c r="I153" i="100"/>
  <c r="D153" i="100"/>
  <c r="K153" i="100" a="1"/>
  <c r="K153" i="100" s="1"/>
  <c r="C73" i="100"/>
  <c r="F73" i="100" a="1"/>
  <c r="F73" i="100" s="1"/>
  <c r="E73" i="100"/>
  <c r="I73" i="100"/>
  <c r="D73" i="100"/>
  <c r="K73" i="100" a="1"/>
  <c r="K73" i="100" s="1"/>
  <c r="C31" i="100"/>
  <c r="E31" i="100"/>
  <c r="D31" i="100"/>
  <c r="F31" i="100" a="1"/>
  <c r="F31" i="100" s="1"/>
  <c r="C343" i="100"/>
  <c r="I343" i="100"/>
  <c r="F343" i="100" a="1"/>
  <c r="F343" i="100" s="1"/>
  <c r="D343" i="100"/>
  <c r="E343" i="100"/>
  <c r="K343" i="100" a="1"/>
  <c r="K343" i="100" s="1"/>
  <c r="I102" i="100"/>
  <c r="F102" i="100" a="1"/>
  <c r="F102" i="100" s="1"/>
  <c r="E102" i="100"/>
  <c r="C102" i="100"/>
  <c r="D102" i="100"/>
  <c r="K102" i="100" a="1"/>
  <c r="K102" i="100" s="1"/>
  <c r="F72" i="100" a="1"/>
  <c r="F72" i="100" s="1"/>
  <c r="C72" i="100"/>
  <c r="D72" i="100"/>
  <c r="I72" i="100"/>
  <c r="E72" i="100"/>
  <c r="K72" i="100" a="1"/>
  <c r="K72" i="100" s="1"/>
  <c r="C178" i="100"/>
  <c r="E178" i="100"/>
  <c r="D178" i="100"/>
  <c r="F178" i="100" a="1"/>
  <c r="F178" i="100" s="1"/>
  <c r="I178" i="100"/>
  <c r="K178" i="100" a="1"/>
  <c r="K178" i="100" s="1"/>
  <c r="E200" i="100"/>
  <c r="C200" i="100"/>
  <c r="I200" i="100"/>
  <c r="F200" i="100" a="1"/>
  <c r="F200" i="100" s="1"/>
  <c r="D200" i="100"/>
  <c r="K200" i="100" a="1"/>
  <c r="K200" i="100" s="1"/>
  <c r="F337" i="100" a="1"/>
  <c r="F337" i="100" s="1"/>
  <c r="D337" i="100"/>
  <c r="C337" i="100"/>
  <c r="E337" i="100"/>
  <c r="I337" i="100"/>
  <c r="K337" i="100" a="1"/>
  <c r="K337" i="100" s="1"/>
  <c r="D104" i="100"/>
  <c r="F104" i="100" a="1"/>
  <c r="F104" i="100" s="1"/>
  <c r="I104" i="100"/>
  <c r="E104" i="100"/>
  <c r="C104" i="100"/>
  <c r="K104" i="100" a="1"/>
  <c r="K104" i="100" s="1"/>
  <c r="F233" i="100" a="1"/>
  <c r="F233" i="100" s="1"/>
  <c r="C233" i="100"/>
  <c r="D233" i="100"/>
  <c r="E233" i="100"/>
  <c r="I233" i="100"/>
  <c r="K233" i="100" a="1"/>
  <c r="K233" i="100" s="1"/>
  <c r="F297" i="100" a="1"/>
  <c r="F297" i="100" s="1"/>
  <c r="D297" i="100"/>
  <c r="I297" i="100"/>
  <c r="E297" i="100"/>
  <c r="C297" i="100"/>
  <c r="K297" i="100" a="1"/>
  <c r="K297" i="100" s="1"/>
  <c r="C224" i="100"/>
  <c r="F224" i="100" a="1"/>
  <c r="F224" i="100" s="1"/>
  <c r="E224" i="100"/>
  <c r="I224" i="100"/>
  <c r="D224" i="100"/>
  <c r="K224" i="100" a="1"/>
  <c r="K224" i="100" s="1"/>
  <c r="D27" i="100"/>
  <c r="F27" i="100" a="1"/>
  <c r="F27" i="100" s="1"/>
  <c r="E27" i="100"/>
  <c r="C27" i="100"/>
  <c r="F35" i="100" a="1"/>
  <c r="F35" i="100" s="1"/>
  <c r="D35" i="100"/>
  <c r="E35" i="100"/>
  <c r="C35" i="100"/>
  <c r="F45" i="100" a="1"/>
  <c r="F45" i="100" s="1"/>
  <c r="C45" i="100"/>
  <c r="D45" i="100"/>
  <c r="E45" i="100"/>
  <c r="F255" i="100" a="1"/>
  <c r="F255" i="100" s="1"/>
  <c r="C255" i="100"/>
  <c r="I255" i="100"/>
  <c r="D255" i="100"/>
  <c r="E255" i="100"/>
  <c r="K255" i="100" a="1"/>
  <c r="K255" i="100" s="1"/>
  <c r="I321" i="100"/>
  <c r="E321" i="100"/>
  <c r="C321" i="100"/>
  <c r="F321" i="100" a="1"/>
  <c r="F321" i="100" s="1"/>
  <c r="D321" i="100"/>
  <c r="K321" i="100" a="1"/>
  <c r="K321" i="100" s="1"/>
  <c r="F295" i="101" a="1"/>
  <c r="F295" i="101" s="1"/>
  <c r="E295" i="101"/>
  <c r="C295" i="101"/>
  <c r="I295" i="101"/>
  <c r="D295" i="101"/>
  <c r="C209" i="101"/>
  <c r="F209" i="101" a="1"/>
  <c r="F209" i="101" s="1"/>
  <c r="I209" i="101"/>
  <c r="E209" i="101"/>
  <c r="D209" i="101"/>
  <c r="D33" i="101"/>
  <c r="F33" i="101" a="1"/>
  <c r="F33" i="101" s="1"/>
  <c r="C33" i="101"/>
  <c r="I33" i="101"/>
  <c r="E33" i="101"/>
  <c r="I84" i="101"/>
  <c r="C84" i="101"/>
  <c r="F84" i="101" a="1"/>
  <c r="F84" i="101" s="1"/>
  <c r="E84" i="101"/>
  <c r="D84" i="101"/>
  <c r="F226" i="101" a="1"/>
  <c r="F226" i="101" s="1"/>
  <c r="C226" i="101"/>
  <c r="I226" i="101"/>
  <c r="E226" i="101"/>
  <c r="D226" i="101"/>
  <c r="F8" i="101" a="1"/>
  <c r="F8" i="101" s="1"/>
  <c r="C8" i="101"/>
  <c r="E8" i="101"/>
  <c r="D8" i="101"/>
  <c r="D241" i="101"/>
  <c r="E241" i="101"/>
  <c r="F241" i="101" a="1"/>
  <c r="F241" i="101" s="1"/>
  <c r="I241" i="101"/>
  <c r="C241" i="101"/>
  <c r="I204" i="101"/>
  <c r="E204" i="101"/>
  <c r="C204" i="101"/>
  <c r="D204" i="101"/>
  <c r="F204" i="101" a="1"/>
  <c r="F204" i="101" s="1"/>
  <c r="F161" i="101" a="1"/>
  <c r="F161" i="101" s="1"/>
  <c r="E161" i="101"/>
  <c r="I161" i="101"/>
  <c r="D161" i="101"/>
  <c r="C161" i="101"/>
  <c r="I38" i="101"/>
  <c r="F38" i="101" a="1"/>
  <c r="F38" i="101" s="1"/>
  <c r="E38" i="101"/>
  <c r="C38" i="101"/>
  <c r="D38" i="101"/>
  <c r="C130" i="101"/>
  <c r="F130" i="101" a="1"/>
  <c r="F130" i="101" s="1"/>
  <c r="I130" i="101"/>
  <c r="E130" i="101"/>
  <c r="D130" i="101"/>
  <c r="C186" i="101"/>
  <c r="I186" i="101"/>
  <c r="F186" i="101" a="1"/>
  <c r="F186" i="101" s="1"/>
  <c r="D186" i="101"/>
  <c r="E186" i="101"/>
  <c r="E70" i="101"/>
  <c r="I70" i="101"/>
  <c r="C70" i="101"/>
  <c r="F70" i="101" a="1"/>
  <c r="F70" i="101" s="1"/>
  <c r="D70" i="101"/>
  <c r="C141" i="101"/>
  <c r="D141" i="101"/>
  <c r="E141" i="101"/>
  <c r="F141" i="101" a="1"/>
  <c r="F141" i="101" s="1"/>
  <c r="I141" i="101"/>
  <c r="C316" i="101"/>
  <c r="I316" i="101"/>
  <c r="F316" i="101" a="1"/>
  <c r="F316" i="101" s="1"/>
  <c r="D316" i="101"/>
  <c r="E316" i="101"/>
  <c r="C126" i="101"/>
  <c r="E126" i="101"/>
  <c r="F126" i="101" a="1"/>
  <c r="F126" i="101" s="1"/>
  <c r="I126" i="101"/>
  <c r="D126" i="101"/>
  <c r="E337" i="101"/>
  <c r="F337" i="101" a="1"/>
  <c r="F337" i="101" s="1"/>
  <c r="C337" i="101"/>
  <c r="D337" i="101"/>
  <c r="I337" i="101"/>
  <c r="E303" i="101"/>
  <c r="C303" i="101"/>
  <c r="I303" i="101"/>
  <c r="D303" i="101"/>
  <c r="F303" i="101" a="1"/>
  <c r="F303" i="101" s="1"/>
  <c r="C147" i="101"/>
  <c r="F147" i="101" a="1"/>
  <c r="F147" i="101" s="1"/>
  <c r="I147" i="101"/>
  <c r="D147" i="101"/>
  <c r="E147" i="101"/>
  <c r="F122" i="101" a="1"/>
  <c r="F122" i="101" s="1"/>
  <c r="I122" i="101"/>
  <c r="E122" i="101"/>
  <c r="C122" i="101"/>
  <c r="D122" i="101"/>
  <c r="F156" i="101" a="1"/>
  <c r="F156" i="101" s="1"/>
  <c r="I156" i="101"/>
  <c r="D156" i="101"/>
  <c r="C156" i="101"/>
  <c r="E156" i="101"/>
  <c r="E255" i="101"/>
  <c r="I255" i="101"/>
  <c r="D255" i="101"/>
  <c r="C255" i="101"/>
  <c r="F255" i="101" a="1"/>
  <c r="F255" i="101" s="1"/>
  <c r="E225" i="101"/>
  <c r="F225" i="101" a="1"/>
  <c r="F225" i="101" s="1"/>
  <c r="D225" i="101"/>
  <c r="I225" i="101"/>
  <c r="C225" i="101"/>
  <c r="E45" i="34"/>
  <c r="B45" i="34"/>
  <c r="G45" i="34"/>
  <c r="D45" i="34"/>
  <c r="C45" i="34"/>
  <c r="D76" i="34"/>
  <c r="E76" i="34"/>
  <c r="B76" i="34"/>
  <c r="G76" i="34"/>
  <c r="C76" i="34"/>
  <c r="G58" i="34"/>
  <c r="B58" i="34"/>
  <c r="E58" i="34"/>
  <c r="C58" i="34"/>
  <c r="D58" i="34"/>
  <c r="C53" i="34"/>
  <c r="E53" i="34"/>
  <c r="D53" i="34"/>
  <c r="G53" i="34"/>
  <c r="B53" i="34"/>
  <c r="E47" i="34"/>
  <c r="C47" i="34"/>
  <c r="G47" i="34"/>
  <c r="B47" i="34"/>
  <c r="D47" i="34"/>
  <c r="D80" i="34"/>
  <c r="G80" i="34"/>
  <c r="E80" i="34"/>
  <c r="C80" i="34"/>
  <c r="B80" i="34"/>
  <c r="D8" i="34"/>
  <c r="C8" i="34"/>
  <c r="B8" i="34"/>
  <c r="E8" i="34"/>
  <c r="G8" i="34"/>
  <c r="C32" i="34"/>
  <c r="G32" i="34"/>
  <c r="B32" i="34"/>
  <c r="E32" i="34"/>
  <c r="D32" i="34"/>
  <c r="C17" i="22"/>
  <c r="D17" i="22"/>
  <c r="B17" i="22"/>
  <c r="C41" i="22"/>
  <c r="D41" i="22"/>
  <c r="B41" i="22"/>
  <c r="G41" i="22"/>
  <c r="E41" i="22"/>
  <c r="D8" i="22"/>
  <c r="B8" i="22"/>
  <c r="C8" i="22"/>
  <c r="D62" i="22"/>
  <c r="E62" i="22"/>
  <c r="G62" i="22"/>
  <c r="C62" i="22"/>
  <c r="B62" i="22"/>
  <c r="C18" i="22"/>
  <c r="D18" i="22"/>
  <c r="B18" i="22"/>
  <c r="B80" i="22"/>
  <c r="E80" i="22"/>
  <c r="G80" i="22"/>
  <c r="D80" i="22"/>
  <c r="C80" i="22"/>
  <c r="E19" i="51"/>
  <c r="F19" i="51" a="1"/>
  <c r="F19" i="51" s="1"/>
  <c r="K19" i="51" a="1"/>
  <c r="K19" i="51" s="1"/>
  <c r="C19" i="51"/>
  <c r="I19" i="51"/>
  <c r="D19" i="51"/>
  <c r="K55" i="51" a="1"/>
  <c r="K55" i="51" s="1"/>
  <c r="I55" i="51"/>
  <c r="F55" i="51" a="1"/>
  <c r="F55" i="51" s="1"/>
  <c r="E55" i="51"/>
  <c r="D55" i="51"/>
  <c r="C55" i="51"/>
  <c r="K71" i="51" a="1"/>
  <c r="K71" i="51" s="1"/>
  <c r="E71" i="51"/>
  <c r="I71" i="51"/>
  <c r="F71" i="51" a="1"/>
  <c r="F71" i="51" s="1"/>
  <c r="D71" i="51"/>
  <c r="C71" i="51"/>
  <c r="E36" i="51"/>
  <c r="C36" i="51"/>
  <c r="D36" i="51"/>
  <c r="K36" i="51" a="1"/>
  <c r="K36" i="51" s="1"/>
  <c r="F36" i="51" a="1"/>
  <c r="F36" i="51" s="1"/>
  <c r="I36" i="51"/>
  <c r="D22" i="51"/>
  <c r="F22" i="51" a="1"/>
  <c r="F22" i="51" s="1"/>
  <c r="E22" i="51"/>
  <c r="K22" i="51" a="1"/>
  <c r="K22" i="51" s="1"/>
  <c r="C22" i="51"/>
  <c r="I22" i="51"/>
  <c r="F66" i="51" a="1"/>
  <c r="F66" i="51" s="1"/>
  <c r="K66" i="51" a="1"/>
  <c r="K66" i="51" s="1"/>
  <c r="I66" i="51"/>
  <c r="C66" i="51"/>
  <c r="D66" i="51"/>
  <c r="E66" i="51"/>
  <c r="E74" i="39"/>
  <c r="E85" i="39"/>
  <c r="A3" i="39"/>
  <c r="B71" i="36"/>
  <c r="D55" i="39"/>
  <c r="D74" i="39"/>
  <c r="D9" i="39"/>
  <c r="G49" i="39"/>
  <c r="G85" i="39"/>
  <c r="C10" i="39"/>
  <c r="E37" i="39"/>
  <c r="D31" i="39"/>
  <c r="B36" i="39"/>
  <c r="D71" i="36"/>
  <c r="E79" i="39"/>
  <c r="B33" i="39"/>
  <c r="B74" i="39"/>
  <c r="E49" i="39"/>
  <c r="G64" i="39"/>
  <c r="E31" i="39"/>
  <c r="G36" i="39"/>
  <c r="E10" i="98"/>
  <c r="D46" i="22"/>
  <c r="B71" i="91"/>
  <c r="C27" i="22"/>
  <c r="E78" i="22"/>
  <c r="G84" i="24"/>
  <c r="B84" i="24"/>
  <c r="D84" i="24"/>
  <c r="C84" i="24"/>
  <c r="E84" i="24"/>
  <c r="D75" i="24"/>
  <c r="C75" i="24"/>
  <c r="B75" i="24"/>
  <c r="G75" i="24"/>
  <c r="E75" i="24"/>
  <c r="C85" i="24"/>
  <c r="E85" i="24"/>
  <c r="D85" i="24"/>
  <c r="G85" i="24"/>
  <c r="B85" i="24"/>
  <c r="D7" i="24"/>
  <c r="B7" i="24"/>
  <c r="E7" i="24"/>
  <c r="C7" i="24"/>
  <c r="E22" i="24"/>
  <c r="E82" i="24"/>
  <c r="G82" i="24"/>
  <c r="D82" i="24"/>
  <c r="C82" i="24"/>
  <c r="B82" i="24"/>
  <c r="J305" i="53"/>
  <c r="G305" i="53" a="1"/>
  <c r="G305" i="53" s="1"/>
  <c r="F305" i="53"/>
  <c r="U305" i="53" s="1"/>
  <c r="D305" i="53"/>
  <c r="E305" i="53"/>
  <c r="G40" i="53" a="1"/>
  <c r="G40" i="53" s="1"/>
  <c r="G345" i="53" a="1"/>
  <c r="G345" i="53" s="1"/>
  <c r="J345" i="53"/>
  <c r="E345" i="53"/>
  <c r="F345" i="53"/>
  <c r="U345" i="53" s="1"/>
  <c r="D345" i="53"/>
  <c r="J216" i="53"/>
  <c r="D216" i="53"/>
  <c r="E216" i="53"/>
  <c r="G216" i="53" a="1"/>
  <c r="G216" i="53" s="1"/>
  <c r="F216" i="53"/>
  <c r="U216" i="53" s="1"/>
  <c r="D19" i="53"/>
  <c r="E239" i="53"/>
  <c r="J239" i="53"/>
  <c r="D239" i="53"/>
  <c r="G239" i="53" a="1"/>
  <c r="G239" i="53" s="1"/>
  <c r="F239" i="53"/>
  <c r="U239" i="53" s="1"/>
  <c r="D326" i="53"/>
  <c r="G326" i="53" a="1"/>
  <c r="G326" i="53" s="1"/>
  <c r="E326" i="53"/>
  <c r="F326" i="53"/>
  <c r="U326" i="53" s="1"/>
  <c r="J326" i="53"/>
  <c r="G139" i="53" a="1"/>
  <c r="G139" i="53" s="1"/>
  <c r="E139" i="53"/>
  <c r="J139" i="53"/>
  <c r="D139" i="53"/>
  <c r="F139" i="53"/>
  <c r="U139" i="53" s="1"/>
  <c r="E318" i="53"/>
  <c r="F318" i="53"/>
  <c r="U318" i="53" s="1"/>
  <c r="D318" i="53"/>
  <c r="G318" i="53" a="1"/>
  <c r="G318" i="53" s="1"/>
  <c r="J318" i="53"/>
  <c r="D224" i="53"/>
  <c r="G224" i="53" a="1"/>
  <c r="G224" i="53" s="1"/>
  <c r="F224" i="53"/>
  <c r="U224" i="53" s="1"/>
  <c r="E224" i="53"/>
  <c r="J224" i="53"/>
  <c r="D16" i="53"/>
  <c r="F247" i="53"/>
  <c r="U247" i="53" s="1"/>
  <c r="G247" i="53" a="1"/>
  <c r="G247" i="53" s="1"/>
  <c r="E247" i="53"/>
  <c r="D247" i="53"/>
  <c r="J247" i="53"/>
  <c r="G303" i="53" a="1"/>
  <c r="G303" i="53" s="1"/>
  <c r="E303" i="53"/>
  <c r="F303" i="53"/>
  <c r="U303" i="53" s="1"/>
  <c r="J303" i="53"/>
  <c r="D303" i="53"/>
  <c r="E180" i="53"/>
  <c r="G180" i="53" a="1"/>
  <c r="G180" i="53" s="1"/>
  <c r="D180" i="53"/>
  <c r="F180" i="53"/>
  <c r="U180" i="53" s="1"/>
  <c r="J180" i="53"/>
  <c r="J236" i="53"/>
  <c r="D236" i="53"/>
  <c r="G236" i="53" a="1"/>
  <c r="G236" i="53" s="1"/>
  <c r="F236" i="53"/>
  <c r="U236" i="53" s="1"/>
  <c r="E236" i="53"/>
  <c r="F203" i="53"/>
  <c r="U203" i="53" s="1"/>
  <c r="E203" i="53"/>
  <c r="G203" i="53" a="1"/>
  <c r="G203" i="53" s="1"/>
  <c r="J203" i="53"/>
  <c r="D203" i="53"/>
  <c r="E42" i="53"/>
  <c r="F42" i="53"/>
  <c r="G42" i="53" a="1"/>
  <c r="G42" i="53" s="1"/>
  <c r="D42" i="53"/>
  <c r="E306" i="53"/>
  <c r="F306" i="53"/>
  <c r="U306" i="53" s="1"/>
  <c r="G306" i="53" a="1"/>
  <c r="G306" i="53" s="1"/>
  <c r="J306" i="53"/>
  <c r="D306" i="53"/>
  <c r="E60" i="53"/>
  <c r="J60" i="53"/>
  <c r="G60" i="53" a="1"/>
  <c r="G60" i="53" s="1"/>
  <c r="D60" i="53"/>
  <c r="F60" i="53"/>
  <c r="U60" i="53" s="1"/>
  <c r="E342" i="50"/>
  <c r="D342" i="50"/>
  <c r="F342" i="50"/>
  <c r="U342" i="50" s="1"/>
  <c r="J342" i="50"/>
  <c r="G342" i="50" a="1"/>
  <c r="G342" i="50" s="1"/>
  <c r="J184" i="50"/>
  <c r="E184" i="50"/>
  <c r="D184" i="50"/>
  <c r="F184" i="50"/>
  <c r="U184" i="50" s="1"/>
  <c r="G184" i="50" a="1"/>
  <c r="G184" i="50" s="1"/>
  <c r="G82" i="50" a="1"/>
  <c r="G82" i="50" s="1"/>
  <c r="D82" i="50"/>
  <c r="J82" i="50"/>
  <c r="F82" i="50"/>
  <c r="U82" i="50" s="1"/>
  <c r="E82" i="50"/>
  <c r="F308" i="50"/>
  <c r="U308" i="50" s="1"/>
  <c r="E308" i="50"/>
  <c r="J308" i="50"/>
  <c r="D308" i="50"/>
  <c r="G308" i="50" a="1"/>
  <c r="G308" i="50" s="1"/>
  <c r="D192" i="50"/>
  <c r="G192" i="50" a="1"/>
  <c r="G192" i="50" s="1"/>
  <c r="F192" i="50"/>
  <c r="U192" i="50" s="1"/>
  <c r="J192" i="50"/>
  <c r="E192" i="50"/>
  <c r="G293" i="50" a="1"/>
  <c r="G293" i="50" s="1"/>
  <c r="F293" i="50"/>
  <c r="U293" i="50" s="1"/>
  <c r="E293" i="50"/>
  <c r="D293" i="50"/>
  <c r="J293" i="50"/>
  <c r="J257" i="50"/>
  <c r="D257" i="50"/>
  <c r="G257" i="50" a="1"/>
  <c r="G257" i="50" s="1"/>
  <c r="F257" i="50"/>
  <c r="U257" i="50" s="1"/>
  <c r="E257" i="50"/>
  <c r="G312" i="50" a="1"/>
  <c r="G312" i="50" s="1"/>
  <c r="E312" i="50"/>
  <c r="J312" i="50"/>
  <c r="D312" i="50"/>
  <c r="F312" i="50"/>
  <c r="U312" i="50" s="1"/>
  <c r="E241" i="50"/>
  <c r="D241" i="50"/>
  <c r="F241" i="50"/>
  <c r="U241" i="50" s="1"/>
  <c r="J241" i="50"/>
  <c r="G241" i="50" a="1"/>
  <c r="G241" i="50" s="1"/>
  <c r="J267" i="50"/>
  <c r="G267" i="50" a="1"/>
  <c r="G267" i="50" s="1"/>
  <c r="D267" i="50"/>
  <c r="F267" i="50"/>
  <c r="U267" i="50" s="1"/>
  <c r="E267" i="50"/>
  <c r="F16" i="50"/>
  <c r="D16" i="50"/>
  <c r="G16" i="50" a="1"/>
  <c r="G16" i="50" s="1"/>
  <c r="E16" i="50"/>
  <c r="G107" i="50" a="1"/>
  <c r="G107" i="50" s="1"/>
  <c r="D107" i="50"/>
  <c r="E107" i="50"/>
  <c r="F107" i="50"/>
  <c r="U107" i="50" s="1"/>
  <c r="J107" i="50"/>
  <c r="E100" i="50"/>
  <c r="J100" i="50"/>
  <c r="F100" i="50"/>
  <c r="U100" i="50" s="1"/>
  <c r="D100" i="50"/>
  <c r="G100" i="50" a="1"/>
  <c r="G100" i="50" s="1"/>
  <c r="G20" i="50" a="1"/>
  <c r="G20" i="50" s="1"/>
  <c r="F20" i="50"/>
  <c r="D20" i="50"/>
  <c r="E20" i="50"/>
  <c r="D29" i="50"/>
  <c r="G29" i="50" a="1"/>
  <c r="G29" i="50" s="1"/>
  <c r="F29" i="50"/>
  <c r="F238" i="50"/>
  <c r="U238" i="50" s="1"/>
  <c r="G238" i="50" a="1"/>
  <c r="G238" i="50" s="1"/>
  <c r="E238" i="50"/>
  <c r="J238" i="50"/>
  <c r="D238" i="50"/>
  <c r="G112" i="50" a="1"/>
  <c r="G112" i="50" s="1"/>
  <c r="F112" i="50"/>
  <c r="U112" i="50" s="1"/>
  <c r="J112" i="50"/>
  <c r="E112" i="50"/>
  <c r="D112" i="50"/>
  <c r="G45" i="50" a="1"/>
  <c r="G45" i="50" s="1"/>
  <c r="E45" i="50"/>
  <c r="D45" i="50"/>
  <c r="F45" i="50"/>
  <c r="G23" i="50" a="1"/>
  <c r="G23" i="50" s="1"/>
  <c r="E23" i="50"/>
  <c r="D23" i="50"/>
  <c r="F23" i="50"/>
  <c r="E351" i="50"/>
  <c r="G351" i="50" a="1"/>
  <c r="G351" i="50" s="1"/>
  <c r="D351" i="50"/>
  <c r="J351" i="50"/>
  <c r="F351" i="50"/>
  <c r="U351" i="50" s="1"/>
  <c r="J343" i="50"/>
  <c r="D343" i="50"/>
  <c r="G343" i="50" a="1"/>
  <c r="G343" i="50" s="1"/>
  <c r="F343" i="50"/>
  <c r="U343" i="50" s="1"/>
  <c r="E343" i="50"/>
  <c r="F225" i="50"/>
  <c r="U225" i="50" s="1"/>
  <c r="E225" i="50"/>
  <c r="G225" i="50" a="1"/>
  <c r="G225" i="50" s="1"/>
  <c r="J225" i="50"/>
  <c r="D225" i="50"/>
  <c r="E338" i="50"/>
  <c r="J338" i="50"/>
  <c r="D338" i="50"/>
  <c r="G338" i="50" a="1"/>
  <c r="G338" i="50" s="1"/>
  <c r="F338" i="50"/>
  <c r="U338" i="50" s="1"/>
  <c r="E258" i="50"/>
  <c r="J258" i="50"/>
  <c r="D258" i="50"/>
  <c r="F258" i="50"/>
  <c r="U258" i="50" s="1"/>
  <c r="G258" i="50" a="1"/>
  <c r="G258" i="50" s="1"/>
  <c r="F216" i="50"/>
  <c r="U216" i="50" s="1"/>
  <c r="D216" i="50"/>
  <c r="G216" i="50" a="1"/>
  <c r="G216" i="50" s="1"/>
  <c r="E216" i="50"/>
  <c r="J216" i="50"/>
  <c r="B25" i="33"/>
  <c r="C25" i="33"/>
  <c r="G25" i="33"/>
  <c r="D25" i="33"/>
  <c r="E25" i="33"/>
  <c r="D38" i="33"/>
  <c r="E38" i="33"/>
  <c r="B38" i="33"/>
  <c r="C38" i="33"/>
  <c r="G38" i="33"/>
  <c r="C54" i="33"/>
  <c r="D54" i="33"/>
  <c r="E54" i="33"/>
  <c r="B54" i="33"/>
  <c r="G54" i="33"/>
  <c r="B66" i="33"/>
  <c r="C66" i="33"/>
  <c r="D66" i="33"/>
  <c r="E66" i="33"/>
  <c r="G66" i="33"/>
  <c r="D97" i="49"/>
  <c r="I97" i="49"/>
  <c r="C97" i="49"/>
  <c r="F97" i="49" a="1"/>
  <c r="F97" i="49" s="1"/>
  <c r="E97" i="49"/>
  <c r="K97" i="49" a="1"/>
  <c r="K97" i="49" s="1"/>
  <c r="E152" i="49"/>
  <c r="D152" i="49"/>
  <c r="C152" i="49"/>
  <c r="I152" i="49"/>
  <c r="F152" i="49" a="1"/>
  <c r="F152" i="49" s="1"/>
  <c r="K152" i="49" a="1"/>
  <c r="K152" i="49" s="1"/>
  <c r="E20" i="49"/>
  <c r="C20" i="49"/>
  <c r="F20" i="49" a="1"/>
  <c r="F20" i="49" s="1"/>
  <c r="E274" i="49"/>
  <c r="F274" i="49" a="1"/>
  <c r="F274" i="49" s="1"/>
  <c r="I274" i="49"/>
  <c r="C274" i="49"/>
  <c r="D274" i="49"/>
  <c r="K274" i="49" a="1"/>
  <c r="K274" i="49" s="1"/>
  <c r="I197" i="49"/>
  <c r="D197" i="49"/>
  <c r="E197" i="49"/>
  <c r="C197" i="49"/>
  <c r="F197" i="49" a="1"/>
  <c r="F197" i="49" s="1"/>
  <c r="K197" i="49" a="1"/>
  <c r="K197" i="49" s="1"/>
  <c r="I296" i="49"/>
  <c r="D296" i="49"/>
  <c r="C296" i="49"/>
  <c r="F296" i="49" a="1"/>
  <c r="F296" i="49" s="1"/>
  <c r="E296" i="49"/>
  <c r="K296" i="49" a="1"/>
  <c r="K296" i="49" s="1"/>
  <c r="F348" i="49" a="1"/>
  <c r="F348" i="49" s="1"/>
  <c r="C348" i="49"/>
  <c r="E348" i="49"/>
  <c r="I348" i="49"/>
  <c r="D348" i="49"/>
  <c r="K348" i="49" a="1"/>
  <c r="K348" i="49" s="1"/>
  <c r="C209" i="49"/>
  <c r="F209" i="49" a="1"/>
  <c r="F209" i="49" s="1"/>
  <c r="I209" i="49"/>
  <c r="D209" i="49"/>
  <c r="E209" i="49"/>
  <c r="K209" i="49" a="1"/>
  <c r="K209" i="49" s="1"/>
  <c r="E183" i="49"/>
  <c r="I183" i="49"/>
  <c r="D183" i="49"/>
  <c r="F183" i="49" a="1"/>
  <c r="F183" i="49" s="1"/>
  <c r="C183" i="49"/>
  <c r="K183" i="49" a="1"/>
  <c r="K183" i="49" s="1"/>
  <c r="C340" i="49"/>
  <c r="E340" i="49"/>
  <c r="D340" i="49"/>
  <c r="I340" i="49"/>
  <c r="F340" i="49" a="1"/>
  <c r="F340" i="49" s="1"/>
  <c r="K340" i="49" a="1"/>
  <c r="K340" i="49" s="1"/>
  <c r="C83" i="49"/>
  <c r="F83" i="49" a="1"/>
  <c r="F83" i="49" s="1"/>
  <c r="I83" i="49"/>
  <c r="D83" i="49"/>
  <c r="E83" i="49"/>
  <c r="K83" i="49" a="1"/>
  <c r="K83" i="49" s="1"/>
  <c r="D123" i="49"/>
  <c r="I123" i="49"/>
  <c r="C123" i="49"/>
  <c r="E123" i="49"/>
  <c r="F123" i="49" a="1"/>
  <c r="F123" i="49" s="1"/>
  <c r="K123" i="49" a="1"/>
  <c r="K123" i="49" s="1"/>
  <c r="E157" i="49"/>
  <c r="C157" i="49"/>
  <c r="I157" i="49"/>
  <c r="F157" i="49" a="1"/>
  <c r="F157" i="49" s="1"/>
  <c r="D157" i="49"/>
  <c r="K157" i="49" a="1"/>
  <c r="K157" i="49" s="1"/>
  <c r="C189" i="49"/>
  <c r="E189" i="49"/>
  <c r="F189" i="49" a="1"/>
  <c r="F189" i="49" s="1"/>
  <c r="I189" i="49"/>
  <c r="D189" i="49"/>
  <c r="K189" i="49" a="1"/>
  <c r="K189" i="49" s="1"/>
  <c r="I144" i="49"/>
  <c r="F144" i="49" a="1"/>
  <c r="F144" i="49" s="1"/>
  <c r="E144" i="49"/>
  <c r="C144" i="49"/>
  <c r="D144" i="49"/>
  <c r="K144" i="49" a="1"/>
  <c r="K144" i="49" s="1"/>
  <c r="E84" i="49"/>
  <c r="C84" i="49"/>
  <c r="D84" i="49"/>
  <c r="F84" i="49" a="1"/>
  <c r="F84" i="49" s="1"/>
  <c r="I84" i="49"/>
  <c r="K84" i="49" a="1"/>
  <c r="K84" i="49" s="1"/>
  <c r="I106" i="49"/>
  <c r="C106" i="49"/>
  <c r="D106" i="49"/>
  <c r="F106" i="49" a="1"/>
  <c r="F106" i="49" s="1"/>
  <c r="E106" i="49"/>
  <c r="K106" i="49" a="1"/>
  <c r="K106" i="49" s="1"/>
  <c r="K341" i="49" a="1"/>
  <c r="K341" i="49" s="1"/>
  <c r="C341" i="49"/>
  <c r="I341" i="49"/>
  <c r="E341" i="49"/>
  <c r="F341" i="49" a="1"/>
  <c r="F341" i="49" s="1"/>
  <c r="D341" i="49"/>
  <c r="C22" i="49"/>
  <c r="F22" i="49" a="1"/>
  <c r="F22" i="49" s="1"/>
  <c r="D22" i="49"/>
  <c r="E22" i="49"/>
  <c r="E103" i="49"/>
  <c r="I103" i="49"/>
  <c r="D103" i="49"/>
  <c r="C103" i="49"/>
  <c r="F103" i="49" a="1"/>
  <c r="F103" i="49" s="1"/>
  <c r="K103" i="49" a="1"/>
  <c r="K103" i="49" s="1"/>
  <c r="I238" i="49"/>
  <c r="C238" i="49"/>
  <c r="F238" i="49" a="1"/>
  <c r="F238" i="49" s="1"/>
  <c r="E238" i="49"/>
  <c r="D238" i="49"/>
  <c r="K238" i="49" a="1"/>
  <c r="K238" i="49" s="1"/>
  <c r="F60" i="49" a="1"/>
  <c r="F60" i="49" s="1"/>
  <c r="I60" i="49"/>
  <c r="C60" i="49"/>
  <c r="D60" i="49"/>
  <c r="E60" i="49"/>
  <c r="K60" i="49" a="1"/>
  <c r="K60" i="49" s="1"/>
  <c r="I47" i="49"/>
  <c r="C47" i="49"/>
  <c r="E47" i="49"/>
  <c r="F47" i="49" a="1"/>
  <c r="F47" i="49" s="1"/>
  <c r="D47" i="49"/>
  <c r="K47" i="49" a="1"/>
  <c r="K47" i="49" s="1"/>
  <c r="C310" i="49"/>
  <c r="D310" i="49"/>
  <c r="F310" i="49" a="1"/>
  <c r="F310" i="49" s="1"/>
  <c r="I310" i="49"/>
  <c r="E310" i="49"/>
  <c r="K310" i="49" a="1"/>
  <c r="K310" i="49" s="1"/>
  <c r="I96" i="49"/>
  <c r="E96" i="49"/>
  <c r="D96" i="49"/>
  <c r="C96" i="49"/>
  <c r="F96" i="49" a="1"/>
  <c r="F96" i="49" s="1"/>
  <c r="K96" i="49" a="1"/>
  <c r="K96" i="49" s="1"/>
  <c r="F126" i="49" a="1"/>
  <c r="F126" i="49" s="1"/>
  <c r="D126" i="49"/>
  <c r="C126" i="49"/>
  <c r="I126" i="49"/>
  <c r="E126" i="49"/>
  <c r="K126" i="49" a="1"/>
  <c r="K126" i="49" s="1"/>
  <c r="C35" i="49"/>
  <c r="F35" i="49" a="1"/>
  <c r="F35" i="49" s="1"/>
  <c r="E35" i="49"/>
  <c r="D35" i="49"/>
  <c r="I178" i="49"/>
  <c r="F178" i="49" a="1"/>
  <c r="F178" i="49" s="1"/>
  <c r="D178" i="49"/>
  <c r="E178" i="49"/>
  <c r="C178" i="49"/>
  <c r="K178" i="49" a="1"/>
  <c r="K178" i="49" s="1"/>
  <c r="F290" i="49" a="1"/>
  <c r="F290" i="49" s="1"/>
  <c r="I290" i="49"/>
  <c r="C290" i="49"/>
  <c r="D290" i="49"/>
  <c r="E290" i="49"/>
  <c r="K290" i="49" a="1"/>
  <c r="K290" i="49" s="1"/>
  <c r="C247" i="49"/>
  <c r="F247" i="49" a="1"/>
  <c r="F247" i="49" s="1"/>
  <c r="D247" i="49"/>
  <c r="I247" i="49"/>
  <c r="E247" i="49"/>
  <c r="K247" i="49" a="1"/>
  <c r="K247" i="49" s="1"/>
  <c r="D331" i="49"/>
  <c r="F331" i="49" a="1"/>
  <c r="F331" i="49" s="1"/>
  <c r="C331" i="49"/>
  <c r="I331" i="49"/>
  <c r="E331" i="49"/>
  <c r="K331" i="49" a="1"/>
  <c r="K331" i="49" s="1"/>
  <c r="F142" i="49" a="1"/>
  <c r="F142" i="49" s="1"/>
  <c r="E142" i="49"/>
  <c r="D142" i="49"/>
  <c r="C142" i="49"/>
  <c r="I142" i="49"/>
  <c r="K142" i="49" a="1"/>
  <c r="K142" i="49" s="1"/>
  <c r="C342" i="49"/>
  <c r="D342" i="49"/>
  <c r="F342" i="49" a="1"/>
  <c r="F342" i="49" s="1"/>
  <c r="I342" i="49"/>
  <c r="E342" i="49"/>
  <c r="K342" i="49" a="1"/>
  <c r="K342" i="49" s="1"/>
  <c r="C52" i="49"/>
  <c r="F52" i="49" a="1"/>
  <c r="F52" i="49" s="1"/>
  <c r="E52" i="49"/>
  <c r="I52" i="49"/>
  <c r="D52" i="49"/>
  <c r="K52" i="49" a="1"/>
  <c r="K52" i="49" s="1"/>
  <c r="C50" i="91"/>
  <c r="D50" i="91"/>
  <c r="B50" i="91"/>
  <c r="E50" i="91"/>
  <c r="G50" i="91"/>
  <c r="C53" i="91"/>
  <c r="E53" i="91"/>
  <c r="B53" i="91"/>
  <c r="G53" i="91"/>
  <c r="D53" i="91"/>
  <c r="B43" i="91"/>
  <c r="G43" i="91"/>
  <c r="C43" i="91"/>
  <c r="E43" i="91"/>
  <c r="D43" i="91"/>
  <c r="C57" i="91"/>
  <c r="E57" i="91"/>
  <c r="B57" i="91"/>
  <c r="D57" i="91"/>
  <c r="G57" i="91"/>
  <c r="D69" i="91"/>
  <c r="E69" i="91"/>
  <c r="B69" i="91"/>
  <c r="G69" i="91"/>
  <c r="C69" i="91"/>
  <c r="B81" i="91"/>
  <c r="E81" i="91"/>
  <c r="D81" i="91"/>
  <c r="C81" i="91"/>
  <c r="G81" i="91"/>
  <c r="B34" i="91"/>
  <c r="G34" i="91"/>
  <c r="E34" i="91"/>
  <c r="D34" i="91"/>
  <c r="C34" i="91"/>
  <c r="D23" i="91"/>
  <c r="C23" i="91"/>
  <c r="B23" i="91"/>
  <c r="G23" i="91"/>
  <c r="E23" i="91"/>
  <c r="C28" i="91"/>
  <c r="B28" i="91"/>
  <c r="D28" i="91"/>
  <c r="G28" i="91"/>
  <c r="E28" i="91"/>
  <c r="B63" i="91"/>
  <c r="G63" i="91"/>
  <c r="E63" i="91"/>
  <c r="C63" i="91"/>
  <c r="D63" i="91"/>
  <c r="E35" i="19"/>
  <c r="C35" i="19"/>
  <c r="B35" i="19"/>
  <c r="D35" i="19"/>
  <c r="G35" i="19"/>
  <c r="G57" i="19"/>
  <c r="B57" i="19"/>
  <c r="D57" i="19"/>
  <c r="E57" i="19"/>
  <c r="C57" i="19"/>
  <c r="D71" i="19"/>
  <c r="C71" i="19"/>
  <c r="E71" i="19"/>
  <c r="B71" i="19"/>
  <c r="G71" i="19"/>
  <c r="B37" i="19"/>
  <c r="G37" i="19"/>
  <c r="E37" i="19"/>
  <c r="D37" i="19"/>
  <c r="C37" i="19"/>
  <c r="G73" i="19"/>
  <c r="D73" i="19"/>
  <c r="E73" i="19"/>
  <c r="B73" i="19"/>
  <c r="C73" i="19"/>
  <c r="D34" i="19"/>
  <c r="B34" i="19"/>
  <c r="C34" i="19"/>
  <c r="G34" i="19"/>
  <c r="E34" i="19"/>
  <c r="C7" i="52"/>
  <c r="D7" i="52"/>
  <c r="E7" i="52"/>
  <c r="F7" i="52" a="1"/>
  <c r="F7" i="52" s="1"/>
  <c r="F349" i="52" a="1"/>
  <c r="F349" i="52" s="1"/>
  <c r="L349" i="52" a="1"/>
  <c r="L349" i="52" s="1"/>
  <c r="I349" i="52"/>
  <c r="D349" i="52"/>
  <c r="E349" i="52"/>
  <c r="C349" i="52"/>
  <c r="F242" i="52" a="1"/>
  <c r="F242" i="52" s="1"/>
  <c r="C242" i="52"/>
  <c r="I242" i="52"/>
  <c r="E242" i="52"/>
  <c r="L242" i="52" a="1"/>
  <c r="L242" i="52" s="1"/>
  <c r="D242" i="52"/>
  <c r="C8" i="52"/>
  <c r="E8" i="52"/>
  <c r="F8" i="52" a="1"/>
  <c r="F8" i="52" s="1"/>
  <c r="D8" i="52"/>
  <c r="L253" i="52" a="1"/>
  <c r="L253" i="52" s="1"/>
  <c r="E253" i="52"/>
  <c r="D253" i="52"/>
  <c r="I253" i="52"/>
  <c r="F253" i="52" a="1"/>
  <c r="F253" i="52" s="1"/>
  <c r="C253" i="52"/>
  <c r="C124" i="52"/>
  <c r="L124" i="52" a="1"/>
  <c r="L124" i="52" s="1"/>
  <c r="D124" i="52"/>
  <c r="I124" i="52"/>
  <c r="E124" i="52"/>
  <c r="F124" i="52" a="1"/>
  <c r="F124" i="52" s="1"/>
  <c r="D50" i="52"/>
  <c r="C50" i="52"/>
  <c r="F50" i="52" a="1"/>
  <c r="F50" i="52" s="1"/>
  <c r="E50" i="52"/>
  <c r="F17" i="52" a="1"/>
  <c r="F17" i="52" s="1"/>
  <c r="E17" i="52"/>
  <c r="D17" i="52"/>
  <c r="C17" i="52"/>
  <c r="L89" i="52" a="1"/>
  <c r="L89" i="52" s="1"/>
  <c r="I89" i="52"/>
  <c r="E89" i="52"/>
  <c r="D89" i="52"/>
  <c r="C89" i="52"/>
  <c r="F89" i="52" a="1"/>
  <c r="F89" i="52" s="1"/>
  <c r="L299" i="52" a="1"/>
  <c r="L299" i="52" s="1"/>
  <c r="D299" i="52"/>
  <c r="E299" i="52"/>
  <c r="F299" i="52" a="1"/>
  <c r="F299" i="52" s="1"/>
  <c r="C299" i="52"/>
  <c r="I299" i="52"/>
  <c r="E54" i="52"/>
  <c r="F54" i="52" a="1"/>
  <c r="F54" i="52" s="1"/>
  <c r="D54" i="52"/>
  <c r="C54" i="52"/>
  <c r="I286" i="52"/>
  <c r="D286" i="52"/>
  <c r="F286" i="52" a="1"/>
  <c r="F286" i="52" s="1"/>
  <c r="C286" i="52"/>
  <c r="E286" i="52"/>
  <c r="L286" i="52" a="1"/>
  <c r="L286" i="52" s="1"/>
  <c r="F269" i="52" a="1"/>
  <c r="F269" i="52" s="1"/>
  <c r="L269" i="52" a="1"/>
  <c r="L269" i="52" s="1"/>
  <c r="I269" i="52"/>
  <c r="D269" i="52"/>
  <c r="C269" i="52"/>
  <c r="E269" i="52"/>
  <c r="L341" i="52" a="1"/>
  <c r="L341" i="52" s="1"/>
  <c r="C341" i="52"/>
  <c r="E341" i="52"/>
  <c r="I341" i="52"/>
  <c r="D341" i="52"/>
  <c r="F341" i="52" a="1"/>
  <c r="F341" i="52" s="1"/>
  <c r="L103" i="52" a="1"/>
  <c r="L103" i="52" s="1"/>
  <c r="I103" i="52"/>
  <c r="D103" i="52"/>
  <c r="E103" i="52"/>
  <c r="C103" i="52"/>
  <c r="F103" i="52" a="1"/>
  <c r="F103" i="52" s="1"/>
  <c r="E30" i="52"/>
  <c r="C30" i="52"/>
  <c r="D30" i="52"/>
  <c r="F30" i="52" a="1"/>
  <c r="F30" i="52" s="1"/>
  <c r="C275" i="52"/>
  <c r="D275" i="52"/>
  <c r="I275" i="52"/>
  <c r="L275" i="52" a="1"/>
  <c r="L275" i="52" s="1"/>
  <c r="F275" i="52" a="1"/>
  <c r="F275" i="52" s="1"/>
  <c r="E275" i="52"/>
  <c r="L298" i="52" a="1"/>
  <c r="L298" i="52" s="1"/>
  <c r="F298" i="52" a="1"/>
  <c r="F298" i="52" s="1"/>
  <c r="E298" i="52"/>
  <c r="I298" i="52"/>
  <c r="C298" i="52"/>
  <c r="D298" i="52"/>
  <c r="L332" i="52" a="1"/>
  <c r="L332" i="52" s="1"/>
  <c r="I332" i="52"/>
  <c r="F332" i="52" a="1"/>
  <c r="F332" i="52" s="1"/>
  <c r="C332" i="52"/>
  <c r="E332" i="52"/>
  <c r="D332" i="52"/>
  <c r="E309" i="52"/>
  <c r="I309" i="52"/>
  <c r="L309" i="52" a="1"/>
  <c r="L309" i="52" s="1"/>
  <c r="F309" i="52" a="1"/>
  <c r="F309" i="52" s="1"/>
  <c r="C309" i="52"/>
  <c r="D309" i="52"/>
  <c r="D270" i="52"/>
  <c r="C270" i="52"/>
  <c r="F270" i="52" a="1"/>
  <c r="F270" i="52" s="1"/>
  <c r="E270" i="52"/>
  <c r="L270" i="52" a="1"/>
  <c r="L270" i="52" s="1"/>
  <c r="I270" i="52"/>
  <c r="L276" i="52" a="1"/>
  <c r="L276" i="52" s="1"/>
  <c r="E276" i="52"/>
  <c r="I276" i="52"/>
  <c r="C276" i="52"/>
  <c r="F276" i="52" a="1"/>
  <c r="F276" i="52" s="1"/>
  <c r="D276" i="52"/>
  <c r="D178" i="52"/>
  <c r="L178" i="52" a="1"/>
  <c r="L178" i="52" s="1"/>
  <c r="I178" i="52"/>
  <c r="F178" i="52" a="1"/>
  <c r="F178" i="52" s="1"/>
  <c r="C178" i="52"/>
  <c r="E178" i="52"/>
  <c r="L156" i="52" a="1"/>
  <c r="L156" i="52" s="1"/>
  <c r="I156" i="52"/>
  <c r="D156" i="52"/>
  <c r="C156" i="52"/>
  <c r="E156" i="52"/>
  <c r="F156" i="52" a="1"/>
  <c r="F156" i="52" s="1"/>
  <c r="E296" i="52"/>
  <c r="L296" i="52" a="1"/>
  <c r="L296" i="52" s="1"/>
  <c r="F296" i="52" a="1"/>
  <c r="F296" i="52" s="1"/>
  <c r="I296" i="52"/>
  <c r="C296" i="52"/>
  <c r="D296" i="52"/>
  <c r="C342" i="52"/>
  <c r="F342" i="52" a="1"/>
  <c r="F342" i="52" s="1"/>
  <c r="D342" i="52"/>
  <c r="L342" i="52" a="1"/>
  <c r="L342" i="52" s="1"/>
  <c r="E342" i="52"/>
  <c r="I342" i="52"/>
  <c r="L129" i="52" a="1"/>
  <c r="L129" i="52" s="1"/>
  <c r="E129" i="52"/>
  <c r="D129" i="52"/>
  <c r="F129" i="52" a="1"/>
  <c r="F129" i="52" s="1"/>
  <c r="C129" i="52"/>
  <c r="I129" i="52"/>
  <c r="D14" i="52"/>
  <c r="C14" i="52"/>
  <c r="E14" i="52"/>
  <c r="F14" i="52" a="1"/>
  <c r="F14" i="52" s="1"/>
  <c r="D325" i="52"/>
  <c r="C325" i="52"/>
  <c r="L325" i="52" a="1"/>
  <c r="L325" i="52" s="1"/>
  <c r="E325" i="52"/>
  <c r="F325" i="52" a="1"/>
  <c r="F325" i="52" s="1"/>
  <c r="I325" i="52"/>
  <c r="D120" i="52"/>
  <c r="C120" i="52"/>
  <c r="L120" i="52" a="1"/>
  <c r="L120" i="52" s="1"/>
  <c r="F120" i="52" a="1"/>
  <c r="F120" i="52" s="1"/>
  <c r="E120" i="52"/>
  <c r="I120" i="52"/>
  <c r="E207" i="52"/>
  <c r="F207" i="52" a="1"/>
  <c r="F207" i="52" s="1"/>
  <c r="L207" i="52" a="1"/>
  <c r="L207" i="52" s="1"/>
  <c r="C207" i="52"/>
  <c r="I207" i="52"/>
  <c r="D207" i="52"/>
  <c r="G46" i="25"/>
  <c r="C46" i="25"/>
  <c r="D46" i="25"/>
  <c r="B46" i="25"/>
  <c r="E46" i="25"/>
  <c r="B23" i="25"/>
  <c r="D23" i="25"/>
  <c r="E23" i="25"/>
  <c r="C23" i="25"/>
  <c r="E59" i="25"/>
  <c r="G59" i="25"/>
  <c r="C59" i="25"/>
  <c r="D59" i="25"/>
  <c r="B59" i="25"/>
  <c r="E40" i="25"/>
  <c r="C40" i="25"/>
  <c r="B40" i="25"/>
  <c r="G40" i="25"/>
  <c r="D40" i="25"/>
  <c r="C60" i="25"/>
  <c r="B60" i="25"/>
  <c r="E60" i="25"/>
  <c r="D60" i="25"/>
  <c r="G60" i="25"/>
  <c r="D29" i="25"/>
  <c r="B29" i="25"/>
  <c r="G29" i="25"/>
  <c r="C29" i="25"/>
  <c r="E29" i="25"/>
  <c r="E49" i="25"/>
  <c r="D49" i="25"/>
  <c r="G49" i="25"/>
  <c r="B49" i="25"/>
  <c r="C49" i="25"/>
  <c r="D10" i="25"/>
  <c r="B10" i="25"/>
  <c r="E10" i="25"/>
  <c r="F265" i="100" a="1"/>
  <c r="F265" i="100" s="1"/>
  <c r="E265" i="100"/>
  <c r="C265" i="100"/>
  <c r="D265" i="100"/>
  <c r="I265" i="100"/>
  <c r="K265" i="100" a="1"/>
  <c r="K265" i="100" s="1"/>
  <c r="I277" i="100"/>
  <c r="F277" i="100" a="1"/>
  <c r="F277" i="100" s="1"/>
  <c r="E277" i="100"/>
  <c r="D277" i="100"/>
  <c r="C277" i="100"/>
  <c r="K277" i="100" a="1"/>
  <c r="K277" i="100" s="1"/>
  <c r="E235" i="100"/>
  <c r="C235" i="100"/>
  <c r="D235" i="100"/>
  <c r="F235" i="100" a="1"/>
  <c r="F235" i="100" s="1"/>
  <c r="I235" i="100"/>
  <c r="K235" i="100" a="1"/>
  <c r="K235" i="100" s="1"/>
  <c r="C242" i="100"/>
  <c r="I242" i="100"/>
  <c r="E242" i="100"/>
  <c r="F242" i="100" a="1"/>
  <c r="F242" i="100" s="1"/>
  <c r="D242" i="100"/>
  <c r="K242" i="100" a="1"/>
  <c r="K242" i="100" s="1"/>
  <c r="C170" i="100"/>
  <c r="E170" i="100"/>
  <c r="D170" i="100"/>
  <c r="F170" i="100" a="1"/>
  <c r="F170" i="100" s="1"/>
  <c r="I170" i="100"/>
  <c r="K170" i="100" a="1"/>
  <c r="K170" i="100" s="1"/>
  <c r="I107" i="100"/>
  <c r="E107" i="100"/>
  <c r="F107" i="100" a="1"/>
  <c r="F107" i="100" s="1"/>
  <c r="D107" i="100"/>
  <c r="C107" i="100"/>
  <c r="K107" i="100" a="1"/>
  <c r="K107" i="100" s="1"/>
  <c r="C328" i="100"/>
  <c r="F328" i="100" a="1"/>
  <c r="F328" i="100" s="1"/>
  <c r="D328" i="100"/>
  <c r="E328" i="100"/>
  <c r="I328" i="100"/>
  <c r="K328" i="100" a="1"/>
  <c r="K328" i="100" s="1"/>
  <c r="E26" i="100"/>
  <c r="F26" i="100" a="1"/>
  <c r="F26" i="100" s="1"/>
  <c r="C26" i="100"/>
  <c r="D26" i="100"/>
  <c r="C220" i="100"/>
  <c r="I220" i="100"/>
  <c r="F220" i="100" a="1"/>
  <c r="F220" i="100" s="1"/>
  <c r="E220" i="100"/>
  <c r="D220" i="100"/>
  <c r="K220" i="100" a="1"/>
  <c r="K220" i="100" s="1"/>
  <c r="D92" i="100"/>
  <c r="E92" i="100"/>
  <c r="F92" i="100" a="1"/>
  <c r="F92" i="100" s="1"/>
  <c r="I92" i="100"/>
  <c r="C92" i="100"/>
  <c r="K92" i="100" a="1"/>
  <c r="K92" i="100" s="1"/>
  <c r="I339" i="100"/>
  <c r="F339" i="100" a="1"/>
  <c r="F339" i="100" s="1"/>
  <c r="E339" i="100"/>
  <c r="D339" i="100"/>
  <c r="C339" i="100"/>
  <c r="K339" i="100" a="1"/>
  <c r="K339" i="100" s="1"/>
  <c r="E323" i="100"/>
  <c r="D323" i="100"/>
  <c r="C323" i="100"/>
  <c r="F323" i="100" a="1"/>
  <c r="F323" i="100" s="1"/>
  <c r="I323" i="100"/>
  <c r="K323" i="100" a="1"/>
  <c r="K323" i="100" s="1"/>
  <c r="I177" i="100"/>
  <c r="E177" i="100"/>
  <c r="D177" i="100"/>
  <c r="F177" i="100" a="1"/>
  <c r="F177" i="100" s="1"/>
  <c r="C177" i="100"/>
  <c r="K177" i="100" a="1"/>
  <c r="K177" i="100" s="1"/>
  <c r="F84" i="100" a="1"/>
  <c r="F84" i="100" s="1"/>
  <c r="E84" i="100"/>
  <c r="I84" i="100"/>
  <c r="D84" i="100"/>
  <c r="C84" i="100"/>
  <c r="K84" i="100" a="1"/>
  <c r="K84" i="100" s="1"/>
  <c r="D161" i="100"/>
  <c r="C161" i="100"/>
  <c r="E161" i="100"/>
  <c r="F161" i="100" a="1"/>
  <c r="F161" i="100" s="1"/>
  <c r="I161" i="100"/>
  <c r="K161" i="100" a="1"/>
  <c r="K161" i="100" s="1"/>
  <c r="C46" i="100"/>
  <c r="E46" i="100"/>
  <c r="F46" i="100" a="1"/>
  <c r="F46" i="100" s="1"/>
  <c r="K46" i="100" a="1"/>
  <c r="K46" i="100" s="1"/>
  <c r="C63" i="100"/>
  <c r="D63" i="100"/>
  <c r="E63" i="100"/>
  <c r="I63" i="100"/>
  <c r="F63" i="100" a="1"/>
  <c r="F63" i="100" s="1"/>
  <c r="K63" i="100" a="1"/>
  <c r="K63" i="100" s="1"/>
  <c r="E165" i="100"/>
  <c r="C165" i="100"/>
  <c r="I165" i="100"/>
  <c r="D165" i="100"/>
  <c r="F165" i="100" a="1"/>
  <c r="F165" i="100" s="1"/>
  <c r="K165" i="100" a="1"/>
  <c r="K165" i="100" s="1"/>
  <c r="I341" i="100"/>
  <c r="E341" i="100"/>
  <c r="F341" i="100" a="1"/>
  <c r="F341" i="100" s="1"/>
  <c r="D341" i="100"/>
  <c r="C341" i="100"/>
  <c r="K341" i="100" a="1"/>
  <c r="K341" i="100" s="1"/>
  <c r="K217" i="100" a="1"/>
  <c r="K217" i="100" s="1"/>
  <c r="E217" i="100"/>
  <c r="D217" i="100"/>
  <c r="C217" i="100"/>
  <c r="I217" i="100"/>
  <c r="F217" i="100" a="1"/>
  <c r="F217" i="100" s="1"/>
  <c r="C204" i="100"/>
  <c r="D204" i="100"/>
  <c r="F204" i="100" a="1"/>
  <c r="F204" i="100" s="1"/>
  <c r="I204" i="100"/>
  <c r="E204" i="100"/>
  <c r="K204" i="100" a="1"/>
  <c r="K204" i="100" s="1"/>
  <c r="E18" i="100"/>
  <c r="C18" i="100"/>
  <c r="F18" i="100" a="1"/>
  <c r="F18" i="100" s="1"/>
  <c r="F132" i="100" a="1"/>
  <c r="F132" i="100" s="1"/>
  <c r="C132" i="100"/>
  <c r="E132" i="100"/>
  <c r="D132" i="100"/>
  <c r="I132" i="100"/>
  <c r="K132" i="100" a="1"/>
  <c r="K132" i="100" s="1"/>
  <c r="D76" i="100"/>
  <c r="I76" i="100"/>
  <c r="F76" i="100" a="1"/>
  <c r="F76" i="100" s="1"/>
  <c r="E76" i="100"/>
  <c r="C76" i="100"/>
  <c r="K76" i="100" a="1"/>
  <c r="K76" i="100" s="1"/>
  <c r="C354" i="100"/>
  <c r="I354" i="100"/>
  <c r="E354" i="100"/>
  <c r="F354" i="100" a="1"/>
  <c r="F354" i="100" s="1"/>
  <c r="D354" i="100"/>
  <c r="K354" i="100" a="1"/>
  <c r="K354" i="100" s="1"/>
  <c r="I221" i="100"/>
  <c r="F221" i="100" a="1"/>
  <c r="F221" i="100" s="1"/>
  <c r="D221" i="100"/>
  <c r="C221" i="100"/>
  <c r="E221" i="100"/>
  <c r="K221" i="100" a="1"/>
  <c r="K221" i="100" s="1"/>
  <c r="E310" i="100"/>
  <c r="I310" i="100"/>
  <c r="C310" i="100"/>
  <c r="F310" i="100" a="1"/>
  <c r="F310" i="100" s="1"/>
  <c r="D310" i="100"/>
  <c r="K310" i="100" a="1"/>
  <c r="K310" i="100" s="1"/>
  <c r="D145" i="101"/>
  <c r="E145" i="101"/>
  <c r="C145" i="101"/>
  <c r="F145" i="101" a="1"/>
  <c r="F145" i="101" s="1"/>
  <c r="I145" i="101"/>
  <c r="I307" i="101"/>
  <c r="F307" i="101" a="1"/>
  <c r="F307" i="101" s="1"/>
  <c r="D307" i="101"/>
  <c r="E307" i="101"/>
  <c r="C307" i="101"/>
  <c r="C265" i="101"/>
  <c r="D265" i="101"/>
  <c r="I265" i="101"/>
  <c r="E265" i="101"/>
  <c r="F265" i="101" a="1"/>
  <c r="F265" i="101" s="1"/>
  <c r="E216" i="101"/>
  <c r="C216" i="101"/>
  <c r="F216" i="101" a="1"/>
  <c r="F216" i="101" s="1"/>
  <c r="D216" i="101"/>
  <c r="I216" i="101"/>
  <c r="D134" i="101"/>
  <c r="C134" i="101"/>
  <c r="E134" i="101"/>
  <c r="F134" i="101" a="1"/>
  <c r="F134" i="101" s="1"/>
  <c r="I134" i="101"/>
  <c r="I45" i="101"/>
  <c r="C45" i="101"/>
  <c r="F45" i="101" a="1"/>
  <c r="F45" i="101" s="1"/>
  <c r="D45" i="101"/>
  <c r="E45" i="101"/>
  <c r="F326" i="101" a="1"/>
  <c r="F326" i="101" s="1"/>
  <c r="C326" i="101"/>
  <c r="I326" i="101"/>
  <c r="E326" i="101"/>
  <c r="D326" i="101"/>
  <c r="D36" i="101"/>
  <c r="E36" i="101"/>
  <c r="F36" i="101" a="1"/>
  <c r="F36" i="101" s="1"/>
  <c r="I36" i="101"/>
  <c r="C36" i="101"/>
  <c r="C25" i="101"/>
  <c r="D25" i="101"/>
  <c r="E25" i="101"/>
  <c r="F25" i="101" a="1"/>
  <c r="F25" i="101" s="1"/>
  <c r="I25" i="101"/>
  <c r="C109" i="101"/>
  <c r="E109" i="101"/>
  <c r="F109" i="101" a="1"/>
  <c r="F109" i="101" s="1"/>
  <c r="I109" i="101"/>
  <c r="D109" i="101"/>
  <c r="C24" i="101"/>
  <c r="D24" i="101"/>
  <c r="I24" i="101"/>
  <c r="E24" i="101"/>
  <c r="F24" i="101" a="1"/>
  <c r="F24" i="101" s="1"/>
  <c r="F102" i="101" a="1"/>
  <c r="F102" i="101" s="1"/>
  <c r="C102" i="101"/>
  <c r="D102" i="101"/>
  <c r="E102" i="101"/>
  <c r="I102" i="101"/>
  <c r="E200" i="101"/>
  <c r="I200" i="101"/>
  <c r="D200" i="101"/>
  <c r="F200" i="101" a="1"/>
  <c r="F200" i="101" s="1"/>
  <c r="C200" i="101"/>
  <c r="E313" i="101"/>
  <c r="F313" i="101" a="1"/>
  <c r="F313" i="101" s="1"/>
  <c r="D313" i="101"/>
  <c r="C313" i="101"/>
  <c r="I313" i="101"/>
  <c r="D80" i="101"/>
  <c r="F80" i="101" a="1"/>
  <c r="F80" i="101" s="1"/>
  <c r="I80" i="101"/>
  <c r="E80" i="101"/>
  <c r="C80" i="101"/>
  <c r="F187" i="101" a="1"/>
  <c r="F187" i="101" s="1"/>
  <c r="E187" i="101"/>
  <c r="C187" i="101"/>
  <c r="D187" i="101"/>
  <c r="I187" i="101"/>
  <c r="I261" i="101"/>
  <c r="C261" i="101"/>
  <c r="D261" i="101"/>
  <c r="E261" i="101"/>
  <c r="F261" i="101" a="1"/>
  <c r="F261" i="101" s="1"/>
  <c r="D314" i="101"/>
  <c r="C314" i="101"/>
  <c r="E314" i="101"/>
  <c r="I314" i="101"/>
  <c r="F314" i="101" a="1"/>
  <c r="F314" i="101" s="1"/>
  <c r="I340" i="101"/>
  <c r="F340" i="101" a="1"/>
  <c r="F340" i="101" s="1"/>
  <c r="D340" i="101"/>
  <c r="C340" i="101"/>
  <c r="E340" i="101"/>
  <c r="C139" i="101"/>
  <c r="F139" i="101" a="1"/>
  <c r="F139" i="101" s="1"/>
  <c r="I139" i="101"/>
  <c r="E139" i="101"/>
  <c r="D139" i="101"/>
  <c r="I201" i="101"/>
  <c r="E201" i="101"/>
  <c r="D201" i="101"/>
  <c r="C201" i="101"/>
  <c r="F201" i="101" a="1"/>
  <c r="F201" i="101" s="1"/>
  <c r="D37" i="101"/>
  <c r="I37" i="101"/>
  <c r="C37" i="101"/>
  <c r="E37" i="101"/>
  <c r="F37" i="101" a="1"/>
  <c r="F37" i="101" s="1"/>
  <c r="F132" i="101" a="1"/>
  <c r="F132" i="101" s="1"/>
  <c r="E132" i="101"/>
  <c r="C132" i="101"/>
  <c r="I132" i="101"/>
  <c r="D132" i="101"/>
  <c r="C336" i="101"/>
  <c r="F336" i="101" a="1"/>
  <c r="F336" i="101" s="1"/>
  <c r="D336" i="101"/>
  <c r="I336" i="101"/>
  <c r="E336" i="101"/>
  <c r="F234" i="101" a="1"/>
  <c r="F234" i="101" s="1"/>
  <c r="I234" i="101"/>
  <c r="E234" i="101"/>
  <c r="D234" i="101"/>
  <c r="C234" i="101"/>
  <c r="C39" i="101"/>
  <c r="I39" i="101"/>
  <c r="F39" i="101" a="1"/>
  <c r="F39" i="101" s="1"/>
  <c r="D39" i="101"/>
  <c r="E39" i="101"/>
  <c r="C335" i="101"/>
  <c r="D335" i="101"/>
  <c r="I335" i="101"/>
  <c r="F335" i="101" a="1"/>
  <c r="F335" i="101" s="1"/>
  <c r="E335" i="101"/>
  <c r="C36" i="34"/>
  <c r="B36" i="34"/>
  <c r="E36" i="34"/>
  <c r="D36" i="34"/>
  <c r="G36" i="34"/>
  <c r="D77" i="34"/>
  <c r="G77" i="34"/>
  <c r="B77" i="34"/>
  <c r="C77" i="34"/>
  <c r="E77" i="34"/>
  <c r="D10" i="34"/>
  <c r="G10" i="34"/>
  <c r="C10" i="34"/>
  <c r="B10" i="34"/>
  <c r="E10" i="34"/>
  <c r="C52" i="34"/>
  <c r="E52" i="34"/>
  <c r="G52" i="34"/>
  <c r="B52" i="34"/>
  <c r="D52" i="34"/>
  <c r="B28" i="22"/>
  <c r="D28" i="22"/>
  <c r="C28" i="22"/>
  <c r="C70" i="22"/>
  <c r="E70" i="22"/>
  <c r="D70" i="22"/>
  <c r="G70" i="22"/>
  <c r="B70" i="22"/>
  <c r="B75" i="22"/>
  <c r="C75" i="22"/>
  <c r="G75" i="22"/>
  <c r="D75" i="22"/>
  <c r="E75" i="22"/>
  <c r="C31" i="22"/>
  <c r="B31" i="22"/>
  <c r="D31" i="22"/>
  <c r="E31" i="22"/>
  <c r="I78" i="51"/>
  <c r="E78" i="51"/>
  <c r="F78" i="51" a="1"/>
  <c r="F78" i="51" s="1"/>
  <c r="D78" i="51"/>
  <c r="K78" i="51" a="1"/>
  <c r="K78" i="51" s="1"/>
  <c r="C78" i="51"/>
  <c r="K79" i="51" a="1"/>
  <c r="K79" i="51" s="1"/>
  <c r="I79" i="51"/>
  <c r="E79" i="51"/>
  <c r="C79" i="51"/>
  <c r="F79" i="51" a="1"/>
  <c r="F79" i="51" s="1"/>
  <c r="D79" i="51"/>
  <c r="I65" i="51"/>
  <c r="F65" i="51" a="1"/>
  <c r="F65" i="51" s="1"/>
  <c r="C65" i="51"/>
  <c r="K65" i="51" a="1"/>
  <c r="K65" i="51" s="1"/>
  <c r="D65" i="51"/>
  <c r="E65" i="51"/>
  <c r="C60" i="51"/>
  <c r="F60" i="51" a="1"/>
  <c r="F60" i="51" s="1"/>
  <c r="I60" i="51"/>
  <c r="E60" i="51"/>
  <c r="D60" i="51"/>
  <c r="K60" i="51" a="1"/>
  <c r="K60" i="51" s="1"/>
  <c r="C48" i="51"/>
  <c r="D48" i="51"/>
  <c r="I48" i="51"/>
  <c r="F48" i="51" a="1"/>
  <c r="F48" i="51" s="1"/>
  <c r="E48" i="51"/>
  <c r="K48" i="51" a="1"/>
  <c r="K48" i="51" s="1"/>
  <c r="C29" i="51"/>
  <c r="D29" i="51"/>
  <c r="F29" i="51" a="1"/>
  <c r="F29" i="51" s="1"/>
  <c r="E29" i="51"/>
  <c r="K29" i="51" a="1"/>
  <c r="K29" i="51" s="1"/>
  <c r="I29" i="51"/>
  <c r="D17" i="51"/>
  <c r="C17" i="51"/>
  <c r="I17" i="51"/>
  <c r="E17" i="51"/>
  <c r="F17" i="51" a="1"/>
  <c r="F17" i="51" s="1"/>
  <c r="K17" i="51" a="1"/>
  <c r="K17" i="51" s="1"/>
  <c r="F76" i="51" a="1"/>
  <c r="F76" i="51" s="1"/>
  <c r="E76" i="51"/>
  <c r="I76" i="51"/>
  <c r="K76" i="51" a="1"/>
  <c r="K76" i="51" s="1"/>
  <c r="D76" i="51"/>
  <c r="C76" i="51"/>
  <c r="D47" i="98"/>
  <c r="B78" i="39"/>
  <c r="E18" i="98"/>
  <c r="C11" i="35"/>
  <c r="G47" i="98"/>
  <c r="E74" i="98"/>
  <c r="F7" i="53"/>
  <c r="B20" i="99"/>
  <c r="B23" i="24"/>
  <c r="D23" i="24"/>
  <c r="C23" i="24"/>
  <c r="E23" i="24"/>
  <c r="E40" i="24"/>
  <c r="C40" i="24"/>
  <c r="D40" i="24"/>
  <c r="B40" i="24"/>
  <c r="D83" i="24"/>
  <c r="E83" i="24"/>
  <c r="C83" i="24"/>
  <c r="G83" i="24"/>
  <c r="B83" i="24"/>
  <c r="D68" i="24"/>
  <c r="C68" i="24"/>
  <c r="B68" i="24"/>
  <c r="E68" i="24"/>
  <c r="G68" i="24"/>
  <c r="C11" i="24"/>
  <c r="E11" i="24"/>
  <c r="B11" i="24"/>
  <c r="D11" i="24"/>
  <c r="D38" i="24"/>
  <c r="E38" i="24"/>
  <c r="C38" i="24"/>
  <c r="B38" i="24"/>
  <c r="E55" i="24"/>
  <c r="C55" i="24"/>
  <c r="B55" i="24"/>
  <c r="D55" i="24"/>
  <c r="G55" i="24"/>
  <c r="B60" i="24"/>
  <c r="C60" i="24"/>
  <c r="D60" i="24"/>
  <c r="G60" i="24"/>
  <c r="E60" i="24"/>
  <c r="G54" i="24"/>
  <c r="D54" i="24"/>
  <c r="C54" i="24"/>
  <c r="E54" i="24"/>
  <c r="B54" i="24"/>
  <c r="G347" i="53" a="1"/>
  <c r="G347" i="53" s="1"/>
  <c r="D347" i="53"/>
  <c r="F347" i="53"/>
  <c r="U347" i="53" s="1"/>
  <c r="J347" i="53"/>
  <c r="E347" i="53"/>
  <c r="G191" i="53" a="1"/>
  <c r="G191" i="53" s="1"/>
  <c r="J191" i="53"/>
  <c r="E191" i="53"/>
  <c r="F191" i="53"/>
  <c r="U191" i="53" s="1"/>
  <c r="D191" i="53"/>
  <c r="J214" i="53"/>
  <c r="E214" i="53"/>
  <c r="F214" i="53"/>
  <c r="U214" i="53" s="1"/>
  <c r="D214" i="53"/>
  <c r="G214" i="53" a="1"/>
  <c r="G214" i="53" s="1"/>
  <c r="D132" i="53"/>
  <c r="G132" i="53" a="1"/>
  <c r="G132" i="53" s="1"/>
  <c r="J132" i="53"/>
  <c r="E132" i="53"/>
  <c r="F132" i="53"/>
  <c r="U132" i="53" s="1"/>
  <c r="D267" i="53"/>
  <c r="J267" i="53"/>
  <c r="F267" i="53"/>
  <c r="U267" i="53" s="1"/>
  <c r="E267" i="53"/>
  <c r="G267" i="53" a="1"/>
  <c r="G267" i="53" s="1"/>
  <c r="D37" i="53"/>
  <c r="F37" i="53"/>
  <c r="G258" i="53" a="1"/>
  <c r="G258" i="53" s="1"/>
  <c r="D258" i="53"/>
  <c r="F258" i="53"/>
  <c r="U258" i="53" s="1"/>
  <c r="J258" i="53"/>
  <c r="E258" i="53"/>
  <c r="J125" i="53"/>
  <c r="E125" i="53"/>
  <c r="F125" i="53"/>
  <c r="U125" i="53" s="1"/>
  <c r="D125" i="53"/>
  <c r="G125" i="53" a="1"/>
  <c r="G125" i="53" s="1"/>
  <c r="D26" i="53"/>
  <c r="F26" i="53"/>
  <c r="J268" i="53"/>
  <c r="G268" i="53" a="1"/>
  <c r="G268" i="53" s="1"/>
  <c r="F268" i="53"/>
  <c r="U268" i="53" s="1"/>
  <c r="D268" i="53"/>
  <c r="E268" i="53"/>
  <c r="J94" i="53"/>
  <c r="E94" i="53"/>
  <c r="F94" i="53"/>
  <c r="U94" i="53" s="1"/>
  <c r="D94" i="53"/>
  <c r="G94" i="53" a="1"/>
  <c r="G94" i="53" s="1"/>
  <c r="G154" i="53" a="1"/>
  <c r="G154" i="53" s="1"/>
  <c r="D154" i="53"/>
  <c r="J154" i="53"/>
  <c r="E154" i="53"/>
  <c r="F154" i="53"/>
  <c r="U154" i="53" s="1"/>
  <c r="G156" i="53" a="1"/>
  <c r="G156" i="53" s="1"/>
  <c r="J156" i="53"/>
  <c r="E156" i="53"/>
  <c r="D156" i="53"/>
  <c r="F156" i="53"/>
  <c r="U156" i="53" s="1"/>
  <c r="E72" i="53"/>
  <c r="F72" i="53"/>
  <c r="U72" i="53" s="1"/>
  <c r="J72" i="53"/>
  <c r="D72" i="53"/>
  <c r="G72" i="53" a="1"/>
  <c r="G72" i="53" s="1"/>
  <c r="F346" i="53"/>
  <c r="U346" i="53" s="1"/>
  <c r="J346" i="53"/>
  <c r="D346" i="53"/>
  <c r="G346" i="53" a="1"/>
  <c r="G346" i="53" s="1"/>
  <c r="E346" i="53"/>
  <c r="E189" i="53"/>
  <c r="D189" i="53"/>
  <c r="G189" i="53" a="1"/>
  <c r="G189" i="53" s="1"/>
  <c r="F189" i="53"/>
  <c r="U189" i="53" s="1"/>
  <c r="J189" i="53"/>
  <c r="G226" i="53" a="1"/>
  <c r="G226" i="53" s="1"/>
  <c r="D226" i="53"/>
  <c r="E226" i="53"/>
  <c r="F226" i="53"/>
  <c r="U226" i="53" s="1"/>
  <c r="J226" i="53"/>
  <c r="E253" i="53"/>
  <c r="F253" i="53"/>
  <c r="U253" i="53" s="1"/>
  <c r="D253" i="53"/>
  <c r="J253" i="53"/>
  <c r="G253" i="53" a="1"/>
  <c r="G253" i="53" s="1"/>
  <c r="J115" i="53"/>
  <c r="D115" i="53"/>
  <c r="E115" i="53"/>
  <c r="G115" i="53" a="1"/>
  <c r="G115" i="53" s="1"/>
  <c r="F115" i="53"/>
  <c r="U115" i="53" s="1"/>
  <c r="J245" i="53"/>
  <c r="E245" i="53"/>
  <c r="F245" i="53"/>
  <c r="U245" i="53" s="1"/>
  <c r="D245" i="53"/>
  <c r="G245" i="53" a="1"/>
  <c r="G245" i="53" s="1"/>
  <c r="D61" i="53"/>
  <c r="J61" i="53"/>
  <c r="F61" i="53"/>
  <c r="U61" i="53" s="1"/>
  <c r="G61" i="53" a="1"/>
  <c r="G61" i="53" s="1"/>
  <c r="E61" i="53"/>
  <c r="E142" i="53"/>
  <c r="F142" i="53"/>
  <c r="U142" i="53" s="1"/>
  <c r="J142" i="53"/>
  <c r="G142" i="53" a="1"/>
  <c r="G142" i="53" s="1"/>
  <c r="D142" i="53"/>
  <c r="F17" i="53"/>
  <c r="G17" i="53" a="1"/>
  <c r="G17" i="53" s="1"/>
  <c r="E17" i="53"/>
  <c r="D17" i="53"/>
  <c r="E244" i="53"/>
  <c r="J244" i="53"/>
  <c r="D244" i="53"/>
  <c r="F244" i="53"/>
  <c r="U244" i="53" s="1"/>
  <c r="G244" i="53" a="1"/>
  <c r="G244" i="53" s="1"/>
  <c r="G208" i="53" a="1"/>
  <c r="G208" i="53" s="1"/>
  <c r="J208" i="53"/>
  <c r="F208" i="53"/>
  <c r="U208" i="53" s="1"/>
  <c r="E208" i="53"/>
  <c r="D208" i="53"/>
  <c r="D69" i="53"/>
  <c r="F69" i="53"/>
  <c r="U69" i="53" s="1"/>
  <c r="G69" i="53" a="1"/>
  <c r="G69" i="53" s="1"/>
  <c r="E69" i="53"/>
  <c r="J69" i="53"/>
  <c r="E246" i="53"/>
  <c r="G246" i="53" a="1"/>
  <c r="G246" i="53" s="1"/>
  <c r="F246" i="53"/>
  <c r="U246" i="53" s="1"/>
  <c r="J246" i="53"/>
  <c r="D246" i="53"/>
  <c r="E158" i="53"/>
  <c r="F158" i="53"/>
  <c r="U158" i="53" s="1"/>
  <c r="D158" i="53"/>
  <c r="G158" i="53" a="1"/>
  <c r="G158" i="53" s="1"/>
  <c r="J158" i="53"/>
  <c r="J194" i="53"/>
  <c r="D194" i="53"/>
  <c r="G194" i="53" a="1"/>
  <c r="G194" i="53" s="1"/>
  <c r="E194" i="53"/>
  <c r="F194" i="53"/>
  <c r="U194" i="53" s="1"/>
  <c r="F229" i="50"/>
  <c r="U229" i="50" s="1"/>
  <c r="D229" i="50"/>
  <c r="G229" i="50" a="1"/>
  <c r="G229" i="50" s="1"/>
  <c r="E229" i="50"/>
  <c r="J229" i="50"/>
  <c r="F6" i="50"/>
  <c r="D6" i="50"/>
  <c r="G6" i="50" a="1"/>
  <c r="G6" i="50" s="1"/>
  <c r="E339" i="50"/>
  <c r="G339" i="50" a="1"/>
  <c r="G339" i="50" s="1"/>
  <c r="D339" i="50"/>
  <c r="F339" i="50"/>
  <c r="U339" i="50" s="1"/>
  <c r="J339" i="50"/>
  <c r="J182" i="50"/>
  <c r="F182" i="50"/>
  <c r="U182" i="50" s="1"/>
  <c r="E182" i="50"/>
  <c r="D182" i="50"/>
  <c r="G182" i="50" a="1"/>
  <c r="G182" i="50" s="1"/>
  <c r="G144" i="50" a="1"/>
  <c r="G144" i="50" s="1"/>
  <c r="J144" i="50"/>
  <c r="F144" i="50"/>
  <c r="U144" i="50" s="1"/>
  <c r="E144" i="50"/>
  <c r="D144" i="50"/>
  <c r="E36" i="50"/>
  <c r="D36" i="50"/>
  <c r="F36" i="50"/>
  <c r="G36" i="50" a="1"/>
  <c r="G36" i="50" s="1"/>
  <c r="J62" i="50"/>
  <c r="E62" i="50"/>
  <c r="G62" i="50" a="1"/>
  <c r="G62" i="50" s="1"/>
  <c r="D62" i="50"/>
  <c r="F62" i="50"/>
  <c r="U62" i="50" s="1"/>
  <c r="D273" i="50"/>
  <c r="F273" i="50"/>
  <c r="U273" i="50" s="1"/>
  <c r="J273" i="50"/>
  <c r="E273" i="50"/>
  <c r="G273" i="50" a="1"/>
  <c r="G273" i="50" s="1"/>
  <c r="G104" i="50" a="1"/>
  <c r="G104" i="50" s="1"/>
  <c r="F104" i="50"/>
  <c r="U104" i="50" s="1"/>
  <c r="J104" i="50"/>
  <c r="D104" i="50"/>
  <c r="E104" i="50"/>
  <c r="J239" i="50"/>
  <c r="E239" i="50"/>
  <c r="F239" i="50"/>
  <c r="U239" i="50" s="1"/>
  <c r="G239" i="50" a="1"/>
  <c r="G239" i="50" s="1"/>
  <c r="D239" i="50"/>
  <c r="F125" i="50"/>
  <c r="U125" i="50" s="1"/>
  <c r="J125" i="50"/>
  <c r="G125" i="50" a="1"/>
  <c r="G125" i="50" s="1"/>
  <c r="E125" i="50"/>
  <c r="D125" i="50"/>
  <c r="E120" i="50"/>
  <c r="D120" i="50"/>
  <c r="J120" i="50"/>
  <c r="G120" i="50" a="1"/>
  <c r="G120" i="50" s="1"/>
  <c r="F120" i="50"/>
  <c r="U120" i="50" s="1"/>
  <c r="J266" i="50"/>
  <c r="D266" i="50"/>
  <c r="F266" i="50"/>
  <c r="U266" i="50" s="1"/>
  <c r="E266" i="50"/>
  <c r="G266" i="50" a="1"/>
  <c r="G266" i="50" s="1"/>
  <c r="D41" i="50"/>
  <c r="F41" i="50"/>
  <c r="G41" i="50" a="1"/>
  <c r="G41" i="50" s="1"/>
  <c r="F11" i="50"/>
  <c r="E11" i="50"/>
  <c r="G11" i="50" a="1"/>
  <c r="G11" i="50" s="1"/>
  <c r="D11" i="50"/>
  <c r="G301" i="50" a="1"/>
  <c r="G301" i="50" s="1"/>
  <c r="E301" i="50"/>
  <c r="F301" i="50"/>
  <c r="U301" i="50" s="1"/>
  <c r="J301" i="50"/>
  <c r="D301" i="50"/>
  <c r="G256" i="50" a="1"/>
  <c r="G256" i="50" s="1"/>
  <c r="J256" i="50"/>
  <c r="E256" i="50"/>
  <c r="F256" i="50"/>
  <c r="U256" i="50" s="1"/>
  <c r="D256" i="50"/>
  <c r="D149" i="50"/>
  <c r="E149" i="50"/>
  <c r="F149" i="50"/>
  <c r="U149" i="50" s="1"/>
  <c r="J149" i="50"/>
  <c r="G149" i="50" a="1"/>
  <c r="G149" i="50" s="1"/>
  <c r="G329" i="50" a="1"/>
  <c r="G329" i="50" s="1"/>
  <c r="F329" i="50"/>
  <c r="U329" i="50" s="1"/>
  <c r="D329" i="50"/>
  <c r="J329" i="50"/>
  <c r="E329" i="50"/>
  <c r="D325" i="50"/>
  <c r="J325" i="50"/>
  <c r="E325" i="50"/>
  <c r="F325" i="50"/>
  <c r="U325" i="50" s="1"/>
  <c r="G325" i="50" a="1"/>
  <c r="G325" i="50" s="1"/>
  <c r="J186" i="50"/>
  <c r="G186" i="50" a="1"/>
  <c r="G186" i="50" s="1"/>
  <c r="E186" i="50"/>
  <c r="F186" i="50"/>
  <c r="U186" i="50" s="1"/>
  <c r="D186" i="50"/>
  <c r="E336" i="50"/>
  <c r="G336" i="50" a="1"/>
  <c r="G336" i="50" s="1"/>
  <c r="D336" i="50"/>
  <c r="J336" i="50"/>
  <c r="F336" i="50"/>
  <c r="U336" i="50" s="1"/>
  <c r="F265" i="50"/>
  <c r="U265" i="50" s="1"/>
  <c r="D265" i="50"/>
  <c r="G265" i="50" a="1"/>
  <c r="G265" i="50" s="1"/>
  <c r="E265" i="50"/>
  <c r="J265" i="50"/>
  <c r="G279" i="50" a="1"/>
  <c r="G279" i="50" s="1"/>
  <c r="J279" i="50"/>
  <c r="D279" i="50"/>
  <c r="E279" i="50"/>
  <c r="F279" i="50"/>
  <c r="U279" i="50" s="1"/>
  <c r="D269" i="50"/>
  <c r="J269" i="50"/>
  <c r="F269" i="50"/>
  <c r="U269" i="50" s="1"/>
  <c r="G269" i="50" a="1"/>
  <c r="G269" i="50" s="1"/>
  <c r="E269" i="50"/>
  <c r="F344" i="50"/>
  <c r="U344" i="50" s="1"/>
  <c r="J344" i="50"/>
  <c r="G344" i="50" a="1"/>
  <c r="G344" i="50" s="1"/>
  <c r="D344" i="50"/>
  <c r="E344" i="50"/>
  <c r="D286" i="50"/>
  <c r="G286" i="50" a="1"/>
  <c r="G286" i="50" s="1"/>
  <c r="J286" i="50"/>
  <c r="E286" i="50"/>
  <c r="F286" i="50"/>
  <c r="U286" i="50" s="1"/>
  <c r="G297" i="50" a="1"/>
  <c r="G297" i="50" s="1"/>
  <c r="E297" i="50"/>
  <c r="J297" i="50"/>
  <c r="D297" i="50"/>
  <c r="F297" i="50"/>
  <c r="U297" i="50" s="1"/>
  <c r="G236" i="50" a="1"/>
  <c r="G236" i="50" s="1"/>
  <c r="F236" i="50"/>
  <c r="U236" i="50" s="1"/>
  <c r="E236" i="50"/>
  <c r="J236" i="50"/>
  <c r="D236" i="50"/>
  <c r="G201" i="50" a="1"/>
  <c r="G201" i="50" s="1"/>
  <c r="D201" i="50"/>
  <c r="F201" i="50"/>
  <c r="U201" i="50" s="1"/>
  <c r="J201" i="50"/>
  <c r="E201" i="50"/>
  <c r="F33" i="50"/>
  <c r="G33" i="50" a="1"/>
  <c r="G33" i="50" s="1"/>
  <c r="D33" i="50"/>
  <c r="E153" i="50"/>
  <c r="D153" i="50"/>
  <c r="G153" i="50" a="1"/>
  <c r="G153" i="50" s="1"/>
  <c r="J153" i="50"/>
  <c r="F153" i="50"/>
  <c r="U153" i="50" s="1"/>
  <c r="D65" i="50"/>
  <c r="E65" i="50"/>
  <c r="F65" i="50"/>
  <c r="U65" i="50" s="1"/>
  <c r="J65" i="50"/>
  <c r="G65" i="50" a="1"/>
  <c r="G65" i="50" s="1"/>
  <c r="D140" i="50"/>
  <c r="G140" i="50" a="1"/>
  <c r="G140" i="50" s="1"/>
  <c r="J140" i="50"/>
  <c r="E140" i="50"/>
  <c r="F140" i="50"/>
  <c r="U140" i="50" s="1"/>
  <c r="F264" i="50"/>
  <c r="U264" i="50" s="1"/>
  <c r="E264" i="50"/>
  <c r="G264" i="50" a="1"/>
  <c r="G264" i="50" s="1"/>
  <c r="J264" i="50"/>
  <c r="D264" i="50"/>
  <c r="E263" i="50"/>
  <c r="G263" i="50" a="1"/>
  <c r="G263" i="50" s="1"/>
  <c r="J263" i="50"/>
  <c r="D263" i="50"/>
  <c r="F263" i="50"/>
  <c r="U263" i="50" s="1"/>
  <c r="G67" i="50" a="1"/>
  <c r="G67" i="50" s="1"/>
  <c r="D67" i="50"/>
  <c r="F67" i="50"/>
  <c r="U67" i="50" s="1"/>
  <c r="E67" i="50"/>
  <c r="J67" i="50"/>
  <c r="E18" i="50"/>
  <c r="D18" i="50"/>
  <c r="F18" i="50"/>
  <c r="G18" i="50" a="1"/>
  <c r="G18" i="50" s="1"/>
  <c r="G69" i="33"/>
  <c r="B69" i="33"/>
  <c r="D69" i="33"/>
  <c r="E69" i="33"/>
  <c r="C69" i="33"/>
  <c r="C57" i="33"/>
  <c r="B57" i="33"/>
  <c r="E57" i="33"/>
  <c r="G57" i="33"/>
  <c r="D57" i="33"/>
  <c r="G58" i="33"/>
  <c r="E58" i="33"/>
  <c r="D58" i="33"/>
  <c r="B58" i="33"/>
  <c r="C58" i="33"/>
  <c r="G33" i="33"/>
  <c r="B33" i="33"/>
  <c r="D33" i="33"/>
  <c r="E33" i="33"/>
  <c r="C33" i="33"/>
  <c r="G34" i="33"/>
  <c r="B34" i="33"/>
  <c r="E34" i="33"/>
  <c r="D34" i="33"/>
  <c r="C34" i="33"/>
  <c r="C36" i="33"/>
  <c r="E36" i="33"/>
  <c r="G36" i="33"/>
  <c r="B36" i="33"/>
  <c r="D36" i="33"/>
  <c r="G30" i="33"/>
  <c r="B30" i="33"/>
  <c r="D30" i="33"/>
  <c r="C30" i="33"/>
  <c r="E30" i="33"/>
  <c r="B68" i="33"/>
  <c r="C68" i="33"/>
  <c r="D68" i="33"/>
  <c r="G68" i="33"/>
  <c r="E68" i="33"/>
  <c r="F198" i="49" a="1"/>
  <c r="F198" i="49" s="1"/>
  <c r="I198" i="49"/>
  <c r="D198" i="49"/>
  <c r="C198" i="49"/>
  <c r="E198" i="49"/>
  <c r="K198" i="49" a="1"/>
  <c r="K198" i="49" s="1"/>
  <c r="F33" i="49" a="1"/>
  <c r="F33" i="49" s="1"/>
  <c r="E33" i="49"/>
  <c r="D33" i="49"/>
  <c r="C33" i="49"/>
  <c r="I207" i="49"/>
  <c r="D207" i="49"/>
  <c r="E207" i="49"/>
  <c r="F207" i="49" a="1"/>
  <c r="F207" i="49" s="1"/>
  <c r="C207" i="49"/>
  <c r="K207" i="49" a="1"/>
  <c r="K207" i="49" s="1"/>
  <c r="D54" i="49"/>
  <c r="C54" i="49"/>
  <c r="F54" i="49" a="1"/>
  <c r="F54" i="49" s="1"/>
  <c r="E54" i="49"/>
  <c r="I54" i="49"/>
  <c r="K54" i="49" a="1"/>
  <c r="K54" i="49" s="1"/>
  <c r="K338" i="49" a="1"/>
  <c r="K338" i="49" s="1"/>
  <c r="I338" i="49"/>
  <c r="F338" i="49" a="1"/>
  <c r="F338" i="49" s="1"/>
  <c r="C338" i="49"/>
  <c r="E338" i="49"/>
  <c r="D338" i="49"/>
  <c r="I168" i="49"/>
  <c r="D168" i="49"/>
  <c r="E168" i="49"/>
  <c r="C168" i="49"/>
  <c r="F168" i="49" a="1"/>
  <c r="F168" i="49" s="1"/>
  <c r="K168" i="49" a="1"/>
  <c r="K168" i="49" s="1"/>
  <c r="I184" i="49"/>
  <c r="E184" i="49"/>
  <c r="C184" i="49"/>
  <c r="F184" i="49" a="1"/>
  <c r="F184" i="49" s="1"/>
  <c r="D184" i="49"/>
  <c r="K184" i="49" a="1"/>
  <c r="K184" i="49" s="1"/>
  <c r="C153" i="49"/>
  <c r="E153" i="49"/>
  <c r="F153" i="49" a="1"/>
  <c r="F153" i="49" s="1"/>
  <c r="I153" i="49"/>
  <c r="D153" i="49"/>
  <c r="K153" i="49" a="1"/>
  <c r="K153" i="49" s="1"/>
  <c r="I286" i="49"/>
  <c r="D286" i="49"/>
  <c r="C286" i="49"/>
  <c r="F286" i="49" a="1"/>
  <c r="F286" i="49" s="1"/>
  <c r="E286" i="49"/>
  <c r="K286" i="49" a="1"/>
  <c r="K286" i="49" s="1"/>
  <c r="D21" i="49"/>
  <c r="C21" i="49"/>
  <c r="F21" i="49" a="1"/>
  <c r="F21" i="49" s="1"/>
  <c r="E21" i="49"/>
  <c r="C94" i="49"/>
  <c r="F94" i="49" a="1"/>
  <c r="F94" i="49" s="1"/>
  <c r="D94" i="49"/>
  <c r="I94" i="49"/>
  <c r="E94" i="49"/>
  <c r="K94" i="49" a="1"/>
  <c r="K94" i="49" s="1"/>
  <c r="D191" i="49"/>
  <c r="C191" i="49"/>
  <c r="F191" i="49" a="1"/>
  <c r="F191" i="49" s="1"/>
  <c r="E191" i="49"/>
  <c r="I191" i="49"/>
  <c r="K191" i="49" a="1"/>
  <c r="K191" i="49" s="1"/>
  <c r="F18" i="49" a="1"/>
  <c r="F18" i="49" s="1"/>
  <c r="C18" i="49"/>
  <c r="E18" i="49"/>
  <c r="F277" i="49" a="1"/>
  <c r="F277" i="49" s="1"/>
  <c r="I277" i="49"/>
  <c r="D277" i="49"/>
  <c r="C277" i="49"/>
  <c r="E277" i="49"/>
  <c r="K277" i="49" a="1"/>
  <c r="K277" i="49" s="1"/>
  <c r="F8" i="49" a="1"/>
  <c r="F8" i="49" s="1"/>
  <c r="E8" i="49"/>
  <c r="C8" i="49"/>
  <c r="D8" i="49"/>
  <c r="I87" i="49"/>
  <c r="E87" i="49"/>
  <c r="C87" i="49"/>
  <c r="D87" i="49"/>
  <c r="F87" i="49" a="1"/>
  <c r="F87" i="49" s="1"/>
  <c r="K87" i="49" a="1"/>
  <c r="K87" i="49" s="1"/>
  <c r="I112" i="49"/>
  <c r="F112" i="49" a="1"/>
  <c r="F112" i="49" s="1"/>
  <c r="D112" i="49"/>
  <c r="C112" i="49"/>
  <c r="E112" i="49"/>
  <c r="K112" i="49" a="1"/>
  <c r="K112" i="49" s="1"/>
  <c r="F117" i="49" a="1"/>
  <c r="F117" i="49" s="1"/>
  <c r="D117" i="49"/>
  <c r="C117" i="49"/>
  <c r="E117" i="49"/>
  <c r="I117" i="49"/>
  <c r="K117" i="49" a="1"/>
  <c r="K117" i="49" s="1"/>
  <c r="C266" i="49"/>
  <c r="E266" i="49"/>
  <c r="I266" i="49"/>
  <c r="F266" i="49" a="1"/>
  <c r="F266" i="49" s="1"/>
  <c r="D266" i="49"/>
  <c r="K266" i="49" a="1"/>
  <c r="K266" i="49" s="1"/>
  <c r="E234" i="49"/>
  <c r="C234" i="49"/>
  <c r="I234" i="49"/>
  <c r="F234" i="49" a="1"/>
  <c r="F234" i="49" s="1"/>
  <c r="D234" i="49"/>
  <c r="K234" i="49" a="1"/>
  <c r="K234" i="49" s="1"/>
  <c r="D264" i="49"/>
  <c r="C264" i="49"/>
  <c r="E264" i="49"/>
  <c r="F264" i="49" a="1"/>
  <c r="F264" i="49" s="1"/>
  <c r="I264" i="49"/>
  <c r="K264" i="49" a="1"/>
  <c r="K264" i="49" s="1"/>
  <c r="I167" i="49"/>
  <c r="D167" i="49"/>
  <c r="E167" i="49"/>
  <c r="C167" i="49"/>
  <c r="F167" i="49" a="1"/>
  <c r="F167" i="49" s="1"/>
  <c r="K167" i="49" a="1"/>
  <c r="K167" i="49" s="1"/>
  <c r="D332" i="49"/>
  <c r="F332" i="49" a="1"/>
  <c r="F332" i="49" s="1"/>
  <c r="C332" i="49"/>
  <c r="E332" i="49"/>
  <c r="I332" i="49"/>
  <c r="K332" i="49" a="1"/>
  <c r="K332" i="49" s="1"/>
  <c r="C151" i="49"/>
  <c r="D151" i="49"/>
  <c r="F151" i="49" a="1"/>
  <c r="F151" i="49" s="1"/>
  <c r="I151" i="49"/>
  <c r="E151" i="49"/>
  <c r="K151" i="49" a="1"/>
  <c r="K151" i="49" s="1"/>
  <c r="I298" i="49"/>
  <c r="F298" i="49" a="1"/>
  <c r="F298" i="49" s="1"/>
  <c r="C298" i="49"/>
  <c r="E298" i="49"/>
  <c r="D298" i="49"/>
  <c r="K298" i="49" a="1"/>
  <c r="K298" i="49" s="1"/>
  <c r="F279" i="49" a="1"/>
  <c r="F279" i="49" s="1"/>
  <c r="I279" i="49"/>
  <c r="E279" i="49"/>
  <c r="C279" i="49"/>
  <c r="D279" i="49"/>
  <c r="K279" i="49" a="1"/>
  <c r="K279" i="49" s="1"/>
  <c r="C75" i="49"/>
  <c r="D75" i="49"/>
  <c r="I75" i="49"/>
  <c r="F75" i="49" a="1"/>
  <c r="F75" i="49" s="1"/>
  <c r="E75" i="49"/>
  <c r="K75" i="49" a="1"/>
  <c r="K75" i="49" s="1"/>
  <c r="C14" i="49"/>
  <c r="F14" i="49" a="1"/>
  <c r="F14" i="49" s="1"/>
  <c r="E14" i="49"/>
  <c r="F271" i="49" a="1"/>
  <c r="F271" i="49" s="1"/>
  <c r="D271" i="49"/>
  <c r="C271" i="49"/>
  <c r="E271" i="49"/>
  <c r="I271" i="49"/>
  <c r="K271" i="49" a="1"/>
  <c r="K271" i="49" s="1"/>
  <c r="E53" i="49"/>
  <c r="F53" i="49" a="1"/>
  <c r="F53" i="49" s="1"/>
  <c r="I53" i="49"/>
  <c r="D53" i="49"/>
  <c r="C53" i="49"/>
  <c r="K53" i="49" a="1"/>
  <c r="K53" i="49" s="1"/>
  <c r="I68" i="49"/>
  <c r="E68" i="49"/>
  <c r="C68" i="49"/>
  <c r="D68" i="49"/>
  <c r="F68" i="49" a="1"/>
  <c r="F68" i="49" s="1"/>
  <c r="K68" i="49" a="1"/>
  <c r="K68" i="49" s="1"/>
  <c r="E46" i="91"/>
  <c r="D46" i="91"/>
  <c r="B46" i="91"/>
  <c r="C46" i="91"/>
  <c r="G46" i="91"/>
  <c r="C42" i="91"/>
  <c r="B42" i="91"/>
  <c r="G42" i="91"/>
  <c r="E42" i="91"/>
  <c r="D42" i="91"/>
  <c r="C68" i="91"/>
  <c r="D68" i="91"/>
  <c r="G68" i="91"/>
  <c r="B68" i="91"/>
  <c r="E68" i="91"/>
  <c r="D64" i="91"/>
  <c r="B64" i="91"/>
  <c r="G64" i="91"/>
  <c r="C64" i="91"/>
  <c r="E64" i="91"/>
  <c r="C55" i="91"/>
  <c r="E55" i="91"/>
  <c r="D55" i="91"/>
  <c r="B55" i="91"/>
  <c r="G55" i="91"/>
  <c r="B74" i="19"/>
  <c r="C74" i="19"/>
  <c r="D74" i="19"/>
  <c r="G74" i="19"/>
  <c r="E74" i="19"/>
  <c r="D82" i="19"/>
  <c r="C82" i="19"/>
  <c r="B82" i="19"/>
  <c r="G82" i="19"/>
  <c r="E82" i="19"/>
  <c r="C15" i="19"/>
  <c r="D22" i="19"/>
  <c r="E22" i="19"/>
  <c r="G22" i="19"/>
  <c r="B22" i="19"/>
  <c r="C22" i="19"/>
  <c r="E77" i="19"/>
  <c r="B77" i="19"/>
  <c r="D77" i="19"/>
  <c r="C77" i="19"/>
  <c r="G77" i="19"/>
  <c r="D81" i="19"/>
  <c r="E81" i="19"/>
  <c r="B81" i="19"/>
  <c r="G81" i="19"/>
  <c r="C81" i="19"/>
  <c r="E6" i="19"/>
  <c r="D6" i="19"/>
  <c r="C6" i="19"/>
  <c r="D197" i="52"/>
  <c r="C197" i="52"/>
  <c r="E197" i="52"/>
  <c r="F197" i="52" a="1"/>
  <c r="F197" i="52" s="1"/>
  <c r="L197" i="52" a="1"/>
  <c r="L197" i="52" s="1"/>
  <c r="I197" i="52"/>
  <c r="C316" i="52"/>
  <c r="E316" i="52"/>
  <c r="L316" i="52" a="1"/>
  <c r="L316" i="52" s="1"/>
  <c r="D316" i="52"/>
  <c r="I316" i="52"/>
  <c r="F316" i="52" a="1"/>
  <c r="F316" i="52" s="1"/>
  <c r="D292" i="52"/>
  <c r="F292" i="52" a="1"/>
  <c r="F292" i="52" s="1"/>
  <c r="E292" i="52"/>
  <c r="I292" i="52"/>
  <c r="L292" i="52" a="1"/>
  <c r="L292" i="52" s="1"/>
  <c r="C292" i="52"/>
  <c r="C348" i="52"/>
  <c r="D348" i="52"/>
  <c r="I348" i="52"/>
  <c r="L348" i="52" a="1"/>
  <c r="L348" i="52" s="1"/>
  <c r="F348" i="52" a="1"/>
  <c r="F348" i="52" s="1"/>
  <c r="E348" i="52"/>
  <c r="E95" i="52"/>
  <c r="I95" i="52"/>
  <c r="F95" i="52" a="1"/>
  <c r="F95" i="52" s="1"/>
  <c r="L95" i="52" a="1"/>
  <c r="L95" i="52" s="1"/>
  <c r="C95" i="52"/>
  <c r="D95" i="52"/>
  <c r="C6" i="52"/>
  <c r="F6" i="52" a="1"/>
  <c r="F6" i="52" s="1"/>
  <c r="D6" i="52"/>
  <c r="E6" i="52"/>
  <c r="L75" i="52" a="1"/>
  <c r="L75" i="52" s="1"/>
  <c r="E75" i="52"/>
  <c r="C75" i="52"/>
  <c r="F75" i="52" a="1"/>
  <c r="F75" i="52" s="1"/>
  <c r="F13" i="52" a="1"/>
  <c r="F13" i="52" s="1"/>
  <c r="C13" i="52"/>
  <c r="E13" i="52"/>
  <c r="L262" i="52" a="1"/>
  <c r="L262" i="52" s="1"/>
  <c r="E262" i="52"/>
  <c r="I262" i="52"/>
  <c r="F262" i="52" a="1"/>
  <c r="F262" i="52" s="1"/>
  <c r="D262" i="52"/>
  <c r="C262" i="52"/>
  <c r="F110" i="52" a="1"/>
  <c r="F110" i="52" s="1"/>
  <c r="L110" i="52" a="1"/>
  <c r="L110" i="52" s="1"/>
  <c r="I110" i="52"/>
  <c r="E110" i="52"/>
  <c r="D110" i="52"/>
  <c r="C110" i="52"/>
  <c r="L153" i="52" a="1"/>
  <c r="L153" i="52" s="1"/>
  <c r="I153" i="52"/>
  <c r="E153" i="52"/>
  <c r="C153" i="52"/>
  <c r="D153" i="52"/>
  <c r="F153" i="52" a="1"/>
  <c r="F153" i="52" s="1"/>
  <c r="C119" i="52"/>
  <c r="E119" i="52"/>
  <c r="D119" i="52"/>
  <c r="F119" i="52" a="1"/>
  <c r="F119" i="52" s="1"/>
  <c r="L119" i="52" a="1"/>
  <c r="L119" i="52" s="1"/>
  <c r="I119" i="52"/>
  <c r="L210" i="52" a="1"/>
  <c r="L210" i="52" s="1"/>
  <c r="I210" i="52"/>
  <c r="E210" i="52"/>
  <c r="F210" i="52" a="1"/>
  <c r="F210" i="52" s="1"/>
  <c r="D210" i="52"/>
  <c r="C210" i="52"/>
  <c r="I335" i="52"/>
  <c r="E335" i="52"/>
  <c r="D335" i="52"/>
  <c r="L335" i="52" a="1"/>
  <c r="L335" i="52" s="1"/>
  <c r="F335" i="52" a="1"/>
  <c r="F335" i="52" s="1"/>
  <c r="C335" i="52"/>
  <c r="L86" i="52" a="1"/>
  <c r="L86" i="52" s="1"/>
  <c r="E86" i="52"/>
  <c r="D86" i="52"/>
  <c r="F86" i="52" a="1"/>
  <c r="F86" i="52" s="1"/>
  <c r="C86" i="52"/>
  <c r="I86" i="52"/>
  <c r="I127" i="52"/>
  <c r="C127" i="52"/>
  <c r="F127" i="52" a="1"/>
  <c r="F127" i="52" s="1"/>
  <c r="E127" i="52"/>
  <c r="D127" i="52"/>
  <c r="L127" i="52" a="1"/>
  <c r="L127" i="52" s="1"/>
  <c r="F254" i="52" a="1"/>
  <c r="F254" i="52" s="1"/>
  <c r="I254" i="52"/>
  <c r="L254" i="52" a="1"/>
  <c r="L254" i="52" s="1"/>
  <c r="E254" i="52"/>
  <c r="C254" i="52"/>
  <c r="D254" i="52"/>
  <c r="L355" i="52" a="1"/>
  <c r="L355" i="52" s="1"/>
  <c r="E355" i="52"/>
  <c r="F355" i="52" a="1"/>
  <c r="F355" i="52" s="1"/>
  <c r="D355" i="52"/>
  <c r="I355" i="52"/>
  <c r="C355" i="52"/>
  <c r="D188" i="52"/>
  <c r="E188" i="52"/>
  <c r="C188" i="52"/>
  <c r="F188" i="52" a="1"/>
  <c r="F188" i="52" s="1"/>
  <c r="I188" i="52"/>
  <c r="L188" i="52" a="1"/>
  <c r="L188" i="52" s="1"/>
  <c r="F354" i="52" a="1"/>
  <c r="F354" i="52" s="1"/>
  <c r="E354" i="52"/>
  <c r="D354" i="52"/>
  <c r="L354" i="52" a="1"/>
  <c r="L354" i="52" s="1"/>
  <c r="C354" i="52"/>
  <c r="I354" i="52"/>
  <c r="I305" i="52"/>
  <c r="F305" i="52" a="1"/>
  <c r="F305" i="52" s="1"/>
  <c r="E305" i="52"/>
  <c r="D305" i="52"/>
  <c r="C305" i="52"/>
  <c r="L305" i="52" a="1"/>
  <c r="L305" i="52" s="1"/>
  <c r="L320" i="52" a="1"/>
  <c r="L320" i="52" s="1"/>
  <c r="D320" i="52"/>
  <c r="I320" i="52"/>
  <c r="E320" i="52"/>
  <c r="C320" i="52"/>
  <c r="F320" i="52" a="1"/>
  <c r="F320" i="52" s="1"/>
  <c r="L140" i="52" a="1"/>
  <c r="L140" i="52" s="1"/>
  <c r="F140" i="52" a="1"/>
  <c r="F140" i="52" s="1"/>
  <c r="C140" i="52"/>
  <c r="D140" i="52"/>
  <c r="E140" i="52"/>
  <c r="I140" i="52"/>
  <c r="D311" i="52"/>
  <c r="I311" i="52"/>
  <c r="C311" i="52"/>
  <c r="L311" i="52" a="1"/>
  <c r="L311" i="52" s="1"/>
  <c r="E311" i="52"/>
  <c r="F311" i="52" a="1"/>
  <c r="F311" i="52" s="1"/>
  <c r="D263" i="52"/>
  <c r="E263" i="52"/>
  <c r="C263" i="52"/>
  <c r="L263" i="52" a="1"/>
  <c r="L263" i="52" s="1"/>
  <c r="I263" i="52"/>
  <c r="F263" i="52" a="1"/>
  <c r="F263" i="52" s="1"/>
  <c r="L226" i="52" a="1"/>
  <c r="L226" i="52" s="1"/>
  <c r="I226" i="52"/>
  <c r="F226" i="52" a="1"/>
  <c r="F226" i="52" s="1"/>
  <c r="E226" i="52"/>
  <c r="D226" i="52"/>
  <c r="C226" i="52"/>
  <c r="I100" i="52"/>
  <c r="E100" i="52"/>
  <c r="C100" i="52"/>
  <c r="F100" i="52" a="1"/>
  <c r="F100" i="52" s="1"/>
  <c r="D100" i="52"/>
  <c r="L100" i="52" a="1"/>
  <c r="L100" i="52" s="1"/>
  <c r="L74" i="52" a="1"/>
  <c r="L74" i="52" s="1"/>
  <c r="C74" i="52"/>
  <c r="F74" i="52" a="1"/>
  <c r="F74" i="52" s="1"/>
  <c r="E74" i="52"/>
  <c r="L321" i="52" a="1"/>
  <c r="L321" i="52" s="1"/>
  <c r="I321" i="52"/>
  <c r="C321" i="52"/>
  <c r="F321" i="52" a="1"/>
  <c r="F321" i="52" s="1"/>
  <c r="E321" i="52"/>
  <c r="D321" i="52"/>
  <c r="D151" i="52"/>
  <c r="I151" i="52"/>
  <c r="F151" i="52" a="1"/>
  <c r="F151" i="52" s="1"/>
  <c r="L151" i="52" a="1"/>
  <c r="L151" i="52" s="1"/>
  <c r="C151" i="52"/>
  <c r="E151" i="52"/>
  <c r="D280" i="52"/>
  <c r="C280" i="52"/>
  <c r="I280" i="52"/>
  <c r="F280" i="52" a="1"/>
  <c r="F280" i="52" s="1"/>
  <c r="L280" i="52" a="1"/>
  <c r="L280" i="52" s="1"/>
  <c r="E280" i="52"/>
  <c r="I90" i="52"/>
  <c r="C90" i="52"/>
  <c r="D90" i="52"/>
  <c r="E90" i="52"/>
  <c r="L90" i="52" a="1"/>
  <c r="L90" i="52" s="1"/>
  <c r="F90" i="52" a="1"/>
  <c r="F90" i="52" s="1"/>
  <c r="F340" i="52" a="1"/>
  <c r="F340" i="52" s="1"/>
  <c r="I340" i="52"/>
  <c r="E340" i="52"/>
  <c r="L340" i="52" a="1"/>
  <c r="L340" i="52" s="1"/>
  <c r="C340" i="52"/>
  <c r="D340" i="52"/>
  <c r="D30" i="25"/>
  <c r="B30" i="25"/>
  <c r="C30" i="25"/>
  <c r="G30" i="25"/>
  <c r="E30" i="25"/>
  <c r="E11" i="25"/>
  <c r="B11" i="25"/>
  <c r="D11" i="25"/>
  <c r="C11" i="25"/>
  <c r="D56" i="25"/>
  <c r="C56" i="25"/>
  <c r="B56" i="25"/>
  <c r="E56" i="25"/>
  <c r="G56" i="25"/>
  <c r="C9" i="25"/>
  <c r="E9" i="25"/>
  <c r="D9" i="25"/>
  <c r="B9" i="25"/>
  <c r="E39" i="25"/>
  <c r="G39" i="25"/>
  <c r="D39" i="25"/>
  <c r="C39" i="25"/>
  <c r="B39" i="25"/>
  <c r="C35" i="25"/>
  <c r="G35" i="25"/>
  <c r="E35" i="25"/>
  <c r="B35" i="25"/>
  <c r="D35" i="25"/>
  <c r="D13" i="25"/>
  <c r="C13" i="25"/>
  <c r="B13" i="25"/>
  <c r="E13" i="25"/>
  <c r="D15" i="25"/>
  <c r="E15" i="25"/>
  <c r="C15" i="25"/>
  <c r="B15" i="25"/>
  <c r="C9" i="100"/>
  <c r="E9" i="100"/>
  <c r="F9" i="100" a="1"/>
  <c r="F9" i="100" s="1"/>
  <c r="D90" i="100"/>
  <c r="I90" i="100"/>
  <c r="F90" i="100" a="1"/>
  <c r="F90" i="100" s="1"/>
  <c r="C90" i="100"/>
  <c r="E90" i="100"/>
  <c r="K90" i="100" a="1"/>
  <c r="K90" i="100" s="1"/>
  <c r="I351" i="100"/>
  <c r="C351" i="100"/>
  <c r="E351" i="100"/>
  <c r="F351" i="100" a="1"/>
  <c r="F351" i="100" s="1"/>
  <c r="D351" i="100"/>
  <c r="K351" i="100" a="1"/>
  <c r="K351" i="100" s="1"/>
  <c r="E270" i="100"/>
  <c r="D270" i="100"/>
  <c r="F270" i="100" a="1"/>
  <c r="F270" i="100" s="1"/>
  <c r="C270" i="100"/>
  <c r="I270" i="100"/>
  <c r="K270" i="100" a="1"/>
  <c r="K270" i="100" s="1"/>
  <c r="F29" i="100" a="1"/>
  <c r="F29" i="100" s="1"/>
  <c r="D29" i="100"/>
  <c r="E29" i="100"/>
  <c r="C29" i="100"/>
  <c r="I316" i="100"/>
  <c r="E316" i="100"/>
  <c r="F316" i="100" a="1"/>
  <c r="F316" i="100" s="1"/>
  <c r="D316" i="100"/>
  <c r="C316" i="100"/>
  <c r="K316" i="100" a="1"/>
  <c r="K316" i="100" s="1"/>
  <c r="K266" i="100" a="1"/>
  <c r="K266" i="100" s="1"/>
  <c r="E266" i="100"/>
  <c r="F266" i="100" a="1"/>
  <c r="F266" i="100" s="1"/>
  <c r="I266" i="100"/>
  <c r="C266" i="100"/>
  <c r="D266" i="100"/>
  <c r="D7" i="100"/>
  <c r="F7" i="100" a="1"/>
  <c r="F7" i="100" s="1"/>
  <c r="E7" i="100"/>
  <c r="C7" i="100"/>
  <c r="F191" i="100" a="1"/>
  <c r="F191" i="100" s="1"/>
  <c r="E191" i="100"/>
  <c r="I191" i="100"/>
  <c r="C191" i="100"/>
  <c r="K191" i="100" a="1"/>
  <c r="K191" i="100" s="1"/>
  <c r="D191" i="100"/>
  <c r="D260" i="100"/>
  <c r="E260" i="100"/>
  <c r="I260" i="100"/>
  <c r="C260" i="100"/>
  <c r="F260" i="100" a="1"/>
  <c r="F260" i="100" s="1"/>
  <c r="K260" i="100" a="1"/>
  <c r="K260" i="100" s="1"/>
  <c r="E211" i="100"/>
  <c r="F211" i="100" a="1"/>
  <c r="F211" i="100" s="1"/>
  <c r="I211" i="100"/>
  <c r="C211" i="100"/>
  <c r="D211" i="100"/>
  <c r="K211" i="100" a="1"/>
  <c r="K211" i="100" s="1"/>
  <c r="E228" i="100"/>
  <c r="C228" i="100"/>
  <c r="D228" i="100"/>
  <c r="F228" i="100" a="1"/>
  <c r="F228" i="100" s="1"/>
  <c r="I228" i="100"/>
  <c r="K228" i="100" a="1"/>
  <c r="K228" i="100" s="1"/>
  <c r="C97" i="100"/>
  <c r="D97" i="100"/>
  <c r="F97" i="100" a="1"/>
  <c r="F97" i="100" s="1"/>
  <c r="E97" i="100"/>
  <c r="I97" i="100"/>
  <c r="K97" i="100" a="1"/>
  <c r="K97" i="100" s="1"/>
  <c r="D134" i="100"/>
  <c r="E134" i="100"/>
  <c r="I134" i="100"/>
  <c r="F134" i="100" a="1"/>
  <c r="F134" i="100" s="1"/>
  <c r="C134" i="100"/>
  <c r="K134" i="100" a="1"/>
  <c r="K134" i="100" s="1"/>
  <c r="D353" i="100"/>
  <c r="C353" i="100"/>
  <c r="F353" i="100" a="1"/>
  <c r="F353" i="100" s="1"/>
  <c r="I353" i="100"/>
  <c r="E353" i="100"/>
  <c r="K353" i="100" a="1"/>
  <c r="K353" i="100" s="1"/>
  <c r="F86" i="100" a="1"/>
  <c r="F86" i="100" s="1"/>
  <c r="I86" i="100"/>
  <c r="D86" i="100"/>
  <c r="C86" i="100"/>
  <c r="E86" i="100"/>
  <c r="K86" i="100" a="1"/>
  <c r="K86" i="100" s="1"/>
  <c r="F33" i="100" a="1"/>
  <c r="F33" i="100" s="1"/>
  <c r="C33" i="100"/>
  <c r="E33" i="100"/>
  <c r="D33" i="100"/>
  <c r="F89" i="100" a="1"/>
  <c r="F89" i="100" s="1"/>
  <c r="C89" i="100"/>
  <c r="E89" i="100"/>
  <c r="I89" i="100"/>
  <c r="D89" i="100"/>
  <c r="K89" i="100" a="1"/>
  <c r="K89" i="100" s="1"/>
  <c r="I352" i="100"/>
  <c r="E352" i="100"/>
  <c r="D352" i="100"/>
  <c r="F352" i="100" a="1"/>
  <c r="F352" i="100" s="1"/>
  <c r="C352" i="100"/>
  <c r="K352" i="100" a="1"/>
  <c r="K352" i="100" s="1"/>
  <c r="I249" i="100"/>
  <c r="E249" i="100"/>
  <c r="F249" i="100" a="1"/>
  <c r="F249" i="100" s="1"/>
  <c r="C249" i="100"/>
  <c r="D249" i="100"/>
  <c r="K249" i="100" a="1"/>
  <c r="K249" i="100" s="1"/>
  <c r="C216" i="100"/>
  <c r="D216" i="100"/>
  <c r="F216" i="100" a="1"/>
  <c r="F216" i="100" s="1"/>
  <c r="E216" i="100"/>
  <c r="I216" i="100"/>
  <c r="K216" i="100" a="1"/>
  <c r="K216" i="100" s="1"/>
  <c r="D140" i="100"/>
  <c r="E140" i="100"/>
  <c r="I140" i="100"/>
  <c r="F140" i="100" a="1"/>
  <c r="F140" i="100" s="1"/>
  <c r="C140" i="100"/>
  <c r="K140" i="100" a="1"/>
  <c r="K140" i="100" s="1"/>
  <c r="I151" i="100"/>
  <c r="F151" i="100" a="1"/>
  <c r="F151" i="100" s="1"/>
  <c r="E151" i="100"/>
  <c r="D151" i="100"/>
  <c r="C151" i="100"/>
  <c r="K151" i="100" a="1"/>
  <c r="K151" i="100" s="1"/>
  <c r="D152" i="100"/>
  <c r="F152" i="100" a="1"/>
  <c r="F152" i="100" s="1"/>
  <c r="C152" i="100"/>
  <c r="E152" i="100"/>
  <c r="I152" i="100"/>
  <c r="K152" i="100" a="1"/>
  <c r="K152" i="100" s="1"/>
  <c r="K236" i="100" a="1"/>
  <c r="K236" i="100" s="1"/>
  <c r="D236" i="100"/>
  <c r="F236" i="100" a="1"/>
  <c r="F236" i="100" s="1"/>
  <c r="C236" i="100"/>
  <c r="I236" i="100"/>
  <c r="E236" i="100"/>
  <c r="F205" i="100" a="1"/>
  <c r="F205" i="100" s="1"/>
  <c r="C205" i="100"/>
  <c r="I205" i="100"/>
  <c r="E205" i="100"/>
  <c r="D205" i="100"/>
  <c r="K205" i="100" a="1"/>
  <c r="K205" i="100" s="1"/>
  <c r="C142" i="100"/>
  <c r="F142" i="100" a="1"/>
  <c r="F142" i="100" s="1"/>
  <c r="D142" i="100"/>
  <c r="I142" i="100"/>
  <c r="E142" i="100"/>
  <c r="K142" i="100" a="1"/>
  <c r="K142" i="100" s="1"/>
  <c r="E25" i="100"/>
  <c r="C25" i="100"/>
  <c r="F25" i="100" a="1"/>
  <c r="F25" i="100" s="1"/>
  <c r="D215" i="100"/>
  <c r="F215" i="100" a="1"/>
  <c r="F215" i="100" s="1"/>
  <c r="I215" i="100"/>
  <c r="E215" i="100"/>
  <c r="C215" i="100"/>
  <c r="K215" i="100" a="1"/>
  <c r="K215" i="100" s="1"/>
  <c r="I114" i="101"/>
  <c r="D114" i="101"/>
  <c r="E114" i="101"/>
  <c r="C114" i="101"/>
  <c r="F114" i="101" a="1"/>
  <c r="F114" i="101" s="1"/>
  <c r="I35" i="101"/>
  <c r="E35" i="101"/>
  <c r="F35" i="101" a="1"/>
  <c r="F35" i="101" s="1"/>
  <c r="D35" i="101"/>
  <c r="C35" i="101"/>
  <c r="F31" i="101" a="1"/>
  <c r="F31" i="101" s="1"/>
  <c r="E31" i="101"/>
  <c r="D31" i="101"/>
  <c r="C31" i="101"/>
  <c r="I31" i="101"/>
  <c r="F149" i="101" a="1"/>
  <c r="F149" i="101" s="1"/>
  <c r="D149" i="101"/>
  <c r="C149" i="101"/>
  <c r="I149" i="101"/>
  <c r="E149" i="101"/>
  <c r="I179" i="101"/>
  <c r="F179" i="101" a="1"/>
  <c r="F179" i="101" s="1"/>
  <c r="C179" i="101"/>
  <c r="D179" i="101"/>
  <c r="E179" i="101"/>
  <c r="I264" i="101"/>
  <c r="E264" i="101"/>
  <c r="D264" i="101"/>
  <c r="F264" i="101" a="1"/>
  <c r="F264" i="101" s="1"/>
  <c r="C264" i="101"/>
  <c r="F197" i="101" a="1"/>
  <c r="F197" i="101" s="1"/>
  <c r="C197" i="101"/>
  <c r="I197" i="101"/>
  <c r="D197" i="101"/>
  <c r="E197" i="101"/>
  <c r="D324" i="101"/>
  <c r="I324" i="101"/>
  <c r="E324" i="101"/>
  <c r="F324" i="101" a="1"/>
  <c r="F324" i="101" s="1"/>
  <c r="C324" i="101"/>
  <c r="I331" i="101"/>
  <c r="E331" i="101"/>
  <c r="C331" i="101"/>
  <c r="D331" i="101"/>
  <c r="F331" i="101" a="1"/>
  <c r="F331" i="101" s="1"/>
  <c r="D15" i="101"/>
  <c r="C15" i="101"/>
  <c r="I15" i="101"/>
  <c r="F15" i="101" a="1"/>
  <c r="F15" i="101" s="1"/>
  <c r="E15" i="101"/>
  <c r="D327" i="101"/>
  <c r="I327" i="101"/>
  <c r="E327" i="101"/>
  <c r="C327" i="101"/>
  <c r="F327" i="101" a="1"/>
  <c r="F327" i="101" s="1"/>
  <c r="D115" i="101"/>
  <c r="F115" i="101" a="1"/>
  <c r="F115" i="101" s="1"/>
  <c r="E115" i="101"/>
  <c r="C115" i="101"/>
  <c r="I115" i="101"/>
  <c r="C215" i="101"/>
  <c r="D215" i="101"/>
  <c r="E215" i="101"/>
  <c r="I215" i="101"/>
  <c r="F215" i="101" a="1"/>
  <c r="F215" i="101" s="1"/>
  <c r="E74" i="101"/>
  <c r="C74" i="101"/>
  <c r="I74" i="101"/>
  <c r="D74" i="101"/>
  <c r="F74" i="101" a="1"/>
  <c r="F74" i="101" s="1"/>
  <c r="I131" i="101"/>
  <c r="E131" i="101"/>
  <c r="D131" i="101"/>
  <c r="F131" i="101" a="1"/>
  <c r="F131" i="101" s="1"/>
  <c r="C131" i="101"/>
  <c r="E135" i="101"/>
  <c r="I135" i="101"/>
  <c r="D135" i="101"/>
  <c r="F135" i="101" a="1"/>
  <c r="F135" i="101" s="1"/>
  <c r="C135" i="101"/>
  <c r="C276" i="101"/>
  <c r="F276" i="101" a="1"/>
  <c r="F276" i="101" s="1"/>
  <c r="I276" i="101"/>
  <c r="E276" i="101"/>
  <c r="D276" i="101"/>
  <c r="E205" i="101"/>
  <c r="I205" i="101"/>
  <c r="D205" i="101"/>
  <c r="C205" i="101"/>
  <c r="F205" i="101" a="1"/>
  <c r="F205" i="101" s="1"/>
  <c r="C182" i="101"/>
  <c r="E182" i="101"/>
  <c r="I182" i="101"/>
  <c r="D182" i="101"/>
  <c r="F182" i="101" a="1"/>
  <c r="F182" i="101" s="1"/>
  <c r="F194" i="101" a="1"/>
  <c r="F194" i="101" s="1"/>
  <c r="E194" i="101"/>
  <c r="I194" i="101"/>
  <c r="C194" i="101"/>
  <c r="D194" i="101"/>
  <c r="E106" i="101"/>
  <c r="F106" i="101" a="1"/>
  <c r="F106" i="101" s="1"/>
  <c r="I106" i="101"/>
  <c r="C106" i="101"/>
  <c r="D106" i="101"/>
  <c r="F32" i="101" a="1"/>
  <c r="F32" i="101" s="1"/>
  <c r="I32" i="101"/>
  <c r="E32" i="101"/>
  <c r="D32" i="101"/>
  <c r="C32" i="101"/>
  <c r="F150" i="101" a="1"/>
  <c r="F150" i="101" s="1"/>
  <c r="D150" i="101"/>
  <c r="E150" i="101"/>
  <c r="I150" i="101"/>
  <c r="C150" i="101"/>
  <c r="E22" i="101"/>
  <c r="F22" i="101" a="1"/>
  <c r="F22" i="101" s="1"/>
  <c r="D22" i="101"/>
  <c r="C22" i="101"/>
  <c r="I22" i="101"/>
  <c r="D270" i="101"/>
  <c r="C270" i="101"/>
  <c r="I270" i="101"/>
  <c r="E270" i="101"/>
  <c r="F270" i="101" a="1"/>
  <c r="F270" i="101" s="1"/>
  <c r="E319" i="101"/>
  <c r="F319" i="101" a="1"/>
  <c r="F319" i="101" s="1"/>
  <c r="C319" i="101"/>
  <c r="D319" i="101"/>
  <c r="I319" i="101"/>
  <c r="B39" i="34"/>
  <c r="C39" i="34"/>
  <c r="D39" i="34"/>
  <c r="G39" i="34"/>
  <c r="E39" i="34"/>
  <c r="D11" i="34"/>
  <c r="B11" i="34"/>
  <c r="E11" i="34"/>
  <c r="G11" i="34"/>
  <c r="C11" i="34"/>
  <c r="C79" i="34"/>
  <c r="B79" i="34"/>
  <c r="G79" i="34"/>
  <c r="E79" i="34"/>
  <c r="D79" i="34"/>
  <c r="C70" i="34"/>
  <c r="G70" i="34"/>
  <c r="B70" i="34"/>
  <c r="D70" i="34"/>
  <c r="E70" i="34"/>
  <c r="C37" i="34"/>
  <c r="D37" i="34"/>
  <c r="E37" i="34"/>
  <c r="B37" i="34"/>
  <c r="G37" i="34"/>
  <c r="E62" i="34"/>
  <c r="B62" i="34"/>
  <c r="D62" i="34"/>
  <c r="C62" i="34"/>
  <c r="G62" i="34"/>
  <c r="B20" i="34"/>
  <c r="D20" i="34"/>
  <c r="E20" i="34"/>
  <c r="G20" i="34"/>
  <c r="C20" i="34"/>
  <c r="G30" i="34"/>
  <c r="D30" i="34"/>
  <c r="C30" i="34"/>
  <c r="E30" i="34"/>
  <c r="B30" i="34"/>
  <c r="B54" i="22"/>
  <c r="C54" i="22"/>
  <c r="D54" i="22"/>
  <c r="G54" i="22"/>
  <c r="E54" i="22"/>
  <c r="D61" i="22"/>
  <c r="B61" i="22"/>
  <c r="G61" i="22"/>
  <c r="C61" i="22"/>
  <c r="E61" i="22"/>
  <c r="G32" i="22"/>
  <c r="B32" i="22"/>
  <c r="C32" i="22"/>
  <c r="D32" i="22"/>
  <c r="E32" i="22"/>
  <c r="C63" i="22"/>
  <c r="B63" i="22"/>
  <c r="G63" i="22"/>
  <c r="D63" i="22"/>
  <c r="E63" i="22"/>
  <c r="D67" i="22"/>
  <c r="G67" i="22"/>
  <c r="C67" i="22"/>
  <c r="E67" i="22"/>
  <c r="B67" i="22"/>
  <c r="E7" i="51"/>
  <c r="F7" i="51" a="1"/>
  <c r="F7" i="51" s="1"/>
  <c r="C7" i="51"/>
  <c r="C20" i="51"/>
  <c r="I20" i="51"/>
  <c r="K20" i="51" a="1"/>
  <c r="K20" i="51" s="1"/>
  <c r="D20" i="51"/>
  <c r="F20" i="51" a="1"/>
  <c r="F20" i="51" s="1"/>
  <c r="E20" i="51"/>
  <c r="I45" i="51"/>
  <c r="K45" i="51" a="1"/>
  <c r="K45" i="51" s="1"/>
  <c r="D45" i="51"/>
  <c r="E45" i="51"/>
  <c r="C45" i="51"/>
  <c r="F45" i="51" a="1"/>
  <c r="F45" i="51" s="1"/>
  <c r="I64" i="51"/>
  <c r="D64" i="51"/>
  <c r="F64" i="51" a="1"/>
  <c r="F64" i="51" s="1"/>
  <c r="K64" i="51" a="1"/>
  <c r="K64" i="51" s="1"/>
  <c r="C64" i="51"/>
  <c r="E64" i="51"/>
  <c r="F67" i="51" a="1"/>
  <c r="F67" i="51" s="1"/>
  <c r="I67" i="51"/>
  <c r="C67" i="51"/>
  <c r="E67" i="51"/>
  <c r="D67" i="51"/>
  <c r="K67" i="51" a="1"/>
  <c r="K67" i="51" s="1"/>
  <c r="E6" i="51"/>
  <c r="F6" i="51" a="1"/>
  <c r="F6" i="51" s="1"/>
  <c r="C6" i="51"/>
  <c r="D6" i="51"/>
  <c r="E39" i="51"/>
  <c r="F39" i="51" a="1"/>
  <c r="F39" i="51" s="1"/>
  <c r="C39" i="51"/>
  <c r="D39" i="51"/>
  <c r="K39" i="51" a="1"/>
  <c r="K39" i="51" s="1"/>
  <c r="I39" i="51"/>
  <c r="C10" i="51"/>
  <c r="F10" i="51" a="1"/>
  <c r="F10" i="51" s="1"/>
  <c r="E10" i="51"/>
  <c r="B76" i="37"/>
  <c r="D76" i="37"/>
  <c r="E76" i="37"/>
  <c r="G76" i="37"/>
  <c r="C76" i="37"/>
  <c r="B69" i="37"/>
  <c r="G69" i="37"/>
  <c r="D69" i="37"/>
  <c r="C69" i="37"/>
  <c r="E69" i="37"/>
  <c r="G46" i="37"/>
  <c r="C46" i="37"/>
  <c r="D46" i="37"/>
  <c r="B46" i="37"/>
  <c r="E46" i="37"/>
  <c r="G71" i="37"/>
  <c r="B71" i="37"/>
  <c r="D71" i="37"/>
  <c r="C71" i="37"/>
  <c r="E71" i="37"/>
  <c r="G66" i="37"/>
  <c r="E66" i="37"/>
  <c r="B66" i="37"/>
  <c r="D66" i="37"/>
  <c r="C66" i="37"/>
  <c r="E18" i="37"/>
  <c r="C18" i="37"/>
  <c r="D18" i="37"/>
  <c r="G18" i="37"/>
  <c r="B18" i="37"/>
  <c r="C14" i="30"/>
  <c r="E14" i="30"/>
  <c r="D14" i="30"/>
  <c r="G14" i="30"/>
  <c r="B14" i="30"/>
  <c r="G75" i="30"/>
  <c r="E75" i="30"/>
  <c r="B75" i="30"/>
  <c r="D75" i="30"/>
  <c r="C75" i="30"/>
  <c r="C69" i="30"/>
  <c r="D69" i="30"/>
  <c r="B69" i="30"/>
  <c r="G69" i="30"/>
  <c r="E69" i="30"/>
  <c r="C25" i="30"/>
  <c r="B25" i="30"/>
  <c r="G25" i="30"/>
  <c r="D25" i="30"/>
  <c r="E25" i="30"/>
  <c r="D51" i="30"/>
  <c r="B51" i="30"/>
  <c r="C51" i="30"/>
  <c r="E51" i="30"/>
  <c r="G51" i="30"/>
  <c r="D76" i="30"/>
  <c r="G76" i="30"/>
  <c r="E76" i="30"/>
  <c r="B76" i="30"/>
  <c r="C76" i="30"/>
  <c r="E13" i="30"/>
  <c r="C13" i="30"/>
  <c r="D13" i="30"/>
  <c r="B13" i="30"/>
  <c r="G13" i="30"/>
  <c r="B31" i="35"/>
  <c r="C31" i="35"/>
  <c r="D31" i="35"/>
  <c r="E31" i="35"/>
  <c r="G31" i="35"/>
  <c r="G37" i="35"/>
  <c r="C37" i="35"/>
  <c r="B37" i="35"/>
  <c r="E37" i="35"/>
  <c r="D37" i="35"/>
  <c r="D10" i="35"/>
  <c r="D64" i="35"/>
  <c r="C64" i="35"/>
  <c r="G64" i="35"/>
  <c r="B64" i="35"/>
  <c r="E64" i="35"/>
  <c r="C18" i="17"/>
  <c r="G18" i="17"/>
  <c r="D18" i="17"/>
  <c r="B18" i="17"/>
  <c r="E18" i="17"/>
  <c r="G20" i="17"/>
  <c r="C20" i="17"/>
  <c r="B20" i="17"/>
  <c r="E20" i="17"/>
  <c r="D20" i="17"/>
  <c r="G74" i="17"/>
  <c r="E74" i="17"/>
  <c r="C74" i="17"/>
  <c r="D74" i="17"/>
  <c r="B74" i="17"/>
  <c r="B39" i="17"/>
  <c r="G39" i="17"/>
  <c r="E39" i="17"/>
  <c r="D39" i="17"/>
  <c r="C39" i="17"/>
  <c r="E25" i="17"/>
  <c r="B25" i="17"/>
  <c r="D25" i="17"/>
  <c r="C25" i="17"/>
  <c r="G25" i="17"/>
  <c r="C22" i="17"/>
  <c r="G22" i="17"/>
  <c r="B22" i="17"/>
  <c r="E22" i="17"/>
  <c r="D22" i="17"/>
  <c r="D73" i="17"/>
  <c r="E73" i="17"/>
  <c r="G73" i="17"/>
  <c r="B73" i="17"/>
  <c r="C73" i="17"/>
  <c r="C11" i="13"/>
  <c r="B47" i="13"/>
  <c r="G47" i="13"/>
  <c r="C47" i="13"/>
  <c r="E47" i="13"/>
  <c r="D47" i="13"/>
  <c r="D75" i="13"/>
  <c r="C75" i="13"/>
  <c r="G75" i="13"/>
  <c r="B75" i="13"/>
  <c r="E75" i="13"/>
  <c r="D32" i="13"/>
  <c r="C32" i="13"/>
  <c r="B32" i="13"/>
  <c r="E32" i="13"/>
  <c r="B20" i="13"/>
  <c r="C20" i="13"/>
  <c r="D20" i="13"/>
  <c r="E20" i="13"/>
  <c r="B62" i="13"/>
  <c r="D62" i="13"/>
  <c r="G62" i="13"/>
  <c r="C62" i="13"/>
  <c r="E62" i="13"/>
  <c r="C15" i="13"/>
  <c r="D15" i="13"/>
  <c r="B15" i="13"/>
  <c r="E15" i="13"/>
  <c r="B25" i="13"/>
  <c r="C25" i="13"/>
  <c r="D25" i="13"/>
  <c r="E25" i="13"/>
  <c r="B41" i="36"/>
  <c r="C41" i="36"/>
  <c r="E41" i="36"/>
  <c r="D41" i="36"/>
  <c r="G41" i="36"/>
  <c r="G20" i="36"/>
  <c r="D20" i="36"/>
  <c r="C20" i="36"/>
  <c r="B20" i="36"/>
  <c r="E20" i="36"/>
  <c r="B68" i="36"/>
  <c r="G68" i="36"/>
  <c r="C68" i="36"/>
  <c r="E68" i="36"/>
  <c r="D68" i="36"/>
  <c r="E15" i="36"/>
  <c r="B15" i="36"/>
  <c r="D15" i="36"/>
  <c r="C54" i="36"/>
  <c r="E54" i="36"/>
  <c r="B54" i="36"/>
  <c r="G54" i="36"/>
  <c r="D54" i="36"/>
  <c r="E19" i="36"/>
  <c r="D19" i="36"/>
  <c r="C19" i="36"/>
  <c r="B19" i="36"/>
  <c r="B23" i="36"/>
  <c r="G23" i="36"/>
  <c r="D23" i="36"/>
  <c r="E23" i="36"/>
  <c r="C23" i="36"/>
  <c r="E70" i="36"/>
  <c r="C70" i="36"/>
  <c r="D70" i="36"/>
  <c r="G70" i="36"/>
  <c r="B70" i="36"/>
  <c r="E9" i="36"/>
  <c r="C9" i="36"/>
  <c r="D9" i="36"/>
  <c r="E12" i="99"/>
  <c r="B12" i="99"/>
  <c r="D12" i="99"/>
  <c r="C12" i="99"/>
  <c r="B35" i="99"/>
  <c r="C35" i="99"/>
  <c r="E35" i="99"/>
  <c r="G35" i="99"/>
  <c r="D35" i="99"/>
  <c r="G30" i="99"/>
  <c r="E30" i="99"/>
  <c r="B30" i="99"/>
  <c r="D30" i="99"/>
  <c r="C30" i="99"/>
  <c r="B22" i="99"/>
  <c r="G22" i="99"/>
  <c r="C22" i="99"/>
  <c r="D22" i="99"/>
  <c r="E22" i="99"/>
  <c r="D35" i="20"/>
  <c r="B35" i="20"/>
  <c r="G35" i="20"/>
  <c r="E35" i="20"/>
  <c r="C35" i="20"/>
  <c r="B6" i="20"/>
  <c r="E6" i="20"/>
  <c r="D6" i="20"/>
  <c r="A3" i="20"/>
  <c r="E8" i="20"/>
  <c r="D8" i="20"/>
  <c r="C8" i="20"/>
  <c r="B8" i="20"/>
  <c r="G8" i="20"/>
  <c r="D47" i="20"/>
  <c r="E47" i="20"/>
  <c r="C47" i="20"/>
  <c r="B47" i="20"/>
  <c r="G47" i="20"/>
  <c r="G17" i="20"/>
  <c r="B17" i="20"/>
  <c r="E17" i="20"/>
  <c r="D17" i="20"/>
  <c r="C17" i="20"/>
  <c r="E10" i="20"/>
  <c r="B10" i="20"/>
  <c r="C10" i="20"/>
  <c r="D10" i="20"/>
  <c r="G10" i="20"/>
  <c r="E58" i="20"/>
  <c r="D58" i="20"/>
  <c r="G58" i="20"/>
  <c r="C58" i="20"/>
  <c r="B58" i="20"/>
  <c r="G30" i="97"/>
  <c r="E30" i="97"/>
  <c r="B30" i="97"/>
  <c r="C30" i="97"/>
  <c r="D30" i="97"/>
  <c r="D56" i="97"/>
  <c r="E56" i="97"/>
  <c r="B56" i="97"/>
  <c r="C56" i="97"/>
  <c r="G56" i="97"/>
  <c r="G38" i="97"/>
  <c r="D38" i="97"/>
  <c r="E38" i="97"/>
  <c r="C38" i="97"/>
  <c r="B38" i="97"/>
  <c r="G81" i="97"/>
  <c r="C81" i="97"/>
  <c r="E81" i="97"/>
  <c r="D81" i="97"/>
  <c r="B81" i="97"/>
  <c r="C41" i="97"/>
  <c r="B41" i="97"/>
  <c r="E41" i="97"/>
  <c r="D41" i="97"/>
  <c r="G41" i="97"/>
  <c r="E72" i="97"/>
  <c r="D72" i="97"/>
  <c r="C72" i="97"/>
  <c r="G72" i="97"/>
  <c r="B72" i="97"/>
  <c r="B10" i="97"/>
  <c r="E10" i="97"/>
  <c r="D10" i="97"/>
  <c r="C10" i="97"/>
  <c r="B78" i="97"/>
  <c r="E78" i="97"/>
  <c r="C78" i="97"/>
  <c r="D78" i="97"/>
  <c r="G78" i="97"/>
  <c r="A3" i="45"/>
  <c r="D6" i="45"/>
  <c r="B6" i="45"/>
  <c r="E6" i="45"/>
  <c r="C6" i="45"/>
  <c r="G82" i="45"/>
  <c r="D82" i="45"/>
  <c r="C82" i="45"/>
  <c r="B82" i="45"/>
  <c r="E82" i="45"/>
  <c r="G83" i="45"/>
  <c r="D83" i="45"/>
  <c r="B83" i="45"/>
  <c r="E83" i="45"/>
  <c r="C83" i="45"/>
  <c r="E18" i="45"/>
  <c r="B18" i="45"/>
  <c r="D18" i="45"/>
  <c r="C18" i="45"/>
  <c r="B47" i="45"/>
  <c r="D47" i="45"/>
  <c r="E47" i="45"/>
  <c r="C47" i="45"/>
  <c r="G47" i="45"/>
  <c r="B21" i="45"/>
  <c r="E21" i="45"/>
  <c r="D21" i="45"/>
  <c r="C21" i="45"/>
  <c r="G21" i="45"/>
  <c r="E25" i="45"/>
  <c r="B25" i="45"/>
  <c r="C25" i="45"/>
  <c r="G25" i="45"/>
  <c r="D25" i="45"/>
  <c r="E77" i="45"/>
  <c r="D77" i="45"/>
  <c r="G77" i="45"/>
  <c r="C77" i="45"/>
  <c r="B77" i="45"/>
  <c r="G38" i="45"/>
  <c r="E38" i="45"/>
  <c r="B38" i="45"/>
  <c r="D38" i="45"/>
  <c r="C38" i="45"/>
  <c r="E70" i="45"/>
  <c r="C70" i="45"/>
  <c r="B70" i="45"/>
  <c r="D70" i="45"/>
  <c r="G70" i="45"/>
  <c r="B31" i="16"/>
  <c r="G31" i="16"/>
  <c r="D31" i="16"/>
  <c r="C31" i="16"/>
  <c r="E31" i="16"/>
  <c r="D32" i="16"/>
  <c r="B32" i="16"/>
  <c r="E32" i="16"/>
  <c r="C32" i="16"/>
  <c r="G32" i="16"/>
  <c r="G68" i="16"/>
  <c r="E68" i="16"/>
  <c r="D68" i="16"/>
  <c r="B68" i="16"/>
  <c r="C68" i="16"/>
  <c r="D58" i="16"/>
  <c r="G58" i="16"/>
  <c r="E58" i="16"/>
  <c r="C58" i="16"/>
  <c r="B58" i="16"/>
  <c r="D20" i="16"/>
  <c r="B20" i="16"/>
  <c r="E20" i="16"/>
  <c r="G20" i="16"/>
  <c r="C20" i="16"/>
  <c r="E34" i="16"/>
  <c r="B34" i="16"/>
  <c r="G34" i="16"/>
  <c r="D34" i="16"/>
  <c r="C34" i="16"/>
  <c r="D42" i="16"/>
  <c r="G42" i="16"/>
  <c r="C42" i="16"/>
  <c r="E42" i="16"/>
  <c r="B42" i="16"/>
  <c r="G57" i="16"/>
  <c r="C57" i="16"/>
  <c r="E57" i="16"/>
  <c r="D57" i="16"/>
  <c r="B57" i="16"/>
  <c r="C29" i="40"/>
  <c r="B29" i="40"/>
  <c r="E29" i="40"/>
  <c r="D29" i="40"/>
  <c r="B30" i="40"/>
  <c r="D30" i="40"/>
  <c r="E30" i="40"/>
  <c r="C30" i="40"/>
  <c r="B65" i="40"/>
  <c r="C65" i="40"/>
  <c r="D65" i="40"/>
  <c r="G65" i="40"/>
  <c r="E65" i="40"/>
  <c r="B48" i="40"/>
  <c r="C48" i="40"/>
  <c r="E48" i="40"/>
  <c r="G48" i="40"/>
  <c r="D48" i="40"/>
  <c r="E64" i="40"/>
  <c r="B64" i="40"/>
  <c r="C64" i="40"/>
  <c r="D64" i="40"/>
  <c r="G64" i="40"/>
  <c r="G84" i="40"/>
  <c r="B84" i="40"/>
  <c r="E84" i="40"/>
  <c r="D84" i="40"/>
  <c r="C84" i="40"/>
  <c r="B18" i="40"/>
  <c r="E18" i="40"/>
  <c r="D18" i="40"/>
  <c r="C18" i="40"/>
  <c r="E44" i="40"/>
  <c r="D44" i="40"/>
  <c r="C44" i="40"/>
  <c r="B44" i="40"/>
  <c r="G44" i="40"/>
  <c r="C19" i="40"/>
  <c r="E19" i="40"/>
  <c r="D19" i="40"/>
  <c r="B19" i="40"/>
  <c r="C26" i="44"/>
  <c r="G26" i="44"/>
  <c r="E26" i="44"/>
  <c r="B26" i="44"/>
  <c r="D26" i="44"/>
  <c r="D60" i="44"/>
  <c r="E60" i="44"/>
  <c r="G60" i="44"/>
  <c r="B60" i="44"/>
  <c r="C60" i="44"/>
  <c r="B51" i="44"/>
  <c r="C51" i="44"/>
  <c r="D51" i="44"/>
  <c r="E51" i="44"/>
  <c r="G51" i="44"/>
  <c r="G64" i="44"/>
  <c r="D64" i="44"/>
  <c r="C64" i="44"/>
  <c r="E64" i="44"/>
  <c r="B64" i="44"/>
  <c r="E17" i="44"/>
  <c r="C17" i="44"/>
  <c r="G17" i="44"/>
  <c r="D17" i="44"/>
  <c r="B17" i="44"/>
  <c r="B15" i="44"/>
  <c r="G15" i="44"/>
  <c r="D15" i="44"/>
  <c r="E15" i="44"/>
  <c r="C15" i="44"/>
  <c r="E77" i="44"/>
  <c r="D77" i="44"/>
  <c r="C77" i="44"/>
  <c r="G77" i="44"/>
  <c r="B77" i="44"/>
  <c r="D41" i="26"/>
  <c r="C41" i="26"/>
  <c r="G41" i="26"/>
  <c r="E41" i="26"/>
  <c r="B41" i="26"/>
  <c r="G45" i="26"/>
  <c r="B45" i="26"/>
  <c r="C45" i="26"/>
  <c r="D45" i="26"/>
  <c r="E45" i="26"/>
  <c r="B46" i="26"/>
  <c r="E46" i="26"/>
  <c r="C46" i="26"/>
  <c r="G46" i="26"/>
  <c r="D46" i="26"/>
  <c r="C72" i="26"/>
  <c r="D72" i="26"/>
  <c r="B72" i="26"/>
  <c r="E72" i="26"/>
  <c r="G72" i="26"/>
  <c r="G85" i="26"/>
  <c r="D85" i="26"/>
  <c r="E85" i="26"/>
  <c r="B85" i="26"/>
  <c r="C85" i="26"/>
  <c r="C37" i="26"/>
  <c r="E37" i="26"/>
  <c r="B37" i="26"/>
  <c r="G37" i="26"/>
  <c r="D37" i="26"/>
  <c r="G14" i="26"/>
  <c r="D14" i="26"/>
  <c r="E14" i="26"/>
  <c r="B14" i="26"/>
  <c r="C14" i="26"/>
  <c r="C62" i="26"/>
  <c r="G62" i="26"/>
  <c r="E62" i="26"/>
  <c r="D62" i="26"/>
  <c r="B62" i="26"/>
  <c r="D292" i="48"/>
  <c r="K292" i="48" a="1"/>
  <c r="K292" i="48" s="1"/>
  <c r="E292" i="48"/>
  <c r="I292" i="48"/>
  <c r="F292" i="48" a="1"/>
  <c r="F292" i="48" s="1"/>
  <c r="C292" i="48"/>
  <c r="D179" i="48"/>
  <c r="K179" i="48" a="1"/>
  <c r="K179" i="48" s="1"/>
  <c r="E179" i="48"/>
  <c r="C179" i="48"/>
  <c r="I179" i="48"/>
  <c r="F179" i="48" a="1"/>
  <c r="F179" i="48" s="1"/>
  <c r="K209" i="48" a="1"/>
  <c r="K209" i="48" s="1"/>
  <c r="C209" i="48"/>
  <c r="E209" i="48"/>
  <c r="D209" i="48"/>
  <c r="I209" i="48"/>
  <c r="F209" i="48" a="1"/>
  <c r="F209" i="48" s="1"/>
  <c r="E57" i="48"/>
  <c r="C57" i="48"/>
  <c r="F57" i="48" a="1"/>
  <c r="F57" i="48" s="1"/>
  <c r="F126" i="48" a="1"/>
  <c r="F126" i="48" s="1"/>
  <c r="E126" i="48"/>
  <c r="C126" i="48"/>
  <c r="D126" i="48"/>
  <c r="F163" i="48" a="1"/>
  <c r="F163" i="48" s="1"/>
  <c r="C163" i="48"/>
  <c r="D163" i="48"/>
  <c r="I163" i="48"/>
  <c r="E163" i="48"/>
  <c r="K163" i="48" a="1"/>
  <c r="K163" i="48" s="1"/>
  <c r="I165" i="48"/>
  <c r="E165" i="48"/>
  <c r="F165" i="48" a="1"/>
  <c r="F165" i="48" s="1"/>
  <c r="K165" i="48" a="1"/>
  <c r="K165" i="48" s="1"/>
  <c r="D165" i="48"/>
  <c r="C165" i="48"/>
  <c r="F13" i="48" a="1"/>
  <c r="F13" i="48" s="1"/>
  <c r="E13" i="48"/>
  <c r="C13" i="48"/>
  <c r="K92" i="48" a="1"/>
  <c r="K92" i="48" s="1"/>
  <c r="F92" i="48" a="1"/>
  <c r="F92" i="48" s="1"/>
  <c r="C92" i="48"/>
  <c r="E92" i="48"/>
  <c r="C68" i="48"/>
  <c r="E68" i="48"/>
  <c r="F68" i="48" a="1"/>
  <c r="F68" i="48" s="1"/>
  <c r="C266" i="48"/>
  <c r="I266" i="48"/>
  <c r="D266" i="48"/>
  <c r="F266" i="48" a="1"/>
  <c r="F266" i="48" s="1"/>
  <c r="K266" i="48" a="1"/>
  <c r="K266" i="48" s="1"/>
  <c r="E266" i="48"/>
  <c r="F210" i="48" a="1"/>
  <c r="F210" i="48" s="1"/>
  <c r="I210" i="48"/>
  <c r="C210" i="48"/>
  <c r="E210" i="48"/>
  <c r="D210" i="48"/>
  <c r="K210" i="48" a="1"/>
  <c r="K210" i="48" s="1"/>
  <c r="F21" i="48" a="1"/>
  <c r="F21" i="48" s="1"/>
  <c r="C21" i="48"/>
  <c r="E21" i="48"/>
  <c r="D21" i="48"/>
  <c r="C26" i="48"/>
  <c r="F26" i="48" a="1"/>
  <c r="F26" i="48" s="1"/>
  <c r="E26" i="48"/>
  <c r="D155" i="48"/>
  <c r="I155" i="48"/>
  <c r="F155" i="48" a="1"/>
  <c r="F155" i="48" s="1"/>
  <c r="C155" i="48"/>
  <c r="K155" i="48" a="1"/>
  <c r="K155" i="48" s="1"/>
  <c r="E155" i="48"/>
  <c r="E54" i="48"/>
  <c r="C54" i="48"/>
  <c r="F54" i="48" a="1"/>
  <c r="F54" i="48" s="1"/>
  <c r="D54" i="48"/>
  <c r="C259" i="48"/>
  <c r="K259" i="48" a="1"/>
  <c r="K259" i="48" s="1"/>
  <c r="D259" i="48"/>
  <c r="I259" i="48"/>
  <c r="E259" i="48"/>
  <c r="F259" i="48" a="1"/>
  <c r="F259" i="48" s="1"/>
  <c r="E247" i="48"/>
  <c r="D247" i="48"/>
  <c r="I247" i="48"/>
  <c r="K247" i="48" a="1"/>
  <c r="K247" i="48" s="1"/>
  <c r="F247" i="48" a="1"/>
  <c r="F247" i="48" s="1"/>
  <c r="C247" i="48"/>
  <c r="D206" i="48"/>
  <c r="K206" i="48" a="1"/>
  <c r="K206" i="48" s="1"/>
  <c r="I206" i="48"/>
  <c r="F206" i="48" a="1"/>
  <c r="F206" i="48" s="1"/>
  <c r="E206" i="48"/>
  <c r="C206" i="48"/>
  <c r="K273" i="48" a="1"/>
  <c r="K273" i="48" s="1"/>
  <c r="I273" i="48"/>
  <c r="F273" i="48" a="1"/>
  <c r="F273" i="48" s="1"/>
  <c r="C273" i="48"/>
  <c r="E273" i="48"/>
  <c r="D273" i="48"/>
  <c r="K180" i="48" a="1"/>
  <c r="K180" i="48" s="1"/>
  <c r="F180" i="48" a="1"/>
  <c r="F180" i="48" s="1"/>
  <c r="D180" i="48"/>
  <c r="C180" i="48"/>
  <c r="E180" i="48"/>
  <c r="I180" i="48"/>
  <c r="I278" i="48"/>
  <c r="E278" i="48"/>
  <c r="D278" i="48"/>
  <c r="F278" i="48" a="1"/>
  <c r="F278" i="48" s="1"/>
  <c r="C278" i="48"/>
  <c r="K278" i="48" a="1"/>
  <c r="K278" i="48" s="1"/>
  <c r="C52" i="48"/>
  <c r="F52" i="48" a="1"/>
  <c r="F52" i="48" s="1"/>
  <c r="E52" i="48"/>
  <c r="D254" i="48"/>
  <c r="I254" i="48"/>
  <c r="C254" i="48"/>
  <c r="F254" i="48" a="1"/>
  <c r="F254" i="48" s="1"/>
  <c r="E254" i="48"/>
  <c r="K254" i="48" a="1"/>
  <c r="K254" i="48" s="1"/>
  <c r="K271" i="48" a="1"/>
  <c r="K271" i="48" s="1"/>
  <c r="I271" i="48"/>
  <c r="F271" i="48" a="1"/>
  <c r="F271" i="48" s="1"/>
  <c r="E271" i="48"/>
  <c r="D271" i="48"/>
  <c r="C271" i="48"/>
  <c r="D129" i="48"/>
  <c r="I129" i="48"/>
  <c r="E129" i="48"/>
  <c r="K129" i="48" a="1"/>
  <c r="K129" i="48" s="1"/>
  <c r="C129" i="48"/>
  <c r="F129" i="48" a="1"/>
  <c r="F129" i="48" s="1"/>
  <c r="C355" i="48"/>
  <c r="I355" i="48"/>
  <c r="D355" i="48"/>
  <c r="E355" i="48"/>
  <c r="F355" i="48" a="1"/>
  <c r="F355" i="48" s="1"/>
  <c r="K355" i="48" a="1"/>
  <c r="K355" i="48" s="1"/>
  <c r="D306" i="48"/>
  <c r="E306" i="48"/>
  <c r="F306" i="48" a="1"/>
  <c r="F306" i="48" s="1"/>
  <c r="I306" i="48"/>
  <c r="C306" i="48"/>
  <c r="K306" i="48" a="1"/>
  <c r="K306" i="48" s="1"/>
  <c r="I237" i="48"/>
  <c r="E237" i="48"/>
  <c r="K237" i="48" a="1"/>
  <c r="K237" i="48" s="1"/>
  <c r="D237" i="48"/>
  <c r="C237" i="48"/>
  <c r="F237" i="48" a="1"/>
  <c r="F237" i="48" s="1"/>
  <c r="K153" i="48" a="1"/>
  <c r="K153" i="48" s="1"/>
  <c r="I153" i="48"/>
  <c r="C153" i="48"/>
  <c r="E153" i="48"/>
  <c r="F153" i="48" a="1"/>
  <c r="F153" i="48" s="1"/>
  <c r="D153" i="48"/>
  <c r="K204" i="48" a="1"/>
  <c r="K204" i="48" s="1"/>
  <c r="D204" i="48"/>
  <c r="F204" i="48" a="1"/>
  <c r="F204" i="48" s="1"/>
  <c r="E204" i="48"/>
  <c r="C204" i="48"/>
  <c r="I204" i="48"/>
  <c r="F191" i="48" a="1"/>
  <c r="F191" i="48" s="1"/>
  <c r="C191" i="48"/>
  <c r="E191" i="48"/>
  <c r="K191" i="48" a="1"/>
  <c r="K191" i="48" s="1"/>
  <c r="I191" i="48"/>
  <c r="D191" i="48"/>
  <c r="D14" i="48"/>
  <c r="F14" i="48" a="1"/>
  <c r="F14" i="48" s="1"/>
  <c r="C14" i="48"/>
  <c r="E14" i="48"/>
  <c r="K143" i="48" a="1"/>
  <c r="K143" i="48" s="1"/>
  <c r="C143" i="48"/>
  <c r="F143" i="48" a="1"/>
  <c r="F143" i="48" s="1"/>
  <c r="I143" i="48"/>
  <c r="E143" i="48"/>
  <c r="D143" i="48"/>
  <c r="C58" i="48"/>
  <c r="E58" i="48"/>
  <c r="F58" i="48" a="1"/>
  <c r="F58" i="48" s="1"/>
  <c r="K344" i="48" a="1"/>
  <c r="K344" i="48" s="1"/>
  <c r="C344" i="48"/>
  <c r="E344" i="48"/>
  <c r="D344" i="48"/>
  <c r="I344" i="48"/>
  <c r="F344" i="48" a="1"/>
  <c r="F344" i="48" s="1"/>
  <c r="B84" i="21"/>
  <c r="C84" i="21"/>
  <c r="G84" i="21"/>
  <c r="D84" i="21"/>
  <c r="E84" i="21"/>
  <c r="B83" i="21"/>
  <c r="E83" i="21"/>
  <c r="C83" i="21"/>
  <c r="D83" i="21"/>
  <c r="G83" i="21"/>
  <c r="D48" i="21"/>
  <c r="C48" i="21"/>
  <c r="B48" i="21"/>
  <c r="E48" i="21"/>
  <c r="G48" i="21"/>
  <c r="E55" i="21"/>
  <c r="C55" i="21"/>
  <c r="B55" i="21"/>
  <c r="D55" i="21"/>
  <c r="G55" i="21"/>
  <c r="D20" i="21"/>
  <c r="E20" i="21"/>
  <c r="B20" i="21"/>
  <c r="D58" i="21"/>
  <c r="C58" i="21"/>
  <c r="B58" i="21"/>
  <c r="G58" i="21"/>
  <c r="E58" i="21"/>
  <c r="C80" i="21"/>
  <c r="D80" i="21"/>
  <c r="G80" i="21"/>
  <c r="E80" i="21"/>
  <c r="B80" i="21"/>
  <c r="E54" i="21"/>
  <c r="C54" i="21"/>
  <c r="G54" i="21"/>
  <c r="B54" i="21"/>
  <c r="D54" i="21"/>
  <c r="B7" i="21"/>
  <c r="C7" i="21"/>
  <c r="D7" i="21"/>
  <c r="E7" i="21"/>
  <c r="B52" i="21"/>
  <c r="G52" i="21"/>
  <c r="C52" i="21"/>
  <c r="D52" i="21"/>
  <c r="E52" i="21"/>
  <c r="Y47" i="101"/>
  <c r="Z47" i="101"/>
  <c r="AA47" i="101"/>
  <c r="X47" i="101"/>
  <c r="X41" i="101"/>
  <c r="Z41" i="101"/>
  <c r="Y41" i="101"/>
  <c r="AA41" i="101"/>
  <c r="Z7" i="101"/>
  <c r="Y7" i="101"/>
  <c r="X7" i="101"/>
  <c r="AA7" i="101"/>
  <c r="AA42" i="101"/>
  <c r="X42" i="101"/>
  <c r="Y42" i="101"/>
  <c r="Z42" i="101"/>
  <c r="Y29" i="101"/>
  <c r="AA29" i="101"/>
  <c r="X29" i="101"/>
  <c r="Z29" i="101"/>
  <c r="B84" i="98"/>
  <c r="G84" i="98"/>
  <c r="D84" i="98"/>
  <c r="C84" i="98"/>
  <c r="E84" i="98"/>
  <c r="C14" i="98"/>
  <c r="B14" i="98"/>
  <c r="D14" i="98"/>
  <c r="C11" i="98"/>
  <c r="B11" i="98"/>
  <c r="D11" i="98"/>
  <c r="B76" i="98"/>
  <c r="D76" i="98"/>
  <c r="E76" i="98"/>
  <c r="G76" i="98"/>
  <c r="C76" i="98"/>
  <c r="D36" i="98"/>
  <c r="B36" i="98"/>
  <c r="G36" i="98"/>
  <c r="C36" i="98"/>
  <c r="E36" i="98"/>
  <c r="B28" i="98"/>
  <c r="C28" i="98"/>
  <c r="E28" i="98"/>
  <c r="D28" i="98"/>
  <c r="G28" i="98"/>
  <c r="E40" i="98"/>
  <c r="C40" i="98"/>
  <c r="D40" i="98"/>
  <c r="G40" i="98"/>
  <c r="B40" i="98"/>
  <c r="B26" i="98"/>
  <c r="E26" i="98"/>
  <c r="D26" i="98"/>
  <c r="C26" i="98"/>
  <c r="G26" i="98"/>
  <c r="E41" i="53"/>
  <c r="G14" i="37"/>
  <c r="C14" i="37"/>
  <c r="B14" i="37"/>
  <c r="E14" i="37"/>
  <c r="D14" i="37"/>
  <c r="C63" i="37"/>
  <c r="E63" i="37"/>
  <c r="B63" i="37"/>
  <c r="D63" i="37"/>
  <c r="G63" i="37"/>
  <c r="G22" i="37"/>
  <c r="B22" i="37"/>
  <c r="C22" i="37"/>
  <c r="D22" i="37"/>
  <c r="E22" i="37"/>
  <c r="B68" i="37"/>
  <c r="D68" i="37"/>
  <c r="G68" i="37"/>
  <c r="E68" i="37"/>
  <c r="C68" i="37"/>
  <c r="B13" i="37"/>
  <c r="E13" i="37"/>
  <c r="C13" i="37"/>
  <c r="G13" i="37"/>
  <c r="D13" i="37"/>
  <c r="E28" i="37"/>
  <c r="G28" i="37"/>
  <c r="B28" i="37"/>
  <c r="C28" i="37"/>
  <c r="D28" i="37"/>
  <c r="E43" i="30"/>
  <c r="G43" i="30"/>
  <c r="D43" i="30"/>
  <c r="C43" i="30"/>
  <c r="B43" i="30"/>
  <c r="G72" i="30"/>
  <c r="D72" i="30"/>
  <c r="C72" i="30"/>
  <c r="E72" i="30"/>
  <c r="B72" i="30"/>
  <c r="G10" i="30"/>
  <c r="B10" i="30"/>
  <c r="D10" i="30"/>
  <c r="E10" i="30"/>
  <c r="C10" i="30"/>
  <c r="C37" i="30"/>
  <c r="E37" i="30"/>
  <c r="B37" i="30"/>
  <c r="G37" i="30"/>
  <c r="D37" i="30"/>
  <c r="C20" i="30"/>
  <c r="E20" i="30"/>
  <c r="D20" i="30"/>
  <c r="B20" i="30"/>
  <c r="G20" i="30"/>
  <c r="G56" i="30"/>
  <c r="D56" i="30"/>
  <c r="E56" i="30"/>
  <c r="C56" i="30"/>
  <c r="B56" i="30"/>
  <c r="C47" i="30"/>
  <c r="G47" i="30"/>
  <c r="B47" i="30"/>
  <c r="E47" i="30"/>
  <c r="D47" i="30"/>
  <c r="E51" i="35"/>
  <c r="D51" i="35"/>
  <c r="C51" i="35"/>
  <c r="G51" i="35"/>
  <c r="B51" i="35"/>
  <c r="B70" i="35"/>
  <c r="E70" i="35"/>
  <c r="D70" i="35"/>
  <c r="G70" i="35"/>
  <c r="C70" i="35"/>
  <c r="E75" i="35"/>
  <c r="G75" i="35"/>
  <c r="C75" i="35"/>
  <c r="B75" i="35"/>
  <c r="D75" i="35"/>
  <c r="D58" i="17"/>
  <c r="B58" i="17"/>
  <c r="E58" i="17"/>
  <c r="G58" i="17"/>
  <c r="C58" i="17"/>
  <c r="B60" i="17"/>
  <c r="G60" i="17"/>
  <c r="D60" i="17"/>
  <c r="C60" i="17"/>
  <c r="E60" i="17"/>
  <c r="D34" i="17"/>
  <c r="G34" i="17"/>
  <c r="E34" i="17"/>
  <c r="B34" i="17"/>
  <c r="C34" i="17"/>
  <c r="G14" i="17"/>
  <c r="E14" i="17"/>
  <c r="C14" i="17"/>
  <c r="D14" i="17"/>
  <c r="B14" i="17"/>
  <c r="E59" i="17"/>
  <c r="C59" i="17"/>
  <c r="D59" i="17"/>
  <c r="G59" i="17"/>
  <c r="B59" i="17"/>
  <c r="B64" i="17"/>
  <c r="E64" i="17"/>
  <c r="C64" i="17"/>
  <c r="D64" i="17"/>
  <c r="G64" i="17"/>
  <c r="D53" i="17"/>
  <c r="G53" i="17"/>
  <c r="E53" i="17"/>
  <c r="C53" i="17"/>
  <c r="B53" i="17"/>
  <c r="E21" i="17"/>
  <c r="G21" i="17"/>
  <c r="D21" i="17"/>
  <c r="C21" i="17"/>
  <c r="B21" i="17"/>
  <c r="C71" i="13"/>
  <c r="D71" i="13"/>
  <c r="G71" i="13"/>
  <c r="B71" i="13"/>
  <c r="E71" i="13"/>
  <c r="B42" i="13"/>
  <c r="G42" i="13"/>
  <c r="D42" i="13"/>
  <c r="E42" i="13"/>
  <c r="C42" i="13"/>
  <c r="D68" i="13"/>
  <c r="G68" i="13"/>
  <c r="C68" i="13"/>
  <c r="B68" i="13"/>
  <c r="E68" i="13"/>
  <c r="B21" i="13"/>
  <c r="C21" i="13"/>
  <c r="E21" i="13"/>
  <c r="G78" i="13"/>
  <c r="E78" i="13"/>
  <c r="D78" i="13"/>
  <c r="B78" i="13"/>
  <c r="C78" i="13"/>
  <c r="B53" i="13"/>
  <c r="E53" i="13"/>
  <c r="C53" i="13"/>
  <c r="G53" i="13"/>
  <c r="D53" i="13"/>
  <c r="D74" i="13"/>
  <c r="E74" i="13"/>
  <c r="B74" i="13"/>
  <c r="C74" i="13"/>
  <c r="G74" i="13"/>
  <c r="E48" i="36"/>
  <c r="C48" i="36"/>
  <c r="D48" i="36"/>
  <c r="B48" i="36"/>
  <c r="G48" i="36"/>
  <c r="G37" i="36"/>
  <c r="D37" i="36"/>
  <c r="B37" i="36"/>
  <c r="E37" i="36"/>
  <c r="C37" i="36"/>
  <c r="D24" i="36"/>
  <c r="G24" i="36"/>
  <c r="C24" i="36"/>
  <c r="E24" i="36"/>
  <c r="B24" i="36"/>
  <c r="D52" i="36"/>
  <c r="E52" i="36"/>
  <c r="C52" i="36"/>
  <c r="G52" i="36"/>
  <c r="B52" i="36"/>
  <c r="B25" i="36"/>
  <c r="G25" i="36"/>
  <c r="E25" i="36"/>
  <c r="C25" i="36"/>
  <c r="D25" i="36"/>
  <c r="G27" i="99"/>
  <c r="B27" i="99"/>
  <c r="C27" i="99"/>
  <c r="E27" i="99"/>
  <c r="D27" i="99"/>
  <c r="B16" i="99"/>
  <c r="D16" i="99"/>
  <c r="C16" i="99"/>
  <c r="G81" i="99"/>
  <c r="B81" i="99"/>
  <c r="D81" i="99"/>
  <c r="E81" i="99"/>
  <c r="C81" i="99"/>
  <c r="C36" i="99"/>
  <c r="G36" i="99"/>
  <c r="D36" i="99"/>
  <c r="B36" i="99"/>
  <c r="E36" i="99"/>
  <c r="C23" i="99"/>
  <c r="E23" i="99"/>
  <c r="B23" i="99"/>
  <c r="G23" i="99"/>
  <c r="D23" i="99"/>
  <c r="C48" i="99"/>
  <c r="E48" i="99"/>
  <c r="G48" i="99"/>
  <c r="D48" i="99"/>
  <c r="B48" i="99"/>
  <c r="G69" i="99"/>
  <c r="D69" i="99"/>
  <c r="E69" i="99"/>
  <c r="B69" i="99"/>
  <c r="C69" i="99"/>
  <c r="C71" i="20"/>
  <c r="G71" i="20"/>
  <c r="D71" i="20"/>
  <c r="B71" i="20"/>
  <c r="E71" i="20"/>
  <c r="E51" i="20"/>
  <c r="C51" i="20"/>
  <c r="B51" i="20"/>
  <c r="G51" i="20"/>
  <c r="D51" i="20"/>
  <c r="D72" i="20"/>
  <c r="G72" i="20"/>
  <c r="E72" i="20"/>
  <c r="C72" i="20"/>
  <c r="B72" i="20"/>
  <c r="C21" i="20"/>
  <c r="B21" i="20"/>
  <c r="E21" i="20"/>
  <c r="G21" i="20"/>
  <c r="D21" i="20"/>
  <c r="D27" i="20"/>
  <c r="E27" i="20"/>
  <c r="G27" i="20"/>
  <c r="C27" i="20"/>
  <c r="B27" i="20"/>
  <c r="C85" i="97"/>
  <c r="D85" i="97"/>
  <c r="G85" i="97"/>
  <c r="E85" i="97"/>
  <c r="B85" i="97"/>
  <c r="B37" i="97"/>
  <c r="D37" i="97"/>
  <c r="E37" i="97"/>
  <c r="G37" i="97"/>
  <c r="C37" i="97"/>
  <c r="G82" i="97"/>
  <c r="E82" i="97"/>
  <c r="D82" i="97"/>
  <c r="C82" i="97"/>
  <c r="B82" i="97"/>
  <c r="E44" i="97"/>
  <c r="C44" i="97"/>
  <c r="D44" i="97"/>
  <c r="B44" i="97"/>
  <c r="G44" i="97"/>
  <c r="B52" i="97"/>
  <c r="C52" i="97"/>
  <c r="D52" i="97"/>
  <c r="E52" i="97"/>
  <c r="G52" i="97"/>
  <c r="B33" i="97"/>
  <c r="G33" i="97"/>
  <c r="D33" i="97"/>
  <c r="C33" i="97"/>
  <c r="E33" i="97"/>
  <c r="C58" i="97"/>
  <c r="E58" i="97"/>
  <c r="B58" i="97"/>
  <c r="G58" i="97"/>
  <c r="D58" i="97"/>
  <c r="D16" i="97"/>
  <c r="E16" i="97"/>
  <c r="B16" i="97"/>
  <c r="B80" i="45"/>
  <c r="D80" i="45"/>
  <c r="G80" i="45"/>
  <c r="C80" i="45"/>
  <c r="E80" i="45"/>
  <c r="G56" i="45"/>
  <c r="E56" i="45"/>
  <c r="D56" i="45"/>
  <c r="B56" i="45"/>
  <c r="C56" i="45"/>
  <c r="E39" i="45"/>
  <c r="C39" i="45"/>
  <c r="D39" i="45"/>
  <c r="G39" i="45"/>
  <c r="B39" i="45"/>
  <c r="G84" i="45"/>
  <c r="C84" i="45"/>
  <c r="B84" i="45"/>
  <c r="E84" i="45"/>
  <c r="D84" i="45"/>
  <c r="E52" i="45"/>
  <c r="D52" i="45"/>
  <c r="C52" i="45"/>
  <c r="B52" i="45"/>
  <c r="G52" i="45"/>
  <c r="C31" i="45"/>
  <c r="D31" i="45"/>
  <c r="B31" i="45"/>
  <c r="E31" i="45"/>
  <c r="G31" i="45"/>
  <c r="B73" i="45"/>
  <c r="G73" i="45"/>
  <c r="E73" i="45"/>
  <c r="C73" i="45"/>
  <c r="D73" i="45"/>
  <c r="D26" i="16"/>
  <c r="E26" i="16"/>
  <c r="G26" i="16"/>
  <c r="B26" i="16"/>
  <c r="C26" i="16"/>
  <c r="G79" i="16"/>
  <c r="D79" i="16"/>
  <c r="B79" i="16"/>
  <c r="E79" i="16"/>
  <c r="C79" i="16"/>
  <c r="E82" i="16"/>
  <c r="C82" i="16"/>
  <c r="D82" i="16"/>
  <c r="B82" i="16"/>
  <c r="G82" i="16"/>
  <c r="E77" i="16"/>
  <c r="D77" i="16"/>
  <c r="C77" i="16"/>
  <c r="G77" i="16"/>
  <c r="B77" i="16"/>
  <c r="D72" i="16"/>
  <c r="C72" i="16"/>
  <c r="G72" i="16"/>
  <c r="B72" i="16"/>
  <c r="E72" i="16"/>
  <c r="D23" i="16"/>
  <c r="E23" i="16"/>
  <c r="G23" i="16"/>
  <c r="C23" i="16"/>
  <c r="B23" i="16"/>
  <c r="C43" i="16"/>
  <c r="G43" i="16"/>
  <c r="D43" i="16"/>
  <c r="B43" i="16"/>
  <c r="E43" i="16"/>
  <c r="G57" i="40"/>
  <c r="E57" i="40"/>
  <c r="C57" i="40"/>
  <c r="D57" i="40"/>
  <c r="B57" i="40"/>
  <c r="C9" i="40"/>
  <c r="D9" i="40"/>
  <c r="E9" i="40"/>
  <c r="B9" i="40"/>
  <c r="E61" i="40"/>
  <c r="C61" i="40"/>
  <c r="B61" i="40"/>
  <c r="G61" i="40"/>
  <c r="D61" i="40"/>
  <c r="D71" i="40"/>
  <c r="G71" i="40"/>
  <c r="C71" i="40"/>
  <c r="E71" i="40"/>
  <c r="B71" i="40"/>
  <c r="D28" i="40"/>
  <c r="C28" i="40"/>
  <c r="B28" i="40"/>
  <c r="E28" i="40"/>
  <c r="G81" i="40"/>
  <c r="C81" i="40"/>
  <c r="E81" i="40"/>
  <c r="D81" i="40"/>
  <c r="B81" i="40"/>
  <c r="E76" i="44"/>
  <c r="G76" i="44"/>
  <c r="C76" i="44"/>
  <c r="D76" i="44"/>
  <c r="B76" i="44"/>
  <c r="B65" i="44"/>
  <c r="C65" i="44"/>
  <c r="E65" i="44"/>
  <c r="G65" i="44"/>
  <c r="D65" i="44"/>
  <c r="B35" i="44"/>
  <c r="D35" i="44"/>
  <c r="C35" i="44"/>
  <c r="E35" i="44"/>
  <c r="G35" i="44"/>
  <c r="B32" i="26"/>
  <c r="D32" i="26"/>
  <c r="G32" i="26"/>
  <c r="E32" i="26"/>
  <c r="C32" i="26"/>
  <c r="E51" i="26"/>
  <c r="C51" i="26"/>
  <c r="G51" i="26"/>
  <c r="B51" i="26"/>
  <c r="D51" i="26"/>
  <c r="C49" i="26"/>
  <c r="B49" i="26"/>
  <c r="E49" i="26"/>
  <c r="D49" i="26"/>
  <c r="G49" i="26"/>
  <c r="D66" i="26"/>
  <c r="C66" i="26"/>
  <c r="E66" i="26"/>
  <c r="B66" i="26"/>
  <c r="G66" i="26"/>
  <c r="B38" i="26"/>
  <c r="C38" i="26"/>
  <c r="G38" i="26"/>
  <c r="D38" i="26"/>
  <c r="E38" i="26"/>
  <c r="E67" i="26"/>
  <c r="C67" i="26"/>
  <c r="B67" i="26"/>
  <c r="D67" i="26"/>
  <c r="G67" i="26"/>
  <c r="C284" i="48"/>
  <c r="F284" i="48" a="1"/>
  <c r="F284" i="48" s="1"/>
  <c r="D284" i="48"/>
  <c r="E284" i="48"/>
  <c r="I284" i="48"/>
  <c r="K284" i="48" a="1"/>
  <c r="K284" i="48" s="1"/>
  <c r="K122" i="48" a="1"/>
  <c r="K122" i="48" s="1"/>
  <c r="F122" i="48" a="1"/>
  <c r="F122" i="48" s="1"/>
  <c r="E122" i="48"/>
  <c r="C122" i="48"/>
  <c r="K280" i="48" a="1"/>
  <c r="K280" i="48" s="1"/>
  <c r="F280" i="48" a="1"/>
  <c r="F280" i="48" s="1"/>
  <c r="D280" i="48"/>
  <c r="E280" i="48"/>
  <c r="C280" i="48"/>
  <c r="I280" i="48"/>
  <c r="E105" i="48"/>
  <c r="K105" i="48" a="1"/>
  <c r="K105" i="48" s="1"/>
  <c r="F105" i="48" a="1"/>
  <c r="F105" i="48" s="1"/>
  <c r="C105" i="48"/>
  <c r="D171" i="48"/>
  <c r="F171" i="48" a="1"/>
  <c r="F171" i="48" s="1"/>
  <c r="I171" i="48"/>
  <c r="E171" i="48"/>
  <c r="C171" i="48"/>
  <c r="K171" i="48" a="1"/>
  <c r="K171" i="48" s="1"/>
  <c r="K128" i="48" a="1"/>
  <c r="K128" i="48" s="1"/>
  <c r="E128" i="48"/>
  <c r="C128" i="48"/>
  <c r="F128" i="48" a="1"/>
  <c r="F128" i="48" s="1"/>
  <c r="I192" i="48"/>
  <c r="F192" i="48" a="1"/>
  <c r="F192" i="48" s="1"/>
  <c r="E192" i="48"/>
  <c r="D192" i="48"/>
  <c r="K192" i="48" a="1"/>
  <c r="K192" i="48" s="1"/>
  <c r="C192" i="48"/>
  <c r="K251" i="48" a="1"/>
  <c r="K251" i="48" s="1"/>
  <c r="I251" i="48"/>
  <c r="E251" i="48"/>
  <c r="C251" i="48"/>
  <c r="F251" i="48" a="1"/>
  <c r="F251" i="48" s="1"/>
  <c r="D251" i="48"/>
  <c r="E234" i="48"/>
  <c r="D234" i="48"/>
  <c r="K234" i="48" a="1"/>
  <c r="K234" i="48" s="1"/>
  <c r="C234" i="48"/>
  <c r="I234" i="48"/>
  <c r="F234" i="48" a="1"/>
  <c r="F234" i="48" s="1"/>
  <c r="E53" i="48"/>
  <c r="F53" i="48" a="1"/>
  <c r="F53" i="48" s="1"/>
  <c r="C53" i="48"/>
  <c r="D53" i="48"/>
  <c r="K315" i="48" a="1"/>
  <c r="K315" i="48" s="1"/>
  <c r="E315" i="48"/>
  <c r="D315" i="48"/>
  <c r="C315" i="48"/>
  <c r="I315" i="48"/>
  <c r="F315" i="48" a="1"/>
  <c r="F315" i="48" s="1"/>
  <c r="F115" i="48" a="1"/>
  <c r="F115" i="48" s="1"/>
  <c r="E115" i="48"/>
  <c r="C115" i="48"/>
  <c r="D115" i="48"/>
  <c r="F102" i="48" a="1"/>
  <c r="F102" i="48" s="1"/>
  <c r="K102" i="48" a="1"/>
  <c r="K102" i="48" s="1"/>
  <c r="E102" i="48"/>
  <c r="C102" i="48"/>
  <c r="C47" i="48"/>
  <c r="E47" i="48"/>
  <c r="F47" i="48" a="1"/>
  <c r="F47" i="48" s="1"/>
  <c r="K353" i="48" a="1"/>
  <c r="K353" i="48" s="1"/>
  <c r="E353" i="48"/>
  <c r="I353" i="48"/>
  <c r="C353" i="48"/>
  <c r="F353" i="48" a="1"/>
  <c r="F353" i="48" s="1"/>
  <c r="D353" i="48"/>
  <c r="E20" i="48"/>
  <c r="C20" i="48"/>
  <c r="F20" i="48" a="1"/>
  <c r="F20" i="48" s="1"/>
  <c r="F104" i="48" a="1"/>
  <c r="F104" i="48" s="1"/>
  <c r="D104" i="48"/>
  <c r="E104" i="48"/>
  <c r="C104" i="48"/>
  <c r="E60" i="48"/>
  <c r="F60" i="48" a="1"/>
  <c r="F60" i="48" s="1"/>
  <c r="D60" i="48"/>
  <c r="C60" i="48"/>
  <c r="D9" i="48"/>
  <c r="C9" i="48"/>
  <c r="E9" i="48"/>
  <c r="F9" i="48" a="1"/>
  <c r="F9" i="48" s="1"/>
  <c r="F97" i="48" a="1"/>
  <c r="F97" i="48" s="1"/>
  <c r="E97" i="48"/>
  <c r="C97" i="48"/>
  <c r="K97" i="48" a="1"/>
  <c r="K97" i="48" s="1"/>
  <c r="E76" i="48"/>
  <c r="C76" i="48"/>
  <c r="F76" i="48" a="1"/>
  <c r="F76" i="48" s="1"/>
  <c r="C275" i="48"/>
  <c r="K275" i="48" a="1"/>
  <c r="K275" i="48" s="1"/>
  <c r="F275" i="48" a="1"/>
  <c r="F275" i="48" s="1"/>
  <c r="D275" i="48"/>
  <c r="E275" i="48"/>
  <c r="I275" i="48"/>
  <c r="D281" i="48"/>
  <c r="K281" i="48" a="1"/>
  <c r="K281" i="48" s="1"/>
  <c r="C281" i="48"/>
  <c r="E281" i="48"/>
  <c r="F281" i="48" a="1"/>
  <c r="F281" i="48" s="1"/>
  <c r="I281" i="48"/>
  <c r="E55" i="48"/>
  <c r="F55" i="48" a="1"/>
  <c r="F55" i="48" s="1"/>
  <c r="D55" i="48"/>
  <c r="C55" i="48"/>
  <c r="E185" i="48"/>
  <c r="C185" i="48"/>
  <c r="K185" i="48" a="1"/>
  <c r="K185" i="48" s="1"/>
  <c r="I185" i="48"/>
  <c r="F185" i="48" a="1"/>
  <c r="F185" i="48" s="1"/>
  <c r="D185" i="48"/>
  <c r="E23" i="48"/>
  <c r="C23" i="48"/>
  <c r="D23" i="48"/>
  <c r="F23" i="48" a="1"/>
  <c r="F23" i="48" s="1"/>
  <c r="D151" i="48"/>
  <c r="I151" i="48"/>
  <c r="E151" i="48"/>
  <c r="C151" i="48"/>
  <c r="K151" i="48" a="1"/>
  <c r="K151" i="48" s="1"/>
  <c r="F151" i="48" a="1"/>
  <c r="F151" i="48" s="1"/>
  <c r="F18" i="48" a="1"/>
  <c r="F18" i="48" s="1"/>
  <c r="D18" i="48"/>
  <c r="E18" i="48"/>
  <c r="C18" i="48"/>
  <c r="F86" i="48" a="1"/>
  <c r="F86" i="48" s="1"/>
  <c r="E86" i="48"/>
  <c r="C86" i="48"/>
  <c r="D86" i="48"/>
  <c r="E285" i="48"/>
  <c r="I285" i="48"/>
  <c r="K285" i="48" a="1"/>
  <c r="K285" i="48" s="1"/>
  <c r="D285" i="48"/>
  <c r="F285" i="48" a="1"/>
  <c r="F285" i="48" s="1"/>
  <c r="C285" i="48"/>
  <c r="E317" i="48"/>
  <c r="D317" i="48"/>
  <c r="C317" i="48"/>
  <c r="I317" i="48"/>
  <c r="F317" i="48" a="1"/>
  <c r="F317" i="48" s="1"/>
  <c r="K317" i="48" a="1"/>
  <c r="K317" i="48" s="1"/>
  <c r="K342" i="48" a="1"/>
  <c r="K342" i="48" s="1"/>
  <c r="D342" i="48"/>
  <c r="C342" i="48"/>
  <c r="E342" i="48"/>
  <c r="I342" i="48"/>
  <c r="F342" i="48" a="1"/>
  <c r="F342" i="48" s="1"/>
  <c r="C103" i="48"/>
  <c r="D103" i="48"/>
  <c r="E103" i="48"/>
  <c r="F103" i="48" a="1"/>
  <c r="F103" i="48" s="1"/>
  <c r="K265" i="48" a="1"/>
  <c r="K265" i="48" s="1"/>
  <c r="D265" i="48"/>
  <c r="I265" i="48"/>
  <c r="C265" i="48"/>
  <c r="E265" i="48"/>
  <c r="F265" i="48" a="1"/>
  <c r="F265" i="48" s="1"/>
  <c r="E69" i="21"/>
  <c r="D69" i="21"/>
  <c r="B69" i="21"/>
  <c r="C69" i="21"/>
  <c r="G69" i="21"/>
  <c r="C17" i="21"/>
  <c r="E17" i="21"/>
  <c r="D17" i="21"/>
  <c r="B17" i="21"/>
  <c r="D28" i="21"/>
  <c r="G28" i="21"/>
  <c r="C28" i="21"/>
  <c r="B28" i="21"/>
  <c r="E28" i="21"/>
  <c r="C67" i="21"/>
  <c r="D67" i="21"/>
  <c r="B67" i="21"/>
  <c r="E67" i="21"/>
  <c r="G67" i="21"/>
  <c r="D37" i="21"/>
  <c r="G37" i="21"/>
  <c r="C37" i="21"/>
  <c r="B37" i="21"/>
  <c r="E37" i="21"/>
  <c r="Y39" i="101"/>
  <c r="X39" i="101"/>
  <c r="Z39" i="101"/>
  <c r="AA39" i="101"/>
  <c r="X26" i="101"/>
  <c r="AA26" i="101"/>
  <c r="Z26" i="101"/>
  <c r="Y26" i="101"/>
  <c r="X53" i="101"/>
  <c r="Z53" i="101"/>
  <c r="AA53" i="101"/>
  <c r="Y53" i="101"/>
  <c r="Y24" i="101"/>
  <c r="AA24" i="101"/>
  <c r="Z24" i="101"/>
  <c r="X24" i="101"/>
  <c r="Y9" i="101"/>
  <c r="AA9" i="101"/>
  <c r="X9" i="101"/>
  <c r="Z9" i="101"/>
  <c r="D42" i="98"/>
  <c r="C42" i="98"/>
  <c r="G42" i="98"/>
  <c r="E42" i="98"/>
  <c r="B42" i="98"/>
  <c r="B80" i="98"/>
  <c r="G80" i="98"/>
  <c r="C80" i="98"/>
  <c r="E80" i="98"/>
  <c r="D80" i="98"/>
  <c r="E55" i="98"/>
  <c r="D55" i="98"/>
  <c r="C55" i="98"/>
  <c r="B55" i="98"/>
  <c r="G55" i="98"/>
  <c r="E33" i="98"/>
  <c r="G33" i="98"/>
  <c r="D33" i="98"/>
  <c r="B33" i="98"/>
  <c r="C33" i="98"/>
  <c r="C65" i="98"/>
  <c r="G65" i="98"/>
  <c r="B65" i="98"/>
  <c r="D65" i="98"/>
  <c r="E65" i="98"/>
  <c r="B63" i="98"/>
  <c r="G63" i="98"/>
  <c r="D63" i="98"/>
  <c r="E63" i="98"/>
  <c r="C63" i="98"/>
  <c r="E46" i="98"/>
  <c r="G46" i="98"/>
  <c r="C46" i="98"/>
  <c r="B46" i="98"/>
  <c r="D46" i="98"/>
  <c r="E9" i="37"/>
  <c r="B9" i="37"/>
  <c r="D9" i="37"/>
  <c r="G82" i="37"/>
  <c r="E82" i="37"/>
  <c r="B82" i="37"/>
  <c r="C82" i="37"/>
  <c r="D82" i="37"/>
  <c r="E53" i="37"/>
  <c r="G53" i="37"/>
  <c r="D53" i="37"/>
  <c r="B53" i="37"/>
  <c r="C53" i="37"/>
  <c r="C70" i="37"/>
  <c r="G70" i="37"/>
  <c r="E70" i="37"/>
  <c r="B70" i="37"/>
  <c r="D70" i="37"/>
  <c r="B31" i="37"/>
  <c r="E31" i="37"/>
  <c r="D31" i="37"/>
  <c r="G31" i="37"/>
  <c r="C31" i="37"/>
  <c r="B21" i="37"/>
  <c r="G21" i="37"/>
  <c r="C21" i="37"/>
  <c r="E21" i="37"/>
  <c r="D21" i="37"/>
  <c r="B23" i="37"/>
  <c r="G23" i="37"/>
  <c r="E23" i="37"/>
  <c r="D23" i="37"/>
  <c r="C23" i="37"/>
  <c r="C67" i="37"/>
  <c r="D67" i="37"/>
  <c r="G67" i="37"/>
  <c r="B67" i="37"/>
  <c r="E67" i="37"/>
  <c r="D29" i="37"/>
  <c r="B29" i="37"/>
  <c r="G29" i="37"/>
  <c r="C29" i="37"/>
  <c r="E29" i="37"/>
  <c r="B55" i="37"/>
  <c r="D55" i="37"/>
  <c r="E55" i="37"/>
  <c r="G55" i="37"/>
  <c r="C55" i="37"/>
  <c r="E51" i="37"/>
  <c r="C51" i="37"/>
  <c r="D51" i="37"/>
  <c r="B51" i="37"/>
  <c r="G51" i="37"/>
  <c r="D48" i="30"/>
  <c r="G48" i="30"/>
  <c r="B48" i="30"/>
  <c r="E48" i="30"/>
  <c r="C48" i="30"/>
  <c r="D33" i="30"/>
  <c r="G33" i="30"/>
  <c r="C33" i="30"/>
  <c r="B33" i="30"/>
  <c r="E33" i="30"/>
  <c r="G19" i="30"/>
  <c r="C19" i="30"/>
  <c r="B19" i="30"/>
  <c r="D19" i="30"/>
  <c r="E19" i="30"/>
  <c r="E6" i="30"/>
  <c r="B6" i="30"/>
  <c r="D6" i="30"/>
  <c r="E77" i="30"/>
  <c r="C77" i="30"/>
  <c r="G77" i="30"/>
  <c r="D77" i="30"/>
  <c r="B77" i="30"/>
  <c r="B66" i="30"/>
  <c r="G66" i="30"/>
  <c r="D66" i="30"/>
  <c r="C66" i="30"/>
  <c r="E66" i="30"/>
  <c r="D15" i="35"/>
  <c r="B15" i="35"/>
  <c r="G15" i="35"/>
  <c r="C15" i="35"/>
  <c r="E15" i="35"/>
  <c r="G74" i="35"/>
  <c r="B74" i="35"/>
  <c r="E74" i="35"/>
  <c r="D74" i="35"/>
  <c r="C74" i="35"/>
  <c r="G68" i="35"/>
  <c r="B68" i="35"/>
  <c r="C68" i="35"/>
  <c r="E68" i="35"/>
  <c r="D68" i="35"/>
  <c r="D42" i="35"/>
  <c r="E42" i="35"/>
  <c r="G42" i="35"/>
  <c r="C42" i="35"/>
  <c r="B42" i="35"/>
  <c r="G37" i="17"/>
  <c r="D37" i="17"/>
  <c r="B37" i="17"/>
  <c r="E37" i="17"/>
  <c r="C37" i="17"/>
  <c r="B30" i="17"/>
  <c r="G30" i="17"/>
  <c r="D30" i="17"/>
  <c r="C30" i="17"/>
  <c r="E30" i="17"/>
  <c r="B36" i="17"/>
  <c r="E36" i="17"/>
  <c r="D36" i="17"/>
  <c r="C36" i="17"/>
  <c r="G36" i="17"/>
  <c r="C48" i="17"/>
  <c r="E48" i="17"/>
  <c r="G48" i="17"/>
  <c r="D48" i="17"/>
  <c r="B48" i="17"/>
  <c r="B33" i="17"/>
  <c r="C33" i="17"/>
  <c r="G33" i="17"/>
  <c r="D33" i="17"/>
  <c r="E33" i="17"/>
  <c r="E38" i="17"/>
  <c r="D38" i="17"/>
  <c r="G38" i="17"/>
  <c r="B38" i="17"/>
  <c r="C38" i="17"/>
  <c r="E56" i="13"/>
  <c r="G56" i="13"/>
  <c r="B56" i="13"/>
  <c r="C56" i="13"/>
  <c r="D56" i="13"/>
  <c r="G84" i="13"/>
  <c r="C84" i="13"/>
  <c r="B84" i="13"/>
  <c r="D84" i="13"/>
  <c r="E84" i="13"/>
  <c r="D51" i="13"/>
  <c r="G51" i="13"/>
  <c r="E51" i="13"/>
  <c r="B51" i="13"/>
  <c r="C51" i="13"/>
  <c r="G52" i="13"/>
  <c r="B52" i="13"/>
  <c r="E52" i="13"/>
  <c r="C52" i="13"/>
  <c r="D52" i="13"/>
  <c r="C13" i="13"/>
  <c r="B13" i="13"/>
  <c r="D13" i="13"/>
  <c r="E13" i="13"/>
  <c r="E81" i="13"/>
  <c r="C81" i="13"/>
  <c r="D81" i="13"/>
  <c r="G81" i="13"/>
  <c r="B81" i="13"/>
  <c r="C30" i="13"/>
  <c r="B30" i="13"/>
  <c r="D30" i="13"/>
  <c r="E30" i="13"/>
  <c r="B33" i="13"/>
  <c r="C33" i="13"/>
  <c r="D33" i="13"/>
  <c r="E33" i="13"/>
  <c r="E44" i="13"/>
  <c r="C44" i="13"/>
  <c r="G44" i="13"/>
  <c r="B44" i="13"/>
  <c r="D44" i="13"/>
  <c r="G56" i="36"/>
  <c r="B56" i="36"/>
  <c r="C56" i="36"/>
  <c r="D56" i="36"/>
  <c r="E56" i="36"/>
  <c r="C29" i="36"/>
  <c r="D29" i="36"/>
  <c r="E29" i="36"/>
  <c r="B29" i="36"/>
  <c r="G29" i="36"/>
  <c r="E21" i="36"/>
  <c r="D21" i="36"/>
  <c r="B21" i="36"/>
  <c r="G21" i="36"/>
  <c r="C21" i="36"/>
  <c r="D40" i="36"/>
  <c r="G40" i="36"/>
  <c r="E40" i="36"/>
  <c r="C40" i="36"/>
  <c r="B40" i="36"/>
  <c r="G30" i="36"/>
  <c r="C30" i="36"/>
  <c r="D30" i="36"/>
  <c r="B30" i="36"/>
  <c r="E30" i="36"/>
  <c r="E12" i="36"/>
  <c r="D12" i="36"/>
  <c r="C12" i="36"/>
  <c r="B12" i="36"/>
  <c r="D55" i="36"/>
  <c r="B55" i="36"/>
  <c r="G55" i="36"/>
  <c r="C55" i="36"/>
  <c r="E55" i="36"/>
  <c r="E79" i="99"/>
  <c r="C79" i="99"/>
  <c r="D79" i="99"/>
  <c r="G79" i="99"/>
  <c r="B79" i="99"/>
  <c r="G68" i="99"/>
  <c r="D68" i="99"/>
  <c r="C68" i="99"/>
  <c r="E68" i="99"/>
  <c r="B68" i="99"/>
  <c r="E51" i="99"/>
  <c r="D51" i="99"/>
  <c r="B51" i="99"/>
  <c r="C51" i="99"/>
  <c r="G51" i="99"/>
  <c r="D66" i="99"/>
  <c r="E66" i="99"/>
  <c r="C66" i="99"/>
  <c r="B66" i="99"/>
  <c r="G66" i="99"/>
  <c r="C47" i="99"/>
  <c r="E47" i="99"/>
  <c r="D47" i="99"/>
  <c r="B47" i="99"/>
  <c r="G47" i="99"/>
  <c r="B62" i="99"/>
  <c r="G62" i="99"/>
  <c r="D62" i="99"/>
  <c r="C62" i="99"/>
  <c r="E62" i="99"/>
  <c r="D29" i="20"/>
  <c r="B29" i="20"/>
  <c r="C29" i="20"/>
  <c r="E29" i="20"/>
  <c r="G29" i="20"/>
  <c r="C77" i="20"/>
  <c r="D77" i="20"/>
  <c r="B77" i="20"/>
  <c r="E77" i="20"/>
  <c r="G77" i="20"/>
  <c r="D46" i="20"/>
  <c r="E46" i="20"/>
  <c r="G46" i="20"/>
  <c r="B46" i="20"/>
  <c r="C46" i="20"/>
  <c r="G48" i="20"/>
  <c r="D48" i="20"/>
  <c r="C48" i="20"/>
  <c r="E48" i="20"/>
  <c r="B48" i="20"/>
  <c r="C85" i="20"/>
  <c r="E85" i="20"/>
  <c r="G85" i="20"/>
  <c r="B85" i="20"/>
  <c r="D85" i="20"/>
  <c r="B68" i="20"/>
  <c r="G68" i="20"/>
  <c r="C68" i="20"/>
  <c r="E68" i="20"/>
  <c r="D68" i="20"/>
  <c r="C79" i="97"/>
  <c r="B79" i="97"/>
  <c r="G79" i="97"/>
  <c r="D79" i="97"/>
  <c r="E79" i="97"/>
  <c r="E28" i="97"/>
  <c r="C28" i="97"/>
  <c r="D28" i="97"/>
  <c r="G28" i="97"/>
  <c r="B28" i="97"/>
  <c r="D71" i="97"/>
  <c r="E71" i="97"/>
  <c r="C71" i="97"/>
  <c r="G71" i="97"/>
  <c r="B71" i="97"/>
  <c r="G59" i="97"/>
  <c r="B59" i="97"/>
  <c r="E59" i="97"/>
  <c r="D59" i="97"/>
  <c r="C59" i="97"/>
  <c r="G57" i="97"/>
  <c r="D57" i="97"/>
  <c r="B57" i="97"/>
  <c r="E57" i="97"/>
  <c r="C57" i="97"/>
  <c r="C24" i="97"/>
  <c r="G24" i="97"/>
  <c r="E24" i="97"/>
  <c r="B24" i="97"/>
  <c r="D24" i="97"/>
  <c r="C10" i="45"/>
  <c r="E10" i="45"/>
  <c r="D10" i="45"/>
  <c r="B10" i="45"/>
  <c r="D41" i="45"/>
  <c r="E41" i="45"/>
  <c r="C41" i="45"/>
  <c r="G41" i="45"/>
  <c r="B41" i="45"/>
  <c r="C14" i="45"/>
  <c r="E14" i="45"/>
  <c r="D14" i="45"/>
  <c r="B14" i="45"/>
  <c r="D42" i="45"/>
  <c r="B42" i="45"/>
  <c r="C42" i="45"/>
  <c r="G42" i="45"/>
  <c r="E42" i="45"/>
  <c r="E79" i="45"/>
  <c r="C79" i="45"/>
  <c r="G79" i="45"/>
  <c r="B79" i="45"/>
  <c r="D79" i="45"/>
  <c r="B40" i="45"/>
  <c r="C40" i="45"/>
  <c r="E40" i="45"/>
  <c r="D40" i="45"/>
  <c r="G40" i="45"/>
  <c r="D17" i="45"/>
  <c r="B17" i="45"/>
  <c r="C17" i="45"/>
  <c r="E17" i="45"/>
  <c r="E54" i="45"/>
  <c r="C54" i="45"/>
  <c r="B54" i="45"/>
  <c r="D54" i="45"/>
  <c r="G54" i="45"/>
  <c r="D48" i="45"/>
  <c r="B48" i="45"/>
  <c r="E48" i="45"/>
  <c r="G48" i="45"/>
  <c r="C48" i="45"/>
  <c r="D6" i="16"/>
  <c r="B6" i="16"/>
  <c r="E6" i="16"/>
  <c r="C6" i="16"/>
  <c r="A3" i="16"/>
  <c r="E39" i="16"/>
  <c r="B39" i="16"/>
  <c r="G39" i="16"/>
  <c r="D39" i="16"/>
  <c r="C39" i="16"/>
  <c r="D10" i="16"/>
  <c r="E10" i="16"/>
  <c r="B10" i="16"/>
  <c r="G10" i="16"/>
  <c r="C10" i="16"/>
  <c r="G81" i="16"/>
  <c r="E81" i="16"/>
  <c r="D81" i="16"/>
  <c r="C81" i="16"/>
  <c r="B81" i="16"/>
  <c r="E15" i="16"/>
  <c r="C15" i="16"/>
  <c r="D15" i="16"/>
  <c r="B15" i="16"/>
  <c r="G15" i="16"/>
  <c r="G22" i="16"/>
  <c r="C22" i="16"/>
  <c r="D22" i="16"/>
  <c r="E22" i="16"/>
  <c r="B22" i="16"/>
  <c r="C78" i="40"/>
  <c r="D78" i="40"/>
  <c r="E78" i="40"/>
  <c r="B78" i="40"/>
  <c r="G78" i="40"/>
  <c r="B75" i="40"/>
  <c r="D75" i="40"/>
  <c r="C75" i="40"/>
  <c r="E75" i="40"/>
  <c r="G75" i="40"/>
  <c r="B13" i="40"/>
  <c r="E13" i="40"/>
  <c r="C13" i="40"/>
  <c r="D13" i="40"/>
  <c r="C8" i="40"/>
  <c r="D8" i="40"/>
  <c r="B8" i="40"/>
  <c r="E8" i="40"/>
  <c r="B53" i="40"/>
  <c r="G53" i="40"/>
  <c r="D53" i="40"/>
  <c r="C53" i="40"/>
  <c r="E53" i="40"/>
  <c r="C31" i="40"/>
  <c r="E31" i="40"/>
  <c r="B31" i="40"/>
  <c r="D31" i="40"/>
  <c r="B8" i="39"/>
  <c r="G8" i="39"/>
  <c r="C8" i="39"/>
  <c r="E8" i="39"/>
  <c r="D8" i="39"/>
  <c r="G7" i="44"/>
  <c r="C7" i="44"/>
  <c r="E7" i="44"/>
  <c r="B7" i="44"/>
  <c r="D7" i="44"/>
  <c r="G22" i="44"/>
  <c r="C22" i="44"/>
  <c r="D22" i="44"/>
  <c r="E22" i="44"/>
  <c r="B22" i="44"/>
  <c r="E83" i="44"/>
  <c r="C83" i="44"/>
  <c r="G83" i="44"/>
  <c r="B83" i="44"/>
  <c r="D83" i="44"/>
  <c r="C47" i="44"/>
  <c r="G47" i="44"/>
  <c r="E47" i="44"/>
  <c r="B47" i="44"/>
  <c r="D47" i="44"/>
  <c r="E67" i="44"/>
  <c r="B67" i="44"/>
  <c r="D67" i="44"/>
  <c r="G67" i="44"/>
  <c r="C67" i="44"/>
  <c r="D72" i="44"/>
  <c r="B72" i="44"/>
  <c r="G72" i="44"/>
  <c r="C72" i="44"/>
  <c r="E72" i="44"/>
  <c r="E73" i="44"/>
  <c r="G73" i="44"/>
  <c r="D73" i="44"/>
  <c r="C73" i="44"/>
  <c r="B73" i="44"/>
  <c r="E80" i="26"/>
  <c r="B80" i="26"/>
  <c r="C80" i="26"/>
  <c r="G80" i="26"/>
  <c r="D80" i="26"/>
  <c r="D40" i="26"/>
  <c r="E40" i="26"/>
  <c r="G40" i="26"/>
  <c r="C40" i="26"/>
  <c r="B40" i="26"/>
  <c r="B36" i="26"/>
  <c r="D36" i="26"/>
  <c r="G36" i="26"/>
  <c r="C36" i="26"/>
  <c r="E36" i="26"/>
  <c r="D39" i="26"/>
  <c r="B39" i="26"/>
  <c r="E39" i="26"/>
  <c r="C39" i="26"/>
  <c r="G39" i="26"/>
  <c r="C60" i="26"/>
  <c r="B60" i="26"/>
  <c r="D60" i="26"/>
  <c r="E60" i="26"/>
  <c r="G60" i="26"/>
  <c r="C6" i="26"/>
  <c r="E6" i="26"/>
  <c r="G6" i="26"/>
  <c r="B6" i="26"/>
  <c r="D6" i="26"/>
  <c r="G10" i="26"/>
  <c r="D10" i="26"/>
  <c r="E10" i="26"/>
  <c r="B10" i="26"/>
  <c r="C10" i="26"/>
  <c r="G18" i="26"/>
  <c r="D18" i="26"/>
  <c r="C18" i="26"/>
  <c r="B18" i="26"/>
  <c r="E18" i="26"/>
  <c r="F208" i="48" a="1"/>
  <c r="F208" i="48" s="1"/>
  <c r="D208" i="48"/>
  <c r="E208" i="48"/>
  <c r="K208" i="48" a="1"/>
  <c r="K208" i="48" s="1"/>
  <c r="C208" i="48"/>
  <c r="I208" i="48"/>
  <c r="D226" i="48"/>
  <c r="E226" i="48"/>
  <c r="K226" i="48" a="1"/>
  <c r="K226" i="48" s="1"/>
  <c r="I226" i="48"/>
  <c r="F226" i="48" a="1"/>
  <c r="F226" i="48" s="1"/>
  <c r="C226" i="48"/>
  <c r="F100" i="48" a="1"/>
  <c r="F100" i="48" s="1"/>
  <c r="C100" i="48"/>
  <c r="K100" i="48" a="1"/>
  <c r="K100" i="48" s="1"/>
  <c r="E100" i="48"/>
  <c r="C121" i="48"/>
  <c r="F121" i="48" a="1"/>
  <c r="F121" i="48" s="1"/>
  <c r="E121" i="48"/>
  <c r="K121" i="48" a="1"/>
  <c r="K121" i="48" s="1"/>
  <c r="D28" i="48"/>
  <c r="F28" i="48" a="1"/>
  <c r="F28" i="48" s="1"/>
  <c r="C28" i="48"/>
  <c r="E28" i="48"/>
  <c r="F131" i="48" a="1"/>
  <c r="F131" i="48" s="1"/>
  <c r="E131" i="48"/>
  <c r="C131" i="48"/>
  <c r="D131" i="48"/>
  <c r="K131" i="48" a="1"/>
  <c r="K131" i="48" s="1"/>
  <c r="I131" i="48"/>
  <c r="F184" i="48" a="1"/>
  <c r="F184" i="48" s="1"/>
  <c r="K184" i="48" a="1"/>
  <c r="K184" i="48" s="1"/>
  <c r="E184" i="48"/>
  <c r="C184" i="48"/>
  <c r="I184" i="48"/>
  <c r="D184" i="48"/>
  <c r="C222" i="48"/>
  <c r="D222" i="48"/>
  <c r="K222" i="48" a="1"/>
  <c r="K222" i="48" s="1"/>
  <c r="E222" i="48"/>
  <c r="F222" i="48" a="1"/>
  <c r="F222" i="48" s="1"/>
  <c r="I222" i="48"/>
  <c r="I274" i="48"/>
  <c r="E274" i="48"/>
  <c r="C274" i="48"/>
  <c r="D274" i="48"/>
  <c r="K274" i="48" a="1"/>
  <c r="K274" i="48" s="1"/>
  <c r="F274" i="48" a="1"/>
  <c r="F274" i="48" s="1"/>
  <c r="C99" i="48"/>
  <c r="D99" i="48"/>
  <c r="F99" i="48" a="1"/>
  <c r="F99" i="48" s="1"/>
  <c r="E99" i="48"/>
  <c r="F94" i="48" a="1"/>
  <c r="F94" i="48" s="1"/>
  <c r="E94" i="48"/>
  <c r="K94" i="48" a="1"/>
  <c r="K94" i="48" s="1"/>
  <c r="C94" i="48"/>
  <c r="C203" i="48"/>
  <c r="I203" i="48"/>
  <c r="E203" i="48"/>
  <c r="K203" i="48" a="1"/>
  <c r="K203" i="48" s="1"/>
  <c r="D203" i="48"/>
  <c r="F203" i="48" a="1"/>
  <c r="F203" i="48" s="1"/>
  <c r="K351" i="48" a="1"/>
  <c r="K351" i="48" s="1"/>
  <c r="D351" i="48"/>
  <c r="C351" i="48"/>
  <c r="E351" i="48"/>
  <c r="F351" i="48" a="1"/>
  <c r="F351" i="48" s="1"/>
  <c r="I351" i="48"/>
  <c r="F22" i="48" a="1"/>
  <c r="F22" i="48" s="1"/>
  <c r="C22" i="48"/>
  <c r="E22" i="48"/>
  <c r="I314" i="48"/>
  <c r="K314" i="48" a="1"/>
  <c r="K314" i="48" s="1"/>
  <c r="D314" i="48"/>
  <c r="C314" i="48"/>
  <c r="E314" i="48"/>
  <c r="F314" i="48" a="1"/>
  <c r="F314" i="48" s="1"/>
  <c r="I187" i="48"/>
  <c r="E187" i="48"/>
  <c r="F187" i="48" a="1"/>
  <c r="F187" i="48" s="1"/>
  <c r="D187" i="48"/>
  <c r="K187" i="48" a="1"/>
  <c r="K187" i="48" s="1"/>
  <c r="C187" i="48"/>
  <c r="K326" i="48" a="1"/>
  <c r="K326" i="48" s="1"/>
  <c r="F326" i="48" a="1"/>
  <c r="F326" i="48" s="1"/>
  <c r="C326" i="48"/>
  <c r="D326" i="48"/>
  <c r="I326" i="48"/>
  <c r="E326" i="48"/>
  <c r="K236" i="48" a="1"/>
  <c r="K236" i="48" s="1"/>
  <c r="C236" i="48"/>
  <c r="D236" i="48"/>
  <c r="I236" i="48"/>
  <c r="E236" i="48"/>
  <c r="F236" i="48" a="1"/>
  <c r="F236" i="48" s="1"/>
  <c r="I149" i="48"/>
  <c r="K149" i="48" a="1"/>
  <c r="K149" i="48" s="1"/>
  <c r="F149" i="48" a="1"/>
  <c r="F149" i="48" s="1"/>
  <c r="D149" i="48"/>
  <c r="E149" i="48"/>
  <c r="C149" i="48"/>
  <c r="C40" i="48"/>
  <c r="D40" i="48"/>
  <c r="F40" i="48" a="1"/>
  <c r="F40" i="48" s="1"/>
  <c r="E40" i="48"/>
  <c r="D340" i="48"/>
  <c r="F340" i="48" a="1"/>
  <c r="F340" i="48" s="1"/>
  <c r="C340" i="48"/>
  <c r="K340" i="48" a="1"/>
  <c r="K340" i="48" s="1"/>
  <c r="E340" i="48"/>
  <c r="I340" i="48"/>
  <c r="C277" i="48"/>
  <c r="I277" i="48"/>
  <c r="D277" i="48"/>
  <c r="F277" i="48" a="1"/>
  <c r="F277" i="48" s="1"/>
  <c r="E277" i="48"/>
  <c r="K277" i="48" a="1"/>
  <c r="K277" i="48" s="1"/>
  <c r="C348" i="48"/>
  <c r="I348" i="48"/>
  <c r="E348" i="48"/>
  <c r="K348" i="48" a="1"/>
  <c r="K348" i="48" s="1"/>
  <c r="F348" i="48" a="1"/>
  <c r="F348" i="48" s="1"/>
  <c r="D348" i="48"/>
  <c r="K308" i="48" a="1"/>
  <c r="K308" i="48" s="1"/>
  <c r="D308" i="48"/>
  <c r="I308" i="48"/>
  <c r="E308" i="48"/>
  <c r="F308" i="48" a="1"/>
  <c r="F308" i="48" s="1"/>
  <c r="C308" i="48"/>
  <c r="F286" i="48" a="1"/>
  <c r="F286" i="48" s="1"/>
  <c r="C286" i="48"/>
  <c r="D286" i="48"/>
  <c r="K286" i="48" a="1"/>
  <c r="K286" i="48" s="1"/>
  <c r="E286" i="48"/>
  <c r="I286" i="48"/>
  <c r="F224" i="48" a="1"/>
  <c r="F224" i="48" s="1"/>
  <c r="K224" i="48" a="1"/>
  <c r="K224" i="48" s="1"/>
  <c r="D224" i="48"/>
  <c r="I224" i="48"/>
  <c r="E224" i="48"/>
  <c r="C224" i="48"/>
  <c r="K328" i="48" a="1"/>
  <c r="K328" i="48" s="1"/>
  <c r="F328" i="48" a="1"/>
  <c r="F328" i="48" s="1"/>
  <c r="E328" i="48"/>
  <c r="D328" i="48"/>
  <c r="I328" i="48"/>
  <c r="C328" i="48"/>
  <c r="E49" i="21"/>
  <c r="C49" i="21"/>
  <c r="G49" i="21"/>
  <c r="D49" i="21"/>
  <c r="B49" i="21"/>
  <c r="E16" i="21"/>
  <c r="B16" i="21"/>
  <c r="D16" i="21"/>
  <c r="C16" i="21"/>
  <c r="D61" i="21"/>
  <c r="G61" i="21"/>
  <c r="E61" i="21"/>
  <c r="B61" i="21"/>
  <c r="C61" i="21"/>
  <c r="B21" i="21"/>
  <c r="E21" i="21"/>
  <c r="D21" i="21"/>
  <c r="C21" i="21"/>
  <c r="B40" i="21"/>
  <c r="E40" i="21"/>
  <c r="G40" i="21"/>
  <c r="C40" i="21"/>
  <c r="D40" i="21"/>
  <c r="B77" i="21"/>
  <c r="C77" i="21"/>
  <c r="D77" i="21"/>
  <c r="E77" i="21"/>
  <c r="G77" i="21"/>
  <c r="AA25" i="101"/>
  <c r="X25" i="101"/>
  <c r="Y25" i="101"/>
  <c r="Z25" i="101"/>
  <c r="Y17" i="101"/>
  <c r="X17" i="101"/>
  <c r="Z17" i="101"/>
  <c r="AA17" i="101"/>
  <c r="Z49" i="101"/>
  <c r="Y49" i="101"/>
  <c r="X49" i="101"/>
  <c r="AA49" i="101"/>
  <c r="AA35" i="101"/>
  <c r="Y35" i="101"/>
  <c r="Z35" i="101"/>
  <c r="X35" i="101"/>
  <c r="AA15" i="101"/>
  <c r="Z15" i="101"/>
  <c r="X15" i="101"/>
  <c r="Y15" i="101"/>
  <c r="E37" i="98"/>
  <c r="C37" i="98"/>
  <c r="D37" i="98"/>
  <c r="B37" i="98"/>
  <c r="G37" i="98"/>
  <c r="C9" i="98"/>
  <c r="D9" i="98"/>
  <c r="B9" i="98"/>
  <c r="E30" i="98"/>
  <c r="D30" i="98"/>
  <c r="G30" i="98"/>
  <c r="C30" i="98"/>
  <c r="B30" i="98"/>
  <c r="G71" i="98"/>
  <c r="D71" i="98"/>
  <c r="C71" i="98"/>
  <c r="B71" i="98"/>
  <c r="E71" i="98"/>
  <c r="B19" i="98"/>
  <c r="E19" i="98"/>
  <c r="D19" i="98"/>
  <c r="C19" i="98"/>
  <c r="E30" i="37"/>
  <c r="C30" i="37"/>
  <c r="B30" i="37"/>
  <c r="D30" i="37"/>
  <c r="G30" i="37"/>
  <c r="B37" i="37"/>
  <c r="D37" i="37"/>
  <c r="C37" i="37"/>
  <c r="G37" i="37"/>
  <c r="E37" i="37"/>
  <c r="C45" i="37"/>
  <c r="D45" i="37"/>
  <c r="G45" i="37"/>
  <c r="B45" i="37"/>
  <c r="E45" i="37"/>
  <c r="E52" i="37"/>
  <c r="C52" i="37"/>
  <c r="G52" i="37"/>
  <c r="D52" i="37"/>
  <c r="B52" i="37"/>
  <c r="C40" i="37"/>
  <c r="B40" i="37"/>
  <c r="E40" i="37"/>
  <c r="D40" i="37"/>
  <c r="G40" i="37"/>
  <c r="B62" i="37"/>
  <c r="G62" i="37"/>
  <c r="E62" i="37"/>
  <c r="D62" i="37"/>
  <c r="C62" i="37"/>
  <c r="C65" i="37"/>
  <c r="D65" i="37"/>
  <c r="B65" i="37"/>
  <c r="E65" i="37"/>
  <c r="G65" i="37"/>
  <c r="G75" i="37"/>
  <c r="D75" i="37"/>
  <c r="E75" i="37"/>
  <c r="C75" i="37"/>
  <c r="B75" i="37"/>
  <c r="C27" i="30"/>
  <c r="B27" i="30"/>
  <c r="D27" i="30"/>
  <c r="G27" i="30"/>
  <c r="E27" i="30"/>
  <c r="B45" i="30"/>
  <c r="E45" i="30"/>
  <c r="G45" i="30"/>
  <c r="C45" i="30"/>
  <c r="D45" i="30"/>
  <c r="D30" i="30"/>
  <c r="E30" i="30"/>
  <c r="C30" i="30"/>
  <c r="G30" i="30"/>
  <c r="B30" i="30"/>
  <c r="G84" i="30"/>
  <c r="D84" i="30"/>
  <c r="B84" i="30"/>
  <c r="C84" i="30"/>
  <c r="E84" i="30"/>
  <c r="C28" i="30"/>
  <c r="E28" i="30"/>
  <c r="D28" i="30"/>
  <c r="B28" i="30"/>
  <c r="G28" i="30"/>
  <c r="D49" i="30"/>
  <c r="B49" i="30"/>
  <c r="E49" i="30"/>
  <c r="C49" i="30"/>
  <c r="G49" i="30"/>
  <c r="G55" i="30"/>
  <c r="B55" i="30"/>
  <c r="C55" i="30"/>
  <c r="D55" i="30"/>
  <c r="E55" i="30"/>
  <c r="B69" i="35"/>
  <c r="G69" i="35"/>
  <c r="C69" i="35"/>
  <c r="D69" i="35"/>
  <c r="E69" i="35"/>
  <c r="G19" i="35"/>
  <c r="E19" i="35"/>
  <c r="B19" i="35"/>
  <c r="D19" i="35"/>
  <c r="C19" i="35"/>
  <c r="G27" i="35"/>
  <c r="D27" i="35"/>
  <c r="B27" i="35"/>
  <c r="C27" i="35"/>
  <c r="E27" i="35"/>
  <c r="B10" i="35"/>
  <c r="D77" i="35"/>
  <c r="B77" i="35"/>
  <c r="E77" i="35"/>
  <c r="G77" i="35"/>
  <c r="C77" i="35"/>
  <c r="G80" i="35"/>
  <c r="C80" i="35"/>
  <c r="D80" i="35"/>
  <c r="E80" i="35"/>
  <c r="B80" i="35"/>
  <c r="D80" i="17"/>
  <c r="C80" i="17"/>
  <c r="G80" i="17"/>
  <c r="B80" i="17"/>
  <c r="E80" i="17"/>
  <c r="D31" i="17"/>
  <c r="G31" i="17"/>
  <c r="C31" i="17"/>
  <c r="E31" i="17"/>
  <c r="B31" i="17"/>
  <c r="G10" i="17"/>
  <c r="E10" i="17"/>
  <c r="D10" i="17"/>
  <c r="C10" i="17"/>
  <c r="B10" i="17"/>
  <c r="C15" i="17"/>
  <c r="D15" i="17"/>
  <c r="B15" i="17"/>
  <c r="E15" i="17"/>
  <c r="G15" i="17"/>
  <c r="G70" i="17"/>
  <c r="C70" i="17"/>
  <c r="B70" i="17"/>
  <c r="D70" i="17"/>
  <c r="E70" i="17"/>
  <c r="D68" i="17"/>
  <c r="B68" i="17"/>
  <c r="C68" i="17"/>
  <c r="E68" i="17"/>
  <c r="G68" i="17"/>
  <c r="C61" i="17"/>
  <c r="B61" i="17"/>
  <c r="D61" i="17"/>
  <c r="E61" i="17"/>
  <c r="G61" i="17"/>
  <c r="G28" i="17"/>
  <c r="C28" i="17"/>
  <c r="B28" i="17"/>
  <c r="E28" i="17"/>
  <c r="D28" i="17"/>
  <c r="B63" i="13"/>
  <c r="C63" i="13"/>
  <c r="D63" i="13"/>
  <c r="G63" i="13"/>
  <c r="E63" i="13"/>
  <c r="E11" i="13"/>
  <c r="B11" i="13"/>
  <c r="D11" i="13"/>
  <c r="E49" i="13"/>
  <c r="D49" i="13"/>
  <c r="C49" i="13"/>
  <c r="G49" i="13"/>
  <c r="B49" i="13"/>
  <c r="B43" i="13"/>
  <c r="E43" i="13"/>
  <c r="D43" i="13"/>
  <c r="C43" i="13"/>
  <c r="G43" i="13"/>
  <c r="B29" i="13"/>
  <c r="D29" i="13"/>
  <c r="C29" i="13"/>
  <c r="E29" i="13"/>
  <c r="B24" i="13"/>
  <c r="E24" i="13"/>
  <c r="C24" i="13"/>
  <c r="B69" i="36"/>
  <c r="D69" i="36"/>
  <c r="G69" i="36"/>
  <c r="E69" i="36"/>
  <c r="C69" i="36"/>
  <c r="C75" i="36"/>
  <c r="E75" i="36"/>
  <c r="B75" i="36"/>
  <c r="D75" i="36"/>
  <c r="G75" i="36"/>
  <c r="C83" i="36"/>
  <c r="G83" i="36"/>
  <c r="B83" i="36"/>
  <c r="D83" i="36"/>
  <c r="E83" i="36"/>
  <c r="B18" i="36"/>
  <c r="C18" i="36"/>
  <c r="D18" i="36"/>
  <c r="E18" i="36"/>
  <c r="G57" i="36"/>
  <c r="D57" i="36"/>
  <c r="E57" i="36"/>
  <c r="C57" i="36"/>
  <c r="B57" i="36"/>
  <c r="B7" i="99"/>
  <c r="C7" i="99"/>
  <c r="D7" i="99"/>
  <c r="E7" i="99"/>
  <c r="B8" i="99"/>
  <c r="C8" i="99"/>
  <c r="E8" i="99"/>
  <c r="D8" i="99"/>
  <c r="G70" i="99"/>
  <c r="B70" i="99"/>
  <c r="E70" i="99"/>
  <c r="D70" i="99"/>
  <c r="C70" i="99"/>
  <c r="C53" i="99"/>
  <c r="G53" i="99"/>
  <c r="E53" i="99"/>
  <c r="B53" i="99"/>
  <c r="D53" i="99"/>
  <c r="E52" i="99"/>
  <c r="C52" i="99"/>
  <c r="G52" i="99"/>
  <c r="B52" i="99"/>
  <c r="D52" i="99"/>
  <c r="D67" i="99"/>
  <c r="B67" i="99"/>
  <c r="G67" i="99"/>
  <c r="E67" i="99"/>
  <c r="C67" i="99"/>
  <c r="E76" i="99"/>
  <c r="D76" i="99"/>
  <c r="G76" i="99"/>
  <c r="C76" i="99"/>
  <c r="B76" i="99"/>
  <c r="G61" i="99"/>
  <c r="C61" i="99"/>
  <c r="B61" i="99"/>
  <c r="E61" i="99"/>
  <c r="D61" i="99"/>
  <c r="C50" i="20"/>
  <c r="B50" i="20"/>
  <c r="G50" i="20"/>
  <c r="E50" i="20"/>
  <c r="D50" i="20"/>
  <c r="G37" i="20"/>
  <c r="B37" i="20"/>
  <c r="E37" i="20"/>
  <c r="C37" i="20"/>
  <c r="D37" i="20"/>
  <c r="C75" i="20"/>
  <c r="E75" i="20"/>
  <c r="D75" i="20"/>
  <c r="G75" i="20"/>
  <c r="B75" i="20"/>
  <c r="B31" i="20"/>
  <c r="G31" i="20"/>
  <c r="C31" i="20"/>
  <c r="D31" i="20"/>
  <c r="E31" i="20"/>
  <c r="D11" i="20"/>
  <c r="G11" i="20"/>
  <c r="B11" i="20"/>
  <c r="E11" i="20"/>
  <c r="C11" i="20"/>
  <c r="D65" i="20"/>
  <c r="E65" i="20"/>
  <c r="B65" i="20"/>
  <c r="G65" i="20"/>
  <c r="C65" i="20"/>
  <c r="G19" i="20"/>
  <c r="E19" i="20"/>
  <c r="B19" i="20"/>
  <c r="D19" i="20"/>
  <c r="C19" i="20"/>
  <c r="B34" i="20"/>
  <c r="E34" i="20"/>
  <c r="C34" i="20"/>
  <c r="G34" i="20"/>
  <c r="D34" i="20"/>
  <c r="G64" i="97"/>
  <c r="C64" i="97"/>
  <c r="D64" i="97"/>
  <c r="B64" i="97"/>
  <c r="E64" i="97"/>
  <c r="E27" i="97"/>
  <c r="D27" i="97"/>
  <c r="B27" i="97"/>
  <c r="C27" i="97"/>
  <c r="G27" i="97"/>
  <c r="C14" i="97"/>
  <c r="D14" i="97"/>
  <c r="B14" i="97"/>
  <c r="E14" i="97"/>
  <c r="B53" i="97"/>
  <c r="C53" i="97"/>
  <c r="G53" i="97"/>
  <c r="E53" i="97"/>
  <c r="D53" i="97"/>
  <c r="E35" i="97"/>
  <c r="D35" i="97"/>
  <c r="G35" i="97"/>
  <c r="B35" i="97"/>
  <c r="C35" i="97"/>
  <c r="B84" i="97"/>
  <c r="C84" i="97"/>
  <c r="E84" i="97"/>
  <c r="G84" i="97"/>
  <c r="D84" i="97"/>
  <c r="D22" i="45"/>
  <c r="B22" i="45"/>
  <c r="G22" i="45"/>
  <c r="E22" i="45"/>
  <c r="C22" i="45"/>
  <c r="B35" i="45"/>
  <c r="C35" i="45"/>
  <c r="E35" i="45"/>
  <c r="D35" i="45"/>
  <c r="G35" i="45"/>
  <c r="D26" i="45"/>
  <c r="G26" i="45"/>
  <c r="E26" i="45"/>
  <c r="C26" i="45"/>
  <c r="B26" i="45"/>
  <c r="C23" i="45"/>
  <c r="E23" i="45"/>
  <c r="D23" i="45"/>
  <c r="B23" i="45"/>
  <c r="G23" i="45"/>
  <c r="G37" i="16"/>
  <c r="E37" i="16"/>
  <c r="B37" i="16"/>
  <c r="D37" i="16"/>
  <c r="C37" i="16"/>
  <c r="C21" i="16"/>
  <c r="D21" i="16"/>
  <c r="E21" i="16"/>
  <c r="G21" i="16"/>
  <c r="B21" i="16"/>
  <c r="G56" i="16"/>
  <c r="B56" i="16"/>
  <c r="D56" i="16"/>
  <c r="E56" i="16"/>
  <c r="C56" i="16"/>
  <c r="C83" i="16"/>
  <c r="D83" i="16"/>
  <c r="B83" i="16"/>
  <c r="G83" i="16"/>
  <c r="E83" i="16"/>
  <c r="D78" i="16"/>
  <c r="C78" i="16"/>
  <c r="G78" i="16"/>
  <c r="E78" i="16"/>
  <c r="B78" i="16"/>
  <c r="C36" i="16"/>
  <c r="G36" i="16"/>
  <c r="E36" i="16"/>
  <c r="D36" i="16"/>
  <c r="B36" i="16"/>
  <c r="B75" i="16"/>
  <c r="E75" i="16"/>
  <c r="G75" i="16"/>
  <c r="C75" i="16"/>
  <c r="D75" i="16"/>
  <c r="G38" i="16"/>
  <c r="C38" i="16"/>
  <c r="E38" i="16"/>
  <c r="D38" i="16"/>
  <c r="B38" i="16"/>
  <c r="G53" i="16"/>
  <c r="B53" i="16"/>
  <c r="C53" i="16"/>
  <c r="E53" i="16"/>
  <c r="D53" i="16"/>
  <c r="D71" i="16"/>
  <c r="G71" i="16"/>
  <c r="C71" i="16"/>
  <c r="E71" i="16"/>
  <c r="B71" i="16"/>
  <c r="E83" i="40"/>
  <c r="B83" i="40"/>
  <c r="G83" i="40"/>
  <c r="C83" i="40"/>
  <c r="D83" i="40"/>
  <c r="C43" i="40"/>
  <c r="E43" i="40"/>
  <c r="D43" i="40"/>
  <c r="G43" i="40"/>
  <c r="B43" i="40"/>
  <c r="C16" i="40"/>
  <c r="D16" i="40"/>
  <c r="B16" i="40"/>
  <c r="E16" i="40"/>
  <c r="C11" i="40"/>
  <c r="E11" i="40"/>
  <c r="D11" i="40"/>
  <c r="B11" i="40"/>
  <c r="B60" i="40"/>
  <c r="E60" i="40"/>
  <c r="C60" i="40"/>
  <c r="D60" i="40"/>
  <c r="G60" i="40"/>
  <c r="E66" i="40"/>
  <c r="D66" i="40"/>
  <c r="B66" i="40"/>
  <c r="C66" i="40"/>
  <c r="G66" i="40"/>
  <c r="B38" i="40"/>
  <c r="G38" i="40"/>
  <c r="C38" i="40"/>
  <c r="D38" i="40"/>
  <c r="E38" i="40"/>
  <c r="E52" i="39"/>
  <c r="B52" i="39"/>
  <c r="C52" i="39"/>
  <c r="G52" i="39"/>
  <c r="D52" i="39"/>
  <c r="D6" i="44"/>
  <c r="E6" i="44"/>
  <c r="B6" i="44"/>
  <c r="D41" i="44"/>
  <c r="B41" i="44"/>
  <c r="E41" i="44"/>
  <c r="C41" i="44"/>
  <c r="G41" i="44"/>
  <c r="G43" i="44"/>
  <c r="B43" i="44"/>
  <c r="D43" i="44"/>
  <c r="E43" i="44"/>
  <c r="C43" i="44"/>
  <c r="G58" i="44"/>
  <c r="B58" i="44"/>
  <c r="D58" i="44"/>
  <c r="C58" i="44"/>
  <c r="E58" i="44"/>
  <c r="D50" i="44"/>
  <c r="C50" i="44"/>
  <c r="E50" i="44"/>
  <c r="B50" i="44"/>
  <c r="G50" i="44"/>
  <c r="D10" i="44"/>
  <c r="C10" i="44"/>
  <c r="G10" i="44"/>
  <c r="E10" i="44"/>
  <c r="B10" i="44"/>
  <c r="G14" i="44"/>
  <c r="C14" i="44"/>
  <c r="D14" i="44"/>
  <c r="B14" i="44"/>
  <c r="E14" i="44"/>
  <c r="B64" i="26"/>
  <c r="D64" i="26"/>
  <c r="C64" i="26"/>
  <c r="G64" i="26"/>
  <c r="E64" i="26"/>
  <c r="C82" i="26"/>
  <c r="D82" i="26"/>
  <c r="E82" i="26"/>
  <c r="B82" i="26"/>
  <c r="G82" i="26"/>
  <c r="B19" i="26"/>
  <c r="G19" i="26"/>
  <c r="C19" i="26"/>
  <c r="D19" i="26"/>
  <c r="E19" i="26"/>
  <c r="E34" i="26"/>
  <c r="G34" i="26"/>
  <c r="C34" i="26"/>
  <c r="D34" i="26"/>
  <c r="B34" i="26"/>
  <c r="D26" i="26"/>
  <c r="C26" i="26"/>
  <c r="E26" i="26"/>
  <c r="B26" i="26"/>
  <c r="G26" i="26"/>
  <c r="D50" i="26"/>
  <c r="C50" i="26"/>
  <c r="E50" i="26"/>
  <c r="G50" i="26"/>
  <c r="B50" i="26"/>
  <c r="B56" i="26"/>
  <c r="C56" i="26"/>
  <c r="E56" i="26"/>
  <c r="G56" i="26"/>
  <c r="D56" i="26"/>
  <c r="G78" i="26"/>
  <c r="B78" i="26"/>
  <c r="C78" i="26"/>
  <c r="E78" i="26"/>
  <c r="D78" i="26"/>
  <c r="D72" i="48"/>
  <c r="F72" i="48" a="1"/>
  <c r="F72" i="48" s="1"/>
  <c r="C72" i="48"/>
  <c r="E72" i="48"/>
  <c r="I270" i="48"/>
  <c r="C270" i="48"/>
  <c r="K270" i="48" a="1"/>
  <c r="K270" i="48" s="1"/>
  <c r="D270" i="48"/>
  <c r="E270" i="48"/>
  <c r="F270" i="48" a="1"/>
  <c r="F270" i="48" s="1"/>
  <c r="E8" i="48"/>
  <c r="F8" i="48" a="1"/>
  <c r="F8" i="48" s="1"/>
  <c r="C8" i="48"/>
  <c r="E118" i="48"/>
  <c r="F118" i="48" a="1"/>
  <c r="F118" i="48" s="1"/>
  <c r="K118" i="48" a="1"/>
  <c r="K118" i="48" s="1"/>
  <c r="C118" i="48"/>
  <c r="C125" i="48"/>
  <c r="F125" i="48" a="1"/>
  <c r="F125" i="48" s="1"/>
  <c r="E125" i="48"/>
  <c r="K125" i="48" a="1"/>
  <c r="K125" i="48" s="1"/>
  <c r="C80" i="48"/>
  <c r="E80" i="48"/>
  <c r="F80" i="48" a="1"/>
  <c r="F80" i="48" s="1"/>
  <c r="C197" i="48"/>
  <c r="E197" i="48"/>
  <c r="I197" i="48"/>
  <c r="K197" i="48" a="1"/>
  <c r="K197" i="48" s="1"/>
  <c r="F197" i="48" a="1"/>
  <c r="F197" i="48" s="1"/>
  <c r="D197" i="48"/>
  <c r="K291" i="48" a="1"/>
  <c r="K291" i="48" s="1"/>
  <c r="C291" i="48"/>
  <c r="D291" i="48"/>
  <c r="E291" i="48"/>
  <c r="F291" i="48" a="1"/>
  <c r="F291" i="48" s="1"/>
  <c r="I291" i="48"/>
  <c r="K302" i="48" a="1"/>
  <c r="K302" i="48" s="1"/>
  <c r="I302" i="48"/>
  <c r="F302" i="48" a="1"/>
  <c r="F302" i="48" s="1"/>
  <c r="D302" i="48"/>
  <c r="E302" i="48"/>
  <c r="C302" i="48"/>
  <c r="K215" i="48" a="1"/>
  <c r="K215" i="48" s="1"/>
  <c r="I215" i="48"/>
  <c r="E215" i="48"/>
  <c r="D215" i="48"/>
  <c r="C215" i="48"/>
  <c r="F215" i="48" a="1"/>
  <c r="F215" i="48" s="1"/>
  <c r="K316" i="48" a="1"/>
  <c r="K316" i="48" s="1"/>
  <c r="I316" i="48"/>
  <c r="F316" i="48" a="1"/>
  <c r="F316" i="48" s="1"/>
  <c r="C316" i="48"/>
  <c r="D316" i="48"/>
  <c r="E316" i="48"/>
  <c r="E130" i="48"/>
  <c r="K130" i="48" a="1"/>
  <c r="K130" i="48" s="1"/>
  <c r="F130" i="48" a="1"/>
  <c r="F130" i="48" s="1"/>
  <c r="I130" i="48"/>
  <c r="D130" i="48"/>
  <c r="C130" i="48"/>
  <c r="D61" i="48"/>
  <c r="F61" i="48" a="1"/>
  <c r="F61" i="48" s="1"/>
  <c r="E61" i="48"/>
  <c r="C61" i="48"/>
  <c r="C239" i="48"/>
  <c r="E239" i="48"/>
  <c r="F239" i="48" a="1"/>
  <c r="F239" i="48" s="1"/>
  <c r="D239" i="48"/>
  <c r="K239" i="48" a="1"/>
  <c r="K239" i="48" s="1"/>
  <c r="I239" i="48"/>
  <c r="F268" i="48" a="1"/>
  <c r="F268" i="48" s="1"/>
  <c r="C268" i="48"/>
  <c r="D268" i="48"/>
  <c r="K268" i="48" a="1"/>
  <c r="K268" i="48" s="1"/>
  <c r="I268" i="48"/>
  <c r="E268" i="48"/>
  <c r="E323" i="48"/>
  <c r="F323" i="48" a="1"/>
  <c r="F323" i="48" s="1"/>
  <c r="K323" i="48" a="1"/>
  <c r="K323" i="48" s="1"/>
  <c r="D323" i="48"/>
  <c r="I323" i="48"/>
  <c r="C323" i="48"/>
  <c r="D178" i="48"/>
  <c r="F178" i="48" a="1"/>
  <c r="F178" i="48" s="1"/>
  <c r="K178" i="48" a="1"/>
  <c r="K178" i="48" s="1"/>
  <c r="I178" i="48"/>
  <c r="C178" i="48"/>
  <c r="E178" i="48"/>
  <c r="K225" i="48" a="1"/>
  <c r="K225" i="48" s="1"/>
  <c r="E225" i="48"/>
  <c r="D225" i="48"/>
  <c r="F225" i="48" a="1"/>
  <c r="F225" i="48" s="1"/>
  <c r="I225" i="48"/>
  <c r="C225" i="48"/>
  <c r="F41" i="48" a="1"/>
  <c r="F41" i="48" s="1"/>
  <c r="C41" i="48"/>
  <c r="D41" i="48"/>
  <c r="E41" i="48"/>
  <c r="F38" i="48" a="1"/>
  <c r="F38" i="48" s="1"/>
  <c r="D38" i="48"/>
  <c r="C38" i="48"/>
  <c r="E38" i="48"/>
  <c r="F91" i="48" a="1"/>
  <c r="F91" i="48" s="1"/>
  <c r="E91" i="48"/>
  <c r="C91" i="48"/>
  <c r="D91" i="48"/>
  <c r="C289" i="48"/>
  <c r="E289" i="48"/>
  <c r="D289" i="48"/>
  <c r="F289" i="48" a="1"/>
  <c r="F289" i="48" s="1"/>
  <c r="I289" i="48"/>
  <c r="K289" i="48" a="1"/>
  <c r="K289" i="48" s="1"/>
  <c r="F110" i="48" a="1"/>
  <c r="F110" i="48" s="1"/>
  <c r="C110" i="48"/>
  <c r="E110" i="48"/>
  <c r="D110" i="48"/>
  <c r="D146" i="48"/>
  <c r="E146" i="48"/>
  <c r="F146" i="48" a="1"/>
  <c r="F146" i="48" s="1"/>
  <c r="K146" i="48" a="1"/>
  <c r="K146" i="48" s="1"/>
  <c r="C146" i="48"/>
  <c r="I146" i="48"/>
  <c r="K310" i="48" a="1"/>
  <c r="K310" i="48" s="1"/>
  <c r="E310" i="48"/>
  <c r="C310" i="48"/>
  <c r="F310" i="48" a="1"/>
  <c r="F310" i="48" s="1"/>
  <c r="D310" i="48"/>
  <c r="I310" i="48"/>
  <c r="C207" i="48"/>
  <c r="F207" i="48" a="1"/>
  <c r="F207" i="48" s="1"/>
  <c r="D207" i="48"/>
  <c r="K207" i="48" a="1"/>
  <c r="K207" i="48" s="1"/>
  <c r="I207" i="48"/>
  <c r="E207" i="48"/>
  <c r="C88" i="48"/>
  <c r="E88" i="48"/>
  <c r="F88" i="48" a="1"/>
  <c r="F88" i="48" s="1"/>
  <c r="C30" i="48"/>
  <c r="D30" i="48"/>
  <c r="F30" i="48" a="1"/>
  <c r="F30" i="48" s="1"/>
  <c r="E30" i="48"/>
  <c r="E120" i="48"/>
  <c r="C120" i="48"/>
  <c r="F120" i="48" a="1"/>
  <c r="F120" i="48" s="1"/>
  <c r="K120" i="48" a="1"/>
  <c r="K120" i="48" s="1"/>
  <c r="E63" i="48"/>
  <c r="F63" i="48" a="1"/>
  <c r="F63" i="48" s="1"/>
  <c r="C63" i="48"/>
  <c r="D44" i="21"/>
  <c r="G44" i="21"/>
  <c r="E44" i="21"/>
  <c r="C44" i="21"/>
  <c r="B44" i="21"/>
  <c r="B19" i="21"/>
  <c r="D19" i="21"/>
  <c r="E19" i="21"/>
  <c r="C8" i="21"/>
  <c r="B8" i="21"/>
  <c r="E8" i="21"/>
  <c r="D8" i="21"/>
  <c r="G62" i="21"/>
  <c r="D62" i="21"/>
  <c r="C62" i="21"/>
  <c r="B62" i="21"/>
  <c r="E62" i="21"/>
  <c r="E15" i="21"/>
  <c r="C15" i="21"/>
  <c r="B15" i="21"/>
  <c r="D15" i="21"/>
  <c r="D35" i="21"/>
  <c r="B35" i="21"/>
  <c r="E35" i="21"/>
  <c r="C35" i="21"/>
  <c r="G35" i="21"/>
  <c r="B9" i="21"/>
  <c r="E9" i="21"/>
  <c r="D9" i="21"/>
  <c r="C9" i="21"/>
  <c r="E24" i="21"/>
  <c r="B24" i="21"/>
  <c r="D24" i="21"/>
  <c r="C24" i="21"/>
  <c r="D68" i="21"/>
  <c r="G68" i="21"/>
  <c r="B68" i="21"/>
  <c r="C68" i="21"/>
  <c r="E68" i="21"/>
  <c r="AA27" i="101"/>
  <c r="X27" i="101"/>
  <c r="Z27" i="101"/>
  <c r="Y27" i="101"/>
  <c r="AA5" i="101"/>
  <c r="Z5" i="101"/>
  <c r="Y5" i="101"/>
  <c r="X5" i="101"/>
  <c r="Y40" i="101"/>
  <c r="AA40" i="101"/>
  <c r="Z40" i="101"/>
  <c r="X40" i="101"/>
  <c r="AA48" i="101"/>
  <c r="Y48" i="101"/>
  <c r="X48" i="101"/>
  <c r="Z48" i="101"/>
  <c r="Y51" i="101"/>
  <c r="X51" i="101"/>
  <c r="Z51" i="101"/>
  <c r="AA51" i="101"/>
  <c r="B10" i="98"/>
  <c r="D10" i="98"/>
  <c r="C10" i="98"/>
  <c r="E66" i="98"/>
  <c r="D66" i="98"/>
  <c r="G66" i="98"/>
  <c r="C66" i="98"/>
  <c r="B66" i="98"/>
  <c r="E57" i="98"/>
  <c r="D57" i="98"/>
  <c r="C57" i="98"/>
  <c r="B57" i="98"/>
  <c r="G57" i="98"/>
  <c r="G67" i="98"/>
  <c r="E67" i="98"/>
  <c r="B67" i="98"/>
  <c r="C67" i="98"/>
  <c r="D67" i="98"/>
  <c r="B64" i="98"/>
  <c r="G64" i="98"/>
  <c r="C64" i="98"/>
  <c r="D64" i="98"/>
  <c r="E64" i="98"/>
  <c r="E20" i="37"/>
  <c r="C20" i="37"/>
  <c r="B20" i="37"/>
  <c r="G20" i="37"/>
  <c r="D20" i="37"/>
  <c r="E41" i="37"/>
  <c r="B41" i="37"/>
  <c r="G41" i="37"/>
  <c r="D41" i="37"/>
  <c r="C41" i="37"/>
  <c r="G19" i="37"/>
  <c r="D19" i="37"/>
  <c r="B19" i="37"/>
  <c r="C19" i="37"/>
  <c r="E19" i="37"/>
  <c r="D80" i="37"/>
  <c r="G80" i="37"/>
  <c r="C80" i="37"/>
  <c r="B80" i="37"/>
  <c r="E80" i="37"/>
  <c r="D35" i="37"/>
  <c r="C35" i="37"/>
  <c r="G35" i="37"/>
  <c r="B35" i="37"/>
  <c r="E35" i="37"/>
  <c r="B49" i="37"/>
  <c r="G49" i="37"/>
  <c r="E49" i="37"/>
  <c r="D49" i="37"/>
  <c r="C49" i="37"/>
  <c r="E54" i="37"/>
  <c r="G54" i="37"/>
  <c r="D54" i="37"/>
  <c r="C54" i="37"/>
  <c r="B54" i="37"/>
  <c r="D58" i="37"/>
  <c r="E58" i="37"/>
  <c r="C58" i="37"/>
  <c r="B58" i="37"/>
  <c r="G58" i="37"/>
  <c r="B34" i="30"/>
  <c r="E34" i="30"/>
  <c r="C34" i="30"/>
  <c r="G34" i="30"/>
  <c r="D34" i="30"/>
  <c r="E16" i="30"/>
  <c r="D16" i="30"/>
  <c r="G16" i="30"/>
  <c r="C16" i="30"/>
  <c r="B16" i="30"/>
  <c r="B29" i="30"/>
  <c r="C29" i="30"/>
  <c r="E29" i="30"/>
  <c r="G29" i="30"/>
  <c r="D29" i="30"/>
  <c r="B26" i="30"/>
  <c r="D26" i="30"/>
  <c r="G26" i="30"/>
  <c r="C26" i="30"/>
  <c r="E26" i="30"/>
  <c r="C68" i="30"/>
  <c r="D68" i="30"/>
  <c r="B68" i="30"/>
  <c r="G68" i="30"/>
  <c r="E68" i="30"/>
  <c r="E24" i="30"/>
  <c r="B24" i="30"/>
  <c r="G24" i="30"/>
  <c r="D24" i="30"/>
  <c r="C24" i="30"/>
  <c r="D71" i="35"/>
  <c r="C71" i="35"/>
  <c r="B71" i="35"/>
  <c r="G71" i="35"/>
  <c r="E71" i="35"/>
  <c r="D29" i="35"/>
  <c r="E29" i="35"/>
  <c r="B29" i="35"/>
  <c r="C29" i="35"/>
  <c r="G29" i="35"/>
  <c r="G26" i="17"/>
  <c r="B26" i="17"/>
  <c r="C26" i="17"/>
  <c r="E26" i="17"/>
  <c r="D26" i="17"/>
  <c r="B75" i="17"/>
  <c r="C75" i="17"/>
  <c r="D75" i="17"/>
  <c r="G75" i="17"/>
  <c r="E75" i="17"/>
  <c r="B51" i="17"/>
  <c r="C51" i="17"/>
  <c r="D51" i="17"/>
  <c r="E51" i="17"/>
  <c r="G51" i="17"/>
  <c r="C40" i="17"/>
  <c r="E40" i="17"/>
  <c r="B40" i="17"/>
  <c r="D40" i="17"/>
  <c r="G40" i="17"/>
  <c r="C19" i="17"/>
  <c r="B19" i="17"/>
  <c r="D19" i="17"/>
  <c r="G19" i="17"/>
  <c r="E19" i="17"/>
  <c r="G52" i="17"/>
  <c r="E52" i="17"/>
  <c r="C52" i="17"/>
  <c r="D52" i="17"/>
  <c r="B52" i="17"/>
  <c r="B44" i="17"/>
  <c r="E44" i="17"/>
  <c r="C44" i="17"/>
  <c r="G44" i="17"/>
  <c r="D44" i="17"/>
  <c r="C12" i="17"/>
  <c r="D12" i="17"/>
  <c r="E12" i="17"/>
  <c r="B12" i="17"/>
  <c r="G12" i="17"/>
  <c r="E76" i="13"/>
  <c r="D76" i="13"/>
  <c r="C76" i="13"/>
  <c r="G76" i="13"/>
  <c r="B76" i="13"/>
  <c r="E19" i="13"/>
  <c r="D19" i="13"/>
  <c r="C19" i="13"/>
  <c r="B19" i="13"/>
  <c r="D70" i="13"/>
  <c r="C70" i="13"/>
  <c r="G70" i="13"/>
  <c r="E70" i="13"/>
  <c r="B70" i="13"/>
  <c r="D39" i="13"/>
  <c r="G39" i="13"/>
  <c r="E39" i="13"/>
  <c r="B39" i="13"/>
  <c r="C39" i="13"/>
  <c r="D61" i="13"/>
  <c r="G61" i="13"/>
  <c r="B61" i="13"/>
  <c r="C61" i="13"/>
  <c r="E61" i="13"/>
  <c r="D46" i="13"/>
  <c r="B46" i="13"/>
  <c r="E46" i="13"/>
  <c r="C46" i="13"/>
  <c r="G46" i="13"/>
  <c r="E48" i="13"/>
  <c r="G48" i="13"/>
  <c r="D48" i="13"/>
  <c r="C48" i="13"/>
  <c r="B48" i="13"/>
  <c r="E66" i="36"/>
  <c r="G66" i="36"/>
  <c r="B66" i="36"/>
  <c r="C66" i="36"/>
  <c r="D66" i="36"/>
  <c r="B31" i="36"/>
  <c r="C31" i="36"/>
  <c r="E31" i="36"/>
  <c r="G31" i="36"/>
  <c r="D31" i="36"/>
  <c r="C85" i="36"/>
  <c r="E85" i="36"/>
  <c r="B85" i="36"/>
  <c r="G85" i="36"/>
  <c r="D85" i="36"/>
  <c r="E60" i="36"/>
  <c r="B60" i="36"/>
  <c r="G60" i="36"/>
  <c r="C60" i="36"/>
  <c r="D60" i="36"/>
  <c r="C47" i="36"/>
  <c r="E47" i="36"/>
  <c r="B47" i="36"/>
  <c r="G47" i="36"/>
  <c r="D47" i="36"/>
  <c r="C42" i="36"/>
  <c r="B42" i="36"/>
  <c r="G42" i="36"/>
  <c r="E42" i="36"/>
  <c r="D42" i="36"/>
  <c r="C78" i="36"/>
  <c r="D78" i="36"/>
  <c r="B78" i="36"/>
  <c r="E78" i="36"/>
  <c r="G78" i="36"/>
  <c r="G73" i="36"/>
  <c r="D73" i="36"/>
  <c r="C73" i="36"/>
  <c r="B73" i="36"/>
  <c r="E73" i="36"/>
  <c r="E61" i="36"/>
  <c r="D61" i="36"/>
  <c r="B61" i="36"/>
  <c r="G61" i="36"/>
  <c r="C61" i="36"/>
  <c r="C75" i="99"/>
  <c r="D75" i="99"/>
  <c r="E75" i="99"/>
  <c r="G75" i="99"/>
  <c r="B75" i="99"/>
  <c r="G41" i="99"/>
  <c r="C41" i="99"/>
  <c r="D41" i="99"/>
  <c r="E41" i="99"/>
  <c r="B41" i="99"/>
  <c r="B29" i="99"/>
  <c r="E29" i="99"/>
  <c r="C29" i="99"/>
  <c r="D29" i="99"/>
  <c r="G29" i="99"/>
  <c r="B38" i="99"/>
  <c r="C38" i="99"/>
  <c r="G38" i="99"/>
  <c r="E38" i="99"/>
  <c r="D38" i="99"/>
  <c r="E42" i="99"/>
  <c r="C42" i="99"/>
  <c r="D42" i="99"/>
  <c r="G42" i="99"/>
  <c r="B42" i="99"/>
  <c r="D32" i="99"/>
  <c r="B32" i="99"/>
  <c r="C32" i="99"/>
  <c r="G32" i="99"/>
  <c r="E32" i="99"/>
  <c r="C43" i="99"/>
  <c r="G43" i="99"/>
  <c r="E43" i="99"/>
  <c r="D43" i="99"/>
  <c r="B43" i="99"/>
  <c r="C14" i="99"/>
  <c r="E14" i="99"/>
  <c r="D14" i="99"/>
  <c r="B14" i="99"/>
  <c r="C45" i="20"/>
  <c r="G45" i="20"/>
  <c r="B45" i="20"/>
  <c r="D45" i="20"/>
  <c r="E45" i="20"/>
  <c r="C7" i="20"/>
  <c r="B7" i="20"/>
  <c r="G7" i="20"/>
  <c r="E7" i="20"/>
  <c r="D7" i="20"/>
  <c r="B55" i="20"/>
  <c r="C55" i="20"/>
  <c r="D55" i="20"/>
  <c r="G55" i="20"/>
  <c r="E55" i="20"/>
  <c r="D12" i="20"/>
  <c r="B12" i="20"/>
  <c r="C12" i="20"/>
  <c r="E12" i="20"/>
  <c r="G12" i="20"/>
  <c r="E15" i="97"/>
  <c r="C15" i="97"/>
  <c r="D15" i="97"/>
  <c r="B15" i="97"/>
  <c r="E61" i="97"/>
  <c r="D61" i="97"/>
  <c r="B61" i="97"/>
  <c r="G61" i="97"/>
  <c r="C61" i="97"/>
  <c r="B69" i="97"/>
  <c r="G69" i="97"/>
  <c r="E69" i="97"/>
  <c r="C69" i="97"/>
  <c r="D69" i="97"/>
  <c r="E66" i="97"/>
  <c r="D66" i="97"/>
  <c r="G66" i="97"/>
  <c r="C66" i="97"/>
  <c r="B66" i="97"/>
  <c r="G46" i="97"/>
  <c r="D46" i="97"/>
  <c r="E46" i="97"/>
  <c r="B46" i="97"/>
  <c r="C46" i="97"/>
  <c r="G83" i="97"/>
  <c r="E83" i="97"/>
  <c r="B83" i="97"/>
  <c r="D83" i="97"/>
  <c r="C83" i="97"/>
  <c r="D13" i="97"/>
  <c r="B13" i="97"/>
  <c r="E13" i="97"/>
  <c r="C13" i="97"/>
  <c r="B8" i="97"/>
  <c r="D8" i="97"/>
  <c r="E8" i="97"/>
  <c r="C76" i="97"/>
  <c r="B76" i="97"/>
  <c r="G76" i="97"/>
  <c r="E76" i="97"/>
  <c r="D76" i="97"/>
  <c r="D11" i="45"/>
  <c r="C11" i="45"/>
  <c r="E11" i="45"/>
  <c r="B11" i="45"/>
  <c r="B15" i="45"/>
  <c r="D15" i="45"/>
  <c r="E15" i="45"/>
  <c r="C58" i="45"/>
  <c r="G58" i="45"/>
  <c r="D58" i="45"/>
  <c r="E58" i="45"/>
  <c r="B58" i="45"/>
  <c r="G27" i="45"/>
  <c r="E27" i="45"/>
  <c r="C27" i="45"/>
  <c r="B27" i="45"/>
  <c r="D27" i="45"/>
  <c r="G11" i="16"/>
  <c r="E11" i="16"/>
  <c r="B11" i="16"/>
  <c r="D11" i="16"/>
  <c r="C11" i="16"/>
  <c r="C9" i="16"/>
  <c r="D9" i="16"/>
  <c r="G9" i="16"/>
  <c r="E9" i="16"/>
  <c r="B9" i="16"/>
  <c r="E62" i="16"/>
  <c r="D62" i="16"/>
  <c r="B62" i="16"/>
  <c r="G62" i="16"/>
  <c r="C62" i="16"/>
  <c r="E17" i="16"/>
  <c r="C17" i="16"/>
  <c r="G17" i="16"/>
  <c r="B17" i="16"/>
  <c r="D17" i="16"/>
  <c r="D7" i="16"/>
  <c r="E7" i="16"/>
  <c r="B7" i="16"/>
  <c r="D48" i="16"/>
  <c r="B48" i="16"/>
  <c r="E48" i="16"/>
  <c r="C48" i="16"/>
  <c r="G48" i="16"/>
  <c r="B80" i="16"/>
  <c r="C80" i="16"/>
  <c r="D80" i="16"/>
  <c r="E80" i="16"/>
  <c r="G80" i="16"/>
  <c r="E79" i="40"/>
  <c r="D79" i="40"/>
  <c r="C79" i="40"/>
  <c r="G79" i="40"/>
  <c r="B79" i="40"/>
  <c r="C45" i="40"/>
  <c r="E45" i="40"/>
  <c r="D45" i="40"/>
  <c r="B45" i="40"/>
  <c r="G45" i="40"/>
  <c r="E49" i="40"/>
  <c r="C49" i="40"/>
  <c r="D49" i="40"/>
  <c r="G49" i="40"/>
  <c r="B49" i="40"/>
  <c r="G72" i="40"/>
  <c r="D72" i="40"/>
  <c r="B72" i="40"/>
  <c r="C72" i="40"/>
  <c r="E72" i="40"/>
  <c r="G52" i="40"/>
  <c r="B52" i="40"/>
  <c r="D52" i="40"/>
  <c r="C52" i="40"/>
  <c r="E52" i="40"/>
  <c r="E77" i="40"/>
  <c r="C77" i="40"/>
  <c r="D77" i="40"/>
  <c r="G77" i="40"/>
  <c r="B77" i="40"/>
  <c r="D37" i="44"/>
  <c r="B37" i="44"/>
  <c r="C37" i="44"/>
  <c r="G37" i="44"/>
  <c r="E37" i="44"/>
  <c r="E52" i="44"/>
  <c r="G52" i="44"/>
  <c r="B52" i="44"/>
  <c r="D52" i="44"/>
  <c r="C52" i="44"/>
  <c r="D32" i="44"/>
  <c r="C32" i="44"/>
  <c r="B32" i="44"/>
  <c r="G32" i="44"/>
  <c r="E32" i="44"/>
  <c r="G18" i="44"/>
  <c r="E18" i="44"/>
  <c r="D18" i="44"/>
  <c r="B18" i="44"/>
  <c r="C18" i="44"/>
  <c r="D62" i="44"/>
  <c r="C62" i="44"/>
  <c r="B62" i="44"/>
  <c r="G62" i="44"/>
  <c r="E62" i="44"/>
  <c r="G27" i="44"/>
  <c r="E27" i="44"/>
  <c r="D27" i="44"/>
  <c r="C27" i="44"/>
  <c r="B27" i="44"/>
  <c r="B42" i="44"/>
  <c r="G42" i="44"/>
  <c r="E42" i="44"/>
  <c r="D42" i="44"/>
  <c r="C42" i="44"/>
  <c r="C53" i="44"/>
  <c r="G53" i="44"/>
  <c r="B53" i="44"/>
  <c r="D53" i="44"/>
  <c r="E53" i="44"/>
  <c r="D12" i="26"/>
  <c r="C12" i="26"/>
  <c r="E12" i="26"/>
  <c r="G12" i="26"/>
  <c r="B12" i="26"/>
  <c r="D31" i="26"/>
  <c r="B31" i="26"/>
  <c r="C31" i="26"/>
  <c r="E31" i="26"/>
  <c r="G31" i="26"/>
  <c r="D33" i="26"/>
  <c r="E33" i="26"/>
  <c r="C33" i="26"/>
  <c r="G33" i="26"/>
  <c r="B33" i="26"/>
  <c r="C21" i="26"/>
  <c r="D21" i="26"/>
  <c r="B21" i="26"/>
  <c r="G21" i="26"/>
  <c r="E21" i="26"/>
  <c r="C43" i="26"/>
  <c r="B43" i="26"/>
  <c r="G43" i="26"/>
  <c r="D43" i="26"/>
  <c r="E43" i="26"/>
  <c r="D84" i="26"/>
  <c r="C84" i="26"/>
  <c r="B84" i="26"/>
  <c r="E84" i="26"/>
  <c r="G84" i="26"/>
  <c r="G73" i="26"/>
  <c r="C73" i="26"/>
  <c r="D73" i="26"/>
  <c r="E73" i="26"/>
  <c r="B73" i="26"/>
  <c r="C22" i="26"/>
  <c r="D22" i="26"/>
  <c r="B22" i="26"/>
  <c r="G22" i="26"/>
  <c r="E22" i="26"/>
  <c r="E13" i="26"/>
  <c r="B13" i="26"/>
  <c r="D13" i="26"/>
  <c r="C13" i="26"/>
  <c r="G13" i="26"/>
  <c r="C8" i="26"/>
  <c r="G8" i="26"/>
  <c r="D8" i="26"/>
  <c r="E8" i="26"/>
  <c r="B8" i="26"/>
  <c r="G9" i="26"/>
  <c r="B9" i="26"/>
  <c r="D9" i="26"/>
  <c r="E9" i="26"/>
  <c r="C9" i="26"/>
  <c r="F70" i="48" a="1"/>
  <c r="F70" i="48" s="1"/>
  <c r="E70" i="48"/>
  <c r="D70" i="48"/>
  <c r="C70" i="48"/>
  <c r="C172" i="48"/>
  <c r="D172" i="48"/>
  <c r="F172" i="48" a="1"/>
  <c r="F172" i="48" s="1"/>
  <c r="K172" i="48" a="1"/>
  <c r="K172" i="48" s="1"/>
  <c r="I172" i="48"/>
  <c r="E172" i="48"/>
  <c r="C168" i="48"/>
  <c r="D168" i="48"/>
  <c r="K168" i="48" a="1"/>
  <c r="K168" i="48" s="1"/>
  <c r="F168" i="48" a="1"/>
  <c r="F168" i="48" s="1"/>
  <c r="E168" i="48"/>
  <c r="I168" i="48"/>
  <c r="K144" i="48" a="1"/>
  <c r="K144" i="48" s="1"/>
  <c r="C144" i="48"/>
  <c r="I144" i="48"/>
  <c r="D144" i="48"/>
  <c r="E144" i="48"/>
  <c r="F144" i="48" a="1"/>
  <c r="F144" i="48" s="1"/>
  <c r="E198" i="48"/>
  <c r="K198" i="48" a="1"/>
  <c r="K198" i="48" s="1"/>
  <c r="D198" i="48"/>
  <c r="F198" i="48" a="1"/>
  <c r="F198" i="48" s="1"/>
  <c r="C198" i="48"/>
  <c r="I198" i="48"/>
  <c r="D319" i="48"/>
  <c r="K319" i="48" a="1"/>
  <c r="K319" i="48" s="1"/>
  <c r="E319" i="48"/>
  <c r="F319" i="48" a="1"/>
  <c r="F319" i="48" s="1"/>
  <c r="C319" i="48"/>
  <c r="I319" i="48"/>
  <c r="I322" i="48"/>
  <c r="F322" i="48" a="1"/>
  <c r="F322" i="48" s="1"/>
  <c r="K322" i="48" a="1"/>
  <c r="K322" i="48" s="1"/>
  <c r="E322" i="48"/>
  <c r="C322" i="48"/>
  <c r="D322" i="48"/>
  <c r="K347" i="48" a="1"/>
  <c r="K347" i="48" s="1"/>
  <c r="I347" i="48"/>
  <c r="F347" i="48" a="1"/>
  <c r="F347" i="48" s="1"/>
  <c r="C347" i="48"/>
  <c r="E347" i="48"/>
  <c r="D347" i="48"/>
  <c r="F325" i="48" a="1"/>
  <c r="F325" i="48" s="1"/>
  <c r="K325" i="48" a="1"/>
  <c r="K325" i="48" s="1"/>
  <c r="E325" i="48"/>
  <c r="C325" i="48"/>
  <c r="D325" i="48"/>
  <c r="I325" i="48"/>
  <c r="E140" i="48"/>
  <c r="C140" i="48"/>
  <c r="K140" i="48" a="1"/>
  <c r="K140" i="48" s="1"/>
  <c r="F140" i="48" a="1"/>
  <c r="F140" i="48" s="1"/>
  <c r="I140" i="48"/>
  <c r="D140" i="48"/>
  <c r="E346" i="48"/>
  <c r="I346" i="48"/>
  <c r="C346" i="48"/>
  <c r="D346" i="48"/>
  <c r="F346" i="48" a="1"/>
  <c r="F346" i="48" s="1"/>
  <c r="K346" i="48" a="1"/>
  <c r="K346" i="48" s="1"/>
  <c r="D335" i="48"/>
  <c r="C335" i="48"/>
  <c r="K335" i="48" a="1"/>
  <c r="K335" i="48" s="1"/>
  <c r="E335" i="48"/>
  <c r="F335" i="48" a="1"/>
  <c r="F335" i="48" s="1"/>
  <c r="I335" i="48"/>
  <c r="I167" i="48"/>
  <c r="F167" i="48" a="1"/>
  <c r="F167" i="48" s="1"/>
  <c r="E167" i="48"/>
  <c r="D167" i="48"/>
  <c r="C167" i="48"/>
  <c r="K167" i="48" a="1"/>
  <c r="K167" i="48" s="1"/>
  <c r="F147" i="48" a="1"/>
  <c r="F147" i="48" s="1"/>
  <c r="D147" i="48"/>
  <c r="K147" i="48" a="1"/>
  <c r="K147" i="48" s="1"/>
  <c r="I147" i="48"/>
  <c r="C147" i="48"/>
  <c r="E147" i="48"/>
  <c r="I138" i="48"/>
  <c r="K138" i="48" a="1"/>
  <c r="K138" i="48" s="1"/>
  <c r="F138" i="48" a="1"/>
  <c r="F138" i="48" s="1"/>
  <c r="E138" i="48"/>
  <c r="C138" i="48"/>
  <c r="D138" i="48"/>
  <c r="F201" i="48" a="1"/>
  <c r="F201" i="48" s="1"/>
  <c r="E201" i="48"/>
  <c r="I201" i="48"/>
  <c r="D201" i="48"/>
  <c r="C201" i="48"/>
  <c r="K201" i="48" a="1"/>
  <c r="K201" i="48" s="1"/>
  <c r="K352" i="48" a="1"/>
  <c r="K352" i="48" s="1"/>
  <c r="D352" i="48"/>
  <c r="I352" i="48"/>
  <c r="E352" i="48"/>
  <c r="F352" i="48" a="1"/>
  <c r="F352" i="48" s="1"/>
  <c r="C352" i="48"/>
  <c r="F45" i="48" a="1"/>
  <c r="F45" i="48" s="1"/>
  <c r="E45" i="48"/>
  <c r="C45" i="48"/>
  <c r="E17" i="48"/>
  <c r="C17" i="48"/>
  <c r="F17" i="48" a="1"/>
  <c r="F17" i="48" s="1"/>
  <c r="K113" i="48" a="1"/>
  <c r="K113" i="48" s="1"/>
  <c r="C113" i="48"/>
  <c r="E113" i="48"/>
  <c r="F113" i="48" a="1"/>
  <c r="F113" i="48" s="1"/>
  <c r="D119" i="48"/>
  <c r="F119" i="48" a="1"/>
  <c r="F119" i="48" s="1"/>
  <c r="C119" i="48"/>
  <c r="E119" i="48"/>
  <c r="K114" i="48" a="1"/>
  <c r="K114" i="48" s="1"/>
  <c r="E114" i="48"/>
  <c r="C114" i="48"/>
  <c r="F114" i="48" a="1"/>
  <c r="F114" i="48" s="1"/>
  <c r="C74" i="48"/>
  <c r="E74" i="48"/>
  <c r="F74" i="48" a="1"/>
  <c r="F74" i="48" s="1"/>
  <c r="D74" i="48"/>
  <c r="C164" i="48"/>
  <c r="I164" i="48"/>
  <c r="E164" i="48"/>
  <c r="D164" i="48"/>
  <c r="F164" i="48" a="1"/>
  <c r="F164" i="48" s="1"/>
  <c r="K164" i="48" a="1"/>
  <c r="K164" i="48" s="1"/>
  <c r="K354" i="48" a="1"/>
  <c r="K354" i="48" s="1"/>
  <c r="F354" i="48" a="1"/>
  <c r="F354" i="48" s="1"/>
  <c r="I354" i="48"/>
  <c r="D354" i="48"/>
  <c r="C354" i="48"/>
  <c r="E354" i="48"/>
  <c r="F89" i="48" a="1"/>
  <c r="F89" i="48" s="1"/>
  <c r="E89" i="48"/>
  <c r="D89" i="48"/>
  <c r="C89" i="48"/>
  <c r="C228" i="48"/>
  <c r="D228" i="48"/>
  <c r="F228" i="48" a="1"/>
  <c r="F228" i="48" s="1"/>
  <c r="K228" i="48" a="1"/>
  <c r="K228" i="48" s="1"/>
  <c r="I228" i="48"/>
  <c r="E228" i="48"/>
  <c r="I141" i="48"/>
  <c r="D141" i="48"/>
  <c r="F141" i="48" a="1"/>
  <c r="F141" i="48" s="1"/>
  <c r="C141" i="48"/>
  <c r="K141" i="48" a="1"/>
  <c r="K141" i="48" s="1"/>
  <c r="E141" i="48"/>
  <c r="F152" i="48" a="1"/>
  <c r="F152" i="48" s="1"/>
  <c r="D152" i="48"/>
  <c r="C152" i="48"/>
  <c r="K152" i="48" a="1"/>
  <c r="K152" i="48" s="1"/>
  <c r="I152" i="48"/>
  <c r="E152" i="48"/>
  <c r="E303" i="48"/>
  <c r="K303" i="48" a="1"/>
  <c r="K303" i="48" s="1"/>
  <c r="C303" i="48"/>
  <c r="I303" i="48"/>
  <c r="D303" i="48"/>
  <c r="F303" i="48" a="1"/>
  <c r="F303" i="48" s="1"/>
  <c r="F116" i="48" a="1"/>
  <c r="F116" i="48" s="1"/>
  <c r="E116" i="48"/>
  <c r="C116" i="48"/>
  <c r="K116" i="48" a="1"/>
  <c r="K116" i="48" s="1"/>
  <c r="I162" i="48"/>
  <c r="C162" i="48"/>
  <c r="K162" i="48" a="1"/>
  <c r="K162" i="48" s="1"/>
  <c r="E162" i="48"/>
  <c r="F162" i="48" a="1"/>
  <c r="F162" i="48" s="1"/>
  <c r="D162" i="48"/>
  <c r="E177" i="48"/>
  <c r="F177" i="48" a="1"/>
  <c r="F177" i="48" s="1"/>
  <c r="K177" i="48" a="1"/>
  <c r="K177" i="48" s="1"/>
  <c r="I177" i="48"/>
  <c r="C177" i="48"/>
  <c r="D177" i="48"/>
  <c r="C238" i="48"/>
  <c r="D238" i="48"/>
  <c r="F238" i="48" a="1"/>
  <c r="F238" i="48" s="1"/>
  <c r="E238" i="48"/>
  <c r="K238" i="48" a="1"/>
  <c r="K238" i="48" s="1"/>
  <c r="I238" i="48"/>
  <c r="C196" i="48"/>
  <c r="F196" i="48" a="1"/>
  <c r="F196" i="48" s="1"/>
  <c r="D196" i="48"/>
  <c r="E196" i="48"/>
  <c r="I196" i="48"/>
  <c r="K196" i="48" a="1"/>
  <c r="K196" i="48" s="1"/>
  <c r="F36" i="48" a="1"/>
  <c r="F36" i="48" s="1"/>
  <c r="E36" i="48"/>
  <c r="C36" i="48"/>
  <c r="F12" i="48" a="1"/>
  <c r="F12" i="48" s="1"/>
  <c r="D12" i="48"/>
  <c r="C12" i="48"/>
  <c r="E12" i="48"/>
  <c r="E194" i="48"/>
  <c r="K194" i="48" a="1"/>
  <c r="K194" i="48" s="1"/>
  <c r="F194" i="48" a="1"/>
  <c r="F194" i="48" s="1"/>
  <c r="C194" i="48"/>
  <c r="I194" i="48"/>
  <c r="D194" i="48"/>
  <c r="E29" i="21"/>
  <c r="D29" i="21"/>
  <c r="C29" i="21"/>
  <c r="G29" i="21"/>
  <c r="B29" i="21"/>
  <c r="D76" i="21"/>
  <c r="E76" i="21"/>
  <c r="G76" i="21"/>
  <c r="C76" i="21"/>
  <c r="B76" i="21"/>
  <c r="D65" i="21"/>
  <c r="E65" i="21"/>
  <c r="B65" i="21"/>
  <c r="C65" i="21"/>
  <c r="G65" i="21"/>
  <c r="C57" i="21"/>
  <c r="D57" i="21"/>
  <c r="G57" i="21"/>
  <c r="B57" i="21"/>
  <c r="E57" i="21"/>
  <c r="D13" i="21"/>
  <c r="C13" i="21"/>
  <c r="B13" i="21"/>
  <c r="E13" i="21"/>
  <c r="B23" i="21"/>
  <c r="D23" i="21"/>
  <c r="E23" i="21"/>
  <c r="C23" i="21"/>
  <c r="Z12" i="101"/>
  <c r="X12" i="101"/>
  <c r="Y12" i="101"/>
  <c r="AA12" i="101"/>
  <c r="X19" i="101"/>
  <c r="Z19" i="101"/>
  <c r="AA19" i="101"/>
  <c r="Y19" i="101"/>
  <c r="Y30" i="101"/>
  <c r="X30" i="101"/>
  <c r="Z30" i="101"/>
  <c r="AA30" i="101"/>
  <c r="Y23" i="101"/>
  <c r="AA23" i="101"/>
  <c r="X23" i="101"/>
  <c r="Z23" i="101"/>
  <c r="Y45" i="101"/>
  <c r="Z45" i="101"/>
  <c r="X45" i="101"/>
  <c r="AA45" i="101"/>
  <c r="B32" i="98"/>
  <c r="C32" i="98"/>
  <c r="E32" i="98"/>
  <c r="G32" i="98"/>
  <c r="D32" i="98"/>
  <c r="C77" i="98"/>
  <c r="E77" i="98"/>
  <c r="B77" i="98"/>
  <c r="D77" i="98"/>
  <c r="G77" i="98"/>
  <c r="C85" i="98"/>
  <c r="G85" i="98"/>
  <c r="B85" i="98"/>
  <c r="D85" i="98"/>
  <c r="E85" i="98"/>
  <c r="D31" i="98"/>
  <c r="C31" i="98"/>
  <c r="G31" i="98"/>
  <c r="B31" i="98"/>
  <c r="E31" i="98"/>
  <c r="D45" i="98"/>
  <c r="E45" i="98"/>
  <c r="G45" i="98"/>
  <c r="B45" i="98"/>
  <c r="C45" i="98"/>
  <c r="B32" i="37"/>
  <c r="G32" i="37"/>
  <c r="C32" i="37"/>
  <c r="E32" i="37"/>
  <c r="D32" i="37"/>
  <c r="E8" i="37"/>
  <c r="A3" i="37"/>
  <c r="E6" i="37"/>
  <c r="D6" i="37"/>
  <c r="C6" i="37"/>
  <c r="B6" i="37"/>
  <c r="B83" i="37"/>
  <c r="C83" i="37"/>
  <c r="E83" i="37"/>
  <c r="D83" i="37"/>
  <c r="G83" i="37"/>
  <c r="E11" i="37"/>
  <c r="C11" i="37"/>
  <c r="B11" i="37"/>
  <c r="G11" i="37"/>
  <c r="D11" i="37"/>
  <c r="C39" i="37"/>
  <c r="E39" i="37"/>
  <c r="D39" i="37"/>
  <c r="B39" i="37"/>
  <c r="G39" i="37"/>
  <c r="C61" i="37"/>
  <c r="B61" i="37"/>
  <c r="E61" i="37"/>
  <c r="G61" i="37"/>
  <c r="D61" i="37"/>
  <c r="D67" i="30"/>
  <c r="G67" i="30"/>
  <c r="C67" i="30"/>
  <c r="E67" i="30"/>
  <c r="B67" i="30"/>
  <c r="B60" i="30"/>
  <c r="C60" i="30"/>
  <c r="E60" i="30"/>
  <c r="D60" i="30"/>
  <c r="G60" i="30"/>
  <c r="B35" i="30"/>
  <c r="E35" i="30"/>
  <c r="C35" i="30"/>
  <c r="G35" i="30"/>
  <c r="D35" i="30"/>
  <c r="G58" i="30"/>
  <c r="B58" i="30"/>
  <c r="C58" i="30"/>
  <c r="D58" i="30"/>
  <c r="E58" i="30"/>
  <c r="E59" i="30"/>
  <c r="B59" i="30"/>
  <c r="C59" i="30"/>
  <c r="G59" i="30"/>
  <c r="D59" i="30"/>
  <c r="G57" i="30"/>
  <c r="E57" i="30"/>
  <c r="D57" i="30"/>
  <c r="B57" i="30"/>
  <c r="C57" i="30"/>
  <c r="E46" i="30"/>
  <c r="B46" i="30"/>
  <c r="G46" i="30"/>
  <c r="C46" i="30"/>
  <c r="D46" i="30"/>
  <c r="E52" i="30"/>
  <c r="D52" i="30"/>
  <c r="G52" i="30"/>
  <c r="B52" i="30"/>
  <c r="C52" i="30"/>
  <c r="E36" i="35"/>
  <c r="D36" i="35"/>
  <c r="C36" i="35"/>
  <c r="B36" i="35"/>
  <c r="G36" i="35"/>
  <c r="E7" i="17"/>
  <c r="C7" i="17"/>
  <c r="B7" i="17"/>
  <c r="G7" i="17"/>
  <c r="D7" i="17"/>
  <c r="C78" i="17"/>
  <c r="G78" i="17"/>
  <c r="B78" i="17"/>
  <c r="D78" i="17"/>
  <c r="E78" i="17"/>
  <c r="D83" i="17"/>
  <c r="E83" i="17"/>
  <c r="B83" i="17"/>
  <c r="G83" i="17"/>
  <c r="C83" i="17"/>
  <c r="D69" i="17"/>
  <c r="C69" i="17"/>
  <c r="G69" i="17"/>
  <c r="E69" i="17"/>
  <c r="B69" i="17"/>
  <c r="G29" i="17"/>
  <c r="B29" i="17"/>
  <c r="D29" i="17"/>
  <c r="C29" i="17"/>
  <c r="E29" i="17"/>
  <c r="G9" i="17"/>
  <c r="E9" i="17"/>
  <c r="D9" i="17"/>
  <c r="C9" i="17"/>
  <c r="B9" i="17"/>
  <c r="D18" i="13"/>
  <c r="C18" i="13"/>
  <c r="B18" i="13"/>
  <c r="E18" i="13"/>
  <c r="B31" i="13"/>
  <c r="D31" i="13"/>
  <c r="C31" i="13"/>
  <c r="E31" i="13"/>
  <c r="C79" i="13"/>
  <c r="D79" i="13"/>
  <c r="E79" i="13"/>
  <c r="G79" i="13"/>
  <c r="B79" i="13"/>
  <c r="C65" i="13"/>
  <c r="E65" i="13"/>
  <c r="B65" i="13"/>
  <c r="G65" i="13"/>
  <c r="D65" i="13"/>
  <c r="B16" i="13"/>
  <c r="D16" i="13"/>
  <c r="C16" i="13"/>
  <c r="E16" i="13"/>
  <c r="E77" i="13"/>
  <c r="D77" i="13"/>
  <c r="C77" i="13"/>
  <c r="B77" i="13"/>
  <c r="G77" i="13"/>
  <c r="G50" i="13"/>
  <c r="B50" i="13"/>
  <c r="D50" i="13"/>
  <c r="E50" i="13"/>
  <c r="C50" i="13"/>
  <c r="B79" i="36"/>
  <c r="G79" i="36"/>
  <c r="C79" i="36"/>
  <c r="D79" i="36"/>
  <c r="E79" i="36"/>
  <c r="B36" i="36"/>
  <c r="E36" i="36"/>
  <c r="D36" i="36"/>
  <c r="C36" i="36"/>
  <c r="G36" i="36"/>
  <c r="B35" i="36"/>
  <c r="G35" i="36"/>
  <c r="D35" i="36"/>
  <c r="C35" i="36"/>
  <c r="E35" i="36"/>
  <c r="B13" i="36"/>
  <c r="D13" i="36"/>
  <c r="E13" i="36"/>
  <c r="C13" i="36"/>
  <c r="B7" i="36"/>
  <c r="C7" i="36"/>
  <c r="D7" i="36"/>
  <c r="E7" i="36"/>
  <c r="D76" i="36"/>
  <c r="B76" i="36"/>
  <c r="G76" i="36"/>
  <c r="E76" i="36"/>
  <c r="C76" i="36"/>
  <c r="C44" i="36"/>
  <c r="G44" i="36"/>
  <c r="E44" i="36"/>
  <c r="D44" i="36"/>
  <c r="B44" i="36"/>
  <c r="B33" i="36"/>
  <c r="D33" i="36"/>
  <c r="E33" i="36"/>
  <c r="C33" i="36"/>
  <c r="G33" i="36"/>
  <c r="G65" i="36"/>
  <c r="D65" i="36"/>
  <c r="E65" i="36"/>
  <c r="B65" i="36"/>
  <c r="C65" i="36"/>
  <c r="B19" i="99"/>
  <c r="D19" i="99"/>
  <c r="C19" i="99"/>
  <c r="C54" i="99"/>
  <c r="E54" i="99"/>
  <c r="D54" i="99"/>
  <c r="B54" i="99"/>
  <c r="G54" i="99"/>
  <c r="E6" i="99"/>
  <c r="D6" i="99"/>
  <c r="B6" i="99"/>
  <c r="C6" i="99"/>
  <c r="B78" i="99"/>
  <c r="E78" i="99"/>
  <c r="D78" i="99"/>
  <c r="G78" i="99"/>
  <c r="C78" i="99"/>
  <c r="E39" i="99"/>
  <c r="G39" i="99"/>
  <c r="B39" i="99"/>
  <c r="D39" i="99"/>
  <c r="C39" i="99"/>
  <c r="C56" i="20"/>
  <c r="B56" i="20"/>
  <c r="D56" i="20"/>
  <c r="G56" i="20"/>
  <c r="E56" i="20"/>
  <c r="C28" i="20"/>
  <c r="B28" i="20"/>
  <c r="E28" i="20"/>
  <c r="G28" i="20"/>
  <c r="D28" i="20"/>
  <c r="B53" i="20"/>
  <c r="D53" i="20"/>
  <c r="E53" i="20"/>
  <c r="G53" i="20"/>
  <c r="C53" i="20"/>
  <c r="C84" i="20"/>
  <c r="E84" i="20"/>
  <c r="B84" i="20"/>
  <c r="D84" i="20"/>
  <c r="G84" i="20"/>
  <c r="D41" i="20"/>
  <c r="G41" i="20"/>
  <c r="B41" i="20"/>
  <c r="E41" i="20"/>
  <c r="C41" i="20"/>
  <c r="D33" i="20"/>
  <c r="C33" i="20"/>
  <c r="B33" i="20"/>
  <c r="G33" i="20"/>
  <c r="E33" i="20"/>
  <c r="E26" i="97"/>
  <c r="B26" i="97"/>
  <c r="D26" i="97"/>
  <c r="G26" i="97"/>
  <c r="C26" i="97"/>
  <c r="B43" i="97"/>
  <c r="E43" i="97"/>
  <c r="G43" i="97"/>
  <c r="C43" i="97"/>
  <c r="D43" i="97"/>
  <c r="G63" i="97"/>
  <c r="E63" i="97"/>
  <c r="D63" i="97"/>
  <c r="C63" i="97"/>
  <c r="B63" i="97"/>
  <c r="D80" i="97"/>
  <c r="B80" i="97"/>
  <c r="G80" i="97"/>
  <c r="E80" i="97"/>
  <c r="C80" i="97"/>
  <c r="B67" i="97"/>
  <c r="E67" i="97"/>
  <c r="C67" i="97"/>
  <c r="D67" i="97"/>
  <c r="G67" i="97"/>
  <c r="B9" i="97"/>
  <c r="C9" i="97"/>
  <c r="E9" i="97"/>
  <c r="D9" i="97"/>
  <c r="B21" i="97"/>
  <c r="D21" i="97"/>
  <c r="E21" i="97"/>
  <c r="C21" i="97"/>
  <c r="E61" i="45"/>
  <c r="C61" i="45"/>
  <c r="G61" i="45"/>
  <c r="D61" i="45"/>
  <c r="B61" i="45"/>
  <c r="E30" i="45"/>
  <c r="C30" i="45"/>
  <c r="D30" i="45"/>
  <c r="G30" i="45"/>
  <c r="B30" i="45"/>
  <c r="D45" i="45"/>
  <c r="B45" i="45"/>
  <c r="E45" i="45"/>
  <c r="C45" i="45"/>
  <c r="G45" i="45"/>
  <c r="B46" i="45"/>
  <c r="E46" i="45"/>
  <c r="G46" i="45"/>
  <c r="D46" i="45"/>
  <c r="C46" i="45"/>
  <c r="B74" i="45"/>
  <c r="D74" i="45"/>
  <c r="C74" i="45"/>
  <c r="E74" i="45"/>
  <c r="G74" i="45"/>
  <c r="C55" i="45"/>
  <c r="E55" i="45"/>
  <c r="D55" i="45"/>
  <c r="B55" i="45"/>
  <c r="G55" i="45"/>
  <c r="C24" i="45"/>
  <c r="E24" i="45"/>
  <c r="B24" i="45"/>
  <c r="D24" i="45"/>
  <c r="G24" i="45"/>
  <c r="E52" i="16"/>
  <c r="C52" i="16"/>
  <c r="G52" i="16"/>
  <c r="D52" i="16"/>
  <c r="B52" i="16"/>
  <c r="E16" i="16"/>
  <c r="D16" i="16"/>
  <c r="C16" i="16"/>
  <c r="B16" i="16"/>
  <c r="G16" i="16"/>
  <c r="C59" i="16"/>
  <c r="D59" i="16"/>
  <c r="E59" i="16"/>
  <c r="B59" i="16"/>
  <c r="G59" i="16"/>
  <c r="G61" i="16"/>
  <c r="D61" i="16"/>
  <c r="C61" i="16"/>
  <c r="B61" i="16"/>
  <c r="E61" i="16"/>
  <c r="G76" i="16"/>
  <c r="E76" i="16"/>
  <c r="C76" i="16"/>
  <c r="B76" i="16"/>
  <c r="D76" i="16"/>
  <c r="D64" i="16"/>
  <c r="G64" i="16"/>
  <c r="C64" i="16"/>
  <c r="B64" i="16"/>
  <c r="E64" i="16"/>
  <c r="C13" i="16"/>
  <c r="B13" i="16"/>
  <c r="D13" i="16"/>
  <c r="E13" i="16"/>
  <c r="G13" i="16"/>
  <c r="G73" i="16"/>
  <c r="C73" i="16"/>
  <c r="B73" i="16"/>
  <c r="E73" i="16"/>
  <c r="D73" i="16"/>
  <c r="E19" i="16"/>
  <c r="G19" i="16"/>
  <c r="C19" i="16"/>
  <c r="D19" i="16"/>
  <c r="B19" i="16"/>
  <c r="D69" i="16"/>
  <c r="E69" i="16"/>
  <c r="G69" i="16"/>
  <c r="C69" i="16"/>
  <c r="B69" i="16"/>
  <c r="B20" i="40"/>
  <c r="C20" i="40"/>
  <c r="D20" i="40"/>
  <c r="E20" i="40"/>
  <c r="B15" i="40"/>
  <c r="D15" i="40"/>
  <c r="C15" i="40"/>
  <c r="E15" i="40"/>
  <c r="E56" i="40"/>
  <c r="B56" i="40"/>
  <c r="C56" i="40"/>
  <c r="D56" i="40"/>
  <c r="G56" i="40"/>
  <c r="G74" i="40"/>
  <c r="C74" i="40"/>
  <c r="D74" i="40"/>
  <c r="B74" i="40"/>
  <c r="E74" i="40"/>
  <c r="G34" i="40"/>
  <c r="C34" i="40"/>
  <c r="B34" i="40"/>
  <c r="E34" i="40"/>
  <c r="D34" i="40"/>
  <c r="B39" i="40"/>
  <c r="G39" i="40"/>
  <c r="C39" i="40"/>
  <c r="E39" i="40"/>
  <c r="D39" i="40"/>
  <c r="D51" i="40"/>
  <c r="B51" i="40"/>
  <c r="C51" i="40"/>
  <c r="G51" i="40"/>
  <c r="E51" i="40"/>
  <c r="C68" i="40"/>
  <c r="G68" i="40"/>
  <c r="E68" i="40"/>
  <c r="D68" i="40"/>
  <c r="B68" i="40"/>
  <c r="B21" i="40"/>
  <c r="C21" i="40"/>
  <c r="E21" i="40"/>
  <c r="D21" i="40"/>
  <c r="I5" i="91"/>
  <c r="D27" i="29" s="1"/>
  <c r="D57" i="44"/>
  <c r="B57" i="44"/>
  <c r="E57" i="44"/>
  <c r="G57" i="44"/>
  <c r="C57" i="44"/>
  <c r="G13" i="44"/>
  <c r="E13" i="44"/>
  <c r="C13" i="44"/>
  <c r="B13" i="44"/>
  <c r="D13" i="44"/>
  <c r="E23" i="44"/>
  <c r="C23" i="44"/>
  <c r="D23" i="44"/>
  <c r="B23" i="44"/>
  <c r="G23" i="44"/>
  <c r="E38" i="44"/>
  <c r="C38" i="44"/>
  <c r="D38" i="44"/>
  <c r="G38" i="44"/>
  <c r="B38" i="44"/>
  <c r="C33" i="44"/>
  <c r="G33" i="44"/>
  <c r="B33" i="44"/>
  <c r="D33" i="44"/>
  <c r="E33" i="44"/>
  <c r="B68" i="44"/>
  <c r="C68" i="44"/>
  <c r="G68" i="44"/>
  <c r="D68" i="44"/>
  <c r="E68" i="44"/>
  <c r="E30" i="44"/>
  <c r="G30" i="44"/>
  <c r="B30" i="44"/>
  <c r="D30" i="44"/>
  <c r="C30" i="44"/>
  <c r="B31" i="44"/>
  <c r="G31" i="44"/>
  <c r="D31" i="44"/>
  <c r="E31" i="44"/>
  <c r="C31" i="44"/>
  <c r="B15" i="26"/>
  <c r="C15" i="26"/>
  <c r="E15" i="26"/>
  <c r="D15" i="26"/>
  <c r="G15" i="26"/>
  <c r="G52" i="26"/>
  <c r="C52" i="26"/>
  <c r="B52" i="26"/>
  <c r="E52" i="26"/>
  <c r="D52" i="26"/>
  <c r="D25" i="26"/>
  <c r="C25" i="26"/>
  <c r="E25" i="26"/>
  <c r="G25" i="26"/>
  <c r="B25" i="26"/>
  <c r="E59" i="26"/>
  <c r="D59" i="26"/>
  <c r="C59" i="26"/>
  <c r="G59" i="26"/>
  <c r="B59" i="26"/>
  <c r="E55" i="26"/>
  <c r="C55" i="26"/>
  <c r="D55" i="26"/>
  <c r="G55" i="26"/>
  <c r="B55" i="26"/>
  <c r="G11" i="26"/>
  <c r="E11" i="26"/>
  <c r="D11" i="26"/>
  <c r="C11" i="26"/>
  <c r="B11" i="26"/>
  <c r="B75" i="26"/>
  <c r="E75" i="26"/>
  <c r="C75" i="26"/>
  <c r="D75" i="26"/>
  <c r="G75" i="26"/>
  <c r="F81" i="48" a="1"/>
  <c r="F81" i="48" s="1"/>
  <c r="E81" i="48"/>
  <c r="D81" i="48"/>
  <c r="C81" i="48"/>
  <c r="E331" i="48"/>
  <c r="I331" i="48"/>
  <c r="F331" i="48" a="1"/>
  <c r="F331" i="48" s="1"/>
  <c r="C331" i="48"/>
  <c r="D331" i="48"/>
  <c r="K331" i="48" a="1"/>
  <c r="K331" i="48" s="1"/>
  <c r="D264" i="48"/>
  <c r="C264" i="48"/>
  <c r="E264" i="48"/>
  <c r="I264" i="48"/>
  <c r="K264" i="48" a="1"/>
  <c r="K264" i="48" s="1"/>
  <c r="F264" i="48" a="1"/>
  <c r="F264" i="48" s="1"/>
  <c r="F329" i="48" a="1"/>
  <c r="F329" i="48" s="1"/>
  <c r="K329" i="48" a="1"/>
  <c r="K329" i="48" s="1"/>
  <c r="E329" i="48"/>
  <c r="D329" i="48"/>
  <c r="I329" i="48"/>
  <c r="C329" i="48"/>
  <c r="E294" i="48"/>
  <c r="K294" i="48" a="1"/>
  <c r="K294" i="48" s="1"/>
  <c r="F294" i="48" a="1"/>
  <c r="F294" i="48" s="1"/>
  <c r="I294" i="48"/>
  <c r="D294" i="48"/>
  <c r="C294" i="48"/>
  <c r="E49" i="48"/>
  <c r="F49" i="48" a="1"/>
  <c r="F49" i="48" s="1"/>
  <c r="C49" i="48"/>
  <c r="E195" i="48"/>
  <c r="D195" i="48"/>
  <c r="I195" i="48"/>
  <c r="K195" i="48" a="1"/>
  <c r="K195" i="48" s="1"/>
  <c r="C195" i="48"/>
  <c r="F195" i="48" a="1"/>
  <c r="F195" i="48" s="1"/>
  <c r="C158" i="48"/>
  <c r="I158" i="48"/>
  <c r="D158" i="48"/>
  <c r="E158" i="48"/>
  <c r="F158" i="48" a="1"/>
  <c r="F158" i="48" s="1"/>
  <c r="K158" i="48" a="1"/>
  <c r="K158" i="48" s="1"/>
  <c r="E43" i="48"/>
  <c r="C43" i="48"/>
  <c r="F43" i="48" a="1"/>
  <c r="F43" i="48" s="1"/>
  <c r="E320" i="48"/>
  <c r="D320" i="48"/>
  <c r="C320" i="48"/>
  <c r="F320" i="48" a="1"/>
  <c r="F320" i="48" s="1"/>
  <c r="K320" i="48" a="1"/>
  <c r="K320" i="48" s="1"/>
  <c r="I320" i="48"/>
  <c r="K218" i="48" a="1"/>
  <c r="K218" i="48" s="1"/>
  <c r="F218" i="48" a="1"/>
  <c r="F218" i="48" s="1"/>
  <c r="I218" i="48"/>
  <c r="D218" i="48"/>
  <c r="E218" i="48"/>
  <c r="C218" i="48"/>
  <c r="D145" i="48"/>
  <c r="K145" i="48" a="1"/>
  <c r="K145" i="48" s="1"/>
  <c r="C145" i="48"/>
  <c r="F145" i="48" a="1"/>
  <c r="F145" i="48" s="1"/>
  <c r="E145" i="48"/>
  <c r="I145" i="48"/>
  <c r="D313" i="48"/>
  <c r="F313" i="48" a="1"/>
  <c r="F313" i="48" s="1"/>
  <c r="K313" i="48" a="1"/>
  <c r="K313" i="48" s="1"/>
  <c r="C313" i="48"/>
  <c r="I313" i="48"/>
  <c r="E313" i="48"/>
  <c r="D267" i="48"/>
  <c r="F267" i="48" a="1"/>
  <c r="F267" i="48" s="1"/>
  <c r="E267" i="48"/>
  <c r="I267" i="48"/>
  <c r="C267" i="48"/>
  <c r="K267" i="48" a="1"/>
  <c r="K267" i="48" s="1"/>
  <c r="E183" i="48"/>
  <c r="I183" i="48"/>
  <c r="D183" i="48"/>
  <c r="K183" i="48" a="1"/>
  <c r="K183" i="48" s="1"/>
  <c r="C183" i="48"/>
  <c r="F183" i="48" a="1"/>
  <c r="F183" i="48" s="1"/>
  <c r="F186" i="48" a="1"/>
  <c r="F186" i="48" s="1"/>
  <c r="C186" i="48"/>
  <c r="E186" i="48"/>
  <c r="K186" i="48" a="1"/>
  <c r="K186" i="48" s="1"/>
  <c r="I186" i="48"/>
  <c r="D186" i="48"/>
  <c r="K220" i="48" a="1"/>
  <c r="K220" i="48" s="1"/>
  <c r="F220" i="48" a="1"/>
  <c r="F220" i="48" s="1"/>
  <c r="D220" i="48"/>
  <c r="C220" i="48"/>
  <c r="I220" i="48"/>
  <c r="E220" i="48"/>
  <c r="K343" i="48" a="1"/>
  <c r="K343" i="48" s="1"/>
  <c r="I343" i="48"/>
  <c r="D343" i="48"/>
  <c r="E343" i="48"/>
  <c r="F343" i="48" a="1"/>
  <c r="F343" i="48" s="1"/>
  <c r="C343" i="48"/>
  <c r="K217" i="48" a="1"/>
  <c r="K217" i="48" s="1"/>
  <c r="F217" i="48" a="1"/>
  <c r="F217" i="48" s="1"/>
  <c r="I217" i="48"/>
  <c r="D217" i="48"/>
  <c r="E217" i="48"/>
  <c r="C217" i="48"/>
  <c r="I202" i="48"/>
  <c r="E202" i="48"/>
  <c r="F202" i="48" a="1"/>
  <c r="F202" i="48" s="1"/>
  <c r="K202" i="48" a="1"/>
  <c r="K202" i="48" s="1"/>
  <c r="D202" i="48"/>
  <c r="C202" i="48"/>
  <c r="C229" i="48"/>
  <c r="I229" i="48"/>
  <c r="K229" i="48" a="1"/>
  <c r="K229" i="48" s="1"/>
  <c r="F229" i="48" a="1"/>
  <c r="F229" i="48" s="1"/>
  <c r="E229" i="48"/>
  <c r="D229" i="48"/>
  <c r="C249" i="48"/>
  <c r="E249" i="48"/>
  <c r="K249" i="48" a="1"/>
  <c r="K249" i="48" s="1"/>
  <c r="I249" i="48"/>
  <c r="D249" i="48"/>
  <c r="F249" i="48" a="1"/>
  <c r="F249" i="48" s="1"/>
  <c r="E307" i="48"/>
  <c r="D307" i="48"/>
  <c r="K307" i="48" a="1"/>
  <c r="K307" i="48" s="1"/>
  <c r="C307" i="48"/>
  <c r="I307" i="48"/>
  <c r="F307" i="48" a="1"/>
  <c r="F307" i="48" s="1"/>
  <c r="B27" i="21"/>
  <c r="D27" i="21"/>
  <c r="G27" i="21"/>
  <c r="E27" i="21"/>
  <c r="C27" i="21"/>
  <c r="G59" i="21"/>
  <c r="E59" i="21"/>
  <c r="B59" i="21"/>
  <c r="D59" i="21"/>
  <c r="C59" i="21"/>
  <c r="C85" i="21"/>
  <c r="D85" i="21"/>
  <c r="E85" i="21"/>
  <c r="G85" i="21"/>
  <c r="B85" i="21"/>
  <c r="C42" i="21"/>
  <c r="E42" i="21"/>
  <c r="D42" i="21"/>
  <c r="B42" i="21"/>
  <c r="G42" i="21"/>
  <c r="C78" i="21"/>
  <c r="G78" i="21"/>
  <c r="E78" i="21"/>
  <c r="D78" i="21"/>
  <c r="B78" i="21"/>
  <c r="B39" i="21"/>
  <c r="C39" i="21"/>
  <c r="D39" i="21"/>
  <c r="E39" i="21"/>
  <c r="G39" i="21"/>
  <c r="E43" i="21"/>
  <c r="C43" i="21"/>
  <c r="D43" i="21"/>
  <c r="B43" i="21"/>
  <c r="G43" i="21"/>
  <c r="D30" i="21"/>
  <c r="C30" i="21"/>
  <c r="B30" i="21"/>
  <c r="E30" i="21"/>
  <c r="G30" i="21"/>
  <c r="X34" i="101"/>
  <c r="Y34" i="101"/>
  <c r="Z34" i="101"/>
  <c r="AA34" i="101"/>
  <c r="Y50" i="101"/>
  <c r="AA50" i="101"/>
  <c r="X50" i="101"/>
  <c r="Z50" i="101"/>
  <c r="Z31" i="101"/>
  <c r="Y31" i="101"/>
  <c r="AA31" i="101"/>
  <c r="X31" i="101"/>
  <c r="Z33" i="101"/>
  <c r="X33" i="101"/>
  <c r="AA33" i="101"/>
  <c r="Y33" i="101"/>
  <c r="X22" i="101"/>
  <c r="AA22" i="101"/>
  <c r="Y22" i="101"/>
  <c r="Z22" i="101"/>
  <c r="D29" i="98"/>
  <c r="B29" i="98"/>
  <c r="C29" i="98"/>
  <c r="E29" i="98"/>
  <c r="G29" i="98"/>
  <c r="C38" i="98"/>
  <c r="D38" i="98"/>
  <c r="E38" i="98"/>
  <c r="G38" i="98"/>
  <c r="B38" i="98"/>
  <c r="D50" i="98"/>
  <c r="B50" i="98"/>
  <c r="G50" i="98"/>
  <c r="E50" i="98"/>
  <c r="C50" i="98"/>
  <c r="E49" i="98"/>
  <c r="D49" i="98"/>
  <c r="B49" i="98"/>
  <c r="C49" i="98"/>
  <c r="G49" i="98"/>
  <c r="E43" i="98"/>
  <c r="G43" i="98"/>
  <c r="B43" i="98"/>
  <c r="D43" i="98"/>
  <c r="C43" i="98"/>
  <c r="C48" i="98"/>
  <c r="D48" i="98"/>
  <c r="G48" i="98"/>
  <c r="B48" i="98"/>
  <c r="E48" i="98"/>
  <c r="E85" i="37"/>
  <c r="C85" i="37"/>
  <c r="D85" i="37"/>
  <c r="G85" i="37"/>
  <c r="B85" i="37"/>
  <c r="E7" i="37"/>
  <c r="B7" i="37"/>
  <c r="D7" i="37"/>
  <c r="C7" i="37"/>
  <c r="B79" i="37"/>
  <c r="C79" i="37"/>
  <c r="E79" i="37"/>
  <c r="G79" i="37"/>
  <c r="D79" i="37"/>
  <c r="G17" i="37"/>
  <c r="C17" i="37"/>
  <c r="E17" i="37"/>
  <c r="B17" i="37"/>
  <c r="D17" i="37"/>
  <c r="E50" i="37"/>
  <c r="D50" i="37"/>
  <c r="B50" i="37"/>
  <c r="C50" i="37"/>
  <c r="G50" i="37"/>
  <c r="C48" i="37"/>
  <c r="B48" i="37"/>
  <c r="G48" i="37"/>
  <c r="E48" i="37"/>
  <c r="D48" i="37"/>
  <c r="C57" i="37"/>
  <c r="E57" i="37"/>
  <c r="G57" i="37"/>
  <c r="B57" i="37"/>
  <c r="D57" i="37"/>
  <c r="G33" i="37"/>
  <c r="B33" i="37"/>
  <c r="D33" i="37"/>
  <c r="C33" i="37"/>
  <c r="E33" i="37"/>
  <c r="G65" i="30"/>
  <c r="B65" i="30"/>
  <c r="C65" i="30"/>
  <c r="E65" i="30"/>
  <c r="D65" i="30"/>
  <c r="D63" i="30"/>
  <c r="C63" i="30"/>
  <c r="E63" i="30"/>
  <c r="G63" i="30"/>
  <c r="B63" i="30"/>
  <c r="E11" i="30"/>
  <c r="C11" i="30"/>
  <c r="D11" i="30"/>
  <c r="B11" i="30"/>
  <c r="G11" i="30"/>
  <c r="G54" i="30"/>
  <c r="B54" i="30"/>
  <c r="C54" i="30"/>
  <c r="D54" i="30"/>
  <c r="E54" i="30"/>
  <c r="C8" i="30"/>
  <c r="G8" i="30"/>
  <c r="B8" i="30"/>
  <c r="E8" i="30"/>
  <c r="D8" i="30"/>
  <c r="C78" i="30"/>
  <c r="B78" i="30"/>
  <c r="G78" i="30"/>
  <c r="D78" i="30"/>
  <c r="E78" i="30"/>
  <c r="D25" i="35"/>
  <c r="G25" i="35"/>
  <c r="B25" i="35"/>
  <c r="E25" i="35"/>
  <c r="C25" i="35"/>
  <c r="C48" i="35"/>
  <c r="G48" i="35"/>
  <c r="E48" i="35"/>
  <c r="B48" i="35"/>
  <c r="D48" i="35"/>
  <c r="C62" i="35"/>
  <c r="G62" i="35"/>
  <c r="D62" i="35"/>
  <c r="B62" i="35"/>
  <c r="E62" i="35"/>
  <c r="G46" i="35"/>
  <c r="B46" i="35"/>
  <c r="D46" i="35"/>
  <c r="E46" i="35"/>
  <c r="C46" i="35"/>
  <c r="C76" i="17"/>
  <c r="D76" i="17"/>
  <c r="B76" i="17"/>
  <c r="G76" i="17"/>
  <c r="E76" i="17"/>
  <c r="E72" i="17"/>
  <c r="C72" i="17"/>
  <c r="G72" i="17"/>
  <c r="D72" i="17"/>
  <c r="B72" i="17"/>
  <c r="D71" i="17"/>
  <c r="G71" i="17"/>
  <c r="C71" i="17"/>
  <c r="E71" i="17"/>
  <c r="B71" i="17"/>
  <c r="D85" i="17"/>
  <c r="C85" i="17"/>
  <c r="E85" i="17"/>
  <c r="B85" i="17"/>
  <c r="G85" i="17"/>
  <c r="E47" i="17"/>
  <c r="D47" i="17"/>
  <c r="C47" i="17"/>
  <c r="G47" i="17"/>
  <c r="B47" i="17"/>
  <c r="E65" i="17"/>
  <c r="B65" i="17"/>
  <c r="C65" i="17"/>
  <c r="G65" i="17"/>
  <c r="D65" i="17"/>
  <c r="B56" i="17"/>
  <c r="G56" i="17"/>
  <c r="C56" i="17"/>
  <c r="E56" i="17"/>
  <c r="D56" i="17"/>
  <c r="D46" i="17"/>
  <c r="B46" i="17"/>
  <c r="E46" i="17"/>
  <c r="C46" i="17"/>
  <c r="G46" i="17"/>
  <c r="C54" i="13"/>
  <c r="D54" i="13"/>
  <c r="E54" i="13"/>
  <c r="G54" i="13"/>
  <c r="B54" i="13"/>
  <c r="G85" i="13"/>
  <c r="E85" i="13"/>
  <c r="C85" i="13"/>
  <c r="D85" i="13"/>
  <c r="B85" i="13"/>
  <c r="B34" i="13"/>
  <c r="D34" i="13"/>
  <c r="C34" i="13"/>
  <c r="E34" i="13"/>
  <c r="E38" i="13"/>
  <c r="G38" i="13"/>
  <c r="B38" i="13"/>
  <c r="D38" i="13"/>
  <c r="C38" i="13"/>
  <c r="B45" i="13"/>
  <c r="C45" i="13"/>
  <c r="D45" i="13"/>
  <c r="G45" i="13"/>
  <c r="E45" i="13"/>
  <c r="B28" i="13"/>
  <c r="C28" i="13"/>
  <c r="D28" i="13"/>
  <c r="E28" i="13"/>
  <c r="D37" i="13"/>
  <c r="B37" i="13"/>
  <c r="G37" i="13"/>
  <c r="C37" i="13"/>
  <c r="E37" i="13"/>
  <c r="B17" i="13"/>
  <c r="D17" i="13"/>
  <c r="E17" i="13"/>
  <c r="C17" i="13"/>
  <c r="B10" i="13"/>
  <c r="D10" i="13"/>
  <c r="C10" i="13"/>
  <c r="E10" i="13"/>
  <c r="E72" i="36"/>
  <c r="D72" i="36"/>
  <c r="G72" i="36"/>
  <c r="B72" i="36"/>
  <c r="C72" i="36"/>
  <c r="D51" i="36"/>
  <c r="E51" i="36"/>
  <c r="B51" i="36"/>
  <c r="G51" i="36"/>
  <c r="C51" i="36"/>
  <c r="D59" i="36"/>
  <c r="E59" i="36"/>
  <c r="B59" i="36"/>
  <c r="G59" i="36"/>
  <c r="C59" i="36"/>
  <c r="C64" i="36"/>
  <c r="D64" i="36"/>
  <c r="E64" i="36"/>
  <c r="B64" i="36"/>
  <c r="G64" i="36"/>
  <c r="D53" i="36"/>
  <c r="B53" i="36"/>
  <c r="E53" i="36"/>
  <c r="G53" i="36"/>
  <c r="C53" i="36"/>
  <c r="E14" i="36"/>
  <c r="C14" i="36"/>
  <c r="B14" i="36"/>
  <c r="D14" i="36"/>
  <c r="B27" i="36"/>
  <c r="C27" i="36"/>
  <c r="E27" i="36"/>
  <c r="D27" i="36"/>
  <c r="G27" i="36"/>
  <c r="D49" i="36"/>
  <c r="B49" i="36"/>
  <c r="C49" i="36"/>
  <c r="E49" i="36"/>
  <c r="G49" i="36"/>
  <c r="D10" i="99"/>
  <c r="C10" i="99"/>
  <c r="B10" i="99"/>
  <c r="E10" i="99"/>
  <c r="C45" i="99"/>
  <c r="E45" i="99"/>
  <c r="D45" i="99"/>
  <c r="G45" i="99"/>
  <c r="B45" i="99"/>
  <c r="G28" i="99"/>
  <c r="E28" i="99"/>
  <c r="B28" i="99"/>
  <c r="C28" i="99"/>
  <c r="D28" i="99"/>
  <c r="B26" i="99"/>
  <c r="E26" i="99"/>
  <c r="G26" i="99"/>
  <c r="D26" i="99"/>
  <c r="C26" i="99"/>
  <c r="C83" i="99"/>
  <c r="E83" i="99"/>
  <c r="G83" i="99"/>
  <c r="D83" i="99"/>
  <c r="B83" i="99"/>
  <c r="G34" i="99"/>
  <c r="E34" i="99"/>
  <c r="D34" i="99"/>
  <c r="B34" i="99"/>
  <c r="C34" i="99"/>
  <c r="C71" i="99"/>
  <c r="B71" i="99"/>
  <c r="D71" i="99"/>
  <c r="E71" i="99"/>
  <c r="G71" i="99"/>
  <c r="D31" i="99"/>
  <c r="E31" i="99"/>
  <c r="B31" i="99"/>
  <c r="G31" i="99"/>
  <c r="C31" i="99"/>
  <c r="G15" i="20"/>
  <c r="D15" i="20"/>
  <c r="B15" i="20"/>
  <c r="C15" i="20"/>
  <c r="E15" i="20"/>
  <c r="B57" i="20"/>
  <c r="C57" i="20"/>
  <c r="D57" i="20"/>
  <c r="G57" i="20"/>
  <c r="E57" i="20"/>
  <c r="B63" i="20"/>
  <c r="C63" i="20"/>
  <c r="G63" i="20"/>
  <c r="E63" i="20"/>
  <c r="D63" i="20"/>
  <c r="C13" i="20"/>
  <c r="E13" i="20"/>
  <c r="D13" i="20"/>
  <c r="B13" i="20"/>
  <c r="G13" i="20"/>
  <c r="C43" i="20"/>
  <c r="E43" i="20"/>
  <c r="D43" i="20"/>
  <c r="B43" i="20"/>
  <c r="G43" i="20"/>
  <c r="B20" i="20"/>
  <c r="G20" i="20"/>
  <c r="C20" i="20"/>
  <c r="D20" i="20"/>
  <c r="E20" i="20"/>
  <c r="D64" i="20"/>
  <c r="G64" i="20"/>
  <c r="E64" i="20"/>
  <c r="B64" i="20"/>
  <c r="C64" i="20"/>
  <c r="G79" i="20"/>
  <c r="E79" i="20"/>
  <c r="B79" i="20"/>
  <c r="D79" i="20"/>
  <c r="C79" i="20"/>
  <c r="C42" i="20"/>
  <c r="D42" i="20"/>
  <c r="E42" i="20"/>
  <c r="B42" i="20"/>
  <c r="G42" i="20"/>
  <c r="B73" i="97"/>
  <c r="C73" i="97"/>
  <c r="G73" i="97"/>
  <c r="E73" i="97"/>
  <c r="D73" i="97"/>
  <c r="B50" i="97"/>
  <c r="C50" i="97"/>
  <c r="D50" i="97"/>
  <c r="G50" i="97"/>
  <c r="E50" i="97"/>
  <c r="G49" i="97"/>
  <c r="C49" i="97"/>
  <c r="B49" i="97"/>
  <c r="E49" i="97"/>
  <c r="D49" i="97"/>
  <c r="D22" i="97"/>
  <c r="E22" i="97"/>
  <c r="C22" i="97"/>
  <c r="B22" i="97"/>
  <c r="G22" i="97"/>
  <c r="C17" i="97"/>
  <c r="D17" i="97"/>
  <c r="E17" i="97"/>
  <c r="B17" i="97"/>
  <c r="E75" i="97"/>
  <c r="D75" i="97"/>
  <c r="B75" i="97"/>
  <c r="C75" i="97"/>
  <c r="G75" i="97"/>
  <c r="D18" i="97"/>
  <c r="C18" i="97"/>
  <c r="B18" i="97"/>
  <c r="E18" i="97"/>
  <c r="B28" i="45"/>
  <c r="G28" i="45"/>
  <c r="E28" i="45"/>
  <c r="C28" i="45"/>
  <c r="D28" i="45"/>
  <c r="B36" i="45"/>
  <c r="G36" i="45"/>
  <c r="C36" i="45"/>
  <c r="E36" i="45"/>
  <c r="D36" i="45"/>
  <c r="D13" i="45"/>
  <c r="C13" i="45"/>
  <c r="B13" i="45"/>
  <c r="E13" i="45"/>
  <c r="B29" i="45"/>
  <c r="C29" i="45"/>
  <c r="D29" i="45"/>
  <c r="G29" i="45"/>
  <c r="E29" i="45"/>
  <c r="D12" i="45"/>
  <c r="E12" i="45"/>
  <c r="B12" i="45"/>
  <c r="C12" i="45"/>
  <c r="C63" i="45"/>
  <c r="B63" i="45"/>
  <c r="E63" i="45"/>
  <c r="D63" i="45"/>
  <c r="G63" i="45"/>
  <c r="B64" i="45"/>
  <c r="G64" i="45"/>
  <c r="D64" i="45"/>
  <c r="E64" i="45"/>
  <c r="C64" i="45"/>
  <c r="G60" i="45"/>
  <c r="E60" i="45"/>
  <c r="D60" i="45"/>
  <c r="B60" i="45"/>
  <c r="C60" i="45"/>
  <c r="G65" i="45"/>
  <c r="D65" i="45"/>
  <c r="C65" i="45"/>
  <c r="E65" i="45"/>
  <c r="B65" i="45"/>
  <c r="D37" i="45"/>
  <c r="B37" i="45"/>
  <c r="E37" i="45"/>
  <c r="C37" i="45"/>
  <c r="G37" i="45"/>
  <c r="B19" i="45"/>
  <c r="E19" i="45"/>
  <c r="D19" i="45"/>
  <c r="C19" i="45"/>
  <c r="C67" i="45"/>
  <c r="E67" i="45"/>
  <c r="G67" i="45"/>
  <c r="D67" i="45"/>
  <c r="B67" i="45"/>
  <c r="G18" i="16"/>
  <c r="E18" i="16"/>
  <c r="C18" i="16"/>
  <c r="B18" i="16"/>
  <c r="D18" i="16"/>
  <c r="B65" i="16"/>
  <c r="D65" i="16"/>
  <c r="C65" i="16"/>
  <c r="E65" i="16"/>
  <c r="G65" i="16"/>
  <c r="C40" i="16"/>
  <c r="E40" i="16"/>
  <c r="D40" i="16"/>
  <c r="G40" i="16"/>
  <c r="B40" i="16"/>
  <c r="E70" i="16"/>
  <c r="B70" i="16"/>
  <c r="C70" i="16"/>
  <c r="G70" i="16"/>
  <c r="D70" i="16"/>
  <c r="D35" i="16"/>
  <c r="C35" i="16"/>
  <c r="G35" i="16"/>
  <c r="B35" i="16"/>
  <c r="E35" i="16"/>
  <c r="D6" i="40"/>
  <c r="E6" i="40"/>
  <c r="C6" i="40"/>
  <c r="B6" i="40"/>
  <c r="A3" i="40"/>
  <c r="D25" i="40"/>
  <c r="E25" i="40"/>
  <c r="C25" i="40"/>
  <c r="B25" i="40"/>
  <c r="G58" i="40"/>
  <c r="E58" i="40"/>
  <c r="C58" i="40"/>
  <c r="B58" i="40"/>
  <c r="D58" i="40"/>
  <c r="E32" i="40"/>
  <c r="B32" i="40"/>
  <c r="C32" i="40"/>
  <c r="D32" i="40"/>
  <c r="B76" i="40"/>
  <c r="E76" i="40"/>
  <c r="D76" i="40"/>
  <c r="C76" i="40"/>
  <c r="G76" i="40"/>
  <c r="B14" i="40"/>
  <c r="D14" i="40"/>
  <c r="C14" i="40"/>
  <c r="E14" i="40"/>
  <c r="E50" i="40"/>
  <c r="C50" i="40"/>
  <c r="D50" i="40"/>
  <c r="G50" i="40"/>
  <c r="B50" i="40"/>
  <c r="B55" i="40"/>
  <c r="G55" i="40"/>
  <c r="C55" i="40"/>
  <c r="E55" i="40"/>
  <c r="D55" i="40"/>
  <c r="D82" i="44"/>
  <c r="E82" i="44"/>
  <c r="B82" i="44"/>
  <c r="G82" i="44"/>
  <c r="C82" i="44"/>
  <c r="G28" i="44"/>
  <c r="E28" i="44"/>
  <c r="B28" i="44"/>
  <c r="D28" i="44"/>
  <c r="C28" i="44"/>
  <c r="B81" i="44"/>
  <c r="E81" i="44"/>
  <c r="G81" i="44"/>
  <c r="C81" i="44"/>
  <c r="D81" i="44"/>
  <c r="G70" i="44"/>
  <c r="C70" i="44"/>
  <c r="E70" i="44"/>
  <c r="D70" i="44"/>
  <c r="B70" i="44"/>
  <c r="G16" i="26"/>
  <c r="D16" i="26"/>
  <c r="C16" i="26"/>
  <c r="E16" i="26"/>
  <c r="B16" i="26"/>
  <c r="E54" i="26"/>
  <c r="D54" i="26"/>
  <c r="C54" i="26"/>
  <c r="G54" i="26"/>
  <c r="B54" i="26"/>
  <c r="D23" i="26"/>
  <c r="E23" i="26"/>
  <c r="B23" i="26"/>
  <c r="C23" i="26"/>
  <c r="G23" i="26"/>
  <c r="E47" i="26"/>
  <c r="G47" i="26"/>
  <c r="B47" i="26"/>
  <c r="D47" i="26"/>
  <c r="C47" i="26"/>
  <c r="G69" i="26"/>
  <c r="D69" i="26"/>
  <c r="C69" i="26"/>
  <c r="E69" i="26"/>
  <c r="B69" i="26"/>
  <c r="B57" i="26"/>
  <c r="C57" i="26"/>
  <c r="G57" i="26"/>
  <c r="E57" i="26"/>
  <c r="D57" i="26"/>
  <c r="G79" i="26"/>
  <c r="D79" i="26"/>
  <c r="E79" i="26"/>
  <c r="B79" i="26"/>
  <c r="C79" i="26"/>
  <c r="E53" i="26"/>
  <c r="G53" i="26"/>
  <c r="B53" i="26"/>
  <c r="C53" i="26"/>
  <c r="D53" i="26"/>
  <c r="K330" i="48" a="1"/>
  <c r="K330" i="48" s="1"/>
  <c r="F330" i="48" a="1"/>
  <c r="F330" i="48" s="1"/>
  <c r="C330" i="48"/>
  <c r="E330" i="48"/>
  <c r="I330" i="48"/>
  <c r="D330" i="48"/>
  <c r="C34" i="48"/>
  <c r="F34" i="48" a="1"/>
  <c r="F34" i="48" s="1"/>
  <c r="E34" i="48"/>
  <c r="F193" i="48" a="1"/>
  <c r="F193" i="48" s="1"/>
  <c r="D193" i="48"/>
  <c r="K193" i="48" a="1"/>
  <c r="K193" i="48" s="1"/>
  <c r="C193" i="48"/>
  <c r="I193" i="48"/>
  <c r="E193" i="48"/>
  <c r="D290" i="48"/>
  <c r="I290" i="48"/>
  <c r="C290" i="48"/>
  <c r="K290" i="48" a="1"/>
  <c r="K290" i="48" s="1"/>
  <c r="E290" i="48"/>
  <c r="F290" i="48" a="1"/>
  <c r="F290" i="48" s="1"/>
  <c r="K157" i="48" a="1"/>
  <c r="K157" i="48" s="1"/>
  <c r="F157" i="48" a="1"/>
  <c r="F157" i="48" s="1"/>
  <c r="C157" i="48"/>
  <c r="E157" i="48"/>
  <c r="I157" i="48"/>
  <c r="D157" i="48"/>
  <c r="D134" i="48"/>
  <c r="K134" i="48" a="1"/>
  <c r="K134" i="48" s="1"/>
  <c r="I134" i="48"/>
  <c r="C134" i="48"/>
  <c r="F134" i="48" a="1"/>
  <c r="F134" i="48" s="1"/>
  <c r="E134" i="48"/>
  <c r="D309" i="48"/>
  <c r="I309" i="48"/>
  <c r="F309" i="48" a="1"/>
  <c r="F309" i="48" s="1"/>
  <c r="K309" i="48" a="1"/>
  <c r="K309" i="48" s="1"/>
  <c r="C309" i="48"/>
  <c r="E309" i="48"/>
  <c r="F136" i="48" a="1"/>
  <c r="F136" i="48" s="1"/>
  <c r="I136" i="48"/>
  <c r="D136" i="48"/>
  <c r="K136" i="48" a="1"/>
  <c r="K136" i="48" s="1"/>
  <c r="E136" i="48"/>
  <c r="C136" i="48"/>
  <c r="I272" i="48"/>
  <c r="F272" i="48" a="1"/>
  <c r="F272" i="48" s="1"/>
  <c r="C272" i="48"/>
  <c r="K272" i="48" a="1"/>
  <c r="K272" i="48" s="1"/>
  <c r="E272" i="48"/>
  <c r="D272" i="48"/>
  <c r="K288" i="48" a="1"/>
  <c r="K288" i="48" s="1"/>
  <c r="C288" i="48"/>
  <c r="F288" i="48" a="1"/>
  <c r="F288" i="48" s="1"/>
  <c r="I288" i="48"/>
  <c r="E288" i="48"/>
  <c r="D288" i="48"/>
  <c r="C349" i="48"/>
  <c r="K349" i="48" a="1"/>
  <c r="K349" i="48" s="1"/>
  <c r="I349" i="48"/>
  <c r="F349" i="48" a="1"/>
  <c r="F349" i="48" s="1"/>
  <c r="E349" i="48"/>
  <c r="D349" i="48"/>
  <c r="E345" i="48"/>
  <c r="K345" i="48" a="1"/>
  <c r="K345" i="48" s="1"/>
  <c r="F345" i="48" a="1"/>
  <c r="F345" i="48" s="1"/>
  <c r="I345" i="48"/>
  <c r="D345" i="48"/>
  <c r="C345" i="48"/>
  <c r="C82" i="48"/>
  <c r="E82" i="48"/>
  <c r="F82" i="48" a="1"/>
  <c r="F82" i="48" s="1"/>
  <c r="C182" i="48"/>
  <c r="F182" i="48" a="1"/>
  <c r="F182" i="48" s="1"/>
  <c r="E182" i="48"/>
  <c r="D182" i="48"/>
  <c r="K182" i="48" a="1"/>
  <c r="K182" i="48" s="1"/>
  <c r="I182" i="48"/>
  <c r="C161" i="48"/>
  <c r="I161" i="48"/>
  <c r="E161" i="48"/>
  <c r="F161" i="48" a="1"/>
  <c r="F161" i="48" s="1"/>
  <c r="K161" i="48" a="1"/>
  <c r="K161" i="48" s="1"/>
  <c r="D161" i="48"/>
  <c r="E243" i="48"/>
  <c r="F243" i="48" a="1"/>
  <c r="F243" i="48" s="1"/>
  <c r="I243" i="48"/>
  <c r="K243" i="48" a="1"/>
  <c r="K243" i="48" s="1"/>
  <c r="D243" i="48"/>
  <c r="C243" i="48"/>
  <c r="F297" i="48" a="1"/>
  <c r="F297" i="48" s="1"/>
  <c r="K297" i="48" a="1"/>
  <c r="K297" i="48" s="1"/>
  <c r="D297" i="48"/>
  <c r="I297" i="48"/>
  <c r="C297" i="48"/>
  <c r="E297" i="48"/>
  <c r="I219" i="48"/>
  <c r="E219" i="48"/>
  <c r="K219" i="48" a="1"/>
  <c r="K219" i="48" s="1"/>
  <c r="D219" i="48"/>
  <c r="F219" i="48" a="1"/>
  <c r="F219" i="48" s="1"/>
  <c r="C219" i="48"/>
  <c r="C299" i="48"/>
  <c r="K299" i="48" a="1"/>
  <c r="K299" i="48" s="1"/>
  <c r="I299" i="48"/>
  <c r="D299" i="48"/>
  <c r="E299" i="48"/>
  <c r="F299" i="48" a="1"/>
  <c r="F299" i="48" s="1"/>
  <c r="E312" i="48"/>
  <c r="I312" i="48"/>
  <c r="C312" i="48"/>
  <c r="D312" i="48"/>
  <c r="K312" i="48" a="1"/>
  <c r="K312" i="48" s="1"/>
  <c r="F312" i="48" a="1"/>
  <c r="F312" i="48" s="1"/>
  <c r="E16" i="48"/>
  <c r="F16" i="48" a="1"/>
  <c r="F16" i="48" s="1"/>
  <c r="D16" i="48"/>
  <c r="C16" i="48"/>
  <c r="F123" i="48" a="1"/>
  <c r="F123" i="48" s="1"/>
  <c r="C123" i="48"/>
  <c r="D123" i="48"/>
  <c r="E123" i="48"/>
  <c r="K107" i="48" a="1"/>
  <c r="K107" i="48" s="1"/>
  <c r="F107" i="48" a="1"/>
  <c r="F107" i="48" s="1"/>
  <c r="C107" i="48"/>
  <c r="E107" i="48"/>
  <c r="D173" i="48"/>
  <c r="K173" i="48" a="1"/>
  <c r="K173" i="48" s="1"/>
  <c r="C173" i="48"/>
  <c r="F173" i="48" a="1"/>
  <c r="F173" i="48" s="1"/>
  <c r="I173" i="48"/>
  <c r="E173" i="48"/>
  <c r="F93" i="48" a="1"/>
  <c r="F93" i="48" s="1"/>
  <c r="D93" i="48"/>
  <c r="E93" i="48"/>
  <c r="C93" i="48"/>
  <c r="I189" i="48"/>
  <c r="E189" i="48"/>
  <c r="K189" i="48" a="1"/>
  <c r="K189" i="48" s="1"/>
  <c r="D189" i="48"/>
  <c r="F189" i="48" a="1"/>
  <c r="F189" i="48" s="1"/>
  <c r="C189" i="48"/>
  <c r="F11" i="48" a="1"/>
  <c r="F11" i="48" s="1"/>
  <c r="C11" i="48"/>
  <c r="E11" i="48"/>
  <c r="C341" i="48"/>
  <c r="D341" i="48"/>
  <c r="E341" i="48"/>
  <c r="F341" i="48" a="1"/>
  <c r="F341" i="48" s="1"/>
  <c r="I341" i="48"/>
  <c r="K341" i="48" a="1"/>
  <c r="K341" i="48" s="1"/>
  <c r="C205" i="48"/>
  <c r="F205" i="48" a="1"/>
  <c r="F205" i="48" s="1"/>
  <c r="K205" i="48" a="1"/>
  <c r="K205" i="48" s="1"/>
  <c r="I205" i="48"/>
  <c r="E205" i="48"/>
  <c r="D205" i="48"/>
  <c r="D38" i="21"/>
  <c r="B38" i="21"/>
  <c r="G38" i="21"/>
  <c r="C38" i="21"/>
  <c r="E38" i="21"/>
  <c r="C79" i="21"/>
  <c r="G79" i="21"/>
  <c r="D79" i="21"/>
  <c r="B79" i="21"/>
  <c r="E79" i="21"/>
  <c r="G50" i="21"/>
  <c r="D50" i="21"/>
  <c r="C50" i="21"/>
  <c r="E50" i="21"/>
  <c r="B50" i="21"/>
  <c r="B64" i="21"/>
  <c r="E64" i="21"/>
  <c r="C64" i="21"/>
  <c r="D64" i="21"/>
  <c r="G64" i="21"/>
  <c r="B11" i="21"/>
  <c r="E11" i="21"/>
  <c r="D11" i="21"/>
  <c r="B26" i="21"/>
  <c r="G26" i="21"/>
  <c r="C26" i="21"/>
  <c r="E26" i="21"/>
  <c r="D26" i="21"/>
  <c r="X46" i="101"/>
  <c r="AA46" i="101"/>
  <c r="Y46" i="101"/>
  <c r="Z46" i="101"/>
  <c r="AA44" i="101"/>
  <c r="X44" i="101"/>
  <c r="Z44" i="101"/>
  <c r="Y44" i="101"/>
  <c r="Y10" i="101"/>
  <c r="AA10" i="101"/>
  <c r="Z10" i="101"/>
  <c r="X10" i="101"/>
  <c r="Y11" i="101"/>
  <c r="AA11" i="101"/>
  <c r="X11" i="101"/>
  <c r="Z11" i="101"/>
  <c r="B59" i="98"/>
  <c r="D59" i="98"/>
  <c r="G59" i="98"/>
  <c r="E59" i="98"/>
  <c r="C59" i="98"/>
  <c r="G39" i="98"/>
  <c r="C39" i="98"/>
  <c r="D39" i="98"/>
  <c r="E39" i="98"/>
  <c r="B39" i="98"/>
  <c r="B25" i="98"/>
  <c r="G25" i="98"/>
  <c r="D25" i="98"/>
  <c r="E25" i="98"/>
  <c r="C25" i="98"/>
  <c r="C27" i="98"/>
  <c r="G27" i="98"/>
  <c r="D27" i="98"/>
  <c r="E27" i="98"/>
  <c r="B27" i="98"/>
  <c r="B13" i="98"/>
  <c r="C13" i="98"/>
  <c r="D13" i="98"/>
  <c r="E16" i="37"/>
  <c r="G16" i="37"/>
  <c r="C16" i="37"/>
  <c r="B16" i="37"/>
  <c r="D16" i="37"/>
  <c r="C42" i="37"/>
  <c r="G42" i="37"/>
  <c r="E42" i="37"/>
  <c r="D42" i="37"/>
  <c r="B42" i="37"/>
  <c r="E12" i="37"/>
  <c r="B12" i="37"/>
  <c r="G12" i="37"/>
  <c r="C12" i="37"/>
  <c r="D12" i="37"/>
  <c r="B77" i="37"/>
  <c r="C77" i="37"/>
  <c r="E77" i="37"/>
  <c r="G77" i="37"/>
  <c r="D77" i="37"/>
  <c r="C59" i="37"/>
  <c r="B59" i="37"/>
  <c r="E59" i="37"/>
  <c r="D59" i="37"/>
  <c r="G59" i="37"/>
  <c r="D73" i="37"/>
  <c r="B73" i="37"/>
  <c r="C73" i="37"/>
  <c r="G73" i="37"/>
  <c r="E73" i="37"/>
  <c r="D8" i="37"/>
  <c r="B8" i="37"/>
  <c r="G27" i="37"/>
  <c r="B27" i="37"/>
  <c r="E27" i="37"/>
  <c r="D27" i="37"/>
  <c r="C27" i="37"/>
  <c r="E20" i="99"/>
  <c r="E64" i="30"/>
  <c r="G64" i="30"/>
  <c r="C64" i="30"/>
  <c r="D64" i="30"/>
  <c r="B64" i="30"/>
  <c r="C39" i="30"/>
  <c r="B39" i="30"/>
  <c r="D39" i="30"/>
  <c r="G39" i="30"/>
  <c r="E39" i="30"/>
  <c r="B17" i="30"/>
  <c r="E17" i="30"/>
  <c r="C17" i="30"/>
  <c r="G17" i="30"/>
  <c r="D17" i="30"/>
  <c r="D81" i="30"/>
  <c r="C81" i="30"/>
  <c r="G81" i="30"/>
  <c r="E81" i="30"/>
  <c r="B81" i="30"/>
  <c r="B74" i="30"/>
  <c r="G74" i="30"/>
  <c r="D74" i="30"/>
  <c r="C74" i="30"/>
  <c r="E74" i="30"/>
  <c r="B80" i="30"/>
  <c r="D80" i="30"/>
  <c r="E80" i="30"/>
  <c r="C80" i="30"/>
  <c r="G80" i="30"/>
  <c r="G22" i="30"/>
  <c r="D22" i="30"/>
  <c r="C22" i="30"/>
  <c r="B22" i="30"/>
  <c r="E22" i="30"/>
  <c r="E70" i="30"/>
  <c r="D70" i="30"/>
  <c r="B70" i="30"/>
  <c r="C70" i="30"/>
  <c r="G70" i="30"/>
  <c r="B81" i="35"/>
  <c r="E81" i="35"/>
  <c r="G81" i="35"/>
  <c r="D81" i="35"/>
  <c r="C81" i="35"/>
  <c r="E63" i="35"/>
  <c r="G63" i="35"/>
  <c r="D63" i="35"/>
  <c r="C63" i="35"/>
  <c r="B63" i="35"/>
  <c r="E28" i="35"/>
  <c r="G28" i="35"/>
  <c r="B28" i="35"/>
  <c r="C28" i="35"/>
  <c r="D28" i="35"/>
  <c r="C33" i="35"/>
  <c r="G33" i="35"/>
  <c r="E33" i="35"/>
  <c r="D33" i="35"/>
  <c r="B33" i="35"/>
  <c r="D23" i="35"/>
  <c r="G23" i="35"/>
  <c r="B23" i="35"/>
  <c r="E23" i="35"/>
  <c r="C23" i="35"/>
  <c r="C62" i="17"/>
  <c r="E62" i="17"/>
  <c r="D62" i="17"/>
  <c r="B62" i="17"/>
  <c r="G62" i="17"/>
  <c r="B13" i="17"/>
  <c r="G13" i="17"/>
  <c r="C13" i="17"/>
  <c r="E13" i="17"/>
  <c r="D13" i="17"/>
  <c r="E54" i="17"/>
  <c r="G54" i="17"/>
  <c r="C54" i="17"/>
  <c r="B54" i="17"/>
  <c r="D54" i="17"/>
  <c r="B35" i="17"/>
  <c r="E35" i="17"/>
  <c r="C35" i="17"/>
  <c r="D35" i="17"/>
  <c r="G35" i="17"/>
  <c r="C32" i="17"/>
  <c r="G32" i="17"/>
  <c r="D32" i="17"/>
  <c r="B32" i="17"/>
  <c r="E32" i="17"/>
  <c r="G77" i="17"/>
  <c r="D77" i="17"/>
  <c r="B77" i="17"/>
  <c r="E77" i="17"/>
  <c r="C77" i="17"/>
  <c r="C57" i="17"/>
  <c r="G57" i="17"/>
  <c r="E57" i="17"/>
  <c r="D57" i="17"/>
  <c r="B57" i="17"/>
  <c r="B84" i="17"/>
  <c r="C84" i="17"/>
  <c r="E84" i="17"/>
  <c r="G84" i="17"/>
  <c r="D84" i="17"/>
  <c r="D45" i="17"/>
  <c r="C45" i="17"/>
  <c r="B45" i="17"/>
  <c r="E45" i="17"/>
  <c r="G45" i="17"/>
  <c r="A3" i="17"/>
  <c r="B6" i="17"/>
  <c r="C6" i="17"/>
  <c r="E6" i="17"/>
  <c r="D6" i="17"/>
  <c r="E6" i="13"/>
  <c r="G6" i="13" s="1"/>
  <c r="C6" i="13"/>
  <c r="A3" i="13"/>
  <c r="B6" i="13"/>
  <c r="C12" i="13"/>
  <c r="E12" i="13"/>
  <c r="B12" i="13"/>
  <c r="D12" i="13"/>
  <c r="E82" i="13"/>
  <c r="D82" i="13"/>
  <c r="B82" i="13"/>
  <c r="C82" i="13"/>
  <c r="G82" i="13"/>
  <c r="C36" i="13"/>
  <c r="E36" i="13"/>
  <c r="B36" i="13"/>
  <c r="D36" i="13"/>
  <c r="G36" i="13"/>
  <c r="B8" i="13"/>
  <c r="E8" i="13"/>
  <c r="D8" i="13"/>
  <c r="C64" i="13"/>
  <c r="B64" i="13"/>
  <c r="G64" i="13"/>
  <c r="E64" i="13"/>
  <c r="D64" i="13"/>
  <c r="C73" i="13"/>
  <c r="B73" i="13"/>
  <c r="D73" i="13"/>
  <c r="G73" i="13"/>
  <c r="E73" i="13"/>
  <c r="C35" i="13"/>
  <c r="B35" i="13"/>
  <c r="G35" i="13"/>
  <c r="D35" i="13"/>
  <c r="E35" i="13"/>
  <c r="D66" i="13"/>
  <c r="C66" i="13"/>
  <c r="G66" i="13"/>
  <c r="B66" i="13"/>
  <c r="E66" i="13"/>
  <c r="B17" i="36"/>
  <c r="D17" i="36"/>
  <c r="C17" i="36"/>
  <c r="E17" i="36"/>
  <c r="E62" i="36"/>
  <c r="D62" i="36"/>
  <c r="B62" i="36"/>
  <c r="C62" i="36"/>
  <c r="G62" i="36"/>
  <c r="E50" i="36"/>
  <c r="C50" i="36"/>
  <c r="G50" i="36"/>
  <c r="B50" i="36"/>
  <c r="D50" i="36"/>
  <c r="E11" i="36"/>
  <c r="B11" i="36"/>
  <c r="D11" i="36"/>
  <c r="D58" i="36"/>
  <c r="B58" i="36"/>
  <c r="G58" i="36"/>
  <c r="C58" i="36"/>
  <c r="E58" i="36"/>
  <c r="D6" i="36"/>
  <c r="E6" i="36"/>
  <c r="B6" i="36"/>
  <c r="A3" i="36"/>
  <c r="D46" i="99"/>
  <c r="B46" i="99"/>
  <c r="E46" i="99"/>
  <c r="C46" i="99"/>
  <c r="G46" i="99"/>
  <c r="D64" i="99"/>
  <c r="C64" i="99"/>
  <c r="G64" i="99"/>
  <c r="E64" i="99"/>
  <c r="B64" i="99"/>
  <c r="C50" i="99"/>
  <c r="G50" i="99"/>
  <c r="B50" i="99"/>
  <c r="E50" i="99"/>
  <c r="D50" i="99"/>
  <c r="B25" i="99"/>
  <c r="C25" i="99"/>
  <c r="G25" i="99"/>
  <c r="D25" i="99"/>
  <c r="E25" i="99"/>
  <c r="D49" i="99"/>
  <c r="G49" i="99"/>
  <c r="B49" i="99"/>
  <c r="C49" i="99"/>
  <c r="E49" i="99"/>
  <c r="E72" i="99"/>
  <c r="D72" i="99"/>
  <c r="B72" i="99"/>
  <c r="C72" i="99"/>
  <c r="G72" i="99"/>
  <c r="D20" i="99"/>
  <c r="C20" i="99" s="1"/>
  <c r="E63" i="99"/>
  <c r="G63" i="99"/>
  <c r="C63" i="99"/>
  <c r="B63" i="99"/>
  <c r="D63" i="99"/>
  <c r="D52" i="20"/>
  <c r="G52" i="20"/>
  <c r="E52" i="20"/>
  <c r="B52" i="20"/>
  <c r="C52" i="20"/>
  <c r="B80" i="20"/>
  <c r="C80" i="20"/>
  <c r="D80" i="20"/>
  <c r="E80" i="20"/>
  <c r="G80" i="20"/>
  <c r="B67" i="20"/>
  <c r="C67" i="20"/>
  <c r="D67" i="20"/>
  <c r="G67" i="20"/>
  <c r="E67" i="20"/>
  <c r="G49" i="20"/>
  <c r="D49" i="20"/>
  <c r="E49" i="20"/>
  <c r="C49" i="20"/>
  <c r="B49" i="20"/>
  <c r="G81" i="20"/>
  <c r="B81" i="20"/>
  <c r="C81" i="20"/>
  <c r="E81" i="20"/>
  <c r="D81" i="20"/>
  <c r="B18" i="20"/>
  <c r="E18" i="20"/>
  <c r="D18" i="20"/>
  <c r="C18" i="20"/>
  <c r="G18" i="20"/>
  <c r="D48" i="97"/>
  <c r="E48" i="97"/>
  <c r="G48" i="97"/>
  <c r="C48" i="97"/>
  <c r="B48" i="97"/>
  <c r="C20" i="97"/>
  <c r="B20" i="97"/>
  <c r="D20" i="97"/>
  <c r="E20" i="97"/>
  <c r="D36" i="97"/>
  <c r="C36" i="97"/>
  <c r="B36" i="97"/>
  <c r="E36" i="97"/>
  <c r="G36" i="97"/>
  <c r="B74" i="97"/>
  <c r="G74" i="97"/>
  <c r="D74" i="97"/>
  <c r="E74" i="97"/>
  <c r="C74" i="97"/>
  <c r="C34" i="97"/>
  <c r="B34" i="97"/>
  <c r="D34" i="97"/>
  <c r="G34" i="97"/>
  <c r="E34" i="97"/>
  <c r="D47" i="97"/>
  <c r="C47" i="97"/>
  <c r="E47" i="97"/>
  <c r="G47" i="97"/>
  <c r="B47" i="97"/>
  <c r="E53" i="45"/>
  <c r="D53" i="45"/>
  <c r="B53" i="45"/>
  <c r="C53" i="45"/>
  <c r="G53" i="45"/>
  <c r="E8" i="45"/>
  <c r="B8" i="45"/>
  <c r="C8" i="45"/>
  <c r="D8" i="45"/>
  <c r="C49" i="45"/>
  <c r="E49" i="45"/>
  <c r="B49" i="45"/>
  <c r="D49" i="45"/>
  <c r="G49" i="45"/>
  <c r="C75" i="45"/>
  <c r="E75" i="45"/>
  <c r="G75" i="45"/>
  <c r="D75" i="45"/>
  <c r="B75" i="45"/>
  <c r="C16" i="45"/>
  <c r="D16" i="45"/>
  <c r="E16" i="45"/>
  <c r="B16" i="45"/>
  <c r="B57" i="45"/>
  <c r="G57" i="45"/>
  <c r="E57" i="45"/>
  <c r="C57" i="45"/>
  <c r="D57" i="45"/>
  <c r="D51" i="45"/>
  <c r="E51" i="45"/>
  <c r="B51" i="45"/>
  <c r="G51" i="45"/>
  <c r="C51" i="45"/>
  <c r="E41" i="16"/>
  <c r="C41" i="16"/>
  <c r="G41" i="16"/>
  <c r="D41" i="16"/>
  <c r="B41" i="16"/>
  <c r="C44" i="16"/>
  <c r="D44" i="16"/>
  <c r="E44" i="16"/>
  <c r="B44" i="16"/>
  <c r="G44" i="16"/>
  <c r="E66" i="16"/>
  <c r="C66" i="16"/>
  <c r="G66" i="16"/>
  <c r="B66" i="16"/>
  <c r="D66" i="16"/>
  <c r="E25" i="16"/>
  <c r="B25" i="16"/>
  <c r="G25" i="16"/>
  <c r="C25" i="16"/>
  <c r="D25" i="16"/>
  <c r="C27" i="16"/>
  <c r="D27" i="16"/>
  <c r="G27" i="16"/>
  <c r="B27" i="16"/>
  <c r="E27" i="16"/>
  <c r="B67" i="16"/>
  <c r="C67" i="16"/>
  <c r="G67" i="16"/>
  <c r="E67" i="16"/>
  <c r="D67" i="16"/>
  <c r="G12" i="16"/>
  <c r="B12" i="16"/>
  <c r="D12" i="16"/>
  <c r="E12" i="16"/>
  <c r="C12" i="16"/>
  <c r="D42" i="40"/>
  <c r="G42" i="40"/>
  <c r="C42" i="40"/>
  <c r="E42" i="40"/>
  <c r="B42" i="40"/>
  <c r="B70" i="40"/>
  <c r="D70" i="40"/>
  <c r="G70" i="40"/>
  <c r="E70" i="40"/>
  <c r="C70" i="40"/>
  <c r="C67" i="40"/>
  <c r="D67" i="40"/>
  <c r="G67" i="40"/>
  <c r="E67" i="40"/>
  <c r="B67" i="40"/>
  <c r="E10" i="40"/>
  <c r="C10" i="40"/>
  <c r="B10" i="40"/>
  <c r="D10" i="40"/>
  <c r="E59" i="40"/>
  <c r="G59" i="40"/>
  <c r="B59" i="40"/>
  <c r="C59" i="40"/>
  <c r="D59" i="40"/>
  <c r="G35" i="40"/>
  <c r="E35" i="40"/>
  <c r="C35" i="40"/>
  <c r="B35" i="40"/>
  <c r="D35" i="40"/>
  <c r="G59" i="44"/>
  <c r="E59" i="44"/>
  <c r="C59" i="44"/>
  <c r="D59" i="44"/>
  <c r="B59" i="44"/>
  <c r="B19" i="44"/>
  <c r="D19" i="44"/>
  <c r="E19" i="44"/>
  <c r="C19" i="44"/>
  <c r="G19" i="44"/>
  <c r="C29" i="44"/>
  <c r="D29" i="44"/>
  <c r="B29" i="44"/>
  <c r="E29" i="44"/>
  <c r="G29" i="44"/>
  <c r="C79" i="44"/>
  <c r="B79" i="44"/>
  <c r="E79" i="44"/>
  <c r="G79" i="44"/>
  <c r="D79" i="44"/>
  <c r="D80" i="44"/>
  <c r="C80" i="44"/>
  <c r="E80" i="44"/>
  <c r="B80" i="44"/>
  <c r="G80" i="44"/>
  <c r="G74" i="44"/>
  <c r="C74" i="44"/>
  <c r="D74" i="44"/>
  <c r="E74" i="44"/>
  <c r="B74" i="44"/>
  <c r="E25" i="44"/>
  <c r="C25" i="44"/>
  <c r="G25" i="44"/>
  <c r="B25" i="44"/>
  <c r="D25" i="44"/>
  <c r="G34" i="44"/>
  <c r="D34" i="44"/>
  <c r="E34" i="44"/>
  <c r="C34" i="44"/>
  <c r="B34" i="44"/>
  <c r="B56" i="44"/>
  <c r="D56" i="44"/>
  <c r="G56" i="44"/>
  <c r="E56" i="44"/>
  <c r="C56" i="44"/>
  <c r="C24" i="26"/>
  <c r="B24" i="26"/>
  <c r="D24" i="26"/>
  <c r="G24" i="26"/>
  <c r="E24" i="26"/>
  <c r="E74" i="26"/>
  <c r="B74" i="26"/>
  <c r="G74" i="26"/>
  <c r="D74" i="26"/>
  <c r="C74" i="26"/>
  <c r="G7" i="26"/>
  <c r="B7" i="26"/>
  <c r="D7" i="26"/>
  <c r="C7" i="26"/>
  <c r="E7" i="26"/>
  <c r="B63" i="26"/>
  <c r="C63" i="26"/>
  <c r="D63" i="26"/>
  <c r="E63" i="26"/>
  <c r="G63" i="26"/>
  <c r="C58" i="26"/>
  <c r="D58" i="26"/>
  <c r="G58" i="26"/>
  <c r="E58" i="26"/>
  <c r="B58" i="26"/>
  <c r="C48" i="26"/>
  <c r="D48" i="26"/>
  <c r="G48" i="26"/>
  <c r="E48" i="26"/>
  <c r="B48" i="26"/>
  <c r="E156" i="48"/>
  <c r="F156" i="48" a="1"/>
  <c r="F156" i="48" s="1"/>
  <c r="C156" i="48"/>
  <c r="I156" i="48"/>
  <c r="K156" i="48" a="1"/>
  <c r="K156" i="48" s="1"/>
  <c r="D156" i="48"/>
  <c r="E31" i="48"/>
  <c r="F31" i="48" a="1"/>
  <c r="F31" i="48" s="1"/>
  <c r="D31" i="48"/>
  <c r="C31" i="48"/>
  <c r="E305" i="48"/>
  <c r="K305" i="48" a="1"/>
  <c r="K305" i="48" s="1"/>
  <c r="I305" i="48"/>
  <c r="C305" i="48"/>
  <c r="D305" i="48"/>
  <c r="F305" i="48" a="1"/>
  <c r="F305" i="48" s="1"/>
  <c r="D258" i="48"/>
  <c r="C258" i="48"/>
  <c r="F258" i="48" a="1"/>
  <c r="F258" i="48" s="1"/>
  <c r="K258" i="48" a="1"/>
  <c r="K258" i="48" s="1"/>
  <c r="E258" i="48"/>
  <c r="I258" i="48"/>
  <c r="C245" i="48"/>
  <c r="D245" i="48"/>
  <c r="K245" i="48" a="1"/>
  <c r="K245" i="48" s="1"/>
  <c r="E245" i="48"/>
  <c r="I245" i="48"/>
  <c r="F245" i="48" a="1"/>
  <c r="F245" i="48" s="1"/>
  <c r="F160" i="48" a="1"/>
  <c r="F160" i="48" s="1"/>
  <c r="D160" i="48"/>
  <c r="E160" i="48"/>
  <c r="C160" i="48"/>
  <c r="I160" i="48"/>
  <c r="K160" i="48" a="1"/>
  <c r="K160" i="48" s="1"/>
  <c r="C56" i="48"/>
  <c r="F56" i="48" a="1"/>
  <c r="F56" i="48" s="1"/>
  <c r="E56" i="48"/>
  <c r="I175" i="48"/>
  <c r="D175" i="48"/>
  <c r="C175" i="48"/>
  <c r="E175" i="48"/>
  <c r="K175" i="48" a="1"/>
  <c r="K175" i="48" s="1"/>
  <c r="F175" i="48" a="1"/>
  <c r="F175" i="48" s="1"/>
  <c r="D29" i="48"/>
  <c r="F29" i="48" a="1"/>
  <c r="F29" i="48" s="1"/>
  <c r="E29" i="48"/>
  <c r="C29" i="48"/>
  <c r="F293" i="48" a="1"/>
  <c r="F293" i="48" s="1"/>
  <c r="I293" i="48"/>
  <c r="D293" i="48"/>
  <c r="C293" i="48"/>
  <c r="E293" i="48"/>
  <c r="K293" i="48" a="1"/>
  <c r="K293" i="48" s="1"/>
  <c r="E50" i="48"/>
  <c r="F50" i="48" a="1"/>
  <c r="F50" i="48" s="1"/>
  <c r="C50" i="48"/>
  <c r="C37" i="48"/>
  <c r="F37" i="48" a="1"/>
  <c r="F37" i="48" s="1"/>
  <c r="E37" i="48"/>
  <c r="E106" i="48"/>
  <c r="D106" i="48"/>
  <c r="F106" i="48" a="1"/>
  <c r="F106" i="48" s="1"/>
  <c r="C106" i="48"/>
  <c r="F127" i="48" a="1"/>
  <c r="F127" i="48" s="1"/>
  <c r="E127" i="48"/>
  <c r="C127" i="48"/>
  <c r="K127" i="48" a="1"/>
  <c r="K127" i="48" s="1"/>
  <c r="E33" i="48"/>
  <c r="C33" i="48"/>
  <c r="F33" i="48" a="1"/>
  <c r="F33" i="48" s="1"/>
  <c r="E176" i="48"/>
  <c r="F176" i="48" a="1"/>
  <c r="F176" i="48" s="1"/>
  <c r="C176" i="48"/>
  <c r="K176" i="48" a="1"/>
  <c r="K176" i="48" s="1"/>
  <c r="D176" i="48"/>
  <c r="I176" i="48"/>
  <c r="F135" i="48" a="1"/>
  <c r="F135" i="48" s="1"/>
  <c r="I135" i="48"/>
  <c r="D135" i="48"/>
  <c r="C135" i="48"/>
  <c r="K135" i="48" a="1"/>
  <c r="K135" i="48" s="1"/>
  <c r="E135" i="48"/>
  <c r="F42" i="48" a="1"/>
  <c r="F42" i="48" s="1"/>
  <c r="C42" i="48"/>
  <c r="E42" i="48"/>
  <c r="D256" i="48"/>
  <c r="C256" i="48"/>
  <c r="E256" i="48"/>
  <c r="I256" i="48"/>
  <c r="K256" i="48" a="1"/>
  <c r="K256" i="48" s="1"/>
  <c r="F256" i="48" a="1"/>
  <c r="F256" i="48" s="1"/>
  <c r="I283" i="48"/>
  <c r="E283" i="48"/>
  <c r="D283" i="48"/>
  <c r="K283" i="48" a="1"/>
  <c r="K283" i="48" s="1"/>
  <c r="C283" i="48"/>
  <c r="F283" i="48" a="1"/>
  <c r="F283" i="48" s="1"/>
  <c r="K246" i="48" a="1"/>
  <c r="K246" i="48" s="1"/>
  <c r="E246" i="48"/>
  <c r="I246" i="48"/>
  <c r="D246" i="48"/>
  <c r="F246" i="48" a="1"/>
  <c r="F246" i="48" s="1"/>
  <c r="C246" i="48"/>
  <c r="F253" i="48" a="1"/>
  <c r="F253" i="48" s="1"/>
  <c r="I253" i="48"/>
  <c r="K253" i="48" a="1"/>
  <c r="K253" i="48" s="1"/>
  <c r="E253" i="48"/>
  <c r="C253" i="48"/>
  <c r="D253" i="48"/>
  <c r="C279" i="48"/>
  <c r="I279" i="48"/>
  <c r="E279" i="48"/>
  <c r="D279" i="48"/>
  <c r="K279" i="48" a="1"/>
  <c r="K279" i="48" s="1"/>
  <c r="F279" i="48" a="1"/>
  <c r="F279" i="48" s="1"/>
  <c r="F301" i="48" a="1"/>
  <c r="F301" i="48" s="1"/>
  <c r="K301" i="48" a="1"/>
  <c r="K301" i="48" s="1"/>
  <c r="I301" i="48"/>
  <c r="D301" i="48"/>
  <c r="E301" i="48"/>
  <c r="C301" i="48"/>
  <c r="D24" i="48"/>
  <c r="C24" i="48"/>
  <c r="E24" i="48"/>
  <c r="F24" i="48" a="1"/>
  <c r="F24" i="48" s="1"/>
  <c r="I211" i="48"/>
  <c r="K211" i="48" a="1"/>
  <c r="K211" i="48" s="1"/>
  <c r="F211" i="48" a="1"/>
  <c r="F211" i="48" s="1"/>
  <c r="E211" i="48"/>
  <c r="C211" i="48"/>
  <c r="D211" i="48"/>
  <c r="C324" i="48"/>
  <c r="E324" i="48"/>
  <c r="F324" i="48" a="1"/>
  <c r="F324" i="48" s="1"/>
  <c r="I324" i="48"/>
  <c r="D324" i="48"/>
  <c r="K324" i="48" a="1"/>
  <c r="K324" i="48" s="1"/>
  <c r="F87" i="48" a="1"/>
  <c r="F87" i="48" s="1"/>
  <c r="C87" i="48"/>
  <c r="E87" i="48"/>
  <c r="E223" i="48"/>
  <c r="D223" i="48"/>
  <c r="K223" i="48" a="1"/>
  <c r="K223" i="48" s="1"/>
  <c r="C223" i="48"/>
  <c r="F223" i="48" a="1"/>
  <c r="F223" i="48" s="1"/>
  <c r="I223" i="48"/>
  <c r="I339" i="48"/>
  <c r="K339" i="48" a="1"/>
  <c r="K339" i="48" s="1"/>
  <c r="C339" i="48"/>
  <c r="F339" i="48" a="1"/>
  <c r="F339" i="48" s="1"/>
  <c r="E339" i="48"/>
  <c r="D339" i="48"/>
  <c r="D221" i="48"/>
  <c r="K221" i="48" a="1"/>
  <c r="K221" i="48" s="1"/>
  <c r="E221" i="48"/>
  <c r="F221" i="48" a="1"/>
  <c r="F221" i="48" s="1"/>
  <c r="I221" i="48"/>
  <c r="C221" i="48"/>
  <c r="E53" i="21"/>
  <c r="D53" i="21"/>
  <c r="C53" i="21"/>
  <c r="G53" i="21"/>
  <c r="B53" i="21"/>
  <c r="B12" i="21"/>
  <c r="E12" i="21"/>
  <c r="C12" i="21"/>
  <c r="D12" i="21"/>
  <c r="D46" i="21"/>
  <c r="B46" i="21"/>
  <c r="C46" i="21"/>
  <c r="E46" i="21"/>
  <c r="G46" i="21"/>
  <c r="B34" i="21"/>
  <c r="D34" i="21"/>
  <c r="C34" i="21"/>
  <c r="E34" i="21"/>
  <c r="G34" i="21"/>
  <c r="E22" i="21"/>
  <c r="D22" i="21"/>
  <c r="B22" i="21"/>
  <c r="G41" i="21"/>
  <c r="C41" i="21"/>
  <c r="B41" i="21"/>
  <c r="D41" i="21"/>
  <c r="E41" i="21"/>
  <c r="B10" i="21"/>
  <c r="E10" i="21"/>
  <c r="D10" i="21"/>
  <c r="C10" i="21"/>
  <c r="Z16" i="101"/>
  <c r="Y16" i="101"/>
  <c r="AA16" i="101"/>
  <c r="X16" i="101"/>
  <c r="Y21" i="101"/>
  <c r="Z21" i="101"/>
  <c r="AA21" i="101"/>
  <c r="X21" i="101"/>
  <c r="X43" i="101"/>
  <c r="Y43" i="101"/>
  <c r="Z43" i="101"/>
  <c r="AA43" i="101"/>
  <c r="Z14" i="101"/>
  <c r="AA14" i="101"/>
  <c r="X14" i="101"/>
  <c r="Y14" i="101"/>
  <c r="D18" i="98"/>
  <c r="B18" i="98"/>
  <c r="C18" i="98"/>
  <c r="C6" i="98"/>
  <c r="D6" i="98"/>
  <c r="E6" i="98"/>
  <c r="B6" i="98"/>
  <c r="C68" i="98"/>
  <c r="E68" i="98"/>
  <c r="G68" i="98"/>
  <c r="D68" i="98"/>
  <c r="B68" i="98"/>
  <c r="D83" i="98"/>
  <c r="B83" i="98"/>
  <c r="E83" i="98"/>
  <c r="C83" i="98"/>
  <c r="G83" i="98"/>
  <c r="E75" i="98"/>
  <c r="D75" i="98"/>
  <c r="G75" i="98"/>
  <c r="C75" i="98"/>
  <c r="B75" i="98"/>
  <c r="C58" i="98"/>
  <c r="B58" i="98"/>
  <c r="G58" i="98"/>
  <c r="E58" i="98"/>
  <c r="D58" i="98"/>
  <c r="B10" i="37"/>
  <c r="G10" i="37"/>
  <c r="D10" i="37"/>
  <c r="C10" i="37"/>
  <c r="E10" i="37"/>
  <c r="E56" i="37"/>
  <c r="D56" i="37"/>
  <c r="C56" i="37"/>
  <c r="G56" i="37"/>
  <c r="B56" i="37"/>
  <c r="D24" i="37"/>
  <c r="B24" i="37"/>
  <c r="E24" i="37"/>
  <c r="C24" i="37"/>
  <c r="G24" i="37"/>
  <c r="B34" i="37"/>
  <c r="D34" i="37"/>
  <c r="C34" i="37"/>
  <c r="E34" i="37"/>
  <c r="G34" i="37"/>
  <c r="D64" i="37"/>
  <c r="C64" i="37"/>
  <c r="B64" i="37"/>
  <c r="G64" i="37"/>
  <c r="E64" i="37"/>
  <c r="G36" i="37"/>
  <c r="E36" i="37"/>
  <c r="B36" i="37"/>
  <c r="C36" i="37"/>
  <c r="D36" i="37"/>
  <c r="E81" i="37"/>
  <c r="D81" i="37"/>
  <c r="B81" i="37"/>
  <c r="C81" i="37"/>
  <c r="G81" i="37"/>
  <c r="B84" i="37"/>
  <c r="G84" i="37"/>
  <c r="C84" i="37"/>
  <c r="E84" i="37"/>
  <c r="D84" i="37"/>
  <c r="B73" i="30"/>
  <c r="E73" i="30"/>
  <c r="D73" i="30"/>
  <c r="C73" i="30"/>
  <c r="G73" i="30"/>
  <c r="C62" i="30"/>
  <c r="B62" i="30"/>
  <c r="E62" i="30"/>
  <c r="D62" i="30"/>
  <c r="G62" i="30"/>
  <c r="C9" i="30"/>
  <c r="D9" i="30"/>
  <c r="G9" i="30"/>
  <c r="B9" i="30"/>
  <c r="E9" i="30"/>
  <c r="C44" i="30"/>
  <c r="D44" i="30"/>
  <c r="B44" i="30"/>
  <c r="E44" i="30"/>
  <c r="G44" i="30"/>
  <c r="G12" i="30"/>
  <c r="B12" i="30"/>
  <c r="D12" i="30"/>
  <c r="E12" i="30"/>
  <c r="C12" i="30"/>
  <c r="G79" i="30"/>
  <c r="C79" i="30"/>
  <c r="D79" i="30"/>
  <c r="B79" i="30"/>
  <c r="E79" i="30"/>
  <c r="G53" i="30"/>
  <c r="B53" i="30"/>
  <c r="D53" i="30"/>
  <c r="C53" i="30"/>
  <c r="E53" i="30"/>
  <c r="C47" i="35"/>
  <c r="G47" i="35"/>
  <c r="E47" i="35"/>
  <c r="B47" i="35"/>
  <c r="D47" i="35"/>
  <c r="D49" i="17"/>
  <c r="C49" i="17"/>
  <c r="E49" i="17"/>
  <c r="G49" i="17"/>
  <c r="B49" i="17"/>
  <c r="D41" i="17"/>
  <c r="G41" i="17"/>
  <c r="B41" i="17"/>
  <c r="E41" i="17"/>
  <c r="C41" i="17"/>
  <c r="C63" i="17"/>
  <c r="D63" i="17"/>
  <c r="E63" i="17"/>
  <c r="G63" i="17"/>
  <c r="B63" i="17"/>
  <c r="E79" i="17"/>
  <c r="G79" i="17"/>
  <c r="B79" i="17"/>
  <c r="D79" i="17"/>
  <c r="C79" i="17"/>
  <c r="D43" i="17"/>
  <c r="B43" i="17"/>
  <c r="C43" i="17"/>
  <c r="E43" i="17"/>
  <c r="G43" i="17"/>
  <c r="B42" i="17"/>
  <c r="G42" i="17"/>
  <c r="C42" i="17"/>
  <c r="D42" i="17"/>
  <c r="E42" i="17"/>
  <c r="E66" i="17"/>
  <c r="C66" i="17"/>
  <c r="G66" i="17"/>
  <c r="B66" i="17"/>
  <c r="D66" i="17"/>
  <c r="B67" i="17"/>
  <c r="D67" i="17"/>
  <c r="E67" i="17"/>
  <c r="C67" i="17"/>
  <c r="G67" i="17"/>
  <c r="B23" i="13"/>
  <c r="E23" i="13"/>
  <c r="C23" i="13"/>
  <c r="D23" i="13"/>
  <c r="B41" i="13"/>
  <c r="D41" i="13"/>
  <c r="G41" i="13"/>
  <c r="C41" i="13"/>
  <c r="E41" i="13"/>
  <c r="G55" i="13"/>
  <c r="E55" i="13"/>
  <c r="B55" i="13"/>
  <c r="D55" i="13"/>
  <c r="C55" i="13"/>
  <c r="B69" i="13"/>
  <c r="G69" i="13"/>
  <c r="E69" i="13"/>
  <c r="C69" i="13"/>
  <c r="D69" i="13"/>
  <c r="D27" i="13"/>
  <c r="C27" i="13"/>
  <c r="B27" i="13"/>
  <c r="E27" i="13"/>
  <c r="B59" i="13"/>
  <c r="E59" i="13"/>
  <c r="C59" i="13"/>
  <c r="D59" i="13"/>
  <c r="G59" i="13"/>
  <c r="C22" i="13"/>
  <c r="B22" i="13"/>
  <c r="D22" i="13"/>
  <c r="E22" i="13"/>
  <c r="B40" i="13"/>
  <c r="G40" i="13"/>
  <c r="E40" i="13"/>
  <c r="C40" i="13"/>
  <c r="D40" i="13"/>
  <c r="B9" i="36"/>
  <c r="E67" i="36"/>
  <c r="G67" i="36"/>
  <c r="C67" i="36"/>
  <c r="D67" i="36"/>
  <c r="B67" i="36"/>
  <c r="G28" i="36"/>
  <c r="D28" i="36"/>
  <c r="C28" i="36"/>
  <c r="B28" i="36"/>
  <c r="E28" i="36"/>
  <c r="E16" i="36"/>
  <c r="C16" i="36"/>
  <c r="B16" i="36"/>
  <c r="D16" i="36"/>
  <c r="E82" i="36"/>
  <c r="G82" i="36"/>
  <c r="B82" i="36"/>
  <c r="C82" i="36"/>
  <c r="D82" i="36"/>
  <c r="E10" i="36"/>
  <c r="B10" i="36"/>
  <c r="D10" i="36"/>
  <c r="C10" i="36"/>
  <c r="B8" i="36"/>
  <c r="C8" i="36"/>
  <c r="D8" i="36"/>
  <c r="E8" i="36"/>
  <c r="E26" i="36"/>
  <c r="D26" i="36"/>
  <c r="G26" i="36"/>
  <c r="B26" i="36"/>
  <c r="C26" i="36"/>
  <c r="E58" i="99"/>
  <c r="D58" i="99"/>
  <c r="G58" i="99"/>
  <c r="B58" i="99"/>
  <c r="C58" i="99"/>
  <c r="B44" i="99"/>
  <c r="D44" i="99"/>
  <c r="E44" i="99"/>
  <c r="C44" i="99"/>
  <c r="G44" i="99"/>
  <c r="B9" i="99"/>
  <c r="C9" i="99"/>
  <c r="E9" i="99"/>
  <c r="D9" i="99"/>
  <c r="E84" i="99"/>
  <c r="G84" i="99"/>
  <c r="B84" i="99"/>
  <c r="C84" i="99"/>
  <c r="D84" i="99"/>
  <c r="G80" i="99"/>
  <c r="D80" i="99"/>
  <c r="C80" i="99"/>
  <c r="E80" i="99"/>
  <c r="B80" i="99"/>
  <c r="D56" i="99"/>
  <c r="C56" i="99"/>
  <c r="E56" i="99"/>
  <c r="B56" i="99"/>
  <c r="G56" i="99"/>
  <c r="E73" i="99"/>
  <c r="D73" i="99"/>
  <c r="B73" i="99"/>
  <c r="G73" i="99"/>
  <c r="C73" i="99"/>
  <c r="C60" i="99"/>
  <c r="D60" i="99"/>
  <c r="B60" i="99"/>
  <c r="G60" i="99"/>
  <c r="E60" i="99"/>
  <c r="E21" i="99"/>
  <c r="C21" i="99"/>
  <c r="G21" i="99"/>
  <c r="B21" i="99"/>
  <c r="D21" i="99"/>
  <c r="B22" i="20"/>
  <c r="C22" i="20"/>
  <c r="G22" i="20"/>
  <c r="D22" i="20"/>
  <c r="E22" i="20"/>
  <c r="B59" i="20"/>
  <c r="G59" i="20"/>
  <c r="E59" i="20"/>
  <c r="C59" i="20"/>
  <c r="D59" i="20"/>
  <c r="D39" i="20"/>
  <c r="C39" i="20"/>
  <c r="B39" i="20"/>
  <c r="G39" i="20"/>
  <c r="E39" i="20"/>
  <c r="G61" i="20"/>
  <c r="B61" i="20"/>
  <c r="E61" i="20"/>
  <c r="C61" i="20"/>
  <c r="D61" i="20"/>
  <c r="E44" i="20"/>
  <c r="G44" i="20"/>
  <c r="B44" i="20"/>
  <c r="D44" i="20"/>
  <c r="C44" i="20"/>
  <c r="B26" i="20"/>
  <c r="E26" i="20"/>
  <c r="D26" i="20"/>
  <c r="G26" i="20"/>
  <c r="C26" i="20"/>
  <c r="D62" i="20"/>
  <c r="B62" i="20"/>
  <c r="E62" i="20"/>
  <c r="C62" i="20"/>
  <c r="G62" i="20"/>
  <c r="E74" i="20"/>
  <c r="C74" i="20"/>
  <c r="G74" i="20"/>
  <c r="B74" i="20"/>
  <c r="D74" i="20"/>
  <c r="E78" i="20"/>
  <c r="C78" i="20"/>
  <c r="G78" i="20"/>
  <c r="B78" i="20"/>
  <c r="D78" i="20"/>
  <c r="C12" i="97"/>
  <c r="D12" i="97"/>
  <c r="E12" i="97"/>
  <c r="B12" i="97"/>
  <c r="C29" i="97"/>
  <c r="B29" i="97"/>
  <c r="G29" i="97"/>
  <c r="E29" i="97"/>
  <c r="D29" i="97"/>
  <c r="C54" i="97"/>
  <c r="G54" i="97"/>
  <c r="D54" i="97"/>
  <c r="B54" i="97"/>
  <c r="E54" i="97"/>
  <c r="B77" i="97"/>
  <c r="C77" i="97"/>
  <c r="G77" i="97"/>
  <c r="D77" i="97"/>
  <c r="E77" i="97"/>
  <c r="B45" i="97"/>
  <c r="C45" i="97"/>
  <c r="G45" i="97"/>
  <c r="D45" i="97"/>
  <c r="E45" i="97"/>
  <c r="C60" i="97"/>
  <c r="D60" i="97"/>
  <c r="B60" i="97"/>
  <c r="G60" i="97"/>
  <c r="E60" i="97"/>
  <c r="D72" i="45"/>
  <c r="E72" i="45"/>
  <c r="B72" i="45"/>
  <c r="C72" i="45"/>
  <c r="G72" i="45"/>
  <c r="B85" i="45"/>
  <c r="G85" i="45"/>
  <c r="E85" i="45"/>
  <c r="C85" i="45"/>
  <c r="D85" i="45"/>
  <c r="C66" i="45"/>
  <c r="G66" i="45"/>
  <c r="E66" i="45"/>
  <c r="B66" i="45"/>
  <c r="D66" i="45"/>
  <c r="B68" i="45"/>
  <c r="D68" i="45"/>
  <c r="E68" i="45"/>
  <c r="G68" i="45"/>
  <c r="C68" i="45"/>
  <c r="B50" i="45"/>
  <c r="G50" i="45"/>
  <c r="C50" i="45"/>
  <c r="D50" i="45"/>
  <c r="E50" i="45"/>
  <c r="B20" i="45"/>
  <c r="E20" i="45"/>
  <c r="D20" i="45"/>
  <c r="D74" i="16"/>
  <c r="B74" i="16"/>
  <c r="G74" i="16"/>
  <c r="C74" i="16"/>
  <c r="E74" i="16"/>
  <c r="D30" i="16"/>
  <c r="G30" i="16"/>
  <c r="E30" i="16"/>
  <c r="C30" i="16"/>
  <c r="B30" i="16"/>
  <c r="C55" i="16"/>
  <c r="B55" i="16"/>
  <c r="E55" i="16"/>
  <c r="G55" i="16"/>
  <c r="D55" i="16"/>
  <c r="E49" i="16"/>
  <c r="G49" i="16"/>
  <c r="C49" i="16"/>
  <c r="D49" i="16"/>
  <c r="B49" i="16"/>
  <c r="D46" i="16"/>
  <c r="E46" i="16"/>
  <c r="G46" i="16"/>
  <c r="B46" i="16"/>
  <c r="C46" i="16"/>
  <c r="D50" i="16"/>
  <c r="G50" i="16"/>
  <c r="B50" i="16"/>
  <c r="E50" i="16"/>
  <c r="C50" i="16"/>
  <c r="G28" i="16"/>
  <c r="B28" i="16"/>
  <c r="D28" i="16"/>
  <c r="E28" i="16"/>
  <c r="C28" i="16"/>
  <c r="D62" i="40"/>
  <c r="B62" i="40"/>
  <c r="E62" i="40"/>
  <c r="G62" i="40"/>
  <c r="C62" i="40"/>
  <c r="E69" i="40"/>
  <c r="D69" i="40"/>
  <c r="G69" i="40"/>
  <c r="B69" i="40"/>
  <c r="C69" i="40"/>
  <c r="D33" i="40"/>
  <c r="B33" i="40"/>
  <c r="E33" i="40"/>
  <c r="C33" i="40"/>
  <c r="C85" i="40"/>
  <c r="D85" i="40"/>
  <c r="B85" i="40"/>
  <c r="G85" i="40"/>
  <c r="E85" i="40"/>
  <c r="B80" i="40"/>
  <c r="D80" i="40"/>
  <c r="G80" i="40"/>
  <c r="E80" i="40"/>
  <c r="C80" i="40"/>
  <c r="E63" i="40"/>
  <c r="G63" i="40"/>
  <c r="C63" i="40"/>
  <c r="D63" i="40"/>
  <c r="B63" i="40"/>
  <c r="B82" i="40"/>
  <c r="G82" i="40"/>
  <c r="E82" i="40"/>
  <c r="D82" i="40"/>
  <c r="C82" i="40"/>
  <c r="D23" i="40"/>
  <c r="C23" i="40"/>
  <c r="B23" i="40"/>
  <c r="E23" i="40"/>
  <c r="C21" i="44"/>
  <c r="D21" i="44"/>
  <c r="B21" i="44"/>
  <c r="G21" i="44"/>
  <c r="E21" i="44"/>
  <c r="C8" i="44"/>
  <c r="G8" i="44"/>
  <c r="D8" i="44"/>
  <c r="E8" i="44"/>
  <c r="B8" i="44"/>
  <c r="G24" i="44"/>
  <c r="D24" i="44"/>
  <c r="E24" i="44"/>
  <c r="B24" i="44"/>
  <c r="C24" i="44"/>
  <c r="E16" i="44"/>
  <c r="C16" i="44"/>
  <c r="D16" i="44"/>
  <c r="B16" i="44"/>
  <c r="G16" i="44"/>
  <c r="E75" i="44"/>
  <c r="C75" i="44"/>
  <c r="B75" i="44"/>
  <c r="D75" i="44"/>
  <c r="G75" i="44"/>
  <c r="D54" i="44"/>
  <c r="G54" i="44"/>
  <c r="B54" i="44"/>
  <c r="C54" i="44"/>
  <c r="E54" i="44"/>
  <c r="G29" i="26"/>
  <c r="B29" i="26"/>
  <c r="E29" i="26"/>
  <c r="D29" i="26"/>
  <c r="C29" i="26"/>
  <c r="C28" i="26"/>
  <c r="G28" i="26"/>
  <c r="D28" i="26"/>
  <c r="E28" i="26"/>
  <c r="B28" i="26"/>
  <c r="E81" i="26"/>
  <c r="G81" i="26"/>
  <c r="B81" i="26"/>
  <c r="C81" i="26"/>
  <c r="D81" i="26"/>
  <c r="G61" i="26"/>
  <c r="B61" i="26"/>
  <c r="D61" i="26"/>
  <c r="C61" i="26"/>
  <c r="E61" i="26"/>
  <c r="E35" i="26"/>
  <c r="G35" i="26"/>
  <c r="D35" i="26"/>
  <c r="B35" i="26"/>
  <c r="C35" i="26"/>
  <c r="D42" i="26"/>
  <c r="G42" i="26"/>
  <c r="B42" i="26"/>
  <c r="C42" i="26"/>
  <c r="E42" i="26"/>
  <c r="G20" i="26"/>
  <c r="D20" i="26"/>
  <c r="B20" i="26"/>
  <c r="E20" i="26"/>
  <c r="C20" i="26"/>
  <c r="D83" i="48"/>
  <c r="E83" i="48"/>
  <c r="C83" i="48"/>
  <c r="F83" i="48" a="1"/>
  <c r="F83" i="48" s="1"/>
  <c r="E44" i="48"/>
  <c r="C44" i="48"/>
  <c r="F44" i="48" a="1"/>
  <c r="F44" i="48" s="1"/>
  <c r="D311" i="48"/>
  <c r="F311" i="48" a="1"/>
  <c r="F311" i="48" s="1"/>
  <c r="I311" i="48"/>
  <c r="K311" i="48" a="1"/>
  <c r="K311" i="48" s="1"/>
  <c r="C311" i="48"/>
  <c r="E311" i="48"/>
  <c r="I296" i="48"/>
  <c r="F296" i="48" a="1"/>
  <c r="F296" i="48" s="1"/>
  <c r="D296" i="48"/>
  <c r="C296" i="48"/>
  <c r="K296" i="48" a="1"/>
  <c r="K296" i="48" s="1"/>
  <c r="E296" i="48"/>
  <c r="F332" i="48" a="1"/>
  <c r="F332" i="48" s="1"/>
  <c r="D332" i="48"/>
  <c r="K332" i="48" a="1"/>
  <c r="K332" i="48" s="1"/>
  <c r="C332" i="48"/>
  <c r="E332" i="48"/>
  <c r="I332" i="48"/>
  <c r="F35" i="48" a="1"/>
  <c r="F35" i="48" s="1"/>
  <c r="D35" i="48"/>
  <c r="E35" i="48"/>
  <c r="C35" i="48"/>
  <c r="I260" i="48"/>
  <c r="C260" i="48"/>
  <c r="F260" i="48" a="1"/>
  <c r="F260" i="48" s="1"/>
  <c r="D260" i="48"/>
  <c r="E260" i="48"/>
  <c r="K260" i="48" a="1"/>
  <c r="K260" i="48" s="1"/>
  <c r="F108" i="48" a="1"/>
  <c r="F108" i="48" s="1"/>
  <c r="C108" i="48"/>
  <c r="E108" i="48"/>
  <c r="D108" i="48"/>
  <c r="I154" i="48"/>
  <c r="E154" i="48"/>
  <c r="F154" i="48" a="1"/>
  <c r="F154" i="48" s="1"/>
  <c r="D154" i="48"/>
  <c r="K154" i="48" a="1"/>
  <c r="K154" i="48" s="1"/>
  <c r="C154" i="48"/>
  <c r="D300" i="48"/>
  <c r="I300" i="48"/>
  <c r="F300" i="48" a="1"/>
  <c r="F300" i="48" s="1"/>
  <c r="E300" i="48"/>
  <c r="C300" i="48"/>
  <c r="K300" i="48" a="1"/>
  <c r="K300" i="48" s="1"/>
  <c r="I282" i="48"/>
  <c r="D282" i="48"/>
  <c r="K282" i="48" a="1"/>
  <c r="K282" i="48" s="1"/>
  <c r="E282" i="48"/>
  <c r="C282" i="48"/>
  <c r="F282" i="48" a="1"/>
  <c r="F282" i="48" s="1"/>
  <c r="F101" i="48" a="1"/>
  <c r="F101" i="48" s="1"/>
  <c r="E101" i="48"/>
  <c r="C101" i="48"/>
  <c r="D101" i="48"/>
  <c r="D112" i="48"/>
  <c r="C112" i="48"/>
  <c r="F112" i="48" a="1"/>
  <c r="F112" i="48" s="1"/>
  <c r="E112" i="48"/>
  <c r="E90" i="48"/>
  <c r="F90" i="48" a="1"/>
  <c r="F90" i="48" s="1"/>
  <c r="K90" i="48" a="1"/>
  <c r="K90" i="48" s="1"/>
  <c r="C90" i="48"/>
  <c r="C75" i="48"/>
  <c r="E75" i="48"/>
  <c r="F75" i="48" a="1"/>
  <c r="F75" i="48" s="1"/>
  <c r="E66" i="48"/>
  <c r="F66" i="48" a="1"/>
  <c r="F66" i="48" s="1"/>
  <c r="C66" i="48"/>
  <c r="D25" i="48"/>
  <c r="F25" i="48" a="1"/>
  <c r="F25" i="48" s="1"/>
  <c r="C25" i="48"/>
  <c r="E25" i="48"/>
  <c r="K327" i="48" a="1"/>
  <c r="K327" i="48" s="1"/>
  <c r="I327" i="48"/>
  <c r="E327" i="48"/>
  <c r="D327" i="48"/>
  <c r="F327" i="48" a="1"/>
  <c r="F327" i="48" s="1"/>
  <c r="C327" i="48"/>
  <c r="D350" i="48"/>
  <c r="C350" i="48"/>
  <c r="F350" i="48" a="1"/>
  <c r="F350" i="48" s="1"/>
  <c r="E350" i="48"/>
  <c r="I350" i="48"/>
  <c r="K350" i="48" a="1"/>
  <c r="K350" i="48" s="1"/>
  <c r="I216" i="48"/>
  <c r="C216" i="48"/>
  <c r="K216" i="48" a="1"/>
  <c r="K216" i="48" s="1"/>
  <c r="F216" i="48" a="1"/>
  <c r="F216" i="48" s="1"/>
  <c r="D216" i="48"/>
  <c r="E216" i="48"/>
  <c r="D124" i="48"/>
  <c r="E124" i="48"/>
  <c r="F124" i="48" a="1"/>
  <c r="F124" i="48" s="1"/>
  <c r="C124" i="48"/>
  <c r="E19" i="48"/>
  <c r="F19" i="48" a="1"/>
  <c r="F19" i="48" s="1"/>
  <c r="C19" i="48"/>
  <c r="D227" i="48"/>
  <c r="C227" i="48"/>
  <c r="F227" i="48" a="1"/>
  <c r="F227" i="48" s="1"/>
  <c r="K227" i="48" a="1"/>
  <c r="K227" i="48" s="1"/>
  <c r="I227" i="48"/>
  <c r="E227" i="48"/>
  <c r="F62" i="48" a="1"/>
  <c r="F62" i="48" s="1"/>
  <c r="E62" i="48"/>
  <c r="C62" i="48"/>
  <c r="C304" i="48"/>
  <c r="F304" i="48" a="1"/>
  <c r="F304" i="48" s="1"/>
  <c r="E304" i="48"/>
  <c r="D304" i="48"/>
  <c r="K304" i="48" a="1"/>
  <c r="K304" i="48" s="1"/>
  <c r="I304" i="48"/>
  <c r="F257" i="48" a="1"/>
  <c r="F257" i="48" s="1"/>
  <c r="E257" i="48"/>
  <c r="I257" i="48"/>
  <c r="D257" i="48"/>
  <c r="C257" i="48"/>
  <c r="K257" i="48" a="1"/>
  <c r="K257" i="48" s="1"/>
  <c r="E232" i="48"/>
  <c r="D232" i="48"/>
  <c r="I232" i="48"/>
  <c r="C232" i="48"/>
  <c r="K232" i="48" a="1"/>
  <c r="K232" i="48" s="1"/>
  <c r="F232" i="48" a="1"/>
  <c r="F232" i="48" s="1"/>
  <c r="E337" i="48"/>
  <c r="F337" i="48" a="1"/>
  <c r="F337" i="48" s="1"/>
  <c r="I337" i="48"/>
  <c r="K337" i="48" a="1"/>
  <c r="K337" i="48" s="1"/>
  <c r="D337" i="48"/>
  <c r="C337" i="48"/>
  <c r="I333" i="48"/>
  <c r="C333" i="48"/>
  <c r="F333" i="48" a="1"/>
  <c r="F333" i="48" s="1"/>
  <c r="K333" i="48" a="1"/>
  <c r="K333" i="48" s="1"/>
  <c r="D333" i="48"/>
  <c r="E333" i="48"/>
  <c r="E64" i="48"/>
  <c r="F64" i="48" a="1"/>
  <c r="F64" i="48" s="1"/>
  <c r="C64" i="48"/>
  <c r="F269" i="48" a="1"/>
  <c r="F269" i="48" s="1"/>
  <c r="K269" i="48" a="1"/>
  <c r="K269" i="48" s="1"/>
  <c r="E269" i="48"/>
  <c r="I269" i="48"/>
  <c r="D269" i="48"/>
  <c r="C269" i="48"/>
  <c r="E231" i="48"/>
  <c r="D231" i="48"/>
  <c r="K231" i="48" a="1"/>
  <c r="K231" i="48" s="1"/>
  <c r="I231" i="48"/>
  <c r="C231" i="48"/>
  <c r="F231" i="48" a="1"/>
  <c r="F231" i="48" s="1"/>
  <c r="C6" i="48"/>
  <c r="E6" i="48"/>
  <c r="D6" i="48"/>
  <c r="F6" i="48" a="1"/>
  <c r="F6" i="48" s="1"/>
  <c r="E51" i="21"/>
  <c r="C51" i="21"/>
  <c r="D51" i="21"/>
  <c r="B51" i="21"/>
  <c r="G51" i="21"/>
  <c r="D18" i="21"/>
  <c r="B18" i="21"/>
  <c r="E18" i="21"/>
  <c r="D71" i="21"/>
  <c r="G71" i="21"/>
  <c r="B71" i="21"/>
  <c r="E71" i="21"/>
  <c r="C71" i="21"/>
  <c r="B74" i="21"/>
  <c r="E74" i="21"/>
  <c r="D74" i="21"/>
  <c r="C74" i="21"/>
  <c r="G74" i="21"/>
  <c r="B31" i="21"/>
  <c r="D31" i="21"/>
  <c r="C31" i="21"/>
  <c r="E31" i="21"/>
  <c r="G31" i="21"/>
  <c r="B81" i="21"/>
  <c r="G81" i="21"/>
  <c r="C81" i="21"/>
  <c r="E81" i="21"/>
  <c r="D81" i="21"/>
  <c r="D32" i="21"/>
  <c r="E32" i="21"/>
  <c r="B32" i="21"/>
  <c r="G32" i="21"/>
  <c r="C32" i="21"/>
  <c r="E6" i="21"/>
  <c r="C6" i="21"/>
  <c r="B6" i="21"/>
  <c r="D6" i="21"/>
  <c r="B66" i="21"/>
  <c r="D66" i="21"/>
  <c r="G66" i="21"/>
  <c r="E66" i="21"/>
  <c r="C66" i="21"/>
  <c r="C82" i="21"/>
  <c r="G82" i="21"/>
  <c r="E82" i="21"/>
  <c r="D82" i="21"/>
  <c r="B82" i="21"/>
  <c r="AA52" i="101"/>
  <c r="X52" i="101"/>
  <c r="Y52" i="101"/>
  <c r="Z52" i="101"/>
  <c r="X18" i="101"/>
  <c r="Z18" i="101"/>
  <c r="AA18" i="101"/>
  <c r="Y18" i="101"/>
  <c r="Z37" i="101"/>
  <c r="X37" i="101"/>
  <c r="AA37" i="101"/>
  <c r="Y37" i="101"/>
  <c r="Y54" i="101"/>
  <c r="X54" i="101"/>
  <c r="Z54" i="101"/>
  <c r="AA54" i="101"/>
  <c r="C15" i="98"/>
  <c r="D15" i="98"/>
  <c r="B15" i="98"/>
  <c r="G15" i="37"/>
  <c r="B15" i="37"/>
  <c r="D15" i="37"/>
  <c r="E15" i="37"/>
  <c r="C15" i="37"/>
  <c r="D25" i="37"/>
  <c r="B25" i="37"/>
  <c r="C25" i="37"/>
  <c r="E25" i="37"/>
  <c r="G25" i="37"/>
  <c r="C43" i="37"/>
  <c r="E43" i="37"/>
  <c r="G43" i="37"/>
  <c r="B43" i="37"/>
  <c r="D43" i="37"/>
  <c r="G26" i="37"/>
  <c r="D26" i="37"/>
  <c r="E26" i="37"/>
  <c r="C26" i="37"/>
  <c r="B26" i="37"/>
  <c r="B47" i="37"/>
  <c r="C47" i="37"/>
  <c r="D47" i="37"/>
  <c r="E47" i="37"/>
  <c r="G47" i="37"/>
  <c r="G60" i="37"/>
  <c r="E60" i="37"/>
  <c r="C60" i="37"/>
  <c r="D60" i="37"/>
  <c r="B60" i="37"/>
  <c r="C38" i="30"/>
  <c r="E38" i="30"/>
  <c r="B38" i="30"/>
  <c r="G38" i="30"/>
  <c r="D38" i="30"/>
  <c r="B36" i="30"/>
  <c r="G36" i="30"/>
  <c r="D36" i="30"/>
  <c r="C36" i="30"/>
  <c r="E36" i="30"/>
  <c r="E32" i="30"/>
  <c r="G32" i="30"/>
  <c r="C32" i="30"/>
  <c r="B32" i="30"/>
  <c r="D32" i="30"/>
  <c r="E15" i="30"/>
  <c r="G15" i="30"/>
  <c r="C15" i="30"/>
  <c r="B15" i="30"/>
  <c r="D15" i="30"/>
  <c r="D50" i="30"/>
  <c r="B50" i="30"/>
  <c r="G50" i="30"/>
  <c r="E50" i="30"/>
  <c r="C50" i="30"/>
  <c r="E31" i="30"/>
  <c r="B31" i="30"/>
  <c r="D31" i="30"/>
  <c r="G31" i="30"/>
  <c r="C31" i="30"/>
  <c r="E71" i="30"/>
  <c r="G71" i="30"/>
  <c r="B71" i="30"/>
  <c r="D71" i="30"/>
  <c r="C71" i="30"/>
  <c r="D61" i="30"/>
  <c r="G61" i="30"/>
  <c r="B61" i="30"/>
  <c r="C61" i="30"/>
  <c r="E61" i="30"/>
  <c r="B59" i="35"/>
  <c r="E59" i="35"/>
  <c r="G59" i="35"/>
  <c r="D59" i="35"/>
  <c r="C59" i="35"/>
  <c r="E17" i="35"/>
  <c r="C17" i="35"/>
  <c r="G17" i="35"/>
  <c r="D17" i="35"/>
  <c r="B17" i="35"/>
  <c r="G72" i="35"/>
  <c r="D72" i="35"/>
  <c r="C72" i="35"/>
  <c r="E72" i="35"/>
  <c r="B72" i="35"/>
  <c r="C11" i="17"/>
  <c r="G11" i="17"/>
  <c r="D11" i="17"/>
  <c r="E11" i="17"/>
  <c r="B11" i="17"/>
  <c r="B82" i="17"/>
  <c r="D82" i="17"/>
  <c r="C82" i="17"/>
  <c r="G82" i="17"/>
  <c r="E82" i="17"/>
  <c r="E27" i="17"/>
  <c r="C27" i="17"/>
  <c r="D27" i="17"/>
  <c r="B27" i="17"/>
  <c r="G27" i="17"/>
  <c r="C8" i="17"/>
  <c r="D8" i="17"/>
  <c r="G8" i="17"/>
  <c r="E8" i="17"/>
  <c r="B8" i="17"/>
  <c r="D81" i="17"/>
  <c r="C81" i="17"/>
  <c r="B81" i="17"/>
  <c r="G81" i="17"/>
  <c r="E81" i="17"/>
  <c r="G23" i="17"/>
  <c r="B23" i="17"/>
  <c r="E23" i="17"/>
  <c r="D23" i="17"/>
  <c r="C23" i="17"/>
  <c r="E24" i="17"/>
  <c r="G24" i="17"/>
  <c r="B24" i="17"/>
  <c r="D24" i="17"/>
  <c r="C24" i="17"/>
  <c r="D7" i="13"/>
  <c r="B7" i="13"/>
  <c r="C7" i="13"/>
  <c r="E7" i="13"/>
  <c r="D57" i="13"/>
  <c r="B57" i="13"/>
  <c r="E57" i="13"/>
  <c r="G57" i="13"/>
  <c r="C57" i="13"/>
  <c r="G60" i="13"/>
  <c r="E60" i="13"/>
  <c r="B60" i="13"/>
  <c r="C60" i="13"/>
  <c r="D60" i="13"/>
  <c r="D26" i="13"/>
  <c r="C26" i="13"/>
  <c r="B26" i="13"/>
  <c r="E26" i="13"/>
  <c r="D9" i="13"/>
  <c r="E9" i="13"/>
  <c r="C9" i="13"/>
  <c r="B9" i="13"/>
  <c r="B34" i="36"/>
  <c r="E34" i="36"/>
  <c r="D34" i="36"/>
  <c r="C34" i="36"/>
  <c r="G34" i="36"/>
  <c r="E45" i="36"/>
  <c r="B45" i="36"/>
  <c r="G45" i="36"/>
  <c r="D45" i="36"/>
  <c r="C45" i="36"/>
  <c r="B80" i="36"/>
  <c r="G80" i="36"/>
  <c r="C80" i="36"/>
  <c r="D80" i="36"/>
  <c r="E80" i="36"/>
  <c r="D32" i="36"/>
  <c r="B32" i="36"/>
  <c r="C32" i="36"/>
  <c r="E32" i="36"/>
  <c r="G32" i="36"/>
  <c r="B82" i="99"/>
  <c r="G82" i="99"/>
  <c r="D82" i="99"/>
  <c r="E82" i="99"/>
  <c r="C82" i="99"/>
  <c r="D85" i="99"/>
  <c r="G85" i="99"/>
  <c r="C85" i="99"/>
  <c r="E85" i="99"/>
  <c r="B85" i="99"/>
  <c r="E74" i="99"/>
  <c r="D74" i="99"/>
  <c r="B74" i="99"/>
  <c r="G74" i="99"/>
  <c r="C74" i="99"/>
  <c r="D65" i="99"/>
  <c r="C65" i="99"/>
  <c r="B65" i="99"/>
  <c r="G65" i="99"/>
  <c r="E65" i="99"/>
  <c r="C59" i="99"/>
  <c r="B59" i="99"/>
  <c r="D59" i="99"/>
  <c r="E59" i="99"/>
  <c r="G59" i="99"/>
  <c r="G57" i="99"/>
  <c r="D57" i="99"/>
  <c r="C57" i="99"/>
  <c r="B57" i="99"/>
  <c r="E57" i="99"/>
  <c r="G70" i="20"/>
  <c r="B70" i="20"/>
  <c r="E70" i="20"/>
  <c r="D70" i="20"/>
  <c r="C70" i="20"/>
  <c r="B40" i="20"/>
  <c r="C40" i="20"/>
  <c r="D40" i="20"/>
  <c r="G40" i="20"/>
  <c r="E40" i="20"/>
  <c r="C60" i="20"/>
  <c r="G60" i="20"/>
  <c r="D60" i="20"/>
  <c r="B60" i="20"/>
  <c r="E60" i="20"/>
  <c r="G73" i="20"/>
  <c r="E73" i="20"/>
  <c r="D73" i="20"/>
  <c r="B73" i="20"/>
  <c r="C73" i="20"/>
  <c r="E76" i="20"/>
  <c r="C76" i="20"/>
  <c r="G76" i="20"/>
  <c r="B76" i="20"/>
  <c r="D76" i="20"/>
  <c r="B16" i="20"/>
  <c r="G16" i="20"/>
  <c r="C16" i="20"/>
  <c r="E16" i="20"/>
  <c r="D16" i="20"/>
  <c r="C14" i="20"/>
  <c r="D14" i="20"/>
  <c r="G14" i="20"/>
  <c r="E14" i="20"/>
  <c r="B14" i="20"/>
  <c r="B24" i="20"/>
  <c r="D24" i="20"/>
  <c r="G24" i="20"/>
  <c r="E24" i="20"/>
  <c r="C24" i="20"/>
  <c r="D54" i="20"/>
  <c r="C54" i="20"/>
  <c r="E54" i="20"/>
  <c r="B54" i="20"/>
  <c r="G54" i="20"/>
  <c r="G36" i="20"/>
  <c r="C36" i="20"/>
  <c r="D36" i="20"/>
  <c r="E36" i="20"/>
  <c r="B36" i="20"/>
  <c r="D69" i="20"/>
  <c r="G69" i="20"/>
  <c r="E69" i="20"/>
  <c r="B69" i="20"/>
  <c r="C69" i="20"/>
  <c r="B9" i="20"/>
  <c r="E9" i="20"/>
  <c r="D9" i="20"/>
  <c r="C9" i="20"/>
  <c r="G9" i="20"/>
  <c r="G25" i="97"/>
  <c r="D25" i="97"/>
  <c r="B25" i="97"/>
  <c r="C25" i="97"/>
  <c r="E25" i="97"/>
  <c r="C19" i="97"/>
  <c r="E19" i="97"/>
  <c r="B19" i="97"/>
  <c r="D19" i="97"/>
  <c r="D55" i="97"/>
  <c r="G55" i="97"/>
  <c r="E55" i="97"/>
  <c r="B55" i="97"/>
  <c r="C55" i="97"/>
  <c r="G68" i="97"/>
  <c r="E68" i="97"/>
  <c r="B68" i="97"/>
  <c r="C68" i="97"/>
  <c r="D68" i="97"/>
  <c r="G40" i="97"/>
  <c r="E40" i="97"/>
  <c r="D40" i="97"/>
  <c r="C40" i="97"/>
  <c r="B40" i="97"/>
  <c r="C32" i="97"/>
  <c r="D32" i="97"/>
  <c r="B32" i="97"/>
  <c r="E32" i="97"/>
  <c r="G32" i="97"/>
  <c r="C62" i="45"/>
  <c r="B62" i="45"/>
  <c r="E62" i="45"/>
  <c r="D62" i="45"/>
  <c r="G62" i="45"/>
  <c r="G44" i="45"/>
  <c r="B44" i="45"/>
  <c r="C44" i="45"/>
  <c r="E44" i="45"/>
  <c r="D44" i="45"/>
  <c r="B7" i="45"/>
  <c r="C7" i="45"/>
  <c r="E7" i="45"/>
  <c r="D7" i="45"/>
  <c r="B69" i="45"/>
  <c r="G69" i="45"/>
  <c r="D69" i="45"/>
  <c r="C69" i="45"/>
  <c r="E69" i="45"/>
  <c r="C32" i="45"/>
  <c r="D32" i="45"/>
  <c r="B32" i="45"/>
  <c r="G32" i="45"/>
  <c r="E32" i="45"/>
  <c r="C76" i="45"/>
  <c r="E76" i="45"/>
  <c r="G76" i="45"/>
  <c r="D76" i="45"/>
  <c r="B76" i="45"/>
  <c r="C59" i="45"/>
  <c r="B59" i="45"/>
  <c r="G59" i="45"/>
  <c r="D59" i="45"/>
  <c r="E59" i="45"/>
  <c r="D81" i="45"/>
  <c r="E81" i="45"/>
  <c r="G81" i="45"/>
  <c r="B81" i="45"/>
  <c r="C81" i="45"/>
  <c r="C63" i="16"/>
  <c r="D63" i="16"/>
  <c r="G63" i="16"/>
  <c r="B63" i="16"/>
  <c r="E63" i="16"/>
  <c r="C24" i="16"/>
  <c r="B24" i="16"/>
  <c r="D24" i="16"/>
  <c r="E24" i="16"/>
  <c r="G24" i="16"/>
  <c r="D51" i="16"/>
  <c r="B51" i="16"/>
  <c r="E51" i="16"/>
  <c r="G51" i="16"/>
  <c r="C51" i="16"/>
  <c r="E8" i="16"/>
  <c r="G8" i="16"/>
  <c r="D8" i="16"/>
  <c r="B8" i="16"/>
  <c r="C8" i="16"/>
  <c r="B29" i="16"/>
  <c r="D29" i="16"/>
  <c r="C29" i="16"/>
  <c r="E29" i="16"/>
  <c r="G29" i="16"/>
  <c r="E85" i="16"/>
  <c r="B85" i="16"/>
  <c r="D85" i="16"/>
  <c r="G85" i="16"/>
  <c r="C85" i="16"/>
  <c r="D33" i="16"/>
  <c r="E33" i="16"/>
  <c r="B33" i="16"/>
  <c r="C33" i="16"/>
  <c r="G33" i="16"/>
  <c r="D45" i="16"/>
  <c r="E45" i="16"/>
  <c r="C45" i="16"/>
  <c r="G45" i="16"/>
  <c r="B45" i="16"/>
  <c r="E17" i="40"/>
  <c r="D17" i="40"/>
  <c r="C17" i="40"/>
  <c r="B17" i="40"/>
  <c r="C36" i="40"/>
  <c r="B36" i="40"/>
  <c r="E36" i="40"/>
  <c r="D36" i="40"/>
  <c r="G36" i="40"/>
  <c r="G41" i="40"/>
  <c r="D41" i="40"/>
  <c r="C41" i="40"/>
  <c r="E41" i="40"/>
  <c r="B41" i="40"/>
  <c r="G37" i="40"/>
  <c r="C37" i="40"/>
  <c r="B37" i="40"/>
  <c r="E37" i="40"/>
  <c r="D37" i="40"/>
  <c r="E7" i="40"/>
  <c r="C7" i="40"/>
  <c r="D7" i="40"/>
  <c r="B7" i="40"/>
  <c r="E47" i="40"/>
  <c r="B47" i="40"/>
  <c r="D47" i="40"/>
  <c r="C47" i="40"/>
  <c r="G47" i="40"/>
  <c r="B26" i="40"/>
  <c r="D26" i="40"/>
  <c r="C26" i="40"/>
  <c r="E26" i="40"/>
  <c r="E24" i="40"/>
  <c r="D24" i="40"/>
  <c r="B24" i="40"/>
  <c r="C24" i="40"/>
  <c r="E12" i="40"/>
  <c r="B12" i="40"/>
  <c r="C12" i="40"/>
  <c r="D12" i="40"/>
  <c r="E9" i="44"/>
  <c r="D9" i="44"/>
  <c r="G9" i="44"/>
  <c r="C9" i="44"/>
  <c r="B9" i="44"/>
  <c r="B69" i="44"/>
  <c r="G69" i="44"/>
  <c r="E69" i="44"/>
  <c r="D69" i="44"/>
  <c r="C69" i="44"/>
  <c r="E66" i="44"/>
  <c r="D66" i="44"/>
  <c r="B66" i="44"/>
  <c r="C66" i="44"/>
  <c r="G66" i="44"/>
  <c r="E63" i="44"/>
  <c r="C63" i="44"/>
  <c r="B63" i="44"/>
  <c r="D63" i="44"/>
  <c r="G63" i="44"/>
  <c r="C55" i="44"/>
  <c r="G55" i="44"/>
  <c r="D55" i="44"/>
  <c r="E55" i="44"/>
  <c r="B55" i="44"/>
  <c r="G44" i="44"/>
  <c r="C44" i="44"/>
  <c r="B44" i="44"/>
  <c r="D44" i="44"/>
  <c r="E44" i="44"/>
  <c r="D36" i="44"/>
  <c r="E36" i="44"/>
  <c r="G36" i="44"/>
  <c r="B36" i="44"/>
  <c r="C36" i="44"/>
  <c r="B12" i="44"/>
  <c r="G12" i="44"/>
  <c r="C12" i="44"/>
  <c r="D12" i="44"/>
  <c r="E12" i="44"/>
  <c r="D65" i="26"/>
  <c r="G65" i="26"/>
  <c r="C65" i="26"/>
  <c r="E65" i="26"/>
  <c r="B65" i="26"/>
  <c r="C83" i="26"/>
  <c r="D83" i="26"/>
  <c r="E83" i="26"/>
  <c r="B83" i="26"/>
  <c r="G83" i="26"/>
  <c r="E71" i="26"/>
  <c r="D71" i="26"/>
  <c r="C71" i="26"/>
  <c r="B71" i="26"/>
  <c r="G71" i="26"/>
  <c r="D76" i="26"/>
  <c r="G76" i="26"/>
  <c r="E76" i="26"/>
  <c r="C76" i="26"/>
  <c r="B76" i="26"/>
  <c r="B77" i="26"/>
  <c r="E77" i="26"/>
  <c r="G77" i="26"/>
  <c r="C77" i="26"/>
  <c r="D77" i="26"/>
  <c r="C68" i="26"/>
  <c r="E68" i="26"/>
  <c r="G68" i="26"/>
  <c r="B68" i="26"/>
  <c r="D68" i="26"/>
  <c r="F111" i="48" a="1"/>
  <c r="F111" i="48" s="1"/>
  <c r="D111" i="48"/>
  <c r="E111" i="48"/>
  <c r="C111" i="48"/>
  <c r="K242" i="48" a="1"/>
  <c r="K242" i="48" s="1"/>
  <c r="C242" i="48"/>
  <c r="E242" i="48"/>
  <c r="F242" i="48" a="1"/>
  <c r="F242" i="48" s="1"/>
  <c r="D242" i="48"/>
  <c r="I242" i="48"/>
  <c r="D235" i="48"/>
  <c r="E235" i="48"/>
  <c r="K235" i="48" a="1"/>
  <c r="K235" i="48" s="1"/>
  <c r="C235" i="48"/>
  <c r="I235" i="48"/>
  <c r="F235" i="48" a="1"/>
  <c r="F235" i="48" s="1"/>
  <c r="K295" i="48" a="1"/>
  <c r="K295" i="48" s="1"/>
  <c r="D295" i="48"/>
  <c r="F295" i="48" a="1"/>
  <c r="F295" i="48" s="1"/>
  <c r="C295" i="48"/>
  <c r="I295" i="48"/>
  <c r="E295" i="48"/>
  <c r="D250" i="48"/>
  <c r="C250" i="48"/>
  <c r="K250" i="48" a="1"/>
  <c r="K250" i="48" s="1"/>
  <c r="I250" i="48"/>
  <c r="E250" i="48"/>
  <c r="F250" i="48" a="1"/>
  <c r="F250" i="48" s="1"/>
  <c r="E32" i="48"/>
  <c r="C32" i="48"/>
  <c r="F32" i="48" a="1"/>
  <c r="F32" i="48" s="1"/>
  <c r="E65" i="48"/>
  <c r="C65" i="48"/>
  <c r="F65" i="48" a="1"/>
  <c r="F65" i="48" s="1"/>
  <c r="D65" i="48"/>
  <c r="K334" i="48" a="1"/>
  <c r="K334" i="48" s="1"/>
  <c r="C334" i="48"/>
  <c r="D334" i="48"/>
  <c r="I334" i="48"/>
  <c r="F334" i="48" a="1"/>
  <c r="F334" i="48" s="1"/>
  <c r="E334" i="48"/>
  <c r="E230" i="48"/>
  <c r="D230" i="48"/>
  <c r="I230" i="48"/>
  <c r="F230" i="48" a="1"/>
  <c r="F230" i="48" s="1"/>
  <c r="C230" i="48"/>
  <c r="K230" i="48" a="1"/>
  <c r="K230" i="48" s="1"/>
  <c r="E181" i="48"/>
  <c r="K181" i="48" a="1"/>
  <c r="K181" i="48" s="1"/>
  <c r="F181" i="48" a="1"/>
  <c r="F181" i="48" s="1"/>
  <c r="I181" i="48"/>
  <c r="C181" i="48"/>
  <c r="D181" i="48"/>
  <c r="F51" i="48" a="1"/>
  <c r="F51" i="48" s="1"/>
  <c r="C51" i="48"/>
  <c r="D51" i="48"/>
  <c r="E51" i="48"/>
  <c r="D148" i="48"/>
  <c r="K148" i="48" a="1"/>
  <c r="K148" i="48" s="1"/>
  <c r="F148" i="48" a="1"/>
  <c r="F148" i="48" s="1"/>
  <c r="E148" i="48"/>
  <c r="C148" i="48"/>
  <c r="I148" i="48"/>
  <c r="E336" i="48"/>
  <c r="C336" i="48"/>
  <c r="K336" i="48" a="1"/>
  <c r="K336" i="48" s="1"/>
  <c r="I336" i="48"/>
  <c r="D336" i="48"/>
  <c r="F336" i="48" a="1"/>
  <c r="F336" i="48" s="1"/>
  <c r="D318" i="48"/>
  <c r="E318" i="48"/>
  <c r="C318" i="48"/>
  <c r="I318" i="48"/>
  <c r="F318" i="48" a="1"/>
  <c r="F318" i="48" s="1"/>
  <c r="K318" i="48" a="1"/>
  <c r="K318" i="48" s="1"/>
  <c r="C95" i="48"/>
  <c r="F95" i="48" a="1"/>
  <c r="F95" i="48" s="1"/>
  <c r="D95" i="48"/>
  <c r="K95" i="48" a="1"/>
  <c r="K95" i="48" s="1"/>
  <c r="E95" i="48"/>
  <c r="K240" i="48" a="1"/>
  <c r="K240" i="48" s="1"/>
  <c r="I240" i="48"/>
  <c r="D240" i="48"/>
  <c r="F240" i="48" a="1"/>
  <c r="F240" i="48" s="1"/>
  <c r="C240" i="48"/>
  <c r="E240" i="48"/>
  <c r="I213" i="48"/>
  <c r="D213" i="48"/>
  <c r="K213" i="48" a="1"/>
  <c r="K213" i="48" s="1"/>
  <c r="E213" i="48"/>
  <c r="F213" i="48" a="1"/>
  <c r="F213" i="48" s="1"/>
  <c r="C213" i="48"/>
  <c r="C10" i="48"/>
  <c r="F10" i="48" a="1"/>
  <c r="F10" i="48" s="1"/>
  <c r="E10" i="48"/>
  <c r="E78" i="48"/>
  <c r="D78" i="48"/>
  <c r="C78" i="48"/>
  <c r="F78" i="48" a="1"/>
  <c r="F78" i="48" s="1"/>
  <c r="E48" i="48"/>
  <c r="C48" i="48"/>
  <c r="D48" i="48"/>
  <c r="F48" i="48" a="1"/>
  <c r="F48" i="48" s="1"/>
  <c r="D298" i="48"/>
  <c r="K298" i="48" a="1"/>
  <c r="K298" i="48" s="1"/>
  <c r="I298" i="48"/>
  <c r="F298" i="48" a="1"/>
  <c r="F298" i="48" s="1"/>
  <c r="C298" i="48"/>
  <c r="E298" i="48"/>
  <c r="C199" i="48"/>
  <c r="K199" i="48" a="1"/>
  <c r="K199" i="48" s="1"/>
  <c r="F199" i="48" a="1"/>
  <c r="F199" i="48" s="1"/>
  <c r="E199" i="48"/>
  <c r="D199" i="48"/>
  <c r="I199" i="48"/>
  <c r="C39" i="48"/>
  <c r="E39" i="48"/>
  <c r="F39" i="48" a="1"/>
  <c r="F39" i="48" s="1"/>
  <c r="D39" i="48"/>
  <c r="E262" i="48"/>
  <c r="K262" i="48" a="1"/>
  <c r="K262" i="48" s="1"/>
  <c r="I262" i="48"/>
  <c r="C262" i="48"/>
  <c r="D262" i="48"/>
  <c r="F262" i="48" a="1"/>
  <c r="F262" i="48" s="1"/>
  <c r="K170" i="48" a="1"/>
  <c r="K170" i="48" s="1"/>
  <c r="I170" i="48"/>
  <c r="C170" i="48"/>
  <c r="E170" i="48"/>
  <c r="F170" i="48" a="1"/>
  <c r="F170" i="48" s="1"/>
  <c r="D170" i="48"/>
  <c r="E276" i="48"/>
  <c r="I276" i="48"/>
  <c r="D276" i="48"/>
  <c r="C276" i="48"/>
  <c r="F276" i="48" a="1"/>
  <c r="F276" i="48" s="1"/>
  <c r="K276" i="48" a="1"/>
  <c r="K276" i="48" s="1"/>
  <c r="E98" i="48"/>
  <c r="C98" i="48"/>
  <c r="K98" i="48" a="1"/>
  <c r="K98" i="48" s="1"/>
  <c r="F98" i="48" a="1"/>
  <c r="F98" i="48" s="1"/>
  <c r="D212" i="48"/>
  <c r="E212" i="48"/>
  <c r="I212" i="48"/>
  <c r="K212" i="48" a="1"/>
  <c r="K212" i="48" s="1"/>
  <c r="C212" i="48"/>
  <c r="F212" i="48" a="1"/>
  <c r="F212" i="48" s="1"/>
  <c r="C214" i="48"/>
  <c r="I214" i="48"/>
  <c r="K214" i="48" a="1"/>
  <c r="K214" i="48" s="1"/>
  <c r="E214" i="48"/>
  <c r="F214" i="48" a="1"/>
  <c r="F214" i="48" s="1"/>
  <c r="D214" i="48"/>
  <c r="E200" i="48"/>
  <c r="K200" i="48" a="1"/>
  <c r="K200" i="48" s="1"/>
  <c r="C200" i="48"/>
  <c r="F200" i="48" a="1"/>
  <c r="F200" i="48" s="1"/>
  <c r="D200" i="48"/>
  <c r="I200" i="48"/>
  <c r="E287" i="48"/>
  <c r="D287" i="48"/>
  <c r="I287" i="48"/>
  <c r="C287" i="48"/>
  <c r="F287" i="48" a="1"/>
  <c r="F287" i="48" s="1"/>
  <c r="K287" i="48" a="1"/>
  <c r="K287" i="48" s="1"/>
  <c r="C69" i="48"/>
  <c r="E69" i="48"/>
  <c r="F69" i="48" a="1"/>
  <c r="F69" i="48" s="1"/>
  <c r="D69" i="48"/>
  <c r="B56" i="21"/>
  <c r="C56" i="21"/>
  <c r="D56" i="21"/>
  <c r="G56" i="21"/>
  <c r="E56" i="21"/>
  <c r="D60" i="21"/>
  <c r="B60" i="21"/>
  <c r="E60" i="21"/>
  <c r="G60" i="21"/>
  <c r="C60" i="21"/>
  <c r="E70" i="21"/>
  <c r="C70" i="21"/>
  <c r="D70" i="21"/>
  <c r="G70" i="21"/>
  <c r="B70" i="21"/>
  <c r="E14" i="21"/>
  <c r="D14" i="21"/>
  <c r="B14" i="21"/>
  <c r="Z13" i="101"/>
  <c r="AA13" i="101"/>
  <c r="X13" i="101"/>
  <c r="Y13" i="101"/>
  <c r="AA32" i="101"/>
  <c r="Z32" i="101"/>
  <c r="X32" i="101"/>
  <c r="Y32" i="101"/>
  <c r="AA36" i="101"/>
  <c r="Z36" i="101"/>
  <c r="X36" i="101"/>
  <c r="Y36" i="101"/>
  <c r="AA8" i="101"/>
  <c r="X8" i="101"/>
  <c r="Y8" i="101"/>
  <c r="Z8" i="101"/>
  <c r="E54" i="98"/>
  <c r="G54" i="98"/>
  <c r="B54" i="98"/>
  <c r="C54" i="98"/>
  <c r="D54" i="98"/>
  <c r="E44" i="98"/>
  <c r="G44" i="98"/>
  <c r="D44" i="98"/>
  <c r="B44" i="98"/>
  <c r="C44" i="98"/>
  <c r="C52" i="98"/>
  <c r="D52" i="98"/>
  <c r="G52" i="98"/>
  <c r="E52" i="98"/>
  <c r="B52" i="98"/>
  <c r="B23" i="98"/>
  <c r="C23" i="98"/>
  <c r="D23" i="98"/>
  <c r="E23" i="98"/>
  <c r="G23" i="98"/>
  <c r="C41" i="98"/>
  <c r="D41" i="98"/>
  <c r="E41" i="98"/>
  <c r="G41" i="98"/>
  <c r="B41" i="98"/>
  <c r="B73" i="98"/>
  <c r="E73" i="98"/>
  <c r="D73" i="98"/>
  <c r="C73" i="98"/>
  <c r="G73" i="98"/>
  <c r="E35" i="98"/>
  <c r="B35" i="98"/>
  <c r="C35" i="98"/>
  <c r="G35" i="98"/>
  <c r="D35" i="98"/>
  <c r="D74" i="37"/>
  <c r="G74" i="37"/>
  <c r="C74" i="37"/>
  <c r="B74" i="37"/>
  <c r="E74" i="37"/>
  <c r="D78" i="37"/>
  <c r="G78" i="37"/>
  <c r="B78" i="37"/>
  <c r="E78" i="37"/>
  <c r="C78" i="37"/>
  <c r="E44" i="37"/>
  <c r="D44" i="37"/>
  <c r="C44" i="37"/>
  <c r="G44" i="37"/>
  <c r="B44" i="37"/>
  <c r="E38" i="37"/>
  <c r="C38" i="37"/>
  <c r="B38" i="37"/>
  <c r="G38" i="37"/>
  <c r="D38" i="37"/>
  <c r="B72" i="37"/>
  <c r="E72" i="37"/>
  <c r="C72" i="37"/>
  <c r="D72" i="37"/>
  <c r="G72" i="37"/>
  <c r="C85" i="30"/>
  <c r="D85" i="30"/>
  <c r="E85" i="30"/>
  <c r="G85" i="30"/>
  <c r="B85" i="30"/>
  <c r="D40" i="30"/>
  <c r="E40" i="30"/>
  <c r="B40" i="30"/>
  <c r="G40" i="30"/>
  <c r="C40" i="30"/>
  <c r="C23" i="30"/>
  <c r="B23" i="30"/>
  <c r="E23" i="30"/>
  <c r="G23" i="30"/>
  <c r="D23" i="30"/>
  <c r="B42" i="30"/>
  <c r="D42" i="30"/>
  <c r="C42" i="30"/>
  <c r="E42" i="30"/>
  <c r="G42" i="30"/>
  <c r="B83" i="30"/>
  <c r="E83" i="30"/>
  <c r="C83" i="30"/>
  <c r="D83" i="30"/>
  <c r="G83" i="30"/>
  <c r="G82" i="30"/>
  <c r="D82" i="30"/>
  <c r="B82" i="30"/>
  <c r="E82" i="30"/>
  <c r="C82" i="30"/>
  <c r="G21" i="30"/>
  <c r="B21" i="30"/>
  <c r="C21" i="30"/>
  <c r="D21" i="30"/>
  <c r="E21" i="30"/>
  <c r="D41" i="30"/>
  <c r="E41" i="30"/>
  <c r="C41" i="30"/>
  <c r="B41" i="30"/>
  <c r="G41" i="30"/>
  <c r="D18" i="30"/>
  <c r="B18" i="30"/>
  <c r="C18" i="30"/>
  <c r="G18" i="30"/>
  <c r="E18" i="30"/>
  <c r="B26" i="35"/>
  <c r="C26" i="35"/>
  <c r="D26" i="35"/>
  <c r="E26" i="35"/>
  <c r="G26" i="35"/>
  <c r="E38" i="35"/>
  <c r="G38" i="35"/>
  <c r="B38" i="35"/>
  <c r="D38" i="35"/>
  <c r="C38" i="35"/>
  <c r="C54" i="35"/>
  <c r="E54" i="35"/>
  <c r="B54" i="35"/>
  <c r="G54" i="35"/>
  <c r="D54" i="35"/>
  <c r="C35" i="35"/>
  <c r="E35" i="35"/>
  <c r="B35" i="35"/>
  <c r="G35" i="35"/>
  <c r="D35" i="35"/>
  <c r="D50" i="17"/>
  <c r="G50" i="17"/>
  <c r="B50" i="17"/>
  <c r="E50" i="17"/>
  <c r="C50" i="17"/>
  <c r="C17" i="17"/>
  <c r="D17" i="17"/>
  <c r="G17" i="17"/>
  <c r="B17" i="17"/>
  <c r="E17" i="17"/>
  <c r="D16" i="17"/>
  <c r="B16" i="17"/>
  <c r="C16" i="17"/>
  <c r="G16" i="17"/>
  <c r="E16" i="17"/>
  <c r="D55" i="17"/>
  <c r="G55" i="17"/>
  <c r="B55" i="17"/>
  <c r="E55" i="17"/>
  <c r="C55" i="17"/>
  <c r="C80" i="13"/>
  <c r="E80" i="13"/>
  <c r="B80" i="13"/>
  <c r="G80" i="13"/>
  <c r="D80" i="13"/>
  <c r="E58" i="13"/>
  <c r="G58" i="13"/>
  <c r="C58" i="13"/>
  <c r="D58" i="13"/>
  <c r="B58" i="13"/>
  <c r="B83" i="13"/>
  <c r="C83" i="13"/>
  <c r="D83" i="13"/>
  <c r="E83" i="13"/>
  <c r="G83" i="13"/>
  <c r="E14" i="13"/>
  <c r="C14" i="13"/>
  <c r="D14" i="13"/>
  <c r="B14" i="13"/>
  <c r="D67" i="13"/>
  <c r="C67" i="13"/>
  <c r="B67" i="13"/>
  <c r="G67" i="13"/>
  <c r="E67" i="13"/>
  <c r="B72" i="13"/>
  <c r="E72" i="13"/>
  <c r="C72" i="13"/>
  <c r="G72" i="13"/>
  <c r="D72" i="13"/>
  <c r="B43" i="36"/>
  <c r="G43" i="36"/>
  <c r="E43" i="36"/>
  <c r="D43" i="36"/>
  <c r="C43" i="36"/>
  <c r="E63" i="36"/>
  <c r="D63" i="36"/>
  <c r="C63" i="36"/>
  <c r="G63" i="36"/>
  <c r="B63" i="36"/>
  <c r="C38" i="36"/>
  <c r="B38" i="36"/>
  <c r="E38" i="36"/>
  <c r="G38" i="36"/>
  <c r="D38" i="36"/>
  <c r="C46" i="36"/>
  <c r="G46" i="36"/>
  <c r="E46" i="36"/>
  <c r="D46" i="36"/>
  <c r="B46" i="36"/>
  <c r="D22" i="36"/>
  <c r="E22" i="36"/>
  <c r="C22" i="36"/>
  <c r="G22" i="36"/>
  <c r="B22" i="36"/>
  <c r="G81" i="36"/>
  <c r="E81" i="36"/>
  <c r="B81" i="36"/>
  <c r="D81" i="36"/>
  <c r="C81" i="36"/>
  <c r="B77" i="36"/>
  <c r="E77" i="36"/>
  <c r="G77" i="36"/>
  <c r="C77" i="36"/>
  <c r="D77" i="36"/>
  <c r="E84" i="36"/>
  <c r="C84" i="36"/>
  <c r="B84" i="36"/>
  <c r="D84" i="36"/>
  <c r="G84" i="36"/>
  <c r="G39" i="36"/>
  <c r="E39" i="36"/>
  <c r="C39" i="36"/>
  <c r="D39" i="36"/>
  <c r="B39" i="36"/>
  <c r="C74" i="36"/>
  <c r="E74" i="36"/>
  <c r="D74" i="36"/>
  <c r="G74" i="36"/>
  <c r="B74" i="36"/>
  <c r="E33" i="99"/>
  <c r="D33" i="99"/>
  <c r="C33" i="99"/>
  <c r="B33" i="99"/>
  <c r="G33" i="99"/>
  <c r="B37" i="99"/>
  <c r="E37" i="99"/>
  <c r="D37" i="99"/>
  <c r="G37" i="99"/>
  <c r="C37" i="99"/>
  <c r="C24" i="99"/>
  <c r="D24" i="99"/>
  <c r="G24" i="99"/>
  <c r="B24" i="99"/>
  <c r="E24" i="99"/>
  <c r="D11" i="99"/>
  <c r="E11" i="99"/>
  <c r="B11" i="99"/>
  <c r="C11" i="99"/>
  <c r="E55" i="99"/>
  <c r="D55" i="99"/>
  <c r="B55" i="99"/>
  <c r="G55" i="99"/>
  <c r="C55" i="99"/>
  <c r="B18" i="99"/>
  <c r="C18" i="99"/>
  <c r="D18" i="99"/>
  <c r="B77" i="99"/>
  <c r="C77" i="99"/>
  <c r="E77" i="99"/>
  <c r="D77" i="99"/>
  <c r="G77" i="99"/>
  <c r="C13" i="99"/>
  <c r="D13" i="99"/>
  <c r="E13" i="99"/>
  <c r="B13" i="99"/>
  <c r="D40" i="99"/>
  <c r="G40" i="99"/>
  <c r="E40" i="99"/>
  <c r="C40" i="99"/>
  <c r="B40" i="99"/>
  <c r="C66" i="20"/>
  <c r="B66" i="20"/>
  <c r="D66" i="20"/>
  <c r="G66" i="20"/>
  <c r="E66" i="20"/>
  <c r="G83" i="20"/>
  <c r="B83" i="20"/>
  <c r="D83" i="20"/>
  <c r="E83" i="20"/>
  <c r="C83" i="20"/>
  <c r="G25" i="20"/>
  <c r="E25" i="20"/>
  <c r="D25" i="20"/>
  <c r="B25" i="20"/>
  <c r="C25" i="20"/>
  <c r="D82" i="20"/>
  <c r="E82" i="20"/>
  <c r="G82" i="20"/>
  <c r="B82" i="20"/>
  <c r="C82" i="20"/>
  <c r="G32" i="20"/>
  <c r="E32" i="20"/>
  <c r="B32" i="20"/>
  <c r="C32" i="20"/>
  <c r="D32" i="20"/>
  <c r="C30" i="20"/>
  <c r="D30" i="20"/>
  <c r="B30" i="20"/>
  <c r="G30" i="20"/>
  <c r="E30" i="20"/>
  <c r="D38" i="20"/>
  <c r="B38" i="20"/>
  <c r="C38" i="20"/>
  <c r="G38" i="20"/>
  <c r="E38" i="20"/>
  <c r="C23" i="20"/>
  <c r="E23" i="20"/>
  <c r="B23" i="20"/>
  <c r="G23" i="20"/>
  <c r="D23" i="20"/>
  <c r="D70" i="97"/>
  <c r="C70" i="97"/>
  <c r="E70" i="97"/>
  <c r="G70" i="97"/>
  <c r="B70" i="97"/>
  <c r="B65" i="97"/>
  <c r="E65" i="97"/>
  <c r="D65" i="97"/>
  <c r="C65" i="97"/>
  <c r="G65" i="97"/>
  <c r="D7" i="97"/>
  <c r="E7" i="97"/>
  <c r="B7" i="97"/>
  <c r="B39" i="97"/>
  <c r="D39" i="97"/>
  <c r="E39" i="97"/>
  <c r="C39" i="97"/>
  <c r="G39" i="97"/>
  <c r="E42" i="97"/>
  <c r="G42" i="97"/>
  <c r="D42" i="97"/>
  <c r="B42" i="97"/>
  <c r="C42" i="97"/>
  <c r="E31" i="97"/>
  <c r="B31" i="97"/>
  <c r="D31" i="97"/>
  <c r="G31" i="97"/>
  <c r="C31" i="97"/>
  <c r="E62" i="97"/>
  <c r="G62" i="97"/>
  <c r="D62" i="97"/>
  <c r="C62" i="97"/>
  <c r="B62" i="97"/>
  <c r="C11" i="97"/>
  <c r="E11" i="97"/>
  <c r="B11" i="97"/>
  <c r="D11" i="97"/>
  <c r="C51" i="97"/>
  <c r="D51" i="97"/>
  <c r="G51" i="97"/>
  <c r="B51" i="97"/>
  <c r="E51" i="97"/>
  <c r="D6" i="97"/>
  <c r="C6" i="97"/>
  <c r="E6" i="97"/>
  <c r="B6" i="97"/>
  <c r="A3" i="97"/>
  <c r="C23" i="97"/>
  <c r="B23" i="97"/>
  <c r="G23" i="97"/>
  <c r="E23" i="97"/>
  <c r="D23" i="97"/>
  <c r="E33" i="45"/>
  <c r="D33" i="45"/>
  <c r="C33" i="45"/>
  <c r="G33" i="45"/>
  <c r="B33" i="45"/>
  <c r="G78" i="45"/>
  <c r="C78" i="45"/>
  <c r="D78" i="45"/>
  <c r="E78" i="45"/>
  <c r="B78" i="45"/>
  <c r="G71" i="45"/>
  <c r="C71" i="45"/>
  <c r="E71" i="45"/>
  <c r="D71" i="45"/>
  <c r="B71" i="45"/>
  <c r="E34" i="45"/>
  <c r="C34" i="45"/>
  <c r="D34" i="45"/>
  <c r="B34" i="45"/>
  <c r="G34" i="45"/>
  <c r="D43" i="45"/>
  <c r="B43" i="45"/>
  <c r="G43" i="45"/>
  <c r="E43" i="45"/>
  <c r="C43" i="45"/>
  <c r="E9" i="45"/>
  <c r="C9" i="45"/>
  <c r="D9" i="45"/>
  <c r="B9" i="45"/>
  <c r="B14" i="16"/>
  <c r="C14" i="16"/>
  <c r="D14" i="16"/>
  <c r="E14" i="16"/>
  <c r="G14" i="16"/>
  <c r="G60" i="16"/>
  <c r="C60" i="16"/>
  <c r="B60" i="16"/>
  <c r="E60" i="16"/>
  <c r="D60" i="16"/>
  <c r="E47" i="16"/>
  <c r="G47" i="16"/>
  <c r="C47" i="16"/>
  <c r="D47" i="16"/>
  <c r="B47" i="16"/>
  <c r="C54" i="16"/>
  <c r="E54" i="16"/>
  <c r="D54" i="16"/>
  <c r="G54" i="16"/>
  <c r="B54" i="16"/>
  <c r="B84" i="16"/>
  <c r="E84" i="16"/>
  <c r="C84" i="16"/>
  <c r="G84" i="16"/>
  <c r="D84" i="16"/>
  <c r="G54" i="40"/>
  <c r="C54" i="40"/>
  <c r="D54" i="40"/>
  <c r="E54" i="40"/>
  <c r="B54" i="40"/>
  <c r="E40" i="40"/>
  <c r="C40" i="40"/>
  <c r="B40" i="40"/>
  <c r="D40" i="40"/>
  <c r="G40" i="40"/>
  <c r="G46" i="40"/>
  <c r="D46" i="40"/>
  <c r="C46" i="40"/>
  <c r="B46" i="40"/>
  <c r="E46" i="40"/>
  <c r="B27" i="40"/>
  <c r="D27" i="40"/>
  <c r="E27" i="40"/>
  <c r="C27" i="40"/>
  <c r="B22" i="40"/>
  <c r="E22" i="40"/>
  <c r="D22" i="40"/>
  <c r="C22" i="40"/>
  <c r="D73" i="40"/>
  <c r="B73" i="40"/>
  <c r="E73" i="40"/>
  <c r="C73" i="40"/>
  <c r="G73" i="40"/>
  <c r="D20" i="44"/>
  <c r="C20" i="44"/>
  <c r="B20" i="44"/>
  <c r="G20" i="44"/>
  <c r="E20" i="44"/>
  <c r="E84" i="44"/>
  <c r="C84" i="44"/>
  <c r="D84" i="44"/>
  <c r="G84" i="44"/>
  <c r="B84" i="44"/>
  <c r="D49" i="44"/>
  <c r="G49" i="44"/>
  <c r="B49" i="44"/>
  <c r="C49" i="44"/>
  <c r="E49" i="44"/>
  <c r="C48" i="44"/>
  <c r="D48" i="44"/>
  <c r="E48" i="44"/>
  <c r="B48" i="44"/>
  <c r="G48" i="44"/>
  <c r="D39" i="44"/>
  <c r="B39" i="44"/>
  <c r="E39" i="44"/>
  <c r="C39" i="44"/>
  <c r="G39" i="44"/>
  <c r="D71" i="44"/>
  <c r="E71" i="44"/>
  <c r="C71" i="44"/>
  <c r="G71" i="44"/>
  <c r="B71" i="44"/>
  <c r="C46" i="44"/>
  <c r="E46" i="44"/>
  <c r="D46" i="44"/>
  <c r="G46" i="44"/>
  <c r="B46" i="44"/>
  <c r="G70" i="26"/>
  <c r="D70" i="26"/>
  <c r="B70" i="26"/>
  <c r="C70" i="26"/>
  <c r="E70" i="26"/>
  <c r="D30" i="26"/>
  <c r="B30" i="26"/>
  <c r="G30" i="26"/>
  <c r="E30" i="26"/>
  <c r="C30" i="26"/>
  <c r="B27" i="26"/>
  <c r="G27" i="26"/>
  <c r="D27" i="26"/>
  <c r="C27" i="26"/>
  <c r="E27" i="26"/>
  <c r="B17" i="26"/>
  <c r="D17" i="26"/>
  <c r="E17" i="26"/>
  <c r="C17" i="26"/>
  <c r="G17" i="26"/>
  <c r="D44" i="26"/>
  <c r="B44" i="26"/>
  <c r="E44" i="26"/>
  <c r="G44" i="26"/>
  <c r="C44" i="26"/>
  <c r="C252" i="48"/>
  <c r="I252" i="48"/>
  <c r="D252" i="48"/>
  <c r="K252" i="48" a="1"/>
  <c r="K252" i="48" s="1"/>
  <c r="F252" i="48" a="1"/>
  <c r="F252" i="48" s="1"/>
  <c r="E252" i="48"/>
  <c r="E338" i="48"/>
  <c r="I338" i="48"/>
  <c r="C338" i="48"/>
  <c r="K338" i="48" a="1"/>
  <c r="K338" i="48" s="1"/>
  <c r="D338" i="48"/>
  <c r="F338" i="48" a="1"/>
  <c r="F338" i="48" s="1"/>
  <c r="F188" i="48" a="1"/>
  <c r="F188" i="48" s="1"/>
  <c r="K188" i="48" a="1"/>
  <c r="K188" i="48" s="1"/>
  <c r="I188" i="48"/>
  <c r="D188" i="48"/>
  <c r="E188" i="48"/>
  <c r="C188" i="48"/>
  <c r="K174" i="48" a="1"/>
  <c r="K174" i="48" s="1"/>
  <c r="E174" i="48"/>
  <c r="I174" i="48"/>
  <c r="C174" i="48"/>
  <c r="D174" i="48"/>
  <c r="F174" i="48" a="1"/>
  <c r="F174" i="48" s="1"/>
  <c r="D96" i="48"/>
  <c r="C96" i="48"/>
  <c r="E96" i="48"/>
  <c r="F96" i="48" a="1"/>
  <c r="F96" i="48" s="1"/>
  <c r="K190" i="48" a="1"/>
  <c r="K190" i="48" s="1"/>
  <c r="F190" i="48" a="1"/>
  <c r="F190" i="48" s="1"/>
  <c r="I190" i="48"/>
  <c r="E190" i="48"/>
  <c r="C190" i="48"/>
  <c r="D190" i="48"/>
  <c r="E71" i="48"/>
  <c r="F71" i="48" a="1"/>
  <c r="F71" i="48" s="1"/>
  <c r="C71" i="48"/>
  <c r="I169" i="48"/>
  <c r="E169" i="48"/>
  <c r="D169" i="48"/>
  <c r="K169" i="48" a="1"/>
  <c r="K169" i="48" s="1"/>
  <c r="C169" i="48"/>
  <c r="F169" i="48" a="1"/>
  <c r="F169" i="48" s="1"/>
  <c r="C27" i="48"/>
  <c r="E27" i="48"/>
  <c r="F27" i="48" a="1"/>
  <c r="F27" i="48" s="1"/>
  <c r="F248" i="48" a="1"/>
  <c r="F248" i="48" s="1"/>
  <c r="I248" i="48"/>
  <c r="K248" i="48" a="1"/>
  <c r="K248" i="48" s="1"/>
  <c r="C248" i="48"/>
  <c r="D248" i="48"/>
  <c r="E248" i="48"/>
  <c r="F137" i="48" a="1"/>
  <c r="F137" i="48" s="1"/>
  <c r="I137" i="48"/>
  <c r="D137" i="48"/>
  <c r="C137" i="48"/>
  <c r="E137" i="48"/>
  <c r="K137" i="48" a="1"/>
  <c r="K137" i="48" s="1"/>
  <c r="K132" i="48" a="1"/>
  <c r="K132" i="48" s="1"/>
  <c r="E132" i="48"/>
  <c r="D132" i="48"/>
  <c r="C132" i="48"/>
  <c r="F132" i="48" a="1"/>
  <c r="F132" i="48" s="1"/>
  <c r="I132" i="48"/>
  <c r="C244" i="48"/>
  <c r="K244" i="48" a="1"/>
  <c r="K244" i="48" s="1"/>
  <c r="I244" i="48"/>
  <c r="D244" i="48"/>
  <c r="E244" i="48"/>
  <c r="F244" i="48" a="1"/>
  <c r="F244" i="48" s="1"/>
  <c r="F85" i="48" a="1"/>
  <c r="F85" i="48" s="1"/>
  <c r="C85" i="48"/>
  <c r="E85" i="48"/>
  <c r="E142" i="48"/>
  <c r="F142" i="48" a="1"/>
  <c r="F142" i="48" s="1"/>
  <c r="I142" i="48"/>
  <c r="K142" i="48" a="1"/>
  <c r="K142" i="48" s="1"/>
  <c r="C142" i="48"/>
  <c r="D142" i="48"/>
  <c r="E321" i="48"/>
  <c r="D321" i="48"/>
  <c r="F321" i="48" a="1"/>
  <c r="F321" i="48" s="1"/>
  <c r="K321" i="48" a="1"/>
  <c r="K321" i="48" s="1"/>
  <c r="I321" i="48"/>
  <c r="C321" i="48"/>
  <c r="E67" i="48"/>
  <c r="D67" i="48"/>
  <c r="F67" i="48" a="1"/>
  <c r="F67" i="48" s="1"/>
  <c r="C67" i="48"/>
  <c r="F77" i="48" a="1"/>
  <c r="F77" i="48" s="1"/>
  <c r="D77" i="48"/>
  <c r="E77" i="48"/>
  <c r="C77" i="48"/>
  <c r="E233" i="48"/>
  <c r="D233" i="48"/>
  <c r="F233" i="48" a="1"/>
  <c r="F233" i="48" s="1"/>
  <c r="K233" i="48" a="1"/>
  <c r="K233" i="48" s="1"/>
  <c r="C233" i="48"/>
  <c r="I233" i="48"/>
  <c r="E263" i="48"/>
  <c r="F263" i="48" a="1"/>
  <c r="F263" i="48" s="1"/>
  <c r="I263" i="48"/>
  <c r="C263" i="48"/>
  <c r="D263" i="48"/>
  <c r="K263" i="48" a="1"/>
  <c r="K263" i="48" s="1"/>
  <c r="E117" i="48"/>
  <c r="F117" i="48" a="1"/>
  <c r="F117" i="48" s="1"/>
  <c r="C117" i="48"/>
  <c r="D117" i="48"/>
  <c r="I150" i="48"/>
  <c r="K150" i="48" a="1"/>
  <c r="K150" i="48" s="1"/>
  <c r="C150" i="48"/>
  <c r="F150" i="48" a="1"/>
  <c r="F150" i="48" s="1"/>
  <c r="D150" i="48"/>
  <c r="E150" i="48"/>
  <c r="E84" i="48"/>
  <c r="C84" i="48"/>
  <c r="F84" i="48" a="1"/>
  <c r="F84" i="48" s="1"/>
  <c r="D84" i="48"/>
  <c r="C79" i="48"/>
  <c r="E79" i="48"/>
  <c r="F79" i="48" a="1"/>
  <c r="F79" i="48" s="1"/>
  <c r="F7" i="48" a="1"/>
  <c r="F7" i="48" s="1"/>
  <c r="E7" i="48"/>
  <c r="D7" i="48"/>
  <c r="C7" i="48"/>
  <c r="D255" i="48"/>
  <c r="E255" i="48"/>
  <c r="C255" i="48"/>
  <c r="K255" i="48" a="1"/>
  <c r="K255" i="48" s="1"/>
  <c r="F255" i="48" a="1"/>
  <c r="F255" i="48" s="1"/>
  <c r="I255" i="48"/>
  <c r="I166" i="48"/>
  <c r="C166" i="48"/>
  <c r="D166" i="48"/>
  <c r="F166" i="48" a="1"/>
  <c r="F166" i="48" s="1"/>
  <c r="E166" i="48"/>
  <c r="K166" i="48" a="1"/>
  <c r="K166" i="48" s="1"/>
  <c r="I139" i="48"/>
  <c r="F139" i="48" a="1"/>
  <c r="F139" i="48" s="1"/>
  <c r="C139" i="48"/>
  <c r="K139" i="48" a="1"/>
  <c r="K139" i="48" s="1"/>
  <c r="D139" i="48"/>
  <c r="E139" i="48"/>
  <c r="F133" i="48" a="1"/>
  <c r="F133" i="48" s="1"/>
  <c r="E133" i="48"/>
  <c r="I133" i="48"/>
  <c r="K133" i="48" a="1"/>
  <c r="K133" i="48" s="1"/>
  <c r="D133" i="48"/>
  <c r="C133" i="48"/>
  <c r="C241" i="48"/>
  <c r="K241" i="48" a="1"/>
  <c r="K241" i="48" s="1"/>
  <c r="I241" i="48"/>
  <c r="D241" i="48"/>
  <c r="E241" i="48"/>
  <c r="F241" i="48" a="1"/>
  <c r="F241" i="48" s="1"/>
  <c r="C109" i="48"/>
  <c r="F109" i="48" a="1"/>
  <c r="F109" i="48" s="1"/>
  <c r="K109" i="48" a="1"/>
  <c r="K109" i="48" s="1"/>
  <c r="E109" i="48"/>
  <c r="E59" i="48"/>
  <c r="F59" i="48" a="1"/>
  <c r="F59" i="48" s="1"/>
  <c r="C59" i="48"/>
  <c r="D59" i="48"/>
  <c r="F15" i="48" a="1"/>
  <c r="F15" i="48" s="1"/>
  <c r="E15" i="48"/>
  <c r="C15" i="48"/>
  <c r="K159" i="48" a="1"/>
  <c r="K159" i="48" s="1"/>
  <c r="E159" i="48"/>
  <c r="D159" i="48"/>
  <c r="C159" i="48"/>
  <c r="I159" i="48"/>
  <c r="F159" i="48" a="1"/>
  <c r="F159" i="48" s="1"/>
  <c r="F73" i="48" a="1"/>
  <c r="F73" i="48" s="1"/>
  <c r="E73" i="48"/>
  <c r="C73" i="48"/>
  <c r="C261" i="48"/>
  <c r="I261" i="48"/>
  <c r="D261" i="48"/>
  <c r="E261" i="48"/>
  <c r="K261" i="48" a="1"/>
  <c r="K261" i="48" s="1"/>
  <c r="F261" i="48" a="1"/>
  <c r="F261" i="48" s="1"/>
  <c r="C46" i="48"/>
  <c r="E46" i="48"/>
  <c r="F46" i="48" a="1"/>
  <c r="F46" i="48" s="1"/>
  <c r="G63" i="21"/>
  <c r="D63" i="21"/>
  <c r="C63" i="21"/>
  <c r="E63" i="21"/>
  <c r="B63" i="21"/>
  <c r="C36" i="21"/>
  <c r="B36" i="21"/>
  <c r="G36" i="21"/>
  <c r="E36" i="21"/>
  <c r="D36" i="21"/>
  <c r="E75" i="21"/>
  <c r="G75" i="21"/>
  <c r="C75" i="21"/>
  <c r="B75" i="21"/>
  <c r="D75" i="21"/>
  <c r="C73" i="21"/>
  <c r="D73" i="21"/>
  <c r="B73" i="21"/>
  <c r="G73" i="21"/>
  <c r="E73" i="21"/>
  <c r="B25" i="21"/>
  <c r="D25" i="21"/>
  <c r="C25" i="21"/>
  <c r="G25" i="21"/>
  <c r="E25" i="21"/>
  <c r="E45" i="21"/>
  <c r="G45" i="21"/>
  <c r="C45" i="21"/>
  <c r="B45" i="21"/>
  <c r="D45" i="21"/>
  <c r="Z28" i="101"/>
  <c r="AA28" i="101"/>
  <c r="Y28" i="101"/>
  <c r="X28" i="101"/>
  <c r="Z20" i="101"/>
  <c r="AA20" i="101"/>
  <c r="X20" i="101"/>
  <c r="Y20" i="101"/>
  <c r="X6" i="101"/>
  <c r="Y6" i="101"/>
  <c r="Z6" i="101"/>
  <c r="AA6" i="101"/>
  <c r="X38" i="101"/>
  <c r="Z38" i="101"/>
  <c r="Y38" i="101"/>
  <c r="AA38" i="101"/>
  <c r="D82" i="98"/>
  <c r="E82" i="98"/>
  <c r="G82" i="98"/>
  <c r="B82" i="98"/>
  <c r="C82" i="98"/>
  <c r="D17" i="98"/>
  <c r="B17" i="98"/>
  <c r="C17" i="98"/>
  <c r="G70" i="98"/>
  <c r="B70" i="98"/>
  <c r="D70" i="98"/>
  <c r="E70" i="98"/>
  <c r="C70" i="98"/>
  <c r="B22" i="98"/>
  <c r="E22" i="98"/>
  <c r="G22" i="98"/>
  <c r="D22" i="98"/>
  <c r="C22" i="98"/>
  <c r="D62" i="98"/>
  <c r="E62" i="98"/>
  <c r="G62" i="98"/>
  <c r="B62" i="98"/>
  <c r="C62" i="98"/>
  <c r="E81" i="98"/>
  <c r="B81" i="98"/>
  <c r="C81" i="98"/>
  <c r="D81" i="98"/>
  <c r="G81" i="98"/>
  <c r="D8" i="98"/>
  <c r="C8" i="98"/>
  <c r="B8" i="98"/>
  <c r="U30" i="53"/>
  <c r="U12" i="53"/>
  <c r="E29" i="53"/>
  <c r="U29" i="53"/>
  <c r="U34" i="53"/>
  <c r="E31" i="53"/>
  <c r="U31" i="53"/>
  <c r="U14" i="53"/>
  <c r="U32" i="53"/>
  <c r="U41" i="53"/>
  <c r="U28" i="53"/>
  <c r="I5" i="31"/>
  <c r="D7" i="29" s="1"/>
  <c r="J6" i="53"/>
  <c r="J7" i="53" s="1"/>
  <c r="J8" i="53" s="1"/>
  <c r="J9" i="53" s="1"/>
  <c r="J10" i="53" s="1"/>
  <c r="J11" i="53" s="1"/>
  <c r="J12" i="53" s="1"/>
  <c r="J13" i="53" s="1"/>
  <c r="J14" i="53" s="1"/>
  <c r="J15" i="53" s="1"/>
  <c r="J16" i="53" s="1"/>
  <c r="J17" i="53" s="1"/>
  <c r="J18" i="53" s="1"/>
  <c r="J19" i="53" s="1"/>
  <c r="J20" i="53" s="1"/>
  <c r="J21" i="53" s="1"/>
  <c r="J22" i="53" s="1"/>
  <c r="J23" i="53" s="1"/>
  <c r="J24" i="53" s="1"/>
  <c r="J25" i="53" s="1"/>
  <c r="J26" i="53" s="1"/>
  <c r="J27" i="53" s="1"/>
  <c r="J28" i="53" s="1"/>
  <c r="J29" i="53" s="1"/>
  <c r="J30" i="53" s="1"/>
  <c r="J31" i="53" s="1"/>
  <c r="J32" i="53" s="1"/>
  <c r="J33" i="53" s="1"/>
  <c r="J34" i="53" s="1"/>
  <c r="J35" i="53" s="1"/>
  <c r="J36" i="53" s="1"/>
  <c r="J37" i="53" s="1"/>
  <c r="J38" i="53" s="1"/>
  <c r="J39" i="53" s="1"/>
  <c r="J40" i="53" s="1"/>
  <c r="J41" i="53" s="1"/>
  <c r="J42" i="53" s="1"/>
  <c r="J43" i="53" s="1"/>
  <c r="J44" i="53" s="1"/>
  <c r="J45" i="53" s="1"/>
  <c r="J46" i="53" s="1"/>
  <c r="U8" i="53"/>
  <c r="U26" i="53"/>
  <c r="U42" i="53"/>
  <c r="U23" i="53"/>
  <c r="U6" i="53"/>
  <c r="O8" i="53"/>
  <c r="U13" i="53"/>
  <c r="U24" i="53"/>
  <c r="U22" i="53"/>
  <c r="U43" i="53"/>
  <c r="U36" i="53"/>
  <c r="U18" i="53"/>
  <c r="U20" i="53"/>
  <c r="U10" i="53"/>
  <c r="U37" i="53"/>
  <c r="U17" i="53"/>
  <c r="U46" i="53"/>
  <c r="U21" i="53"/>
  <c r="U15" i="53"/>
  <c r="U45" i="53"/>
  <c r="U7" i="53"/>
  <c r="E16" i="53"/>
  <c r="U16" i="53"/>
  <c r="O9" i="53"/>
  <c r="U27" i="53"/>
  <c r="U35" i="53"/>
  <c r="U33" i="53"/>
  <c r="E33" i="53"/>
  <c r="U9" i="53"/>
  <c r="U39" i="53"/>
  <c r="U40" i="53"/>
  <c r="U38" i="53"/>
  <c r="E19" i="53"/>
  <c r="U19" i="53"/>
  <c r="U44" i="53"/>
  <c r="I5" i="34"/>
  <c r="D23" i="29" s="1"/>
  <c r="I5" i="24"/>
  <c r="D8" i="29" s="1"/>
  <c r="I1" i="24"/>
  <c r="I5" i="22"/>
  <c r="D10" i="29" s="1"/>
  <c r="I5" i="19"/>
  <c r="D13" i="29" s="1"/>
  <c r="C11" i="19"/>
  <c r="I5" i="39"/>
  <c r="D24" i="29" s="1"/>
  <c r="O2" i="101"/>
  <c r="O3" i="101"/>
  <c r="E34" i="50" l="1"/>
  <c r="I6" i="100"/>
  <c r="D53" i="52"/>
  <c r="D18" i="100"/>
  <c r="G6" i="20"/>
  <c r="D39" i="52"/>
  <c r="E39" i="50"/>
  <c r="I5" i="96"/>
  <c r="D35" i="29" s="1"/>
  <c r="D18" i="49"/>
  <c r="D70" i="52"/>
  <c r="D64" i="52"/>
  <c r="E45" i="53"/>
  <c r="D12" i="49"/>
  <c r="D14" i="49"/>
  <c r="G7" i="35"/>
  <c r="G8" i="35" s="1"/>
  <c r="G9" i="35" s="1"/>
  <c r="G10" i="35" s="1"/>
  <c r="G11" i="35" s="1"/>
  <c r="G12" i="35" s="1"/>
  <c r="C17" i="99"/>
  <c r="D37" i="48"/>
  <c r="D57" i="48"/>
  <c r="D46" i="100"/>
  <c r="D49" i="100"/>
  <c r="D20" i="49"/>
  <c r="D58" i="52"/>
  <c r="E28" i="50"/>
  <c r="D34" i="100"/>
  <c r="D36" i="100"/>
  <c r="E40" i="50"/>
  <c r="D90" i="48"/>
  <c r="D34" i="48"/>
  <c r="D7" i="51"/>
  <c r="K22" i="49" a="1"/>
  <c r="K22" i="49" s="1"/>
  <c r="K23" i="49" s="1" a="1"/>
  <c r="K23" i="49" s="1"/>
  <c r="K26" i="49" s="1" a="1"/>
  <c r="K26" i="49" s="1"/>
  <c r="E37" i="53"/>
  <c r="E41" i="50"/>
  <c r="D13" i="49"/>
  <c r="E8" i="53"/>
  <c r="E23" i="53"/>
  <c r="G15" i="96"/>
  <c r="G16" i="96" s="1"/>
  <c r="G17" i="96" s="1"/>
  <c r="G18" i="96" s="1"/>
  <c r="G19" i="96" s="1"/>
  <c r="G20" i="96" s="1"/>
  <c r="G21" i="96" s="1"/>
  <c r="G22" i="96" s="1"/>
  <c r="G23" i="96" s="1"/>
  <c r="G24" i="96" s="1"/>
  <c r="G25" i="96" s="1"/>
  <c r="G26" i="96" s="1"/>
  <c r="G27" i="96" s="1"/>
  <c r="G28" i="96" s="1"/>
  <c r="G29" i="96" s="1"/>
  <c r="G30" i="96" s="1"/>
  <c r="G31" i="96" s="1"/>
  <c r="G32" i="96" s="1"/>
  <c r="G33" i="96" s="1"/>
  <c r="G34" i="96" s="1"/>
  <c r="G35" i="96" s="1"/>
  <c r="G36" i="96" s="1"/>
  <c r="G37" i="96" s="1"/>
  <c r="G38" i="96" s="1"/>
  <c r="G39" i="96" s="1"/>
  <c r="G40" i="96" s="1"/>
  <c r="G41" i="96" s="1"/>
  <c r="G42" i="96" s="1"/>
  <c r="G43" i="96" s="1"/>
  <c r="G44" i="96" s="1"/>
  <c r="G45" i="96" s="1"/>
  <c r="G46" i="96" s="1"/>
  <c r="G47" i="96" s="1"/>
  <c r="G48" i="96" s="1"/>
  <c r="G49" i="96" s="1"/>
  <c r="G50" i="96" s="1"/>
  <c r="G51" i="96" s="1"/>
  <c r="G52" i="96" s="1"/>
  <c r="G53" i="96" s="1"/>
  <c r="G54" i="96" s="1"/>
  <c r="G55" i="96" s="1"/>
  <c r="G56" i="96" s="1"/>
  <c r="D24" i="52"/>
  <c r="D32" i="100"/>
  <c r="D66" i="48"/>
  <c r="D109" i="48"/>
  <c r="D87" i="48"/>
  <c r="D8" i="48"/>
  <c r="D13" i="52"/>
  <c r="D40" i="52"/>
  <c r="U6" i="50"/>
  <c r="E10" i="50"/>
  <c r="D26" i="48"/>
  <c r="C10" i="35"/>
  <c r="E21" i="53"/>
  <c r="D34" i="49"/>
  <c r="G6" i="22"/>
  <c r="G7" i="22" s="1"/>
  <c r="D51" i="52"/>
  <c r="D73" i="48"/>
  <c r="D36" i="48"/>
  <c r="D17" i="48"/>
  <c r="D121" i="48"/>
  <c r="E17" i="50"/>
  <c r="D9" i="51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D75" i="52"/>
  <c r="U33" i="50"/>
  <c r="U14" i="50"/>
  <c r="D76" i="52"/>
  <c r="D44" i="100"/>
  <c r="E49" i="50"/>
  <c r="D9" i="101"/>
  <c r="I6" i="52"/>
  <c r="I7" i="52" s="1"/>
  <c r="I8" i="52" s="1"/>
  <c r="I9" i="52" s="1"/>
  <c r="I10" i="52" s="1"/>
  <c r="I11" i="52" s="1"/>
  <c r="I12" i="52" s="1"/>
  <c r="I13" i="52" s="1"/>
  <c r="I14" i="52" s="1"/>
  <c r="I15" i="52" s="1"/>
  <c r="I16" i="52" s="1"/>
  <c r="I17" i="52" s="1"/>
  <c r="I18" i="52" s="1"/>
  <c r="I19" i="52" s="1"/>
  <c r="I20" i="52" s="1"/>
  <c r="I21" i="52" s="1"/>
  <c r="I22" i="52" s="1"/>
  <c r="I23" i="52" s="1"/>
  <c r="I24" i="52" s="1"/>
  <c r="I25" i="52" s="1"/>
  <c r="I26" i="52" s="1"/>
  <c r="I27" i="52" s="1"/>
  <c r="I28" i="52" s="1"/>
  <c r="I29" i="52" s="1"/>
  <c r="I30" i="52" s="1"/>
  <c r="I31" i="52" s="1"/>
  <c r="I32" i="52" s="1"/>
  <c r="I33" i="52" s="1"/>
  <c r="I34" i="52" s="1"/>
  <c r="I35" i="52" s="1"/>
  <c r="I36" i="52" s="1"/>
  <c r="I37" i="52" s="1"/>
  <c r="I38" i="52" s="1"/>
  <c r="I39" i="52" s="1"/>
  <c r="I40" i="52" s="1"/>
  <c r="I41" i="52" s="1"/>
  <c r="I42" i="52" s="1"/>
  <c r="I43" i="52" s="1"/>
  <c r="I44" i="52" s="1"/>
  <c r="I45" i="52" s="1"/>
  <c r="I46" i="52" s="1"/>
  <c r="I47" i="52" s="1"/>
  <c r="I48" i="52" s="1"/>
  <c r="I49" i="52" s="1"/>
  <c r="I50" i="52" s="1"/>
  <c r="I51" i="52" s="1"/>
  <c r="I52" i="52" s="1"/>
  <c r="I53" i="52" s="1"/>
  <c r="I54" i="52" s="1"/>
  <c r="I55" i="52" s="1"/>
  <c r="I56" i="52" s="1"/>
  <c r="I57" i="52" s="1"/>
  <c r="I58" i="52" s="1"/>
  <c r="I59" i="52" s="1"/>
  <c r="I60" i="52" s="1"/>
  <c r="I61" i="52" s="1"/>
  <c r="I62" i="52" s="1"/>
  <c r="I63" i="52" s="1"/>
  <c r="I64" i="52" s="1"/>
  <c r="I65" i="52" s="1"/>
  <c r="I66" i="52" s="1"/>
  <c r="I67" i="52" s="1"/>
  <c r="I68" i="52" s="1"/>
  <c r="I69" i="52" s="1"/>
  <c r="I70" i="52" s="1"/>
  <c r="I71" i="52" s="1"/>
  <c r="I72" i="52" s="1"/>
  <c r="I73" i="52" s="1"/>
  <c r="I74" i="52" s="1"/>
  <c r="I75" i="52" s="1"/>
  <c r="I76" i="52" s="1"/>
  <c r="I77" i="52" s="1"/>
  <c r="I78" i="52" s="1"/>
  <c r="I79" i="52" s="1"/>
  <c r="G6" i="91"/>
  <c r="G7" i="91" s="1"/>
  <c r="G8" i="91" s="1"/>
  <c r="D16" i="52"/>
  <c r="C19" i="21"/>
  <c r="D80" i="48"/>
  <c r="E26" i="53"/>
  <c r="G8" i="22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D25" i="49"/>
  <c r="C14" i="21"/>
  <c r="D75" i="48"/>
  <c r="D44" i="48"/>
  <c r="G6" i="17"/>
  <c r="C8" i="37"/>
  <c r="D116" i="48"/>
  <c r="D113" i="48"/>
  <c r="G6" i="30"/>
  <c r="D76" i="48"/>
  <c r="G6" i="19"/>
  <c r="G7" i="19" s="1"/>
  <c r="G8" i="19" s="1"/>
  <c r="G9" i="19" s="1"/>
  <c r="G10" i="19" s="1"/>
  <c r="G11" i="19" s="1"/>
  <c r="G12" i="19" s="1"/>
  <c r="G13" i="19" s="1"/>
  <c r="G14" i="19" s="1"/>
  <c r="G15" i="19" s="1"/>
  <c r="J6" i="50"/>
  <c r="J7" i="50" s="1"/>
  <c r="J8" i="50" s="1"/>
  <c r="J9" i="50" s="1"/>
  <c r="J10" i="50" s="1"/>
  <c r="J11" i="50" s="1"/>
  <c r="J12" i="50" s="1"/>
  <c r="J13" i="50" s="1"/>
  <c r="J14" i="50" s="1"/>
  <c r="J15" i="50" s="1"/>
  <c r="J16" i="50" s="1"/>
  <c r="J17" i="50" s="1"/>
  <c r="J18" i="50" s="1"/>
  <c r="J19" i="50" s="1"/>
  <c r="J20" i="50" s="1"/>
  <c r="J21" i="50" s="1"/>
  <c r="J22" i="50" s="1"/>
  <c r="J23" i="50" s="1"/>
  <c r="J24" i="50" s="1"/>
  <c r="J25" i="50" s="1"/>
  <c r="J26" i="50" s="1"/>
  <c r="J27" i="50" s="1"/>
  <c r="J28" i="50" s="1"/>
  <c r="J29" i="50" s="1"/>
  <c r="J30" i="50" s="1"/>
  <c r="J31" i="50" s="1"/>
  <c r="J32" i="50" s="1"/>
  <c r="J33" i="50" s="1"/>
  <c r="J34" i="50" s="1"/>
  <c r="J35" i="50" s="1"/>
  <c r="J36" i="50" s="1"/>
  <c r="J37" i="50" s="1"/>
  <c r="J38" i="50" s="1"/>
  <c r="J39" i="50" s="1"/>
  <c r="J40" i="50" s="1"/>
  <c r="D11" i="100"/>
  <c r="D125" i="48"/>
  <c r="E6" i="50"/>
  <c r="C10" i="25"/>
  <c r="E21" i="50"/>
  <c r="D10" i="51"/>
  <c r="D25" i="100"/>
  <c r="U16" i="50"/>
  <c r="D79" i="52"/>
  <c r="D74" i="52"/>
  <c r="E35" i="50"/>
  <c r="D66" i="52"/>
  <c r="E50" i="50"/>
  <c r="D28" i="100"/>
  <c r="D13" i="48"/>
  <c r="I6" i="51"/>
  <c r="I7" i="51" s="1"/>
  <c r="I8" i="51" s="1"/>
  <c r="I9" i="51" s="1"/>
  <c r="I10" i="51" s="1"/>
  <c r="I11" i="51" s="1"/>
  <c r="U34" i="50"/>
  <c r="U12" i="50"/>
  <c r="D56" i="48"/>
  <c r="D52" i="48"/>
  <c r="E33" i="50"/>
  <c r="D24" i="49"/>
  <c r="U39" i="50"/>
  <c r="U8" i="50"/>
  <c r="D127" i="48"/>
  <c r="D20" i="48"/>
  <c r="D102" i="48"/>
  <c r="D122" i="48"/>
  <c r="U51" i="50"/>
  <c r="U23" i="50"/>
  <c r="D42" i="100"/>
  <c r="U32" i="50"/>
  <c r="E11" i="53"/>
  <c r="D37" i="52"/>
  <c r="U48" i="50"/>
  <c r="O12" i="53"/>
  <c r="D32" i="29" s="1"/>
  <c r="D50" i="48"/>
  <c r="C11" i="36"/>
  <c r="D68" i="48"/>
  <c r="C6" i="20"/>
  <c r="D16" i="49"/>
  <c r="D11" i="49"/>
  <c r="D9" i="49"/>
  <c r="U53" i="50"/>
  <c r="U24" i="50"/>
  <c r="E7" i="50"/>
  <c r="U42" i="50"/>
  <c r="I7" i="100"/>
  <c r="I8" i="100" s="1"/>
  <c r="I9" i="100" s="1"/>
  <c r="I10" i="100" s="1"/>
  <c r="I11" i="100" s="1"/>
  <c r="I12" i="100" s="1"/>
  <c r="I13" i="100" s="1"/>
  <c r="I14" i="100" s="1"/>
  <c r="I15" i="100" s="1"/>
  <c r="I16" i="100" s="1"/>
  <c r="I17" i="100" s="1"/>
  <c r="I18" i="100" s="1"/>
  <c r="I19" i="100" s="1"/>
  <c r="I20" i="100" s="1"/>
  <c r="I21" i="100" s="1"/>
  <c r="I22" i="100" s="1"/>
  <c r="I23" i="100" s="1"/>
  <c r="I24" i="100" s="1"/>
  <c r="I25" i="100" s="1"/>
  <c r="I26" i="100" s="1"/>
  <c r="I27" i="100" s="1"/>
  <c r="I28" i="100" s="1"/>
  <c r="I29" i="100" s="1"/>
  <c r="I30" i="100" s="1"/>
  <c r="I31" i="100" s="1"/>
  <c r="I32" i="100" s="1"/>
  <c r="I33" i="100" s="1"/>
  <c r="I34" i="100" s="1"/>
  <c r="I35" i="100" s="1"/>
  <c r="I36" i="100" s="1"/>
  <c r="I37" i="100" s="1"/>
  <c r="I38" i="100" s="1"/>
  <c r="I39" i="100" s="1"/>
  <c r="I40" i="100" s="1"/>
  <c r="I41" i="100" s="1"/>
  <c r="I42" i="100" s="1"/>
  <c r="I43" i="100" s="1"/>
  <c r="I44" i="100" s="1"/>
  <c r="I45" i="100" s="1"/>
  <c r="I46" i="100" s="1"/>
  <c r="I47" i="100" s="1"/>
  <c r="I48" i="100" s="1"/>
  <c r="I49" i="100" s="1"/>
  <c r="I50" i="100" s="1"/>
  <c r="U52" i="50"/>
  <c r="D42" i="48"/>
  <c r="D107" i="48"/>
  <c r="D82" i="48"/>
  <c r="D94" i="48"/>
  <c r="D128" i="48"/>
  <c r="U25" i="53"/>
  <c r="U29" i="50"/>
  <c r="D17" i="49"/>
  <c r="U38" i="50"/>
  <c r="U44" i="50"/>
  <c r="D19" i="49"/>
  <c r="D31" i="49"/>
  <c r="U27" i="50"/>
  <c r="E15" i="53"/>
  <c r="I6" i="101"/>
  <c r="I7" i="101" s="1"/>
  <c r="I8" i="101" s="1"/>
  <c r="I9" i="101" s="1"/>
  <c r="I10" i="101" s="1"/>
  <c r="I11" i="101" s="1"/>
  <c r="I12" i="101" s="1"/>
  <c r="I13" i="101" s="1"/>
  <c r="I14" i="101" s="1"/>
  <c r="D62" i="48"/>
  <c r="D19" i="48"/>
  <c r="C11" i="21"/>
  <c r="C9" i="37"/>
  <c r="U40" i="50"/>
  <c r="E19" i="50"/>
  <c r="U43" i="50"/>
  <c r="U9" i="50"/>
  <c r="E15" i="50"/>
  <c r="D10" i="48"/>
  <c r="C22" i="21"/>
  <c r="G6" i="37"/>
  <c r="G7" i="37" s="1"/>
  <c r="G8" i="37" s="1"/>
  <c r="G9" i="37" s="1"/>
  <c r="D63" i="48"/>
  <c r="D9" i="100"/>
  <c r="D40" i="100"/>
  <c r="E22" i="50"/>
  <c r="U30" i="50"/>
  <c r="U28" i="50"/>
  <c r="G6" i="25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U26" i="50"/>
  <c r="E25" i="50"/>
  <c r="E13" i="50"/>
  <c r="D33" i="48"/>
  <c r="J41" i="50"/>
  <c r="J42" i="50" s="1"/>
  <c r="J43" i="50" s="1"/>
  <c r="J44" i="50" s="1"/>
  <c r="J45" i="50" s="1"/>
  <c r="J46" i="50" s="1"/>
  <c r="J47" i="50" s="1"/>
  <c r="J48" i="50" s="1"/>
  <c r="J49" i="50" s="1"/>
  <c r="J50" i="50" s="1"/>
  <c r="J51" i="50" s="1"/>
  <c r="J52" i="50" s="1"/>
  <c r="J53" i="50" s="1"/>
  <c r="L50" i="52" a="1"/>
  <c r="L50" i="52" s="1"/>
  <c r="L52" i="52" s="1" a="1"/>
  <c r="L52" i="52" s="1"/>
  <c r="D38" i="100"/>
  <c r="D27" i="52"/>
  <c r="U13" i="50"/>
  <c r="I5" i="30"/>
  <c r="D12" i="29" s="1"/>
  <c r="U21" i="50"/>
  <c r="U46" i="50"/>
  <c r="O3" i="49"/>
  <c r="U47" i="50"/>
  <c r="I5" i="44"/>
  <c r="D25" i="29" s="1"/>
  <c r="P18" i="52"/>
  <c r="P9" i="52"/>
  <c r="U11" i="50"/>
  <c r="K47" i="100" a="1"/>
  <c r="K47" i="100" s="1"/>
  <c r="K48" i="100" s="1" a="1"/>
  <c r="K48" i="100" s="1"/>
  <c r="AE10" i="100" s="1"/>
  <c r="AF10" i="100" s="1"/>
  <c r="AG10" i="100" s="1"/>
  <c r="U45" i="50"/>
  <c r="U25" i="50"/>
  <c r="D27" i="48"/>
  <c r="D79" i="48"/>
  <c r="D32" i="48"/>
  <c r="I6" i="48"/>
  <c r="I7" i="48" s="1"/>
  <c r="I8" i="48" s="1"/>
  <c r="I9" i="48" s="1"/>
  <c r="I10" i="48" s="1"/>
  <c r="I11" i="48" s="1"/>
  <c r="I12" i="48" s="1"/>
  <c r="I13" i="48" s="1"/>
  <c r="I14" i="48" s="1"/>
  <c r="I15" i="48" s="1"/>
  <c r="I16" i="48" s="1"/>
  <c r="I17" i="48" s="1"/>
  <c r="I18" i="48" s="1"/>
  <c r="I19" i="48" s="1"/>
  <c r="I20" i="48" s="1"/>
  <c r="I21" i="48" s="1"/>
  <c r="I22" i="48" s="1"/>
  <c r="I23" i="48" s="1"/>
  <c r="I24" i="48" s="1"/>
  <c r="I25" i="48" s="1"/>
  <c r="I26" i="48" s="1"/>
  <c r="I27" i="48" s="1"/>
  <c r="I28" i="48" s="1"/>
  <c r="I29" i="48" s="1"/>
  <c r="I30" i="48" s="1"/>
  <c r="I31" i="48" s="1"/>
  <c r="I32" i="48" s="1"/>
  <c r="I33" i="48" s="1"/>
  <c r="I34" i="48" s="1"/>
  <c r="I35" i="48" s="1"/>
  <c r="I36" i="48" s="1"/>
  <c r="I37" i="48" s="1"/>
  <c r="I38" i="48" s="1"/>
  <c r="I39" i="48" s="1"/>
  <c r="I40" i="48" s="1"/>
  <c r="I41" i="48" s="1"/>
  <c r="I42" i="48" s="1"/>
  <c r="I43" i="48" s="1"/>
  <c r="I44" i="48" s="1"/>
  <c r="I45" i="48" s="1"/>
  <c r="I46" i="48" s="1"/>
  <c r="I47" i="48" s="1"/>
  <c r="I48" i="48" s="1"/>
  <c r="I49" i="48" s="1"/>
  <c r="I50" i="48" s="1"/>
  <c r="I51" i="48" s="1"/>
  <c r="I52" i="48" s="1"/>
  <c r="I53" i="48" s="1"/>
  <c r="I54" i="48" s="1"/>
  <c r="I55" i="48" s="1"/>
  <c r="I56" i="48" s="1"/>
  <c r="I57" i="48" s="1"/>
  <c r="I58" i="48" s="1"/>
  <c r="I59" i="48" s="1"/>
  <c r="I60" i="48" s="1"/>
  <c r="I61" i="48" s="1"/>
  <c r="I62" i="48" s="1"/>
  <c r="I63" i="48" s="1"/>
  <c r="I64" i="48" s="1"/>
  <c r="I65" i="48" s="1"/>
  <c r="I66" i="48" s="1"/>
  <c r="I67" i="48" s="1"/>
  <c r="I68" i="48" s="1"/>
  <c r="I69" i="48" s="1"/>
  <c r="I70" i="48" s="1"/>
  <c r="I71" i="48" s="1"/>
  <c r="I72" i="48" s="1"/>
  <c r="I73" i="48" s="1"/>
  <c r="I74" i="48" s="1"/>
  <c r="I75" i="48" s="1"/>
  <c r="I76" i="48" s="1"/>
  <c r="I77" i="48" s="1"/>
  <c r="I78" i="48" s="1"/>
  <c r="I79" i="48" s="1"/>
  <c r="I80" i="48" s="1"/>
  <c r="I81" i="48" s="1"/>
  <c r="I82" i="48" s="1"/>
  <c r="I83" i="48" s="1"/>
  <c r="I84" i="48" s="1"/>
  <c r="I85" i="48" s="1"/>
  <c r="I86" i="48" s="1"/>
  <c r="I87" i="48" s="1"/>
  <c r="I88" i="48" s="1"/>
  <c r="I89" i="48" s="1"/>
  <c r="I90" i="48" s="1"/>
  <c r="I91" i="48" s="1"/>
  <c r="I92" i="48" s="1"/>
  <c r="I93" i="48" s="1"/>
  <c r="I94" i="48" s="1"/>
  <c r="I95" i="48" s="1"/>
  <c r="I96" i="48" s="1"/>
  <c r="I97" i="48" s="1"/>
  <c r="I98" i="48" s="1"/>
  <c r="I99" i="48" s="1"/>
  <c r="I100" i="48" s="1"/>
  <c r="I101" i="48" s="1"/>
  <c r="I102" i="48" s="1"/>
  <c r="I103" i="48" s="1"/>
  <c r="I104" i="48" s="1"/>
  <c r="I105" i="48" s="1"/>
  <c r="I106" i="48" s="1"/>
  <c r="I107" i="48" s="1"/>
  <c r="I108" i="48" s="1"/>
  <c r="I109" i="48" s="1"/>
  <c r="I110" i="48" s="1"/>
  <c r="I111" i="48" s="1"/>
  <c r="I112" i="48" s="1"/>
  <c r="I113" i="48" s="1"/>
  <c r="I114" i="48" s="1"/>
  <c r="I115" i="48" s="1"/>
  <c r="I116" i="48" s="1"/>
  <c r="I117" i="48" s="1"/>
  <c r="I118" i="48" s="1"/>
  <c r="I119" i="48" s="1"/>
  <c r="I120" i="48" s="1"/>
  <c r="I121" i="48" s="1"/>
  <c r="I122" i="48" s="1"/>
  <c r="I123" i="48" s="1"/>
  <c r="I124" i="48" s="1"/>
  <c r="I125" i="48" s="1"/>
  <c r="I126" i="48" s="1"/>
  <c r="I127" i="48" s="1"/>
  <c r="I128" i="48" s="1"/>
  <c r="D49" i="48"/>
  <c r="G6" i="99"/>
  <c r="G7" i="99" s="1"/>
  <c r="G8" i="99" s="1"/>
  <c r="G9" i="99" s="1"/>
  <c r="G10" i="99" s="1"/>
  <c r="G11" i="99" s="1"/>
  <c r="G12" i="99" s="1"/>
  <c r="G13" i="99" s="1"/>
  <c r="G14" i="99" s="1"/>
  <c r="G15" i="99" s="1"/>
  <c r="G16" i="99" s="1"/>
  <c r="G17" i="99" s="1"/>
  <c r="G18" i="99" s="1"/>
  <c r="G19" i="99" s="1"/>
  <c r="G20" i="99" s="1"/>
  <c r="D118" i="48"/>
  <c r="D97" i="48"/>
  <c r="D92" i="48"/>
  <c r="U36" i="50"/>
  <c r="I5" i="33"/>
  <c r="D22" i="29" s="1"/>
  <c r="D62" i="52"/>
  <c r="U17" i="50"/>
  <c r="U50" i="50"/>
  <c r="D30" i="100"/>
  <c r="O9" i="50"/>
  <c r="U31" i="50"/>
  <c r="D50" i="100"/>
  <c r="U15" i="50"/>
  <c r="D98" i="48"/>
  <c r="G7" i="13"/>
  <c r="G8" i="13" s="1"/>
  <c r="G9" i="13" s="1"/>
  <c r="G10" i="13" s="1"/>
  <c r="G11" i="13" s="1"/>
  <c r="G12" i="13" s="1"/>
  <c r="G13" i="13" s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K89" i="48" a="1"/>
  <c r="K89" i="48" s="1"/>
  <c r="K91" i="48" s="1" a="1"/>
  <c r="K91" i="48" s="1"/>
  <c r="K93" i="48" s="1" a="1"/>
  <c r="K93" i="48" s="1"/>
  <c r="D120" i="48"/>
  <c r="Q18" i="52"/>
  <c r="U7" i="50"/>
  <c r="O2" i="100"/>
  <c r="G6" i="98"/>
  <c r="G7" i="98" s="1"/>
  <c r="G8" i="98" s="1"/>
  <c r="G9" i="98" s="1"/>
  <c r="G10" i="98" s="1"/>
  <c r="G11" i="98" s="1"/>
  <c r="G12" i="98" s="1"/>
  <c r="G13" i="98" s="1"/>
  <c r="G14" i="98" s="1"/>
  <c r="G15" i="98" s="1"/>
  <c r="G16" i="98" s="1"/>
  <c r="G17" i="98" s="1"/>
  <c r="G18" i="98" s="1"/>
  <c r="G19" i="98" s="1"/>
  <c r="G6" i="36"/>
  <c r="G7" i="36" s="1"/>
  <c r="G8" i="36" s="1"/>
  <c r="G9" i="36" s="1"/>
  <c r="G10" i="36" s="1"/>
  <c r="G11" i="36" s="1"/>
  <c r="G12" i="36" s="1"/>
  <c r="G13" i="36" s="1"/>
  <c r="G14" i="36" s="1"/>
  <c r="G15" i="36" s="1"/>
  <c r="G16" i="36" s="1"/>
  <c r="G17" i="36" s="1"/>
  <c r="G18" i="36" s="1"/>
  <c r="G19" i="36" s="1"/>
  <c r="D114" i="48"/>
  <c r="D85" i="48"/>
  <c r="D11" i="48"/>
  <c r="C15" i="45"/>
  <c r="D47" i="48"/>
  <c r="U11" i="53"/>
  <c r="O8" i="50"/>
  <c r="Q17" i="52"/>
  <c r="E29" i="50"/>
  <c r="O3" i="100"/>
  <c r="I5" i="98"/>
  <c r="D37" i="29" s="1"/>
  <c r="C7" i="97"/>
  <c r="I5" i="20"/>
  <c r="D15" i="29" s="1"/>
  <c r="I5" i="35"/>
  <c r="D17" i="29" s="1"/>
  <c r="C7" i="16"/>
  <c r="C8" i="97"/>
  <c r="D22" i="48"/>
  <c r="D58" i="48"/>
  <c r="U41" i="50"/>
  <c r="U49" i="50"/>
  <c r="AJ5" i="101" a="1"/>
  <c r="AJ5" i="101" s="1"/>
  <c r="U18" i="50"/>
  <c r="U35" i="50"/>
  <c r="U10" i="50"/>
  <c r="I6" i="49"/>
  <c r="I7" i="49" s="1"/>
  <c r="I8" i="49" s="1"/>
  <c r="I9" i="49" s="1"/>
  <c r="I10" i="49" s="1"/>
  <c r="I11" i="49" s="1"/>
  <c r="I12" i="49" s="1"/>
  <c r="I13" i="49" s="1"/>
  <c r="I14" i="49" s="1"/>
  <c r="I15" i="49" s="1"/>
  <c r="I16" i="49" s="1"/>
  <c r="I17" i="49" s="1"/>
  <c r="I18" i="49" s="1"/>
  <c r="I19" i="49" s="1"/>
  <c r="I20" i="49" s="1"/>
  <c r="I21" i="49" s="1"/>
  <c r="I22" i="49" s="1"/>
  <c r="I23" i="49" s="1"/>
  <c r="I24" i="49" s="1"/>
  <c r="I25" i="49" s="1"/>
  <c r="I26" i="49" s="1"/>
  <c r="I27" i="49" s="1"/>
  <c r="I28" i="49" s="1"/>
  <c r="I29" i="49" s="1"/>
  <c r="I30" i="49" s="1"/>
  <c r="I31" i="49" s="1"/>
  <c r="I32" i="49" s="1"/>
  <c r="I33" i="49" s="1"/>
  <c r="I34" i="49" s="1"/>
  <c r="I35" i="49" s="1"/>
  <c r="I36" i="49" s="1"/>
  <c r="I37" i="49" s="1"/>
  <c r="I38" i="49" s="1"/>
  <c r="I39" i="49" s="1"/>
  <c r="I5" i="99"/>
  <c r="D38" i="29" s="1"/>
  <c r="D105" i="48"/>
  <c r="AE5" i="51"/>
  <c r="AF5" i="51" s="1"/>
  <c r="AG5" i="51" s="1"/>
  <c r="AH5" i="51" s="1" a="1"/>
  <c r="AH5" i="51" s="1"/>
  <c r="U22" i="50"/>
  <c r="U19" i="50"/>
  <c r="E48" i="50"/>
  <c r="O2" i="49"/>
  <c r="D71" i="48"/>
  <c r="G6" i="97"/>
  <c r="G7" i="97" s="1"/>
  <c r="G8" i="97" s="1"/>
  <c r="G9" i="97" s="1"/>
  <c r="G10" i="97" s="1"/>
  <c r="G11" i="97" s="1"/>
  <c r="G12" i="97" s="1"/>
  <c r="G13" i="97" s="1"/>
  <c r="G14" i="97" s="1"/>
  <c r="G15" i="97" s="1"/>
  <c r="G16" i="97" s="1"/>
  <c r="G17" i="97" s="1"/>
  <c r="G18" i="97" s="1"/>
  <c r="G19" i="97" s="1"/>
  <c r="G20" i="97" s="1"/>
  <c r="G21" i="97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D64" i="48"/>
  <c r="D43" i="48"/>
  <c r="D45" i="48"/>
  <c r="D100" i="48"/>
  <c r="O3" i="51"/>
  <c r="I5" i="25"/>
  <c r="D21" i="29" s="1"/>
  <c r="D88" i="48"/>
  <c r="O2" i="51"/>
  <c r="O6" i="51" s="1"/>
  <c r="D31" i="29" s="1"/>
  <c r="P8" i="52"/>
  <c r="P17" i="52"/>
  <c r="U20" i="50"/>
  <c r="U37" i="50"/>
  <c r="I5" i="45"/>
  <c r="D26" i="29" s="1"/>
  <c r="I5" i="40"/>
  <c r="D5" i="29" s="1"/>
  <c r="C6" i="44"/>
  <c r="C6" i="36"/>
  <c r="G6" i="44"/>
  <c r="D15" i="48"/>
  <c r="I5" i="21"/>
  <c r="D11" i="29" s="1"/>
  <c r="I5" i="16"/>
  <c r="D16" i="29" s="1"/>
  <c r="I5" i="97"/>
  <c r="D36" i="29" s="1"/>
  <c r="C20" i="45"/>
  <c r="D46" i="48"/>
  <c r="I5" i="36"/>
  <c r="D19" i="29" s="1"/>
  <c r="I5" i="17"/>
  <c r="D18" i="29" s="1"/>
  <c r="O3" i="48"/>
  <c r="O2" i="48"/>
  <c r="G6" i="40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G32" i="40" s="1"/>
  <c r="G33" i="40" s="1"/>
  <c r="G6" i="45"/>
  <c r="G7" i="45" s="1"/>
  <c r="G8" i="45" s="1"/>
  <c r="G9" i="45" s="1"/>
  <c r="G10" i="45" s="1"/>
  <c r="G11" i="45" s="1"/>
  <c r="G12" i="45" s="1"/>
  <c r="G13" i="45" s="1"/>
  <c r="G14" i="45" s="1"/>
  <c r="G15" i="45" s="1"/>
  <c r="G16" i="45" s="1"/>
  <c r="G17" i="45" s="1"/>
  <c r="G18" i="45" s="1"/>
  <c r="G19" i="45" s="1"/>
  <c r="G20" i="45" s="1"/>
  <c r="I5" i="13"/>
  <c r="D20" i="29" s="1"/>
  <c r="I5" i="26"/>
  <c r="D9" i="29" s="1"/>
  <c r="C6" i="30"/>
  <c r="I5" i="37"/>
  <c r="D6" i="29" s="1"/>
  <c r="G6" i="16"/>
  <c r="G7" i="16" s="1"/>
  <c r="C15" i="36"/>
  <c r="I2" i="24"/>
  <c r="I3" i="24" s="1"/>
  <c r="O6" i="101"/>
  <c r="D39" i="29" s="1"/>
  <c r="AB6" i="53" l="1"/>
  <c r="P21" i="52"/>
  <c r="AQ5" i="52" a="1"/>
  <c r="AQ5" i="52" s="1"/>
  <c r="AZ5" i="52" s="1"/>
  <c r="AZ6" i="52" s="1"/>
  <c r="AZ7" i="52" s="1"/>
  <c r="AZ8" i="52" s="1"/>
  <c r="AZ9" i="52" s="1"/>
  <c r="AZ10" i="52" s="1"/>
  <c r="AZ11" i="52" s="1"/>
  <c r="AZ12" i="52" s="1"/>
  <c r="AZ13" i="52" s="1"/>
  <c r="AZ14" i="52" s="1"/>
  <c r="AZ15" i="52" s="1"/>
  <c r="AZ16" i="52" s="1"/>
  <c r="AZ17" i="52" s="1"/>
  <c r="AZ18" i="52" s="1"/>
  <c r="AZ19" i="52" s="1"/>
  <c r="AZ20" i="52" s="1"/>
  <c r="AZ21" i="52" s="1"/>
  <c r="AZ22" i="52" s="1"/>
  <c r="AZ23" i="52" s="1"/>
  <c r="AZ24" i="52" s="1"/>
  <c r="BB5" i="52" a="1"/>
  <c r="BB5" i="52" s="1"/>
  <c r="BK5" i="52" s="1"/>
  <c r="BK6" i="52" s="1"/>
  <c r="BK7" i="52" s="1"/>
  <c r="BK8" i="52" s="1"/>
  <c r="BK9" i="52" s="1"/>
  <c r="BK10" i="52" s="1"/>
  <c r="BK11" i="52" s="1"/>
  <c r="BK12" i="52" s="1"/>
  <c r="BK13" i="52" s="1"/>
  <c r="BK14" i="52" s="1"/>
  <c r="BK15" i="52" s="1"/>
  <c r="BK16" i="52" s="1"/>
  <c r="BK17" i="52" s="1"/>
  <c r="BK18" i="52" s="1"/>
  <c r="BK19" i="52" s="1"/>
  <c r="BK20" i="52" s="1"/>
  <c r="BK21" i="52" s="1"/>
  <c r="BK22" i="52" s="1"/>
  <c r="BK23" i="52" s="1"/>
  <c r="BK24" i="52" s="1"/>
  <c r="BK25" i="52" s="1"/>
  <c r="BK26" i="52" s="1"/>
  <c r="BK27" i="52" s="1"/>
  <c r="BK28" i="52" s="1"/>
  <c r="BK29" i="52" s="1"/>
  <c r="BK30" i="52" s="1"/>
  <c r="BK31" i="52" s="1"/>
  <c r="BK32" i="52" s="1"/>
  <c r="BK33" i="52" s="1"/>
  <c r="BK34" i="52" s="1"/>
  <c r="BK35" i="52" s="1"/>
  <c r="BK36" i="52" s="1"/>
  <c r="BK37" i="52" s="1"/>
  <c r="BK38" i="52" s="1"/>
  <c r="BK39" i="52" s="1"/>
  <c r="BK40" i="52" s="1"/>
  <c r="BK41" i="52" s="1"/>
  <c r="BK42" i="52" s="1"/>
  <c r="BK43" i="52" s="1"/>
  <c r="BK44" i="52" s="1"/>
  <c r="BK45" i="52" s="1"/>
  <c r="BK46" i="52" s="1"/>
  <c r="BK47" i="52" s="1"/>
  <c r="BK48" i="52" s="1"/>
  <c r="BK49" i="52" s="1"/>
  <c r="BK50" i="52" s="1"/>
  <c r="BK51" i="52" s="1"/>
  <c r="BK52" i="52" s="1"/>
  <c r="BK53" i="52" s="1"/>
  <c r="BK54" i="52" s="1"/>
  <c r="BK55" i="52" s="1"/>
  <c r="BK56" i="52" s="1"/>
  <c r="BK57" i="52" s="1"/>
  <c r="BK58" i="52" s="1"/>
  <c r="P12" i="52"/>
  <c r="O6" i="48"/>
  <c r="D33" i="29" s="1"/>
  <c r="Y8" i="50" a="1"/>
  <c r="Y8" i="50" s="1"/>
  <c r="L54" i="52" a="1"/>
  <c r="L54" i="52" s="1"/>
  <c r="L55" i="52" s="1" a="1"/>
  <c r="L55" i="52" s="1"/>
  <c r="L56" i="52" s="1" a="1"/>
  <c r="L56" i="52" s="1"/>
  <c r="AB6" i="50"/>
  <c r="O12" i="50"/>
  <c r="D29" i="29" s="1"/>
  <c r="K27" i="49" a="1"/>
  <c r="K27" i="49" s="1"/>
  <c r="K28" i="49" s="1" a="1"/>
  <c r="K28" i="49" s="1"/>
  <c r="K29" i="49" s="1" a="1"/>
  <c r="K29" i="49" s="1"/>
  <c r="O6" i="49"/>
  <c r="D28" i="29" s="1"/>
  <c r="Y8" i="53" a="1"/>
  <c r="Y8" i="53" s="1"/>
  <c r="D30" i="29"/>
  <c r="AD7" i="50" a="1"/>
  <c r="AD7" i="50" s="1"/>
  <c r="AE5" i="100"/>
  <c r="AF5" i="100" s="1"/>
  <c r="AG5" i="100" s="1"/>
  <c r="AE7" i="100"/>
  <c r="AF7" i="100" s="1"/>
  <c r="AG7" i="100" s="1"/>
  <c r="AE16" i="100"/>
  <c r="AF16" i="100" s="1"/>
  <c r="AG16" i="100" s="1"/>
  <c r="AE15" i="100"/>
  <c r="AF15" i="100" s="1"/>
  <c r="AG15" i="100" s="1"/>
  <c r="AE14" i="100"/>
  <c r="AF14" i="100" s="1"/>
  <c r="AG14" i="100" s="1"/>
  <c r="AE12" i="100"/>
  <c r="AF12" i="100" s="1"/>
  <c r="AG12" i="100" s="1"/>
  <c r="AE11" i="100"/>
  <c r="AF11" i="100" s="1"/>
  <c r="AG11" i="100" s="1"/>
  <c r="AE13" i="100"/>
  <c r="AF13" i="100" s="1"/>
  <c r="AG13" i="100" s="1"/>
  <c r="AE9" i="100"/>
  <c r="AF9" i="100" s="1"/>
  <c r="AG9" i="100" s="1"/>
  <c r="AE6" i="100"/>
  <c r="AF6" i="100" s="1"/>
  <c r="AG6" i="100" s="1"/>
  <c r="AE8" i="100"/>
  <c r="AF8" i="100" s="1"/>
  <c r="AG8" i="100" s="1"/>
  <c r="O6" i="100"/>
  <c r="D34" i="29" s="1"/>
  <c r="W13" i="51"/>
  <c r="W14" i="51"/>
  <c r="W26" i="51"/>
  <c r="W49" i="51"/>
  <c r="W35" i="51"/>
  <c r="W45" i="51"/>
  <c r="W32" i="51"/>
  <c r="W42" i="51"/>
  <c r="W46" i="51"/>
  <c r="W20" i="51"/>
  <c r="W52" i="51"/>
  <c r="W41" i="51"/>
  <c r="W44" i="51"/>
  <c r="W23" i="51"/>
  <c r="W47" i="51"/>
  <c r="W25" i="51"/>
  <c r="W40" i="51"/>
  <c r="W24" i="51"/>
  <c r="W5" i="51"/>
  <c r="W33" i="51"/>
  <c r="W17" i="51"/>
  <c r="W11" i="51"/>
  <c r="W16" i="51"/>
  <c r="W50" i="51"/>
  <c r="W36" i="51"/>
  <c r="W6" i="51"/>
  <c r="W34" i="51"/>
  <c r="W28" i="51"/>
  <c r="W9" i="51"/>
  <c r="W19" i="51"/>
  <c r="W10" i="51"/>
  <c r="W15" i="51"/>
  <c r="W39" i="51"/>
  <c r="W21" i="51"/>
  <c r="W30" i="51"/>
  <c r="W38" i="51"/>
  <c r="W18" i="51"/>
  <c r="W27" i="51"/>
  <c r="W31" i="51"/>
  <c r="W54" i="51"/>
  <c r="W37" i="51"/>
  <c r="W53" i="51"/>
  <c r="W43" i="51"/>
  <c r="W7" i="51"/>
  <c r="W12" i="51"/>
  <c r="W48" i="51"/>
  <c r="W22" i="51"/>
  <c r="W29" i="51"/>
  <c r="W8" i="51"/>
  <c r="W51" i="51"/>
  <c r="Q21" i="52"/>
  <c r="P22" i="52" s="1"/>
  <c r="K96" i="48" a="1"/>
  <c r="K96" i="48" s="1"/>
  <c r="AH6" i="100" l="1" a="1"/>
  <c r="AH6" i="100" s="1"/>
  <c r="AH9" i="100" a="1"/>
  <c r="AH9" i="100" s="1"/>
  <c r="H4" i="29"/>
  <c r="L57" i="52" a="1"/>
  <c r="L57" i="52" s="1"/>
  <c r="L59" i="52" s="1" a="1"/>
  <c r="L59" i="52" s="1"/>
  <c r="AH11" i="100" a="1"/>
  <c r="AH11" i="100" s="1"/>
  <c r="Y48" i="51"/>
  <c r="AA48" i="51"/>
  <c r="Z48" i="51"/>
  <c r="X48" i="51"/>
  <c r="AA30" i="51"/>
  <c r="Z30" i="51"/>
  <c r="Y30" i="51"/>
  <c r="X30" i="51"/>
  <c r="Y50" i="51"/>
  <c r="Z50" i="51"/>
  <c r="X50" i="51"/>
  <c r="AA50" i="51"/>
  <c r="Y44" i="51"/>
  <c r="X44" i="51"/>
  <c r="AA44" i="51"/>
  <c r="Z44" i="51"/>
  <c r="Y14" i="51"/>
  <c r="X14" i="51"/>
  <c r="AA14" i="51"/>
  <c r="Z14" i="51"/>
  <c r="Z7" i="51"/>
  <c r="Y7" i="51"/>
  <c r="X7" i="51"/>
  <c r="AA7" i="51"/>
  <c r="Y39" i="51"/>
  <c r="AA39" i="51"/>
  <c r="Z39" i="51"/>
  <c r="X39" i="51"/>
  <c r="Z11" i="51"/>
  <c r="AA11" i="51"/>
  <c r="X11" i="51"/>
  <c r="Y11" i="51"/>
  <c r="X52" i="51"/>
  <c r="Z52" i="51"/>
  <c r="Y52" i="51"/>
  <c r="AA52" i="51"/>
  <c r="AH5" i="100" a="1"/>
  <c r="AH5" i="100" s="1"/>
  <c r="AH10" i="100" a="1"/>
  <c r="AH10" i="100" s="1"/>
  <c r="Y43" i="51"/>
  <c r="Z43" i="51"/>
  <c r="X43" i="51"/>
  <c r="AA43" i="51"/>
  <c r="Y15" i="51"/>
  <c r="X15" i="51"/>
  <c r="AA15" i="51"/>
  <c r="Z15" i="51"/>
  <c r="Z17" i="51"/>
  <c r="AA17" i="51"/>
  <c r="Y17" i="51"/>
  <c r="X17" i="51"/>
  <c r="Z20" i="51"/>
  <c r="X20" i="51"/>
  <c r="Y20" i="51"/>
  <c r="AA20" i="51"/>
  <c r="AH13" i="100" a="1"/>
  <c r="AH13" i="100" s="1"/>
  <c r="X51" i="51"/>
  <c r="AA51" i="51"/>
  <c r="Z51" i="51"/>
  <c r="Y51" i="51"/>
  <c r="AA28" i="51"/>
  <c r="Z28" i="51"/>
  <c r="Y28" i="51"/>
  <c r="X28" i="51"/>
  <c r="Z40" i="51"/>
  <c r="Y40" i="51"/>
  <c r="X40" i="51"/>
  <c r="AA40" i="51"/>
  <c r="Z45" i="51"/>
  <c r="AA45" i="51"/>
  <c r="Y45" i="51"/>
  <c r="X45" i="51"/>
  <c r="X8" i="51"/>
  <c r="AA8" i="51"/>
  <c r="Y8" i="51"/>
  <c r="Z8" i="51"/>
  <c r="Z27" i="51"/>
  <c r="Y27" i="51"/>
  <c r="AA27" i="51"/>
  <c r="X27" i="51"/>
  <c r="Z34" i="51"/>
  <c r="X34" i="51"/>
  <c r="AA34" i="51"/>
  <c r="Y34" i="51"/>
  <c r="AA25" i="51"/>
  <c r="X25" i="51"/>
  <c r="Z25" i="51"/>
  <c r="Y25" i="51"/>
  <c r="Z35" i="51"/>
  <c r="Y35" i="51"/>
  <c r="AA35" i="51"/>
  <c r="X35" i="51"/>
  <c r="Y29" i="51"/>
  <c r="Z29" i="51"/>
  <c r="X29" i="51"/>
  <c r="AA29" i="51"/>
  <c r="X18" i="51"/>
  <c r="Z18" i="51"/>
  <c r="AA18" i="51"/>
  <c r="Y18" i="51"/>
  <c r="AA6" i="51"/>
  <c r="Z6" i="51"/>
  <c r="Y6" i="51"/>
  <c r="X6" i="51"/>
  <c r="X47" i="51"/>
  <c r="Z47" i="51"/>
  <c r="Y47" i="51"/>
  <c r="AA47" i="51"/>
  <c r="X49" i="51"/>
  <c r="Z49" i="51"/>
  <c r="AA49" i="51"/>
  <c r="Y49" i="51"/>
  <c r="AH14" i="100" a="1"/>
  <c r="AH14" i="100" s="1"/>
  <c r="AH16" i="100" a="1"/>
  <c r="AH16" i="100" s="1"/>
  <c r="X12" i="51"/>
  <c r="Z12" i="51"/>
  <c r="Y12" i="51"/>
  <c r="AA12" i="51"/>
  <c r="X21" i="51"/>
  <c r="Y21" i="51"/>
  <c r="AA21" i="51"/>
  <c r="Z21" i="51"/>
  <c r="Y16" i="51"/>
  <c r="X16" i="51"/>
  <c r="Z16" i="51"/>
  <c r="AA16" i="51"/>
  <c r="X41" i="51"/>
  <c r="Y41" i="51"/>
  <c r="Z41" i="51"/>
  <c r="AA41" i="51"/>
  <c r="Z13" i="51"/>
  <c r="Y13" i="51"/>
  <c r="X13" i="51"/>
  <c r="AA13" i="51"/>
  <c r="AH7" i="100" a="1"/>
  <c r="AH7" i="100" s="1"/>
  <c r="AH8" i="100" a="1"/>
  <c r="AH8" i="100" s="1"/>
  <c r="X53" i="51"/>
  <c r="Y53" i="51"/>
  <c r="AA53" i="51"/>
  <c r="Z53" i="51"/>
  <c r="Y10" i="51"/>
  <c r="X10" i="51"/>
  <c r="Z10" i="51"/>
  <c r="AA10" i="51"/>
  <c r="AA33" i="51"/>
  <c r="X33" i="51"/>
  <c r="Z33" i="51"/>
  <c r="Y33" i="51"/>
  <c r="X46" i="51"/>
  <c r="Z46" i="51"/>
  <c r="AA46" i="51"/>
  <c r="Y46" i="51"/>
  <c r="AA37" i="51"/>
  <c r="Z37" i="51"/>
  <c r="Y37" i="51"/>
  <c r="X37" i="51"/>
  <c r="AA19" i="51"/>
  <c r="Y19" i="51"/>
  <c r="X19" i="51"/>
  <c r="Z19" i="51"/>
  <c r="X5" i="51"/>
  <c r="Y5" i="51"/>
  <c r="Z5" i="51"/>
  <c r="AA5" i="51" s="1"/>
  <c r="X42" i="51"/>
  <c r="Z42" i="51"/>
  <c r="Y42" i="51"/>
  <c r="AA42" i="51"/>
  <c r="Z54" i="51"/>
  <c r="AA54" i="51"/>
  <c r="X54" i="51"/>
  <c r="Y54" i="51"/>
  <c r="AA9" i="51"/>
  <c r="Z9" i="51"/>
  <c r="X9" i="51"/>
  <c r="Y9" i="51"/>
  <c r="AA24" i="51"/>
  <c r="Y24" i="51"/>
  <c r="X24" i="51"/>
  <c r="Z24" i="51"/>
  <c r="X32" i="51"/>
  <c r="Y32" i="51"/>
  <c r="Z32" i="51"/>
  <c r="AA32" i="51"/>
  <c r="Y31" i="51"/>
  <c r="Z31" i="51"/>
  <c r="AA31" i="51"/>
  <c r="X31" i="51"/>
  <c r="AH12" i="100" a="1"/>
  <c r="AH12" i="100" s="1"/>
  <c r="X22" i="51"/>
  <c r="AA22" i="51"/>
  <c r="Z22" i="51"/>
  <c r="Y22" i="51"/>
  <c r="X38" i="51"/>
  <c r="Y38" i="51"/>
  <c r="AA38" i="51"/>
  <c r="Z38" i="51"/>
  <c r="Y36" i="51"/>
  <c r="Z36" i="51"/>
  <c r="AA36" i="51"/>
  <c r="X36" i="51"/>
  <c r="X23" i="51"/>
  <c r="AA23" i="51"/>
  <c r="Y23" i="51"/>
  <c r="Z23" i="51"/>
  <c r="X26" i="51"/>
  <c r="AA26" i="51"/>
  <c r="Z26" i="51"/>
  <c r="Y26" i="51"/>
  <c r="AH15" i="100" a="1"/>
  <c r="AH15" i="100" s="1"/>
  <c r="K99" i="48" a="1"/>
  <c r="K99" i="48" s="1"/>
  <c r="K101" i="48" s="1" a="1"/>
  <c r="K101" i="48" s="1"/>
  <c r="K30" i="49" a="1"/>
  <c r="K30" i="49" s="1"/>
  <c r="K32" i="49" s="1" a="1"/>
  <c r="K32" i="49" s="1"/>
  <c r="L60" i="52" l="1" a="1"/>
  <c r="L60" i="52" s="1"/>
  <c r="L61" i="52" s="1" a="1"/>
  <c r="L61" i="52" s="1"/>
  <c r="AJ5" i="51" a="1"/>
  <c r="AJ5" i="51" s="1"/>
  <c r="W19" i="100"/>
  <c r="W26" i="100"/>
  <c r="W48" i="100"/>
  <c r="W25" i="100"/>
  <c r="W54" i="100"/>
  <c r="W18" i="100"/>
  <c r="W7" i="100"/>
  <c r="W10" i="100"/>
  <c r="W11" i="100"/>
  <c r="W39" i="100"/>
  <c r="W5" i="100"/>
  <c r="W15" i="100"/>
  <c r="W52" i="100"/>
  <c r="W53" i="100"/>
  <c r="W35" i="100"/>
  <c r="W30" i="100"/>
  <c r="W41" i="100"/>
  <c r="W22" i="100"/>
  <c r="W17" i="100"/>
  <c r="W20" i="100"/>
  <c r="W12" i="100"/>
  <c r="W14" i="100"/>
  <c r="W45" i="100"/>
  <c r="W8" i="100"/>
  <c r="W23" i="100"/>
  <c r="W42" i="100"/>
  <c r="W32" i="100"/>
  <c r="W43" i="100"/>
  <c r="W13" i="100"/>
  <c r="W21" i="100"/>
  <c r="W9" i="100"/>
  <c r="W27" i="100"/>
  <c r="W29" i="100"/>
  <c r="W24" i="100"/>
  <c r="W50" i="100"/>
  <c r="W47" i="100"/>
  <c r="W49" i="100"/>
  <c r="W38" i="100"/>
  <c r="W16" i="100"/>
  <c r="W34" i="100"/>
  <c r="W36" i="100"/>
  <c r="W33" i="100"/>
  <c r="W44" i="100"/>
  <c r="W6" i="100"/>
  <c r="W46" i="100"/>
  <c r="W37" i="100"/>
  <c r="W51" i="100"/>
  <c r="W40" i="100"/>
  <c r="W28" i="100"/>
  <c r="W31" i="100"/>
  <c r="K103" i="48" a="1"/>
  <c r="K103" i="48" s="1"/>
  <c r="K104" i="48" s="1" a="1"/>
  <c r="K104" i="48" s="1"/>
  <c r="K33" i="49" a="1"/>
  <c r="K33" i="49" s="1"/>
  <c r="K35" i="49" s="1" a="1"/>
  <c r="K35" i="49" s="1"/>
  <c r="K36" i="49" s="1" a="1"/>
  <c r="K36" i="49" s="1"/>
  <c r="K37" i="49" s="1" a="1"/>
  <c r="K37" i="49" s="1"/>
  <c r="K38" i="49" s="1" a="1"/>
  <c r="K38" i="49" s="1"/>
  <c r="K39" i="49" s="1" a="1"/>
  <c r="K39" i="49" s="1"/>
  <c r="L63" i="52" l="1" a="1"/>
  <c r="L63" i="52" s="1"/>
  <c r="L65" i="52" s="1" a="1"/>
  <c r="L65" i="52" s="1"/>
  <c r="L67" i="52" s="1" a="1"/>
  <c r="L67" i="52" s="1"/>
  <c r="L68" i="52" s="1" a="1"/>
  <c r="L68" i="52" s="1"/>
  <c r="L69" i="52" s="1" a="1"/>
  <c r="L69" i="52" s="1"/>
  <c r="L71" i="52" s="1" a="1"/>
  <c r="L71" i="52" s="1"/>
  <c r="L73" i="52" s="1" a="1"/>
  <c r="L73" i="52" s="1"/>
  <c r="L77" i="52" s="1" a="1"/>
  <c r="L77" i="52" s="1"/>
  <c r="X34" i="100"/>
  <c r="Y34" i="100"/>
  <c r="AA34" i="100"/>
  <c r="Z34" i="100"/>
  <c r="X12" i="100"/>
  <c r="Z12" i="100"/>
  <c r="AA12" i="100" s="1"/>
  <c r="Y12" i="100"/>
  <c r="X18" i="100"/>
  <c r="Y18" i="100"/>
  <c r="Z18" i="100"/>
  <c r="AA18" i="100"/>
  <c r="Z27" i="100"/>
  <c r="AA27" i="100"/>
  <c r="Y27" i="100"/>
  <c r="X27" i="100"/>
  <c r="Y54" i="100"/>
  <c r="X54" i="100"/>
  <c r="Z54" i="100"/>
  <c r="AA54" i="100"/>
  <c r="X44" i="100"/>
  <c r="Y44" i="100"/>
  <c r="AA44" i="100"/>
  <c r="Z44" i="100"/>
  <c r="Y25" i="100"/>
  <c r="X25" i="100"/>
  <c r="AA25" i="100"/>
  <c r="Z25" i="100"/>
  <c r="X21" i="100"/>
  <c r="Y21" i="100"/>
  <c r="Z21" i="100"/>
  <c r="AA21" i="100"/>
  <c r="Z13" i="100"/>
  <c r="AA13" i="100" s="1"/>
  <c r="Y13" i="100"/>
  <c r="X13" i="100"/>
  <c r="Z16" i="100"/>
  <c r="AA16" i="100" s="1"/>
  <c r="X16" i="100"/>
  <c r="Y16" i="100"/>
  <c r="Y28" i="100"/>
  <c r="Z28" i="100"/>
  <c r="AA28" i="100"/>
  <c r="X28" i="100"/>
  <c r="Y30" i="100"/>
  <c r="AA30" i="100"/>
  <c r="Z30" i="100"/>
  <c r="X30" i="100"/>
  <c r="AA42" i="100"/>
  <c r="X42" i="100"/>
  <c r="Y42" i="100"/>
  <c r="Z42" i="100"/>
  <c r="Z51" i="100"/>
  <c r="X51" i="100"/>
  <c r="AA51" i="100"/>
  <c r="Y51" i="100"/>
  <c r="X47" i="100"/>
  <c r="AA47" i="100"/>
  <c r="Z47" i="100"/>
  <c r="Y47" i="100"/>
  <c r="Z23" i="100"/>
  <c r="X23" i="100"/>
  <c r="AA23" i="100"/>
  <c r="Y23" i="100"/>
  <c r="AA53" i="100"/>
  <c r="Y53" i="100"/>
  <c r="Z53" i="100"/>
  <c r="X53" i="100"/>
  <c r="Y48" i="100"/>
  <c r="X48" i="100"/>
  <c r="Z48" i="100"/>
  <c r="AA48" i="100"/>
  <c r="AA20" i="100"/>
  <c r="Z20" i="100"/>
  <c r="Y20" i="100"/>
  <c r="X20" i="100"/>
  <c r="Z36" i="100"/>
  <c r="Y36" i="100"/>
  <c r="X36" i="100"/>
  <c r="AA36" i="100"/>
  <c r="Z10" i="100"/>
  <c r="AA10" i="100" s="1"/>
  <c r="Y10" i="100"/>
  <c r="X10" i="100"/>
  <c r="Y22" i="100"/>
  <c r="Z22" i="100"/>
  <c r="AA22" i="100"/>
  <c r="X22" i="100"/>
  <c r="Y41" i="100"/>
  <c r="X41" i="100"/>
  <c r="AA41" i="100"/>
  <c r="Z41" i="100"/>
  <c r="AA32" i="100"/>
  <c r="Z32" i="100"/>
  <c r="X32" i="100"/>
  <c r="Y32" i="100"/>
  <c r="X49" i="100"/>
  <c r="AA49" i="100"/>
  <c r="Y49" i="100"/>
  <c r="Z49" i="100"/>
  <c r="X37" i="100"/>
  <c r="Y37" i="100"/>
  <c r="AA37" i="100"/>
  <c r="Z37" i="100"/>
  <c r="AA50" i="100"/>
  <c r="Z50" i="100"/>
  <c r="X50" i="100"/>
  <c r="Y50" i="100"/>
  <c r="Z8" i="100"/>
  <c r="AA8" i="100" s="1"/>
  <c r="Y8" i="100"/>
  <c r="X8" i="100"/>
  <c r="AA52" i="100"/>
  <c r="X52" i="100"/>
  <c r="Y52" i="100"/>
  <c r="Z52" i="100"/>
  <c r="Y26" i="100"/>
  <c r="X26" i="100"/>
  <c r="AA26" i="100"/>
  <c r="Z26" i="100"/>
  <c r="Z39" i="100"/>
  <c r="Y39" i="100"/>
  <c r="X39" i="100"/>
  <c r="AA39" i="100"/>
  <c r="Y33" i="100"/>
  <c r="Z33" i="100"/>
  <c r="X33" i="100"/>
  <c r="AA33" i="100"/>
  <c r="Y9" i="100"/>
  <c r="Z9" i="100"/>
  <c r="AA9" i="100" s="1"/>
  <c r="X9" i="100"/>
  <c r="X11" i="100"/>
  <c r="Z11" i="100"/>
  <c r="AA11" i="100" s="1"/>
  <c r="Y11" i="100"/>
  <c r="AA17" i="100"/>
  <c r="Z17" i="100"/>
  <c r="Y17" i="100"/>
  <c r="X17" i="100"/>
  <c r="X7" i="100"/>
  <c r="Z7" i="100"/>
  <c r="AA7" i="100" s="1"/>
  <c r="Y7" i="100"/>
  <c r="AA43" i="100"/>
  <c r="X43" i="100"/>
  <c r="Y43" i="100"/>
  <c r="Z43" i="100"/>
  <c r="AA38" i="100"/>
  <c r="Z38" i="100"/>
  <c r="Y38" i="100"/>
  <c r="X38" i="100"/>
  <c r="Y40" i="100"/>
  <c r="Z40" i="100"/>
  <c r="AA40" i="100"/>
  <c r="X40" i="100"/>
  <c r="Y35" i="100"/>
  <c r="AA35" i="100"/>
  <c r="X35" i="100"/>
  <c r="Z35" i="100"/>
  <c r="X46" i="100"/>
  <c r="Y46" i="100"/>
  <c r="Z46" i="100"/>
  <c r="AA46" i="100"/>
  <c r="AA24" i="100"/>
  <c r="Z24" i="100"/>
  <c r="Y24" i="100"/>
  <c r="X24" i="100"/>
  <c r="Y45" i="100"/>
  <c r="Z45" i="100"/>
  <c r="X45" i="100"/>
  <c r="AA45" i="100"/>
  <c r="X15" i="100"/>
  <c r="Z15" i="100"/>
  <c r="AA15" i="100" s="1"/>
  <c r="Y15" i="100"/>
  <c r="AA19" i="100"/>
  <c r="Y19" i="100"/>
  <c r="Z19" i="100"/>
  <c r="X19" i="100"/>
  <c r="Y31" i="100"/>
  <c r="X31" i="100"/>
  <c r="Z31" i="100"/>
  <c r="AA31" i="100"/>
  <c r="X6" i="100"/>
  <c r="Z6" i="100"/>
  <c r="AA6" i="100" s="1"/>
  <c r="Y6" i="100"/>
  <c r="Y29" i="100"/>
  <c r="X29" i="100"/>
  <c r="AA29" i="100"/>
  <c r="Z29" i="100"/>
  <c r="X14" i="100"/>
  <c r="Y14" i="100"/>
  <c r="Z14" i="100"/>
  <c r="AA14" i="100" s="1"/>
  <c r="X5" i="100"/>
  <c r="Z5" i="100"/>
  <c r="AA5" i="100" s="1"/>
  <c r="AJ5" i="100" s="1" a="1"/>
  <c r="AJ5" i="100" s="1"/>
  <c r="Y5" i="100"/>
  <c r="K106" i="48" a="1"/>
  <c r="K106" i="48" s="1"/>
  <c r="K110" i="48" s="1" a="1"/>
  <c r="K110" i="48" s="1"/>
  <c r="K111" i="48" s="1" a="1"/>
  <c r="K111" i="48" s="1"/>
  <c r="K112" i="48" s="1" a="1"/>
  <c r="K112" i="48" s="1"/>
  <c r="K115" i="48" s="1" a="1"/>
  <c r="K115" i="48" s="1"/>
  <c r="K117" i="48" s="1" a="1"/>
  <c r="K117" i="48" s="1"/>
  <c r="K119" i="48" s="1" a="1"/>
  <c r="K119" i="48" s="1"/>
  <c r="K123" i="48" s="1" a="1"/>
  <c r="K123" i="48" s="1"/>
  <c r="K124" i="48" s="1" a="1"/>
  <c r="K124" i="48" s="1"/>
  <c r="K126" i="48" s="1" a="1"/>
  <c r="K126" i="48" s="1"/>
  <c r="AE5" i="49"/>
  <c r="AF5" i="49" s="1"/>
  <c r="AG5" i="49" s="1"/>
  <c r="AE9" i="49"/>
  <c r="AF9" i="49" s="1"/>
  <c r="AG9" i="49" s="1"/>
  <c r="AE6" i="49"/>
  <c r="AF6" i="49" s="1"/>
  <c r="AG6" i="49" s="1"/>
  <c r="AE8" i="49"/>
  <c r="AF8" i="49" s="1"/>
  <c r="AG8" i="49" s="1"/>
  <c r="AE7" i="49"/>
  <c r="AF7" i="49" s="1"/>
  <c r="AG7" i="49" s="1"/>
  <c r="X7" i="52" l="1"/>
  <c r="Y7" i="52" s="1"/>
  <c r="Z7" i="52" s="1"/>
  <c r="X8" i="52"/>
  <c r="Y8" i="52" s="1"/>
  <c r="Z8" i="52" s="1"/>
  <c r="X5" i="52"/>
  <c r="Y5" i="52" s="1"/>
  <c r="Z5" i="52" s="1"/>
  <c r="AH7" i="49" a="1"/>
  <c r="AH7" i="49" s="1"/>
  <c r="X9" i="52"/>
  <c r="Y9" i="52" s="1"/>
  <c r="Z9" i="52" s="1"/>
  <c r="AE6" i="52"/>
  <c r="AF6" i="52" s="1"/>
  <c r="AG6" i="52" s="1"/>
  <c r="X6" i="52"/>
  <c r="Y6" i="52" s="1"/>
  <c r="Z6" i="52" s="1"/>
  <c r="AE7" i="52"/>
  <c r="AF7" i="52" s="1"/>
  <c r="AG7" i="52" s="1"/>
  <c r="AE5" i="52"/>
  <c r="AF5" i="52" s="1"/>
  <c r="AG5" i="52" s="1"/>
  <c r="AE16" i="48"/>
  <c r="AF16" i="48" s="1"/>
  <c r="AG16" i="48" s="1"/>
  <c r="AE12" i="48"/>
  <c r="AF12" i="48" s="1"/>
  <c r="AG12" i="48" s="1"/>
  <c r="AE6" i="48"/>
  <c r="AF6" i="48" s="1"/>
  <c r="AG6" i="48" s="1"/>
  <c r="AE23" i="48"/>
  <c r="AF23" i="48" s="1"/>
  <c r="AG23" i="48" s="1"/>
  <c r="AE22" i="48"/>
  <c r="AF22" i="48" s="1"/>
  <c r="AG22" i="48" s="1"/>
  <c r="AE20" i="48"/>
  <c r="AF20" i="48" s="1"/>
  <c r="AG20" i="48" s="1"/>
  <c r="AE9" i="48"/>
  <c r="AF9" i="48" s="1"/>
  <c r="AG9" i="48" s="1"/>
  <c r="AE18" i="48"/>
  <c r="AF18" i="48" s="1"/>
  <c r="AG18" i="48" s="1"/>
  <c r="AE15" i="48"/>
  <c r="AF15" i="48" s="1"/>
  <c r="AG15" i="48" s="1"/>
  <c r="AE8" i="48"/>
  <c r="AF8" i="48" s="1"/>
  <c r="AG8" i="48" s="1"/>
  <c r="AE7" i="48"/>
  <c r="AF7" i="48" s="1"/>
  <c r="AG7" i="48" s="1"/>
  <c r="AE10" i="48"/>
  <c r="AF10" i="48" s="1"/>
  <c r="AG10" i="48" s="1"/>
  <c r="AE21" i="48"/>
  <c r="AF21" i="48" s="1"/>
  <c r="AG21" i="48" s="1"/>
  <c r="AE19" i="48"/>
  <c r="AF19" i="48" s="1"/>
  <c r="AG19" i="48" s="1"/>
  <c r="AE13" i="48"/>
  <c r="AF13" i="48" s="1"/>
  <c r="AG13" i="48" s="1"/>
  <c r="AE24" i="48"/>
  <c r="AF24" i="48" s="1"/>
  <c r="AG24" i="48" s="1"/>
  <c r="AE11" i="48"/>
  <c r="AF11" i="48" s="1"/>
  <c r="AG11" i="48" s="1"/>
  <c r="AE14" i="48"/>
  <c r="AF14" i="48" s="1"/>
  <c r="AG14" i="48" s="1"/>
  <c r="AE17" i="48"/>
  <c r="AF17" i="48" s="1"/>
  <c r="AG17" i="48" s="1"/>
  <c r="AE26" i="48"/>
  <c r="AF26" i="48" s="1"/>
  <c r="AG26" i="48" s="1"/>
  <c r="AE5" i="48"/>
  <c r="AF5" i="48" s="1"/>
  <c r="AG5" i="48" s="1"/>
  <c r="AE25" i="48"/>
  <c r="AF25" i="48" s="1"/>
  <c r="AG25" i="48" s="1"/>
  <c r="AH8" i="49" a="1"/>
  <c r="AH8" i="49" s="1"/>
  <c r="AH6" i="49" a="1"/>
  <c r="AH6" i="49" s="1"/>
  <c r="AH9" i="49" a="1"/>
  <c r="AH9" i="49" s="1"/>
  <c r="AH5" i="49" a="1"/>
  <c r="AH5" i="49" s="1"/>
  <c r="AJ5" i="52" l="1" a="1"/>
  <c r="AJ5" i="52" s="1"/>
  <c r="AK5" i="52" a="1"/>
  <c r="AK5" i="52" s="1"/>
  <c r="AM5" i="52" a="1"/>
  <c r="AM5" i="52" s="1"/>
  <c r="AH15" i="48" a="1"/>
  <c r="AH15" i="48" s="1"/>
  <c r="AH7" i="48" a="1"/>
  <c r="AH7" i="48" s="1"/>
  <c r="AH5" i="48" a="1"/>
  <c r="AH5" i="48" s="1"/>
  <c r="AH8" i="48" a="1"/>
  <c r="AH8" i="48" s="1"/>
  <c r="AH18" i="48" a="1"/>
  <c r="AH18" i="48" s="1"/>
  <c r="AH9" i="48" a="1"/>
  <c r="AH9" i="48" s="1"/>
  <c r="AH20" i="48" a="1"/>
  <c r="AH20" i="48" s="1"/>
  <c r="AH17" i="48" a="1"/>
  <c r="AH17" i="48" s="1"/>
  <c r="AH14" i="48" a="1"/>
  <c r="AH14" i="48" s="1"/>
  <c r="AH24" i="48" a="1"/>
  <c r="AH24" i="48" s="1"/>
  <c r="AH13" i="48" a="1"/>
  <c r="AH13" i="48" s="1"/>
  <c r="AH23" i="48" a="1"/>
  <c r="AH23" i="48" s="1"/>
  <c r="AH26" i="48" a="1"/>
  <c r="AH26" i="48" s="1"/>
  <c r="AH22" i="48" a="1"/>
  <c r="AH22" i="48" s="1"/>
  <c r="AH19" i="48" a="1"/>
  <c r="AH19" i="48" s="1"/>
  <c r="AH6" i="48" a="1"/>
  <c r="AH6" i="48" s="1"/>
  <c r="AH25" i="48" a="1"/>
  <c r="AH25" i="48" s="1"/>
  <c r="AH11" i="48" a="1"/>
  <c r="AH11" i="48" s="1"/>
  <c r="AH21" i="48" a="1"/>
  <c r="AH21" i="48" s="1"/>
  <c r="AH12" i="48" a="1"/>
  <c r="AH12" i="48" s="1"/>
  <c r="AH10" i="48" a="1"/>
  <c r="AH10" i="48" s="1"/>
  <c r="AH16" i="48" a="1"/>
  <c r="AH16" i="48" s="1"/>
  <c r="W19" i="49"/>
  <c r="W48" i="49"/>
  <c r="W41" i="49"/>
  <c r="W36" i="49"/>
  <c r="W17" i="49"/>
  <c r="W8" i="49"/>
  <c r="W22" i="49"/>
  <c r="W52" i="49"/>
  <c r="W6" i="49"/>
  <c r="W12" i="49"/>
  <c r="W5" i="49"/>
  <c r="W11" i="49"/>
  <c r="W21" i="49"/>
  <c r="W42" i="49"/>
  <c r="W26" i="49"/>
  <c r="W44" i="49"/>
  <c r="W43" i="49"/>
  <c r="W35" i="49"/>
  <c r="W23" i="49"/>
  <c r="W47" i="49"/>
  <c r="W9" i="49"/>
  <c r="W27" i="49"/>
  <c r="W13" i="49"/>
  <c r="W10" i="49"/>
  <c r="W33" i="49"/>
  <c r="W20" i="49"/>
  <c r="W50" i="49"/>
  <c r="W39" i="49"/>
  <c r="W38" i="49"/>
  <c r="W32" i="49"/>
  <c r="W49" i="49"/>
  <c r="W18" i="49"/>
  <c r="W7" i="49"/>
  <c r="W53" i="49"/>
  <c r="W51" i="49"/>
  <c r="W29" i="49"/>
  <c r="W45" i="49"/>
  <c r="W46" i="49"/>
  <c r="W14" i="49"/>
  <c r="W37" i="49"/>
  <c r="W30" i="49"/>
  <c r="W31" i="49"/>
  <c r="W54" i="49"/>
  <c r="W40" i="49"/>
  <c r="W34" i="49"/>
  <c r="W25" i="49"/>
  <c r="W16" i="49"/>
  <c r="W24" i="49"/>
  <c r="W15" i="49"/>
  <c r="W28" i="49"/>
  <c r="W23" i="48" l="1"/>
  <c r="W15" i="48"/>
  <c r="W50" i="48"/>
  <c r="W10" i="48"/>
  <c r="W46" i="48"/>
  <c r="W48" i="48"/>
  <c r="W44" i="48"/>
  <c r="W14" i="48"/>
  <c r="W43" i="48"/>
  <c r="W25" i="48"/>
  <c r="W34" i="48"/>
  <c r="W24" i="48"/>
  <c r="W12" i="48"/>
  <c r="W45" i="48"/>
  <c r="W9" i="48"/>
  <c r="W19" i="48"/>
  <c r="W42" i="48"/>
  <c r="W36" i="48"/>
  <c r="W13" i="48"/>
  <c r="W49" i="48"/>
  <c r="W18" i="48"/>
  <c r="W37" i="48"/>
  <c r="W7" i="48"/>
  <c r="W33" i="48"/>
  <c r="W5" i="48"/>
  <c r="W38" i="48"/>
  <c r="W35" i="48"/>
  <c r="W17" i="48"/>
  <c r="W27" i="48"/>
  <c r="W51" i="48"/>
  <c r="W6" i="48"/>
  <c r="W16" i="48"/>
  <c r="W41" i="48"/>
  <c r="W30" i="48"/>
  <c r="W26" i="48"/>
  <c r="W8" i="48"/>
  <c r="W22" i="48"/>
  <c r="W11" i="48"/>
  <c r="W32" i="48"/>
  <c r="W54" i="48"/>
  <c r="W31" i="48"/>
  <c r="W39" i="48"/>
  <c r="W21" i="48"/>
  <c r="W47" i="48"/>
  <c r="W52" i="48"/>
  <c r="W53" i="48"/>
  <c r="W20" i="48"/>
  <c r="W40" i="48"/>
  <c r="W28" i="48"/>
  <c r="W29" i="48"/>
  <c r="X40" i="49"/>
  <c r="Z40" i="49"/>
  <c r="AA40" i="49"/>
  <c r="Y40" i="49"/>
  <c r="AA54" i="49"/>
  <c r="X54" i="49"/>
  <c r="Z54" i="49"/>
  <c r="Y54" i="49"/>
  <c r="X12" i="49"/>
  <c r="Y12" i="49"/>
  <c r="Z12" i="49"/>
  <c r="AA12" i="49"/>
  <c r="Z47" i="49"/>
  <c r="X47" i="49"/>
  <c r="AA47" i="49"/>
  <c r="Y47" i="49"/>
  <c r="Y52" i="49"/>
  <c r="X52" i="49"/>
  <c r="Z52" i="49"/>
  <c r="AA52" i="49"/>
  <c r="Y22" i="49"/>
  <c r="X22" i="49"/>
  <c r="Z22" i="49"/>
  <c r="AA22" i="49"/>
  <c r="X43" i="49"/>
  <c r="AA43" i="49"/>
  <c r="Y43" i="49"/>
  <c r="Z43" i="49"/>
  <c r="AA50" i="49"/>
  <c r="Z50" i="49"/>
  <c r="Y50" i="49"/>
  <c r="X50" i="49"/>
  <c r="Z45" i="49"/>
  <c r="Y45" i="49"/>
  <c r="X45" i="49"/>
  <c r="AA45" i="49"/>
  <c r="X20" i="49"/>
  <c r="Y20" i="49"/>
  <c r="AA20" i="49"/>
  <c r="Z20" i="49"/>
  <c r="Y26" i="49"/>
  <c r="Z26" i="49"/>
  <c r="X26" i="49"/>
  <c r="AA26" i="49"/>
  <c r="Y36" i="49"/>
  <c r="Z36" i="49"/>
  <c r="X36" i="49"/>
  <c r="AA36" i="49"/>
  <c r="AA27" i="49"/>
  <c r="X27" i="49"/>
  <c r="Z27" i="49"/>
  <c r="Y27" i="49"/>
  <c r="X18" i="49"/>
  <c r="Y18" i="49"/>
  <c r="AA18" i="49"/>
  <c r="Z18" i="49"/>
  <c r="Y31" i="49"/>
  <c r="AA31" i="49"/>
  <c r="Z31" i="49"/>
  <c r="X31" i="49"/>
  <c r="X30" i="49"/>
  <c r="Y30" i="49"/>
  <c r="AA30" i="49"/>
  <c r="Z30" i="49"/>
  <c r="Z32" i="49"/>
  <c r="Y32" i="49"/>
  <c r="AA32" i="49"/>
  <c r="X32" i="49"/>
  <c r="AA37" i="49"/>
  <c r="X37" i="49"/>
  <c r="Y37" i="49"/>
  <c r="Z37" i="49"/>
  <c r="X28" i="49"/>
  <c r="AA28" i="49"/>
  <c r="Z28" i="49"/>
  <c r="Y28" i="49"/>
  <c r="Z15" i="49"/>
  <c r="X15" i="49"/>
  <c r="Y15" i="49"/>
  <c r="AA15" i="49"/>
  <c r="X17" i="49"/>
  <c r="AA17" i="49"/>
  <c r="Y17" i="49"/>
  <c r="Z17" i="49"/>
  <c r="X16" i="49"/>
  <c r="Z16" i="49"/>
  <c r="AA16" i="49"/>
  <c r="Y16" i="49"/>
  <c r="X29" i="49"/>
  <c r="AA29" i="49"/>
  <c r="Z29" i="49"/>
  <c r="Y29" i="49"/>
  <c r="Y33" i="49"/>
  <c r="AA33" i="49"/>
  <c r="Z33" i="49"/>
  <c r="X33" i="49"/>
  <c r="Y42" i="49"/>
  <c r="X42" i="49"/>
  <c r="Z42" i="49"/>
  <c r="AA42" i="49"/>
  <c r="AA41" i="49"/>
  <c r="X41" i="49"/>
  <c r="Z41" i="49"/>
  <c r="Y41" i="49"/>
  <c r="X7" i="49"/>
  <c r="Y7" i="49"/>
  <c r="Z7" i="49"/>
  <c r="AA7" i="49" s="1"/>
  <c r="X5" i="49"/>
  <c r="Y5" i="49"/>
  <c r="Z5" i="49"/>
  <c r="AA5" i="49" s="1"/>
  <c r="X9" i="49"/>
  <c r="Y9" i="49"/>
  <c r="Z9" i="49"/>
  <c r="AA9" i="49" s="1"/>
  <c r="Y49" i="49"/>
  <c r="X49" i="49"/>
  <c r="Z49" i="49"/>
  <c r="AA49" i="49"/>
  <c r="X6" i="49"/>
  <c r="Z6" i="49"/>
  <c r="AA6" i="49" s="1"/>
  <c r="Y6" i="49"/>
  <c r="X23" i="49"/>
  <c r="AA23" i="49"/>
  <c r="Y23" i="49"/>
  <c r="Z23" i="49"/>
  <c r="Y38" i="49"/>
  <c r="Z38" i="49"/>
  <c r="AA38" i="49"/>
  <c r="X38" i="49"/>
  <c r="Y14" i="49"/>
  <c r="Z14" i="49"/>
  <c r="AA14" i="49"/>
  <c r="X14" i="49"/>
  <c r="Y8" i="49"/>
  <c r="Z8" i="49"/>
  <c r="AA8" i="49" s="1"/>
  <c r="X8" i="49"/>
  <c r="X44" i="49"/>
  <c r="AA44" i="49"/>
  <c r="Y44" i="49"/>
  <c r="Z44" i="49"/>
  <c r="Z25" i="49"/>
  <c r="AA25" i="49"/>
  <c r="Y25" i="49"/>
  <c r="X25" i="49"/>
  <c r="AA51" i="49"/>
  <c r="Y51" i="49"/>
  <c r="Z51" i="49"/>
  <c r="X51" i="49"/>
  <c r="X10" i="49"/>
  <c r="Y10" i="49"/>
  <c r="Z10" i="49"/>
  <c r="AA10" i="49"/>
  <c r="Z21" i="49"/>
  <c r="X21" i="49"/>
  <c r="Y21" i="49"/>
  <c r="AA21" i="49"/>
  <c r="Y48" i="49"/>
  <c r="X48" i="49"/>
  <c r="Z48" i="49"/>
  <c r="AA48" i="49"/>
  <c r="Z35" i="49"/>
  <c r="Y35" i="49"/>
  <c r="X35" i="49"/>
  <c r="AA35" i="49"/>
  <c r="X39" i="49"/>
  <c r="AA39" i="49"/>
  <c r="Y39" i="49"/>
  <c r="Z39" i="49"/>
  <c r="Y46" i="49"/>
  <c r="X46" i="49"/>
  <c r="Z46" i="49"/>
  <c r="AA46" i="49"/>
  <c r="X24" i="49"/>
  <c r="Z24" i="49"/>
  <c r="Y24" i="49"/>
  <c r="AA24" i="49"/>
  <c r="X34" i="49"/>
  <c r="AA34" i="49"/>
  <c r="Z34" i="49"/>
  <c r="Y34" i="49"/>
  <c r="X53" i="49"/>
  <c r="Z53" i="49"/>
  <c r="AA53" i="49"/>
  <c r="Y53" i="49"/>
  <c r="AA13" i="49"/>
  <c r="Y13" i="49"/>
  <c r="Z13" i="49"/>
  <c r="X13" i="49"/>
  <c r="Z11" i="49"/>
  <c r="X11" i="49"/>
  <c r="AA11" i="49"/>
  <c r="Y11" i="49"/>
  <c r="X19" i="49"/>
  <c r="Y19" i="49"/>
  <c r="Z19" i="49"/>
  <c r="AA19" i="49"/>
  <c r="Z16" i="48" l="1"/>
  <c r="AA16" i="48" s="1"/>
  <c r="X16" i="48"/>
  <c r="Y16" i="48"/>
  <c r="Z47" i="48"/>
  <c r="X47" i="48"/>
  <c r="Y47" i="48"/>
  <c r="AA47" i="48"/>
  <c r="X41" i="48"/>
  <c r="Y41" i="48"/>
  <c r="Z41" i="48"/>
  <c r="AA41" i="48"/>
  <c r="X37" i="48"/>
  <c r="Y37" i="48"/>
  <c r="AA37" i="48"/>
  <c r="Z37" i="48"/>
  <c r="Y34" i="48"/>
  <c r="X34" i="48"/>
  <c r="Z34" i="48"/>
  <c r="AA34" i="48"/>
  <c r="X25" i="48"/>
  <c r="Y25" i="48"/>
  <c r="Z25" i="48"/>
  <c r="AA25" i="48" s="1"/>
  <c r="Y39" i="48"/>
  <c r="Z39" i="48"/>
  <c r="AA39" i="48"/>
  <c r="X39" i="48"/>
  <c r="Z6" i="48"/>
  <c r="AA6" i="48" s="1"/>
  <c r="Y6" i="48"/>
  <c r="X6" i="48"/>
  <c r="AA49" i="48"/>
  <c r="X49" i="48"/>
  <c r="Y49" i="48"/>
  <c r="Z49" i="48"/>
  <c r="Z43" i="48"/>
  <c r="AA43" i="48"/>
  <c r="Y43" i="48"/>
  <c r="X43" i="48"/>
  <c r="Z31" i="48"/>
  <c r="Y31" i="48"/>
  <c r="AA31" i="48"/>
  <c r="X31" i="48"/>
  <c r="Z51" i="48"/>
  <c r="AA51" i="48"/>
  <c r="X51" i="48"/>
  <c r="Y51" i="48"/>
  <c r="Z13" i="48"/>
  <c r="AA13" i="48" s="1"/>
  <c r="X13" i="48"/>
  <c r="Y13" i="48"/>
  <c r="Z14" i="48"/>
  <c r="AA14" i="48" s="1"/>
  <c r="X14" i="48"/>
  <c r="Y14" i="48"/>
  <c r="AA54" i="48"/>
  <c r="X54" i="48"/>
  <c r="Y54" i="48"/>
  <c r="Z54" i="48"/>
  <c r="X27" i="48"/>
  <c r="AA27" i="48"/>
  <c r="Y27" i="48"/>
  <c r="Z27" i="48"/>
  <c r="X36" i="48"/>
  <c r="AA36" i="48"/>
  <c r="Z36" i="48"/>
  <c r="Y36" i="48"/>
  <c r="Z44" i="48"/>
  <c r="AA44" i="48"/>
  <c r="Y44" i="48"/>
  <c r="X44" i="48"/>
  <c r="X29" i="48"/>
  <c r="AA29" i="48"/>
  <c r="Y29" i="48"/>
  <c r="Z29" i="48"/>
  <c r="X32" i="48"/>
  <c r="AA32" i="48"/>
  <c r="Z32" i="48"/>
  <c r="Y32" i="48"/>
  <c r="Z17" i="48"/>
  <c r="AA17" i="48" s="1"/>
  <c r="Y17" i="48"/>
  <c r="X17" i="48"/>
  <c r="X42" i="48"/>
  <c r="AA42" i="48"/>
  <c r="Y42" i="48"/>
  <c r="Z42" i="48"/>
  <c r="Z48" i="48"/>
  <c r="Y48" i="48"/>
  <c r="X48" i="48"/>
  <c r="AA48" i="48"/>
  <c r="Y46" i="48"/>
  <c r="Z46" i="48"/>
  <c r="X46" i="48"/>
  <c r="AA46" i="48"/>
  <c r="X21" i="48"/>
  <c r="Y21" i="48"/>
  <c r="Z21" i="48"/>
  <c r="AA21" i="48" s="1"/>
  <c r="AA28" i="48"/>
  <c r="Z28" i="48"/>
  <c r="X28" i="48"/>
  <c r="Y28" i="48"/>
  <c r="X40" i="48"/>
  <c r="AA40" i="48"/>
  <c r="Z40" i="48"/>
  <c r="Y40" i="48"/>
  <c r="Z22" i="48"/>
  <c r="X22" i="48"/>
  <c r="Y22" i="48"/>
  <c r="AA22" i="48"/>
  <c r="AA38" i="48"/>
  <c r="X38" i="48"/>
  <c r="Y38" i="48"/>
  <c r="Z38" i="48"/>
  <c r="Y9" i="48"/>
  <c r="Z9" i="48"/>
  <c r="AA9" i="48" s="1"/>
  <c r="X9" i="48"/>
  <c r="Y10" i="48"/>
  <c r="X10" i="48"/>
  <c r="Z10" i="48"/>
  <c r="AA10" i="48" s="1"/>
  <c r="X35" i="48"/>
  <c r="AA35" i="48"/>
  <c r="Z35" i="48"/>
  <c r="Y35" i="48"/>
  <c r="Y20" i="48"/>
  <c r="X20" i="48"/>
  <c r="Z20" i="48"/>
  <c r="AA20" i="48" s="1"/>
  <c r="Z8" i="48"/>
  <c r="AA8" i="48" s="1"/>
  <c r="X8" i="48"/>
  <c r="Y8" i="48"/>
  <c r="Y5" i="48"/>
  <c r="X5" i="48"/>
  <c r="Z5" i="48"/>
  <c r="AA5" i="48" s="1"/>
  <c r="Z45" i="48"/>
  <c r="Y45" i="48"/>
  <c r="AA45" i="48"/>
  <c r="X45" i="48"/>
  <c r="Z50" i="48"/>
  <c r="AA50" i="48"/>
  <c r="X50" i="48"/>
  <c r="Y50" i="48"/>
  <c r="X18" i="48"/>
  <c r="Z18" i="48"/>
  <c r="AA18" i="48" s="1"/>
  <c r="Y18" i="48"/>
  <c r="X19" i="48"/>
  <c r="Z19" i="48"/>
  <c r="AA19" i="48" s="1"/>
  <c r="Y19" i="48"/>
  <c r="Z53" i="48"/>
  <c r="AA53" i="48"/>
  <c r="X53" i="48"/>
  <c r="Y53" i="48"/>
  <c r="Y26" i="48"/>
  <c r="X26" i="48"/>
  <c r="Z26" i="48"/>
  <c r="AA26" i="48" s="1"/>
  <c r="AA33" i="48"/>
  <c r="Z33" i="48"/>
  <c r="Y33" i="48"/>
  <c r="X33" i="48"/>
  <c r="Y12" i="48"/>
  <c r="Z12" i="48"/>
  <c r="AA12" i="48" s="1"/>
  <c r="X12" i="48"/>
  <c r="X15" i="48"/>
  <c r="Y15" i="48"/>
  <c r="Z15" i="48"/>
  <c r="AA15" i="48" s="1"/>
  <c r="Y11" i="48"/>
  <c r="X11" i="48"/>
  <c r="Z11" i="48"/>
  <c r="AA11" i="48" s="1"/>
  <c r="X52" i="48"/>
  <c r="AA52" i="48"/>
  <c r="Y52" i="48"/>
  <c r="Z52" i="48"/>
  <c r="Y30" i="48"/>
  <c r="Z30" i="48"/>
  <c r="AA30" i="48"/>
  <c r="X30" i="48"/>
  <c r="Y7" i="48"/>
  <c r="Z7" i="48"/>
  <c r="AA7" i="48" s="1"/>
  <c r="X7" i="48"/>
  <c r="X24" i="48"/>
  <c r="Y24" i="48"/>
  <c r="Z24" i="48"/>
  <c r="AA24" i="48" s="1"/>
  <c r="Y23" i="48"/>
  <c r="X23" i="48"/>
  <c r="Z23" i="48"/>
  <c r="AA23" i="48" s="1"/>
  <c r="AJ5" i="49" a="1"/>
  <c r="AJ5" i="49" s="1"/>
  <c r="AJ5" i="48" l="1" a="1"/>
  <c r="AJ5" i="4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<sst xmlns="http://schemas.openxmlformats.org/spreadsheetml/2006/main" count="14139" uniqueCount="4114">
  <si>
    <t>Bill No.</t>
  </si>
  <si>
    <t>Vehicle</t>
  </si>
  <si>
    <t>Quantity</t>
  </si>
  <si>
    <t>RSP</t>
  </si>
  <si>
    <t>Amount</t>
  </si>
  <si>
    <t>Company</t>
  </si>
  <si>
    <t>Date</t>
  </si>
  <si>
    <t>Customer</t>
  </si>
  <si>
    <t>(blank)</t>
  </si>
  <si>
    <t>Grand Total</t>
  </si>
  <si>
    <t>Sum of Quantity</t>
  </si>
  <si>
    <t>Sum of Amount</t>
  </si>
  <si>
    <t xml:space="preserve"> </t>
  </si>
  <si>
    <t/>
  </si>
  <si>
    <t>Inland World Logistics Private Limited</t>
  </si>
  <si>
    <t>String  Logistics</t>
  </si>
  <si>
    <t>Month</t>
  </si>
  <si>
    <t>Month of</t>
  </si>
  <si>
    <t>Customer Name</t>
  </si>
  <si>
    <t>Month Of</t>
  </si>
  <si>
    <t>HSD Daily Sales Summary</t>
  </si>
  <si>
    <t>MS Daily Sales Summary</t>
  </si>
  <si>
    <t>XG Daily Sales Summary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</si>
  <si>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</si>
  <si>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</si>
  <si>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</si>
  <si>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</si>
  <si>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</si>
  <si>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</si>
  <si>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</si>
  <si>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</si>
  <si>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</si>
  <si>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</si>
  <si>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</si>
  <si>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</si>
  <si>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</si>
  <si>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</si>
  <si>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</si>
  <si>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</si>
  <si>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OR15R9360</t>
  </si>
  <si>
    <t>OR15R5510</t>
  </si>
  <si>
    <t>OD23A8210</t>
  </si>
  <si>
    <t>OR15R1110</t>
  </si>
  <si>
    <t>OD15H8328</t>
  </si>
  <si>
    <t>OD15AA4091</t>
  </si>
  <si>
    <t>JH01FS6302</t>
  </si>
  <si>
    <t>UP44BT0924</t>
  </si>
  <si>
    <t>OD15S8824</t>
  </si>
  <si>
    <t>UP84BT2840</t>
  </si>
  <si>
    <t>NL01AB9355</t>
  </si>
  <si>
    <t>OD15AF5510</t>
  </si>
  <si>
    <t>M/s Smc Power Generation Ltd.</t>
  </si>
  <si>
    <t>Shyam Metalics and Energy Ltd</t>
  </si>
  <si>
    <t>VRIDDHI FUELS CAR</t>
  </si>
  <si>
    <t>VRIDDHI FUELS TANKER</t>
  </si>
  <si>
    <t>SAPNA BUILDERS AND SUPPLIERS</t>
  </si>
  <si>
    <t>Simar Infrastructure LTD</t>
  </si>
  <si>
    <t>Fleet Card Posting</t>
  </si>
  <si>
    <t>Steels and Carriers Private Limited</t>
  </si>
  <si>
    <t>Pioneer Pultru Tech Engineering Private Limited</t>
  </si>
  <si>
    <t>MS1</t>
  </si>
  <si>
    <t>OD15AC5813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</si>
  <si>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</si>
  <si>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</si>
  <si>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</si>
  <si>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</si>
  <si>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</si>
  <si>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</si>
  <si>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</si>
  <si>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</si>
  <si>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</si>
  <si>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</si>
  <si>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</si>
  <si>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</si>
  <si>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</si>
  <si>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</si>
  <si>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</si>
  <si>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</si>
  <si>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</si>
  <si>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</si>
  <si>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</si>
  <si>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</si>
  <si>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UP78HN0524</t>
  </si>
  <si>
    <t>OD23D9353</t>
  </si>
  <si>
    <t>OD23U4012</t>
  </si>
  <si>
    <t>WB25J8964</t>
  </si>
  <si>
    <t>OD23R7380</t>
  </si>
  <si>
    <t>OD23R7321</t>
  </si>
  <si>
    <t>OD23R7385</t>
  </si>
  <si>
    <t>OD23R3330</t>
  </si>
  <si>
    <t>OD23N4961</t>
  </si>
  <si>
    <t>Raventrax Private Limited</t>
  </si>
  <si>
    <t>KRISHNA INFRATECH PVT LTD</t>
  </si>
  <si>
    <t>Shree Karni Kripa Construction Company</t>
  </si>
  <si>
    <t>Mineral Co.</t>
  </si>
  <si>
    <t>Ember Coal Beneficiation Private Limited</t>
  </si>
  <si>
    <t>Shivaay Logistics</t>
  </si>
  <si>
    <t>MS2</t>
  </si>
  <si>
    <t>MS3</t>
  </si>
  <si>
    <t>MS4</t>
  </si>
  <si>
    <t>OD15Z4831</t>
  </si>
  <si>
    <t>OD23T5838</t>
  </si>
  <si>
    <t>OD23M9485</t>
  </si>
  <si>
    <t>JYOTI RANJAN DASH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</si>
  <si>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</si>
  <si>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</si>
  <si>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</si>
  <si>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</si>
  <si>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</si>
  <si>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</si>
  <si>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</si>
  <si>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</si>
  <si>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</si>
  <si>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</si>
  <si>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</si>
  <si>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</si>
  <si>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</si>
  <si>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</si>
  <si>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</si>
  <si>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</si>
  <si>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</si>
  <si>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</si>
  <si>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OD23N4311</t>
  </si>
  <si>
    <t>TN52Q8696</t>
  </si>
  <si>
    <t>OD23D0009</t>
  </si>
  <si>
    <t>OD23N4041</t>
  </si>
  <si>
    <t>OD15Z0036</t>
  </si>
  <si>
    <t>OD05AN7688</t>
  </si>
  <si>
    <t>OD33Y3567</t>
  </si>
  <si>
    <t>OD15U5910</t>
  </si>
  <si>
    <t>OD23N1900</t>
  </si>
  <si>
    <t>OD15P9503</t>
  </si>
  <si>
    <t>WB65B9720</t>
  </si>
  <si>
    <t>OD23R7314</t>
  </si>
  <si>
    <t>M/s Jai Balaji Oxygen Private Limited</t>
  </si>
  <si>
    <t>T N Roadlines</t>
  </si>
  <si>
    <t>Maruti Realities &amp; Developers</t>
  </si>
  <si>
    <t>M/s Shree Balajee Enterprises</t>
  </si>
  <si>
    <t>MS5</t>
  </si>
  <si>
    <t>MS6</t>
  </si>
  <si>
    <t>MS7</t>
  </si>
  <si>
    <t>OD23M4614</t>
  </si>
  <si>
    <t>OD23P9344</t>
  </si>
  <si>
    <t>Orissa Metaliks Private Limited</t>
  </si>
  <si>
    <t>55</t>
  </si>
  <si>
    <t>56</t>
  </si>
  <si>
    <t>57</t>
  </si>
  <si>
    <t>58</t>
  </si>
  <si>
    <t>59</t>
  </si>
  <si>
    <t>60</t>
  </si>
  <si>
    <t>61</t>
  </si>
  <si>
    <t>62</t>
  </si>
  <si>
    <t>Sudarshan Minerals &amp; Logistics</t>
  </si>
  <si>
    <t>Gandhar Concrete Pole</t>
  </si>
  <si>
    <t>MS8</t>
  </si>
  <si>
    <t>MS9</t>
  </si>
  <si>
    <t>OD23N8956</t>
  </si>
  <si>
    <t>JH09AW8179</t>
  </si>
  <si>
    <t>63</t>
  </si>
  <si>
    <t>64</t>
  </si>
  <si>
    <t>65</t>
  </si>
  <si>
    <t>66</t>
  </si>
  <si>
    <t>67</t>
  </si>
  <si>
    <t>68</t>
  </si>
  <si>
    <t>69</t>
  </si>
  <si>
    <t>WB61B5913</t>
  </si>
  <si>
    <t>WB23F7579</t>
  </si>
  <si>
    <t>MS10</t>
  </si>
  <si>
    <t>AP03BE9123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</si>
  <si>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</si>
  <si>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</si>
  <si>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</si>
  <si>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</si>
  <si>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</si>
  <si>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</si>
  <si>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</si>
  <si>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</si>
  <si>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</si>
  <si>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</si>
  <si>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</si>
  <si>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OD23A3710</t>
  </si>
  <si>
    <t>OD05AP4113</t>
  </si>
  <si>
    <t>WB65D9272</t>
  </si>
  <si>
    <t>WB23D9901</t>
  </si>
  <si>
    <t>OIC Jharsuguda FS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</si>
  <si>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</si>
  <si>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</si>
  <si>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</si>
  <si>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</si>
  <si>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</si>
  <si>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</si>
  <si>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</si>
  <si>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</si>
  <si>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</si>
  <si>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</si>
  <si>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</si>
  <si>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RJ14GJ6869</t>
  </si>
  <si>
    <t>CG04PY2656</t>
  </si>
  <si>
    <t>WB23E1221</t>
  </si>
  <si>
    <t>Ekdant Logistic</t>
  </si>
  <si>
    <t>MS11</t>
  </si>
  <si>
    <t>OD23M4545</t>
  </si>
  <si>
    <t>SHRI LAL KHETAN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</si>
  <si>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</si>
  <si>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</si>
  <si>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</si>
  <si>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</si>
  <si>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</si>
  <si>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</si>
  <si>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</si>
  <si>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</si>
  <si>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</si>
  <si>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OD23L0093</t>
  </si>
  <si>
    <t>AP31EA0197</t>
  </si>
  <si>
    <t>OD09Y9525</t>
  </si>
  <si>
    <t>NL01AC8674</t>
  </si>
  <si>
    <t>DG</t>
  </si>
  <si>
    <t>DG VRIDDHI FUELS</t>
  </si>
  <si>
    <t>MS12</t>
  </si>
  <si>
    <t>MS13</t>
  </si>
  <si>
    <t>MS14</t>
  </si>
  <si>
    <t>MS15</t>
  </si>
  <si>
    <t>MS16</t>
  </si>
  <si>
    <t>MS17</t>
  </si>
  <si>
    <t>OD23K4545</t>
  </si>
  <si>
    <t>OD23P0325</t>
  </si>
  <si>
    <t>MS18</t>
  </si>
  <si>
    <t>OD23T9966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</si>
  <si>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</si>
  <si>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</si>
  <si>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</si>
  <si>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</si>
  <si>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</si>
  <si>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</si>
  <si>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</si>
  <si>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</si>
  <si>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</si>
  <si>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</si>
  <si>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</si>
  <si>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</si>
  <si>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</si>
  <si>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</si>
  <si>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</si>
  <si>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</si>
  <si>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</si>
  <si>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</si>
  <si>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OD23L7437</t>
  </si>
  <si>
    <t>OD23L4439</t>
  </si>
  <si>
    <t>CG04MN1172</t>
  </si>
  <si>
    <t>RJ32GD7627</t>
  </si>
  <si>
    <t>WB29B7067</t>
  </si>
  <si>
    <t>OD16K1026</t>
  </si>
  <si>
    <t>OD16K1043</t>
  </si>
  <si>
    <t>OD16K1055</t>
  </si>
  <si>
    <t>OD16K1099</t>
  </si>
  <si>
    <t>Bkd Logistics Private Limited</t>
  </si>
  <si>
    <t>Rsa Infraproject Private Limited</t>
  </si>
  <si>
    <t>Radhe Shyam Mining</t>
  </si>
  <si>
    <t>MS19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</si>
  <si>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</si>
  <si>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</si>
  <si>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</si>
  <si>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</si>
  <si>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</si>
  <si>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</si>
  <si>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</si>
  <si>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</si>
  <si>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</si>
  <si>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</si>
  <si>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</si>
  <si>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</si>
  <si>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</si>
  <si>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OD23T8891</t>
  </si>
  <si>
    <t>NL01K4155</t>
  </si>
  <si>
    <t>NL01K7386</t>
  </si>
  <si>
    <t>NL01L4145</t>
  </si>
  <si>
    <t>NL01K5192</t>
  </si>
  <si>
    <t>WB29C3226</t>
  </si>
  <si>
    <t>WB29C4016</t>
  </si>
  <si>
    <t>MS20</t>
  </si>
  <si>
    <t>MS21</t>
  </si>
  <si>
    <t>MS22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</si>
  <si>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</si>
  <si>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</si>
  <si>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</si>
  <si>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</si>
  <si>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</si>
  <si>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</si>
  <si>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</si>
  <si>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</si>
  <si>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</si>
  <si>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</si>
  <si>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</si>
  <si>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</si>
  <si>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</si>
  <si>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</si>
  <si>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</si>
  <si>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CG15EG0399</t>
  </si>
  <si>
    <t>WB23F9149</t>
  </si>
  <si>
    <t>OD11AC5545</t>
  </si>
  <si>
    <t>WB25L8508</t>
  </si>
  <si>
    <t>RJ37GA7801</t>
  </si>
  <si>
    <t>Great River Coy Private Limited</t>
  </si>
  <si>
    <t>MS23</t>
  </si>
  <si>
    <t>MS24</t>
  </si>
  <si>
    <t>JH15AK1307</t>
  </si>
  <si>
    <t>OR15K6024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</si>
  <si>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</si>
  <si>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</si>
  <si>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</si>
  <si>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</si>
  <si>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</si>
  <si>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</si>
  <si>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</si>
  <si>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</si>
  <si>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</si>
  <si>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</si>
  <si>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</si>
  <si>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</si>
  <si>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</si>
  <si>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</si>
  <si>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</si>
  <si>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</si>
  <si>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</si>
  <si>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</si>
  <si>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</si>
  <si>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</si>
  <si>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</si>
  <si>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</si>
  <si>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</si>
  <si>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</si>
  <si>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</si>
  <si>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</si>
  <si>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</si>
  <si>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</si>
  <si>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</si>
  <si>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</si>
  <si>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</si>
  <si>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</si>
  <si>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</si>
  <si>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</si>
  <si>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</si>
  <si>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</si>
  <si>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</si>
  <si>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</si>
  <si>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</si>
  <si>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</si>
  <si>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</si>
  <si>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</si>
  <si>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</si>
  <si>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</si>
  <si>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</si>
  <si>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</si>
  <si>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</si>
  <si>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</si>
  <si>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</si>
  <si>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</si>
  <si>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</si>
  <si>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</si>
  <si>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</si>
  <si>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</si>
  <si>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</si>
  <si>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</si>
  <si>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</si>
  <si>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</si>
  <si>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</si>
  <si>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</si>
  <si>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</si>
  <si>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</si>
  <si>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</si>
  <si>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</si>
  <si>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</si>
  <si>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</si>
  <si>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</si>
  <si>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</si>
  <si>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</si>
  <si>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OD16L2239</t>
  </si>
  <si>
    <t>OD16L3067</t>
  </si>
  <si>
    <t>OD16C1690</t>
  </si>
  <si>
    <t>OD16D2879</t>
  </si>
  <si>
    <t>CG10R1707</t>
  </si>
  <si>
    <t>OD23T1952</t>
  </si>
  <si>
    <t>OD23T1852</t>
  </si>
  <si>
    <t>OD23T1752</t>
  </si>
  <si>
    <t>OD23S1552</t>
  </si>
  <si>
    <t>OD23S1452</t>
  </si>
  <si>
    <t>OD23U5352</t>
  </si>
  <si>
    <t>OD23S1352</t>
  </si>
  <si>
    <t>OD23U2652</t>
  </si>
  <si>
    <t>OD23U3152</t>
  </si>
  <si>
    <t>OD23U3752</t>
  </si>
  <si>
    <t>OD23T1552</t>
  </si>
  <si>
    <t>OD23S1852</t>
  </si>
  <si>
    <t>CG13BD5532</t>
  </si>
  <si>
    <t>CG13BD5534</t>
  </si>
  <si>
    <t>CG13BD5531</t>
  </si>
  <si>
    <t>CG13BD5533</t>
  </si>
  <si>
    <t>OD23Q2094</t>
  </si>
  <si>
    <t>OD23Q0919</t>
  </si>
  <si>
    <t>OD23Q0935</t>
  </si>
  <si>
    <t>CG13BK0798</t>
  </si>
  <si>
    <t>OD23Q0908</t>
  </si>
  <si>
    <t>OD23Q0966</t>
  </si>
  <si>
    <t>CG13BK0803</t>
  </si>
  <si>
    <t>CG13LA5146</t>
  </si>
  <si>
    <t>CG13BD7253</t>
  </si>
  <si>
    <t>CG12S2016</t>
  </si>
  <si>
    <t>CG13BD5528</t>
  </si>
  <si>
    <t>CG13BL0151</t>
  </si>
  <si>
    <t>OD23N1542</t>
  </si>
  <si>
    <t>CG13BL0152</t>
  </si>
  <si>
    <t>OD23P9183</t>
  </si>
  <si>
    <t>OD23P9157</t>
  </si>
  <si>
    <t>OD23D2566</t>
  </si>
  <si>
    <t>CG13BK0799</t>
  </si>
  <si>
    <t>OD23Q2050</t>
  </si>
  <si>
    <t>OD23P9573</t>
  </si>
  <si>
    <t>CG13BL0187</t>
  </si>
  <si>
    <t>OD16D2194</t>
  </si>
  <si>
    <t>OD23N4568</t>
  </si>
  <si>
    <t>CG13BK0802</t>
  </si>
  <si>
    <t>CG13BL0190</t>
  </si>
  <si>
    <t>OD23P9594</t>
  </si>
  <si>
    <t>OD23P8092</t>
  </si>
  <si>
    <t>OD23P9582</t>
  </si>
  <si>
    <t>OD23N9872</t>
  </si>
  <si>
    <t>OD16K0904</t>
  </si>
  <si>
    <t>OD16K1096</t>
  </si>
  <si>
    <t>OD14T5423</t>
  </si>
  <si>
    <t>OD16K5809</t>
  </si>
  <si>
    <t>WB23F4188</t>
  </si>
  <si>
    <t>OD23U3952</t>
  </si>
  <si>
    <t>OD23U5052</t>
  </si>
  <si>
    <t>OD23U3852</t>
  </si>
  <si>
    <t>OD23-9641</t>
  </si>
  <si>
    <t>M/s. Ajit Kumar Debta</t>
  </si>
  <si>
    <t>MS25</t>
  </si>
  <si>
    <t>MS26</t>
  </si>
  <si>
    <t>MS27</t>
  </si>
  <si>
    <t>216</t>
  </si>
  <si>
    <t>217</t>
  </si>
  <si>
    <t>218</t>
  </si>
  <si>
    <t>219</t>
  </si>
  <si>
    <t>220</t>
  </si>
  <si>
    <t>OD28C4545</t>
  </si>
  <si>
    <t>OD23V1010</t>
  </si>
  <si>
    <t>MS28</t>
  </si>
  <si>
    <t>MS29</t>
  </si>
  <si>
    <t>MS30</t>
  </si>
  <si>
    <t>OD23T1010</t>
  </si>
  <si>
    <t>MS31</t>
  </si>
  <si>
    <t>MS32</t>
  </si>
  <si>
    <t>MS33</t>
  </si>
  <si>
    <t>MS34</t>
  </si>
  <si>
    <t>MS35</t>
  </si>
  <si>
    <t>MS36</t>
  </si>
  <si>
    <t>OD23N1010</t>
  </si>
  <si>
    <t>221</t>
  </si>
  <si>
    <t>222</t>
  </si>
  <si>
    <t>223</t>
  </si>
  <si>
    <t>224</t>
  </si>
  <si>
    <t>225</t>
  </si>
  <si>
    <t>226</t>
  </si>
  <si>
    <t>227</t>
  </si>
  <si>
    <t>MS37</t>
  </si>
  <si>
    <t>MS38</t>
  </si>
  <si>
    <t>MS39</t>
  </si>
  <si>
    <t>OD05BT4545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</si>
  <si>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</si>
  <si>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</si>
  <si>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</si>
  <si>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</si>
  <si>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</si>
  <si>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</si>
  <si>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</si>
  <si>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</si>
  <si>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</si>
  <si>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</si>
  <si>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</si>
  <si>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</si>
  <si>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</si>
  <si>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</si>
  <si>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</si>
  <si>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</si>
  <si>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UP07HT1484</t>
  </si>
  <si>
    <t>MS40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</si>
  <si>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</si>
  <si>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</si>
  <si>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</si>
  <si>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</si>
  <si>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</si>
  <si>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</si>
  <si>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</si>
  <si>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</si>
  <si>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</si>
  <si>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</si>
  <si>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</si>
  <si>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</si>
  <si>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</si>
  <si>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OD23N5311</t>
  </si>
  <si>
    <t>OD02BK4461</t>
  </si>
  <si>
    <t>M/s  Ankita Air Products Private Limited</t>
  </si>
  <si>
    <t>MS41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</si>
  <si>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</si>
  <si>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</si>
  <si>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</si>
  <si>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</si>
  <si>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</si>
  <si>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</si>
  <si>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</si>
  <si>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</si>
  <si>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</si>
  <si>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</si>
  <si>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</si>
  <si>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</si>
  <si>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</si>
  <si>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</si>
  <si>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</si>
  <si>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</si>
  <si>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</si>
  <si>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OR15Q7552</t>
  </si>
  <si>
    <t>OD23G4251</t>
  </si>
  <si>
    <t>TG08T8119</t>
  </si>
  <si>
    <t>WB03C9721</t>
  </si>
  <si>
    <t>WB11D1010</t>
  </si>
  <si>
    <t>Consumer</t>
  </si>
  <si>
    <t>Transporting</t>
  </si>
  <si>
    <t>M/s-Capital Engineering Services</t>
  </si>
  <si>
    <t>MS42</t>
  </si>
  <si>
    <t>MS43</t>
  </si>
  <si>
    <t>274</t>
  </si>
  <si>
    <t>275</t>
  </si>
  <si>
    <t>276</t>
  </si>
  <si>
    <t>277</t>
  </si>
  <si>
    <t>278</t>
  </si>
  <si>
    <t>279</t>
  </si>
  <si>
    <t>280</t>
  </si>
  <si>
    <t>281</t>
  </si>
  <si>
    <t>MS44</t>
  </si>
  <si>
    <t>MS45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</si>
  <si>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</si>
  <si>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</si>
  <si>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</si>
  <si>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</si>
  <si>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</si>
  <si>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</si>
  <si>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</si>
  <si>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</si>
  <si>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</si>
  <si>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</si>
  <si>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KA48A0905</t>
  </si>
  <si>
    <t>RJ14GK1162</t>
  </si>
  <si>
    <t>Ss Freight Carrier</t>
  </si>
  <si>
    <t>MS46</t>
  </si>
  <si>
    <t>MS47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</si>
  <si>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</si>
  <si>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</si>
  <si>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</si>
  <si>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</si>
  <si>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</si>
  <si>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</si>
  <si>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</si>
  <si>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</si>
  <si>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</si>
  <si>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MS48</t>
  </si>
  <si>
    <t>MS49</t>
  </si>
  <si>
    <t>OD19J7274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</si>
  <si>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</si>
  <si>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</si>
  <si>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</si>
  <si>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</si>
  <si>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</si>
  <si>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</si>
  <si>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</si>
  <si>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</si>
  <si>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</si>
  <si>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</si>
  <si>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</si>
  <si>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</si>
  <si>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</si>
  <si>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</si>
  <si>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</si>
  <si>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OD23N5072</t>
  </si>
  <si>
    <t>OD23Q4949</t>
  </si>
  <si>
    <t>Virendra Logistics Private Limited</t>
  </si>
  <si>
    <t>MS50</t>
  </si>
  <si>
    <t>MS51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</si>
  <si>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</si>
  <si>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</si>
  <si>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</si>
  <si>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</si>
  <si>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</si>
  <si>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</si>
  <si>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</si>
  <si>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</si>
  <si>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</si>
  <si>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</si>
  <si>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</si>
  <si>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MS52</t>
  </si>
  <si>
    <t>MS53</t>
  </si>
  <si>
    <t>MS54</t>
  </si>
  <si>
    <t>OD14Z4545</t>
  </si>
  <si>
    <t>OD23-7259</t>
  </si>
  <si>
    <t>327</t>
  </si>
  <si>
    <t>328</t>
  </si>
  <si>
    <t>329</t>
  </si>
  <si>
    <t>330</t>
  </si>
  <si>
    <t>331</t>
  </si>
  <si>
    <t>332</t>
  </si>
  <si>
    <t>333</t>
  </si>
  <si>
    <t>KA01AE2683</t>
  </si>
  <si>
    <t>MS55</t>
  </si>
  <si>
    <t>MS56</t>
  </si>
  <si>
    <t>MS57</t>
  </si>
  <si>
    <t>MS58</t>
  </si>
  <si>
    <t>MS59</t>
  </si>
  <si>
    <t>OD23F4242</t>
  </si>
  <si>
    <t>OD23Q2866</t>
  </si>
  <si>
    <t>334</t>
  </si>
  <si>
    <t>335</t>
  </si>
  <si>
    <t>336</t>
  </si>
  <si>
    <t>337</t>
  </si>
  <si>
    <t>338</t>
  </si>
  <si>
    <t>339</t>
  </si>
  <si>
    <t>340</t>
  </si>
  <si>
    <t>MS60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</si>
  <si>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</si>
  <si>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</si>
  <si>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</si>
  <si>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</si>
  <si>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</si>
  <si>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</si>
  <si>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</si>
  <si>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</si>
  <si>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</si>
  <si>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</si>
  <si>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</si>
  <si>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22BH2043E</t>
  </si>
  <si>
    <t>MS61</t>
  </si>
  <si>
    <t>MS62</t>
  </si>
  <si>
    <t>MS63</t>
  </si>
  <si>
    <t>MS64</t>
  </si>
  <si>
    <t>352</t>
  </si>
  <si>
    <t>353</t>
  </si>
  <si>
    <t>354</t>
  </si>
  <si>
    <t>355</t>
  </si>
  <si>
    <t>356</t>
  </si>
  <si>
    <t>357</t>
  </si>
  <si>
    <t>358</t>
  </si>
  <si>
    <t>359</t>
  </si>
  <si>
    <t>OD23D3131</t>
  </si>
  <si>
    <t>MS65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</si>
  <si>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</si>
  <si>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</si>
  <si>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</si>
  <si>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</si>
  <si>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</si>
  <si>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</si>
  <si>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</si>
  <si>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</si>
  <si>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</si>
  <si>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</si>
  <si>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</si>
  <si>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</si>
  <si>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</si>
  <si>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</si>
  <si>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</si>
  <si>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</si>
  <si>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</si>
  <si>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</si>
  <si>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</si>
  <si>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</si>
  <si>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OD23Q4511</t>
  </si>
  <si>
    <t>OD15Q5872</t>
  </si>
  <si>
    <t>OD23U4152</t>
  </si>
  <si>
    <t>OD23U4252</t>
  </si>
  <si>
    <t>OD23S1752</t>
  </si>
  <si>
    <t>OD23T2252</t>
  </si>
  <si>
    <t>OD23U2852</t>
  </si>
  <si>
    <t>CG13AW9515</t>
  </si>
  <si>
    <t>CG13BK4869</t>
  </si>
  <si>
    <t>MS66</t>
  </si>
  <si>
    <t>MS67</t>
  </si>
  <si>
    <t>JAR 500x10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</si>
  <si>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</si>
  <si>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</si>
  <si>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</si>
  <si>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</si>
  <si>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</si>
  <si>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</si>
  <si>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</si>
  <si>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</si>
  <si>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</si>
  <si>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OD16K1097</t>
  </si>
  <si>
    <t>OD23H5292</t>
  </si>
  <si>
    <t>MS68</t>
  </si>
  <si>
    <t>MS69</t>
  </si>
  <si>
    <t>MS70</t>
  </si>
  <si>
    <t>MS71</t>
  </si>
  <si>
    <t>MS72</t>
  </si>
  <si>
    <t>OR23F4242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</si>
  <si>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</si>
  <si>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</si>
  <si>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</si>
  <si>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</si>
  <si>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</si>
  <si>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</si>
  <si>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</si>
  <si>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</si>
  <si>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</si>
  <si>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</si>
  <si>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</si>
  <si>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OD23S7008</t>
  </si>
  <si>
    <t>OD15K2900</t>
  </si>
  <si>
    <t>Swagat Sundar Mohanty</t>
  </si>
  <si>
    <t>MS73</t>
  </si>
  <si>
    <t>MS74</t>
  </si>
  <si>
    <t>MS75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</si>
  <si>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</si>
  <si>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</si>
  <si>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</si>
  <si>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</si>
  <si>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</si>
  <si>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</si>
  <si>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</si>
  <si>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</si>
  <si>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</si>
  <si>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</si>
  <si>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</si>
  <si>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MS76</t>
  </si>
  <si>
    <t>MS77</t>
  </si>
  <si>
    <t>MS78</t>
  </si>
  <si>
    <t>MS79</t>
  </si>
  <si>
    <t>MS80</t>
  </si>
  <si>
    <t>411</t>
  </si>
  <si>
    <t>412</t>
  </si>
  <si>
    <t>413</t>
  </si>
  <si>
    <t>414</t>
  </si>
  <si>
    <t>415</t>
  </si>
  <si>
    <t>416</t>
  </si>
  <si>
    <t>417</t>
  </si>
  <si>
    <t>418</t>
  </si>
  <si>
    <t>OD15K2690</t>
  </si>
  <si>
    <t>MS81</t>
  </si>
  <si>
    <t>MS82</t>
  </si>
  <si>
    <t>OD15Y4061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</si>
  <si>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</si>
  <si>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</si>
  <si>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</si>
  <si>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</si>
  <si>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</si>
  <si>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</si>
  <si>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</si>
  <si>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</si>
  <si>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</si>
  <si>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</si>
  <si>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</si>
  <si>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</si>
  <si>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</si>
  <si>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OD23M1980</t>
  </si>
  <si>
    <t>OD15Z1430</t>
  </si>
  <si>
    <t>MS83</t>
  </si>
  <si>
    <t>MS84</t>
  </si>
  <si>
    <t>MS85</t>
  </si>
  <si>
    <t>MS86</t>
  </si>
  <si>
    <t>MS87</t>
  </si>
  <si>
    <t>OD03AB4917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</si>
  <si>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</si>
  <si>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</si>
  <si>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</si>
  <si>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</si>
  <si>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</si>
  <si>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</si>
  <si>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</si>
  <si>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</si>
  <si>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</si>
  <si>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</si>
  <si>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</si>
  <si>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</si>
  <si>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</si>
  <si>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</si>
  <si>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</si>
  <si>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</si>
  <si>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</si>
  <si>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</si>
  <si>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</si>
  <si>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</si>
  <si>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</si>
  <si>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</si>
  <si>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</si>
  <si>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OD23S5820</t>
  </si>
  <si>
    <t>OR16 8223</t>
  </si>
  <si>
    <t>OR15Q0355</t>
  </si>
  <si>
    <t>OD23U4652</t>
  </si>
  <si>
    <t>OD23U4352</t>
  </si>
  <si>
    <t>OD23T1152</t>
  </si>
  <si>
    <t>OD23U2752</t>
  </si>
  <si>
    <t>OD23T2152</t>
  </si>
  <si>
    <t>OD23U4452</t>
  </si>
  <si>
    <t>455</t>
  </si>
  <si>
    <t>456</t>
  </si>
  <si>
    <t>457</t>
  </si>
  <si>
    <t>MS88</t>
  </si>
  <si>
    <t>MS89</t>
  </si>
  <si>
    <t>458</t>
  </si>
  <si>
    <t>MS90</t>
  </si>
  <si>
    <t>MS91</t>
  </si>
  <si>
    <t>MS92</t>
  </si>
  <si>
    <t>MS93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</si>
  <si>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</si>
  <si>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</si>
  <si>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</si>
  <si>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</si>
  <si>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</si>
  <si>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</si>
  <si>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</si>
  <si>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</si>
  <si>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</si>
  <si>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</si>
  <si>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</si>
  <si>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</si>
  <si>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OD15AA5823</t>
  </si>
  <si>
    <t>OD15Y2900</t>
  </si>
  <si>
    <t>MS94</t>
  </si>
  <si>
    <t>MS95</t>
  </si>
  <si>
    <t>MS96</t>
  </si>
  <si>
    <t>AP28AK4448</t>
  </si>
  <si>
    <t>471</t>
  </si>
  <si>
    <t>472</t>
  </si>
  <si>
    <t>473</t>
  </si>
  <si>
    <t>474</t>
  </si>
  <si>
    <t>475</t>
  </si>
  <si>
    <t>476</t>
  </si>
  <si>
    <t>477</t>
  </si>
  <si>
    <t>478</t>
  </si>
  <si>
    <t>MS97</t>
  </si>
  <si>
    <t>MS98</t>
  </si>
  <si>
    <t>OD23T6336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</si>
  <si>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</si>
  <si>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</si>
  <si>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</si>
  <si>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</si>
  <si>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</si>
  <si>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</si>
  <si>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</si>
  <si>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</si>
  <si>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</si>
  <si>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OD23R2557</t>
  </si>
  <si>
    <t>Maa Samleswari Equipments</t>
  </si>
  <si>
    <t>MS99</t>
  </si>
  <si>
    <t>MS100</t>
  </si>
  <si>
    <t>OD15AC5831</t>
  </si>
  <si>
    <t>OD23N7728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</si>
  <si>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</si>
  <si>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</si>
  <si>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</si>
  <si>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</si>
  <si>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</si>
  <si>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</si>
  <si>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</si>
  <si>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</si>
  <si>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</si>
  <si>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</si>
  <si>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</si>
  <si>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</si>
  <si>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</si>
  <si>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</si>
  <si>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</si>
  <si>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</si>
  <si>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</si>
  <si>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</si>
  <si>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OR-16-8223</t>
  </si>
  <si>
    <t>NL01AJ8743</t>
  </si>
  <si>
    <t>OD16K5817</t>
  </si>
  <si>
    <t>SAMARPAN LOGISTICS PVT LTD</t>
  </si>
  <si>
    <t>MS101</t>
  </si>
  <si>
    <t>MS102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</si>
  <si>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</si>
  <si>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</si>
  <si>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</si>
  <si>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</si>
  <si>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</si>
  <si>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</si>
  <si>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</si>
  <si>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</si>
  <si>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</si>
  <si>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</si>
  <si>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</si>
  <si>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</si>
  <si>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</si>
  <si>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</si>
  <si>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</si>
  <si>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</si>
  <si>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</si>
  <si>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</si>
  <si>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</si>
  <si>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</si>
  <si>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</si>
  <si>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</si>
  <si>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OD14Z1530</t>
  </si>
  <si>
    <t>GREDAR</t>
  </si>
  <si>
    <t>Indiabuild Infra Private Limited</t>
  </si>
  <si>
    <t>MS103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</si>
  <si>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</si>
  <si>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</si>
  <si>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</si>
  <si>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</si>
  <si>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</si>
  <si>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</si>
  <si>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</si>
  <si>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</si>
  <si>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</si>
  <si>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</si>
  <si>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</si>
  <si>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OD23E7045</t>
  </si>
  <si>
    <t>OD15W2782</t>
  </si>
  <si>
    <t>OD34V5966</t>
  </si>
  <si>
    <t>OD16 8223</t>
  </si>
  <si>
    <t>(All)</t>
  </si>
  <si>
    <t>M/S Ultratech Cement Ltd</t>
  </si>
  <si>
    <t>Indian Enterprises</t>
  </si>
  <si>
    <t>Krl Infratech (India) Limited</t>
  </si>
  <si>
    <t>Kalyani Ventures Limited</t>
  </si>
  <si>
    <t>MS104</t>
  </si>
  <si>
    <t>MS105</t>
  </si>
  <si>
    <t>MS106</t>
  </si>
  <si>
    <t>539</t>
  </si>
  <si>
    <t>RJ19GE7997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</si>
  <si>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</si>
  <si>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</si>
  <si>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</si>
  <si>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</si>
  <si>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</si>
  <si>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</si>
  <si>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</si>
  <si>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</si>
  <si>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</si>
  <si>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</si>
  <si>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</si>
  <si>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</si>
  <si>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</si>
  <si>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</si>
  <si>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</si>
  <si>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OD15AC0355</t>
  </si>
  <si>
    <t>WB59D0791</t>
  </si>
  <si>
    <t>MAA DURGA CONSTRUCTION</t>
  </si>
  <si>
    <t>MS107</t>
  </si>
  <si>
    <t>MS108</t>
  </si>
  <si>
    <t>MS109</t>
  </si>
  <si>
    <t>MS110</t>
  </si>
  <si>
    <t>MS111</t>
  </si>
  <si>
    <t>Jaymaa Mangla Construction</t>
  </si>
  <si>
    <t>Kanha Enterprises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</si>
  <si>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</si>
  <si>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</si>
  <si>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</si>
  <si>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</si>
  <si>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</si>
  <si>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</si>
  <si>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</si>
  <si>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</si>
  <si>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</si>
  <si>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</si>
  <si>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</si>
  <si>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</si>
  <si>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OD23L3142</t>
  </si>
  <si>
    <t>OD23T0726</t>
  </si>
  <si>
    <t>MS112</t>
  </si>
  <si>
    <t>MS113</t>
  </si>
  <si>
    <t>MS114</t>
  </si>
  <si>
    <t>MS115</t>
  </si>
  <si>
    <t>MS116</t>
  </si>
  <si>
    <t>MS117</t>
  </si>
  <si>
    <t>MS118</t>
  </si>
  <si>
    <t>MS119</t>
  </si>
  <si>
    <t>MS120</t>
  </si>
  <si>
    <t>CG04QX7299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</si>
  <si>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</si>
  <si>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</si>
  <si>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</si>
  <si>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</si>
  <si>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</si>
  <si>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</si>
  <si>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</si>
  <si>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</si>
  <si>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</si>
  <si>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</si>
  <si>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</si>
  <si>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</si>
  <si>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</si>
  <si>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OD23S4194</t>
  </si>
  <si>
    <t>OD16J8242</t>
  </si>
  <si>
    <t>OD23T8210</t>
  </si>
  <si>
    <t>RJ19GJ6869</t>
  </si>
  <si>
    <t>SSFCxSSL</t>
  </si>
  <si>
    <t>MS121</t>
  </si>
  <si>
    <t>MS122</t>
  </si>
  <si>
    <t>OD14AD5280</t>
  </si>
  <si>
    <t>580</t>
  </si>
  <si>
    <t>581</t>
  </si>
  <si>
    <t>582</t>
  </si>
  <si>
    <t>583</t>
  </si>
  <si>
    <t>584</t>
  </si>
  <si>
    <t>585</t>
  </si>
  <si>
    <t>586</t>
  </si>
  <si>
    <t>587</t>
  </si>
  <si>
    <t>OD16J8226</t>
  </si>
  <si>
    <t>MS123</t>
  </si>
  <si>
    <t>MS124</t>
  </si>
  <si>
    <t>MS125</t>
  </si>
  <si>
    <t>MS126</t>
  </si>
  <si>
    <t>MS127</t>
  </si>
  <si>
    <t>MS128</t>
  </si>
  <si>
    <t>MS129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</si>
  <si>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</si>
  <si>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</si>
  <si>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</si>
  <si>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</si>
  <si>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</si>
  <si>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</si>
  <si>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</si>
  <si>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</si>
  <si>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</si>
  <si>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</si>
  <si>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</si>
  <si>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</si>
  <si>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</si>
  <si>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</si>
  <si>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</si>
  <si>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</si>
  <si>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</si>
  <si>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OD23T8010</t>
  </si>
  <si>
    <t>CG13AG8329</t>
  </si>
  <si>
    <t>CG13AG8991</t>
  </si>
  <si>
    <t>CG13AG8987</t>
  </si>
  <si>
    <t>GRADER</t>
  </si>
  <si>
    <t>Harnoor Logistics Private Limited</t>
  </si>
  <si>
    <t>MS130</t>
  </si>
  <si>
    <t>MS131</t>
  </si>
  <si>
    <t>MS132</t>
  </si>
  <si>
    <t>MS133</t>
  </si>
  <si>
    <t>OR15Q6155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</si>
  <si>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</si>
  <si>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</si>
  <si>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</si>
  <si>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</si>
  <si>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</si>
  <si>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</si>
  <si>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</si>
  <si>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</si>
  <si>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</si>
  <si>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</si>
  <si>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</si>
  <si>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</si>
  <si>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</si>
  <si>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</si>
  <si>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</si>
  <si>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</si>
  <si>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</si>
  <si>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</si>
  <si>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</si>
  <si>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OD15D7494</t>
  </si>
  <si>
    <t>OD23T3110</t>
  </si>
  <si>
    <t>RJ02GC7411</t>
  </si>
  <si>
    <t>OD16K1092</t>
  </si>
  <si>
    <t>OD16K5862</t>
  </si>
  <si>
    <t>OD16K0936</t>
  </si>
  <si>
    <t>OD16K6067</t>
  </si>
  <si>
    <t>OD16K1023</t>
  </si>
  <si>
    <t>MS134</t>
  </si>
  <si>
    <t>MS135</t>
  </si>
  <si>
    <t>OD19J7247</t>
  </si>
  <si>
    <t>XG1</t>
  </si>
  <si>
    <t>Aryan Ispat &amp; Power Private Ltd.</t>
  </si>
  <si>
    <t>624</t>
  </si>
  <si>
    <t>625</t>
  </si>
  <si>
    <t>626</t>
  </si>
  <si>
    <t>627</t>
  </si>
  <si>
    <t>628</t>
  </si>
  <si>
    <t>RJ19GF5027</t>
  </si>
  <si>
    <t>MS136</t>
  </si>
  <si>
    <t>MS137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</si>
  <si>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</si>
  <si>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</si>
  <si>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</si>
  <si>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</si>
  <si>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</si>
  <si>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</si>
  <si>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</si>
  <si>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</si>
  <si>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</si>
  <si>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</si>
  <si>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AJAX</t>
  </si>
  <si>
    <t>OD16K2690</t>
  </si>
  <si>
    <t>MS138</t>
  </si>
  <si>
    <t>MS139</t>
  </si>
  <si>
    <t>XG2</t>
  </si>
  <si>
    <t>639</t>
  </si>
  <si>
    <t>640</t>
  </si>
  <si>
    <t>641</t>
  </si>
  <si>
    <t>642</t>
  </si>
  <si>
    <t>643</t>
  </si>
  <si>
    <t>644</t>
  </si>
  <si>
    <t>645</t>
  </si>
  <si>
    <t>646</t>
  </si>
  <si>
    <t>OD23H9543</t>
  </si>
  <si>
    <t>MS140</t>
  </si>
  <si>
    <t>MS141</t>
  </si>
  <si>
    <t>MS142</t>
  </si>
  <si>
    <t>MS143</t>
  </si>
  <si>
    <t>MS144</t>
  </si>
  <si>
    <t>MS145</t>
  </si>
  <si>
    <t>MS146</t>
  </si>
  <si>
    <t>CG05AP5678</t>
  </si>
  <si>
    <t>AP39AK4448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</si>
  <si>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</si>
  <si>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</si>
  <si>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</si>
  <si>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</si>
  <si>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</si>
  <si>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</si>
  <si>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</si>
  <si>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</si>
  <si>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</si>
  <si>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</si>
  <si>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</si>
  <si>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</si>
  <si>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</si>
  <si>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</si>
  <si>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MS147</t>
  </si>
  <si>
    <t>MS148</t>
  </si>
  <si>
    <t>MS149</t>
  </si>
  <si>
    <t>MS150</t>
  </si>
  <si>
    <t>OD23P4512</t>
  </si>
  <si>
    <t>661</t>
  </si>
  <si>
    <t>662</t>
  </si>
  <si>
    <t>663</t>
  </si>
  <si>
    <t>664</t>
  </si>
  <si>
    <t>665</t>
  </si>
  <si>
    <t>666</t>
  </si>
  <si>
    <t>Hm Power and Cables Private Limited</t>
  </si>
  <si>
    <t>MS151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</si>
  <si>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</si>
  <si>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</si>
  <si>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</si>
  <si>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</si>
  <si>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</si>
  <si>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</si>
  <si>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</si>
  <si>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</si>
  <si>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</si>
  <si>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</si>
  <si>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</si>
  <si>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</si>
  <si>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</si>
  <si>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</si>
  <si>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OD15T2320</t>
  </si>
  <si>
    <t>OD15N0455</t>
  </si>
  <si>
    <t>OR23D1144</t>
  </si>
  <si>
    <t>MS152</t>
  </si>
  <si>
    <t>MS153</t>
  </si>
  <si>
    <t>MS154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</si>
  <si>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</si>
  <si>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</si>
  <si>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</si>
  <si>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</si>
  <si>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</si>
  <si>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</si>
  <si>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</si>
  <si>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</si>
  <si>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</si>
  <si>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OR16B4812</t>
  </si>
  <si>
    <t>OD23P3948</t>
  </si>
  <si>
    <t>MS155</t>
  </si>
  <si>
    <t>MS156</t>
  </si>
  <si>
    <t>MS157</t>
  </si>
  <si>
    <t>MS158</t>
  </si>
  <si>
    <t>MS159</t>
  </si>
  <si>
    <t>OD23U7053</t>
  </si>
  <si>
    <t>Volume</t>
  </si>
  <si>
    <t>Price</t>
  </si>
  <si>
    <t>Paid</t>
  </si>
  <si>
    <t>Balance</t>
  </si>
  <si>
    <t>Product</t>
  </si>
  <si>
    <t>Ledger Account for Diesel</t>
  </si>
  <si>
    <t>Shree Balajee Enterprises</t>
  </si>
  <si>
    <t>CREDIT LIMIT</t>
  </si>
  <si>
    <t>Remaining Balance</t>
  </si>
  <si>
    <t>Volume Allowed in Credit</t>
  </si>
  <si>
    <t>Sapna Builders &amp; Suppliers</t>
  </si>
  <si>
    <t>SHIVAAY LOGISTICS</t>
  </si>
  <si>
    <t>Simar Infrastructure Limited</t>
  </si>
  <si>
    <t>for The FY 2026-27</t>
  </si>
  <si>
    <t>Auto: date | product →</t>
  </si>
  <si>
    <t>Amount Paid</t>
  </si>
  <si>
    <t>HSD Sale</t>
  </si>
  <si>
    <t>MS Sale</t>
  </si>
  <si>
    <t>XG Sale</t>
  </si>
  <si>
    <t>Master Paid</t>
  </si>
  <si>
    <t>TN Roadlines</t>
  </si>
  <si>
    <t>SSM</t>
  </si>
  <si>
    <t>Sudarshan</t>
  </si>
  <si>
    <t>STEELS &amp; CARRIERS</t>
  </si>
  <si>
    <t>Simar Infra</t>
  </si>
  <si>
    <t>Shivaay</t>
  </si>
  <si>
    <t>SBS</t>
  </si>
  <si>
    <t>RSM</t>
  </si>
  <si>
    <t>PPTE</t>
  </si>
  <si>
    <t>Natwar Khetan</t>
  </si>
  <si>
    <t>MRD</t>
  </si>
  <si>
    <t>Indiabuild</t>
  </si>
  <si>
    <t>ECBPL</t>
  </si>
  <si>
    <t>Ekdant</t>
  </si>
  <si>
    <t>HSD Daily</t>
  </si>
  <si>
    <t>MS Daily</t>
  </si>
  <si>
    <t>HSD FY Summary</t>
  </si>
  <si>
    <t>MS FY Summary</t>
  </si>
  <si>
    <t>Master Ledger</t>
  </si>
  <si>
    <t>Workbook Index  •  Diesel / Petrol / XtraGreen Sales &amp; Customer Ledgers</t>
  </si>
  <si>
    <t>⛽  Sales Sheets</t>
  </si>
  <si>
    <t>💵  Payments</t>
  </si>
  <si>
    <t>📊  Daily &amp; FY Summaries</t>
  </si>
  <si>
    <t>Tip: click any name to open that sheet. Log payments in Master Paid; sales auto-post to ledgers.</t>
  </si>
  <si>
    <t>Customer List (auto-source)</t>
  </si>
  <si>
    <t>Wrong Entry for 6/4/26</t>
  </si>
  <si>
    <t>Outstanding Balances</t>
  </si>
  <si>
    <t>Ledger</t>
  </si>
  <si>
    <t>Outstanding Balance</t>
  </si>
  <si>
    <t>TOTAL OUTSTANDING</t>
  </si>
  <si>
    <t>Radhey Shyam Mining</t>
  </si>
  <si>
    <t>Pioneer Pultru Tech Engineering</t>
  </si>
  <si>
    <t>Maruti Realities</t>
  </si>
  <si>
    <t>Ember Coal</t>
  </si>
  <si>
    <t>Sudarshan Minerals</t>
  </si>
  <si>
    <t>Ekdant Logistics</t>
  </si>
  <si>
    <t>OIC FS JSG</t>
  </si>
  <si>
    <t>690</t>
  </si>
  <si>
    <t>OD15H8328 6 Apr</t>
  </si>
  <si>
    <t>MS160</t>
  </si>
  <si>
    <t>MS161</t>
  </si>
  <si>
    <t>MS162</t>
  </si>
  <si>
    <t>JAR 500x11</t>
  </si>
  <si>
    <t>String Logistics</t>
  </si>
  <si>
    <t>Master Opening Balances</t>
  </si>
  <si>
    <t>String</t>
  </si>
  <si>
    <t>Product Name</t>
  </si>
  <si>
    <t>SSFC</t>
  </si>
  <si>
    <t>RSA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</si>
  <si>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</si>
  <si>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</si>
  <si>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</si>
  <si>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</si>
  <si>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</si>
  <si>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</si>
  <si>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</si>
  <si>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</si>
  <si>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</si>
  <si>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</si>
  <si>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</si>
  <si>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</si>
  <si>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</si>
  <si>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</si>
  <si>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</si>
  <si>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</si>
  <si>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</si>
  <si>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OD33Y3569</t>
  </si>
  <si>
    <t>OD15AE7230</t>
  </si>
  <si>
    <t>CG13AG8332</t>
  </si>
  <si>
    <t>CG13AG8993</t>
  </si>
  <si>
    <t>MS163</t>
  </si>
  <si>
    <t>MS164</t>
  </si>
  <si>
    <t>MS165</t>
  </si>
  <si>
    <t>XG3</t>
  </si>
  <si>
    <t>XG4</t>
  </si>
  <si>
    <t>JH13J1926</t>
  </si>
  <si>
    <t>OD23L3195</t>
  </si>
  <si>
    <t>MS166</t>
  </si>
  <si>
    <t>LUBE/028</t>
  </si>
  <si>
    <t>AdBlue</t>
  </si>
  <si>
    <t>Jyoti Ranjan Dash</t>
  </si>
  <si>
    <t>Bill To</t>
  </si>
  <si>
    <t>From:</t>
  </si>
  <si>
    <t>To:</t>
  </si>
  <si>
    <t>Product:</t>
  </si>
  <si>
    <t>All</t>
  </si>
  <si>
    <t>Bill No</t>
  </si>
  <si>
    <t>Price/Ltr</t>
  </si>
  <si>
    <t>Jharsuguda.</t>
  </si>
  <si>
    <t>→ Index</t>
  </si>
  <si>
    <t>708</t>
  </si>
  <si>
    <t>709</t>
  </si>
  <si>
    <t>710</t>
  </si>
  <si>
    <t>711</t>
  </si>
  <si>
    <t>712</t>
  </si>
  <si>
    <t>MS167</t>
  </si>
  <si>
    <t>MS168</t>
  </si>
  <si>
    <t>Cash</t>
  </si>
  <si>
    <t>XtraPower</t>
  </si>
  <si>
    <t>HDFC 1010</t>
  </si>
  <si>
    <t>ICICI BANK LTD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</si>
  <si>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</si>
  <si>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</si>
  <si>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</si>
  <si>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</si>
  <si>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</si>
  <si>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</si>
  <si>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</si>
  <si>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</si>
  <si>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</si>
  <si>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</si>
  <si>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</si>
  <si>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</si>
  <si>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</si>
  <si>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</si>
  <si>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</si>
  <si>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</si>
  <si>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</si>
  <si>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</si>
  <si>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</si>
  <si>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OD23N6311</t>
  </si>
  <si>
    <t>OD23Q4770</t>
  </si>
  <si>
    <t>OD16K0964</t>
  </si>
  <si>
    <t>OD16K0910</t>
  </si>
  <si>
    <t>OD16K1072</t>
  </si>
  <si>
    <t>OD16K1082</t>
  </si>
  <si>
    <t>Swipe Machine Pine Labs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</si>
  <si>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</si>
  <si>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</si>
  <si>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</si>
  <si>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</si>
  <si>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</si>
  <si>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</si>
  <si>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</si>
  <si>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</si>
  <si>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</si>
  <si>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</si>
  <si>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</si>
  <si>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</si>
  <si>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OD15X8293</t>
  </si>
  <si>
    <t>OD23K1450</t>
  </si>
  <si>
    <t>MS169</t>
  </si>
  <si>
    <t>MS170</t>
  </si>
  <si>
    <t>MS171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</si>
  <si>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</si>
  <si>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</si>
  <si>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</si>
  <si>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</si>
  <si>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</si>
  <si>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</si>
  <si>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</si>
  <si>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</si>
  <si>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</si>
  <si>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</si>
  <si>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</si>
  <si>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MS172</t>
  </si>
  <si>
    <t>MS173</t>
  </si>
  <si>
    <t>MS174</t>
  </si>
  <si>
    <t>OR15Y4061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</si>
  <si>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</si>
  <si>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</si>
  <si>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</si>
  <si>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</si>
  <si>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</si>
  <si>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</si>
  <si>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</si>
  <si>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</si>
  <si>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</si>
  <si>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</si>
  <si>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</si>
  <si>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</si>
  <si>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</si>
  <si>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</si>
  <si>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OD23Q4768</t>
  </si>
  <si>
    <t>MS175</t>
  </si>
  <si>
    <t>MS176</t>
  </si>
  <si>
    <t>769</t>
  </si>
  <si>
    <t>770</t>
  </si>
  <si>
    <t>771</t>
  </si>
  <si>
    <t>772</t>
  </si>
  <si>
    <t>773</t>
  </si>
  <si>
    <t>774</t>
  </si>
  <si>
    <t>775</t>
  </si>
  <si>
    <t>776</t>
  </si>
  <si>
    <t>JCB</t>
  </si>
  <si>
    <t>CG04NB2811</t>
  </si>
  <si>
    <t>MS177</t>
  </si>
  <si>
    <t>MS178</t>
  </si>
  <si>
    <t>MS179</t>
  </si>
  <si>
    <t>OD23B5943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</si>
  <si>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</si>
  <si>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</si>
  <si>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</si>
  <si>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</si>
  <si>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</si>
  <si>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</si>
  <si>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</si>
  <si>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</si>
  <si>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</si>
  <si>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</si>
  <si>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</si>
  <si>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</si>
  <si>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</si>
  <si>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</si>
  <si>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</si>
  <si>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</si>
  <si>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7801</t>
  </si>
  <si>
    <t>MS180</t>
  </si>
  <si>
    <t>MS181</t>
  </si>
  <si>
    <t>MS182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</si>
  <si>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</si>
  <si>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</si>
  <si>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</si>
  <si>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</si>
  <si>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</si>
  <si>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</si>
  <si>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</si>
  <si>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</si>
  <si>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</si>
  <si>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</si>
  <si>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</si>
  <si>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</si>
  <si>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</si>
  <si>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</si>
  <si>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</si>
  <si>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OD23P2429</t>
  </si>
  <si>
    <t>CG04PA5851</t>
  </si>
  <si>
    <t>NL01AJ8643</t>
  </si>
  <si>
    <t>MS183</t>
  </si>
  <si>
    <t>MS184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</si>
  <si>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</si>
  <si>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</si>
  <si>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</si>
  <si>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</si>
  <si>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</si>
  <si>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</si>
  <si>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</si>
  <si>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</si>
  <si>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</si>
  <si>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</si>
  <si>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</si>
  <si>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</si>
  <si>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OD16M8078</t>
  </si>
  <si>
    <t>OR23F0869</t>
  </si>
  <si>
    <t>OD15AF0757</t>
  </si>
  <si>
    <t>Maa Karni Earthmover Private Limited</t>
  </si>
  <si>
    <t>M/s Global Movers</t>
  </si>
  <si>
    <t>MS185</t>
  </si>
  <si>
    <t>MS186</t>
  </si>
  <si>
    <t>MS187</t>
  </si>
  <si>
    <t>MS188</t>
  </si>
  <si>
    <t>MS189</t>
  </si>
  <si>
    <t>OD17V0336</t>
  </si>
  <si>
    <t>OD23R2944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</si>
  <si>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</si>
  <si>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</si>
  <si>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</si>
  <si>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</si>
  <si>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</si>
  <si>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</si>
  <si>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</si>
  <si>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</si>
  <si>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</si>
  <si>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</si>
  <si>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</si>
  <si>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</si>
  <si>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MS190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</si>
  <si>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</si>
  <si>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</si>
  <si>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</si>
  <si>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</si>
  <si>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</si>
  <si>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</si>
  <si>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</si>
  <si>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</si>
  <si>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</si>
  <si>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</si>
  <si>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</si>
  <si>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</si>
  <si>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</si>
  <si>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</si>
  <si>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</si>
  <si>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RJ19GG0787</t>
  </si>
  <si>
    <t>RJ17GB0171</t>
  </si>
  <si>
    <t>Animesh Builders</t>
  </si>
  <si>
    <t>DEV TRANSPORT</t>
  </si>
  <si>
    <t>MS191</t>
  </si>
  <si>
    <t>MS192</t>
  </si>
  <si>
    <t>MS193</t>
  </si>
  <si>
    <t>MS194</t>
  </si>
  <si>
    <t>MS195</t>
  </si>
  <si>
    <t>OD23T0076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</si>
  <si>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</si>
  <si>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</si>
  <si>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</si>
  <si>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</si>
  <si>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</si>
  <si>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</si>
  <si>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</si>
  <si>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</si>
  <si>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</si>
  <si>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MS196</t>
  </si>
  <si>
    <t>MS197</t>
  </si>
  <si>
    <t>MS198</t>
  </si>
  <si>
    <t>MS199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</si>
  <si>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</si>
  <si>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</si>
  <si>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</si>
  <si>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</si>
  <si>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</si>
  <si>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</si>
  <si>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</si>
  <si>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</si>
  <si>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</si>
  <si>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</si>
  <si>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</si>
  <si>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</si>
  <si>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</si>
  <si>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</si>
  <si>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</si>
  <si>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</si>
  <si>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</si>
  <si>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</si>
  <si>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</si>
  <si>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</si>
  <si>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UP53FT9419</t>
  </si>
  <si>
    <t>CG04PL4888</t>
  </si>
  <si>
    <t>HR20BE4625</t>
  </si>
  <si>
    <t>OD05CC2073</t>
  </si>
  <si>
    <t>AP39UN1538</t>
  </si>
  <si>
    <t>AP39UN3054</t>
  </si>
  <si>
    <t>AP39UN1536</t>
  </si>
  <si>
    <t>AP39UN1540</t>
  </si>
  <si>
    <t>Grk Logistics Private Limited</t>
  </si>
  <si>
    <t>S K Trading</t>
  </si>
  <si>
    <t>MS200</t>
  </si>
  <si>
    <t>MS201</t>
  </si>
  <si>
    <t>MS202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</si>
  <si>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</si>
  <si>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</si>
  <si>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</si>
  <si>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</si>
  <si>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</si>
  <si>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</si>
  <si>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</si>
  <si>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</si>
  <si>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</si>
  <si>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</si>
  <si>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AP39UN1542</t>
  </si>
  <si>
    <t>AP39UN1537</t>
  </si>
  <si>
    <t>MS203</t>
  </si>
  <si>
    <t>MS204</t>
  </si>
  <si>
    <t>MS205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</si>
  <si>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</si>
  <si>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</si>
  <si>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</si>
  <si>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</si>
  <si>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</si>
  <si>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</si>
  <si>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</si>
  <si>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</si>
  <si>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</si>
  <si>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</si>
  <si>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</si>
  <si>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</si>
  <si>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</si>
  <si>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</si>
  <si>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</si>
  <si>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</si>
  <si>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</si>
  <si>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</si>
  <si>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</si>
  <si>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</si>
  <si>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</si>
  <si>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</si>
  <si>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</si>
  <si>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</si>
  <si>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</si>
  <si>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</si>
  <si>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</si>
  <si>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</si>
  <si>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</si>
  <si>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</si>
  <si>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</si>
  <si>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</si>
  <si>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</si>
  <si>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</si>
  <si>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</si>
  <si>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</si>
  <si>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</si>
  <si>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</si>
  <si>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</si>
  <si>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OD23U0755</t>
  </si>
  <si>
    <t>OD23U0855</t>
  </si>
  <si>
    <t>OD23U1055</t>
  </si>
  <si>
    <t>OD23U1155</t>
  </si>
  <si>
    <t>OD23U1655</t>
  </si>
  <si>
    <t>OD23U1755</t>
  </si>
  <si>
    <t>OD23U1855</t>
  </si>
  <si>
    <t>OD23V1955</t>
  </si>
  <si>
    <t>OD23V2055</t>
  </si>
  <si>
    <t>OD19T6394</t>
  </si>
  <si>
    <t>OD23Q0312</t>
  </si>
  <si>
    <t>OD15T6167</t>
  </si>
  <si>
    <t>OD23M5679</t>
  </si>
  <si>
    <t>OD23M5631</t>
  </si>
  <si>
    <t>OD23M5635</t>
  </si>
  <si>
    <t>OD23M5651</t>
  </si>
  <si>
    <t>OD23M5675</t>
  </si>
  <si>
    <t>OD23M5617</t>
  </si>
  <si>
    <t>OD23M5687</t>
  </si>
  <si>
    <t>OD23M5610</t>
  </si>
  <si>
    <t>OD23M5686</t>
  </si>
  <si>
    <t>OD23M5613</t>
  </si>
  <si>
    <t>OD23M5684</t>
  </si>
  <si>
    <t>OD23M5682</t>
  </si>
  <si>
    <t>MS206</t>
  </si>
  <si>
    <t>MS207</t>
  </si>
  <si>
    <t>MS208</t>
  </si>
  <si>
    <t>OR23B0533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</si>
  <si>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</si>
  <si>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</si>
  <si>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</si>
  <si>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</si>
  <si>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</si>
  <si>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</si>
  <si>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</si>
  <si>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</si>
  <si>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</si>
  <si>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</si>
  <si>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</si>
  <si>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</si>
  <si>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</si>
  <si>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</si>
  <si>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</si>
  <si>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</si>
  <si>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</si>
  <si>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</si>
  <si>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</si>
  <si>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</si>
  <si>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</si>
  <si>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OD23M5657</t>
  </si>
  <si>
    <t>CG04HD0774</t>
  </si>
  <si>
    <t>OD23P5658</t>
  </si>
  <si>
    <t>MS209</t>
  </si>
  <si>
    <t>MS210</t>
  </si>
  <si>
    <t>OR15F4242</t>
  </si>
  <si>
    <t>Mukesh Rana Ref OMPL</t>
  </si>
  <si>
    <t>OMPL Retail</t>
  </si>
  <si>
    <t>2.5 Cash + 1Lac HDFC 1010</t>
  </si>
  <si>
    <t>EzyPay UPI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</si>
  <si>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</si>
  <si>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</si>
  <si>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</si>
  <si>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</si>
  <si>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</si>
  <si>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</si>
  <si>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</si>
  <si>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</si>
  <si>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</si>
  <si>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</si>
  <si>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</si>
  <si>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</si>
  <si>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</si>
  <si>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OD23Q5434</t>
  </si>
  <si>
    <t>MS211</t>
  </si>
  <si>
    <t>MS212</t>
  </si>
  <si>
    <t>MS213</t>
  </si>
  <si>
    <t>MS214</t>
  </si>
  <si>
    <t>MS215</t>
  </si>
  <si>
    <t>OD23U6552</t>
  </si>
  <si>
    <t>OD23D8657</t>
  </si>
  <si>
    <t>OD23E7267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</si>
  <si>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</si>
  <si>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</si>
  <si>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</si>
  <si>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</si>
  <si>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</si>
  <si>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</si>
  <si>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</si>
  <si>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</si>
  <si>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</si>
  <si>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</si>
  <si>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</si>
  <si>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</si>
  <si>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</si>
  <si>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</si>
  <si>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</si>
  <si>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</si>
  <si>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</si>
  <si>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</si>
  <si>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</si>
  <si>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</si>
  <si>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</si>
  <si>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</si>
  <si>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</si>
  <si>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OD14E0075</t>
  </si>
  <si>
    <t>OD23P0337</t>
  </si>
  <si>
    <t>MS216</t>
  </si>
  <si>
    <t>MS217</t>
  </si>
  <si>
    <t>MS218</t>
  </si>
  <si>
    <t>MS219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</si>
  <si>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</si>
  <si>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</si>
  <si>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</si>
  <si>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</si>
  <si>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</si>
  <si>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</si>
  <si>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</si>
  <si>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</si>
  <si>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</si>
  <si>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</si>
  <si>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</si>
  <si>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</si>
  <si>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</si>
  <si>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</si>
  <si>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</si>
  <si>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</si>
  <si>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</si>
  <si>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</si>
  <si>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</si>
  <si>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</si>
  <si>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</si>
  <si>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OD23K9457</t>
  </si>
  <si>
    <t>10148 Swipe + 10k HDFC 1010</t>
  </si>
  <si>
    <t>1003</t>
  </si>
  <si>
    <t>1004</t>
  </si>
  <si>
    <t>1005</t>
  </si>
  <si>
    <t>1006</t>
  </si>
  <si>
    <t>1007</t>
  </si>
  <si>
    <t>1008</t>
  </si>
  <si>
    <t>1009</t>
  </si>
  <si>
    <t>1010</t>
  </si>
  <si>
    <t>MS220</t>
  </si>
  <si>
    <t>Ashish Garg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</si>
  <si>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</si>
  <si>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</si>
  <si>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</si>
  <si>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</si>
  <si>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</si>
  <si>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</si>
  <si>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</si>
  <si>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</si>
  <si>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</si>
  <si>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OD16M0750</t>
  </si>
  <si>
    <t>OD16M0743</t>
  </si>
  <si>
    <t>OD16K7132</t>
  </si>
  <si>
    <t>OD16K7170</t>
  </si>
  <si>
    <t>OD16K7103</t>
  </si>
  <si>
    <t>MS221</t>
  </si>
  <si>
    <t>MS222</t>
  </si>
  <si>
    <t>Payment Mode</t>
  </si>
  <si>
    <t>15111 EzyPay + 15111 HDFC 1010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</si>
  <si>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</si>
  <si>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</si>
  <si>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</si>
  <si>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</si>
  <si>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</si>
  <si>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</si>
  <si>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</si>
  <si>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</si>
  <si>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</si>
  <si>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</si>
  <si>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</si>
  <si>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</si>
  <si>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</si>
  <si>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</si>
  <si>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</si>
  <si>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</si>
  <si>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</si>
  <si>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</si>
  <si>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</si>
  <si>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</si>
  <si>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</si>
  <si>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</si>
  <si>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OD16L2122</t>
  </si>
  <si>
    <t>OD16A4989</t>
  </si>
  <si>
    <t>OD16A4980</t>
  </si>
  <si>
    <t>OD16A7401</t>
  </si>
  <si>
    <t>OD16K3490</t>
  </si>
  <si>
    <t>OD16K3409</t>
  </si>
  <si>
    <t>OD16K7171</t>
  </si>
  <si>
    <t>OD16K7108</t>
  </si>
  <si>
    <t>OD23Q2058</t>
  </si>
  <si>
    <t>OD14AC2698</t>
  </si>
  <si>
    <t>OD16K2379</t>
  </si>
  <si>
    <t>OD16K8543</t>
  </si>
  <si>
    <t>Maa Samlai Logistics Private Limited</t>
  </si>
  <si>
    <t>MS223</t>
  </si>
  <si>
    <t>MS224</t>
  </si>
  <si>
    <t>MS225</t>
  </si>
  <si>
    <t>OD05BY1039</t>
  </si>
  <si>
    <t>Samlai Logistics</t>
  </si>
  <si>
    <t>1042</t>
  </si>
  <si>
    <t>1043</t>
  </si>
  <si>
    <t>1044</t>
  </si>
  <si>
    <t>GSTIN</t>
  </si>
  <si>
    <t>Agrim Mining (Jv)</t>
  </si>
  <si>
    <t>GSTIN:21AAKAA9885C1ZP</t>
  </si>
  <si>
    <t>GSTIN:21AGKPN0942L1ZE</t>
  </si>
  <si>
    <t>GSTIN:21AAECA5656R1ZB</t>
  </si>
  <si>
    <t>Babylon Logistics Private Limited</t>
  </si>
  <si>
    <t>GSTIN:21AAGCB6769C1ZV</t>
  </si>
  <si>
    <t>Bhaskar Earthmover Private Limited</t>
  </si>
  <si>
    <t>GSTIN:21AAICB2269B1Z8</t>
  </si>
  <si>
    <t>Bimal Kumar Khetan,  Khetan &amp; Co</t>
  </si>
  <si>
    <t>GSTIN:21ALHPK2358P1ZV</t>
  </si>
  <si>
    <t>GSTIN:21AAICB2388M1ZH</t>
  </si>
  <si>
    <t>Blue Bird</t>
  </si>
  <si>
    <t>GSTIN:21ADGPS1344G1ZW</t>
  </si>
  <si>
    <t>GSTIN:21ELGPS9317K1ZP</t>
  </si>
  <si>
    <t>GSTIN:21AAICE0656P1ZH</t>
  </si>
  <si>
    <t>GSTIN:10AAMFG2761N1ZA</t>
  </si>
  <si>
    <t>Gautam Cement Works</t>
  </si>
  <si>
    <t>GSTIN:21AAEFG2396M1ZA</t>
  </si>
  <si>
    <t>Gourav Civil Contractor</t>
  </si>
  <si>
    <t>GSTIN:22DXJPK7771K1ZZ</t>
  </si>
  <si>
    <t>GSTIN:21AAHCG4668E1ZR</t>
  </si>
  <si>
    <t>GSTIN:21AAHCG4558M1ZD</t>
  </si>
  <si>
    <t>Harish Iron Store</t>
  </si>
  <si>
    <t>GSTIN:21AERPG7600R2Z4</t>
  </si>
  <si>
    <t>GSTIN:21AAECH6419F1ZY</t>
  </si>
  <si>
    <t>GSTIN:21AAHCH1537R1ZD</t>
  </si>
  <si>
    <t>Ib Logistics Private Limited</t>
  </si>
  <si>
    <t>GSTIN:21AADCI8184M1Z9</t>
  </si>
  <si>
    <t>GSTIN:21AAFCI5264G1ZT</t>
  </si>
  <si>
    <t>GSTIN:22ABFPJ6705P1ZI</t>
  </si>
  <si>
    <t>GSTIN:21AAACI5607C1ZB</t>
  </si>
  <si>
    <t>Jay Hanuman Transport and Multipurpose Co-Operative Society Ltd</t>
  </si>
  <si>
    <t>GSTIN:21AAKAJ1422C1ZF</t>
  </si>
  <si>
    <t>GSTIN:21ANTPR4825Q2Z5</t>
  </si>
  <si>
    <t>GSTIN:21AAHCK8673M1Z1</t>
  </si>
  <si>
    <t>GSTIN:21ALOPK1775H1Z2</t>
  </si>
  <si>
    <t>Krishav Logistic</t>
  </si>
  <si>
    <t>GSTIN:21AAICK0188L1ZG</t>
  </si>
  <si>
    <t>GSTIN:21AADCK0613K2Z0</t>
  </si>
  <si>
    <t>Ln Logistics Private Limited</t>
  </si>
  <si>
    <t>GSTIN:21AACCL8484C1ZP</t>
  </si>
  <si>
    <t>GSTIN:21AAMCM4021C1Z5</t>
  </si>
  <si>
    <t>GSTIN:21ABBFM8509N1Z4</t>
  </si>
  <si>
    <t>Maheshanand Logistics Private Limited</t>
  </si>
  <si>
    <t>GSTIN:21AAKCM1072F1ZW</t>
  </si>
  <si>
    <t>GSTIN:21ABMFM9070B1ZG</t>
  </si>
  <si>
    <t>GSTIN:21ALJPS0483K1ZX</t>
  </si>
  <si>
    <t>GSTIN:21ANKPD4887D1Z6</t>
  </si>
  <si>
    <t>GSTIN:21AAFCA0154K1Z5</t>
  </si>
  <si>
    <t>GSTIN:21AAOFC9696A1ZC</t>
  </si>
  <si>
    <t>GSTIN:21AAIFG6053F1ZR</t>
  </si>
  <si>
    <t>M/s Jagdamba Construction</t>
  </si>
  <si>
    <t>GSTIN:21ACGPB0709F1ZI</t>
  </si>
  <si>
    <t>GSTIN:21AABCJ7479E1ZN</t>
  </si>
  <si>
    <t>M/s Seven Star Steels Ltd</t>
  </si>
  <si>
    <t>GSTIN:21AAICS5549M1ZZ</t>
  </si>
  <si>
    <t>GSTIN:21ABZPK7570R1ZM</t>
  </si>
  <si>
    <t>GSTIN:21AAGCS3066B1ZW</t>
  </si>
  <si>
    <t>GSTIN:21AAACL6442L1ZM</t>
  </si>
  <si>
    <t>GSTIN:21AAACO8663L1Z8</t>
  </si>
  <si>
    <t>Pentane Logistics Private Limited</t>
  </si>
  <si>
    <t>GSTIN:21AAICP5630Q1Z4</t>
  </si>
  <si>
    <t>GSTIN:21AAECP4601K1ZR</t>
  </si>
  <si>
    <t>GSTIN:21CNQPB5660J2ZX</t>
  </si>
  <si>
    <t>GSTIN:21AAPCR1032H1ZQ</t>
  </si>
  <si>
    <t>Ritika Infra</t>
  </si>
  <si>
    <t>GSTIN:21AKZPM7287L2Z6</t>
  </si>
  <si>
    <t>Rm3d Mining and Logistics Private Limited</t>
  </si>
  <si>
    <t>GSTIN:21AAHCR6100J1ZQ</t>
  </si>
  <si>
    <t>GSTIN:21AALCR1617C1ZX</t>
  </si>
  <si>
    <t>Sainik Infratec Private Limited</t>
  </si>
  <si>
    <t>GSTIN:21AAFCR1669A1ZV</t>
  </si>
  <si>
    <t>Shakuntalam Royal Palace</t>
  </si>
  <si>
    <t>GSTIN:21AADCK5289K2ZA</t>
  </si>
  <si>
    <t>GSTIN:21AERFS8379H1ZD</t>
  </si>
  <si>
    <t>Shree Civitech</t>
  </si>
  <si>
    <t>GSTIN:21BKUPK0794E1Z2</t>
  </si>
  <si>
    <t>GSTIN:08CVDPK4039F1ZO</t>
  </si>
  <si>
    <t>Shree Motors</t>
  </si>
  <si>
    <t>GSTIN:21FSKPS5390N1ZZ</t>
  </si>
  <si>
    <t>Shree Shyam Logistics</t>
  </si>
  <si>
    <t>GSTIN:21HTOPK1387L1Z6</t>
  </si>
  <si>
    <t>GSTIN:21AAHCS5842A1ZT</t>
  </si>
  <si>
    <t>GSTIN:21AEPFS4587M1ZA</t>
  </si>
  <si>
    <t>Smel Steel Structural Private Limited</t>
  </si>
  <si>
    <t>GSTIN:21ABKCS4877P1ZK</t>
  </si>
  <si>
    <t>GSTIN:08ACUFS6629P3ZU</t>
  </si>
  <si>
    <t>GSTIN:21AAICS8597H2ZV</t>
  </si>
  <si>
    <t>GSTIN:21CTRPS5446J1Z4</t>
  </si>
  <si>
    <t>GSTIN:21AFRPJ1601E1Z2</t>
  </si>
  <si>
    <t>Svd Earthworks Llp</t>
  </si>
  <si>
    <t>GSTIN:21AFQFS5282M1ZD</t>
  </si>
  <si>
    <t>GSTIN:21FOKPM2931F1Z5</t>
  </si>
  <si>
    <t>Swastik Associates</t>
  </si>
  <si>
    <t>GSTIN:21AAXPT7740D3ZC</t>
  </si>
  <si>
    <t>Swastik Mining and Allied Services</t>
  </si>
  <si>
    <t>GSTIN:21AEYFS7449M1Z2</t>
  </si>
  <si>
    <t>GSTIN:21BZLPR8517C2ZC</t>
  </si>
  <si>
    <t>GSTIN:21AAECV8578K1ZT</t>
  </si>
  <si>
    <t>GSTIN:21AASCM5400H1ZO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</si>
  <si>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</si>
  <si>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</si>
  <si>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</si>
  <si>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</si>
  <si>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</si>
  <si>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</si>
  <si>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</si>
  <si>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</si>
  <si>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</si>
  <si>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</si>
  <si>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</si>
  <si>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</si>
  <si>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</si>
  <si>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</si>
  <si>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</si>
  <si>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</si>
  <si>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</si>
  <si>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</si>
  <si>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</si>
  <si>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</si>
  <si>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</si>
  <si>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</si>
  <si>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</si>
  <si>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</si>
  <si>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</si>
  <si>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</si>
  <si>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</si>
  <si>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</si>
  <si>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</si>
  <si>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</si>
  <si>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</si>
  <si>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</si>
  <si>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</si>
  <si>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</si>
  <si>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</si>
  <si>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</si>
  <si>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</si>
  <si>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</si>
  <si>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</si>
  <si>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</si>
  <si>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</si>
  <si>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</si>
  <si>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</si>
  <si>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</si>
  <si>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</si>
  <si>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</si>
  <si>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</si>
  <si>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OD23U8210</t>
  </si>
  <si>
    <t>OD16K2358</t>
  </si>
  <si>
    <t>OD16K2308</t>
  </si>
  <si>
    <t>OD19Z4586</t>
  </si>
  <si>
    <t>OD16N0753</t>
  </si>
  <si>
    <t>OD16N4975</t>
  </si>
  <si>
    <t>OD16M1125</t>
  </si>
  <si>
    <t>OD16K2351</t>
  </si>
  <si>
    <t>OD16M8879</t>
  </si>
  <si>
    <t>OD16K4055</t>
  </si>
  <si>
    <t>CG15AC4333</t>
  </si>
  <si>
    <t>OD16J8772</t>
  </si>
  <si>
    <t>OD23P8172</t>
  </si>
  <si>
    <t>OD16K9280</t>
  </si>
  <si>
    <t>OD23S2463</t>
  </si>
  <si>
    <t>OD16C8253</t>
  </si>
  <si>
    <t>OD16L9774</t>
  </si>
  <si>
    <t>OD16L9737</t>
  </si>
  <si>
    <t>OD16L9788</t>
  </si>
  <si>
    <t>OD16L9561</t>
  </si>
  <si>
    <t>OD16L9579</t>
  </si>
  <si>
    <t>OD16K7844</t>
  </si>
  <si>
    <t>OD16L1393</t>
  </si>
  <si>
    <t>OD16M3384</t>
  </si>
  <si>
    <t>OD16P3725</t>
  </si>
  <si>
    <t>OD16N1595</t>
  </si>
  <si>
    <t>MS226</t>
  </si>
  <si>
    <t>MS227</t>
  </si>
  <si>
    <t>MS228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</si>
  <si>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</si>
  <si>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</si>
  <si>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</si>
  <si>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</si>
  <si>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</si>
  <si>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</si>
  <si>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</si>
  <si>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</si>
  <si>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</si>
  <si>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</si>
  <si>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</si>
  <si>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</si>
  <si>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</si>
  <si>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</si>
  <si>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</si>
  <si>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</si>
  <si>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</si>
  <si>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</si>
  <si>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</si>
  <si>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</si>
  <si>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</si>
  <si>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</si>
  <si>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</si>
  <si>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</si>
  <si>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</si>
  <si>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</si>
  <si>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</si>
  <si>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</si>
  <si>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</si>
  <si>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</si>
  <si>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</si>
  <si>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</si>
  <si>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</si>
  <si>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</si>
  <si>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</si>
  <si>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</si>
  <si>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</si>
  <si>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</si>
  <si>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</si>
  <si>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</si>
  <si>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</si>
  <si>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OD16K6008</t>
  </si>
  <si>
    <t>OD16K8535</t>
  </si>
  <si>
    <t>OD16K8578</t>
  </si>
  <si>
    <t>OD16K2391</t>
  </si>
  <si>
    <t>OD16K8437</t>
  </si>
  <si>
    <t>OD16K2377</t>
  </si>
  <si>
    <t>OD16K3869</t>
  </si>
  <si>
    <t>OD16M1025</t>
  </si>
  <si>
    <t>OD16K8519</t>
  </si>
  <si>
    <t>OD16L2825</t>
  </si>
  <si>
    <t>OD16N7967</t>
  </si>
  <si>
    <t>MS229</t>
  </si>
  <si>
    <t>MS230</t>
  </si>
  <si>
    <t>ORISSA METALIKS (OMPL) — Bulk Ledger — Diesel (FY 2026-27)</t>
  </si>
  <si>
    <t>Customer:</t>
  </si>
  <si>
    <t>Opening Balance:</t>
  </si>
  <si>
    <t>Period From:</t>
  </si>
  <si>
    <t>TDS</t>
  </si>
  <si>
    <t>Shortage</t>
  </si>
  <si>
    <t>Remarks</t>
  </si>
  <si>
    <t>Summary</t>
  </si>
  <si>
    <t>Total Billed</t>
  </si>
  <si>
    <t>Total Paid</t>
  </si>
  <si>
    <t>Total TDS</t>
  </si>
  <si>
    <t>Total Shortage</t>
  </si>
  <si>
    <t>Outstanding</t>
  </si>
  <si>
    <t>SHYAM METALICS &amp; ENERGY LTD — Bulk Ledger — Diesel (FY 2026-27)</t>
  </si>
  <si>
    <t>🛢️  Bulk Ledgers</t>
  </si>
  <si>
    <t>OMPL_Bulk</t>
  </si>
  <si>
    <t>Shyam Metalics_Bulk</t>
  </si>
  <si>
    <t>LN LOGISTICS PVT LTD</t>
  </si>
  <si>
    <t>Shiva Enterprises</t>
  </si>
  <si>
    <t>MA AUTOMOBILE</t>
  </si>
  <si>
    <t>SANIR ENTERPRISES</t>
  </si>
  <si>
    <t>Group:</t>
  </si>
  <si>
    <t>Lakhanpur RCP</t>
  </si>
  <si>
    <t>Billing Name</t>
  </si>
  <si>
    <t>Lakhanpur RCP_Bulk</t>
  </si>
  <si>
    <t>Lakhanpur RCP (Group)</t>
  </si>
  <si>
    <t>M/S Ultratech Cement Ltd — Bulk Ledger — Diesel (FY 2026-27)</t>
  </si>
  <si>
    <t>M/s Smc Power Generation Ltd — Bulk Ledger — Diesel (FY 2026-27)</t>
  </si>
  <si>
    <t>Date|Bill|Product (helper)</t>
  </si>
  <si>
    <t>Lakhanpur RCP — Bulk Ledger — Diesel (FY 2026-27)</t>
  </si>
  <si>
    <t>SMC Power_Bulk</t>
  </si>
  <si>
    <t>Ultra Tech_Bulk</t>
  </si>
  <si>
    <t>📒  Retail Ledgers</t>
  </si>
  <si>
    <t>SMC Power Generation</t>
  </si>
  <si>
    <t>Ultra Tech Cement</t>
  </si>
  <si>
    <t>SMC_Bulk</t>
  </si>
  <si>
    <t>Ultratech_Bulk</t>
  </si>
  <si>
    <t>LUBE/002</t>
  </si>
  <si>
    <t>System 68- 20 Ltr</t>
  </si>
  <si>
    <t>Date | Billing Name | Bill No | Product (helper)</t>
  </si>
  <si>
    <t>Date | Bill | Product (helper)</t>
  </si>
  <si>
    <t>Pending (FIFO)</t>
  </si>
  <si>
    <t>Company-wise Outstanding — Open Invoices (FIFO)</t>
  </si>
  <si>
    <t>Total Pending:</t>
  </si>
  <si>
    <t>Date of Invoice</t>
  </si>
  <si>
    <t>Pending Amount</t>
  </si>
  <si>
    <t>Ankita Air Group — Bulk Ledger — Diesel (FY 2026-27)</t>
  </si>
  <si>
    <t>Ankita Air Group</t>
  </si>
  <si>
    <t>Ankita Air Group_Bulk</t>
  </si>
  <si>
    <t>CREDIT MEMO</t>
  </si>
  <si>
    <t>VRIDDHI FUELS (2026-27)</t>
  </si>
  <si>
    <t>AT-KHERWAL PO- BADMAL</t>
  </si>
  <si>
    <t>DIST- JHARSUGUDA, 768202</t>
  </si>
  <si>
    <t>ODISHA</t>
  </si>
  <si>
    <t>GSTIN/UIN: 21AATFV8250A1Z8</t>
  </si>
  <si>
    <t>State Name :  Odisha, Code : 21</t>
  </si>
  <si>
    <t>E-Mail : subhamkhetan@gmail.com</t>
  </si>
  <si>
    <t>Particulars</t>
  </si>
  <si>
    <t>Rate</t>
  </si>
  <si>
    <t>High Speed Diesel</t>
  </si>
  <si>
    <t>Thank You</t>
  </si>
  <si>
    <t>Total</t>
  </si>
  <si>
    <t>Customer's Sign.</t>
  </si>
  <si>
    <t>Sign.of Salesman</t>
  </si>
  <si>
    <t>Enter Bill No. →</t>
  </si>
  <si>
    <t>row idx</t>
  </si>
  <si>
    <t>No. :</t>
  </si>
  <si>
    <t>Date :</t>
  </si>
  <si>
    <t>M/s :</t>
  </si>
  <si>
    <t>Vehicle No. :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</si>
  <si>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</si>
  <si>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</si>
  <si>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</si>
  <si>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</si>
  <si>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</si>
  <si>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</si>
  <si>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</si>
  <si>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</si>
  <si>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</si>
  <si>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</si>
  <si>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</si>
  <si>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</si>
  <si>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</si>
  <si>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</si>
  <si>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</si>
  <si>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</si>
  <si>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</si>
  <si>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</si>
  <si>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</si>
  <si>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</si>
  <si>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</si>
  <si>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</si>
  <si>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</si>
  <si>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</si>
  <si>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</si>
  <si>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</si>
  <si>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</si>
  <si>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</si>
  <si>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</si>
  <si>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</si>
  <si>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</si>
  <si>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</si>
  <si>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</si>
  <si>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</si>
  <si>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</si>
  <si>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</si>
  <si>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</si>
  <si>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</si>
  <si>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</si>
  <si>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</si>
  <si>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</si>
  <si>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</si>
  <si>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</si>
  <si>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</si>
  <si>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</si>
  <si>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</si>
  <si>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</si>
  <si>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</si>
  <si>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</si>
  <si>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</si>
  <si>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</si>
  <si>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</si>
  <si>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</si>
  <si>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</si>
  <si>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</si>
  <si>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OD15X8014</t>
  </si>
  <si>
    <t>OD16K2306</t>
  </si>
  <si>
    <t>OD16J2358</t>
  </si>
  <si>
    <t>OD16L9425</t>
  </si>
  <si>
    <t>OD16M2174</t>
  </si>
  <si>
    <t>OD16M2028</t>
  </si>
  <si>
    <t>OD16B8153</t>
  </si>
  <si>
    <t>OD16D2699</t>
  </si>
  <si>
    <t>MS231</t>
  </si>
  <si>
    <t>MS232</t>
  </si>
  <si>
    <t>HSD Slips Print</t>
  </si>
  <si>
    <t>Refund in SMEL Bank</t>
  </si>
  <si>
    <t>PO No.</t>
  </si>
  <si>
    <t>PO TRACKER — Ultratech (Diesel)</t>
  </si>
  <si>
    <t>Enter Allotted →</t>
  </si>
  <si>
    <t>Allotted (L)</t>
  </si>
  <si>
    <t>Live status — pending on top</t>
  </si>
  <si>
    <t>Used (L)</t>
  </si>
  <si>
    <t>Balance (L)</t>
  </si>
  <si>
    <t>Status</t>
  </si>
  <si>
    <t>7663000165</t>
  </si>
  <si>
    <t>PO TRACKER — Shyam Metalics (Diesel)</t>
  </si>
  <si>
    <t>PO TRACKER — OMPL (Diesel)</t>
  </si>
  <si>
    <t>O326253784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</si>
  <si>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</si>
  <si>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</si>
  <si>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</si>
  <si>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</si>
  <si>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</si>
  <si>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</si>
  <si>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</si>
  <si>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</si>
  <si>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</si>
  <si>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</si>
  <si>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</si>
  <si>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</si>
  <si>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</si>
  <si>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</si>
  <si>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</si>
  <si>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</si>
  <si>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</si>
  <si>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</si>
  <si>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</si>
  <si>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</si>
  <si>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</si>
  <si>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</si>
  <si>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</si>
  <si>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</si>
  <si>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</si>
  <si>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</si>
  <si>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</si>
  <si>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</si>
  <si>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</si>
  <si>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</si>
  <si>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</si>
  <si>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</si>
  <si>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</si>
  <si>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</si>
  <si>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</si>
  <si>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</si>
  <si>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</si>
  <si>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</si>
  <si>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</si>
  <si>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</si>
  <si>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OD17F8468</t>
  </si>
  <si>
    <t>OD16P3045</t>
  </si>
  <si>
    <t>OD23D5870</t>
  </si>
  <si>
    <t>MS233</t>
  </si>
  <si>
    <t>Date:</t>
  </si>
  <si>
    <t>for VRIDDHI FUELS</t>
  </si>
  <si>
    <t>Signature of Customer</t>
  </si>
  <si>
    <t>HSD</t>
  </si>
  <si>
    <t>HSD RSP</t>
  </si>
  <si>
    <t>Address 1</t>
  </si>
  <si>
    <t>Address 2</t>
  </si>
  <si>
    <t>Address 3</t>
  </si>
  <si>
    <t>Payment 1</t>
  </si>
  <si>
    <t>Payment 2</t>
  </si>
  <si>
    <t>Payment 3</t>
  </si>
  <si>
    <t>Payment 4</t>
  </si>
  <si>
    <t>Payment 5</t>
  </si>
  <si>
    <t>Babylon Logistics PVT LTD</t>
  </si>
  <si>
    <t>Motor Spirit</t>
  </si>
  <si>
    <t>RCP Price</t>
  </si>
  <si>
    <t>Behrapally Road,</t>
  </si>
  <si>
    <t>Payment Details:</t>
  </si>
  <si>
    <t>Account No. – 59217010101010</t>
  </si>
  <si>
    <t xml:space="preserve">IFSC Code – HDFC0000763 </t>
  </si>
  <si>
    <t>Branch Name- HDFC BANK LTD, JHARSUGUDA</t>
  </si>
  <si>
    <t>Benerficiary Name- VRIDDHI FUELS</t>
  </si>
  <si>
    <t>XtraGreen Diesel</t>
  </si>
  <si>
    <t>UltraTech Price</t>
  </si>
  <si>
    <t>At- Lakanpur ATPL Camp</t>
  </si>
  <si>
    <t>Post-Ubuda, Via- Belpahar.</t>
  </si>
  <si>
    <t>Account No. – 046805004716</t>
  </si>
  <si>
    <t xml:space="preserve">IFSC Code – ICIC0000468 </t>
  </si>
  <si>
    <t>Branch Name – ICICI BANK LTD, JHARSUGUDA</t>
  </si>
  <si>
    <t>Beneficiary Name – Vriddhi Fuels</t>
  </si>
  <si>
    <t>SMC Price</t>
  </si>
  <si>
    <t>Kulda OCP, Garjanbahal</t>
  </si>
  <si>
    <t>Basundhara, Sundargarh.</t>
  </si>
  <si>
    <t>GSTIN: 21AAICB2269B1Z8</t>
  </si>
  <si>
    <t>SMEL Price</t>
  </si>
  <si>
    <t>GSTIN: 21AAICB2388M1ZH</t>
  </si>
  <si>
    <t>OMPL Price</t>
  </si>
  <si>
    <t>At- Lakanpur Jorabaga Camp</t>
  </si>
  <si>
    <t>GSTIN: 21AAHCG4668E1ZR</t>
  </si>
  <si>
    <t>GSTIN: 21AAHCG4558M1ZD</t>
  </si>
  <si>
    <t>Near Samleswari OCP</t>
  </si>
  <si>
    <t>PO- Lamtibahal, Via- Brajrajnagar.</t>
  </si>
  <si>
    <t>GSTIN: 21AAECH6419F1ZY</t>
  </si>
  <si>
    <t>Pentane Logistics PVT LTD</t>
  </si>
  <si>
    <t>GSTIN: 21AAMCM4021C1Z5</t>
  </si>
  <si>
    <t>J.L.No. 184, Marakuta,</t>
  </si>
  <si>
    <t>Industrial Estate Jharsuguda.</t>
  </si>
  <si>
    <t>GSTIN : 21AAACO8663L1Z8</t>
  </si>
  <si>
    <t>P.O. No.:</t>
  </si>
  <si>
    <t>GSTIN: 21AAHCR6100J1ZQ</t>
  </si>
  <si>
    <t>Vill – Pandloi , P.O - Lapanga</t>
  </si>
  <si>
    <t>Sambalpur.</t>
  </si>
  <si>
    <t>GSTIN : 21AAHCS5842A1ZT</t>
  </si>
  <si>
    <t>SMC Power Generation LTD, UNIT I</t>
  </si>
  <si>
    <t>Hirma,</t>
  </si>
  <si>
    <t>GSTIN: 21AAGCS3066B1ZW</t>
  </si>
  <si>
    <t>(Unit: Jharsuguda Cement Works)</t>
  </si>
  <si>
    <t>P.O. Arda, DIST: Jharsuguda.</t>
  </si>
  <si>
    <t>GSTIN: 21AAACL6442L1ZM</t>
  </si>
  <si>
    <t>GSTIN: 21AAECV8578K1ZT</t>
  </si>
  <si>
    <t>GSTIN: 21AAFCR1669A1ZV</t>
  </si>
  <si>
    <t>SMC Power Generation LTD, UNIT II</t>
  </si>
  <si>
    <t>Kukurjanga, P.O.- Badmal</t>
  </si>
  <si>
    <t>GSTIN: 21AAKAA9885C1ZP</t>
  </si>
  <si>
    <t>GSTIN: 21AAKAJ1422C1ZF</t>
  </si>
  <si>
    <t>GSTIN: 21AEPFS4587M1ZA</t>
  </si>
  <si>
    <t>Ember Coal Beneficiation PVT LTD</t>
  </si>
  <si>
    <t>GSTIN: 21AAICE0656P1ZH</t>
  </si>
  <si>
    <t>GSTIN: 21AAECA5656R1ZB</t>
  </si>
  <si>
    <t>LUBE/004</t>
  </si>
  <si>
    <t>LUBE/005</t>
  </si>
  <si>
    <t>LUBE/008</t>
  </si>
  <si>
    <t>LUBE/009</t>
  </si>
  <si>
    <t>LUBE/010</t>
  </si>
  <si>
    <t>LUBE/011</t>
  </si>
  <si>
    <t>LUBE/019</t>
  </si>
  <si>
    <t>LUBE/020</t>
  </si>
  <si>
    <t>LUBE/023</t>
  </si>
  <si>
    <t>LUBE/024</t>
  </si>
  <si>
    <t>LUBE/029</t>
  </si>
  <si>
    <t>LUBE/033</t>
  </si>
  <si>
    <t>LUBE/034</t>
  </si>
  <si>
    <t>LUBE/035</t>
  </si>
  <si>
    <t>LUBE/036</t>
  </si>
  <si>
    <t>LUBE/037</t>
  </si>
  <si>
    <t>LUBE/038</t>
  </si>
  <si>
    <t>LUBE/039</t>
  </si>
  <si>
    <t>LUBE/040</t>
  </si>
  <si>
    <t>LUBE/041</t>
  </si>
  <si>
    <t>LUBE/042</t>
  </si>
  <si>
    <t>M/s Balaji Trading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</si>
  <si>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</si>
  <si>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</si>
  <si>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</si>
  <si>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</si>
  <si>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</si>
  <si>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</si>
  <si>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</si>
  <si>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</si>
  <si>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</si>
  <si>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</si>
  <si>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</si>
  <si>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CG04NX4888</t>
  </si>
  <si>
    <t>CG04PA3452</t>
  </si>
  <si>
    <t>MS234</t>
  </si>
  <si>
    <t>O326254029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</si>
  <si>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</si>
  <si>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</si>
  <si>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</si>
  <si>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</si>
  <si>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</si>
  <si>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</si>
  <si>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</si>
  <si>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</si>
  <si>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</si>
  <si>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MS235</t>
  </si>
  <si>
    <t>MS236</t>
  </si>
  <si>
    <t>Reatil Outstanding Balances</t>
  </si>
  <si>
    <t>1248</t>
  </si>
  <si>
    <t>1249</t>
  </si>
  <si>
    <t>1250</t>
  </si>
  <si>
    <t>1251</t>
  </si>
  <si>
    <t>1252</t>
  </si>
  <si>
    <t>1253</t>
  </si>
  <si>
    <t>1254</t>
  </si>
  <si>
    <t>OD23N7688</t>
  </si>
  <si>
    <t>JH10BU4866</t>
  </si>
  <si>
    <t>MS237</t>
  </si>
  <si>
    <t>JAR 500 x 8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</si>
  <si>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</si>
  <si>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</si>
  <si>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</si>
  <si>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</si>
  <si>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</si>
  <si>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</si>
  <si>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</si>
  <si>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</si>
  <si>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</si>
  <si>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</si>
  <si>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</si>
  <si>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</si>
  <si>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</si>
  <si>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</si>
  <si>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</si>
  <si>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</si>
  <si>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Pine Labs Nodal Account</t>
  </si>
  <si>
    <t>MS238</t>
  </si>
  <si>
    <t>MS239</t>
  </si>
  <si>
    <t>MS240</t>
  </si>
  <si>
    <t>MS241</t>
  </si>
  <si>
    <t>MS242</t>
  </si>
  <si>
    <t>Pine Labs</t>
  </si>
  <si>
    <t>Indiabuild Infra</t>
  </si>
  <si>
    <t>P726Y-00427</t>
  </si>
  <si>
    <t>O326254646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</si>
  <si>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</si>
  <si>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</si>
  <si>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</si>
  <si>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</si>
  <si>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</si>
  <si>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</si>
  <si>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</si>
  <si>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</si>
  <si>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</si>
  <si>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</si>
  <si>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</si>
  <si>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</si>
  <si>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</si>
  <si>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</si>
  <si>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</si>
  <si>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</si>
  <si>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</si>
  <si>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</si>
  <si>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</si>
  <si>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</si>
  <si>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</si>
  <si>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CG04MR0818</t>
  </si>
  <si>
    <t>MS243</t>
  </si>
  <si>
    <t>MS244</t>
  </si>
  <si>
    <t>MS245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</si>
  <si>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</si>
  <si>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</si>
  <si>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</si>
  <si>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</si>
  <si>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</si>
  <si>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</si>
  <si>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</si>
  <si>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</si>
  <si>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</si>
  <si>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</si>
  <si>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</si>
  <si>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</si>
  <si>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</si>
  <si>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</si>
  <si>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</si>
  <si>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</si>
  <si>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</si>
  <si>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</si>
  <si>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</si>
  <si>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</si>
  <si>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</si>
  <si>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OD16M2067</t>
  </si>
  <si>
    <t>OD16M2047</t>
  </si>
  <si>
    <t>OD16M2030</t>
  </si>
  <si>
    <t>OD16M2004</t>
  </si>
  <si>
    <t>OD16M2080</t>
  </si>
  <si>
    <t>OD16M0981</t>
  </si>
  <si>
    <t>OD16K3450</t>
  </si>
  <si>
    <t>OD16M2073</t>
  </si>
  <si>
    <t>OD16M2001</t>
  </si>
  <si>
    <t>OD16M0914</t>
  </si>
  <si>
    <t>MS246</t>
  </si>
  <si>
    <t>MS247</t>
  </si>
  <si>
    <t>2110033979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</si>
  <si>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</si>
  <si>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</si>
  <si>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</si>
  <si>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</si>
  <si>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</si>
  <si>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</si>
  <si>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</si>
  <si>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</si>
  <si>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</si>
  <si>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</si>
  <si>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</si>
  <si>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</si>
  <si>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</si>
  <si>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</si>
  <si>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OD23B4525</t>
  </si>
  <si>
    <t>OD23A7841</t>
  </si>
  <si>
    <t>OD23Q4004</t>
  </si>
  <si>
    <t>EzyPay UPI ICICI</t>
  </si>
  <si>
    <t>MS248</t>
  </si>
  <si>
    <t>MS249</t>
  </si>
  <si>
    <t>MS250</t>
  </si>
  <si>
    <t>MS251</t>
  </si>
  <si>
    <t>MS252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</si>
  <si>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</si>
  <si>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</si>
  <si>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</si>
  <si>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</si>
  <si>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</si>
  <si>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</si>
  <si>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</si>
  <si>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</si>
  <si>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</si>
  <si>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</si>
  <si>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</si>
  <si>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</si>
  <si>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</si>
  <si>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</si>
  <si>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</si>
  <si>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</si>
  <si>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</si>
  <si>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</si>
  <si>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</si>
  <si>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</si>
  <si>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</si>
  <si>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</si>
  <si>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</si>
  <si>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</si>
  <si>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</si>
  <si>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</si>
  <si>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</si>
  <si>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</si>
  <si>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</si>
  <si>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</si>
  <si>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</si>
  <si>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OD23A9137</t>
  </si>
  <si>
    <t>OD23B4526</t>
  </si>
  <si>
    <t>OD23A7844</t>
  </si>
  <si>
    <t>OD16D7078</t>
  </si>
  <si>
    <t>OD16D6574</t>
  </si>
  <si>
    <t>OD16D7074</t>
  </si>
  <si>
    <t>OD16D9822</t>
  </si>
  <si>
    <t>OD15U2213</t>
  </si>
  <si>
    <t>OD16D7168</t>
  </si>
  <si>
    <t>OD16D2068</t>
  </si>
  <si>
    <t>1107EX</t>
  </si>
  <si>
    <t>CG04JD2354</t>
  </si>
  <si>
    <t>MS253</t>
  </si>
  <si>
    <t>MS254</t>
  </si>
  <si>
    <t>MS255</t>
  </si>
  <si>
    <t>MS256</t>
  </si>
  <si>
    <t>Product (HSD/MS/XG) →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</si>
  <si>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</si>
  <si>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</si>
  <si>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</si>
  <si>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</si>
  <si>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</si>
  <si>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</si>
  <si>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</si>
  <si>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</si>
  <si>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</si>
  <si>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</si>
  <si>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</si>
  <si>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</si>
  <si>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</si>
  <si>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</si>
  <si>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</si>
  <si>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</si>
  <si>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</si>
  <si>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</si>
  <si>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</si>
  <si>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</si>
  <si>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</si>
  <si>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</si>
  <si>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</si>
  <si>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</si>
  <si>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</si>
  <si>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</si>
  <si>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</si>
  <si>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</si>
  <si>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</si>
  <si>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</si>
  <si>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</si>
  <si>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</si>
  <si>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</si>
  <si>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</si>
  <si>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</si>
  <si>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OD15R1110</t>
  </si>
  <si>
    <t>OD16K5536</t>
  </si>
  <si>
    <t>OD16K1356</t>
  </si>
  <si>
    <t>OD16D7103</t>
  </si>
  <si>
    <t>OD16P5168</t>
  </si>
  <si>
    <t>OD16N0968</t>
  </si>
  <si>
    <t>MS257</t>
  </si>
  <si>
    <t>MS258</t>
  </si>
  <si>
    <t>MS259</t>
  </si>
  <si>
    <t>MS260</t>
  </si>
  <si>
    <t xml:space="preserve">Ember Coal Beneficiation PVT LTD                                                                                                 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</si>
  <si>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</si>
  <si>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</si>
  <si>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</si>
  <si>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</si>
  <si>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</si>
  <si>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</si>
  <si>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</si>
  <si>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</si>
  <si>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</si>
  <si>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</si>
  <si>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</si>
  <si>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</si>
  <si>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</si>
  <si>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</si>
  <si>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</si>
  <si>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MS261</t>
  </si>
  <si>
    <t>MS262</t>
  </si>
  <si>
    <t>MS263</t>
  </si>
  <si>
    <t>MS264</t>
  </si>
  <si>
    <t>MS265</t>
  </si>
  <si>
    <t>Keshav Minerals</t>
  </si>
  <si>
    <t>GSTIN:21AAJFK7671C1ZI</t>
  </si>
  <si>
    <t>Rourkela.</t>
  </si>
  <si>
    <t>Unit</t>
  </si>
  <si>
    <t>UNIT 1</t>
  </si>
  <si>
    <t>UNIT 2</t>
  </si>
  <si>
    <t>Untagged + Opening</t>
  </si>
  <si>
    <t>Summary by Unit</t>
  </si>
  <si>
    <t>Opening Balance</t>
  </si>
  <si>
    <t>4500211335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</si>
  <si>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</si>
  <si>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</si>
  <si>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</si>
  <si>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</si>
  <si>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</si>
  <si>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</si>
  <si>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</si>
  <si>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</si>
  <si>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</si>
  <si>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</si>
  <si>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</si>
  <si>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</si>
  <si>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</si>
  <si>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</si>
  <si>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</si>
  <si>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</si>
  <si>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</si>
  <si>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</si>
  <si>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</si>
  <si>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</si>
  <si>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</si>
  <si>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</si>
  <si>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OD23H7806</t>
  </si>
  <si>
    <t>OD16K7176</t>
  </si>
  <si>
    <t>MP66ZB9863</t>
  </si>
  <si>
    <t>OD15W0096</t>
  </si>
  <si>
    <t>OD15W1196</t>
  </si>
  <si>
    <t>OD15W2296</t>
  </si>
  <si>
    <t>OD15W3396</t>
  </si>
  <si>
    <t>OD15W4496</t>
  </si>
  <si>
    <t>OD15W5596</t>
  </si>
  <si>
    <t>Bhatia Energy and Minerals (Sundargarh) Private Limited</t>
  </si>
  <si>
    <t>Shree Jhadeswar Associates</t>
  </si>
  <si>
    <t>MS266</t>
  </si>
  <si>
    <t>MS267</t>
  </si>
  <si>
    <t>MS268</t>
  </si>
  <si>
    <t>MS269</t>
  </si>
  <si>
    <t>MS270</t>
  </si>
  <si>
    <t>MS271</t>
  </si>
  <si>
    <t>MS272</t>
  </si>
  <si>
    <t>OD23H1350</t>
  </si>
  <si>
    <t>Bhatia Energy</t>
  </si>
  <si>
    <t>Bhatia Energy and Minerals</t>
  </si>
  <si>
    <t>GSTIN: 21AAICB3285D2Z1</t>
  </si>
  <si>
    <t>1430</t>
  </si>
  <si>
    <t>1431</t>
  </si>
  <si>
    <t>1432</t>
  </si>
  <si>
    <t>4500211470</t>
  </si>
  <si>
    <t>O326255619</t>
  </si>
  <si>
    <t>UNIT 1 LEDGER — SMC (auto from main ledger)</t>
  </si>
  <si>
    <t>Unit:</t>
  </si>
  <si>
    <t>UNIT 2 LEDGER — SMC (auto from main ledger)</t>
  </si>
  <si>
    <t>PO TRACKER — UNIT 1 (Diesel)</t>
  </si>
  <si>
    <t>Enter PO No. &amp; Allotted — Used/Balance/Status auto</t>
  </si>
  <si>
    <t>PO TRACKER — UNIT 2 (Diesel)</t>
  </si>
  <si>
    <t>PENDING PO LISTS — feeds Tanker Master dropdowns (auto)</t>
  </si>
  <si>
    <t>PENDING PO LIST — feeds Tanker Master dropdown (auto)</t>
  </si>
  <si>
    <t>Pending POs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</si>
  <si>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</si>
  <si>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</si>
  <si>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</si>
  <si>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</si>
  <si>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</si>
  <si>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</si>
  <si>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</si>
  <si>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</si>
  <si>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</si>
  <si>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MS273</t>
  </si>
  <si>
    <t>MS274</t>
  </si>
  <si>
    <t>MS275</t>
  </si>
  <si>
    <t>MS276</t>
  </si>
  <si>
    <t>MS277</t>
  </si>
  <si>
    <t>MS278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</si>
  <si>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</si>
  <si>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</si>
  <si>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</si>
  <si>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</si>
  <si>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</si>
  <si>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</si>
  <si>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</si>
  <si>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</si>
  <si>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</si>
  <si>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</si>
  <si>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OD01D1165</t>
  </si>
  <si>
    <t>RJ02BG4856</t>
  </si>
  <si>
    <t>New Tractor</t>
  </si>
  <si>
    <t>15 Ltr Short Munna</t>
  </si>
  <si>
    <t>O326255760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</si>
  <si>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</si>
  <si>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</si>
  <si>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</si>
  <si>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</si>
  <si>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</si>
  <si>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</si>
  <si>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</si>
  <si>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</si>
  <si>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</si>
  <si>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</si>
  <si>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</si>
  <si>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</si>
  <si>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</si>
  <si>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</si>
  <si>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</si>
  <si>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</si>
  <si>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</si>
  <si>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</si>
  <si>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OD16L8468</t>
  </si>
  <si>
    <t>CG04JD2351</t>
  </si>
  <si>
    <t>MS279</t>
  </si>
  <si>
    <t>MS280</t>
  </si>
  <si>
    <t>MS281</t>
  </si>
  <si>
    <t>MS282</t>
  </si>
  <si>
    <t>MS283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</si>
  <si>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</si>
  <si>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</si>
  <si>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</si>
  <si>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</si>
  <si>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</si>
  <si>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</si>
  <si>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</si>
  <si>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</si>
  <si>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</si>
  <si>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</si>
  <si>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</si>
  <si>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</si>
  <si>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</si>
  <si>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</si>
  <si>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</si>
  <si>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</si>
  <si>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</si>
  <si>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</si>
  <si>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</si>
  <si>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</si>
  <si>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MS284</t>
  </si>
  <si>
    <t>MS285</t>
  </si>
  <si>
    <t>MS286</t>
  </si>
  <si>
    <t>XG5</t>
  </si>
  <si>
    <t>Tanker Billing</t>
  </si>
  <si>
    <t>O326242041</t>
  </si>
  <si>
    <t>O326243798</t>
  </si>
  <si>
    <t>O326244191</t>
  </si>
  <si>
    <t>O326247743</t>
  </si>
  <si>
    <t>O326248270</t>
  </si>
  <si>
    <t>O326248753</t>
  </si>
  <si>
    <t>O326248904</t>
  </si>
  <si>
    <t>O326249295</t>
  </si>
  <si>
    <t>O326249697</t>
  </si>
  <si>
    <t>O326249998</t>
  </si>
  <si>
    <t>O326250161</t>
  </si>
  <si>
    <t>1490</t>
  </si>
  <si>
    <t>1491</t>
  </si>
  <si>
    <t>1492</t>
  </si>
  <si>
    <t>1493</t>
  </si>
  <si>
    <t>1494</t>
  </si>
  <si>
    <t>1495</t>
  </si>
  <si>
    <t>1496</t>
  </si>
  <si>
    <t>OD15Z8874</t>
  </si>
  <si>
    <t>1497</t>
  </si>
  <si>
    <t>OD19G9977</t>
  </si>
  <si>
    <t>1498</t>
  </si>
  <si>
    <t>1499</t>
  </si>
  <si>
    <t>1500</t>
  </si>
  <si>
    <t>1501</t>
  </si>
  <si>
    <t>1502</t>
  </si>
  <si>
    <t>MS287</t>
  </si>
  <si>
    <t>MS288</t>
  </si>
  <si>
    <t>MS289</t>
  </si>
  <si>
    <t>MS290</t>
  </si>
  <si>
    <t>MS291</t>
  </si>
  <si>
    <t>OD23 2995</t>
  </si>
  <si>
    <t>Enter each PO No. below with its allotted litres at left — new diesel bills auto-fetch the first pending PO with enough balance into column K.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</si>
  <si>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</si>
  <si>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</si>
  <si>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</si>
  <si>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</si>
  <si>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</si>
  <si>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</si>
  <si>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</si>
  <si>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</si>
  <si>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</si>
  <si>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</si>
  <si>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</si>
  <si>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</si>
  <si>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</si>
  <si>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</si>
  <si>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</si>
  <si>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</si>
  <si>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</si>
  <si>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</si>
  <si>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MS292</t>
  </si>
  <si>
    <t>MS293</t>
  </si>
  <si>
    <t>MS294</t>
  </si>
  <si>
    <t>MS295</t>
  </si>
  <si>
    <t>XG6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</si>
  <si>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</si>
  <si>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</si>
  <si>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</si>
  <si>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</si>
  <si>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</si>
  <si>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</si>
  <si>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</si>
  <si>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</si>
  <si>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</si>
  <si>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</si>
  <si>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</si>
  <si>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OD15X3169</t>
  </si>
  <si>
    <t>1532</t>
  </si>
  <si>
    <t>1533</t>
  </si>
  <si>
    <t>1534</t>
  </si>
  <si>
    <t>OD16L4174</t>
  </si>
  <si>
    <t>1535</t>
  </si>
  <si>
    <t>1536</t>
  </si>
  <si>
    <t>OD16L4157</t>
  </si>
  <si>
    <t>1537</t>
  </si>
  <si>
    <t>1538</t>
  </si>
  <si>
    <t>1539</t>
  </si>
  <si>
    <t>1540</t>
  </si>
  <si>
    <t>1541</t>
  </si>
  <si>
    <t>MS296</t>
  </si>
  <si>
    <t>MS297</t>
  </si>
  <si>
    <t>MS298</t>
  </si>
  <si>
    <t>MS299</t>
  </si>
  <si>
    <t>MS300</t>
  </si>
  <si>
    <t>MS301</t>
  </si>
  <si>
    <t>MS302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</si>
  <si>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</si>
  <si>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</si>
  <si>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</si>
  <si>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</si>
  <si>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</si>
  <si>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</si>
  <si>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</si>
  <si>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</si>
  <si>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</si>
  <si>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</si>
  <si>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</si>
  <si>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</si>
  <si>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OD23T3010</t>
  </si>
  <si>
    <t>1554</t>
  </si>
  <si>
    <t>OD23T4010</t>
  </si>
  <si>
    <t>1555</t>
  </si>
  <si>
    <t>1556</t>
  </si>
  <si>
    <t>1557</t>
  </si>
  <si>
    <t>OD16L8450</t>
  </si>
  <si>
    <t>1558</t>
  </si>
  <si>
    <t>OD16L8479</t>
  </si>
  <si>
    <t>1559</t>
  </si>
  <si>
    <t>1560</t>
  </si>
  <si>
    <t>1561</t>
  </si>
  <si>
    <t>MS303</t>
  </si>
  <si>
    <t>MS304</t>
  </si>
  <si>
    <t>MS305</t>
  </si>
  <si>
    <t>O326256319</t>
  </si>
  <si>
    <t>1562</t>
  </si>
  <si>
    <t>1563</t>
  </si>
  <si>
    <t>OD16L4114</t>
  </si>
  <si>
    <t>1564</t>
  </si>
  <si>
    <t>1565</t>
  </si>
  <si>
    <t>OD16L4319</t>
  </si>
  <si>
    <t>1566</t>
  </si>
  <si>
    <t>1567</t>
  </si>
  <si>
    <t>OD15Z7834</t>
  </si>
  <si>
    <t>1568</t>
  </si>
  <si>
    <t>1569</t>
  </si>
  <si>
    <t>1570</t>
  </si>
  <si>
    <t>1571</t>
  </si>
  <si>
    <t>1572</t>
  </si>
  <si>
    <t>1573</t>
  </si>
  <si>
    <t>1574</t>
  </si>
  <si>
    <t>1575</t>
  </si>
  <si>
    <t>MS306</t>
  </si>
  <si>
    <t>MS307</t>
  </si>
  <si>
    <t>1576</t>
  </si>
  <si>
    <t>1577</t>
  </si>
  <si>
    <t>1578</t>
  </si>
  <si>
    <t>OD23T2110</t>
  </si>
  <si>
    <t>1579</t>
  </si>
  <si>
    <t>1580</t>
  </si>
  <si>
    <t>TRACTOR</t>
  </si>
  <si>
    <t>1581</t>
  </si>
  <si>
    <t>ROLLER</t>
  </si>
  <si>
    <t>1582</t>
  </si>
  <si>
    <t>1583</t>
  </si>
  <si>
    <t>1584</t>
  </si>
  <si>
    <t>1585</t>
  </si>
  <si>
    <t>1586</t>
  </si>
  <si>
    <t>1587</t>
  </si>
  <si>
    <t>1588</t>
  </si>
  <si>
    <t>1589</t>
  </si>
  <si>
    <t>OD16M0974</t>
  </si>
  <si>
    <t>1590</t>
  </si>
  <si>
    <t>1591</t>
  </si>
  <si>
    <t>OD14AG8510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</si>
  <si>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</si>
  <si>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</si>
  <si>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</si>
  <si>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</si>
  <si>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</si>
  <si>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</si>
  <si>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</si>
  <si>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</si>
  <si>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</si>
  <si>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</si>
  <si>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MS308</t>
  </si>
  <si>
    <t>MS309</t>
  </si>
  <si>
    <t>MS310</t>
  </si>
  <si>
    <t>MS311</t>
  </si>
  <si>
    <t>MS312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</si>
  <si>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</si>
  <si>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</si>
  <si>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</si>
  <si>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</si>
  <si>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</si>
  <si>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</si>
  <si>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</si>
  <si>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</si>
  <si>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</si>
  <si>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</si>
  <si>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</si>
  <si>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</si>
  <si>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</si>
  <si>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</si>
  <si>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</si>
  <si>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OD16M2019</t>
  </si>
  <si>
    <t>1617</t>
  </si>
  <si>
    <t>1618</t>
  </si>
  <si>
    <t>MS313</t>
  </si>
  <si>
    <t>MS314</t>
  </si>
  <si>
    <t>MS315</t>
  </si>
  <si>
    <t>1619</t>
  </si>
  <si>
    <t>1620</t>
  </si>
  <si>
    <t>1621</t>
  </si>
  <si>
    <t>1622</t>
  </si>
  <si>
    <t>1623</t>
  </si>
  <si>
    <t>RJ02GB6172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</si>
  <si>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</si>
  <si>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</si>
  <si>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</si>
  <si>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</si>
  <si>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</si>
  <si>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</si>
  <si>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</si>
  <si>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</si>
  <si>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</si>
  <si>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</si>
  <si>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</si>
  <si>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</si>
  <si>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</si>
  <si>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</si>
  <si>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</si>
  <si>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</si>
  <si>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MS316</t>
  </si>
  <si>
    <t>MS317</t>
  </si>
  <si>
    <t>MS318</t>
  </si>
  <si>
    <t>MS319</t>
  </si>
  <si>
    <t>15 Ltr Short Mishra</t>
  </si>
  <si>
    <t>1641</t>
  </si>
  <si>
    <t>1642</t>
  </si>
  <si>
    <t>1643</t>
  </si>
  <si>
    <t>1644</t>
  </si>
  <si>
    <t>1645</t>
  </si>
  <si>
    <t>1646</t>
  </si>
  <si>
    <t>OD23T7010</t>
  </si>
  <si>
    <t>1647</t>
  </si>
  <si>
    <t>1648</t>
  </si>
  <si>
    <t>1649</t>
  </si>
  <si>
    <t>1650</t>
  </si>
  <si>
    <t>1651</t>
  </si>
  <si>
    <t>OD16L8463</t>
  </si>
  <si>
    <t>1652</t>
  </si>
  <si>
    <t>1653</t>
  </si>
  <si>
    <t>1654</t>
  </si>
  <si>
    <t>1655</t>
  </si>
  <si>
    <t>1656</t>
  </si>
  <si>
    <t>1657</t>
  </si>
  <si>
    <t>1658</t>
  </si>
  <si>
    <t>MS320</t>
  </si>
  <si>
    <t>MS321</t>
  </si>
  <si>
    <t>4500212666</t>
  </si>
  <si>
    <t>4500212664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</si>
  <si>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</si>
  <si>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</si>
  <si>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</si>
  <si>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</si>
  <si>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</si>
  <si>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</si>
  <si>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</si>
  <si>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</si>
  <si>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</si>
  <si>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</si>
  <si>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</si>
  <si>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</si>
  <si>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</si>
  <si>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</si>
  <si>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</si>
  <si>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</si>
  <si>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MS322</t>
  </si>
  <si>
    <t>MS323</t>
  </si>
  <si>
    <t>MS324</t>
  </si>
  <si>
    <t>OD23U9014</t>
  </si>
  <si>
    <t>MS325</t>
  </si>
  <si>
    <t>MS326</t>
  </si>
  <si>
    <t>XG7</t>
  </si>
  <si>
    <t>1675</t>
  </si>
  <si>
    <t>15000 HDFC + 35000 Cash</t>
  </si>
  <si>
    <t>1676</t>
  </si>
  <si>
    <t>1677</t>
  </si>
  <si>
    <t>1678</t>
  </si>
  <si>
    <t>1679</t>
  </si>
  <si>
    <t>1680</t>
  </si>
  <si>
    <t>1681</t>
  </si>
  <si>
    <t>1682</t>
  </si>
  <si>
    <t>1683</t>
  </si>
  <si>
    <t>OD23S0027</t>
  </si>
  <si>
    <t>1684</t>
  </si>
  <si>
    <t>1685</t>
  </si>
  <si>
    <t>1686</t>
  </si>
  <si>
    <t>1687</t>
  </si>
  <si>
    <t>1688</t>
  </si>
  <si>
    <t>1689</t>
  </si>
  <si>
    <t>1690</t>
  </si>
  <si>
    <t>RJ02GB9087</t>
  </si>
  <si>
    <t>1691</t>
  </si>
  <si>
    <t>1692</t>
  </si>
  <si>
    <t>1693</t>
  </si>
  <si>
    <t>OD16L4181</t>
  </si>
  <si>
    <t>1694</t>
  </si>
  <si>
    <t>OD16L4103</t>
  </si>
  <si>
    <t>1695</t>
  </si>
  <si>
    <t>1696</t>
  </si>
  <si>
    <t>MS327</t>
  </si>
  <si>
    <t>MS328</t>
  </si>
  <si>
    <t>MS329</t>
  </si>
  <si>
    <t>MS330</t>
  </si>
  <si>
    <t>O326257337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</si>
  <si>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</si>
  <si>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</si>
  <si>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</si>
  <si>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</si>
  <si>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</si>
  <si>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</si>
  <si>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</si>
  <si>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</si>
  <si>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</si>
  <si>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</si>
  <si>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</si>
  <si>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JH10DJ8003</t>
  </si>
  <si>
    <t>1708</t>
  </si>
  <si>
    <t>OD23T9010</t>
  </si>
  <si>
    <t>1709</t>
  </si>
  <si>
    <t>OD23T6010</t>
  </si>
  <si>
    <t>1710</t>
  </si>
  <si>
    <t>1711</t>
  </si>
  <si>
    <t>1712</t>
  </si>
  <si>
    <t>1713</t>
  </si>
  <si>
    <t>OD16L4190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</si>
  <si>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</si>
  <si>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</si>
  <si>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</si>
  <si>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</si>
  <si>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</si>
  <si>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</si>
  <si>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</si>
  <si>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</si>
  <si>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</si>
  <si>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MS331</t>
  </si>
  <si>
    <t>MS332</t>
  </si>
  <si>
    <t>MS333</t>
  </si>
  <si>
    <t>MS334</t>
  </si>
  <si>
    <t>MS335</t>
  </si>
  <si>
    <t>50 Ltr Short Mishra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</si>
  <si>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</si>
  <si>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</si>
  <si>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</si>
  <si>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</si>
  <si>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</si>
  <si>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</si>
  <si>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</si>
  <si>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</si>
  <si>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</si>
  <si>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</si>
  <si>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OD23Q0466</t>
  </si>
  <si>
    <t>1733</t>
  </si>
  <si>
    <t>1734</t>
  </si>
  <si>
    <t>1735</t>
  </si>
  <si>
    <t>1736</t>
  </si>
  <si>
    <t>1737</t>
  </si>
  <si>
    <t>1738</t>
  </si>
  <si>
    <t>1739</t>
  </si>
  <si>
    <t>1740</t>
  </si>
  <si>
    <t>MS336</t>
  </si>
  <si>
    <t>MS337</t>
  </si>
  <si>
    <t>MS338</t>
  </si>
  <si>
    <t>JH10DF2111</t>
  </si>
  <si>
    <t>MS339</t>
  </si>
  <si>
    <t>MS340</t>
  </si>
  <si>
    <t>1741</t>
  </si>
  <si>
    <t>1742</t>
  </si>
  <si>
    <t>1743</t>
  </si>
  <si>
    <t>1744</t>
  </si>
  <si>
    <t>1745</t>
  </si>
  <si>
    <t>1746</t>
  </si>
  <si>
    <t>1747</t>
  </si>
  <si>
    <t>A.K.V. Logistics</t>
  </si>
  <si>
    <t>1748</t>
  </si>
  <si>
    <t>1749</t>
  </si>
  <si>
    <t>1750</t>
  </si>
  <si>
    <t>1751</t>
  </si>
  <si>
    <t>1752</t>
  </si>
  <si>
    <t>JH10TF2111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</si>
  <si>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</si>
  <si>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</si>
  <si>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</si>
  <si>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</si>
  <si>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</si>
  <si>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</si>
  <si>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</si>
  <si>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</si>
  <si>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</si>
  <si>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</si>
  <si>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</si>
  <si>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OD16L4151</t>
  </si>
  <si>
    <t>1764</t>
  </si>
  <si>
    <t>1765</t>
  </si>
  <si>
    <t>1766</t>
  </si>
  <si>
    <t>MS341</t>
  </si>
  <si>
    <t>MS342</t>
  </si>
  <si>
    <t>MS343</t>
  </si>
  <si>
    <t>MS344</t>
  </si>
  <si>
    <t>GSTIN: 09ABFFA8986K1ZN</t>
  </si>
  <si>
    <t>AKV Logistics</t>
  </si>
  <si>
    <t>50000 UPI + 50000 HDFC 1010</t>
  </si>
  <si>
    <t>1767</t>
  </si>
  <si>
    <t>1768</t>
  </si>
  <si>
    <t>1769</t>
  </si>
  <si>
    <t>1770</t>
  </si>
  <si>
    <t>OD23M0874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</si>
  <si>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</si>
  <si>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</si>
  <si>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</si>
  <si>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</si>
  <si>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</si>
  <si>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</si>
  <si>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</si>
  <si>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</si>
  <si>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</si>
  <si>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</si>
  <si>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</si>
  <si>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</si>
  <si>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</si>
  <si>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</si>
  <si>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MS345</t>
  </si>
  <si>
    <t>CG13AV0698</t>
  </si>
  <si>
    <t>MS346</t>
  </si>
  <si>
    <t>MS347</t>
  </si>
  <si>
    <t>MS348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</si>
  <si>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</si>
  <si>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</si>
  <si>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</si>
  <si>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</si>
  <si>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</si>
  <si>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</si>
  <si>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</si>
  <si>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</si>
  <si>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</si>
  <si>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</si>
  <si>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</si>
  <si>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</si>
  <si>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MS349</t>
  </si>
  <si>
    <t>MS350</t>
  </si>
  <si>
    <t>MS351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</si>
  <si>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</si>
  <si>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</si>
  <si>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</si>
  <si>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</si>
  <si>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</si>
  <si>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</si>
  <si>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</si>
  <si>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</si>
  <si>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</si>
  <si>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</si>
  <si>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</si>
  <si>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MS352</t>
  </si>
  <si>
    <t>MS353</t>
  </si>
  <si>
    <t>MS354</t>
  </si>
  <si>
    <t>MS355</t>
  </si>
  <si>
    <t>30000 UPI + 30000 HDFC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</si>
  <si>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</si>
  <si>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</si>
  <si>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</si>
  <si>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</si>
  <si>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</si>
  <si>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</si>
  <si>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</si>
  <si>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</si>
  <si>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</si>
  <si>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</si>
  <si>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</si>
  <si>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</si>
  <si>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</si>
  <si>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</si>
  <si>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</si>
  <si>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</si>
  <si>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</si>
  <si>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</si>
  <si>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</si>
  <si>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</si>
  <si>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</si>
  <si>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</si>
  <si>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</si>
  <si>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</si>
  <si>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</si>
  <si>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</si>
  <si>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</si>
  <si>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</si>
  <si>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</si>
  <si>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MS356</t>
  </si>
  <si>
    <t>MS357</t>
  </si>
  <si>
    <t>MS358</t>
  </si>
  <si>
    <t>O326258326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</si>
  <si>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</si>
  <si>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</si>
  <si>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</si>
  <si>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</si>
  <si>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</si>
  <si>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</si>
  <si>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</si>
  <si>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</si>
  <si>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</si>
  <si>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</si>
  <si>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</si>
  <si>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</si>
  <si>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</si>
  <si>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</si>
  <si>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</si>
  <si>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</si>
  <si>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</si>
  <si>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</si>
  <si>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</si>
  <si>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</si>
  <si>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</si>
  <si>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</si>
  <si>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</si>
  <si>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</si>
  <si>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</si>
  <si>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</si>
  <si>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</si>
  <si>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MS359</t>
  </si>
  <si>
    <t>MS360</t>
  </si>
  <si>
    <t>MS361</t>
  </si>
  <si>
    <t>MS362</t>
  </si>
  <si>
    <t>MS363</t>
  </si>
  <si>
    <t>OD23S5251</t>
  </si>
  <si>
    <t>Xtrapower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</si>
  <si>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</si>
  <si>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</si>
  <si>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</si>
  <si>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</si>
  <si>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</si>
  <si>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</si>
  <si>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</si>
  <si>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</si>
  <si>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</si>
  <si>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</si>
  <si>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</si>
  <si>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</si>
  <si>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</si>
  <si>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OD15Y1327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</si>
  <si>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</si>
  <si>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</si>
  <si>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</si>
  <si>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</si>
  <si>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</si>
  <si>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</si>
  <si>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</si>
  <si>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</si>
  <si>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</si>
  <si>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</si>
  <si>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</si>
  <si>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MS364</t>
  </si>
  <si>
    <t>MS365</t>
  </si>
  <si>
    <t>MS366</t>
  </si>
  <si>
    <t>MS367</t>
  </si>
  <si>
    <t>MS368</t>
  </si>
  <si>
    <t>MS369</t>
  </si>
  <si>
    <t>MS370</t>
  </si>
  <si>
    <t>JAR 500 x 4</t>
  </si>
  <si>
    <t>1888</t>
  </si>
  <si>
    <t>Invoice Details: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</si>
  <si>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</si>
  <si>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</si>
  <si>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</si>
  <si>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</si>
  <si>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</si>
  <si>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</si>
  <si>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</si>
  <si>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</si>
  <si>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</si>
  <si>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</si>
  <si>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</si>
  <si>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</si>
  <si>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</si>
  <si>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</si>
  <si>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</si>
  <si>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</si>
  <si>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</si>
  <si>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</si>
  <si>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</si>
  <si>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</si>
  <si>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</si>
  <si>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</si>
  <si>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</si>
  <si>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MS371</t>
  </si>
  <si>
    <t>MS372</t>
  </si>
  <si>
    <t>MS373</t>
  </si>
  <si>
    <t>MS374</t>
  </si>
  <si>
    <t>MS375</t>
  </si>
  <si>
    <t>MS376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</si>
  <si>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</si>
  <si>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</si>
  <si>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</si>
  <si>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</si>
  <si>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</si>
  <si>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</si>
  <si>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</si>
  <si>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</si>
  <si>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</si>
  <si>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</si>
  <si>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</si>
  <si>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</si>
  <si>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</si>
  <si>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</si>
  <si>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</si>
  <si>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</si>
  <si>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</si>
  <si>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</si>
  <si>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</si>
  <si>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</si>
  <si>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</si>
  <si>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</si>
  <si>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</si>
  <si>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</si>
  <si>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</si>
  <si>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</si>
  <si>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</si>
  <si>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MS377</t>
  </si>
  <si>
    <t>MS378</t>
  </si>
  <si>
    <t>MS379</t>
  </si>
  <si>
    <t>MS380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</si>
  <si>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</si>
  <si>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</si>
  <si>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</si>
  <si>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</si>
  <si>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</si>
  <si>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</si>
  <si>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</si>
  <si>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</si>
  <si>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</si>
  <si>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</si>
  <si>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</si>
  <si>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</si>
  <si>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</si>
  <si>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</si>
  <si>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MS381</t>
  </si>
  <si>
    <t>MS382</t>
  </si>
  <si>
    <t>MS383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</si>
  <si>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</si>
  <si>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</si>
  <si>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</si>
  <si>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</si>
  <si>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</si>
  <si>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</si>
  <si>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</si>
  <si>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</si>
  <si>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</si>
  <si>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</si>
  <si>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</si>
  <si>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</si>
  <si>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</si>
  <si>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</si>
  <si>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</si>
  <si>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</si>
  <si>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</si>
  <si>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OD19AA4091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</si>
  <si>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</si>
  <si>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</si>
  <si>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</si>
  <si>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</si>
  <si>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</si>
  <si>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</si>
  <si>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</si>
  <si>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</si>
  <si>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</si>
  <si>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</si>
  <si>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</si>
  <si>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</si>
  <si>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</si>
  <si>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</si>
  <si>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</si>
  <si>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</si>
  <si>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</si>
  <si>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</si>
  <si>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</si>
  <si>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</si>
  <si>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MS384</t>
  </si>
  <si>
    <t>MS385</t>
  </si>
  <si>
    <t>MS386</t>
  </si>
  <si>
    <t>MS387</t>
  </si>
  <si>
    <t>O326259067</t>
  </si>
  <si>
    <t>1990</t>
  </si>
  <si>
    <t>1991</t>
  </si>
  <si>
    <t>1992</t>
  </si>
  <si>
    <t>1993</t>
  </si>
  <si>
    <t>1994</t>
  </si>
  <si>
    <t>1995</t>
  </si>
  <si>
    <t>1996</t>
  </si>
  <si>
    <t>Company-wise Outstanding — Date Matrix (Sum of Pending)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</si>
  <si>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</si>
  <si>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</si>
  <si>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</si>
  <si>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</si>
  <si>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</si>
  <si>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</si>
  <si>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</si>
  <si>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</si>
  <si>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</si>
  <si>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</si>
  <si>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</si>
  <si>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</si>
  <si>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</si>
  <si>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</si>
  <si>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</si>
  <si>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</si>
  <si>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</si>
  <si>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</si>
  <si>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</si>
  <si>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</si>
  <si>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</si>
  <si>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</si>
  <si>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</si>
  <si>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MS388</t>
  </si>
  <si>
    <t>MS389</t>
  </si>
  <si>
    <t>MS390</t>
  </si>
  <si>
    <t>MS391</t>
  </si>
  <si>
    <t>O326259113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</si>
  <si>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</si>
  <si>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</si>
  <si>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</si>
  <si>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</si>
  <si>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</si>
  <si>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</si>
  <si>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</si>
  <si>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</si>
  <si>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</si>
  <si>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</si>
  <si>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</si>
  <si>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JH10DE7228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</si>
  <si>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</si>
  <si>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</si>
  <si>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</si>
  <si>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</si>
  <si>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</si>
  <si>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</si>
  <si>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</si>
  <si>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</si>
  <si>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</si>
  <si>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</si>
  <si>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</si>
  <si>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</si>
  <si>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MS392</t>
  </si>
  <si>
    <t>MS393</t>
  </si>
  <si>
    <t>MS394</t>
  </si>
  <si>
    <t>MS395</t>
  </si>
  <si>
    <t>4500214810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</si>
  <si>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</si>
  <si>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</si>
  <si>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</si>
  <si>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</si>
  <si>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</si>
  <si>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</si>
  <si>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</si>
  <si>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</si>
  <si>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</si>
  <si>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</si>
  <si>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</si>
  <si>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</si>
  <si>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</si>
  <si>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</si>
  <si>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</si>
  <si>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</si>
  <si>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</si>
  <si>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OD16D6515</t>
  </si>
  <si>
    <t>2060</t>
  </si>
  <si>
    <t>OD16D7087</t>
  </si>
  <si>
    <t>2061</t>
  </si>
  <si>
    <t>OD16D7070</t>
  </si>
  <si>
    <t>2062</t>
  </si>
  <si>
    <t>OD16D9642</t>
  </si>
  <si>
    <t>2063</t>
  </si>
  <si>
    <t>2064</t>
  </si>
  <si>
    <t>OD16E9647</t>
  </si>
  <si>
    <t>MS396</t>
  </si>
  <si>
    <t>MS397</t>
  </si>
  <si>
    <t>MS398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</si>
  <si>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</si>
  <si>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</si>
  <si>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</si>
  <si>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</si>
  <si>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</si>
  <si>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</si>
  <si>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</si>
  <si>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</si>
  <si>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</si>
  <si>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RJ25GA7718</t>
  </si>
  <si>
    <t>2074</t>
  </si>
  <si>
    <t>RJ02GC6819</t>
  </si>
  <si>
    <t>2075</t>
  </si>
  <si>
    <t>2076</t>
  </si>
  <si>
    <t>2077</t>
  </si>
  <si>
    <t>2078</t>
  </si>
  <si>
    <t>OD16E9519</t>
  </si>
  <si>
    <t>2079</t>
  </si>
  <si>
    <t>2080</t>
  </si>
  <si>
    <t>2081</t>
  </si>
  <si>
    <t>2082</t>
  </si>
  <si>
    <t>MS399</t>
  </si>
  <si>
    <t>MS400</t>
  </si>
  <si>
    <t>MS401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</si>
  <si>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</si>
  <si>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</si>
  <si>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</si>
  <si>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</si>
  <si>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</si>
  <si>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</si>
  <si>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</si>
  <si>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</si>
  <si>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</si>
  <si>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</si>
  <si>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</si>
  <si>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OD16D7094</t>
  </si>
  <si>
    <t>2094</t>
  </si>
  <si>
    <t>2095</t>
  </si>
  <si>
    <t>2096</t>
  </si>
  <si>
    <t>2097</t>
  </si>
  <si>
    <t>OD16E9642</t>
  </si>
  <si>
    <t>2098</t>
  </si>
  <si>
    <t>2099</t>
  </si>
  <si>
    <t>2100</t>
  </si>
  <si>
    <t>MS402</t>
  </si>
  <si>
    <t>MS403</t>
  </si>
  <si>
    <t>MS404</t>
  </si>
  <si>
    <t>18Ltr Rajendra</t>
  </si>
  <si>
    <t>2101</t>
  </si>
  <si>
    <t>2102</t>
  </si>
  <si>
    <t>2103</t>
  </si>
  <si>
    <t>2104</t>
  </si>
  <si>
    <t>OD16D7082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</si>
  <si>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</si>
  <si>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</si>
  <si>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</si>
  <si>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</si>
  <si>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</si>
  <si>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</si>
  <si>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</si>
  <si>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</si>
  <si>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</si>
  <si>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</si>
  <si>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</si>
  <si>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</si>
  <si>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</si>
  <si>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</si>
  <si>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MS405</t>
  </si>
  <si>
    <t>OD23B2366</t>
  </si>
  <si>
    <t>MS406</t>
  </si>
  <si>
    <t>MS407</t>
  </si>
  <si>
    <t>4500215220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</si>
  <si>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</si>
  <si>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</si>
  <si>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</si>
  <si>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</si>
  <si>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</si>
  <si>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</si>
  <si>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</si>
  <si>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</si>
  <si>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</si>
  <si>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</si>
  <si>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</si>
  <si>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</si>
  <si>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</si>
  <si>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</si>
  <si>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</si>
  <si>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</si>
  <si>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</si>
  <si>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</si>
  <si>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</si>
  <si>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MS408</t>
  </si>
  <si>
    <t>MS409</t>
  </si>
  <si>
    <t>OD07D8443</t>
  </si>
  <si>
    <t>MS410</t>
  </si>
  <si>
    <t>MS411</t>
  </si>
  <si>
    <t>MS412</t>
  </si>
  <si>
    <t>MS413</t>
  </si>
  <si>
    <t>2138</t>
  </si>
  <si>
    <t>2139</t>
  </si>
  <si>
    <t>2140</t>
  </si>
  <si>
    <t>2141</t>
  </si>
  <si>
    <t>2142</t>
  </si>
  <si>
    <t>OD16D7069</t>
  </si>
  <si>
    <t>2143</t>
  </si>
  <si>
    <t>OD16D7089</t>
  </si>
  <si>
    <t>2144</t>
  </si>
  <si>
    <t>OD23U3745</t>
  </si>
  <si>
    <t>2145</t>
  </si>
  <si>
    <t>OD23U3774</t>
  </si>
  <si>
    <t>2146</t>
  </si>
  <si>
    <t>OD23N9951</t>
  </si>
  <si>
    <t>2147</t>
  </si>
  <si>
    <t>OD23V1271</t>
  </si>
  <si>
    <t>2148</t>
  </si>
  <si>
    <t>OD23V1299</t>
  </si>
  <si>
    <t>2149</t>
  </si>
  <si>
    <t>OD23V1268</t>
  </si>
  <si>
    <t>2150</t>
  </si>
  <si>
    <t>OD23N9947</t>
  </si>
  <si>
    <t>2151</t>
  </si>
  <si>
    <t>OD23C1900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</si>
  <si>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</si>
  <si>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</si>
  <si>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</si>
  <si>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</si>
  <si>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</si>
  <si>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</si>
  <si>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</si>
  <si>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</si>
  <si>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</si>
  <si>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</si>
  <si>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</si>
  <si>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</si>
  <si>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Tata Excavator 200</t>
  </si>
  <si>
    <t>MS414</t>
  </si>
  <si>
    <t>MS415</t>
  </si>
  <si>
    <t>O326259893</t>
  </si>
  <si>
    <t>2164</t>
  </si>
  <si>
    <t>2165</t>
  </si>
  <si>
    <t>2166</t>
  </si>
  <si>
    <t>2167</t>
  </si>
  <si>
    <t>OD23U5910</t>
  </si>
  <si>
    <t>2168</t>
  </si>
  <si>
    <t>2169</t>
  </si>
  <si>
    <t>2170</t>
  </si>
  <si>
    <t>OD23N9933</t>
  </si>
  <si>
    <t>2171</t>
  </si>
  <si>
    <t>OD23P1073</t>
  </si>
  <si>
    <t>2172</t>
  </si>
  <si>
    <t>OD23V1223</t>
  </si>
  <si>
    <t>2173</t>
  </si>
  <si>
    <t>OD23V1292</t>
  </si>
  <si>
    <t>2174</t>
  </si>
  <si>
    <t>OD23P1018</t>
  </si>
  <si>
    <t>2175</t>
  </si>
  <si>
    <t>OD23N9735</t>
  </si>
  <si>
    <t>2176</t>
  </si>
  <si>
    <t>2177</t>
  </si>
  <si>
    <t>2178</t>
  </si>
  <si>
    <t>2179</t>
  </si>
  <si>
    <t>2180</t>
  </si>
  <si>
    <t>2181</t>
  </si>
  <si>
    <t>2182</t>
  </si>
  <si>
    <t>MS416</t>
  </si>
  <si>
    <t>MS417</t>
  </si>
  <si>
    <t>MS418</t>
  </si>
  <si>
    <t>MS419</t>
  </si>
  <si>
    <t>P726Y-00193</t>
  </si>
  <si>
    <t>P726Y-00194</t>
  </si>
  <si>
    <t>P726Y-00200</t>
  </si>
  <si>
    <t>P726Y-00215</t>
  </si>
  <si>
    <t>P726Y-00374</t>
  </si>
  <si>
    <t>P726Y-00460</t>
  </si>
  <si>
    <t>P726Y-00528</t>
  </si>
  <si>
    <t>P726Y-00545</t>
  </si>
  <si>
    <t>P726Y-00588</t>
  </si>
  <si>
    <t>P726Y-00635</t>
  </si>
  <si>
    <t>Aryan Ispat &amp; Power Private Ltd. — Bulk Ledger — Diesel (FY 2026-27)</t>
  </si>
  <si>
    <t>Aryan Ispat_Bulk</t>
  </si>
  <si>
    <t>Aryan_Bulk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</si>
  <si>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</si>
  <si>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</si>
  <si>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</si>
  <si>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</si>
  <si>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</si>
  <si>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</si>
  <si>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</si>
  <si>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</si>
  <si>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</si>
  <si>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</si>
  <si>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</si>
  <si>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</si>
  <si>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</si>
  <si>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</si>
  <si>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</si>
  <si>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</si>
  <si>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</si>
  <si>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MS420</t>
  </si>
  <si>
    <t>MS421</t>
  </si>
  <si>
    <t>2200</t>
  </si>
  <si>
    <t>2201</t>
  </si>
  <si>
    <t>2202</t>
  </si>
  <si>
    <t>OD23P1004</t>
  </si>
  <si>
    <t>2203</t>
  </si>
  <si>
    <t>2204</t>
  </si>
  <si>
    <t>2205</t>
  </si>
  <si>
    <t>2206</t>
  </si>
  <si>
    <t>2207</t>
  </si>
  <si>
    <t>2208</t>
  </si>
  <si>
    <t>2209</t>
  </si>
  <si>
    <t>2210</t>
  </si>
  <si>
    <t>MS422</t>
  </si>
  <si>
    <t>MS423</t>
  </si>
  <si>
    <t>MS424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</si>
  <si>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</si>
  <si>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</si>
  <si>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</si>
  <si>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</si>
  <si>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</si>
  <si>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</si>
  <si>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</si>
  <si>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</si>
  <si>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</si>
  <si>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</si>
  <si>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</si>
  <si>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</si>
  <si>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</si>
  <si>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MS425</t>
  </si>
  <si>
    <t>MS426</t>
  </si>
  <si>
    <t>MS427</t>
  </si>
  <si>
    <t>MS428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</si>
  <si>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</si>
  <si>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</si>
  <si>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</si>
  <si>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</si>
  <si>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</si>
  <si>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</si>
  <si>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</si>
  <si>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</si>
  <si>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</si>
  <si>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</si>
  <si>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</si>
  <si>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</si>
  <si>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</si>
  <si>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MS429</t>
  </si>
  <si>
    <t>MS430</t>
  </si>
  <si>
    <t>MS431</t>
  </si>
  <si>
    <t>2237</t>
  </si>
  <si>
    <t>2238</t>
  </si>
  <si>
    <t>2239</t>
  </si>
  <si>
    <t>2240</t>
  </si>
  <si>
    <t>2241</t>
  </si>
  <si>
    <t>2242</t>
  </si>
  <si>
    <t>2243</t>
  </si>
  <si>
    <t>2244</t>
  </si>
  <si>
    <t>RJ14GQ9377</t>
  </si>
  <si>
    <t>2245</t>
  </si>
  <si>
    <t>2246</t>
  </si>
  <si>
    <t>2247</t>
  </si>
  <si>
    <t>2248</t>
  </si>
  <si>
    <t>2249</t>
  </si>
  <si>
    <t>2250</t>
  </si>
  <si>
    <t>2251</t>
  </si>
  <si>
    <t>2252</t>
  </si>
  <si>
    <t>MS432</t>
  </si>
  <si>
    <t>MS433</t>
  </si>
  <si>
    <t>MS434</t>
  </si>
  <si>
    <t>2253</t>
  </si>
  <si>
    <t>2254</t>
  </si>
  <si>
    <t>BR02AA4252</t>
  </si>
  <si>
    <t>2255</t>
  </si>
  <si>
    <t>2256</t>
  </si>
  <si>
    <t>2257</t>
  </si>
  <si>
    <t>2258</t>
  </si>
  <si>
    <t>2259</t>
  </si>
  <si>
    <t>2260</t>
  </si>
  <si>
    <t>2261</t>
  </si>
  <si>
    <t>2262</t>
  </si>
  <si>
    <t>MS435</t>
  </si>
  <si>
    <t>MS436</t>
  </si>
  <si>
    <t>MS437</t>
  </si>
  <si>
    <t>MS438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</si>
  <si>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</si>
  <si>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</si>
  <si>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</si>
  <si>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</si>
  <si>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</si>
  <si>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</si>
  <si>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</si>
  <si>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</si>
  <si>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</si>
  <si>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</si>
  <si>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OD16L4127</t>
  </si>
  <si>
    <t>2273</t>
  </si>
  <si>
    <t>2274</t>
  </si>
  <si>
    <t>2275</t>
  </si>
  <si>
    <t>2276</t>
  </si>
  <si>
    <t>MS439</t>
  </si>
  <si>
    <t>MS440</t>
  </si>
  <si>
    <t>MS441</t>
  </si>
  <si>
    <t>O32611096</t>
  </si>
  <si>
    <t>PO Label</t>
  </si>
  <si>
    <t>Price Tier</t>
  </si>
  <si>
    <t>Payment Details for XtraPower Account:</t>
  </si>
  <si>
    <t>Virtual Account No. – IOCLXPP1002033366</t>
  </si>
  <si>
    <t>IFS Code – HDFC0000240</t>
  </si>
  <si>
    <t>Branch Name– HDFC Sandoz Branch, Worli, Mumbai</t>
  </si>
  <si>
    <t>Beneficiary Name – Indian Oil Corporation Limited</t>
  </si>
  <si>
    <t>Virtual Account No. – IOCLXPP1002033369</t>
  </si>
  <si>
    <t>Virtual Account No. – IOCLXPP1002033478</t>
  </si>
  <si>
    <t>Virtual Account No. – IOCLXPP1002033370</t>
  </si>
  <si>
    <t>Virtual Account No. – IOCLXPP1002033367</t>
  </si>
  <si>
    <t>Virtual Account No. – IOCLXPP1002032631</t>
  </si>
  <si>
    <t>Virtual Account No. – IOCLXPP1002033477</t>
  </si>
  <si>
    <t>Samarpan Logistics PVT LTD</t>
  </si>
  <si>
    <t>Virtual Account No. – IOCLXPP1005218882</t>
  </si>
  <si>
    <t>Virtual Account No. – IOCLXPP1002033365</t>
  </si>
  <si>
    <t>Fuel Type</t>
  </si>
  <si>
    <t>Customers on tier:</t>
  </si>
  <si>
    <t>DBL Price</t>
  </si>
  <si>
    <t>O326211096</t>
  </si>
  <si>
    <t>Dbl-Siarmal Coal Mines Private Limited</t>
  </si>
  <si>
    <t>Plot No 905, Hemgir</t>
  </si>
  <si>
    <t>Vill: Gopalpur, Sundargarh.</t>
  </si>
  <si>
    <t>GSTIN : 21AAICD4535C1Z7</t>
  </si>
  <si>
    <t>2277</t>
  </si>
  <si>
    <t>2278</t>
  </si>
  <si>
    <t>Dbl-Siarmal Coal Mines Private Limited — Bulk Ledger — Diesel (FY 2026-27)</t>
  </si>
  <si>
    <t>DBL_Bulk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</si>
  <si>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</si>
  <si>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</si>
  <si>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</si>
  <si>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</si>
  <si>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</si>
  <si>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</si>
  <si>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</si>
  <si>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</si>
  <si>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</si>
  <si>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</si>
  <si>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</si>
  <si>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</si>
  <si>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MS442</t>
  </si>
  <si>
    <t>MS443</t>
  </si>
  <si>
    <t>MS444</t>
  </si>
  <si>
    <t>MS445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</si>
  <si>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</si>
  <si>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</si>
  <si>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</si>
  <si>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</si>
  <si>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</si>
  <si>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</si>
  <si>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</si>
  <si>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</si>
  <si>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</si>
  <si>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</si>
  <si>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OD16L4158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</si>
  <si>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</si>
  <si>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</si>
  <si>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</si>
  <si>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</si>
  <si>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</si>
  <si>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</si>
  <si>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</si>
  <si>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</si>
  <si>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</si>
  <si>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</si>
  <si>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</si>
  <si>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</si>
  <si>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</si>
  <si>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</si>
  <si>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</si>
  <si>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MS446</t>
  </si>
  <si>
    <t>MS447</t>
  </si>
  <si>
    <t>MS448</t>
  </si>
  <si>
    <t>MS449</t>
  </si>
  <si>
    <t>MS450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</si>
  <si>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</si>
  <si>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</si>
  <si>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</si>
  <si>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</si>
  <si>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</si>
  <si>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</si>
  <si>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</si>
  <si>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</si>
  <si>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</si>
  <si>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</si>
  <si>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</si>
  <si>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</si>
  <si>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</si>
  <si>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</si>
  <si>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MS451</t>
  </si>
  <si>
    <t>MS452</t>
  </si>
  <si>
    <t>MS453</t>
  </si>
  <si>
    <t>4500215762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</si>
  <si>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</si>
  <si>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</si>
  <si>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</si>
  <si>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</si>
  <si>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</si>
  <si>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</si>
  <si>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</si>
  <si>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</si>
  <si>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</si>
  <si>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</si>
  <si>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</si>
  <si>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</si>
  <si>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</si>
  <si>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</si>
  <si>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RJ25GA8386</t>
  </si>
  <si>
    <t>2344</t>
  </si>
  <si>
    <t>2345</t>
  </si>
  <si>
    <t>2346</t>
  </si>
  <si>
    <t>2347</t>
  </si>
  <si>
    <t>OD16D7068</t>
  </si>
  <si>
    <t>2348</t>
  </si>
  <si>
    <t>2349</t>
  </si>
  <si>
    <t>2350</t>
  </si>
  <si>
    <t>2351</t>
  </si>
  <si>
    <t>2352</t>
  </si>
  <si>
    <t>2353</t>
  </si>
  <si>
    <t>MS454</t>
  </si>
  <si>
    <t>MS455</t>
  </si>
  <si>
    <t>MS456</t>
  </si>
  <si>
    <t>4500216903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</si>
  <si>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</si>
  <si>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</si>
  <si>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</si>
  <si>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</si>
  <si>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</si>
  <si>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</si>
  <si>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</si>
  <si>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</si>
  <si>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</si>
  <si>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</si>
  <si>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</si>
  <si>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</si>
  <si>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</si>
  <si>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</si>
  <si>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</si>
  <si>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OD16E9644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</si>
  <si>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</si>
  <si>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</si>
  <si>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</si>
  <si>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</si>
  <si>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</si>
  <si>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</si>
  <si>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</si>
  <si>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</si>
  <si>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</si>
  <si>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</si>
  <si>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</si>
  <si>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MS457</t>
  </si>
  <si>
    <t>MS458</t>
  </si>
  <si>
    <t>MS459</t>
  </si>
  <si>
    <t>MS460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</si>
  <si>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</si>
  <si>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</si>
  <si>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</si>
  <si>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</si>
  <si>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</si>
  <si>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</si>
  <si>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</si>
  <si>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</si>
  <si>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</si>
  <si>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</si>
  <si>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</si>
  <si>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</si>
  <si>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</si>
  <si>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</si>
  <si>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</si>
  <si>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</si>
  <si>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</si>
  <si>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</si>
  <si>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</si>
  <si>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</si>
  <si>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</si>
  <si>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</si>
  <si>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</si>
  <si>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</si>
  <si>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</si>
  <si>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</si>
  <si>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</si>
  <si>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OD23N9737</t>
  </si>
  <si>
    <t>2407</t>
  </si>
  <si>
    <t>2408</t>
  </si>
  <si>
    <t>2409</t>
  </si>
  <si>
    <t>2410</t>
  </si>
  <si>
    <t>OD23N9926</t>
  </si>
  <si>
    <t>2411</t>
  </si>
  <si>
    <t>2412</t>
  </si>
  <si>
    <t>2413</t>
  </si>
  <si>
    <t>2414</t>
  </si>
  <si>
    <t>OD23V1293</t>
  </si>
  <si>
    <t>2415</t>
  </si>
  <si>
    <t>2416</t>
  </si>
  <si>
    <t>2417</t>
  </si>
  <si>
    <t>2418</t>
  </si>
  <si>
    <t>2419</t>
  </si>
  <si>
    <t>2420</t>
  </si>
  <si>
    <t>OD23P1029</t>
  </si>
  <si>
    <t>2421</t>
  </si>
  <si>
    <t>OD23N9937</t>
  </si>
  <si>
    <t>2422</t>
  </si>
  <si>
    <t>2423</t>
  </si>
  <si>
    <t>2424</t>
  </si>
  <si>
    <t>MS461</t>
  </si>
  <si>
    <t>MS462</t>
  </si>
  <si>
    <t>MS463</t>
  </si>
  <si>
    <t>MS464</t>
  </si>
  <si>
    <t>MS465</t>
  </si>
  <si>
    <t>MS466</t>
  </si>
  <si>
    <t>MS467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</si>
  <si>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</si>
  <si>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</si>
  <si>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</si>
  <si>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</si>
  <si>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</si>
  <si>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</si>
  <si>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</si>
  <si>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</si>
  <si>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</si>
  <si>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</si>
  <si>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</si>
  <si>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</si>
  <si>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</si>
  <si>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</si>
  <si>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</si>
  <si>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</si>
  <si>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</si>
  <si>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</si>
  <si>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</si>
  <si>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</si>
  <si>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OD23V1202</t>
  </si>
  <si>
    <t>2445</t>
  </si>
  <si>
    <t>2446</t>
  </si>
  <si>
    <t>OD23N9923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</si>
  <si>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</si>
  <si>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</si>
  <si>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</si>
  <si>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</si>
  <si>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</si>
  <si>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</si>
  <si>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</si>
  <si>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</si>
  <si>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</si>
  <si>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</si>
  <si>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</si>
  <si>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</si>
  <si>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</si>
  <si>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</si>
  <si>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</si>
  <si>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</si>
  <si>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</si>
  <si>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OD23P1087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</si>
  <si>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</si>
  <si>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</si>
  <si>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</si>
  <si>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</si>
  <si>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</si>
  <si>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</si>
  <si>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</si>
  <si>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</si>
  <si>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</si>
  <si>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</si>
  <si>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</si>
  <si>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MS468</t>
  </si>
  <si>
    <t>MS469</t>
  </si>
  <si>
    <t>MS470</t>
  </si>
  <si>
    <t>XG8</t>
  </si>
  <si>
    <t>P726Y-00713</t>
  </si>
  <si>
    <t>2475</t>
  </si>
  <si>
    <t>2476</t>
  </si>
  <si>
    <t>2477</t>
  </si>
  <si>
    <t>2478</t>
  </si>
  <si>
    <t>2479</t>
  </si>
  <si>
    <t>2480</t>
  </si>
  <si>
    <t>OD07T4372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</si>
  <si>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</si>
  <si>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</si>
  <si>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</si>
  <si>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</si>
  <si>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</si>
  <si>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</si>
  <si>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</si>
  <si>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</si>
  <si>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</si>
  <si>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</si>
  <si>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</si>
  <si>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</si>
  <si>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</si>
  <si>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</si>
  <si>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</si>
  <si>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</si>
  <si>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</si>
  <si>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</si>
  <si>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</si>
  <si>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</si>
  <si>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</si>
  <si>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</si>
  <si>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</si>
  <si>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</si>
  <si>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</si>
  <si>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</si>
  <si>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</si>
  <si>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</si>
  <si>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</si>
  <si>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</si>
  <si>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</si>
  <si>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</si>
  <si>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</si>
  <si>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</si>
  <si>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</si>
  <si>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</si>
  <si>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</si>
  <si>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</si>
  <si>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</si>
  <si>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</si>
  <si>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</si>
  <si>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</si>
  <si>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</si>
  <si>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</si>
  <si>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</si>
  <si>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</si>
  <si>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</si>
  <si>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</si>
  <si>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</si>
  <si>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</si>
  <si>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MS471</t>
  </si>
  <si>
    <t>MS472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</si>
</sst>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₹&quot;#,##0_);\(&quot;₹&quot;#,##0\)"/>
    <numFmt numFmtId="164" formatCode="&quot;&quot;0.00"/>
    <numFmt numFmtId="165" formatCode="[$-14009]dd/mm/yy;@"/>
    <numFmt numFmtId="166" formatCode="&quot;₹&quot;#,##0.00"/>
    <numFmt numFmtId="167" formatCode="&quot;₹&quot;#,##0"/>
    <numFmt numFmtId="168" formatCode="dd/mm/yy;@"/>
    <numFmt numFmtId="169" formatCode="#,##0;\(#,##0\);\ "/>
    <numFmt numFmtId="170" formatCode="dd/mm/yyyy"/>
    <numFmt numFmtId="171" formatCode="0.00;\(0.00\);\ "/>
    <numFmt numFmtId="172" formatCode="&quot;₹&quot;General"/>
    <numFmt numFmtId="173" formatCode="#,##0.00;\(#,##0.00\);\ "/>
    <numFmt numFmtId="174" formatCode="[$₹-4009]#,##0"/>
    <numFmt numFmtId="175" formatCode="[$₹-4009]#,##0.00;\([$₹-4009]#,##0.00\);\-"/>
    <numFmt numFmtId="176" formatCode="[$₹-4009]#,##0;\-[$₹-4009]#,##0;\-"/>
    <numFmt numFmtId="177" formatCode="[&gt;=10000000]##\,##\,##\,##0.00;[&gt;=100000]##\,##\,##0.00;##,##0.00"/>
  </numFmts>
  <fonts count="90" x14ac:knownFonts="1"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rgb="FFFF0000"/>
      <name val="Times New Roman"/>
      <family val="1"/>
    </font>
    <font>
      <b/>
      <sz val="16"/>
      <color rgb="FFFF0000"/>
      <name val="Times New Roman"/>
      <family val="1"/>
    </font>
    <font>
      <sz val="8"/>
      <name val="Calibri"/>
      <family val="2"/>
      <scheme val="minor"/>
    </font>
    <font>
      <sz val="16"/>
      <color rgb="FFFF0000"/>
      <name val="Times New Roman"/>
      <family val="1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18"/>
      <color theme="1"/>
      <name val="Times New Roman"/>
      <family val="1"/>
    </font>
    <font>
      <b/>
      <sz val="18"/>
      <color theme="1"/>
      <name val="Times New Roman"/>
      <family val="1"/>
    </font>
    <font>
      <sz val="18"/>
      <color theme="0"/>
      <name val="Times New Roman"/>
      <family val="1"/>
    </font>
    <font>
      <i/>
      <sz val="16"/>
      <color theme="1"/>
      <name val="Times New Roman"/>
      <family val="1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8"/>
      <color rgb="FF000000"/>
      <name val="Times New Roman"/>
      <family val="1"/>
    </font>
    <font>
      <i/>
      <sz val="11"/>
      <color rgb="FF6B6B6B"/>
      <name val="Calibri"/>
      <family val="2"/>
      <scheme val="minor"/>
    </font>
    <font>
      <b/>
      <sz val="9"/>
      <color rgb="FF888888"/>
      <name val="Calibri"/>
      <family val="2"/>
      <scheme val="minor"/>
    </font>
    <font>
      <b/>
      <sz val="18"/>
      <color rgb="FFFFFFFF"/>
      <name val="Times New Roman"/>
      <family val="1"/>
    </font>
    <font>
      <b/>
      <sz val="18"/>
      <color rgb="FF02164F"/>
      <name val="Times New Roman"/>
      <family val="1"/>
    </font>
    <font>
      <b/>
      <sz val="16"/>
      <color rgb="FFFFFFFF"/>
      <name val="Times New Roman"/>
      <family val="1"/>
    </font>
    <font>
      <i/>
      <sz val="16"/>
      <color rgb="FFFFFFFF"/>
      <name val="Times New Roman"/>
      <family val="1"/>
    </font>
    <font>
      <b/>
      <sz val="16"/>
      <color rgb="FF02164F"/>
      <name val="Times New Roman"/>
      <family val="1"/>
    </font>
    <font>
      <b/>
      <sz val="16"/>
      <color rgb="FF002060"/>
      <name val="Times New Roman"/>
      <family val="1"/>
    </font>
    <font>
      <sz val="18"/>
      <color rgb="FF000000"/>
      <name val="Times New Roman"/>
      <family val="1"/>
    </font>
    <font>
      <b/>
      <sz val="14"/>
      <color rgb="FFFFFFFF"/>
      <name val="Times New Roman"/>
      <family val="1"/>
    </font>
    <font>
      <b/>
      <sz val="16"/>
      <color rgb="FF000000"/>
      <name val="Times New Roman"/>
      <family val="1"/>
    </font>
    <font>
      <b/>
      <sz val="14"/>
      <color theme="1"/>
      <name val="Times New Roman"/>
      <family val="1"/>
    </font>
    <font>
      <b/>
      <sz val="14"/>
      <color rgb="FF000000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5"/>
      <name val="Times New Roman"/>
      <family val="1"/>
    </font>
    <font>
      <b/>
      <u/>
      <sz val="12"/>
      <color rgb="FF0563C1"/>
      <name val="Calibri"/>
      <family val="2"/>
      <scheme val="minor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6"/>
      <name val="Yu Gothic"/>
      <family val="2"/>
      <charset val="128"/>
    </font>
    <font>
      <sz val="12"/>
      <name val="Calibri"/>
      <family val="2"/>
      <scheme val="minor"/>
    </font>
    <font>
      <sz val="14"/>
      <name val="Times New Roman"/>
      <family val="1"/>
    </font>
    <font>
      <i/>
      <sz val="12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2"/>
      <color rgb="FFF37022"/>
      <name val="Times New Roman"/>
      <family val="1"/>
    </font>
    <font>
      <sz val="12"/>
      <color rgb="FF0000FF"/>
      <name val="Times New Roman"/>
      <family val="1"/>
    </font>
    <font>
      <b/>
      <sz val="12"/>
      <color rgb="FFF37022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4"/>
      <color rgb="FF02164F"/>
      <name val="Times New Roman"/>
      <family val="1"/>
    </font>
    <font>
      <sz val="18"/>
      <color rgb="FF0000FF"/>
      <name val="Times New Roman"/>
      <family val="1"/>
    </font>
    <font>
      <sz val="16"/>
      <color rgb="FF0000FF"/>
      <name val="Times New Roman"/>
      <family val="1"/>
    </font>
    <font>
      <b/>
      <sz val="20"/>
      <color rgb="FFFFFFFF"/>
      <name val="Times New Roman"/>
      <family val="1"/>
    </font>
    <font>
      <b/>
      <sz val="12"/>
      <color rgb="FF02164F"/>
      <name val="Times New Roman"/>
      <family val="1"/>
    </font>
    <font>
      <b/>
      <u/>
      <sz val="12"/>
      <color rgb="FFFFFFFF"/>
      <name val="Calibri"/>
      <family val="2"/>
      <scheme val="minor"/>
    </font>
    <font>
      <b/>
      <sz val="12"/>
      <color rgb="FF02164F"/>
      <name val="Calibri"/>
      <family val="2"/>
      <scheme val="minor"/>
    </font>
    <font>
      <b/>
      <sz val="14"/>
      <color rgb="FFF37022"/>
      <name val="Times New Roman"/>
      <family val="1"/>
    </font>
    <font>
      <sz val="14"/>
      <color rgb="FF0000FF"/>
      <name val="Times New Roman"/>
      <family val="1"/>
    </font>
    <font>
      <sz val="9"/>
      <color theme="1"/>
      <name val="Times New Roman"/>
      <family val="1"/>
    </font>
    <font>
      <b/>
      <sz val="8"/>
      <color rgb="FF888888"/>
      <name val="Calibri"/>
      <family val="2"/>
      <scheme val="minor"/>
    </font>
    <font>
      <sz val="8"/>
      <color rgb="FF888888"/>
      <name val="Calibri"/>
      <family val="2"/>
      <scheme val="minor"/>
    </font>
    <font>
      <sz val="13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0"/>
      <name val="Arial"/>
      <family val="2"/>
    </font>
    <font>
      <b/>
      <sz val="13"/>
      <color theme="1"/>
      <name val="Arial"/>
      <family val="2"/>
    </font>
    <font>
      <i/>
      <sz val="12"/>
      <color rgb="FF808080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6"/>
      <color theme="5"/>
      <name val="Times New Roman"/>
      <family val="1"/>
    </font>
    <font>
      <i/>
      <sz val="14"/>
      <color theme="1"/>
      <name val="Times New Roman"/>
      <family val="1"/>
    </font>
    <font>
      <b/>
      <sz val="18"/>
      <color rgb="FF002060"/>
      <name val="Times New Roman"/>
      <family val="1"/>
    </font>
    <font>
      <b/>
      <sz val="16"/>
      <color rgb="FF006100"/>
      <name val="Times New Roman"/>
      <family val="1"/>
    </font>
    <font>
      <b/>
      <sz val="13"/>
      <color rgb="FF000000"/>
      <name val="Times New Roman"/>
      <family val="1"/>
    </font>
    <font>
      <sz val="12"/>
      <color rgb="FF00000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4"/>
      <color rgb="FF02164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6"/>
      <color rgb="FF0000FF"/>
      <name val="Times New Roman"/>
      <family val="1"/>
    </font>
    <font>
      <sz val="18"/>
      <color rgb="FFC00000"/>
      <name val="Times New Roman"/>
      <family val="1"/>
    </font>
    <font>
      <sz val="12"/>
      <color rgb="FFFF0000"/>
      <name val="Times New Roman"/>
      <family val="1"/>
    </font>
    <font>
      <sz val="18"/>
      <color theme="5" tint="-0.249977111117893"/>
      <name val="Times New Roman"/>
      <family val="1"/>
    </font>
    <font>
      <sz val="16"/>
      <color theme="1"/>
      <name val="Calibri"/>
      <family val="2"/>
      <scheme val="minor"/>
    </font>
    <font>
      <b/>
      <sz val="26"/>
      <color rgb="FFFFFFFF"/>
      <name val="Times New Roman"/>
      <family val="1"/>
    </font>
    <font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2164F"/>
        <bgColor indexed="64"/>
      </patternFill>
    </fill>
    <fill>
      <patternFill patternType="solid">
        <fgColor rgb="FFF37022"/>
        <bgColor indexed="64"/>
      </patternFill>
    </fill>
    <fill>
      <patternFill patternType="solid">
        <fgColor rgb="FFFDEDE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D9D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EF2F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E1F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8C9A8"/>
      </left>
      <right style="thin">
        <color rgb="FFF8C9A8"/>
      </right>
      <top style="thin">
        <color rgb="FFF8C9A8"/>
      </top>
      <bottom style="thin">
        <color rgb="FFF8C9A8"/>
      </bottom>
      <diagonal/>
    </border>
    <border>
      <left style="thin">
        <color rgb="FFF8C9A8"/>
      </left>
      <right style="thin">
        <color rgb="FFF8C9A8"/>
      </right>
      <top/>
      <bottom style="thin">
        <color rgb="FFF8C9A8"/>
      </bottom>
      <diagonal/>
    </border>
    <border>
      <left/>
      <right/>
      <top/>
      <bottom style="thin">
        <color rgb="FFF8C9A8"/>
      </bottom>
      <diagonal/>
    </border>
    <border>
      <left/>
      <right/>
      <top style="medium">
        <color rgb="FF02164F"/>
      </top>
      <bottom/>
      <diagonal/>
    </border>
    <border>
      <left style="medium">
        <color rgb="FF02164F"/>
      </left>
      <right/>
      <top style="medium">
        <color rgb="FF02164F"/>
      </top>
      <bottom/>
      <diagonal/>
    </border>
    <border>
      <left style="medium">
        <color rgb="FF02164F"/>
      </left>
      <right/>
      <top/>
      <bottom/>
      <diagonal/>
    </border>
    <border>
      <left/>
      <right style="medium">
        <color rgb="FF02164F"/>
      </right>
      <top style="medium">
        <color rgb="FF02164F"/>
      </top>
      <bottom/>
      <diagonal/>
    </border>
    <border>
      <left/>
      <right style="medium">
        <color rgb="FF02164F"/>
      </right>
      <top/>
      <bottom/>
      <diagonal/>
    </border>
    <border>
      <left style="thin">
        <color rgb="FFF8C9A8"/>
      </left>
      <right/>
      <top style="thin">
        <color rgb="FFF8C9A8"/>
      </top>
      <bottom/>
      <diagonal/>
    </border>
    <border>
      <left/>
      <right style="thin">
        <color rgb="FFF8C9A8"/>
      </right>
      <top style="thin">
        <color rgb="FFF8C9A8"/>
      </top>
      <bottom/>
      <diagonal/>
    </border>
    <border>
      <left style="medium">
        <color rgb="FF02164F"/>
      </left>
      <right/>
      <top style="medium">
        <color rgb="FF02164F"/>
      </top>
      <bottom style="medium">
        <color rgb="FF02164F"/>
      </bottom>
      <diagonal/>
    </border>
    <border>
      <left/>
      <right style="medium">
        <color rgb="FF02164F"/>
      </right>
      <top style="medium">
        <color rgb="FF02164F"/>
      </top>
      <bottom style="medium">
        <color rgb="FF02164F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2164F"/>
      </left>
      <right/>
      <top style="thin">
        <color rgb="FF02164F"/>
      </top>
      <bottom/>
      <diagonal/>
    </border>
    <border>
      <left style="thin">
        <color indexed="64"/>
      </left>
      <right style="thin">
        <color rgb="FF02164F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F8C9A8"/>
      </bottom>
      <diagonal/>
    </border>
    <border>
      <left/>
      <right style="medium">
        <color indexed="64"/>
      </right>
      <top/>
      <bottom style="thin">
        <color rgb="FFF8C9A8"/>
      </bottom>
      <diagonal/>
    </border>
    <border>
      <left style="medium">
        <color indexed="64"/>
      </left>
      <right style="thin">
        <color rgb="FFF8C9A8"/>
      </right>
      <top/>
      <bottom style="thin">
        <color rgb="FFF8C9A8"/>
      </bottom>
      <diagonal/>
    </border>
    <border>
      <left style="thin">
        <color rgb="FFF8C9A8"/>
      </left>
      <right style="medium">
        <color indexed="64"/>
      </right>
      <top/>
      <bottom style="thin">
        <color rgb="FFF8C9A8"/>
      </bottom>
      <diagonal/>
    </border>
    <border>
      <left style="medium">
        <color indexed="64"/>
      </left>
      <right style="thin">
        <color rgb="FFF8C9A8"/>
      </right>
      <top style="thin">
        <color rgb="FFF8C9A8"/>
      </top>
      <bottom style="thin">
        <color rgb="FFF8C9A8"/>
      </bottom>
      <diagonal/>
    </border>
    <border>
      <left style="thin">
        <color rgb="FFF8C9A8"/>
      </left>
      <right style="medium">
        <color indexed="64"/>
      </right>
      <top style="thin">
        <color rgb="FFF8C9A8"/>
      </top>
      <bottom style="thin">
        <color rgb="FFF8C9A8"/>
      </bottom>
      <diagonal/>
    </border>
    <border>
      <left style="medium">
        <color indexed="64"/>
      </left>
      <right style="thin">
        <color rgb="FFF8C9A8"/>
      </right>
      <top style="thin">
        <color rgb="FFF8C9A8"/>
      </top>
      <bottom/>
      <diagonal/>
    </border>
    <border>
      <left style="thin">
        <color rgb="FFF8C9A8"/>
      </left>
      <right style="medium">
        <color indexed="64"/>
      </right>
      <top style="thin">
        <color rgb="FFF8C9A8"/>
      </top>
      <bottom/>
      <diagonal/>
    </border>
    <border>
      <left style="medium">
        <color indexed="64"/>
      </left>
      <right/>
      <top style="thin">
        <color rgb="FFF8C9A8"/>
      </top>
      <bottom/>
      <diagonal/>
    </border>
    <border>
      <left/>
      <right style="thin">
        <color rgb="FFF8C9A8"/>
      </right>
      <top/>
      <bottom/>
      <diagonal/>
    </border>
    <border>
      <left style="thin">
        <color rgb="FFF8C9A8"/>
      </left>
      <right style="thin">
        <color rgb="FFF8C9A8"/>
      </right>
      <top/>
      <bottom/>
      <diagonal/>
    </border>
    <border>
      <left style="thin">
        <color rgb="FFF8C9A8"/>
      </left>
      <right/>
      <top/>
      <bottom/>
      <diagonal/>
    </border>
    <border>
      <left style="medium">
        <color rgb="FF02164F"/>
      </left>
      <right/>
      <top/>
      <bottom style="medium">
        <color rgb="FF02164F"/>
      </bottom>
      <diagonal/>
    </border>
    <border>
      <left/>
      <right style="medium">
        <color rgb="FF02164F"/>
      </right>
      <top/>
      <bottom style="medium">
        <color rgb="FF02164F"/>
      </bottom>
      <diagonal/>
    </border>
    <border>
      <left style="thin">
        <color rgb="FF02164F"/>
      </left>
      <right style="thin">
        <color rgb="FF02164F"/>
      </right>
      <top style="thin">
        <color rgb="FF02164F"/>
      </top>
      <bottom style="thin">
        <color rgb="FF02164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8C9A8"/>
      </left>
      <right style="thin">
        <color rgb="FFF8C9A8"/>
      </right>
      <top style="thin">
        <color rgb="FFF8C9A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54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3" fillId="0" borderId="0" xfId="0" applyFont="1"/>
    <xf numFmtId="165" fontId="0" fillId="0" borderId="0" xfId="0" applyNumberFormat="1"/>
    <xf numFmtId="166" fontId="0" fillId="0" borderId="0" xfId="0" applyNumberFormat="1"/>
    <xf numFmtId="3" fontId="0" fillId="0" borderId="0" xfId="0" applyNumberFormat="1"/>
    <xf numFmtId="169" fontId="22" fillId="0" borderId="0" xfId="0" applyNumberFormat="1" applyFont="1"/>
    <xf numFmtId="169" fontId="0" fillId="0" borderId="0" xfId="0" applyNumberFormat="1"/>
    <xf numFmtId="167" fontId="0" fillId="0" borderId="0" xfId="0" applyNumberFormat="1"/>
    <xf numFmtId="0" fontId="30" fillId="10" borderId="29" xfId="1" applyFont="1" applyFill="1" applyBorder="1" applyAlignment="1">
      <alignment vertical="center" indent="1"/>
    </xf>
    <xf numFmtId="0" fontId="30" fillId="10" borderId="28" xfId="1" applyFont="1" applyFill="1" applyBorder="1" applyAlignment="1">
      <alignment vertical="center" indent="1"/>
    </xf>
    <xf numFmtId="0" fontId="30" fillId="10" borderId="29" xfId="1" applyFont="1" applyFill="1" applyBorder="1" applyAlignment="1">
      <alignment horizontal="left" vertical="center"/>
    </xf>
    <xf numFmtId="0" fontId="30" fillId="10" borderId="28" xfId="1" applyFont="1" applyFill="1" applyBorder="1" applyAlignment="1">
      <alignment horizontal="left" vertical="center"/>
    </xf>
    <xf numFmtId="0" fontId="31" fillId="10" borderId="37" xfId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Protection="1">
      <protection locked="0"/>
    </xf>
    <xf numFmtId="0" fontId="39" fillId="0" borderId="0" xfId="1" applyFont="1" applyProtection="1">
      <protection locked="0"/>
    </xf>
    <xf numFmtId="0" fontId="16" fillId="0" borderId="33" xfId="0" applyFont="1" applyBorder="1" applyProtection="1">
      <protection locked="0"/>
    </xf>
    <xf numFmtId="0" fontId="16" fillId="0" borderId="0" xfId="0" applyFont="1" applyProtection="1">
      <protection locked="0"/>
    </xf>
    <xf numFmtId="0" fontId="16" fillId="0" borderId="35" xfId="0" applyFont="1" applyBorder="1" applyProtection="1">
      <protection locked="0"/>
    </xf>
    <xf numFmtId="0" fontId="33" fillId="9" borderId="43" xfId="0" applyFont="1" applyFill="1" applyBorder="1" applyAlignment="1" applyProtection="1">
      <alignment horizontal="center"/>
      <protection locked="0"/>
    </xf>
    <xf numFmtId="0" fontId="26" fillId="8" borderId="38" xfId="0" applyFont="1" applyFill="1" applyBorder="1" applyAlignment="1" applyProtection="1">
      <alignment horizontal="left" vertical="center"/>
      <protection locked="0"/>
    </xf>
    <xf numFmtId="0" fontId="6" fillId="11" borderId="43" xfId="0" applyFont="1" applyFill="1" applyBorder="1" applyProtection="1">
      <protection locked="0"/>
    </xf>
    <xf numFmtId="166" fontId="6" fillId="11" borderId="8" xfId="0" applyNumberFormat="1" applyFont="1" applyFill="1" applyBorder="1" applyProtection="1">
      <protection locked="0"/>
    </xf>
    <xf numFmtId="166" fontId="6" fillId="11" borderId="44" xfId="0" applyNumberFormat="1" applyFont="1" applyFill="1" applyBorder="1" applyProtection="1">
      <protection locked="0"/>
    </xf>
    <xf numFmtId="0" fontId="6" fillId="0" borderId="43" xfId="0" applyFont="1" applyBorder="1" applyProtection="1">
      <protection locked="0"/>
    </xf>
    <xf numFmtId="166" fontId="6" fillId="0" borderId="8" xfId="0" applyNumberFormat="1" applyFont="1" applyBorder="1" applyProtection="1">
      <protection locked="0"/>
    </xf>
    <xf numFmtId="166" fontId="6" fillId="0" borderId="44" xfId="0" applyNumberFormat="1" applyFont="1" applyBorder="1" applyProtection="1">
      <protection locked="0"/>
    </xf>
    <xf numFmtId="166" fontId="26" fillId="9" borderId="39" xfId="0" applyNumberFormat="1" applyFont="1" applyFill="1" applyBorder="1" applyAlignment="1">
      <alignment horizontal="right" vertical="center"/>
    </xf>
    <xf numFmtId="0" fontId="14" fillId="0" borderId="0" xfId="0" applyFont="1" applyProtection="1">
      <protection locked="0"/>
    </xf>
    <xf numFmtId="0" fontId="16" fillId="0" borderId="20" xfId="0" applyFont="1" applyBorder="1" applyAlignment="1" applyProtection="1">
      <alignment horizontal="center" vertical="top"/>
      <protection locked="0"/>
    </xf>
    <xf numFmtId="0" fontId="16" fillId="0" borderId="6" xfId="0" applyFont="1" applyBorder="1" applyAlignment="1" applyProtection="1">
      <alignment horizontal="center" vertical="top"/>
      <protection locked="0"/>
    </xf>
    <xf numFmtId="0" fontId="16" fillId="0" borderId="21" xfId="0" applyFont="1" applyBorder="1" applyAlignment="1" applyProtection="1">
      <alignment horizontal="center" vertical="top"/>
      <protection locked="0"/>
    </xf>
    <xf numFmtId="168" fontId="16" fillId="0" borderId="22" xfId="0" applyNumberFormat="1" applyFont="1" applyBorder="1" applyAlignment="1" applyProtection="1">
      <alignment horizontal="left" vertical="top"/>
      <protection locked="0"/>
    </xf>
    <xf numFmtId="3" fontId="16" fillId="0" borderId="1" xfId="0" applyNumberFormat="1" applyFont="1" applyBorder="1" applyAlignment="1" applyProtection="1">
      <alignment horizontal="right" vertical="top"/>
      <protection locked="0"/>
    </xf>
    <xf numFmtId="169" fontId="23" fillId="0" borderId="1" xfId="0" applyNumberFormat="1" applyFont="1" applyBorder="1" applyAlignment="1" applyProtection="1">
      <alignment horizontal="right" vertical="top"/>
      <protection locked="0"/>
    </xf>
    <xf numFmtId="2" fontId="16" fillId="0" borderId="1" xfId="0" applyNumberFormat="1" applyFont="1" applyBorder="1" applyAlignment="1" applyProtection="1">
      <alignment horizontal="right" vertical="top"/>
      <protection locked="0"/>
    </xf>
    <xf numFmtId="167" fontId="16" fillId="0" borderId="23" xfId="0" applyNumberFormat="1" applyFont="1" applyBorder="1" applyAlignment="1" applyProtection="1">
      <alignment horizontal="right"/>
      <protection locked="0"/>
    </xf>
    <xf numFmtId="3" fontId="16" fillId="0" borderId="1" xfId="0" applyNumberFormat="1" applyFont="1" applyBorder="1" applyAlignment="1" applyProtection="1">
      <alignment horizontal="right"/>
      <protection locked="0"/>
    </xf>
    <xf numFmtId="169" fontId="23" fillId="0" borderId="1" xfId="0" applyNumberFormat="1" applyFont="1" applyBorder="1" applyAlignment="1" applyProtection="1">
      <alignment horizontal="right"/>
      <protection locked="0"/>
    </xf>
    <xf numFmtId="2" fontId="16" fillId="0" borderId="1" xfId="0" applyNumberFormat="1" applyFont="1" applyBorder="1" applyAlignment="1" applyProtection="1">
      <alignment horizontal="right"/>
      <protection locked="0"/>
    </xf>
    <xf numFmtId="0" fontId="38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170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35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5" fillId="12" borderId="45" xfId="0" applyFont="1" applyFill="1" applyBorder="1" applyAlignment="1" applyProtection="1">
      <alignment horizontal="center"/>
      <protection locked="0"/>
    </xf>
    <xf numFmtId="170" fontId="6" fillId="0" borderId="45" xfId="0" applyNumberFormat="1" applyFont="1" applyBorder="1" applyAlignment="1" applyProtection="1">
      <alignment horizontal="center"/>
      <protection locked="0"/>
    </xf>
    <xf numFmtId="0" fontId="6" fillId="0" borderId="45" xfId="0" applyFont="1" applyBorder="1" applyAlignment="1" applyProtection="1">
      <alignment horizontal="center"/>
      <protection locked="0"/>
    </xf>
    <xf numFmtId="4" fontId="6" fillId="0" borderId="0" xfId="0" applyNumberFormat="1" applyFont="1" applyAlignment="1" applyProtection="1">
      <alignment horizontal="center"/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169" fontId="23" fillId="0" borderId="1" xfId="0" applyNumberFormat="1" applyFont="1" applyBorder="1" applyAlignment="1">
      <alignment horizontal="right" vertical="top"/>
    </xf>
    <xf numFmtId="167" fontId="16" fillId="0" borderId="23" xfId="0" applyNumberFormat="1" applyFont="1" applyBorder="1" applyAlignment="1">
      <alignment horizontal="right"/>
    </xf>
    <xf numFmtId="166" fontId="18" fillId="6" borderId="0" xfId="0" applyNumberFormat="1" applyFont="1" applyFill="1"/>
    <xf numFmtId="168" fontId="16" fillId="0" borderId="22" xfId="0" applyNumberFormat="1" applyFont="1" applyBorder="1" applyAlignment="1">
      <alignment horizontal="left" vertical="top"/>
    </xf>
    <xf numFmtId="3" fontId="16" fillId="0" borderId="1" xfId="0" applyNumberFormat="1" applyFont="1" applyBorder="1" applyAlignment="1">
      <alignment horizontal="right"/>
    </xf>
    <xf numFmtId="169" fontId="23" fillId="0" borderId="1" xfId="0" applyNumberFormat="1" applyFont="1" applyBorder="1" applyAlignment="1">
      <alignment horizontal="right"/>
    </xf>
    <xf numFmtId="2" fontId="16" fillId="0" borderId="1" xfId="0" applyNumberFormat="1" applyFont="1" applyBorder="1" applyAlignment="1">
      <alignment horizontal="right"/>
    </xf>
    <xf numFmtId="0" fontId="36" fillId="0" borderId="0" xfId="0" applyFont="1" applyAlignment="1">
      <alignment horizontal="left"/>
    </xf>
    <xf numFmtId="170" fontId="6" fillId="0" borderId="45" xfId="0" applyNumberFormat="1" applyFont="1" applyBorder="1" applyAlignment="1">
      <alignment horizontal="center"/>
    </xf>
    <xf numFmtId="0" fontId="16" fillId="0" borderId="24" xfId="0" applyFont="1" applyBorder="1" applyAlignment="1" applyProtection="1">
      <alignment horizontal="center" vertical="top"/>
      <protection locked="0"/>
    </xf>
    <xf numFmtId="0" fontId="16" fillId="0" borderId="25" xfId="0" applyFont="1" applyBorder="1" applyAlignment="1" applyProtection="1">
      <alignment horizontal="center" vertical="top"/>
      <protection locked="0"/>
    </xf>
    <xf numFmtId="0" fontId="16" fillId="0" borderId="26" xfId="0" applyFont="1" applyBorder="1" applyAlignment="1" applyProtection="1">
      <alignment horizontal="center" vertical="top"/>
      <protection locked="0"/>
    </xf>
    <xf numFmtId="165" fontId="16" fillId="0" borderId="22" xfId="0" applyNumberFormat="1" applyFont="1" applyBorder="1" applyAlignment="1" applyProtection="1">
      <alignment horizontal="left" vertical="top"/>
      <protection locked="0"/>
    </xf>
    <xf numFmtId="4" fontId="6" fillId="0" borderId="45" xfId="0" applyNumberFormat="1" applyFont="1" applyBorder="1" applyAlignment="1" applyProtection="1">
      <alignment horizontal="center"/>
      <protection locked="0"/>
    </xf>
    <xf numFmtId="2" fontId="6" fillId="0" borderId="45" xfId="0" applyNumberFormat="1" applyFont="1" applyBorder="1" applyAlignment="1" applyProtection="1">
      <alignment horizontal="center"/>
      <protection locked="0"/>
    </xf>
    <xf numFmtId="165" fontId="16" fillId="0" borderId="22" xfId="0" applyNumberFormat="1" applyFont="1" applyBorder="1" applyAlignment="1">
      <alignment horizontal="left" vertical="top"/>
    </xf>
    <xf numFmtId="3" fontId="16" fillId="0" borderId="1" xfId="0" applyNumberFormat="1" applyFont="1" applyBorder="1" applyAlignment="1">
      <alignment horizontal="right" vertical="top"/>
    </xf>
    <xf numFmtId="2" fontId="16" fillId="0" borderId="1" xfId="0" applyNumberFormat="1" applyFont="1" applyBorder="1" applyAlignment="1">
      <alignment horizontal="right" vertical="top"/>
    </xf>
    <xf numFmtId="0" fontId="8" fillId="6" borderId="3" xfId="0" applyFont="1" applyFill="1" applyBorder="1" applyProtection="1">
      <protection locked="0"/>
    </xf>
    <xf numFmtId="1" fontId="16" fillId="0" borderId="1" xfId="0" applyNumberFormat="1" applyFont="1" applyBorder="1" applyAlignment="1" applyProtection="1">
      <alignment horizontal="right"/>
      <protection locked="0"/>
    </xf>
    <xf numFmtId="167" fontId="8" fillId="6" borderId="1" xfId="0" applyNumberFormat="1" applyFont="1" applyFill="1" applyBorder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0" fontId="7" fillId="6" borderId="1" xfId="0" applyFont="1" applyFill="1" applyBorder="1" applyAlignment="1">
      <alignment horizontal="right"/>
    </xf>
    <xf numFmtId="166" fontId="18" fillId="0" borderId="0" xfId="0" applyNumberFormat="1" applyFont="1"/>
    <xf numFmtId="170" fontId="6" fillId="0" borderId="46" xfId="0" applyNumberFormat="1" applyFont="1" applyBorder="1" applyAlignment="1" applyProtection="1">
      <alignment horizontal="center"/>
      <protection locked="0"/>
    </xf>
    <xf numFmtId="0" fontId="6" fillId="0" borderId="46" xfId="0" applyFont="1" applyBorder="1" applyAlignment="1" applyProtection="1">
      <alignment horizontal="center"/>
      <protection locked="0"/>
    </xf>
    <xf numFmtId="4" fontId="6" fillId="0" borderId="46" xfId="0" applyNumberFormat="1" applyFont="1" applyBorder="1" applyAlignment="1" applyProtection="1">
      <alignment horizontal="center"/>
      <protection locked="0"/>
    </xf>
    <xf numFmtId="2" fontId="6" fillId="0" borderId="46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69" fontId="16" fillId="0" borderId="1" xfId="0" applyNumberFormat="1" applyFont="1" applyBorder="1" applyAlignment="1" applyProtection="1">
      <alignment horizontal="right" vertical="top"/>
      <protection locked="0"/>
    </xf>
    <xf numFmtId="169" fontId="17" fillId="0" borderId="1" xfId="0" applyNumberFormat="1" applyFont="1" applyBorder="1" applyAlignment="1">
      <alignment horizontal="right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6" xfId="0" applyFont="1" applyFill="1" applyBorder="1" applyAlignment="1" applyProtection="1">
      <alignment horizontal="center"/>
      <protection locked="0"/>
    </xf>
    <xf numFmtId="2" fontId="3" fillId="2" borderId="6" xfId="0" applyNumberFormat="1" applyFont="1" applyFill="1" applyBorder="1" applyAlignment="1" applyProtection="1">
      <alignment horizontal="center"/>
      <protection locked="0"/>
    </xf>
    <xf numFmtId="0" fontId="4" fillId="2" borderId="7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4" fontId="1" fillId="0" borderId="3" xfId="0" applyNumberFormat="1" applyFont="1" applyBorder="1" applyAlignment="1" applyProtection="1">
      <alignment horizontal="center"/>
      <protection locked="0"/>
    </xf>
    <xf numFmtId="0" fontId="1" fillId="0" borderId="1" xfId="0" quotePrefix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right"/>
      <protection locked="0"/>
    </xf>
    <xf numFmtId="0" fontId="2" fillId="0" borderId="4" xfId="0" applyFont="1" applyBorder="1" applyAlignment="1" applyProtection="1">
      <alignment horizontal="right"/>
      <protection locked="0"/>
    </xf>
    <xf numFmtId="17" fontId="5" fillId="0" borderId="1" xfId="0" applyNumberFormat="1" applyFont="1" applyBorder="1" applyAlignment="1" applyProtection="1">
      <alignment horizontal="center"/>
      <protection locked="0"/>
    </xf>
    <xf numFmtId="14" fontId="2" fillId="0" borderId="3" xfId="0" applyNumberFormat="1" applyFont="1" applyBorder="1" applyAlignment="1" applyProtection="1">
      <alignment horizontal="center"/>
      <protection locked="0"/>
    </xf>
    <xf numFmtId="49" fontId="2" fillId="0" borderId="4" xfId="0" applyNumberFormat="1" applyFont="1" applyBorder="1" applyAlignment="1" applyProtection="1">
      <alignment horizontal="right"/>
      <protection locked="0"/>
    </xf>
    <xf numFmtId="49" fontId="1" fillId="0" borderId="1" xfId="0" applyNumberFormat="1" applyFont="1" applyBorder="1" applyProtection="1">
      <protection locked="0"/>
    </xf>
    <xf numFmtId="0" fontId="1" fillId="0" borderId="4" xfId="0" applyFont="1" applyBorder="1" applyAlignment="1" applyProtection="1">
      <alignment horizontal="right"/>
      <protection locked="0"/>
    </xf>
    <xf numFmtId="49" fontId="1" fillId="0" borderId="1" xfId="0" quotePrefix="1" applyNumberFormat="1" applyFont="1" applyBorder="1" applyAlignment="1" applyProtection="1">
      <alignment horizontal="center"/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right"/>
      <protection locked="0"/>
    </xf>
    <xf numFmtId="0" fontId="1" fillId="0" borderId="2" xfId="0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right"/>
      <protection locked="0"/>
    </xf>
    <xf numFmtId="0" fontId="2" fillId="0" borderId="8" xfId="0" applyFont="1" applyBorder="1" applyAlignment="1" applyProtection="1">
      <alignment horizontal="right"/>
      <protection locked="0"/>
    </xf>
    <xf numFmtId="0" fontId="2" fillId="5" borderId="4" xfId="0" applyFont="1" applyFill="1" applyBorder="1" applyAlignment="1" applyProtection="1">
      <alignment horizontal="right"/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right"/>
      <protection locked="0"/>
    </xf>
    <xf numFmtId="17" fontId="5" fillId="0" borderId="1" xfId="0" applyNumberFormat="1" applyFont="1" applyBorder="1" applyAlignment="1">
      <alignment horizontal="center"/>
    </xf>
    <xf numFmtId="14" fontId="2" fillId="0" borderId="3" xfId="0" applyNumberFormat="1" applyFont="1" applyBorder="1" applyAlignment="1">
      <alignment horizontal="center"/>
    </xf>
    <xf numFmtId="0" fontId="6" fillId="0" borderId="1" xfId="0" pivotButton="1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7" fillId="2" borderId="1" xfId="0" applyFont="1" applyFill="1" applyBorder="1" applyProtection="1"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6" fillId="0" borderId="1" xfId="0" applyFont="1" applyBorder="1" applyAlignment="1" applyProtection="1">
      <alignment horizontal="left" indent="1"/>
      <protection locked="0"/>
    </xf>
    <xf numFmtId="14" fontId="9" fillId="0" borderId="1" xfId="0" applyNumberFormat="1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Alignment="1" applyProtection="1">
      <alignment horizontal="center"/>
      <protection locked="0"/>
    </xf>
    <xf numFmtId="2" fontId="3" fillId="3" borderId="6" xfId="0" applyNumberFormat="1" applyFont="1" applyFill="1" applyBorder="1" applyAlignment="1" applyProtection="1">
      <alignment horizontal="center"/>
      <protection locked="0"/>
    </xf>
    <xf numFmtId="0" fontId="4" fillId="3" borderId="7" xfId="0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right"/>
      <protection locked="0"/>
    </xf>
    <xf numFmtId="164" fontId="1" fillId="0" borderId="1" xfId="0" applyNumberFormat="1" applyFont="1" applyBorder="1" applyAlignment="1" applyProtection="1">
      <alignment horizontal="right"/>
      <protection locked="0"/>
    </xf>
    <xf numFmtId="49" fontId="2" fillId="0" borderId="8" xfId="0" applyNumberFormat="1" applyFont="1" applyBorder="1" applyAlignment="1" applyProtection="1">
      <alignment horizontal="right"/>
      <protection locked="0"/>
    </xf>
    <xf numFmtId="49" fontId="1" fillId="0" borderId="2" xfId="0" applyNumberFormat="1" applyFont="1" applyBorder="1" applyProtection="1">
      <protection locked="0"/>
    </xf>
    <xf numFmtId="0" fontId="8" fillId="3" borderId="1" xfId="0" applyFont="1" applyFill="1" applyBorder="1" applyProtection="1">
      <protection locked="0"/>
    </xf>
    <xf numFmtId="0" fontId="3" fillId="4" borderId="5" xfId="0" applyFont="1" applyFill="1" applyBorder="1" applyAlignment="1" applyProtection="1">
      <alignment horizontal="center"/>
      <protection locked="0"/>
    </xf>
    <xf numFmtId="0" fontId="3" fillId="4" borderId="6" xfId="0" applyFont="1" applyFill="1" applyBorder="1" applyAlignment="1" applyProtection="1">
      <alignment horizontal="center"/>
      <protection locked="0"/>
    </xf>
    <xf numFmtId="2" fontId="3" fillId="4" borderId="6" xfId="0" applyNumberFormat="1" applyFont="1" applyFill="1" applyBorder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Protection="1">
      <protection locked="0"/>
    </xf>
    <xf numFmtId="0" fontId="2" fillId="5" borderId="1" xfId="0" applyFont="1" applyFill="1" applyBorder="1" applyAlignment="1" applyProtection="1">
      <alignment horizontal="left"/>
      <protection locked="0"/>
    </xf>
    <xf numFmtId="0" fontId="2" fillId="5" borderId="1" xfId="0" applyFont="1" applyFill="1" applyBorder="1" applyAlignment="1" applyProtection="1">
      <alignment horizontal="left" indent="1"/>
      <protection locked="0"/>
    </xf>
    <xf numFmtId="14" fontId="2" fillId="5" borderId="1" xfId="0" applyNumberFormat="1" applyFont="1" applyFill="1" applyBorder="1" applyAlignment="1" applyProtection="1">
      <alignment horizontal="left"/>
      <protection locked="0"/>
    </xf>
    <xf numFmtId="1" fontId="1" fillId="0" borderId="1" xfId="0" applyNumberFormat="1" applyFont="1" applyBorder="1" applyAlignment="1" applyProtection="1">
      <alignment horizontal="right"/>
      <protection locked="0"/>
    </xf>
    <xf numFmtId="0" fontId="34" fillId="4" borderId="40" xfId="0" applyFont="1" applyFill="1" applyBorder="1" applyAlignment="1" applyProtection="1">
      <alignment horizontal="center"/>
      <protection locked="0"/>
    </xf>
    <xf numFmtId="0" fontId="34" fillId="4" borderId="41" xfId="0" applyFont="1" applyFill="1" applyBorder="1" applyAlignment="1" applyProtection="1">
      <alignment horizontal="center"/>
      <protection locked="0"/>
    </xf>
    <xf numFmtId="2" fontId="34" fillId="4" borderId="41" xfId="0" applyNumberFormat="1" applyFont="1" applyFill="1" applyBorder="1" applyAlignment="1" applyProtection="1">
      <alignment horizontal="center"/>
      <protection locked="0"/>
    </xf>
    <xf numFmtId="0" fontId="8" fillId="4" borderId="42" xfId="0" applyFont="1" applyFill="1" applyBorder="1" applyAlignment="1" applyProtection="1">
      <alignment horizontal="center"/>
      <protection locked="0"/>
    </xf>
    <xf numFmtId="14" fontId="6" fillId="0" borderId="1" xfId="0" applyNumberFormat="1" applyFont="1" applyBorder="1" applyProtection="1">
      <protection locked="0"/>
    </xf>
    <xf numFmtId="0" fontId="12" fillId="5" borderId="1" xfId="0" applyFont="1" applyFill="1" applyBorder="1" applyProtection="1">
      <protection locked="0"/>
    </xf>
    <xf numFmtId="0" fontId="6" fillId="5" borderId="1" xfId="0" applyFont="1" applyFill="1" applyBorder="1" applyProtection="1"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17" fontId="6" fillId="5" borderId="1" xfId="0" applyNumberFormat="1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left"/>
      <protection locked="0"/>
    </xf>
    <xf numFmtId="0" fontId="9" fillId="5" borderId="1" xfId="0" applyFont="1" applyFill="1" applyBorder="1" applyAlignment="1" applyProtection="1">
      <alignment horizontal="left"/>
      <protection locked="0"/>
    </xf>
    <xf numFmtId="166" fontId="16" fillId="0" borderId="23" xfId="0" applyNumberFormat="1" applyFont="1" applyBorder="1" applyAlignment="1">
      <alignment horizontal="right"/>
    </xf>
    <xf numFmtId="0" fontId="6" fillId="0" borderId="45" xfId="0" applyFont="1" applyBorder="1" applyAlignment="1">
      <alignment horizontal="center"/>
    </xf>
    <xf numFmtId="2" fontId="6" fillId="0" borderId="45" xfId="0" applyNumberFormat="1" applyFont="1" applyBorder="1" applyAlignment="1">
      <alignment horizontal="center"/>
    </xf>
    <xf numFmtId="0" fontId="14" fillId="0" borderId="0" xfId="0" applyFont="1"/>
    <xf numFmtId="169" fontId="16" fillId="0" borderId="1" xfId="0" applyNumberFormat="1" applyFont="1" applyBorder="1" applyAlignment="1" applyProtection="1">
      <alignment horizontal="right"/>
      <protection locked="0"/>
    </xf>
    <xf numFmtId="169" fontId="16" fillId="0" borderId="1" xfId="0" applyNumberFormat="1" applyFont="1" applyBorder="1" applyAlignment="1">
      <alignment horizontal="right"/>
    </xf>
    <xf numFmtId="171" fontId="16" fillId="0" borderId="1" xfId="0" applyNumberFormat="1" applyFont="1" applyBorder="1" applyAlignment="1" applyProtection="1">
      <alignment horizontal="right" vertical="top"/>
      <protection locked="0"/>
    </xf>
    <xf numFmtId="171" fontId="16" fillId="0" borderId="1" xfId="0" applyNumberFormat="1" applyFont="1" applyBorder="1" applyAlignment="1">
      <alignment horizontal="right"/>
    </xf>
    <xf numFmtId="171" fontId="16" fillId="0" borderId="1" xfId="0" applyNumberFormat="1" applyFont="1" applyBorder="1" applyAlignment="1" applyProtection="1">
      <alignment horizontal="right"/>
      <protection locked="0"/>
    </xf>
    <xf numFmtId="14" fontId="0" fillId="0" borderId="1" xfId="0" applyNumberFormat="1" applyBorder="1" applyProtection="1">
      <protection locked="0"/>
    </xf>
    <xf numFmtId="14" fontId="2" fillId="0" borderId="1" xfId="0" applyNumberFormat="1" applyFont="1" applyBorder="1" applyAlignment="1">
      <alignment horizontal="center"/>
    </xf>
    <xf numFmtId="0" fontId="25" fillId="0" borderId="0" xfId="0" applyFont="1" applyProtection="1">
      <protection locked="0"/>
    </xf>
    <xf numFmtId="0" fontId="31" fillId="10" borderId="36" xfId="1" applyFont="1" applyFill="1" applyBorder="1" applyAlignment="1">
      <alignment horizontal="left" vertical="center"/>
    </xf>
    <xf numFmtId="0" fontId="7" fillId="0" borderId="15" xfId="0" applyFont="1" applyBorder="1"/>
    <xf numFmtId="0" fontId="7" fillId="0" borderId="16" xfId="0" applyFont="1" applyBorder="1"/>
    <xf numFmtId="0" fontId="30" fillId="10" borderId="49" xfId="1" applyFont="1" applyFill="1" applyBorder="1" applyAlignment="1">
      <alignment vertical="center" indent="1"/>
    </xf>
    <xf numFmtId="0" fontId="30" fillId="10" borderId="50" xfId="1" applyFont="1" applyFill="1" applyBorder="1" applyAlignment="1">
      <alignment vertical="center" indent="1"/>
    </xf>
    <xf numFmtId="0" fontId="30" fillId="10" borderId="47" xfId="1" applyFont="1" applyFill="1" applyBorder="1" applyAlignment="1">
      <alignment vertical="center" indent="1"/>
    </xf>
    <xf numFmtId="0" fontId="30" fillId="10" borderId="50" xfId="1" applyFont="1" applyFill="1" applyBorder="1" applyAlignment="1">
      <alignment horizontal="left" vertical="center"/>
    </xf>
    <xf numFmtId="0" fontId="30" fillId="10" borderId="51" xfId="1" applyFont="1" applyFill="1" applyBorder="1" applyAlignment="1">
      <alignment horizontal="left" vertical="center"/>
    </xf>
    <xf numFmtId="0" fontId="30" fillId="10" borderId="52" xfId="1" applyFont="1" applyFill="1" applyBorder="1" applyAlignment="1">
      <alignment horizontal="left" vertical="center"/>
    </xf>
    <xf numFmtId="0" fontId="31" fillId="10" borderId="52" xfId="1" applyFont="1" applyFill="1" applyBorder="1" applyAlignment="1">
      <alignment horizontal="left" vertical="center"/>
    </xf>
    <xf numFmtId="0" fontId="30" fillId="10" borderId="53" xfId="1" applyFont="1" applyFill="1" applyBorder="1" applyAlignment="1">
      <alignment horizontal="left" vertical="center"/>
    </xf>
    <xf numFmtId="0" fontId="31" fillId="10" borderId="53" xfId="1" applyFont="1" applyFill="1" applyBorder="1" applyAlignment="1">
      <alignment horizontal="left" vertical="center"/>
    </xf>
    <xf numFmtId="0" fontId="31" fillId="10" borderId="54" xfId="1" applyFont="1" applyFill="1" applyBorder="1" applyAlignment="1">
      <alignment horizontal="left" vertical="center"/>
    </xf>
    <xf numFmtId="0" fontId="30" fillId="10" borderId="55" xfId="1" applyFont="1" applyFill="1" applyBorder="1" applyAlignment="1">
      <alignment horizontal="left" vertical="center"/>
    </xf>
    <xf numFmtId="0" fontId="43" fillId="0" borderId="0" xfId="0" applyFont="1" applyProtection="1">
      <protection locked="0"/>
    </xf>
    <xf numFmtId="170" fontId="44" fillId="0" borderId="45" xfId="0" applyNumberFormat="1" applyFont="1" applyBorder="1" applyAlignment="1" applyProtection="1">
      <alignment horizontal="center"/>
      <protection locked="0"/>
    </xf>
    <xf numFmtId="0" fontId="44" fillId="0" borderId="45" xfId="0" applyFont="1" applyBorder="1" applyAlignment="1" applyProtection="1">
      <alignment horizontal="center"/>
      <protection locked="0"/>
    </xf>
    <xf numFmtId="2" fontId="44" fillId="0" borderId="45" xfId="0" applyNumberFormat="1" applyFont="1" applyBorder="1" applyAlignment="1" applyProtection="1">
      <alignment horizontal="center"/>
      <protection locked="0"/>
    </xf>
    <xf numFmtId="172" fontId="6" fillId="0" borderId="45" xfId="0" applyNumberFormat="1" applyFont="1" applyBorder="1" applyAlignment="1" applyProtection="1">
      <alignment horizontal="center"/>
      <protection locked="0"/>
    </xf>
    <xf numFmtId="172" fontId="44" fillId="0" borderId="45" xfId="0" applyNumberFormat="1" applyFont="1" applyBorder="1" applyAlignment="1" applyProtection="1">
      <alignment horizontal="center"/>
      <protection locked="0"/>
    </xf>
    <xf numFmtId="0" fontId="0" fillId="13" borderId="0" xfId="0" applyFill="1"/>
    <xf numFmtId="0" fontId="26" fillId="9" borderId="56" xfId="0" applyFont="1" applyFill="1" applyBorder="1" applyAlignment="1" applyProtection="1">
      <alignment horizontal="center"/>
      <protection locked="0"/>
    </xf>
    <xf numFmtId="0" fontId="26" fillId="9" borderId="57" xfId="0" applyFont="1" applyFill="1" applyBorder="1" applyAlignment="1" applyProtection="1">
      <alignment horizontal="center"/>
      <protection locked="0"/>
    </xf>
    <xf numFmtId="0" fontId="26" fillId="9" borderId="58" xfId="0" applyFont="1" applyFill="1" applyBorder="1" applyAlignment="1" applyProtection="1">
      <alignment horizontal="center"/>
      <protection locked="0"/>
    </xf>
    <xf numFmtId="0" fontId="16" fillId="14" borderId="1" xfId="0" applyFont="1" applyFill="1" applyBorder="1" applyAlignment="1" applyProtection="1">
      <alignment horizontal="center"/>
      <protection locked="0"/>
    </xf>
    <xf numFmtId="166" fontId="17" fillId="14" borderId="1" xfId="0" applyNumberFormat="1" applyFont="1" applyFill="1" applyBorder="1"/>
    <xf numFmtId="0" fontId="32" fillId="14" borderId="1" xfId="0" applyFont="1" applyFill="1" applyBorder="1" applyAlignment="1" applyProtection="1">
      <alignment horizontal="center"/>
      <protection locked="0"/>
    </xf>
    <xf numFmtId="166" fontId="23" fillId="14" borderId="1" xfId="0" applyNumberFormat="1" applyFont="1" applyFill="1" applyBorder="1"/>
    <xf numFmtId="166" fontId="17" fillId="14" borderId="1" xfId="0" applyNumberFormat="1" applyFont="1" applyFill="1" applyBorder="1" applyProtection="1">
      <protection locked="0"/>
    </xf>
    <xf numFmtId="0" fontId="27" fillId="14" borderId="1" xfId="1" applyFont="1" applyFill="1" applyBorder="1"/>
    <xf numFmtId="0" fontId="16" fillId="14" borderId="1" xfId="0" applyFont="1" applyFill="1" applyBorder="1" applyAlignment="1">
      <alignment horizontal="center"/>
    </xf>
    <xf numFmtId="0" fontId="31" fillId="10" borderId="55" xfId="1" applyFont="1" applyFill="1" applyBorder="1" applyAlignment="1">
      <alignment vertical="center"/>
    </xf>
    <xf numFmtId="0" fontId="31" fillId="10" borderId="54" xfId="1" applyFont="1" applyFill="1" applyBorder="1" applyAlignment="1">
      <alignment vertical="center"/>
    </xf>
    <xf numFmtId="0" fontId="45" fillId="0" borderId="0" xfId="0" applyFont="1" applyProtection="1">
      <protection locked="0"/>
    </xf>
    <xf numFmtId="172" fontId="6" fillId="0" borderId="45" xfId="0" applyNumberFormat="1" applyFont="1" applyBorder="1" applyAlignment="1">
      <alignment horizontal="center"/>
    </xf>
    <xf numFmtId="172" fontId="0" fillId="0" borderId="0" xfId="0" applyNumberFormat="1" applyProtection="1">
      <protection locked="0"/>
    </xf>
    <xf numFmtId="172" fontId="43" fillId="0" borderId="0" xfId="0" applyNumberFormat="1" applyFont="1" applyProtection="1">
      <protection locked="0"/>
    </xf>
    <xf numFmtId="170" fontId="44" fillId="0" borderId="45" xfId="0" applyNumberFormat="1" applyFont="1" applyBorder="1" applyAlignment="1">
      <alignment horizontal="center"/>
    </xf>
    <xf numFmtId="0" fontId="44" fillId="0" borderId="45" xfId="0" applyFont="1" applyBorder="1" applyAlignment="1">
      <alignment horizontal="center"/>
    </xf>
    <xf numFmtId="172" fontId="44" fillId="0" borderId="45" xfId="0" applyNumberFormat="1" applyFont="1" applyBorder="1" applyAlignment="1">
      <alignment horizontal="center"/>
    </xf>
    <xf numFmtId="172" fontId="0" fillId="0" borderId="0" xfId="0" applyNumberFormat="1"/>
    <xf numFmtId="172" fontId="6" fillId="0" borderId="46" xfId="0" applyNumberFormat="1" applyFont="1" applyBorder="1" applyAlignment="1" applyProtection="1">
      <alignment horizontal="center"/>
      <protection locked="0"/>
    </xf>
    <xf numFmtId="0" fontId="43" fillId="0" borderId="0" xfId="0" applyFont="1"/>
    <xf numFmtId="172" fontId="43" fillId="0" borderId="0" xfId="0" applyNumberFormat="1" applyFont="1"/>
    <xf numFmtId="172" fontId="6" fillId="0" borderId="0" xfId="0" applyNumberFormat="1" applyFont="1" applyAlignment="1" applyProtection="1">
      <alignment horizontal="center"/>
      <protection locked="0"/>
    </xf>
    <xf numFmtId="170" fontId="44" fillId="0" borderId="0" xfId="0" applyNumberFormat="1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center"/>
      <protection locked="0"/>
    </xf>
    <xf numFmtId="2" fontId="44" fillId="0" borderId="0" xfId="0" applyNumberFormat="1" applyFont="1" applyAlignment="1" applyProtection="1">
      <alignment horizontal="center"/>
      <protection locked="0"/>
    </xf>
    <xf numFmtId="172" fontId="4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168" fontId="16" fillId="0" borderId="1" xfId="0" applyNumberFormat="1" applyFont="1" applyBorder="1"/>
    <xf numFmtId="169" fontId="16" fillId="0" borderId="1" xfId="0" applyNumberFormat="1" applyFont="1" applyBorder="1"/>
    <xf numFmtId="171" fontId="16" fillId="0" borderId="1" xfId="0" applyNumberFormat="1" applyFont="1" applyBorder="1"/>
    <xf numFmtId="168" fontId="16" fillId="0" borderId="45" xfId="0" applyNumberFormat="1" applyFont="1" applyBorder="1"/>
    <xf numFmtId="168" fontId="16" fillId="0" borderId="4" xfId="0" applyNumberFormat="1" applyFont="1" applyBorder="1"/>
    <xf numFmtId="169" fontId="16" fillId="0" borderId="3" xfId="0" applyNumberFormat="1" applyFont="1" applyBorder="1"/>
    <xf numFmtId="173" fontId="16" fillId="0" borderId="1" xfId="0" applyNumberFormat="1" applyFont="1" applyBorder="1"/>
    <xf numFmtId="168" fontId="48" fillId="0" borderId="0" xfId="0" applyNumberFormat="1" applyFont="1" applyProtection="1">
      <protection locked="0"/>
    </xf>
    <xf numFmtId="170" fontId="48" fillId="0" borderId="0" xfId="0" applyNumberFormat="1" applyFont="1" applyProtection="1">
      <protection locked="0"/>
    </xf>
    <xf numFmtId="168" fontId="7" fillId="0" borderId="1" xfId="0" applyNumberFormat="1" applyFont="1" applyBorder="1"/>
    <xf numFmtId="169" fontId="7" fillId="0" borderId="1" xfId="0" applyNumberFormat="1" applyFont="1" applyBorder="1"/>
    <xf numFmtId="173" fontId="7" fillId="0" borderId="1" xfId="0" applyNumberFormat="1" applyFont="1" applyBorder="1"/>
    <xf numFmtId="174" fontId="48" fillId="15" borderId="60" xfId="0" applyNumberFormat="1" applyFont="1" applyFill="1" applyBorder="1" applyProtection="1">
      <protection locked="0"/>
    </xf>
    <xf numFmtId="174" fontId="50" fillId="15" borderId="35" xfId="0" applyNumberFormat="1" applyFont="1" applyFill="1" applyBorder="1" applyProtection="1">
      <protection locked="0"/>
    </xf>
    <xf numFmtId="170" fontId="50" fillId="15" borderId="60" xfId="0" applyNumberFormat="1" applyFont="1" applyFill="1" applyBorder="1" applyProtection="1">
      <protection locked="0"/>
    </xf>
    <xf numFmtId="174" fontId="59" fillId="15" borderId="35" xfId="0" applyNumberFormat="1" applyFont="1" applyFill="1" applyBorder="1" applyAlignment="1" applyProtection="1">
      <alignment horizontal="right"/>
      <protection locked="0"/>
    </xf>
    <xf numFmtId="170" fontId="59" fillId="15" borderId="60" xfId="0" applyNumberFormat="1" applyFont="1" applyFill="1" applyBorder="1" applyAlignment="1" applyProtection="1">
      <alignment horizontal="right"/>
      <protection locked="0"/>
    </xf>
    <xf numFmtId="0" fontId="6" fillId="0" borderId="0" xfId="0" applyFont="1"/>
    <xf numFmtId="0" fontId="60" fillId="0" borderId="0" xfId="0" applyFont="1"/>
    <xf numFmtId="0" fontId="14" fillId="6" borderId="1" xfId="0" applyFont="1" applyFill="1" applyBorder="1"/>
    <xf numFmtId="0" fontId="61" fillId="0" borderId="0" xfId="0" applyFont="1"/>
    <xf numFmtId="0" fontId="62" fillId="0" borderId="0" xfId="0" applyFont="1"/>
    <xf numFmtId="0" fontId="6" fillId="0" borderId="63" xfId="0" applyFont="1" applyBorder="1" applyAlignment="1">
      <alignment horizontal="right"/>
    </xf>
    <xf numFmtId="0" fontId="6" fillId="0" borderId="64" xfId="0" applyFont="1" applyBorder="1" applyAlignment="1">
      <alignment horizontal="right"/>
    </xf>
    <xf numFmtId="0" fontId="6" fillId="0" borderId="62" xfId="0" applyFont="1" applyBorder="1"/>
    <xf numFmtId="0" fontId="6" fillId="0" borderId="63" xfId="0" applyFont="1" applyBorder="1"/>
    <xf numFmtId="0" fontId="6" fillId="0" borderId="64" xfId="0" applyFont="1" applyBorder="1"/>
    <xf numFmtId="0" fontId="6" fillId="0" borderId="68" xfId="0" applyFont="1" applyBorder="1"/>
    <xf numFmtId="0" fontId="6" fillId="0" borderId="4" xfId="0" applyFont="1" applyBorder="1"/>
    <xf numFmtId="0" fontId="6" fillId="0" borderId="3" xfId="0" applyFont="1" applyBorder="1"/>
    <xf numFmtId="0" fontId="31" fillId="10" borderId="49" xfId="1" applyFont="1" applyFill="1" applyBorder="1" applyAlignment="1">
      <alignment horizontal="left" vertical="center"/>
    </xf>
    <xf numFmtId="0" fontId="64" fillId="0" borderId="0" xfId="0" applyFont="1" applyAlignment="1">
      <alignment horizontal="left"/>
    </xf>
    <xf numFmtId="0" fontId="65" fillId="0" borderId="0" xfId="0" applyFont="1" applyAlignment="1">
      <alignment horizontal="left"/>
    </xf>
    <xf numFmtId="0" fontId="64" fillId="0" borderId="0" xfId="0" applyFont="1"/>
    <xf numFmtId="0" fontId="64" fillId="0" borderId="0" xfId="0" applyFont="1" applyAlignment="1">
      <alignment horizontal="right"/>
    </xf>
    <xf numFmtId="0" fontId="66" fillId="16" borderId="0" xfId="0" applyFont="1" applyFill="1"/>
    <xf numFmtId="0" fontId="67" fillId="0" borderId="63" xfId="0" applyFont="1" applyBorder="1" applyAlignment="1">
      <alignment horizontal="right"/>
    </xf>
    <xf numFmtId="0" fontId="67" fillId="0" borderId="64" xfId="0" applyFont="1" applyBorder="1" applyAlignment="1">
      <alignment horizontal="right"/>
    </xf>
    <xf numFmtId="0" fontId="65" fillId="0" borderId="2" xfId="0" applyFont="1" applyBorder="1" applyAlignment="1">
      <alignment horizontal="right"/>
    </xf>
    <xf numFmtId="0" fontId="64" fillId="0" borderId="4" xfId="0" applyFont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64" fillId="0" borderId="3" xfId="0" applyFont="1" applyBorder="1" applyAlignment="1">
      <alignment horizontal="center"/>
    </xf>
    <xf numFmtId="0" fontId="65" fillId="0" borderId="7" xfId="0" applyFont="1" applyBorder="1" applyAlignment="1">
      <alignment horizontal="left"/>
    </xf>
    <xf numFmtId="0" fontId="64" fillId="0" borderId="67" xfId="0" applyFont="1" applyBorder="1"/>
    <xf numFmtId="0" fontId="65" fillId="0" borderId="5" xfId="0" applyFont="1" applyBorder="1" applyAlignment="1">
      <alignment horizontal="right"/>
    </xf>
    <xf numFmtId="0" fontId="7" fillId="0" borderId="0" xfId="0" applyFont="1"/>
    <xf numFmtId="0" fontId="31" fillId="10" borderId="50" xfId="1" applyFont="1" applyFill="1" applyBorder="1" applyAlignment="1">
      <alignment horizontal="left" vertical="center"/>
    </xf>
    <xf numFmtId="0" fontId="31" fillId="10" borderId="1" xfId="1" applyFont="1" applyFill="1" applyBorder="1" applyAlignment="1">
      <alignment horizontal="left"/>
    </xf>
    <xf numFmtId="0" fontId="31" fillId="10" borderId="1" xfId="1" applyFont="1" applyFill="1" applyBorder="1"/>
    <xf numFmtId="0" fontId="31" fillId="10" borderId="22" xfId="1" applyFont="1" applyFill="1" applyBorder="1" applyAlignment="1">
      <alignment horizontal="left"/>
    </xf>
    <xf numFmtId="0" fontId="31" fillId="10" borderId="23" xfId="1" applyFont="1" applyFill="1" applyBorder="1" applyAlignment="1">
      <alignment horizontal="left"/>
    </xf>
    <xf numFmtId="0" fontId="31" fillId="10" borderId="22" xfId="1" applyFont="1" applyFill="1" applyBorder="1"/>
    <xf numFmtId="0" fontId="31" fillId="10" borderId="23" xfId="1" applyFont="1" applyFill="1" applyBorder="1"/>
    <xf numFmtId="0" fontId="31" fillId="10" borderId="70" xfId="1" applyFont="1" applyFill="1" applyBorder="1" applyAlignment="1">
      <alignment horizontal="left"/>
    </xf>
    <xf numFmtId="0" fontId="31" fillId="10" borderId="71" xfId="1" applyFont="1" applyFill="1" applyBorder="1" applyAlignment="1">
      <alignment horizontal="left"/>
    </xf>
    <xf numFmtId="0" fontId="31" fillId="10" borderId="72" xfId="1" applyFont="1" applyFill="1" applyBorder="1" applyAlignment="1">
      <alignment horizontal="left"/>
    </xf>
    <xf numFmtId="3" fontId="0" fillId="0" borderId="73" xfId="0" applyNumberFormat="1" applyBorder="1"/>
    <xf numFmtId="49" fontId="7" fillId="0" borderId="1" xfId="0" applyNumberFormat="1" applyFont="1" applyBorder="1" applyAlignment="1" applyProtection="1">
      <alignment horizontal="center"/>
      <protection locked="0"/>
    </xf>
    <xf numFmtId="49" fontId="52" fillId="0" borderId="1" xfId="0" applyNumberFormat="1" applyFont="1" applyBorder="1" applyAlignment="1" applyProtection="1">
      <alignment horizontal="center"/>
      <protection locked="0"/>
    </xf>
    <xf numFmtId="0" fontId="35" fillId="0" borderId="0" xfId="0" applyFont="1" applyAlignment="1">
      <alignment horizontal="right"/>
    </xf>
    <xf numFmtId="0" fontId="2" fillId="0" borderId="0" xfId="0" applyFont="1"/>
    <xf numFmtId="0" fontId="6" fillId="0" borderId="1" xfId="0" applyFont="1" applyBorder="1"/>
    <xf numFmtId="0" fontId="56" fillId="9" borderId="61" xfId="1" applyNumberFormat="1" applyFont="1" applyFill="1" applyBorder="1" applyAlignment="1" applyProtection="1">
      <alignment horizontal="center" vertical="center"/>
    </xf>
    <xf numFmtId="0" fontId="16" fillId="9" borderId="0" xfId="0" applyFont="1" applyFill="1"/>
    <xf numFmtId="0" fontId="16" fillId="0" borderId="0" xfId="0" applyFont="1"/>
    <xf numFmtId="0" fontId="51" fillId="15" borderId="32" xfId="0" applyFont="1" applyFill="1" applyBorder="1" applyAlignment="1">
      <alignment horizontal="left"/>
    </xf>
    <xf numFmtId="0" fontId="58" fillId="15" borderId="34" xfId="0" applyFont="1" applyFill="1" applyBorder="1" applyAlignment="1" applyProtection="1">
      <alignment horizontal="right"/>
      <protection locked="0"/>
    </xf>
    <xf numFmtId="0" fontId="51" fillId="15" borderId="33" xfId="0" applyFont="1" applyFill="1" applyBorder="1" applyAlignment="1">
      <alignment horizontal="right"/>
    </xf>
    <xf numFmtId="0" fontId="26" fillId="8" borderId="1" xfId="0" applyFont="1" applyFill="1" applyBorder="1" applyAlignment="1">
      <alignment horizontal="center"/>
    </xf>
    <xf numFmtId="0" fontId="26" fillId="8" borderId="1" xfId="0" applyFont="1" applyFill="1" applyBorder="1"/>
    <xf numFmtId="0" fontId="51" fillId="15" borderId="59" xfId="0" applyFont="1" applyFill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16" fillId="0" borderId="1" xfId="0" applyFont="1" applyBorder="1" applyProtection="1">
      <protection locked="0"/>
    </xf>
    <xf numFmtId="0" fontId="30" fillId="0" borderId="1" xfId="0" applyFont="1" applyBorder="1"/>
    <xf numFmtId="0" fontId="7" fillId="0" borderId="1" xfId="0" applyFont="1" applyBorder="1"/>
    <xf numFmtId="0" fontId="33" fillId="8" borderId="45" xfId="0" applyFont="1" applyFill="1" applyBorder="1" applyAlignment="1">
      <alignment horizontal="center"/>
    </xf>
    <xf numFmtId="0" fontId="8" fillId="0" borderId="1" xfId="0" applyFont="1" applyBorder="1"/>
    <xf numFmtId="0" fontId="16" fillId="0" borderId="45" xfId="0" applyFont="1" applyBorder="1" applyAlignment="1">
      <alignment horizontal="left"/>
    </xf>
    <xf numFmtId="0" fontId="16" fillId="0" borderId="45" xfId="0" applyFont="1" applyBorder="1" applyAlignment="1">
      <alignment horizontal="center"/>
    </xf>
    <xf numFmtId="0" fontId="10" fillId="6" borderId="1" xfId="0" applyFont="1" applyFill="1" applyBorder="1"/>
    <xf numFmtId="0" fontId="57" fillId="15" borderId="32" xfId="0" applyFont="1" applyFill="1" applyBorder="1" applyAlignment="1">
      <alignment horizontal="right"/>
    </xf>
    <xf numFmtId="0" fontId="49" fillId="15" borderId="34" xfId="0" applyFont="1" applyFill="1" applyBorder="1" applyProtection="1">
      <protection locked="0"/>
    </xf>
    <xf numFmtId="0" fontId="57" fillId="15" borderId="33" xfId="0" applyFont="1" applyFill="1" applyBorder="1" applyAlignment="1">
      <alignment horizontal="right"/>
    </xf>
    <xf numFmtId="0" fontId="57" fillId="15" borderId="59" xfId="0" applyFont="1" applyFill="1" applyBorder="1" applyAlignment="1">
      <alignment horizontal="right"/>
    </xf>
    <xf numFmtId="0" fontId="51" fillId="0" borderId="1" xfId="0" applyFont="1" applyBorder="1"/>
    <xf numFmtId="0" fontId="35" fillId="0" borderId="1" xfId="0" applyFont="1" applyBorder="1"/>
    <xf numFmtId="0" fontId="46" fillId="6" borderId="1" xfId="0" applyFont="1" applyFill="1" applyBorder="1"/>
    <xf numFmtId="0" fontId="2" fillId="9" borderId="0" xfId="0" applyFont="1" applyFill="1"/>
    <xf numFmtId="0" fontId="69" fillId="0" borderId="0" xfId="0" applyFont="1"/>
    <xf numFmtId="0" fontId="55" fillId="15" borderId="32" xfId="0" applyFont="1" applyFill="1" applyBorder="1" applyAlignment="1">
      <alignment horizontal="right"/>
    </xf>
    <xf numFmtId="0" fontId="47" fillId="15" borderId="34" xfId="0" applyFont="1" applyFill="1" applyBorder="1" applyProtection="1">
      <protection locked="0"/>
    </xf>
    <xf numFmtId="0" fontId="68" fillId="0" borderId="0" xfId="0" applyFont="1"/>
    <xf numFmtId="0" fontId="55" fillId="15" borderId="59" xfId="0" applyFont="1" applyFill="1" applyBorder="1" applyAlignment="1">
      <alignment horizontal="right"/>
    </xf>
    <xf numFmtId="0" fontId="14" fillId="17" borderId="73" xfId="0" applyFont="1" applyFill="1" applyBorder="1" applyAlignment="1">
      <alignment horizontal="center"/>
    </xf>
    <xf numFmtId="0" fontId="26" fillId="8" borderId="4" xfId="0" applyFont="1" applyFill="1" applyBorder="1" applyAlignment="1">
      <alignment horizontal="center"/>
    </xf>
    <xf numFmtId="0" fontId="26" fillId="8" borderId="45" xfId="0" applyFont="1" applyFill="1" applyBorder="1" applyAlignment="1">
      <alignment horizontal="center"/>
    </xf>
    <xf numFmtId="0" fontId="26" fillId="8" borderId="3" xfId="0" applyFont="1" applyFill="1" applyBorder="1" applyAlignment="1">
      <alignment horizontal="center"/>
    </xf>
    <xf numFmtId="0" fontId="26" fillId="8" borderId="6" xfId="0" applyFont="1" applyFill="1" applyBorder="1" applyAlignment="1">
      <alignment horizontal="center"/>
    </xf>
    <xf numFmtId="0" fontId="0" fillId="0" borderId="73" xfId="0" applyBorder="1" applyAlignment="1">
      <alignment horizontal="center"/>
    </xf>
    <xf numFmtId="0" fontId="32" fillId="0" borderId="45" xfId="0" applyFont="1" applyBorder="1" applyAlignment="1">
      <alignment horizontal="center"/>
    </xf>
    <xf numFmtId="0" fontId="16" fillId="0" borderId="1" xfId="0" applyFont="1" applyBorder="1"/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27" fillId="15" borderId="32" xfId="0" applyFont="1" applyFill="1" applyBorder="1" applyAlignment="1">
      <alignment horizontal="right"/>
    </xf>
    <xf numFmtId="0" fontId="27" fillId="15" borderId="59" xfId="0" applyFont="1" applyFill="1" applyBorder="1" applyAlignment="1">
      <alignment horizontal="right"/>
    </xf>
    <xf numFmtId="0" fontId="10" fillId="6" borderId="1" xfId="0" applyFont="1" applyFill="1" applyBorder="1" applyAlignment="1">
      <alignment horizontal="left" vertical="center"/>
    </xf>
    <xf numFmtId="0" fontId="14" fillId="0" borderId="0" xfId="0" applyFont="1" applyAlignment="1">
      <alignment horizontal="right"/>
    </xf>
    <xf numFmtId="0" fontId="4" fillId="0" borderId="0" xfId="0" applyFont="1"/>
    <xf numFmtId="0" fontId="28" fillId="8" borderId="1" xfId="0" applyFont="1" applyFill="1" applyBorder="1" applyAlignment="1">
      <alignment horizontal="center"/>
    </xf>
    <xf numFmtId="0" fontId="28" fillId="8" borderId="6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Protection="1">
      <protection locked="0"/>
    </xf>
    <xf numFmtId="176" fontId="16" fillId="0" borderId="1" xfId="0" applyNumberFormat="1" applyFont="1" applyBorder="1"/>
    <xf numFmtId="176" fontId="52" fillId="0" borderId="1" xfId="0" applyNumberFormat="1" applyFont="1" applyBorder="1" applyProtection="1">
      <protection locked="0"/>
    </xf>
    <xf numFmtId="176" fontId="35" fillId="0" borderId="0" xfId="0" applyNumberFormat="1" applyFont="1"/>
    <xf numFmtId="176" fontId="8" fillId="0" borderId="1" xfId="0" applyNumberFormat="1" applyFont="1" applyBorder="1"/>
    <xf numFmtId="176" fontId="16" fillId="0" borderId="45" xfId="0" applyNumberFormat="1" applyFont="1" applyBorder="1"/>
    <xf numFmtId="176" fontId="10" fillId="6" borderId="1" xfId="0" applyNumberFormat="1" applyFont="1" applyFill="1" applyBorder="1"/>
    <xf numFmtId="176" fontId="35" fillId="0" borderId="1" xfId="0" applyNumberFormat="1" applyFont="1" applyBorder="1"/>
    <xf numFmtId="176" fontId="46" fillId="6" borderId="1" xfId="0" applyNumberFormat="1" applyFont="1" applyFill="1" applyBorder="1"/>
    <xf numFmtId="176" fontId="7" fillId="0" borderId="1" xfId="0" applyNumberFormat="1" applyFont="1" applyBorder="1"/>
    <xf numFmtId="176" fontId="48" fillId="15" borderId="60" xfId="0" applyNumberFormat="1" applyFont="1" applyFill="1" applyBorder="1" applyProtection="1">
      <protection locked="0"/>
    </xf>
    <xf numFmtId="176" fontId="7" fillId="0" borderId="1" xfId="0" applyNumberFormat="1" applyFont="1" applyBorder="1" applyAlignment="1">
      <alignment horizontal="left" vertical="center"/>
    </xf>
    <xf numFmtId="176" fontId="10" fillId="6" borderId="1" xfId="0" applyNumberFormat="1" applyFont="1" applyFill="1" applyBorder="1" applyAlignment="1">
      <alignment horizontal="left" vertical="center"/>
    </xf>
    <xf numFmtId="176" fontId="2" fillId="0" borderId="0" xfId="0" applyNumberFormat="1" applyFont="1"/>
    <xf numFmtId="176" fontId="53" fillId="0" borderId="1" xfId="0" applyNumberFormat="1" applyFont="1" applyBorder="1" applyProtection="1">
      <protection locked="0"/>
    </xf>
    <xf numFmtId="0" fontId="32" fillId="0" borderId="1" xfId="0" applyFont="1" applyBorder="1" applyAlignment="1">
      <alignment horizontal="center"/>
    </xf>
    <xf numFmtId="169" fontId="32" fillId="0" borderId="1" xfId="0" applyNumberFormat="1" applyFont="1" applyBorder="1"/>
    <xf numFmtId="171" fontId="32" fillId="0" borderId="1" xfId="0" applyNumberFormat="1" applyFont="1" applyBorder="1"/>
    <xf numFmtId="176" fontId="32" fillId="0" borderId="1" xfId="0" applyNumberFormat="1" applyFont="1" applyBorder="1"/>
    <xf numFmtId="0" fontId="32" fillId="0" borderId="1" xfId="0" applyFont="1" applyBorder="1" applyProtection="1"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3" fontId="50" fillId="0" borderId="73" xfId="0" applyNumberFormat="1" applyFont="1" applyBorder="1" applyAlignment="1" applyProtection="1">
      <alignment horizontal="center"/>
      <protection locked="0"/>
    </xf>
    <xf numFmtId="0" fontId="35" fillId="0" borderId="0" xfId="0" applyFont="1"/>
    <xf numFmtId="14" fontId="6" fillId="0" borderId="0" xfId="0" applyNumberFormat="1" applyFont="1" applyAlignment="1">
      <alignment horizontal="left"/>
    </xf>
    <xf numFmtId="0" fontId="70" fillId="0" borderId="0" xfId="0" applyFont="1" applyAlignment="1">
      <alignment horizontal="left"/>
    </xf>
    <xf numFmtId="0" fontId="70" fillId="0" borderId="0" xfId="0" applyFont="1"/>
    <xf numFmtId="0" fontId="70" fillId="0" borderId="0" xfId="0" applyFont="1" applyAlignment="1">
      <alignment horizontal="right"/>
    </xf>
    <xf numFmtId="0" fontId="8" fillId="0" borderId="0" xfId="0" applyFont="1" applyAlignment="1" applyProtection="1">
      <alignment horizontal="left"/>
      <protection locked="0"/>
    </xf>
    <xf numFmtId="0" fontId="38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0" fillId="0" borderId="0" xfId="0" applyFont="1" applyAlignment="1">
      <alignment horizontal="center" vertical="center"/>
    </xf>
    <xf numFmtId="0" fontId="19" fillId="0" borderId="0" xfId="0" applyFont="1"/>
    <xf numFmtId="0" fontId="71" fillId="0" borderId="0" xfId="0" applyFont="1"/>
    <xf numFmtId="0" fontId="8" fillId="0" borderId="1" xfId="0" applyFont="1" applyBorder="1" applyAlignment="1">
      <alignment horizontal="center" vertical="center"/>
    </xf>
    <xf numFmtId="168" fontId="7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2" fontId="7" fillId="0" borderId="1" xfId="0" applyNumberFormat="1" applyFont="1" applyBorder="1" applyAlignment="1">
      <alignment horizontal="center" vertical="center"/>
    </xf>
    <xf numFmtId="5" fontId="10" fillId="0" borderId="1" xfId="0" applyNumberFormat="1" applyFont="1" applyBorder="1" applyAlignment="1">
      <alignment horizontal="right" vertical="center"/>
    </xf>
    <xf numFmtId="0" fontId="8" fillId="0" borderId="0" xfId="0" applyFont="1"/>
    <xf numFmtId="0" fontId="19" fillId="0" borderId="0" xfId="0" applyFont="1" applyProtection="1">
      <protection locked="0"/>
    </xf>
    <xf numFmtId="170" fontId="44" fillId="0" borderId="46" xfId="0" applyNumberFormat="1" applyFont="1" applyBorder="1" applyAlignment="1" applyProtection="1">
      <alignment horizontal="center"/>
      <protection locked="0"/>
    </xf>
    <xf numFmtId="0" fontId="44" fillId="0" borderId="46" xfId="0" applyFont="1" applyBorder="1" applyAlignment="1" applyProtection="1">
      <alignment horizontal="center"/>
      <protection locked="0"/>
    </xf>
    <xf numFmtId="2" fontId="44" fillId="0" borderId="46" xfId="0" applyNumberFormat="1" applyFont="1" applyBorder="1" applyAlignment="1" applyProtection="1">
      <alignment horizontal="center"/>
      <protection locked="0"/>
    </xf>
    <xf numFmtId="0" fontId="35" fillId="12" borderId="46" xfId="0" applyFont="1" applyFill="1" applyBorder="1" applyAlignment="1" applyProtection="1">
      <alignment horizontal="center"/>
      <protection locked="0"/>
    </xf>
    <xf numFmtId="170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70" fontId="6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2" fontId="6" fillId="0" borderId="1" xfId="0" applyNumberFormat="1" applyFont="1" applyBorder="1" applyAlignment="1" applyProtection="1">
      <alignment horizontal="center"/>
      <protection locked="0"/>
    </xf>
    <xf numFmtId="172" fontId="6" fillId="0" borderId="1" xfId="0" applyNumberFormat="1" applyFont="1" applyBorder="1" applyAlignment="1" applyProtection="1">
      <alignment horizontal="center"/>
      <protection locked="0"/>
    </xf>
    <xf numFmtId="170" fontId="44" fillId="0" borderId="1" xfId="0" applyNumberFormat="1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/>
      <protection locked="0"/>
    </xf>
    <xf numFmtId="2" fontId="44" fillId="0" borderId="1" xfId="0" applyNumberFormat="1" applyFont="1" applyBorder="1" applyAlignment="1" applyProtection="1">
      <alignment horizontal="center"/>
      <protection locked="0"/>
    </xf>
    <xf numFmtId="172" fontId="44" fillId="0" borderId="1" xfId="0" applyNumberFormat="1" applyFont="1" applyBorder="1" applyAlignment="1" applyProtection="1">
      <alignment horizontal="center"/>
      <protection locked="0"/>
    </xf>
    <xf numFmtId="0" fontId="72" fillId="14" borderId="1" xfId="1" applyFont="1" applyFill="1" applyBorder="1"/>
    <xf numFmtId="0" fontId="14" fillId="0" borderId="1" xfId="0" applyFont="1" applyBorder="1"/>
    <xf numFmtId="0" fontId="0" fillId="0" borderId="1" xfId="0" applyBorder="1"/>
    <xf numFmtId="176" fontId="14" fillId="0" borderId="1" xfId="0" applyNumberFormat="1" applyFont="1" applyBorder="1"/>
    <xf numFmtId="175" fontId="0" fillId="0" borderId="1" xfId="0" applyNumberFormat="1" applyBorder="1"/>
    <xf numFmtId="176" fontId="0" fillId="0" borderId="1" xfId="0" applyNumberFormat="1" applyBorder="1"/>
    <xf numFmtId="0" fontId="8" fillId="0" borderId="1" xfId="0" applyFont="1" applyBorder="1" applyAlignment="1">
      <alignment horizontal="right"/>
    </xf>
    <xf numFmtId="176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76" fontId="73" fillId="0" borderId="1" xfId="0" applyNumberFormat="1" applyFont="1" applyBorder="1"/>
    <xf numFmtId="0" fontId="7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22" fillId="17" borderId="73" xfId="0" applyFont="1" applyFill="1" applyBorder="1" applyAlignment="1">
      <alignment horizontal="center"/>
    </xf>
    <xf numFmtId="49" fontId="50" fillId="0" borderId="73" xfId="0" applyNumberFormat="1" applyFont="1" applyBorder="1" applyAlignment="1" applyProtection="1">
      <alignment horizontal="center"/>
      <protection locked="0"/>
    </xf>
    <xf numFmtId="176" fontId="7" fillId="5" borderId="1" xfId="0" applyNumberFormat="1" applyFont="1" applyFill="1" applyBorder="1"/>
    <xf numFmtId="176" fontId="8" fillId="5" borderId="1" xfId="0" applyNumberFormat="1" applyFont="1" applyFill="1" applyBorder="1"/>
    <xf numFmtId="0" fontId="74" fillId="0" borderId="0" xfId="0" applyFont="1" applyAlignment="1">
      <alignment horizontal="left"/>
    </xf>
    <xf numFmtId="0" fontId="50" fillId="0" borderId="0" xfId="0" applyFont="1"/>
    <xf numFmtId="0" fontId="77" fillId="0" borderId="0" xfId="0" applyFont="1"/>
    <xf numFmtId="0" fontId="78" fillId="0" borderId="0" xfId="0" applyFont="1"/>
    <xf numFmtId="0" fontId="80" fillId="0" borderId="0" xfId="0" applyFont="1"/>
    <xf numFmtId="0" fontId="80" fillId="0" borderId="0" xfId="0" applyFont="1" applyAlignment="1">
      <alignment horizontal="right"/>
    </xf>
    <xf numFmtId="0" fontId="76" fillId="0" borderId="0" xfId="0" applyFont="1" applyAlignment="1">
      <alignment horizontal="center"/>
    </xf>
    <xf numFmtId="176" fontId="80" fillId="0" borderId="0" xfId="0" applyNumberFormat="1" applyFont="1"/>
    <xf numFmtId="0" fontId="14" fillId="17" borderId="0" xfId="0" applyFont="1" applyFill="1" applyAlignment="1">
      <alignment horizontal="center"/>
    </xf>
    <xf numFmtId="0" fontId="81" fillId="8" borderId="73" xfId="0" applyFont="1" applyFill="1" applyBorder="1" applyAlignment="1">
      <alignment horizontal="center"/>
    </xf>
    <xf numFmtId="168" fontId="79" fillId="0" borderId="73" xfId="0" applyNumberFormat="1" applyFont="1" applyBorder="1"/>
    <xf numFmtId="0" fontId="79" fillId="0" borderId="73" xfId="0" applyFont="1" applyBorder="1" applyAlignment="1">
      <alignment horizontal="center"/>
    </xf>
    <xf numFmtId="169" fontId="79" fillId="0" borderId="73" xfId="0" applyNumberFormat="1" applyFont="1" applyBorder="1"/>
    <xf numFmtId="173" fontId="79" fillId="0" borderId="73" xfId="0" applyNumberFormat="1" applyFont="1" applyBorder="1"/>
    <xf numFmtId="176" fontId="79" fillId="0" borderId="73" xfId="0" applyNumberFormat="1" applyFont="1" applyBorder="1"/>
    <xf numFmtId="3" fontId="75" fillId="0" borderId="73" xfId="0" applyNumberFormat="1" applyFont="1" applyBorder="1" applyAlignment="1" applyProtection="1">
      <alignment horizontal="center"/>
      <protection locked="0"/>
    </xf>
    <xf numFmtId="3" fontId="75" fillId="0" borderId="73" xfId="0" applyNumberFormat="1" applyFont="1" applyBorder="1" applyAlignment="1">
      <alignment horizontal="center"/>
    </xf>
    <xf numFmtId="0" fontId="30" fillId="0" borderId="0" xfId="0" applyFont="1"/>
    <xf numFmtId="0" fontId="8" fillId="0" borderId="0" xfId="0" applyFont="1" applyAlignment="1">
      <alignment horizontal="right"/>
    </xf>
    <xf numFmtId="0" fontId="83" fillId="0" borderId="0" xfId="0" applyFont="1" applyAlignment="1">
      <alignment horizontal="center"/>
    </xf>
    <xf numFmtId="176" fontId="8" fillId="0" borderId="0" xfId="0" applyNumberFormat="1" applyFont="1"/>
    <xf numFmtId="0" fontId="28" fillId="8" borderId="73" xfId="0" applyFont="1" applyFill="1" applyBorder="1" applyAlignment="1">
      <alignment horizontal="center"/>
    </xf>
    <xf numFmtId="168" fontId="7" fillId="0" borderId="73" xfId="0" applyNumberFormat="1" applyFont="1" applyBorder="1"/>
    <xf numFmtId="0" fontId="7" fillId="0" borderId="73" xfId="0" applyFont="1" applyBorder="1" applyAlignment="1">
      <alignment horizontal="center"/>
    </xf>
    <xf numFmtId="169" fontId="7" fillId="0" borderId="73" xfId="0" applyNumberFormat="1" applyFont="1" applyBorder="1"/>
    <xf numFmtId="173" fontId="7" fillId="0" borderId="73" xfId="0" applyNumberFormat="1" applyFont="1" applyBorder="1"/>
    <xf numFmtId="176" fontId="7" fillId="0" borderId="73" xfId="0" applyNumberFormat="1" applyFont="1" applyBorder="1"/>
    <xf numFmtId="0" fontId="84" fillId="0" borderId="1" xfId="0" applyFont="1" applyBorder="1" applyProtection="1">
      <protection locked="0"/>
    </xf>
    <xf numFmtId="176" fontId="84" fillId="0" borderId="1" xfId="0" applyNumberFormat="1" applyFont="1" applyBorder="1" applyProtection="1">
      <protection locked="0"/>
    </xf>
    <xf numFmtId="0" fontId="30" fillId="10" borderId="49" xfId="1" applyFont="1" applyFill="1" applyBorder="1" applyAlignment="1">
      <alignment horizontal="left" vertical="center"/>
    </xf>
    <xf numFmtId="49" fontId="16" fillId="0" borderId="1" xfId="0" quotePrefix="1" applyNumberFormat="1" applyFont="1" applyBorder="1" applyAlignment="1" applyProtection="1">
      <alignment horizontal="center"/>
      <protection locked="0"/>
    </xf>
    <xf numFmtId="0" fontId="52" fillId="0" borderId="1" xfId="0" applyFont="1" applyBorder="1" applyAlignment="1" applyProtection="1">
      <alignment horizontal="center"/>
      <protection locked="0"/>
    </xf>
    <xf numFmtId="49" fontId="0" fillId="0" borderId="73" xfId="0" applyNumberFormat="1" applyBorder="1" applyAlignment="1">
      <alignment horizontal="center"/>
    </xf>
    <xf numFmtId="0" fontId="16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67" fillId="0" borderId="62" xfId="0" applyFont="1" applyBorder="1" applyAlignment="1">
      <alignment horizontal="center"/>
    </xf>
    <xf numFmtId="0" fontId="69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14" fillId="17" borderId="73" xfId="0" applyFont="1" applyFill="1" applyBorder="1" applyAlignment="1" applyProtection="1">
      <alignment horizontal="center"/>
      <protection locked="0"/>
    </xf>
    <xf numFmtId="49" fontId="0" fillId="0" borderId="73" xfId="0" applyNumberFormat="1" applyBorder="1" applyAlignment="1" applyProtection="1">
      <alignment horizontal="center"/>
      <protection locked="0"/>
    </xf>
    <xf numFmtId="0" fontId="0" fillId="0" borderId="73" xfId="0" applyBorder="1" applyAlignment="1" applyProtection="1">
      <alignment horizontal="center"/>
      <protection locked="0"/>
    </xf>
    <xf numFmtId="14" fontId="85" fillId="0" borderId="3" xfId="0" applyNumberFormat="1" applyFont="1" applyBorder="1" applyAlignment="1">
      <alignment horizontal="center"/>
    </xf>
    <xf numFmtId="0" fontId="6" fillId="5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2" fillId="0" borderId="0" xfId="0" applyFont="1" applyAlignment="1" applyProtection="1">
      <alignment horizontal="right"/>
      <protection locked="0"/>
    </xf>
    <xf numFmtId="0" fontId="77" fillId="0" borderId="0" xfId="0" applyFont="1" applyProtection="1">
      <protection locked="0"/>
    </xf>
    <xf numFmtId="165" fontId="21" fillId="2" borderId="0" xfId="0" applyNumberFormat="1" applyFont="1" applyFill="1" applyProtection="1">
      <protection locked="0"/>
    </xf>
    <xf numFmtId="0" fontId="21" fillId="2" borderId="0" xfId="0" applyFont="1" applyFill="1" applyProtection="1">
      <protection locked="0"/>
    </xf>
    <xf numFmtId="166" fontId="21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165" fontId="2" fillId="0" borderId="0" xfId="0" applyNumberFormat="1" applyFont="1" applyProtection="1">
      <protection locked="0"/>
    </xf>
    <xf numFmtId="166" fontId="2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27" xfId="0" applyFont="1" applyBorder="1"/>
    <xf numFmtId="0" fontId="2" fillId="0" borderId="27" xfId="0" applyFont="1" applyBorder="1" applyProtection="1">
      <protection locked="0"/>
    </xf>
    <xf numFmtId="0" fontId="1" fillId="0" borderId="1" xfId="0" applyFont="1" applyBorder="1" applyAlignment="1" applyProtection="1">
      <alignment horizontal="left"/>
      <protection locked="0"/>
    </xf>
    <xf numFmtId="176" fontId="86" fillId="0" borderId="1" xfId="0" applyNumberFormat="1" applyFont="1" applyBorder="1" applyProtection="1">
      <protection locked="0"/>
    </xf>
    <xf numFmtId="0" fontId="86" fillId="0" borderId="1" xfId="0" applyFont="1" applyBorder="1" applyProtection="1">
      <protection locked="0"/>
    </xf>
    <xf numFmtId="0" fontId="76" fillId="0" borderId="0" xfId="0" applyFont="1" applyAlignment="1" applyProtection="1">
      <alignment horizontal="center"/>
      <protection locked="0"/>
    </xf>
    <xf numFmtId="49" fontId="52" fillId="6" borderId="1" xfId="0" applyNumberFormat="1" applyFont="1" applyFill="1" applyBorder="1" applyAlignment="1" applyProtection="1">
      <alignment horizontal="center"/>
      <protection locked="0"/>
    </xf>
    <xf numFmtId="0" fontId="16" fillId="6" borderId="1" xfId="0" applyFont="1" applyFill="1" applyBorder="1" applyAlignment="1">
      <alignment horizontal="center"/>
    </xf>
    <xf numFmtId="0" fontId="2" fillId="5" borderId="1" xfId="0" applyFont="1" applyFill="1" applyBorder="1" applyProtection="1">
      <protection locked="0"/>
    </xf>
    <xf numFmtId="172" fontId="6" fillId="0" borderId="1" xfId="0" applyNumberFormat="1" applyFont="1" applyBorder="1" applyAlignment="1">
      <alignment horizontal="center"/>
    </xf>
    <xf numFmtId="172" fontId="44" fillId="0" borderId="46" xfId="0" applyNumberFormat="1" applyFont="1" applyBorder="1" applyAlignment="1" applyProtection="1">
      <alignment horizontal="center"/>
      <protection locked="0"/>
    </xf>
    <xf numFmtId="0" fontId="35" fillId="0" borderId="0" xfId="0" applyFont="1" applyAlignment="1">
      <alignment vertical="top"/>
    </xf>
    <xf numFmtId="0" fontId="2" fillId="0" borderId="0" xfId="0" applyFont="1" applyAlignment="1">
      <alignment horizontal="left"/>
    </xf>
    <xf numFmtId="0" fontId="87" fillId="0" borderId="0" xfId="0" applyFont="1"/>
    <xf numFmtId="0" fontId="28" fillId="0" borderId="0" xfId="0" applyFont="1" applyAlignment="1">
      <alignment horizontal="left" vertical="center"/>
    </xf>
    <xf numFmtId="168" fontId="28" fillId="0" borderId="0" xfId="0" applyNumberFormat="1" applyFont="1" applyAlignment="1">
      <alignment horizontal="center"/>
    </xf>
    <xf numFmtId="176" fontId="7" fillId="0" borderId="0" xfId="0" applyNumberFormat="1" applyFont="1"/>
    <xf numFmtId="0" fontId="28" fillId="0" borderId="0" xfId="0" applyFont="1" applyAlignment="1">
      <alignment horizontal="center"/>
    </xf>
    <xf numFmtId="49" fontId="0" fillId="0" borderId="0" xfId="0" applyNumberFormat="1"/>
    <xf numFmtId="177" fontId="0" fillId="0" borderId="0" xfId="0" applyNumberFormat="1"/>
    <xf numFmtId="0" fontId="67" fillId="0" borderId="66" xfId="0" applyFont="1" applyBorder="1" applyAlignment="1">
      <alignment horizontal="right"/>
    </xf>
    <xf numFmtId="0" fontId="9" fillId="0" borderId="1" xfId="0" applyFont="1" applyBorder="1" applyProtection="1">
      <protection locked="0"/>
    </xf>
    <xf numFmtId="0" fontId="28" fillId="9" borderId="47" xfId="0" applyFont="1" applyFill="1" applyBorder="1" applyAlignment="1">
      <alignment vertical="center" indent="1"/>
    </xf>
    <xf numFmtId="0" fontId="28" fillId="9" borderId="30" xfId="0" applyFont="1" applyFill="1" applyBorder="1" applyAlignment="1">
      <alignment vertical="center" indent="1"/>
    </xf>
    <xf numFmtId="0" fontId="28" fillId="9" borderId="48" xfId="0" applyFont="1" applyFill="1" applyBorder="1" applyAlignment="1">
      <alignment vertical="center" indent="1"/>
    </xf>
    <xf numFmtId="0" fontId="24" fillId="0" borderId="0" xfId="0" applyFont="1" applyAlignment="1">
      <alignment horizontal="center"/>
    </xf>
    <xf numFmtId="0" fontId="88" fillId="8" borderId="12" xfId="0" applyFont="1" applyFill="1" applyBorder="1" applyAlignment="1">
      <alignment horizontal="center" vertical="center"/>
    </xf>
    <xf numFmtId="0" fontId="88" fillId="8" borderId="13" xfId="0" applyFont="1" applyFill="1" applyBorder="1" applyAlignment="1">
      <alignment horizontal="center" vertical="center"/>
    </xf>
    <xf numFmtId="0" fontId="88" fillId="8" borderId="14" xfId="0" applyFont="1" applyFill="1" applyBorder="1" applyAlignment="1">
      <alignment horizontal="center" vertical="center"/>
    </xf>
    <xf numFmtId="0" fontId="88" fillId="8" borderId="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0" fontId="88" fillId="8" borderId="16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9" borderId="16" xfId="0" applyFont="1" applyFill="1" applyBorder="1" applyAlignment="1">
      <alignment horizontal="center" vertical="center"/>
    </xf>
    <xf numFmtId="0" fontId="28" fillId="9" borderId="0" xfId="0" applyFont="1" applyFill="1" applyAlignment="1">
      <alignment vertical="center" indent="1"/>
    </xf>
    <xf numFmtId="0" fontId="28" fillId="9" borderId="53" xfId="0" applyFont="1" applyFill="1" applyBorder="1"/>
    <xf numFmtId="0" fontId="20" fillId="9" borderId="69" xfId="1" applyFill="1" applyBorder="1"/>
    <xf numFmtId="0" fontId="28" fillId="9" borderId="54" xfId="0" applyFont="1" applyFill="1" applyBorder="1"/>
    <xf numFmtId="0" fontId="26" fillId="8" borderId="32" xfId="0" applyFont="1" applyFill="1" applyBorder="1" applyAlignment="1" applyProtection="1">
      <alignment horizontal="center" vertical="center"/>
      <protection locked="0"/>
    </xf>
    <xf numFmtId="0" fontId="26" fillId="8" borderId="31" xfId="0" applyFont="1" applyFill="1" applyBorder="1" applyAlignment="1" applyProtection="1">
      <alignment horizontal="center" vertical="center"/>
      <protection locked="0"/>
    </xf>
    <xf numFmtId="0" fontId="26" fillId="8" borderId="34" xfId="0" applyFont="1" applyFill="1" applyBorder="1" applyAlignment="1" applyProtection="1">
      <alignment horizontal="center" vertical="center"/>
      <protection locked="0"/>
    </xf>
    <xf numFmtId="0" fontId="26" fillId="8" borderId="0" xfId="0" applyFont="1" applyFill="1" applyAlignment="1" applyProtection="1">
      <alignment horizontal="center"/>
      <protection locked="0"/>
    </xf>
    <xf numFmtId="0" fontId="54" fillId="8" borderId="0" xfId="0" applyFont="1" applyFill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168" fontId="8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65" fillId="0" borderId="8" xfId="0" applyFont="1" applyBorder="1" applyAlignment="1">
      <alignment horizontal="center"/>
    </xf>
    <xf numFmtId="0" fontId="65" fillId="0" borderId="65" xfId="0" applyFont="1" applyBorder="1"/>
    <xf numFmtId="0" fontId="65" fillId="0" borderId="8" xfId="0" applyFont="1" applyBorder="1"/>
    <xf numFmtId="0" fontId="63" fillId="0" borderId="0" xfId="0" applyFont="1" applyAlignment="1">
      <alignment horizontal="center"/>
    </xf>
    <xf numFmtId="0" fontId="67" fillId="0" borderId="0" xfId="0" applyFont="1" applyAlignment="1">
      <alignment horizontal="left"/>
    </xf>
    <xf numFmtId="0" fontId="63" fillId="0" borderId="0" xfId="0" applyFont="1"/>
    <xf numFmtId="0" fontId="65" fillId="0" borderId="0" xfId="0" applyFont="1" applyAlignment="1">
      <alignment horizontal="left"/>
    </xf>
    <xf numFmtId="0" fontId="64" fillId="0" borderId="0" xfId="0" applyFont="1"/>
    <xf numFmtId="0" fontId="64" fillId="0" borderId="4" xfId="0" applyFont="1" applyBorder="1" applyAlignment="1">
      <alignment horizontal="left"/>
    </xf>
    <xf numFmtId="0" fontId="64" fillId="0" borderId="68" xfId="0" applyFont="1" applyBorder="1"/>
    <xf numFmtId="0" fontId="65" fillId="0" borderId="62" xfId="0" applyFont="1" applyBorder="1" applyAlignment="1">
      <alignment horizontal="left"/>
    </xf>
    <xf numFmtId="0" fontId="65" fillId="0" borderId="0" xfId="0" applyFont="1"/>
    <xf numFmtId="0" fontId="35" fillId="0" borderId="0" xfId="0" applyFont="1" applyAlignment="1">
      <alignment horizontal="right"/>
    </xf>
    <xf numFmtId="0" fontId="35" fillId="0" borderId="0" xfId="0" applyFont="1"/>
    <xf numFmtId="0" fontId="8" fillId="0" borderId="0" xfId="0" applyFont="1" applyAlignment="1">
      <alignment horizontal="center"/>
    </xf>
    <xf numFmtId="0" fontId="7" fillId="0" borderId="0" xfId="0" applyFont="1"/>
    <xf numFmtId="0" fontId="15" fillId="0" borderId="12" xfId="0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locked="0"/>
    </xf>
    <xf numFmtId="0" fontId="19" fillId="0" borderId="1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9" fillId="0" borderId="16" xfId="0" applyFont="1" applyBorder="1" applyAlignment="1" applyProtection="1">
      <alignment horizontal="center" vertical="center" wrapText="1"/>
      <protection locked="0"/>
    </xf>
    <xf numFmtId="0" fontId="19" fillId="0" borderId="17" xfId="0" applyFont="1" applyBorder="1" applyAlignment="1" applyProtection="1">
      <alignment horizontal="center" vertical="center" wrapText="1"/>
      <protection locked="0"/>
    </xf>
    <xf numFmtId="0" fontId="19" fillId="0" borderId="18" xfId="0" applyFont="1" applyBorder="1" applyAlignment="1" applyProtection="1">
      <alignment horizontal="center" vertical="center" wrapText="1"/>
      <protection locked="0"/>
    </xf>
    <xf numFmtId="0" fontId="19" fillId="0" borderId="19" xfId="0" applyFont="1" applyBorder="1" applyAlignment="1" applyProtection="1">
      <alignment horizontal="center" vertical="center" wrapText="1"/>
      <protection locked="0"/>
    </xf>
    <xf numFmtId="0" fontId="19" fillId="0" borderId="15" xfId="0" applyFont="1" applyBorder="1" applyAlignment="1">
      <alignment horizontal="center" vertical="center" wrapText="1"/>
    </xf>
    <xf numFmtId="0" fontId="40" fillId="0" borderId="12" xfId="0" applyFont="1" applyBorder="1" applyAlignment="1" applyProtection="1">
      <alignment horizontal="center" vertical="center" wrapText="1"/>
      <protection locked="0"/>
    </xf>
    <xf numFmtId="0" fontId="41" fillId="0" borderId="13" xfId="0" applyFont="1" applyBorder="1" applyAlignment="1" applyProtection="1">
      <alignment horizontal="center" vertical="center" wrapText="1"/>
      <protection locked="0"/>
    </xf>
    <xf numFmtId="0" fontId="41" fillId="0" borderId="14" xfId="0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 wrapText="1"/>
      <protection locked="0"/>
    </xf>
    <xf numFmtId="0" fontId="16" fillId="0" borderId="14" xfId="0" applyFont="1" applyBorder="1" applyAlignment="1" applyProtection="1">
      <alignment horizontal="center" vertical="center" wrapText="1"/>
      <protection locked="0"/>
    </xf>
    <xf numFmtId="0" fontId="19" fillId="0" borderId="17" xfId="0" applyFont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0" fontId="15" fillId="0" borderId="14" xfId="0" applyFont="1" applyBorder="1" applyAlignment="1" applyProtection="1">
      <alignment horizontal="center" vertical="center" wrapText="1"/>
      <protection locked="0"/>
    </xf>
    <xf numFmtId="0" fontId="10" fillId="6" borderId="9" xfId="0" applyFont="1" applyFill="1" applyBorder="1" applyAlignment="1" applyProtection="1">
      <alignment horizontal="center"/>
      <protection locked="0"/>
    </xf>
    <xf numFmtId="0" fontId="10" fillId="6" borderId="10" xfId="0" applyFont="1" applyFill="1" applyBorder="1" applyAlignment="1" applyProtection="1">
      <alignment horizontal="center"/>
      <protection locked="0"/>
    </xf>
    <xf numFmtId="0" fontId="39" fillId="6" borderId="10" xfId="1" applyFont="1" applyFill="1" applyBorder="1" applyAlignment="1" applyProtection="1">
      <alignment horizontal="center"/>
      <protection locked="0"/>
    </xf>
    <xf numFmtId="0" fontId="10" fillId="6" borderId="11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960"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/>
    </dxf>
    <dxf>
      <numFmt numFmtId="22" formatCode="mmm\-yy"/>
    </dxf>
    <dxf>
      <alignment horizontal="center"/>
    </dxf>
    <dxf>
      <alignment horizontal="center"/>
    </dxf>
    <dxf>
      <font>
        <color rgb="FFFF0000"/>
      </font>
    </dxf>
    <dxf>
      <font>
        <color rgb="FFFF0000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6"/>
      </font>
    </dxf>
    <dxf>
      <font>
        <sz val="16"/>
      </font>
    </dxf>
    <dxf>
      <font>
        <sz val="16"/>
      </font>
    </dxf>
    <dxf>
      <font>
        <color rgb="FFFF0000"/>
      </font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rgb="FFFF0000"/>
      </font>
    </dxf>
    <dxf>
      <font>
        <color theme="1"/>
      </font>
    </dxf>
    <dxf>
      <alignment horizontal="center"/>
    </dxf>
    <dxf>
      <numFmt numFmtId="22" formatCode="mmm\-yy"/>
    </dxf>
    <dxf>
      <font>
        <color rgb="FFFF0000"/>
      </font>
    </dxf>
    <dxf>
      <alignment horizontal="center"/>
    </dxf>
    <dxf>
      <alignment horizontal="center"/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6"/>
      </font>
    </dxf>
    <dxf>
      <font>
        <sz val="16"/>
      </font>
    </dxf>
    <dxf>
      <font>
        <sz val="16"/>
      </font>
    </dxf>
    <dxf>
      <font>
        <color rgb="FFFF0000"/>
      </font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9" tint="-0.249977111117893"/>
        </patternFill>
      </fill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 val="0"/>
        <i val="0"/>
        <strike val="0"/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5"/>
        </patternFill>
      </fill>
      <protection locked="0"/>
    </dxf>
    <dxf>
      <font>
        <b val="0"/>
        <i val="0"/>
        <strike val="0"/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z val="16"/>
      </font>
    </dxf>
    <dxf>
      <font>
        <sz val="16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numFmt numFmtId="22" formatCode="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protection locked="0"/>
    </dxf>
    <dxf>
      <font>
        <b val="0"/>
        <i val="0"/>
        <strike val="0"/>
        <color theme="0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font>
        <color rgb="FFC55A11"/>
      </font>
    </dxf>
    <dxf>
      <font>
        <color rgb="FFFFFFFF"/>
      </font>
    </dxf>
    <dxf>
      <numFmt numFmtId="166" formatCode="&quot;₹&quot;#,##0.00"/>
    </dxf>
    <dxf>
      <font>
        <color rgb="FFF37022"/>
      </font>
    </dxf>
    <dxf>
      <numFmt numFmtId="173" formatCode="#,##0.00;\(#,##0.00\);\ "/>
    </dxf>
    <dxf>
      <font>
        <b/>
        <i val="0"/>
        <color rgb="FFFF0000"/>
      </font>
    </dxf>
    <dxf>
      <numFmt numFmtId="4" formatCode="#,##0.00"/>
    </dxf>
    <dxf>
      <font>
        <color rgb="FFF37022"/>
      </font>
    </dxf>
    <dxf>
      <font>
        <color rgb="FFFFFFFF"/>
      </font>
    </dxf>
    <dxf>
      <font>
        <color rgb="FFFFFFFF"/>
      </font>
    </dxf>
    <dxf>
      <numFmt numFmtId="177" formatCode="[&gt;=10000000]##\,##\,##\,##0.00;[&gt;=100000]##\,##\,##0.00;##,##0.00"/>
    </dxf>
    <dxf>
      <numFmt numFmtId="177" formatCode="[&gt;=10000000]##\,##\,##\,##0.00;[&gt;=100000]##\,##\,##0.00;##,##0.00"/>
    </dxf>
    <dxf>
      <numFmt numFmtId="30" formatCode="@"/>
    </dxf>
    <dxf>
      <numFmt numFmtId="177" formatCode="[&gt;=10000000]##\,##\,##\,##0.00;[&gt;=100000]##\,##\,##0.00;##,##0.00"/>
    </dxf>
    <dxf>
      <font>
        <strike val="0"/>
        <color theme="0"/>
      </font>
    </dxf>
    <dxf>
      <font>
        <strike val="0"/>
        <color theme="0"/>
      </font>
    </dxf>
    <dxf>
      <font>
        <color rgb="FF006100"/>
      </font>
    </dxf>
    <dxf>
      <font>
        <color rgb="FF006100"/>
      </font>
    </dxf>
    <dxf>
      <font>
        <color rgb="FF006100"/>
      </font>
    </dxf>
    <dxf>
      <font>
        <color rgb="FFF37022"/>
      </font>
    </dxf>
    <dxf>
      <font>
        <color rgb="FF006100"/>
      </font>
    </dxf>
    <dxf>
      <font>
        <color rgb="FFF37022"/>
      </font>
    </dxf>
    <dxf>
      <font>
        <color rgb="FFF37022"/>
      </font>
    </dxf>
    <dxf>
      <font>
        <color rgb="FFF37022"/>
      </font>
    </dxf>
    <dxf>
      <font>
        <color rgb="FF006100"/>
      </font>
    </dxf>
    <dxf>
      <font>
        <color rgb="FF006100"/>
      </font>
    </dxf>
    <dxf>
      <font>
        <color rgb="FF006100"/>
      </font>
    </dxf>
    <dxf>
      <font>
        <color rgb="FFF37022"/>
      </font>
    </dxf>
    <dxf>
      <font>
        <color rgb="FFF37022"/>
      </font>
    </dxf>
    <dxf>
      <font>
        <color rgb="FFF37022"/>
      </font>
    </dxf>
    <dxf>
      <font>
        <color rgb="FF006100"/>
      </font>
    </dxf>
    <dxf>
      <font>
        <color rgb="FFF37022"/>
      </font>
    </dxf>
    <dxf>
      <font>
        <color rgb="FFF37022"/>
      </font>
    </dxf>
    <dxf>
      <font>
        <color rgb="FFF37022"/>
      </font>
    </dxf>
    <dxf>
      <font>
        <color rgb="FF006100"/>
      </font>
    </dxf>
    <dxf>
      <font>
        <color rgb="FF006100"/>
      </font>
    </dxf>
    <dxf>
      <font>
        <b/>
        <i val="0"/>
      </font>
      <fill>
        <patternFill patternType="solid">
          <fgColor indexed="64"/>
          <bgColor rgb="FFDCE6F1"/>
        </patternFill>
      </fill>
      <border>
        <top style="thin">
          <color auto="1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2164F"/>
        </patternFill>
      </fill>
    </dxf>
    <dxf>
      <fill>
        <patternFill patternType="solid">
          <fgColor indexed="64"/>
          <bgColor rgb="FF02164F"/>
        </patternFill>
      </fill>
    </dxf>
    <dxf>
      <font>
        <color rgb="FF0061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₹&quot;#,##0.00"/>
      <fill>
        <patternFill patternType="solid">
          <fgColor indexed="64"/>
          <bgColor rgb="FFFDEDE3"/>
        </patternFill>
      </fill>
      <border diagonalUp="0" diagonalDown="0">
        <left style="thin">
          <color rgb="FFF8C9A8"/>
        </left>
        <right/>
        <top style="thin">
          <color rgb="FFF8C9A8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numFmt numFmtId="166" formatCode="&quot;₹&quot;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EDE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8C9A8"/>
        </left>
        <right style="thin">
          <color rgb="FFF8C9A8"/>
        </right>
        <top style="thin">
          <color rgb="FFF8C9A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2164F"/>
        <name val="Calibri"/>
        <family val="2"/>
        <scheme val="minor"/>
      </font>
      <fill>
        <patternFill patternType="solid">
          <fgColor indexed="64"/>
          <bgColor rgb="FFFDEDE3"/>
        </patternFill>
      </fill>
      <border diagonalUp="0" diagonalDown="0" outline="0">
        <left/>
        <right style="thin">
          <color rgb="FFF8C9A8"/>
        </right>
        <top style="thin">
          <color rgb="FFF8C9A8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2164F"/>
        <name val="Times New Roman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F8C9A8"/>
        </top>
      </border>
    </dxf>
    <dxf>
      <font>
        <strike val="0"/>
        <outline val="0"/>
        <shadow val="0"/>
        <u val="none"/>
        <vertAlign val="baseline"/>
        <sz val="18"/>
        <name val="Times New Roman"/>
        <family val="1"/>
        <scheme val="none"/>
      </font>
    </dxf>
    <dxf>
      <border outline="0">
        <left style="medium">
          <color rgb="FF02164F"/>
        </left>
        <right style="medium">
          <color rgb="FF02164F"/>
        </right>
        <top style="thin">
          <color rgb="FFF8C9A8"/>
        </top>
        <bottom style="thin">
          <color rgb="FFF8C9A8"/>
        </bottom>
      </border>
    </dxf>
    <dxf>
      <font>
        <strike val="0"/>
        <outline val="0"/>
        <shadow val="0"/>
        <u val="none"/>
        <vertAlign val="baseline"/>
        <sz val="18"/>
        <name val="Times New Roman"/>
        <family val="1"/>
        <scheme val="none"/>
      </font>
      <fill>
        <patternFill patternType="solid">
          <fgColor indexed="64"/>
          <bgColor theme="5" tint="0.79998168889431442"/>
        </patternFill>
      </fill>
    </dxf>
    <dxf>
      <border outline="0">
        <bottom style="thin">
          <color rgb="FFF8C9A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Times New Roman"/>
        <family val="1"/>
        <scheme val="none"/>
      </font>
      <fill>
        <patternFill patternType="solid">
          <fgColor indexed="64"/>
          <bgColor rgb="FFF370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8C9A8"/>
        </left>
        <right style="thin">
          <color rgb="FFF8C9A8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&quot;₹&quot;#,##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[$-14009]dd/mm/yy;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 patternType="solid">
          <fgColor indexed="64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ivotCacheDefinition" Target="pivotCache/pivotCacheDefinition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8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9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5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tmp"/><Relationship Id="rId1" Type="http://schemas.openxmlformats.org/officeDocument/2006/relationships/image" Target="../media/image10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3</xdr:row>
          <xdr:rowOff>76200</xdr:rowOff>
        </xdr:from>
        <xdr:to>
          <xdr:col>9</xdr:col>
          <xdr:colOff>38100</xdr:colOff>
          <xdr:row>5</xdr:row>
          <xdr:rowOff>63500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Daily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50800</xdr:rowOff>
        </xdr:from>
        <xdr:to>
          <xdr:col>12</xdr:col>
          <xdr:colOff>635000</xdr:colOff>
          <xdr:row>5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Monthly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0</xdr:row>
          <xdr:rowOff>88900</xdr:rowOff>
        </xdr:from>
        <xdr:to>
          <xdr:col>15</xdr:col>
          <xdr:colOff>749300</xdr:colOff>
          <xdr:row>2</xdr:row>
          <xdr:rowOff>25400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 New Ledger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88900</xdr:colOff>
          <xdr:row>0</xdr:row>
          <xdr:rowOff>88900</xdr:rowOff>
        </xdr:from>
        <xdr:to>
          <xdr:col>17</xdr:col>
          <xdr:colOff>787400</xdr:colOff>
          <xdr:row>2</xdr:row>
          <xdr:rowOff>25400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Bulk Add Ledger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88900</xdr:colOff>
          <xdr:row>2</xdr:row>
          <xdr:rowOff>355600</xdr:rowOff>
        </xdr:from>
        <xdr:to>
          <xdr:col>17</xdr:col>
          <xdr:colOff>787400</xdr:colOff>
          <xdr:row>4</xdr:row>
          <xdr:rowOff>101600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Bulk Delete Ledger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368300</xdr:rowOff>
        </xdr:from>
        <xdr:to>
          <xdr:col>15</xdr:col>
          <xdr:colOff>749300</xdr:colOff>
          <xdr:row>4</xdr:row>
          <xdr:rowOff>114300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0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Opening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4</xdr:row>
          <xdr:rowOff>368300</xdr:rowOff>
        </xdr:from>
        <xdr:to>
          <xdr:col>15</xdr:col>
          <xdr:colOff>762000</xdr:colOff>
          <xdr:row>6</xdr:row>
          <xdr:rowOff>241300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Custom 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4</xdr:row>
          <xdr:rowOff>342900</xdr:rowOff>
        </xdr:from>
        <xdr:to>
          <xdr:col>17</xdr:col>
          <xdr:colOff>774700</xdr:colOff>
          <xdr:row>6</xdr:row>
          <xdr:rowOff>215900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Lock/Unlock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254000</xdr:colOff>
          <xdr:row>0</xdr:row>
          <xdr:rowOff>114300</xdr:rowOff>
        </xdr:from>
        <xdr:to>
          <xdr:col>9</xdr:col>
          <xdr:colOff>25400</xdr:colOff>
          <xdr:row>2</xdr:row>
          <xdr:rowOff>292100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0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Import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787400</xdr:colOff>
          <xdr:row>0</xdr:row>
          <xdr:rowOff>114300</xdr:rowOff>
        </xdr:from>
        <xdr:to>
          <xdr:col>12</xdr:col>
          <xdr:colOff>622300</xdr:colOff>
          <xdr:row>2</xdr:row>
          <xdr:rowOff>254000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0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Daily Tanker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7</xdr:row>
          <xdr:rowOff>25400</xdr:rowOff>
        </xdr:from>
        <xdr:to>
          <xdr:col>15</xdr:col>
          <xdr:colOff>762000</xdr:colOff>
          <xdr:row>7</xdr:row>
          <xdr:rowOff>406400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0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Own Tanker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7</xdr:row>
          <xdr:rowOff>12700</xdr:rowOff>
        </xdr:from>
        <xdr:to>
          <xdr:col>17</xdr:col>
          <xdr:colOff>774700</xdr:colOff>
          <xdr:row>7</xdr:row>
          <xdr:rowOff>393700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0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SCPL Bill 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302847</xdr:colOff>
      <xdr:row>42</xdr:row>
      <xdr:rowOff>92184</xdr:rowOff>
    </xdr:from>
    <xdr:to>
      <xdr:col>3</xdr:col>
      <xdr:colOff>214923</xdr:colOff>
      <xdr:row>45</xdr:row>
      <xdr:rowOff>212320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EA7E57-485B-2B40-B9A3-03EE9BD56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47" y="9985484"/>
          <a:ext cx="1994876" cy="805936"/>
        </a:xfrm>
        <a:prstGeom prst="rect">
          <a:avLst/>
        </a:prstGeom>
      </xdr:spPr>
    </xdr:pic>
    <xdr:clientData/>
  </xdr:twoCellAnchor>
  <xdr:twoCellAnchor editAs="oneCell">
    <xdr:from>
      <xdr:col>0</xdr:col>
      <xdr:colOff>58616</xdr:colOff>
      <xdr:row>0</xdr:row>
      <xdr:rowOff>0</xdr:rowOff>
    </xdr:from>
    <xdr:to>
      <xdr:col>8</xdr:col>
      <xdr:colOff>0</xdr:colOff>
      <xdr:row>11</xdr:row>
      <xdr:rowOff>39077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89177E-1FFD-6841-A01A-717EE8799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616" y="0"/>
          <a:ext cx="7002584" cy="22539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0</xdr:row>
          <xdr:rowOff>165100</xdr:rowOff>
        </xdr:from>
        <xdr:to>
          <xdr:col>12</xdr:col>
          <xdr:colOff>152400</xdr:colOff>
          <xdr:row>3</xdr:row>
          <xdr:rowOff>88900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B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Folder Wise Bills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152400</xdr:rowOff>
        </xdr:from>
        <xdr:to>
          <xdr:col>12</xdr:col>
          <xdr:colOff>190500</xdr:colOff>
          <xdr:row>2</xdr:row>
          <xdr:rowOff>76200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D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Print Bills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88900</xdr:colOff>
      <xdr:row>1</xdr:row>
      <xdr:rowOff>152400</xdr:rowOff>
    </xdr:from>
    <xdr:to>
      <xdr:col>0</xdr:col>
      <xdr:colOff>939800</xdr:colOff>
      <xdr:row>5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81C0069-19D3-4664-02B8-6220D9DC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" y="393700"/>
          <a:ext cx="850900" cy="850900"/>
        </a:xfrm>
        <a:prstGeom prst="rect">
          <a:avLst/>
        </a:prstGeom>
      </xdr:spPr>
    </xdr:pic>
    <xdr:clientData/>
  </xdr:twoCellAnchor>
  <xdr:twoCellAnchor editAs="oneCell">
    <xdr:from>
      <xdr:col>3</xdr:col>
      <xdr:colOff>546100</xdr:colOff>
      <xdr:row>23</xdr:row>
      <xdr:rowOff>25400</xdr:rowOff>
    </xdr:from>
    <xdr:to>
      <xdr:col>4</xdr:col>
      <xdr:colOff>1041400</xdr:colOff>
      <xdr:row>26</xdr:row>
      <xdr:rowOff>203200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B40DE3-A85F-62B4-CA2B-3E3630805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5715000"/>
          <a:ext cx="1079500" cy="927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CFAA1E-75C6-D74A-B00A-76C27269E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17</xdr:col>
      <xdr:colOff>13824</xdr:colOff>
      <xdr:row>0</xdr:row>
      <xdr:rowOff>0</xdr:rowOff>
    </xdr:from>
    <xdr:to>
      <xdr:col>24</xdr:col>
      <xdr:colOff>27214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6E67F805-C099-E22A-4EAB-8C6CAC621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81038" y="0"/>
          <a:ext cx="7134461" cy="18848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99785</xdr:colOff>
      <xdr:row>2</xdr:row>
      <xdr:rowOff>188829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64A7B6-38AA-8040-AF18-35D2F2CB5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881742" cy="822017"/>
        </a:xfrm>
        <a:prstGeom prst="rect">
          <a:avLst/>
        </a:prstGeom>
      </xdr:spPr>
    </xdr:pic>
    <xdr:clientData/>
  </xdr:twoCellAnchor>
  <xdr:twoCellAnchor editAs="oneCell">
    <xdr:from>
      <xdr:col>15</xdr:col>
      <xdr:colOff>821181</xdr:colOff>
      <xdr:row>0</xdr:row>
      <xdr:rowOff>0</xdr:rowOff>
    </xdr:from>
    <xdr:to>
      <xdr:col>24</xdr:col>
      <xdr:colOff>18142</xdr:colOff>
      <xdr:row>6</xdr:row>
      <xdr:rowOff>79655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8C272F89-CEDA-6F5E-FF2D-E9192DC61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76110" y="0"/>
          <a:ext cx="7188889" cy="18848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99785</xdr:colOff>
      <xdr:row>2</xdr:row>
      <xdr:rowOff>188829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6577E-413C-E649-BA6A-58138F871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881742" cy="822017"/>
        </a:xfrm>
        <a:prstGeom prst="rect">
          <a:avLst/>
        </a:prstGeom>
      </xdr:spPr>
    </xdr:pic>
    <xdr:clientData/>
  </xdr:twoCellAnchor>
  <xdr:twoCellAnchor editAs="oneCell">
    <xdr:from>
      <xdr:col>16</xdr:col>
      <xdr:colOff>8241</xdr:colOff>
      <xdr:row>0</xdr:row>
      <xdr:rowOff>0</xdr:rowOff>
    </xdr:from>
    <xdr:to>
      <xdr:col>24</xdr:col>
      <xdr:colOff>9769</xdr:colOff>
      <xdr:row>6</xdr:row>
      <xdr:rowOff>67792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6717E87A-5B8F-F485-DEDC-8AC35FF69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48626" y="0"/>
          <a:ext cx="7123297" cy="18848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99785</xdr:colOff>
      <xdr:row>2</xdr:row>
      <xdr:rowOff>188829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B233CD-496B-7546-8BE3-158171CE1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881742" cy="822017"/>
        </a:xfrm>
        <a:prstGeom prst="rect">
          <a:avLst/>
        </a:prstGeom>
      </xdr:spPr>
    </xdr:pic>
    <xdr:clientData/>
  </xdr:twoCellAnchor>
  <xdr:twoCellAnchor editAs="oneCell">
    <xdr:from>
      <xdr:col>15</xdr:col>
      <xdr:colOff>828857</xdr:colOff>
      <xdr:row>0</xdr:row>
      <xdr:rowOff>0</xdr:rowOff>
    </xdr:from>
    <xdr:to>
      <xdr:col>24</xdr:col>
      <xdr:colOff>19537</xdr:colOff>
      <xdr:row>6</xdr:row>
      <xdr:rowOff>67792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14D0150-49CE-411C-6E9D-932CFCB68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02088" y="0"/>
          <a:ext cx="7074449" cy="18848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99785</xdr:colOff>
      <xdr:row>2</xdr:row>
      <xdr:rowOff>188829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448ED0-D802-2145-A0BC-6529CD194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881742" cy="822017"/>
        </a:xfrm>
        <a:prstGeom prst="rect">
          <a:avLst/>
        </a:prstGeom>
      </xdr:spPr>
    </xdr:pic>
    <xdr:clientData/>
  </xdr:twoCellAnchor>
  <xdr:twoCellAnchor editAs="oneCell">
    <xdr:from>
      <xdr:col>15</xdr:col>
      <xdr:colOff>799550</xdr:colOff>
      <xdr:row>0</xdr:row>
      <xdr:rowOff>0</xdr:rowOff>
    </xdr:from>
    <xdr:to>
      <xdr:col>24</xdr:col>
      <xdr:colOff>18144</xdr:colOff>
      <xdr:row>6</xdr:row>
      <xdr:rowOff>67792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5ADDE046-3212-D26C-32F6-626340C15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28121" y="0"/>
          <a:ext cx="7038165" cy="187300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91636E-9F59-D74E-B807-F7D206654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17</xdr:col>
      <xdr:colOff>897</xdr:colOff>
      <xdr:row>0</xdr:row>
      <xdr:rowOff>0</xdr:rowOff>
    </xdr:from>
    <xdr:to>
      <xdr:col>24</xdr:col>
      <xdr:colOff>15874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7DB1EDA-309D-D243-BDB8-D84BBEA20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99772" y="0"/>
          <a:ext cx="7031727" cy="1898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458D15-3F5D-0945-A88A-AFC3F930A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24709</xdr:colOff>
      <xdr:row>0</xdr:row>
      <xdr:rowOff>0</xdr:rowOff>
    </xdr:from>
    <xdr:to>
      <xdr:col>23</xdr:col>
      <xdr:colOff>1006928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77913885-AB16-3A40-B7FD-F720B7DA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99709" y="0"/>
          <a:ext cx="6951219" cy="189212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4D99D1-92DD-6545-996C-E75606E40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24709</xdr:colOff>
      <xdr:row>0</xdr:row>
      <xdr:rowOff>0</xdr:rowOff>
    </xdr:from>
    <xdr:to>
      <xdr:col>24</xdr:col>
      <xdr:colOff>0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CB80E7D9-26B7-3940-9434-BF4A1D96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35138" y="0"/>
          <a:ext cx="7241505" cy="18848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82C749-F115-9245-8D76-2572698C0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24709</xdr:colOff>
      <xdr:row>0</xdr:row>
      <xdr:rowOff>0</xdr:rowOff>
    </xdr:from>
    <xdr:to>
      <xdr:col>23</xdr:col>
      <xdr:colOff>1006928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33C7AFC-9AE8-D4C0-2A17-4F770BCDB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91495" y="0"/>
          <a:ext cx="6942147" cy="18848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5B53BA-F884-264B-B3D0-3AB28E3B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041391C-F988-60F5-254C-FE69CDA6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6095" y="0"/>
          <a:ext cx="7285047" cy="18848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6EB353-56EC-294F-BD09-7BDF84E5E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03454A4E-9B61-A84C-A88B-10E433EB7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62CCCB-A035-7341-9812-94D700C23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00C2B78-E986-E84F-99B9-3A9666619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9B9727-2E3A-D54B-92D6-8A7C830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0F52EB90-EE01-664E-8CCA-0BBFF4A36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A3AAAF-C794-EB49-9F33-B6FCC4A24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0E22731C-A559-4044-87DB-AA5D57BEA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3CB191-DF03-E342-B9BF-F2B189375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60D40EE2-2CFC-204D-9BE4-F04750088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BD5C21-A27A-6C43-A93C-FDC73056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67151B6F-9915-EB47-B4C7-C2575E066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51F1D1-05AA-CA45-805E-924101A9F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26524</xdr:colOff>
      <xdr:row>0</xdr:row>
      <xdr:rowOff>0</xdr:rowOff>
    </xdr:from>
    <xdr:to>
      <xdr:col>24</xdr:col>
      <xdr:colOff>9071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98567DBC-DF7B-5543-94F7-5A584CF48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42824" y="0"/>
          <a:ext cx="7285047" cy="189212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136071</xdr:colOff>
      <xdr:row>2</xdr:row>
      <xdr:rowOff>213656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778295-7051-C746-87B1-393815C76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918028" cy="859544"/>
        </a:xfrm>
        <a:prstGeom prst="rect">
          <a:avLst/>
        </a:prstGeom>
      </xdr:spPr>
    </xdr:pic>
    <xdr:clientData/>
  </xdr:twoCellAnchor>
  <xdr:twoCellAnchor editAs="oneCell">
    <xdr:from>
      <xdr:col>16</xdr:col>
      <xdr:colOff>21919</xdr:colOff>
      <xdr:row>0</xdr:row>
      <xdr:rowOff>0</xdr:rowOff>
    </xdr:from>
    <xdr:to>
      <xdr:col>24</xdr:col>
      <xdr:colOff>19538</xdr:colOff>
      <xdr:row>6</xdr:row>
      <xdr:rowOff>28715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4DA3022F-0B13-E1CF-67C5-A3EB879AA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7996" y="0"/>
          <a:ext cx="7451542" cy="188486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81F076-8042-3B45-B9DF-8544BEACB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15</xdr:col>
      <xdr:colOff>830253</xdr:colOff>
      <xdr:row>0</xdr:row>
      <xdr:rowOff>0</xdr:rowOff>
    </xdr:from>
    <xdr:to>
      <xdr:col>24</xdr:col>
      <xdr:colOff>9072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223B4DA8-0826-3F4A-AC2E-92CAFA1FD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71967" y="0"/>
          <a:ext cx="7188890" cy="188486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99785</xdr:colOff>
      <xdr:row>2</xdr:row>
      <xdr:rowOff>188829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D8EFB4-EA90-2C4F-AB71-4B0BB6E4B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881742" cy="822017"/>
        </a:xfrm>
        <a:prstGeom prst="rect">
          <a:avLst/>
        </a:prstGeom>
      </xdr:spPr>
    </xdr:pic>
    <xdr:clientData/>
  </xdr:twoCellAnchor>
  <xdr:twoCellAnchor editAs="oneCell">
    <xdr:from>
      <xdr:col>15</xdr:col>
      <xdr:colOff>828857</xdr:colOff>
      <xdr:row>0</xdr:row>
      <xdr:rowOff>0</xdr:rowOff>
    </xdr:from>
    <xdr:to>
      <xdr:col>24</xdr:col>
      <xdr:colOff>9769</xdr:colOff>
      <xdr:row>6</xdr:row>
      <xdr:rowOff>67792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D332D4F0-5939-07B3-1664-E474CAAD5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02088" y="0"/>
          <a:ext cx="7133066" cy="188486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A10DCF-33E3-AC42-B5D3-6A0AEDC82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15</xdr:col>
      <xdr:colOff>830253</xdr:colOff>
      <xdr:row>0</xdr:row>
      <xdr:rowOff>0</xdr:rowOff>
    </xdr:from>
    <xdr:to>
      <xdr:col>24</xdr:col>
      <xdr:colOff>18143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0C818622-DB1D-C8F0-F847-0417DAA2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8682" y="0"/>
          <a:ext cx="7216104" cy="188486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72B938-FF86-EC42-AB67-A8ED54908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24710</xdr:colOff>
      <xdr:row>0</xdr:row>
      <xdr:rowOff>0</xdr:rowOff>
    </xdr:from>
    <xdr:to>
      <xdr:col>24</xdr:col>
      <xdr:colOff>18142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A33A8960-5760-7245-8A32-40D7AD287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91496" y="0"/>
          <a:ext cx="7141718" cy="188486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65311</xdr:rowOff>
    </xdr:from>
    <xdr:to>
      <xdr:col>1</xdr:col>
      <xdr:colOff>90714</xdr:colOff>
      <xdr:row>2</xdr:row>
      <xdr:rowOff>254001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856FC-63E2-314E-87F3-B0647EA41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1"/>
          <a:ext cx="872671" cy="849090"/>
        </a:xfrm>
        <a:prstGeom prst="rect">
          <a:avLst/>
        </a:prstGeom>
      </xdr:spPr>
    </xdr:pic>
    <xdr:clientData/>
  </xdr:twoCellAnchor>
  <xdr:twoCellAnchor editAs="oneCell">
    <xdr:from>
      <xdr:col>17</xdr:col>
      <xdr:colOff>2939</xdr:colOff>
      <xdr:row>0</xdr:row>
      <xdr:rowOff>0</xdr:rowOff>
    </xdr:from>
    <xdr:to>
      <xdr:col>24</xdr:col>
      <xdr:colOff>18143</xdr:colOff>
      <xdr:row>6</xdr:row>
      <xdr:rowOff>115940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40D62312-7A8E-1A08-7CED-DF9088052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51796" y="0"/>
          <a:ext cx="7127204" cy="188486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90714</xdr:colOff>
      <xdr:row>0</xdr:row>
      <xdr:rowOff>56241</xdr:rowOff>
    </xdr:from>
    <xdr:to>
      <xdr:col>0</xdr:col>
      <xdr:colOff>909568</xdr:colOff>
      <xdr:row>2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ADDFDC-617D-0441-811E-3CEDF3F82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14" y="56241"/>
          <a:ext cx="818854" cy="849088"/>
        </a:xfrm>
        <a:prstGeom prst="rect">
          <a:avLst/>
        </a:prstGeom>
      </xdr:spPr>
    </xdr:pic>
    <xdr:clientData/>
  </xdr:twoCellAnchor>
  <xdr:twoCellAnchor editAs="oneCell">
    <xdr:from>
      <xdr:col>15</xdr:col>
      <xdr:colOff>808885</xdr:colOff>
      <xdr:row>0</xdr:row>
      <xdr:rowOff>0</xdr:rowOff>
    </xdr:from>
    <xdr:to>
      <xdr:col>24</xdr:col>
      <xdr:colOff>18815</xdr:colOff>
      <xdr:row>6</xdr:row>
      <xdr:rowOff>88054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50A25880-FB7C-67D0-C48B-4A43E5C0D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78144" y="0"/>
          <a:ext cx="7432004" cy="188486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135725</xdr:colOff>
      <xdr:row>0</xdr:row>
      <xdr:rowOff>58168</xdr:rowOff>
    </xdr:from>
    <xdr:to>
      <xdr:col>1</xdr:col>
      <xdr:colOff>271450</xdr:colOff>
      <xdr:row>2</xdr:row>
      <xdr:rowOff>203587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1DAAC-94B9-0A4E-B527-D8A720E4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25" y="58168"/>
          <a:ext cx="1062825" cy="831219"/>
        </a:xfrm>
        <a:prstGeom prst="rect">
          <a:avLst/>
        </a:prstGeom>
      </xdr:spPr>
    </xdr:pic>
    <xdr:clientData/>
  </xdr:twoCellAnchor>
  <xdr:twoCellAnchor editAs="oneCell">
    <xdr:from>
      <xdr:col>15</xdr:col>
      <xdr:colOff>793966</xdr:colOff>
      <xdr:row>0</xdr:row>
      <xdr:rowOff>0</xdr:rowOff>
    </xdr:from>
    <xdr:to>
      <xdr:col>24</xdr:col>
      <xdr:colOff>18143</xdr:colOff>
      <xdr:row>6</xdr:row>
      <xdr:rowOff>88726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34402B24-09CB-6A75-65A4-1376D70BA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12395" y="0"/>
          <a:ext cx="7306819" cy="188486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145143</xdr:colOff>
      <xdr:row>0</xdr:row>
      <xdr:rowOff>65312</xdr:rowOff>
    </xdr:from>
    <xdr:to>
      <xdr:col>1</xdr:col>
      <xdr:colOff>136071</xdr:colOff>
      <xdr:row>2</xdr:row>
      <xdr:rowOff>213656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458755-6254-AB43-9BF1-B4972E557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3" y="65312"/>
          <a:ext cx="918028" cy="859544"/>
        </a:xfrm>
        <a:prstGeom prst="rect">
          <a:avLst/>
        </a:prstGeom>
      </xdr:spPr>
    </xdr:pic>
    <xdr:clientData/>
  </xdr:twoCellAnchor>
  <xdr:twoCellAnchor editAs="oneCell">
    <xdr:from>
      <xdr:col>16</xdr:col>
      <xdr:colOff>682319</xdr:colOff>
      <xdr:row>0</xdr:row>
      <xdr:rowOff>0</xdr:rowOff>
    </xdr:from>
    <xdr:to>
      <xdr:col>23</xdr:col>
      <xdr:colOff>1052006</xdr:colOff>
      <xdr:row>6</xdr:row>
      <xdr:rowOff>28715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0BF8588C-AFE4-724B-6EF5-D4D350E08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88396" y="0"/>
          <a:ext cx="6735318" cy="188486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108858</xdr:colOff>
      <xdr:row>0</xdr:row>
      <xdr:rowOff>56241</xdr:rowOff>
    </xdr:from>
    <xdr:to>
      <xdr:col>0</xdr:col>
      <xdr:colOff>834572</xdr:colOff>
      <xdr:row>2</xdr:row>
      <xdr:rowOff>196375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991988-05F9-7244-8D35-79B37962B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58" y="56241"/>
          <a:ext cx="725714" cy="762434"/>
        </a:xfrm>
        <a:prstGeom prst="rect">
          <a:avLst/>
        </a:prstGeom>
      </xdr:spPr>
    </xdr:pic>
    <xdr:clientData/>
  </xdr:twoCellAnchor>
  <xdr:twoCellAnchor editAs="oneCell">
    <xdr:from>
      <xdr:col>16</xdr:col>
      <xdr:colOff>9072</xdr:colOff>
      <xdr:row>0</xdr:row>
      <xdr:rowOff>0</xdr:rowOff>
    </xdr:from>
    <xdr:to>
      <xdr:col>24</xdr:col>
      <xdr:colOff>9072</xdr:colOff>
      <xdr:row>6</xdr:row>
      <xdr:rowOff>161298</xdr:rowOff>
    </xdr:to>
    <xdr:pic>
      <xdr:nvPicPr>
        <xdr:cNvPr id="3" name="Letterhead">
          <a:extLst>
            <a:ext uri="{FF2B5EF4-FFF2-40B4-BE49-F238E27FC236}">
              <a16:creationId xmlns:a16="http://schemas.microsoft.com/office/drawing/2014/main" id="{4C677DF9-13FD-F1E2-C35B-E1CC987EA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21643" y="0"/>
          <a:ext cx="7093857" cy="188486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m Khetan" refreshedDate="46221.334229513886" createdVersion="8" refreshedVersion="8" minRefreshableVersion="3" recordCount="8500" xr:uid="{7B223D2F-CB92-B14D-A2A1-11F97E0E2A4B}">
  <cacheSource type="worksheet">
    <worksheetSource ref="A1:H1048576" sheet="HSD Sale"/>
  </cacheSource>
  <cacheFields count="8">
    <cacheField name="Date" numFmtId="0">
      <sharedItems containsNonDate="0" containsDate="1" containsString="0" containsBlank="1" minDate="2026-04-01T00:00:00" maxDate="2026-07-17T00:00:00"/>
    </cacheField>
    <cacheField name="Bill No." numFmtId="0">
      <sharedItems containsBlank="1"/>
    </cacheField>
    <cacheField name="Vehicle" numFmtId="0">
      <sharedItems containsBlank="1"/>
    </cacheField>
    <cacheField name="Quantity" numFmtId="0">
      <sharedItems containsString="0" containsBlank="1" containsNumber="1" minValue="7" maxValue="18000"/>
    </cacheField>
    <cacheField name="RSP" numFmtId="0">
      <sharedItems containsString="0" containsBlank="1" containsNumber="1" minValue="91.2" maxValue="100.74"/>
    </cacheField>
    <cacheField name="Amount" numFmtId="0">
      <sharedItems containsString="0" containsBlank="1" containsNumber="1" minValue="649.17999999999995" maxValue="1791000"/>
    </cacheField>
    <cacheField name="Customer" numFmtId="0">
      <sharedItems containsBlank="1" count="87">
        <s v="M/s Smc Power Generation Ltd."/>
        <s v="Shyam Metalics and Energy Ltd"/>
        <s v="VRIDDHI FUELS CAR"/>
        <s v="VRIDDHI FUELS TANKER"/>
        <s v="SAPNA BUILDERS AND SUPPLIERS"/>
        <s v="Simar Infrastructure LTD"/>
        <s v="Inland World Logistics Private Limited"/>
        <s v="Fleet Card Posting"/>
        <s v="Steels and Carriers Private Limited"/>
        <s v="String  Logistics"/>
        <s v="Pioneer Pultru Tech Engineering Private Limited"/>
        <s v="Raventrax Private Limited"/>
        <s v="KRISHNA INFRATECH PVT LTD"/>
        <s v="Shree Karni Kripa Construction Company"/>
        <s v="Mineral Co."/>
        <s v="Ember Coal Beneficiation Private Limited"/>
        <s v="Shivaay Logistics"/>
        <s v="M/s Jai Balaji Oxygen Private Limited"/>
        <s v="T N Roadlines"/>
        <s v="Maruti Realities &amp; Developers"/>
        <s v="M/s Shree Balajee Enterprises"/>
        <s v="Sudarshan Minerals &amp; Logistics"/>
        <s v="Gandhar Concrete Pole"/>
        <s v="OIC Jharsuguda FS"/>
        <s v="Orissa Metaliks Private Limited"/>
        <s v="Ekdant Logistic"/>
        <s v="DG VRIDDHI FUELS"/>
        <s v="Bkd Logistics Private Limited"/>
        <s v="Rsa Infraproject Private Limited"/>
        <s v="Radhe Shyam Mining"/>
        <s v="Great River Coy Private Limited"/>
        <s v="M/s. Ajit Kumar Debta"/>
        <s v="SHRI LAL KHETAN"/>
        <s v="M/s  Ankita Air Products Private Limited"/>
        <s v="Kalyani Ventures Limited"/>
        <s v="M/s-Capital Engineering Services"/>
        <s v="Ss Freight Carrier"/>
        <s v="Virendra Logistics Private Limited"/>
        <s v="Swagat Sundar Mohanty"/>
        <s v="Maa Samleswari Equipments"/>
        <s v="SAMARPAN LOGISTICS PVT LTD"/>
        <s v="Indiabuild Infra Private Limited"/>
        <s v="Jaymaa Mangla Construction"/>
        <s v="M/S Ultratech Cement Ltd"/>
        <s v="Indian Enterprises"/>
        <s v="Krl Infratech (India) Limited"/>
        <s v="MAA DURGA CONSTRUCTION"/>
        <s v="Kanha Enterprises"/>
        <s v="SSFCxSSL"/>
        <s v="Harnoor Logistics Private Limited"/>
        <s v="Aryan Ispat &amp; Power Private Ltd."/>
        <s v="Hm Power and Cables Private Limited"/>
        <s v="Maa Karni Earthmover Private Limited"/>
        <s v="M/s Global Movers"/>
        <s v="Animesh Builders"/>
        <s v="DEV TRANSPORT"/>
        <s v="Grk Logistics Private Limited"/>
        <s v="S K Trading"/>
        <s v="Mukesh Rana Ref OMPL"/>
        <s v="Ashish Garg"/>
        <s v="Maa Samlai Logistics Private Limited"/>
        <s v="Pine Labs Nodal Account"/>
        <s v="Keshav Minerals"/>
        <s v="EzyPay UPI ICICI"/>
        <s v="Bhatia Energy and Minerals (Sundargarh) Private Limited"/>
        <s v="Shree Jhadeswar Associates"/>
        <m/>
        <s v="Bhaskar Earthmover Private Limited" u="1"/>
        <s v="UTTAM ROHIDAS" u="1"/>
        <s v="Pentane Logistics Private Limited" u="1"/>
        <s v="Simar JSW" u="1"/>
        <s v="Rm3d Mining and Logistics Private Limited" u="1"/>
        <s v="Agrim Mining (Jv)" u="1"/>
        <s v="Sainik Infratec Private Limited" u="1"/>
        <s v="South Transport Service" u="1"/>
        <s v="Sai Prashanth Engineering &amp; Infrastructure PVT LTD" u="1"/>
        <s v="MA Automobile" u="1"/>
        <s v="Swastik Associates" u="1"/>
        <s v="Harish Iron Store" u="1"/>
        <s v="Gourav Civil Contractor" u="1"/>
        <s v="Svd Earthworks Llp" u="1"/>
        <s v="Shree Shyam Logistics" u="1"/>
        <s v="Virendra Logistics Pvt Ltd" u="1"/>
        <s v="Jay Hanuman Transport and Multipurpose Co-Operative Society Ltd" u="1"/>
        <s v="Field Officer Jharsuguda RSA" u="1"/>
        <s v="SK TRADING COMPANY" u="1"/>
        <s v="M/s Pioneer Pultru Tech Engineering Private Limited" u="1"/>
      </sharedItems>
    </cacheField>
    <cacheField name="Month" numFmtId="0">
      <sharedItems containsDate="1" containsBlank="1" containsMixedTypes="1" minDate="2025-04-01T00:00:00" maxDate="2026-07-02T00:00:00" count="19">
        <d v="2026-04-01T00:00:00"/>
        <d v="2026-05-01T00:00:00"/>
        <m/>
        <d v="2026-06-01T00:00:00"/>
        <d v="2026-07-01T00:00:00"/>
        <s v=""/>
        <d v="2025-04-01T00:00:00" u="1"/>
        <d v="2025-05-01T00:00:00" u="1"/>
        <d v="2025-06-01T00:00:00" u="1"/>
        <d v="2025-07-01T00:00:00" u="1"/>
        <d v="2025-08-01T00:00:00" u="1"/>
        <d v="2025-09-01T00:00:00" u="1"/>
        <d v="2025-10-01T00:00:00" u="1"/>
        <d v="2025-11-01T00:00:00" u="1"/>
        <d v="2025-12-01T00:00:00" u="1"/>
        <d v="2026-01-01T00:00:00" u="1"/>
        <d v="2026-02-01T00:00:00" u="1"/>
        <d v="2026-03-01T00:00:00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m Khetan" refreshedDate="46221.334229629632" createdVersion="8" refreshedVersion="8" minRefreshableVersion="3" recordCount="1000" xr:uid="{59CB9F4E-9FA6-E74A-BCF1-4DED6E23FC53}">
  <cacheSource type="worksheet">
    <worksheetSource ref="A1:H1048576" sheet="MS Sale"/>
  </cacheSource>
  <cacheFields count="8">
    <cacheField name="Date" numFmtId="0">
      <sharedItems containsNonDate="0" containsDate="1" containsString="0" containsBlank="1" minDate="2026-04-01T00:00:00" maxDate="2026-07-17T00:00:00"/>
    </cacheField>
    <cacheField name="Bill No." numFmtId="0">
      <sharedItems containsBlank="1"/>
    </cacheField>
    <cacheField name="Vehicle" numFmtId="0">
      <sharedItems containsBlank="1"/>
    </cacheField>
    <cacheField name="Quantity" numFmtId="0">
      <sharedItems containsString="0" containsBlank="1" containsNumber="1" minValue="0.92" maxValue="726.5"/>
    </cacheField>
    <cacheField name="RSP" numFmtId="0">
      <sharedItems containsString="0" containsBlank="1" containsNumber="1" minValue="101.15" maxValue="109.01"/>
    </cacheField>
    <cacheField name="Amount" numFmtId="0">
      <sharedItems containsString="0" containsBlank="1" containsNumber="1" minValue="100" maxValue="79195.53"/>
    </cacheField>
    <cacheField name="Customer" numFmtId="0">
      <sharedItems containsBlank="1" count="29">
        <s v="SAPNA BUILDERS AND SUPPLIERS"/>
        <s v="JYOTI RANJAN DASH"/>
        <s v="Orissa Metaliks Private Limited"/>
        <s v="Pioneer Pultru Tech Engineering Private Limited"/>
        <s v="Simar Infrastructure LTD"/>
        <s v="SHRI LAL KHETAN"/>
        <s v="M/s Shree Balajee Enterprises"/>
        <s v="Sudarshan Minerals &amp; Logistics"/>
        <s v="VRIDDHI FUELS CAR"/>
        <s v="Shree Karni Kripa Construction Company"/>
        <s v="OIC Jharsuguda FS"/>
        <s v="Swagat Sundar Mohanty"/>
        <s v="M/s Smc Power Generation Ltd."/>
        <s v="Radhe Shyam Mining"/>
        <s v="Fleet Card Posting"/>
        <s v="Ss Freight Carrier"/>
        <s v="Pine Labs Nodal Account"/>
        <s v="EzyPay UPI ICICI"/>
        <s v="Animesh Builders"/>
        <s v="Ember Coal Beneficiation Private Limited"/>
        <m/>
        <s v="Maruti Realities &amp; Developers" u="1"/>
        <s v="Inland World Logistics Private Limited" u="1"/>
        <s v="Khetan Enterprises" u="1"/>
        <s v="M/S Ultratech Cement Ltd" u="1"/>
        <s v="Shree Shyam Logistics" u="1"/>
        <s v="Swastik Associates" u="1"/>
        <s v="Field Officer Jharsuguda RSA" u="1"/>
        <s v="M/s Pioneer Pultru Tech Engineering Private Limited" u="1"/>
      </sharedItems>
    </cacheField>
    <cacheField name="Month" numFmtId="0">
      <sharedItems containsDate="1" containsBlank="1" containsMixedTypes="1" minDate="2025-04-01T00:00:00" maxDate="2026-07-02T00:00:00" count="19">
        <d v="2026-04-01T00:00:00"/>
        <d v="2026-05-01T00:00:00"/>
        <m/>
        <d v="2026-06-01T00:00:00"/>
        <d v="2026-07-01T00:00:00"/>
        <s v=""/>
        <d v="2025-04-01T00:00:00" u="1"/>
        <d v="2025-05-01T00:00:00" u="1"/>
        <d v="2025-06-01T00:00:00" u="1"/>
        <d v="2025-07-01T00:00:00" u="1"/>
        <d v="2025-08-01T00:00:00" u="1"/>
        <d v="2025-09-01T00:00:00" u="1"/>
        <d v="2025-10-01T00:00:00" u="1"/>
        <d v="2025-11-01T00:00:00" u="1"/>
        <d v="2025-12-01T00:00:00" u="1"/>
        <d v="2026-01-01T00:00:00" u="1"/>
        <d v="2026-02-01T00:00:00" u="1"/>
        <d v="2026-03-01T00:00:00" u="1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m Khetan" refreshedDate="46225.429912962965" createdVersion="8" refreshedVersion="8" minRefreshableVersion="3" recordCount="579" xr:uid="{2320CE66-6C02-AE47-BF4A-13C11C43DFF2}">
  <cacheSource type="worksheet">
    <worksheetSource name="Table146"/>
  </cacheSource>
  <cacheFields count="7">
    <cacheField name="Date" numFmtId="14">
      <sharedItems containsDate="1" containsBlank="1" containsMixedTypes="1" minDate="2024-07-08T00:00:00" maxDate="2026-07-22T00:00:00" count="18">
        <d v="2026-05-23T00:00:00"/>
        <d v="2026-05-25T00:00:00"/>
        <d v="2026-06-01T00:00:00"/>
        <d v="2026-07-11T00:00:00"/>
        <d v="2026-07-13T00:00:00"/>
        <d v="2026-07-21T00:00:00"/>
        <m/>
        <s v=""/>
        <d v="2024-07-08T00:00:00" u="1"/>
        <d v="2025-05-13T00:00:00" u="1"/>
        <d v="2025-06-12T00:00:00" u="1"/>
        <d v="2025-06-25T00:00:00" u="1"/>
        <d v="2025-06-26T00:00:00" u="1"/>
        <d v="2025-11-03T00:00:00" u="1"/>
        <d v="2026-02-07T00:00:00" u="1"/>
        <d v="2026-02-09T00:00:00" u="1"/>
        <d v="2026-02-11T00:00:00" u="1"/>
        <d v="2026-02-16T00:00:00" u="1"/>
      </sharedItems>
    </cacheField>
    <cacheField name="Bill No." numFmtId="0">
      <sharedItems containsBlank="1"/>
    </cacheField>
    <cacheField name="Vehicle" numFmtId="0">
      <sharedItems containsBlank="1"/>
    </cacheField>
    <cacheField name="Quantity" numFmtId="0">
      <sharedItems containsString="0" containsBlank="1" containsNumber="1" minValue="2.82" maxValue="2500"/>
    </cacheField>
    <cacheField name="RSP" numFmtId="0">
      <sharedItems containsString="0" containsBlank="1" containsNumber="1" minValue="103.46" maxValue="106.34"/>
    </cacheField>
    <cacheField name="Amount" numFmtId="0">
      <sharedItems containsString="0" containsBlank="1" containsNumber="1" minValue="300" maxValue="265850"/>
    </cacheField>
    <cacheField name="Company" numFmtId="0">
      <sharedItems containsBlank="1" count="11">
        <s v="Aryan Ispat &amp; Power Private Ltd."/>
        <s v="Rsa Infraproject Private Limited"/>
        <s v="EzyPay UPI ICICI"/>
        <m/>
        <s v="Ember Coal Beneficiation Private Limited" u="1"/>
        <s v="Ss Freight Carrier" u="1"/>
        <s v="String  Logistics" u="1"/>
        <s v="SSFCxSSL" u="1"/>
        <s v="Inland World Logistics Private Limited" u="1"/>
        <s v="Kanha Enterprises" u="1"/>
        <s v="Field Officer Jharsuguda RS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m Khetan" refreshedDate="46263.365288657405" createdVersion="8" refreshedVersion="8" minRefreshableVersion="3" recordCount="8500" xr:uid="{774526D5-B234-ED4D-B104-DB4027987831}">
  <cacheSource type="worksheet">
    <worksheetSource ref="A1:G1048576" sheet="HSD Sale"/>
  </cacheSource>
  <cacheFields count="7">
    <cacheField name="Date" numFmtId="0">
      <sharedItems containsNonDate="0" containsDate="1" containsString="0" containsBlank="1" minDate="1899-12-30T00:00:00" maxDate="2026-08-29T00:00:00" count="877"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m/>
        <d v="2026-05-31T00:00:00" u="1"/>
        <d v="2026-04-26T00:00:00" u="1"/>
        <d v="2025-04-01T00:00:00" u="1"/>
        <d v="2025-04-02T00:00:00" u="1"/>
        <d v="2025-04-03T00:00:00" u="1"/>
        <d v="2025-04-04T00:00:00" u="1"/>
        <d v="2025-04-05T00:00:00" u="1"/>
        <d v="2025-04-06T00:00:00" u="1"/>
        <d v="2025-04-07T00:00:00" u="1"/>
        <d v="2025-04-08T00:00:00" u="1"/>
        <d v="2025-04-09T00:00:00" u="1"/>
        <d v="2025-04-10T00:00:00" u="1"/>
        <d v="2025-04-11T00:00:00" u="1"/>
        <d v="2025-04-12T00:00:00" u="1"/>
        <d v="2025-04-13T00:00:00" u="1"/>
        <d v="2025-04-14T00:00:00" u="1"/>
        <d v="2025-04-15T00:00:00" u="1"/>
        <d v="2025-04-16T00:00:00" u="1"/>
        <d v="2025-04-17T00:00:00" u="1"/>
        <d v="2025-04-18T00:00:00" u="1"/>
        <d v="2025-04-19T00:00:00" u="1"/>
        <d v="2025-04-20T00:00:00" u="1"/>
        <d v="2025-04-21T00:00:00" u="1"/>
        <d v="2025-04-22T00:00:00" u="1"/>
        <d v="2025-04-23T00:00:00" u="1"/>
        <d v="2025-04-24T00:00:00" u="1"/>
        <d v="2025-04-25T00:00:00" u="1"/>
        <d v="2025-04-26T00:00:00" u="1"/>
        <d v="2025-04-27T00:00:00" u="1"/>
        <d v="2025-04-28T00:00:00" u="1"/>
        <d v="2025-04-29T00:00:00" u="1"/>
        <d v="2025-04-30T00:00:00" u="1"/>
        <d v="2025-05-01T00:00:00" u="1"/>
        <d v="2025-05-02T00:00:00" u="1"/>
        <d v="2025-05-03T00:00:00" u="1"/>
        <d v="2025-05-04T00:00:00" u="1"/>
        <d v="2025-05-05T00:00:00" u="1"/>
        <d v="2025-05-06T00:00:00" u="1"/>
        <d v="2025-05-07T00:00:00" u="1"/>
        <d v="2025-05-08T00:00:00" u="1"/>
        <d v="2025-05-09T00:00:00" u="1"/>
        <d v="2025-05-10T00:00:00" u="1"/>
        <d v="2025-05-11T00:00:00" u="1"/>
        <d v="2025-05-12T00:00:00" u="1"/>
        <d v="2025-05-13T00:00:00" u="1"/>
        <d v="2025-05-14T00:00:00" u="1"/>
        <d v="2025-05-15T00:00:00" u="1"/>
        <d v="2025-05-16T00:00:00" u="1"/>
        <d v="2025-05-17T00:00:00" u="1"/>
        <d v="2025-05-18T00:00:00" u="1"/>
        <d v="2025-05-19T00:00:00" u="1"/>
        <d v="2025-05-20T00:00:00" u="1"/>
        <d v="2025-05-21T00:00:00" u="1"/>
        <d v="2025-05-22T00:00:00" u="1"/>
        <d v="2025-05-23T00:00:00" u="1"/>
        <d v="2025-05-24T00:00:00" u="1"/>
        <d v="2025-05-25T00:00:00" u="1"/>
        <d v="2025-05-26T00:00:00" u="1"/>
        <d v="2025-05-27T00:00:00" u="1"/>
        <d v="2025-05-28T00:00:00" u="1"/>
        <d v="2025-05-29T00:00:00" u="1"/>
        <d v="2025-05-30T00:00:00" u="1"/>
        <d v="2025-05-31T00:00:00" u="1"/>
        <d v="2025-06-01T00:00:00" u="1"/>
        <d v="2025-06-02T00:00:00" u="1"/>
        <d v="2025-06-03T00:00:00" u="1"/>
        <d v="2025-06-04T00:00:00" u="1"/>
        <d v="2025-06-05T00:00:00" u="1"/>
        <d v="2025-06-06T00:00:00" u="1"/>
        <d v="2025-06-07T00:00:00" u="1"/>
        <d v="2025-06-08T00:00:00" u="1"/>
        <d v="2025-06-09T00:00:00" u="1"/>
        <d v="2025-06-10T00:00:00" u="1"/>
        <d v="2025-06-11T00:00:00" u="1"/>
        <d v="2025-06-12T00:00:00" u="1"/>
        <d v="2025-06-13T00:00:00" u="1"/>
        <d v="2025-06-14T00:00:00" u="1"/>
        <d v="2025-06-15T00:00:00" u="1"/>
        <d v="2025-06-16T00:00:00" u="1"/>
        <d v="2025-06-17T00:00:00" u="1"/>
        <d v="2025-06-18T00:00:00" u="1"/>
        <d v="2025-06-19T00:00:00" u="1"/>
        <d v="2025-06-20T00:00:00" u="1"/>
        <d v="2025-06-21T00:00:00" u="1"/>
        <d v="2025-06-22T00:00:00" u="1"/>
        <d v="2025-06-23T00:00:00" u="1"/>
        <d v="2025-06-24T00:00:00" u="1"/>
        <d v="2025-06-25T00:00:00" u="1"/>
        <d v="2025-06-26T00:00:00" u="1"/>
        <d v="2025-06-27T00:00:00" u="1"/>
        <d v="2025-06-28T00:00:00" u="1"/>
        <d v="2025-06-29T00:00:00" u="1"/>
        <d v="2025-06-30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9-01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4T00:00:00" u="1"/>
        <d v="2025-09-15T00:00:00" u="1"/>
        <d v="2025-09-16T00:00:00" u="1"/>
        <d v="2025-09-17T00:00:00" u="1"/>
        <d v="2025-09-18T00:00:00" u="1"/>
        <d v="2025-09-19T00:00:00" u="1"/>
        <d v="2025-09-20T00:00:00" u="1"/>
        <d v="2025-09-21T00:00:00" u="1"/>
        <d v="2025-09-22T00:00:00" u="1"/>
        <d v="2025-09-23T00:00:00" u="1"/>
        <d v="2025-09-24T00:00:00" u="1"/>
        <d v="2025-09-25T00:00:00" u="1"/>
        <d v="2025-09-26T00:00:00" u="1"/>
        <d v="2025-09-27T00:00:00" u="1"/>
        <d v="2025-09-28T00:00:00" u="1"/>
        <d v="2025-09-29T00:00:00" u="1"/>
        <d v="2025-09-30T00:00:00" u="1"/>
        <d v="2025-10-01T00:00:00" u="1"/>
        <d v="2025-10-02T00:00:00" u="1"/>
        <d v="2025-10-03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0-31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0T00:00:00" u="1"/>
        <d v="2025-11-21T00:00:00" u="1"/>
        <d v="2025-11-22T00:00:00" u="1"/>
        <d v="2025-11-23T00:00:00" u="1"/>
        <d v="2025-11-24T00:00:00" u="1"/>
        <d v="2025-11-25T00:00:00" u="1"/>
        <d v="2025-11-26T00:00:00" u="1"/>
        <d v="2025-11-27T00:00:00" u="1"/>
        <d v="2025-11-28T00:00:00" u="1"/>
        <d v="2025-11-29T00:00:00" u="1"/>
        <d v="2025-11-30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  <d v="2025-12-18T00:00:00" u="1"/>
        <d v="2025-12-19T00:00:00" u="1"/>
        <d v="2025-12-20T00:00:00" u="1"/>
        <d v="2025-12-21T00:00:00" u="1"/>
        <d v="2025-12-22T00:00:00" u="1"/>
        <d v="2025-12-23T00:00:00" u="1"/>
        <d v="2025-12-24T00:00:00" u="1"/>
        <d v="2025-12-25T00:00:00" u="1"/>
        <d v="2025-12-26T00:00:00" u="1"/>
        <d v="2025-12-27T00:00:00" u="1"/>
        <d v="2025-12-28T00:00:00" u="1"/>
        <d v="2025-12-29T00:00:00" u="1"/>
        <d v="2025-12-30T00:00:00" u="1"/>
        <d v="2025-12-31T00:00:00" u="1"/>
        <d v="2026-01-01T00:00:00" u="1"/>
        <d v="2026-01-02T00:00:00" u="1"/>
        <d v="2026-01-03T00:00:00" u="1"/>
        <d v="2026-01-04T00:00:00" u="1"/>
        <d v="2026-01-05T00:00:00" u="1"/>
        <d v="2026-01-06T00:00:00" u="1"/>
        <d v="2026-01-07T00:00:00" u="1"/>
        <d v="2026-01-08T00:00:00" u="1"/>
        <d v="2026-01-09T00:00:00" u="1"/>
        <d v="2026-01-10T00:00:00" u="1"/>
        <d v="2026-01-11T00:00:00" u="1"/>
        <d v="2026-01-12T00:00:00" u="1"/>
        <d v="2026-01-13T00:00:00" u="1"/>
        <d v="2026-01-14T00:00:00" u="1"/>
        <d v="2026-01-15T00:00:00" u="1"/>
        <d v="2026-01-16T00:00:00" u="1"/>
        <d v="2026-01-17T00:00:00" u="1"/>
        <d v="2026-01-18T00:00:00" u="1"/>
        <d v="2026-01-19T00:00:00" u="1"/>
        <d v="2026-01-20T00:00:00" u="1"/>
        <d v="2026-01-21T00:00:00" u="1"/>
        <d v="2026-01-22T00:00:00" u="1"/>
        <d v="2026-01-23T00:00:00" u="1"/>
        <d v="2026-01-24T00:00:00" u="1"/>
        <d v="2026-01-25T00:00:00" u="1"/>
        <d v="2026-01-26T00:00:00" u="1"/>
        <d v="2026-01-27T00:00:00" u="1"/>
        <d v="2026-01-28T00:00:00" u="1"/>
        <d v="2026-01-29T00:00:00" u="1"/>
        <d v="2026-01-30T00:00:00" u="1"/>
        <d v="2026-01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1899-12-30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5T00:00:00" u="1"/>
        <d v="2024-11-17T00:00:00" u="1"/>
        <d v="2024-12-03T00:00:00" u="1"/>
        <d v="2024-12-23T00:00:00" u="1"/>
        <d v="2025-01-13T00:00:00" u="1"/>
        <d v="2024-11-14T00:00:00" u="1"/>
        <d v="2024-11-16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  <d v="2025-03-29T00:00:00" u="1"/>
        <d v="2025-03-30T00:00:00" u="1"/>
        <d v="2025-03-31T00:00:00" u="1"/>
      </sharedItems>
    </cacheField>
    <cacheField name="Bill No." numFmtId="0">
      <sharedItems containsBlank="1" containsMixedTypes="1" containsNumber="1" containsInteger="1" minValue="1640" maxValue="1640"/>
    </cacheField>
    <cacheField name="Vehicle" numFmtId="0">
      <sharedItems containsBlank="1" containsMixedTypes="1" containsNumber="1" containsInteger="1" minValue="1327" maxValue="8014"/>
    </cacheField>
    <cacheField name="Quantity" numFmtId="0">
      <sharedItems containsString="0" containsBlank="1" containsNumber="1" minValue="4.67" maxValue="18000"/>
    </cacheField>
    <cacheField name="RSP" numFmtId="0">
      <sharedItems containsString="0" containsBlank="1" containsNumber="1" minValue="91.2" maxValue="100.74" count="21">
        <n v="91.2"/>
        <n v="91.36"/>
        <n v="92.74"/>
        <n v="91.5"/>
        <n v="95.93"/>
        <n v="96.9"/>
        <n v="97.87"/>
        <n v="100.74"/>
        <n v="99.5"/>
        <n v="100.24"/>
        <n v="99.99"/>
        <m/>
        <n v="91.37" u="1"/>
        <n v="91.74" u="1"/>
        <n v="91.49" u="1"/>
        <n v="92.75" u="1"/>
        <n v="91.44" u="1"/>
        <n v="92.69" u="1"/>
        <n v="91.34" u="1"/>
        <n v="91.45" u="1"/>
        <n v="91.32" u="1"/>
      </sharedItems>
    </cacheField>
    <cacheField name="Amount" numFmtId="0">
      <sharedItems containsString="0" containsBlank="1" containsNumber="1" minValue="470" maxValue="1799820"/>
    </cacheField>
    <cacheField name="Customer" numFmtId="0">
      <sharedItems containsBlank="1" count="157">
        <s v="M/s Smc Power Generation Ltd."/>
        <s v="Shyam Metalics and Energy Ltd"/>
        <s v="VRIDDHI FUELS CAR"/>
        <s v="VRIDDHI FUELS TANKER"/>
        <s v="SAPNA BUILDERS AND SUPPLIERS"/>
        <s v="Simar Infrastructure LTD"/>
        <s v="Inland World Logistics Private Limited"/>
        <s v="Fleet Card Posting"/>
        <s v="Steels and Carriers Private Limited"/>
        <s v="String  Logistics"/>
        <s v="Pioneer Pultru Tech Engineering Private Limited"/>
        <s v="Raventrax Private Limited"/>
        <s v="KRISHNA INFRATECH PVT LTD"/>
        <s v="Shree Karni Kripa Construction Company"/>
        <s v="Mineral Co."/>
        <s v="Ember Coal Beneficiation Private Limited"/>
        <s v="Shivaay Logistics"/>
        <s v="M/s Jai Balaji Oxygen Private Limited"/>
        <s v="T N Roadlines"/>
        <s v="Maruti Realities &amp; Developers"/>
        <s v="M/s Shree Balajee Enterprises"/>
        <s v="Sudarshan Minerals &amp; Logistics"/>
        <s v="Gandhar Concrete Pole"/>
        <s v="OIC Jharsuguda FS"/>
        <s v="Orissa Metaliks Private Limited"/>
        <s v="Ekdant Logistic"/>
        <s v="DG VRIDDHI FUELS"/>
        <s v="Bkd Logistics Private Limited"/>
        <s v="Rsa Infraproject Private Limited"/>
        <s v="Radhe Shyam Mining"/>
        <s v="Great River Coy Private Limited"/>
        <s v="M/s. Ajit Kumar Debta"/>
        <s v="SHRI LAL KHETAN"/>
        <s v="M/s  Ankita Air Products Private Limited"/>
        <s v="Kalyani Ventures Limited"/>
        <s v="M/s-Capital Engineering Services"/>
        <s v="Ss Freight Carrier"/>
        <s v="Virendra Logistics Private Limited"/>
        <s v="Swagat Sundar Mohanty"/>
        <s v="Maa Samleswari Equipments"/>
        <s v="SAMARPAN LOGISTICS PVT LTD"/>
        <s v="Indiabuild Infra Private Limited"/>
        <s v="Jaymaa Mangla Construction"/>
        <s v="M/S Ultratech Cement Ltd"/>
        <s v="Indian Enterprises"/>
        <s v="Krl Infratech (India) Limited"/>
        <s v="MAA DURGA CONSTRUCTION"/>
        <s v="Kanha Enterprises"/>
        <s v="SSFCxSSL"/>
        <s v="Harnoor Logistics Private Limited"/>
        <s v="Aryan Ispat &amp; Power Private Ltd."/>
        <s v="Hm Power and Cables Private Limited"/>
        <s v="Maa Karni Earthmover Private Limited"/>
        <s v="M/s Global Movers"/>
        <s v="Animesh Builders"/>
        <s v="DEV TRANSPORT"/>
        <s v="Grk Logistics Private Limited"/>
        <s v="S K Trading"/>
        <s v="Mukesh Rana Ref OMPL"/>
        <s v="Ashish Garg"/>
        <s v="Maa Samlai Logistics Private Limited"/>
        <s v="Pine Labs Nodal Account"/>
        <s v="Keshav Minerals"/>
        <s v="EzyPay UPI ICICI"/>
        <s v="Bhatia Energy and Minerals (Sundargarh) Private Limited"/>
        <s v="Shree Jhadeswar Associates"/>
        <s v="A.K.V. Logistics"/>
        <s v="Dbl-Siarmal Coal Mines Private Limited"/>
        <m/>
        <s v="Bhaskar Earthmover Private Limited" u="1"/>
        <s v="UTTAM ROHIDAS" u="1"/>
        <s v="Pentane Logistics Private Limited" u="1"/>
        <s v="Simar JSW" u="1"/>
        <s v="Rm3d Mining and Logistics Private Limited" u="1"/>
        <s v="Agrim Mining (Jv)" u="1"/>
        <s v="Sainik Infratec Private Limited" u="1"/>
        <s v="South Transport Service" u="1"/>
        <s v="Sai Prashanth Engineering &amp; Infrastructure PVT LTD" u="1"/>
        <s v="MA Automobile" u="1"/>
        <s v="Swastik Associates" u="1"/>
        <s v="Harish Iron Store" u="1"/>
        <s v="Gourav Civil Contractor" u="1"/>
        <s v="Svd Earthworks Llp" u="1"/>
        <s v="Shree Shyam Logistics" u="1"/>
        <s v="Virendra Logistics Pvt Ltd" u="1"/>
        <s v="Jay Hanuman Transport and Multipurpose Co-Operative Society Ltd" u="1"/>
        <s v="Field Officer Jharsuguda RSA" u="1"/>
        <s v="SK TRADING COMPANY" u="1"/>
        <s v="M/s Pioneer Pultru Tech Engineering Private Limited" u="1"/>
        <s v="MAHESHANAND LOGISTICS PVT LTD" u="1"/>
        <s v="HARNOOR LOGISTICS PVT LTD" u="1"/>
        <s v="SHREE BALAJI TRANSPORT" u="1"/>
        <s v="INLAND WORLD LOGISTICS" u="1"/>
        <s v="String Logistics" u="1"/>
        <s v="RSA INFRAPROJECT PVT LTD" u="1"/>
        <s v="BABYLON LOGISTICS PVT LTD" u="1"/>
        <s v="ANKITA AIR PRODUCTS PVT LTD" u="1"/>
        <s v="RM3D MINING AND LOGISTICS PVT LTD" u="1"/>
        <s v="BKD LOGISTICS PVT LTD" u="1"/>
        <s v="BHASKAR EARTHMOVER PVT LTD" u="1"/>
        <s v="PENTANE LOGISTICS PVT LTD" u="1"/>
        <s v="GRK LOGISTICS PVT LTD" u="1"/>
        <s v="GREAT RIVER COY PVT LTD" u="1"/>
        <s v="AGRIM MINING" u="1"/>
        <s v="SHREE BALAJEE ENTERPRISES" u="1"/>
        <s v="IB LOGISTICS PVT LTD" u="1"/>
        <s v="Jai Balajee Oxygen PVT LTD" u="1"/>
        <s v="SHIVA ENTERPRISES" u="1"/>
        <s v="LN LOGISTICS PVT LTD" u="1"/>
        <s v="MAA KARNI EARTHMOVER PVT LTD" u="1"/>
        <s v="Automotive Care Point" u="1"/>
        <s v="Penguin Trading &amp; Agencies LTD" u="1"/>
        <s v="Seven Star Steels LTD" u="1"/>
        <s v="Mohan Sahu" u="1"/>
        <s v="MAA SAMLESWARI ROADLINES" u="1"/>
        <s v="SEKHAR MAHAPATRA" u="1"/>
        <s v="SHREE KRISHNA ENTERPRISES" u="1"/>
        <s v="STEELS &amp; CARRIERS PVT LTD" u="1"/>
        <s v="SUDARSHAN MIINERALS &amp; LOGISTICS" u="1"/>
        <s v="Maheshanand" u="1"/>
        <s v="Harnoor" u="1"/>
        <s v="SSFC" u="1"/>
        <s v="South TPT" u="1"/>
        <s v="Jhadeswar" u="1"/>
        <s v="Balaji Transport" u="1"/>
        <s v="Inland World" u="1"/>
        <s v="TN Roadline" u="1"/>
        <s v="Orissa Metaliks" u="1"/>
        <s v="Fleet Card" u="1"/>
        <s v="Simar Infra" u="1"/>
        <s v="RSA Infraproject" u="1"/>
        <s v="Babylon" u="1"/>
        <s v="OIC FS Jharsuguda" u="1"/>
        <s v="Ankita Air Products" u="1"/>
        <s v="Ultra Tech Cement" u="1"/>
        <s v="RM3D Mining" u="1"/>
        <s v="BKD Logistics" u="1"/>
        <s v="Bhaskar Earthmover" u="1"/>
        <s v="Virendra" u="1"/>
        <s v="Sainik Infratec" u="1"/>
        <s v="Sapna Builders" u="1"/>
        <s v="Pentane Logistics" u="1"/>
        <s v="GRK Logistics" u="1"/>
        <s v="Great River" u="1"/>
        <s v="Balajee Enterprises" u="1"/>
        <s v="IB Logistics" u="1"/>
        <s v="Jai Balaji Oxygen" u="1"/>
        <s v="LN Logistics" u="1"/>
        <s v="Maa Karni" u="1"/>
        <s v="Krishna Infratech" u="1"/>
        <s v="Automotive Care" u="1"/>
        <s v="Penguin Trading" u="1"/>
        <s v="Seven Star Steels" u="1"/>
        <s v="Steels &amp; Carriers" u="1"/>
        <s v="Maa Samleswari Roadline" u="1"/>
        <s v="Sudarshan Minerals" u="1"/>
        <s v="South TPT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m Khetan" refreshedDate="46263.365290740738" createdVersion="8" refreshedVersion="8" minRefreshableVersion="3" recordCount="1000" xr:uid="{184F2BA5-732E-7543-B70B-01434F8FC260}">
  <cacheSource type="worksheet">
    <worksheetSource ref="A1:G1048576" sheet="MS Sale"/>
  </cacheSource>
  <cacheFields count="7">
    <cacheField name="Date" numFmtId="0">
      <sharedItems containsNonDate="0" containsDate="1" containsString="0" containsBlank="1" minDate="2026-04-01T00:00:00" maxDate="2026-08-29T00:00:00" count="145">
        <d v="2026-04-01T00:00:00"/>
        <d v="2026-04-02T00:00:00"/>
        <d v="2026-04-03T00:00:00"/>
        <d v="2026-04-04T00:00:00"/>
        <d v="2026-04-05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7T00:00:00"/>
        <d v="2026-05-08T00:00:00"/>
        <d v="2026-05-09T00:00:00"/>
        <d v="2026-05-10T00:00:00"/>
        <d v="2026-05-11T00:00:00"/>
        <d v="2026-05-12T00:00:00"/>
        <d v="2026-05-14T00:00:00"/>
        <d v="2026-05-15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m/>
      </sharedItems>
    </cacheField>
    <cacheField name="Bill No." numFmtId="0">
      <sharedItems containsBlank="1"/>
    </cacheField>
    <cacheField name="Vehicle" numFmtId="0">
      <sharedItems containsBlank="1"/>
    </cacheField>
    <cacheField name="Quantity" numFmtId="0">
      <sharedItems containsString="0" containsBlank="1" containsNumber="1" minValue="0.55000000000000004" maxValue="726.5"/>
    </cacheField>
    <cacheField name="RSP" numFmtId="0">
      <sharedItems containsString="0" containsBlank="1" containsNumber="1" minValue="101.15" maxValue="109.01"/>
    </cacheField>
    <cacheField name="Amount" numFmtId="0">
      <sharedItems containsString="0" containsBlank="1" containsNumber="1" minValue="60" maxValue="79195.53"/>
    </cacheField>
    <cacheField name="Customer" numFmtId="0">
      <sharedItems containsBlank="1" count="22">
        <s v="SAPNA BUILDERS AND SUPPLIERS"/>
        <s v="JYOTI RANJAN DASH"/>
        <s v="Orissa Metaliks Private Limited"/>
        <s v="Pioneer Pultru Tech Engineering Private Limited"/>
        <s v="Simar Infrastructure LTD"/>
        <s v="SHRI LAL KHETAN"/>
        <s v="M/s Shree Balajee Enterprises"/>
        <s v="Sudarshan Minerals &amp; Logistics"/>
        <s v="VRIDDHI FUELS CAR"/>
        <s v="Shree Karni Kripa Construction Company"/>
        <s v="OIC Jharsuguda FS"/>
        <s v="Swagat Sundar Mohanty"/>
        <s v="M/s Smc Power Generation Ltd."/>
        <s v="Radhe Shyam Mining"/>
        <s v="Fleet Card Posting"/>
        <s v="Ss Freight Carrier"/>
        <s v="Pine Labs Nodal Account"/>
        <s v="EzyPay UPI ICICI"/>
        <s v="Animesh Builders"/>
        <s v="Ember Coal Beneficiation Private Limited"/>
        <s v="A.K.V. Logistic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00">
  <r>
    <d v="2026-04-01T00:00:00"/>
    <s v="1"/>
    <s v="OR15R9360"/>
    <n v="18000"/>
    <n v="91.2"/>
    <n v="1641600"/>
    <x v="0"/>
    <x v="0"/>
  </r>
  <r>
    <d v="2026-04-01T00:00:00"/>
    <s v="2"/>
    <s v="OR15R5510"/>
    <n v="12000"/>
    <n v="91.36"/>
    <n v="1096320"/>
    <x v="1"/>
    <x v="0"/>
  </r>
  <r>
    <d v="2026-04-01T00:00:00"/>
    <s v="3"/>
    <s v="OD23A8210"/>
    <n v="53"/>
    <n v="92.74"/>
    <n v="4915.22"/>
    <x v="2"/>
    <x v="0"/>
  </r>
  <r>
    <d v="2026-04-01T00:00:00"/>
    <s v="4"/>
    <s v="OR15R1110"/>
    <n v="296"/>
    <n v="92.74"/>
    <n v="27451.040000000001"/>
    <x v="3"/>
    <x v="0"/>
  </r>
  <r>
    <d v="2026-04-01T00:00:00"/>
    <s v="5"/>
    <s v="OD15H8328"/>
    <n v="8"/>
    <n v="92.74"/>
    <n v="741.92"/>
    <x v="4"/>
    <x v="0"/>
  </r>
  <r>
    <d v="2026-04-01T00:00:00"/>
    <s v="6"/>
    <s v="OD15AA4091"/>
    <n v="35"/>
    <n v="92.74"/>
    <n v="3245.9"/>
    <x v="5"/>
    <x v="0"/>
  </r>
  <r>
    <d v="2026-04-01T00:00:00"/>
    <s v="7"/>
    <s v="OD15AA4091"/>
    <n v="43"/>
    <n v="92.74"/>
    <n v="3987.82"/>
    <x v="5"/>
    <x v="0"/>
  </r>
  <r>
    <d v="2026-04-01T00:00:00"/>
    <s v="8"/>
    <s v="JH01FS6302"/>
    <n v="37.31"/>
    <n v="92.74"/>
    <n v="3460.12"/>
    <x v="5"/>
    <x v="0"/>
  </r>
  <r>
    <d v="2026-04-01T00:00:00"/>
    <s v="9"/>
    <s v="UP44BT0924"/>
    <n v="342.47"/>
    <n v="92.74"/>
    <n v="31760.66"/>
    <x v="6"/>
    <x v="0"/>
  </r>
  <r>
    <d v="2026-04-01T00:00:00"/>
    <s v="10"/>
    <s v="OD15S8824"/>
    <n v="269.57"/>
    <n v="92.74"/>
    <n v="25000"/>
    <x v="6"/>
    <x v="0"/>
  </r>
  <r>
    <d v="2026-04-01T00:00:00"/>
    <s v="11"/>
    <s v="UP84BT2840"/>
    <n v="150.96"/>
    <n v="92.74"/>
    <n v="14000.03"/>
    <x v="6"/>
    <x v="0"/>
  </r>
  <r>
    <d v="2026-04-01T00:00:00"/>
    <s v="12"/>
    <s v="NL01AB9355"/>
    <n v="253.51"/>
    <n v="92.74"/>
    <n v="23510.51"/>
    <x v="6"/>
    <x v="0"/>
  </r>
  <r>
    <d v="2026-04-01T00:00:00"/>
    <s v="13"/>
    <s v=""/>
    <n v="226.44"/>
    <n v="92.74"/>
    <n v="21000"/>
    <x v="7"/>
    <x v="0"/>
  </r>
  <r>
    <d v="2026-04-01T00:00:00"/>
    <s v="14"/>
    <s v=""/>
    <n v="2633.17"/>
    <n v="92.74"/>
    <n v="244200"/>
    <x v="8"/>
    <x v="0"/>
  </r>
  <r>
    <d v="2026-04-01T00:00:00"/>
    <s v="15"/>
    <s v=""/>
    <n v="1221.17"/>
    <n v="92.74"/>
    <n v="113251.19"/>
    <x v="9"/>
    <x v="0"/>
  </r>
  <r>
    <d v="2026-04-01T00:00:00"/>
    <s v="16"/>
    <s v="OD15AF5510"/>
    <n v="3999.7"/>
    <n v="92.74"/>
    <n v="370932.18"/>
    <x v="10"/>
    <x v="0"/>
  </r>
  <r>
    <d v="2026-04-02T00:00:00"/>
    <s v="17"/>
    <s v="OR15R5510"/>
    <n v="12000"/>
    <n v="91.2"/>
    <n v="1094400"/>
    <x v="0"/>
    <x v="0"/>
  </r>
  <r>
    <d v="2026-04-02T00:00:00"/>
    <s v="18"/>
    <s v="UP78HN0524"/>
    <n v="160"/>
    <n v="92.74"/>
    <n v="14838.4"/>
    <x v="11"/>
    <x v="0"/>
  </r>
  <r>
    <d v="2026-04-02T00:00:00"/>
    <s v="19"/>
    <s v="UP78HN0524"/>
    <n v="200"/>
    <n v="92.74"/>
    <n v="18548"/>
    <x v="11"/>
    <x v="0"/>
  </r>
  <r>
    <d v="2026-04-02T00:00:00"/>
    <s v="20"/>
    <s v="UP78HN0524"/>
    <n v="21.57"/>
    <n v="92.74"/>
    <n v="2000"/>
    <x v="11"/>
    <x v="0"/>
  </r>
  <r>
    <d v="2026-04-02T00:00:00"/>
    <s v="21"/>
    <s v="OR15R1110"/>
    <n v="12000"/>
    <n v="91.36"/>
    <n v="1096320"/>
    <x v="1"/>
    <x v="0"/>
  </r>
  <r>
    <d v="2026-04-02T00:00:00"/>
    <s v="22"/>
    <s v="OD23D9353"/>
    <n v="800"/>
    <n v="92.74"/>
    <n v="74192"/>
    <x v="12"/>
    <x v="0"/>
  </r>
  <r>
    <d v="2026-04-02T00:00:00"/>
    <s v="23"/>
    <s v="OD23U4012"/>
    <n v="130"/>
    <n v="92.74"/>
    <n v="12056.2"/>
    <x v="13"/>
    <x v="0"/>
  </r>
  <r>
    <d v="2026-04-02T00:00:00"/>
    <s v="24"/>
    <s v="OD15AA4091"/>
    <n v="42.27"/>
    <n v="92.74"/>
    <n v="3920.11"/>
    <x v="5"/>
    <x v="0"/>
  </r>
  <r>
    <d v="2026-04-02T00:00:00"/>
    <s v="25"/>
    <s v="WB25J8964"/>
    <n v="226.44"/>
    <n v="92.74"/>
    <n v="21000.04"/>
    <x v="6"/>
    <x v="0"/>
  </r>
  <r>
    <d v="2026-04-02T00:00:00"/>
    <s v="26"/>
    <s v="OD15AF5510"/>
    <n v="3000"/>
    <n v="92.74"/>
    <n v="278220"/>
    <x v="10"/>
    <x v="0"/>
  </r>
  <r>
    <d v="2026-04-02T00:00:00"/>
    <s v="27"/>
    <s v="OD23R7380"/>
    <n v="80"/>
    <n v="92.74"/>
    <n v="7419.2"/>
    <x v="14"/>
    <x v="0"/>
  </r>
  <r>
    <d v="2026-04-02T00:00:00"/>
    <s v="28"/>
    <s v="OD23R7321"/>
    <n v="80"/>
    <n v="92.74"/>
    <n v="7419.2"/>
    <x v="14"/>
    <x v="0"/>
  </r>
  <r>
    <d v="2026-04-02T00:00:00"/>
    <s v="29"/>
    <s v="OD23R7385"/>
    <n v="80"/>
    <n v="92.74"/>
    <n v="7419.2"/>
    <x v="14"/>
    <x v="0"/>
  </r>
  <r>
    <d v="2026-04-02T00:00:00"/>
    <s v="30"/>
    <s v="OD23R3330"/>
    <n v="60"/>
    <n v="92.74"/>
    <n v="5564.4"/>
    <x v="14"/>
    <x v="0"/>
  </r>
  <r>
    <d v="2026-04-02T00:00:00"/>
    <s v="31"/>
    <s v="OD23N4961"/>
    <n v="60"/>
    <n v="92.74"/>
    <n v="5564.4"/>
    <x v="14"/>
    <x v="0"/>
  </r>
  <r>
    <d v="2026-04-02T00:00:00"/>
    <s v="32"/>
    <s v="OD15AF5510"/>
    <n v="494.6"/>
    <n v="92.74"/>
    <n v="45869.2"/>
    <x v="15"/>
    <x v="0"/>
  </r>
  <r>
    <d v="2026-04-02T00:00:00"/>
    <s v="33"/>
    <s v="OD15AF5510"/>
    <n v="1500.01"/>
    <n v="92.74"/>
    <n v="139110.93"/>
    <x v="16"/>
    <x v="0"/>
  </r>
  <r>
    <d v="2026-04-02T00:00:00"/>
    <s v="34"/>
    <m/>
    <n v="441.33"/>
    <n v="92.74"/>
    <n v="40928.800000000003"/>
    <x v="9"/>
    <x v="0"/>
  </r>
  <r>
    <d v="2026-04-02T00:00:00"/>
    <s v="35"/>
    <m/>
    <n v="4414.49"/>
    <n v="92.74"/>
    <n v="409400"/>
    <x v="8"/>
    <x v="0"/>
  </r>
  <r>
    <d v="2026-04-02T00:00:00"/>
    <s v="36"/>
    <m/>
    <n v="226.44"/>
    <n v="92.74"/>
    <n v="21000"/>
    <x v="7"/>
    <x v="0"/>
  </r>
  <r>
    <d v="2026-04-03T00:00:00"/>
    <s v="37"/>
    <s v="OD23N4311"/>
    <n v="1200"/>
    <n v="92.74"/>
    <n v="111288"/>
    <x v="17"/>
    <x v="0"/>
  </r>
  <r>
    <d v="2026-04-03T00:00:00"/>
    <s v="38"/>
    <s v="OR15R9360"/>
    <n v="18000"/>
    <n v="91.36"/>
    <n v="1644480"/>
    <x v="1"/>
    <x v="0"/>
  </r>
  <r>
    <d v="2026-04-03T00:00:00"/>
    <s v="39"/>
    <s v="TN52Q8696"/>
    <n v="306.2"/>
    <n v="92.74"/>
    <n v="28396.98"/>
    <x v="18"/>
    <x v="0"/>
  </r>
  <r>
    <d v="2026-04-03T00:00:00"/>
    <s v="40"/>
    <s v="OD23D0009"/>
    <n v="55.48"/>
    <n v="92.74"/>
    <n v="5145.21"/>
    <x v="19"/>
    <x v="0"/>
  </r>
  <r>
    <d v="2026-04-03T00:00:00"/>
    <s v="41"/>
    <s v="OD23N4041"/>
    <n v="80"/>
    <n v="92.74"/>
    <n v="7419.2"/>
    <x v="14"/>
    <x v="0"/>
  </r>
  <r>
    <d v="2026-04-03T00:00:00"/>
    <s v="42"/>
    <s v="OD15Z0036"/>
    <n v="19.14"/>
    <n v="92.74"/>
    <n v="1775"/>
    <x v="14"/>
    <x v="0"/>
  </r>
  <r>
    <d v="2026-04-03T00:00:00"/>
    <s v="43"/>
    <s v="OD05AN7688"/>
    <n v="500"/>
    <n v="92.74"/>
    <n v="46370"/>
    <x v="10"/>
    <x v="0"/>
  </r>
  <r>
    <d v="2026-04-03T00:00:00"/>
    <s v="44"/>
    <s v="OD33Y3567"/>
    <n v="35"/>
    <n v="92.74"/>
    <n v="3245.9"/>
    <x v="5"/>
    <x v="0"/>
  </r>
  <r>
    <d v="2026-04-03T00:00:00"/>
    <s v="45"/>
    <s v="OD33Y3567"/>
    <n v="30"/>
    <n v="92.74"/>
    <n v="2782.2"/>
    <x v="5"/>
    <x v="0"/>
  </r>
  <r>
    <d v="2026-04-03T00:00:00"/>
    <s v="46"/>
    <s v="OD15U5910"/>
    <n v="88"/>
    <n v="92.74"/>
    <n v="8161.12"/>
    <x v="5"/>
    <x v="0"/>
  </r>
  <r>
    <d v="2026-04-03T00:00:00"/>
    <s v="47"/>
    <s v="OD23N1900"/>
    <n v="67.5"/>
    <n v="92.74"/>
    <n v="6259.95"/>
    <x v="20"/>
    <x v="0"/>
  </r>
  <r>
    <d v="2026-04-03T00:00:00"/>
    <s v="48"/>
    <s v="OD15P9503"/>
    <n v="38.28"/>
    <n v="92.74"/>
    <n v="3550.08"/>
    <x v="4"/>
    <x v="0"/>
  </r>
  <r>
    <d v="2026-04-03T00:00:00"/>
    <s v="49"/>
    <s v="WB65B9720"/>
    <n v="313.79000000000002"/>
    <n v="92.74"/>
    <n v="29100.880000000001"/>
    <x v="6"/>
    <x v="0"/>
  </r>
  <r>
    <d v="2026-04-03T00:00:00"/>
    <s v="50"/>
    <s v="OD23R7314"/>
    <n v="80"/>
    <n v="92.74"/>
    <n v="7419.2"/>
    <x v="14"/>
    <x v="0"/>
  </r>
  <r>
    <d v="2026-04-03T00:00:00"/>
    <s v="51"/>
    <s v="JH01FS6302"/>
    <n v="46.47"/>
    <n v="92.74"/>
    <n v="4309.62"/>
    <x v="5"/>
    <x v="0"/>
  </r>
  <r>
    <d v="2026-04-03T00:00:00"/>
    <s v="52"/>
    <s v="OD15AF5510"/>
    <n v="2500.1799999999998"/>
    <n v="92.74"/>
    <n v="231866.69"/>
    <x v="10"/>
    <x v="0"/>
  </r>
  <r>
    <d v="2026-04-03T00:00:00"/>
    <s v="53"/>
    <m/>
    <n v="32.35"/>
    <n v="92.74"/>
    <n v="3000"/>
    <x v="9"/>
    <x v="0"/>
  </r>
  <r>
    <d v="2026-04-03T00:00:00"/>
    <s v="54"/>
    <m/>
    <n v="3127.02"/>
    <n v="92.74"/>
    <n v="290000"/>
    <x v="8"/>
    <x v="0"/>
  </r>
  <r>
    <d v="2026-04-04T00:00:00"/>
    <s v="55"/>
    <s v="OR15R5510"/>
    <n v="12000"/>
    <n v="91.2"/>
    <n v="1094400"/>
    <x v="0"/>
    <x v="0"/>
  </r>
  <r>
    <d v="2026-04-04T00:00:00"/>
    <s v="56"/>
    <s v="OD05AN7688"/>
    <n v="500"/>
    <n v="92.74"/>
    <n v="46370"/>
    <x v="10"/>
    <x v="0"/>
  </r>
  <r>
    <d v="2026-04-04T00:00:00"/>
    <s v="57"/>
    <s v="OD15H8328"/>
    <n v="10"/>
    <n v="92.74"/>
    <n v="927.4"/>
    <x v="4"/>
    <x v="0"/>
  </r>
  <r>
    <d v="2026-04-04T00:00:00"/>
    <s v="58"/>
    <s v="OD23U4012"/>
    <n v="130"/>
    <n v="92.74"/>
    <n v="12056.2"/>
    <x v="13"/>
    <x v="0"/>
  </r>
  <r>
    <d v="2026-04-04T00:00:00"/>
    <s v="59"/>
    <s v=""/>
    <n v="615.70000000000005"/>
    <n v="92.74"/>
    <n v="57100"/>
    <x v="21"/>
    <x v="0"/>
  </r>
  <r>
    <d v="2026-04-04T00:00:00"/>
    <s v="60"/>
    <s v=""/>
    <n v="1289.6300000000001"/>
    <n v="92.74"/>
    <n v="119600"/>
    <x v="8"/>
    <x v="0"/>
  </r>
  <r>
    <d v="2026-04-04T00:00:00"/>
    <s v="61"/>
    <s v="OD15AF5510"/>
    <n v="3000.11"/>
    <n v="92.74"/>
    <n v="278230.2"/>
    <x v="10"/>
    <x v="0"/>
  </r>
  <r>
    <d v="2026-04-04T00:00:00"/>
    <s v="62"/>
    <s v=""/>
    <n v="253"/>
    <n v="92.74"/>
    <n v="23463.22"/>
    <x v="22"/>
    <x v="0"/>
  </r>
  <r>
    <d v="2026-04-05T00:00:00"/>
    <s v="63"/>
    <s v="OD15AF5510"/>
    <n v="1500.01"/>
    <n v="92.74"/>
    <n v="139110.93"/>
    <x v="16"/>
    <x v="0"/>
  </r>
  <r>
    <d v="2026-04-05T00:00:00"/>
    <s v="64"/>
    <s v="OD15AF5510"/>
    <n v="2500.0100000000002"/>
    <n v="92.74"/>
    <n v="231850.93"/>
    <x v="10"/>
    <x v="0"/>
  </r>
  <r>
    <d v="2026-04-05T00:00:00"/>
    <s v="65"/>
    <s v="WB61B5913"/>
    <n v="235.61"/>
    <n v="92.74"/>
    <n v="21850.47"/>
    <x v="6"/>
    <x v="0"/>
  </r>
  <r>
    <d v="2026-04-05T00:00:00"/>
    <s v="66"/>
    <s v="WB23F7579"/>
    <n v="210.33"/>
    <n v="92.74"/>
    <n v="19506"/>
    <x v="6"/>
    <x v="0"/>
  </r>
  <r>
    <d v="2026-04-05T00:00:00"/>
    <s v="67"/>
    <m/>
    <n v="1492.34"/>
    <n v="92.74"/>
    <n v="138400"/>
    <x v="8"/>
    <x v="0"/>
  </r>
  <r>
    <d v="2026-04-05T00:00:00"/>
    <s v="68"/>
    <m/>
    <n v="210.27"/>
    <n v="92.74"/>
    <n v="19500"/>
    <x v="21"/>
    <x v="0"/>
  </r>
  <r>
    <d v="2026-04-05T00:00:00"/>
    <s v="69"/>
    <m/>
    <n v="468.27"/>
    <n v="92.74"/>
    <n v="43427.35"/>
    <x v="7"/>
    <x v="0"/>
  </r>
  <r>
    <d v="2026-04-06T00:00:00"/>
    <s v="70"/>
    <s v="OR15R1110"/>
    <n v="8000"/>
    <n v="91.36"/>
    <n v="730880"/>
    <x v="1"/>
    <x v="0"/>
  </r>
  <r>
    <d v="2026-04-06T00:00:00"/>
    <s v="71"/>
    <s v="OD23A3710"/>
    <n v="8000"/>
    <n v="91.2"/>
    <n v="729600"/>
    <x v="0"/>
    <x v="0"/>
  </r>
  <r>
    <d v="2026-04-06T00:00:00"/>
    <s v="72"/>
    <s v="OD05AP4113"/>
    <n v="300"/>
    <n v="92.74"/>
    <n v="27822"/>
    <x v="23"/>
    <x v="0"/>
  </r>
  <r>
    <d v="2026-04-06T00:00:00"/>
    <s v="73"/>
    <s v="OD15U5910"/>
    <n v="97.81"/>
    <n v="92.74"/>
    <n v="9070.89"/>
    <x v="5"/>
    <x v="0"/>
  </r>
  <r>
    <d v="2026-04-06T00:00:00"/>
    <s v="74"/>
    <s v="OD23U4012"/>
    <n v="160"/>
    <n v="92.74"/>
    <n v="14838.4"/>
    <x v="13"/>
    <x v="0"/>
  </r>
  <r>
    <d v="2026-04-06T00:00:00"/>
    <s v="75"/>
    <s v="WB65D9272"/>
    <n v="301.92"/>
    <n v="92.74"/>
    <n v="28000"/>
    <x v="6"/>
    <x v="0"/>
  </r>
  <r>
    <d v="2026-04-06T00:00:00"/>
    <s v="76"/>
    <s v="WB23D9901"/>
    <n v="297.83"/>
    <n v="92.74"/>
    <n v="27620.75"/>
    <x v="6"/>
    <x v="0"/>
  </r>
  <r>
    <d v="2026-04-06T00:00:00"/>
    <s v="77"/>
    <s v="OD15AF5510"/>
    <n v="48"/>
    <n v="92.74"/>
    <n v="4451.5200000000004"/>
    <x v="3"/>
    <x v="0"/>
  </r>
  <r>
    <d v="2026-04-06T00:00:00"/>
    <s v="78"/>
    <s v=""/>
    <n v="1954.93"/>
    <n v="92.74"/>
    <n v="181300"/>
    <x v="8"/>
    <x v="0"/>
  </r>
  <r>
    <d v="2026-04-06T00:00:00"/>
    <s v="79"/>
    <s v=""/>
    <n v="532.97"/>
    <n v="92.74"/>
    <n v="49427.4"/>
    <x v="21"/>
    <x v="0"/>
  </r>
  <r>
    <d v="2026-04-06T00:00:00"/>
    <s v="80"/>
    <s v="OD15AF5510"/>
    <n v="3000"/>
    <n v="92.74"/>
    <n v="278220"/>
    <x v="10"/>
    <x v="0"/>
  </r>
  <r>
    <d v="2026-04-07T00:00:00"/>
    <s v="81"/>
    <s v="OD15AF5510"/>
    <n v="3000"/>
    <n v="91.36"/>
    <n v="274080"/>
    <x v="24"/>
    <x v="0"/>
  </r>
  <r>
    <d v="2026-04-07T00:00:00"/>
    <s v="82"/>
    <s v="OR15R5510"/>
    <n v="8000"/>
    <n v="91.2"/>
    <n v="729600"/>
    <x v="0"/>
    <x v="0"/>
  </r>
  <r>
    <d v="2026-04-07T00:00:00"/>
    <s v="83"/>
    <s v="OD23A8210"/>
    <n v="52"/>
    <n v="92.74"/>
    <n v="4822.4799999999996"/>
    <x v="2"/>
    <x v="0"/>
  </r>
  <r>
    <d v="2026-04-07T00:00:00"/>
    <s v="84"/>
    <s v="OD15AA4091"/>
    <n v="47.67"/>
    <n v="92.74"/>
    <n v="4420.91"/>
    <x v="5"/>
    <x v="0"/>
  </r>
  <r>
    <d v="2026-04-07T00:00:00"/>
    <s v="85"/>
    <s v="OD05AN7688"/>
    <n v="500"/>
    <n v="92.74"/>
    <n v="46370"/>
    <x v="10"/>
    <x v="0"/>
  </r>
  <r>
    <d v="2026-04-07T00:00:00"/>
    <s v="86"/>
    <s v="RJ14GJ6869"/>
    <n v="238.31"/>
    <n v="92.74"/>
    <n v="22100.86"/>
    <x v="25"/>
    <x v="0"/>
  </r>
  <r>
    <d v="2026-04-07T00:00:00"/>
    <s v="87"/>
    <s v="OD23U4012"/>
    <n v="160"/>
    <n v="92.74"/>
    <n v="14838.4"/>
    <x v="13"/>
    <x v="0"/>
  </r>
  <r>
    <d v="2026-04-07T00:00:00"/>
    <s v="88"/>
    <s v="CG04PY2656"/>
    <n v="107.83"/>
    <n v="92.74"/>
    <n v="10000"/>
    <x v="6"/>
    <x v="0"/>
  </r>
  <r>
    <d v="2026-04-07T00:00:00"/>
    <s v="89"/>
    <s v="WB23E1221"/>
    <n v="194.09"/>
    <n v="92.74"/>
    <n v="18000"/>
    <x v="6"/>
    <x v="0"/>
  </r>
  <r>
    <d v="2026-04-07T00:00:00"/>
    <s v="90"/>
    <m/>
    <n v="3268.28"/>
    <n v="92.74"/>
    <n v="303100"/>
    <x v="8"/>
    <x v="0"/>
  </r>
  <r>
    <d v="2026-04-07T00:00:00"/>
    <s v="91"/>
    <m/>
    <n v="1611.77"/>
    <n v="92.74"/>
    <n v="149475.4"/>
    <x v="21"/>
    <x v="0"/>
  </r>
  <r>
    <d v="2026-04-08T00:00:00"/>
    <s v="92"/>
    <s v="OD15AF5510"/>
    <n v="3000"/>
    <n v="91.36"/>
    <n v="274080"/>
    <x v="24"/>
    <x v="0"/>
  </r>
  <r>
    <d v="2026-04-08T00:00:00"/>
    <s v="93"/>
    <s v="OD23L0093"/>
    <n v="4000"/>
    <n v="91.2"/>
    <n v="364800"/>
    <x v="0"/>
    <x v="0"/>
  </r>
  <r>
    <d v="2026-04-08T00:00:00"/>
    <s v="94"/>
    <s v="AP31EA0197"/>
    <n v="37"/>
    <n v="92.74"/>
    <n v="3431.38"/>
    <x v="19"/>
    <x v="0"/>
  </r>
  <r>
    <d v="2026-04-08T00:00:00"/>
    <s v="95"/>
    <s v="AP31EA0197"/>
    <n v="60.01"/>
    <n v="92.74"/>
    <n v="5565.32"/>
    <x v="19"/>
    <x v="0"/>
  </r>
  <r>
    <d v="2026-04-08T00:00:00"/>
    <s v="96"/>
    <s v="OD09Y9525"/>
    <n v="339"/>
    <n v="92.74"/>
    <n v="31438.86"/>
    <x v="6"/>
    <x v="0"/>
  </r>
  <r>
    <d v="2026-04-08T00:00:00"/>
    <s v="97"/>
    <s v="NL01AC8674"/>
    <n v="350"/>
    <n v="92.74"/>
    <n v="32459"/>
    <x v="6"/>
    <x v="0"/>
  </r>
  <r>
    <d v="2026-04-08T00:00:00"/>
    <s v="98"/>
    <s v="DG"/>
    <n v="20"/>
    <n v="92.74"/>
    <n v="1854.8"/>
    <x v="26"/>
    <x v="0"/>
  </r>
  <r>
    <d v="2026-04-08T00:00:00"/>
    <s v="99"/>
    <s v=""/>
    <n v="2034.72"/>
    <n v="92.74"/>
    <n v="188700"/>
    <x v="8"/>
    <x v="0"/>
  </r>
  <r>
    <d v="2026-04-08T00:00:00"/>
    <s v="100"/>
    <s v="OD15AF5510"/>
    <n v="4000.09"/>
    <n v="92.74"/>
    <n v="370968.35"/>
    <x v="10"/>
    <x v="0"/>
  </r>
  <r>
    <d v="2026-04-09T00:00:00"/>
    <s v="101"/>
    <s v="OD23L7437"/>
    <n v="4000"/>
    <n v="91.36"/>
    <n v="365440"/>
    <x v="27"/>
    <x v="0"/>
  </r>
  <r>
    <d v="2026-04-09T00:00:00"/>
    <s v="102"/>
    <s v="OD15AF5510"/>
    <n v="3000"/>
    <n v="91.36"/>
    <n v="274080"/>
    <x v="24"/>
    <x v="0"/>
  </r>
  <r>
    <d v="2026-04-09T00:00:00"/>
    <s v="103"/>
    <s v="OD23L4439"/>
    <n v="4000"/>
    <n v="91.2"/>
    <n v="364800"/>
    <x v="0"/>
    <x v="0"/>
  </r>
  <r>
    <d v="2026-04-09T00:00:00"/>
    <s v="104"/>
    <s v="CG04MN1172"/>
    <n v="2000"/>
    <n v="92.74"/>
    <n v="185480"/>
    <x v="28"/>
    <x v="0"/>
  </r>
  <r>
    <d v="2026-04-09T00:00:00"/>
    <s v="105"/>
    <s v="OD15U5910"/>
    <n v="100"/>
    <n v="92.74"/>
    <n v="9274"/>
    <x v="5"/>
    <x v="0"/>
  </r>
  <r>
    <d v="2026-04-09T00:00:00"/>
    <s v="106"/>
    <s v="JH01FS6302"/>
    <n v="45.94"/>
    <n v="92.74"/>
    <n v="4260.47"/>
    <x v="5"/>
    <x v="0"/>
  </r>
  <r>
    <d v="2026-04-09T00:00:00"/>
    <s v="107"/>
    <s v="OD33Y3567"/>
    <n v="45.47"/>
    <n v="92.74"/>
    <n v="4216.88"/>
    <x v="5"/>
    <x v="0"/>
  </r>
  <r>
    <d v="2026-04-09T00:00:00"/>
    <s v="108"/>
    <s v="OD15AA4091"/>
    <n v="45"/>
    <n v="92.74"/>
    <n v="4173.3"/>
    <x v="5"/>
    <x v="0"/>
  </r>
  <r>
    <d v="2026-04-09T00:00:00"/>
    <s v="109"/>
    <s v="RJ32GD7627"/>
    <n v="293.3"/>
    <n v="92.74"/>
    <n v="27200.639999999999"/>
    <x v="6"/>
    <x v="0"/>
  </r>
  <r>
    <d v="2026-04-09T00:00:00"/>
    <s v="110"/>
    <s v="WB29B7067"/>
    <n v="161.74"/>
    <n v="92.74"/>
    <n v="15000"/>
    <x v="6"/>
    <x v="0"/>
  </r>
  <r>
    <d v="2026-04-09T00:00:00"/>
    <s v="111"/>
    <s v="OD16K1026"/>
    <n v="100"/>
    <n v="92.74"/>
    <n v="9274"/>
    <x v="29"/>
    <x v="0"/>
  </r>
  <r>
    <d v="2026-04-09T00:00:00"/>
    <s v="112"/>
    <s v="OD16K1043"/>
    <n v="100"/>
    <n v="92.74"/>
    <n v="9274"/>
    <x v="29"/>
    <x v="0"/>
  </r>
  <r>
    <d v="2026-04-09T00:00:00"/>
    <s v="113"/>
    <s v="OD16K1055"/>
    <n v="100"/>
    <n v="92.74"/>
    <n v="9274"/>
    <x v="29"/>
    <x v="0"/>
  </r>
  <r>
    <d v="2026-04-09T00:00:00"/>
    <s v="114"/>
    <s v="OD16K1099"/>
    <n v="100"/>
    <n v="92.74"/>
    <n v="9274"/>
    <x v="29"/>
    <x v="0"/>
  </r>
  <r>
    <d v="2026-04-09T00:00:00"/>
    <s v="115"/>
    <s v="OD15AF5510"/>
    <n v="1500"/>
    <n v="92.74"/>
    <n v="139110"/>
    <x v="10"/>
    <x v="0"/>
  </r>
  <r>
    <d v="2026-04-09T00:00:00"/>
    <s v="116"/>
    <s v=""/>
    <n v="61.46"/>
    <n v="92.74"/>
    <n v="5700"/>
    <x v="21"/>
    <x v="0"/>
  </r>
  <r>
    <d v="2026-04-09T00:00:00"/>
    <s v="117"/>
    <s v="OD15AF5510"/>
    <n v="1500"/>
    <n v="92.74"/>
    <n v="139110"/>
    <x v="16"/>
    <x v="0"/>
  </r>
  <r>
    <d v="2026-04-09T00:00:00"/>
    <s v="118"/>
    <s v=""/>
    <n v="1779.17"/>
    <n v="92.74"/>
    <n v="165000"/>
    <x v="8"/>
    <x v="0"/>
  </r>
  <r>
    <d v="2026-04-10T00:00:00"/>
    <s v="119"/>
    <s v="OD23L4439"/>
    <n v="4000"/>
    <n v="91.2"/>
    <n v="364800"/>
    <x v="0"/>
    <x v="0"/>
  </r>
  <r>
    <d v="2026-04-10T00:00:00"/>
    <s v="120"/>
    <s v="OD15AF5510"/>
    <n v="3000.01"/>
    <n v="92.74"/>
    <n v="278220.93"/>
    <x v="10"/>
    <x v="0"/>
  </r>
  <r>
    <d v="2026-04-10T00:00:00"/>
    <s v="121"/>
    <s v="OD15AA4091"/>
    <n v="44.43"/>
    <n v="92.74"/>
    <n v="4120.43"/>
    <x v="5"/>
    <x v="0"/>
  </r>
  <r>
    <d v="2026-04-10T00:00:00"/>
    <s v="122"/>
    <s v="OD23T8891"/>
    <n v="248.08"/>
    <n v="92.74"/>
    <n v="23006.93"/>
    <x v="6"/>
    <x v="0"/>
  </r>
  <r>
    <d v="2026-04-10T00:00:00"/>
    <s v="123"/>
    <s v="NL01K4155"/>
    <n v="215.66"/>
    <n v="92.74"/>
    <n v="20000"/>
    <x v="6"/>
    <x v="0"/>
  </r>
  <r>
    <d v="2026-04-10T00:00:00"/>
    <s v="124"/>
    <s v="NL01K7386"/>
    <n v="215.66"/>
    <n v="92.74"/>
    <n v="20000"/>
    <x v="6"/>
    <x v="0"/>
  </r>
  <r>
    <d v="2026-04-10T00:00:00"/>
    <s v="125"/>
    <s v="NL01L4145"/>
    <n v="215.66"/>
    <n v="92.74"/>
    <n v="20000"/>
    <x v="6"/>
    <x v="0"/>
  </r>
  <r>
    <d v="2026-04-10T00:00:00"/>
    <s v="126"/>
    <s v="NL01K5192"/>
    <n v="215.66"/>
    <n v="92.74"/>
    <n v="20000"/>
    <x v="6"/>
    <x v="0"/>
  </r>
  <r>
    <d v="2026-04-10T00:00:00"/>
    <s v="127"/>
    <s v="WB29C3226"/>
    <n v="323.49"/>
    <n v="92.74"/>
    <n v="30000"/>
    <x v="6"/>
    <x v="0"/>
  </r>
  <r>
    <d v="2026-04-10T00:00:00"/>
    <s v="128"/>
    <s v="WB29C4016"/>
    <n v="269.57"/>
    <n v="92.74"/>
    <n v="25000"/>
    <x v="6"/>
    <x v="0"/>
  </r>
  <r>
    <d v="2026-04-10T00:00:00"/>
    <s v="129"/>
    <s v="OD23U4012"/>
    <n v="160"/>
    <n v="92.74"/>
    <n v="14838.4"/>
    <x v="13"/>
    <x v="0"/>
  </r>
  <r>
    <d v="2026-04-10T00:00:00"/>
    <s v="130"/>
    <m/>
    <n v="301.92"/>
    <n v="92.74"/>
    <n v="28000"/>
    <x v="8"/>
    <x v="0"/>
  </r>
  <r>
    <d v="2026-04-10T00:00:00"/>
    <s v="131"/>
    <m/>
    <n v="178"/>
    <n v="92.74"/>
    <n v="16507.72"/>
    <x v="22"/>
    <x v="0"/>
  </r>
  <r>
    <d v="2026-04-11T00:00:00"/>
    <s v="132"/>
    <s v="OR15R9360"/>
    <n v="18000"/>
    <n v="91.36"/>
    <n v="1644480"/>
    <x v="1"/>
    <x v="0"/>
  </r>
  <r>
    <d v="2026-04-11T00:00:00"/>
    <s v="133"/>
    <s v="OD15AF5510"/>
    <n v="3000"/>
    <n v="91.2"/>
    <n v="273600"/>
    <x v="0"/>
    <x v="0"/>
  </r>
  <r>
    <d v="2026-04-11T00:00:00"/>
    <s v="134"/>
    <s v="OR15R1110"/>
    <n v="12000"/>
    <n v="91.36"/>
    <n v="1096320"/>
    <x v="30"/>
    <x v="0"/>
  </r>
  <r>
    <d v="2026-04-11T00:00:00"/>
    <s v="135"/>
    <s v="OD15AF5510"/>
    <n v="3000.32"/>
    <n v="92.74"/>
    <n v="278249.68"/>
    <x v="10"/>
    <x v="0"/>
  </r>
  <r>
    <d v="2026-04-11T00:00:00"/>
    <s v="136"/>
    <s v="OD15AF5510"/>
    <n v="1500.01"/>
    <n v="92.74"/>
    <n v="139110.93"/>
    <x v="16"/>
    <x v="0"/>
  </r>
  <r>
    <d v="2026-04-11T00:00:00"/>
    <s v="137"/>
    <s v="CG15EG0399"/>
    <n v="258.8"/>
    <n v="92.74"/>
    <n v="24001.11"/>
    <x v="6"/>
    <x v="0"/>
  </r>
  <r>
    <d v="2026-04-11T00:00:00"/>
    <s v="138"/>
    <s v="WB23F9149"/>
    <n v="275.48"/>
    <n v="92.74"/>
    <n v="25548.01"/>
    <x v="6"/>
    <x v="0"/>
  </r>
  <r>
    <d v="2026-04-11T00:00:00"/>
    <s v="139"/>
    <s v="OD11AC5545"/>
    <n v="233.67"/>
    <n v="92.74"/>
    <n v="21670.55"/>
    <x v="6"/>
    <x v="0"/>
  </r>
  <r>
    <d v="2026-04-11T00:00:00"/>
    <s v="140"/>
    <s v="WB25L8508"/>
    <n v="330"/>
    <n v="92.74"/>
    <n v="30604.2"/>
    <x v="6"/>
    <x v="0"/>
  </r>
  <r>
    <d v="2026-04-11T00:00:00"/>
    <s v="141"/>
    <s v="OD23U4012"/>
    <n v="160"/>
    <n v="92.74"/>
    <n v="14838.4"/>
    <x v="13"/>
    <x v="0"/>
  </r>
  <r>
    <d v="2026-04-11T00:00:00"/>
    <s v="142"/>
    <s v="RJ37GA7801"/>
    <n v="400"/>
    <n v="92.74"/>
    <n v="37096"/>
    <x v="28"/>
    <x v="0"/>
  </r>
  <r>
    <d v="2026-04-11T00:00:00"/>
    <s v="143"/>
    <s v="OD15AF5510"/>
    <n v="46.81"/>
    <n v="92.74"/>
    <n v="4341.1499999999996"/>
    <x v="3"/>
    <x v="0"/>
  </r>
  <r>
    <d v="2026-04-11T00:00:00"/>
    <s v="144"/>
    <s v=""/>
    <n v="314.08999999999997"/>
    <n v="92.74"/>
    <n v="29128.799999999999"/>
    <x v="9"/>
    <x v="0"/>
  </r>
  <r>
    <d v="2026-04-11T00:00:00"/>
    <s v="145"/>
    <m/>
    <n v="245.85"/>
    <n v="92.74"/>
    <n v="22800"/>
    <x v="21"/>
    <x v="0"/>
  </r>
  <r>
    <d v="2026-04-11T00:00:00"/>
    <s v="146"/>
    <m/>
    <n v="2884.41"/>
    <n v="92.74"/>
    <n v="267500"/>
    <x v="8"/>
    <x v="0"/>
  </r>
  <r>
    <d v="2026-04-12T00:00:00"/>
    <s v="147"/>
    <s v="OD15AF5510"/>
    <n v="3000"/>
    <n v="91.36"/>
    <n v="274080"/>
    <x v="24"/>
    <x v="0"/>
  </r>
  <r>
    <d v="2026-04-12T00:00:00"/>
    <s v="148"/>
    <s v="OD15AF5510"/>
    <n v="3000"/>
    <n v="92.74"/>
    <n v="278220"/>
    <x v="10"/>
    <x v="0"/>
  </r>
  <r>
    <d v="2026-04-12T00:00:00"/>
    <s v="149"/>
    <s v="OD16L2239"/>
    <n v="21.57"/>
    <n v="92.74"/>
    <n v="2000"/>
    <x v="31"/>
    <x v="0"/>
  </r>
  <r>
    <d v="2026-04-12T00:00:00"/>
    <s v="150"/>
    <s v="OD16L3067"/>
    <n v="21.57"/>
    <n v="92.74"/>
    <n v="2000"/>
    <x v="31"/>
    <x v="0"/>
  </r>
  <r>
    <d v="2026-04-12T00:00:00"/>
    <s v="151"/>
    <s v="OD16C1690"/>
    <n v="21.57"/>
    <n v="92.74"/>
    <n v="2000"/>
    <x v="31"/>
    <x v="0"/>
  </r>
  <r>
    <d v="2026-04-12T00:00:00"/>
    <s v="152"/>
    <s v="OD16D2879"/>
    <n v="21.57"/>
    <n v="92.74"/>
    <n v="2000"/>
    <x v="31"/>
    <x v="0"/>
  </r>
  <r>
    <d v="2026-04-12T00:00:00"/>
    <s v="153"/>
    <s v="CG10R1707"/>
    <n v="21.57"/>
    <n v="92.74"/>
    <n v="2000"/>
    <x v="31"/>
    <x v="0"/>
  </r>
  <r>
    <d v="2026-04-12T00:00:00"/>
    <s v="154"/>
    <s v="OD23T1952"/>
    <n v="23.73"/>
    <n v="92.74"/>
    <n v="2200"/>
    <x v="31"/>
    <x v="0"/>
  </r>
  <r>
    <d v="2026-04-12T00:00:00"/>
    <s v="155"/>
    <s v="OD23T1852"/>
    <n v="23.73"/>
    <n v="92.74"/>
    <n v="2200"/>
    <x v="31"/>
    <x v="0"/>
  </r>
  <r>
    <d v="2026-04-12T00:00:00"/>
    <s v="156"/>
    <s v="OD23T1752"/>
    <n v="23.73"/>
    <n v="92.74"/>
    <n v="2200"/>
    <x v="31"/>
    <x v="0"/>
  </r>
  <r>
    <d v="2026-04-12T00:00:00"/>
    <s v="157"/>
    <s v="OD23S1552"/>
    <n v="23.73"/>
    <n v="92.74"/>
    <n v="2200"/>
    <x v="31"/>
    <x v="0"/>
  </r>
  <r>
    <d v="2026-04-12T00:00:00"/>
    <s v="158"/>
    <s v="OD23S1452"/>
    <n v="23.73"/>
    <n v="92.74"/>
    <n v="2200"/>
    <x v="31"/>
    <x v="0"/>
  </r>
  <r>
    <d v="2026-04-12T00:00:00"/>
    <s v="159"/>
    <s v="OD23U5352"/>
    <n v="23.73"/>
    <n v="92.74"/>
    <n v="2200"/>
    <x v="31"/>
    <x v="0"/>
  </r>
  <r>
    <d v="2026-04-12T00:00:00"/>
    <s v="160"/>
    <s v="OD23S1352"/>
    <n v="23.73"/>
    <n v="92.74"/>
    <n v="2200"/>
    <x v="31"/>
    <x v="0"/>
  </r>
  <r>
    <d v="2026-04-12T00:00:00"/>
    <s v="161"/>
    <s v="OD23U2652"/>
    <n v="23.73"/>
    <n v="92.74"/>
    <n v="2200"/>
    <x v="31"/>
    <x v="0"/>
  </r>
  <r>
    <d v="2026-04-12T00:00:00"/>
    <s v="162"/>
    <s v="OD23U3152"/>
    <n v="23.73"/>
    <n v="92.74"/>
    <n v="2200"/>
    <x v="31"/>
    <x v="0"/>
  </r>
  <r>
    <d v="2026-04-12T00:00:00"/>
    <s v="163"/>
    <s v="OD23U3752"/>
    <n v="23.73"/>
    <n v="92.74"/>
    <n v="2200"/>
    <x v="31"/>
    <x v="0"/>
  </r>
  <r>
    <d v="2026-04-12T00:00:00"/>
    <s v="164"/>
    <s v="OD23T1552"/>
    <n v="23.73"/>
    <n v="92.74"/>
    <n v="2200"/>
    <x v="31"/>
    <x v="0"/>
  </r>
  <r>
    <d v="2026-04-12T00:00:00"/>
    <s v="165"/>
    <s v="OD23S1852"/>
    <n v="23.73"/>
    <n v="92.74"/>
    <n v="2200"/>
    <x v="31"/>
    <x v="0"/>
  </r>
  <r>
    <d v="2026-04-12T00:00:00"/>
    <s v="166"/>
    <s v="CG13BD5532"/>
    <n v="26.96"/>
    <n v="92.74"/>
    <n v="2500"/>
    <x v="31"/>
    <x v="0"/>
  </r>
  <r>
    <d v="2026-04-12T00:00:00"/>
    <s v="167"/>
    <s v="CG13BD5534"/>
    <n v="26.96"/>
    <n v="92.74"/>
    <n v="2500"/>
    <x v="31"/>
    <x v="0"/>
  </r>
  <r>
    <d v="2026-04-12T00:00:00"/>
    <s v="168"/>
    <s v="CG13BD5531"/>
    <n v="26.96"/>
    <n v="92.74"/>
    <n v="2500"/>
    <x v="31"/>
    <x v="0"/>
  </r>
  <r>
    <d v="2026-04-12T00:00:00"/>
    <s v="169"/>
    <s v="CG13BD5533"/>
    <n v="26.96"/>
    <n v="92.74"/>
    <n v="2500"/>
    <x v="31"/>
    <x v="0"/>
  </r>
  <r>
    <d v="2026-04-12T00:00:00"/>
    <s v="170"/>
    <s v="OD23Q2094"/>
    <n v="26.96"/>
    <n v="92.74"/>
    <n v="2500"/>
    <x v="31"/>
    <x v="0"/>
  </r>
  <r>
    <d v="2026-04-12T00:00:00"/>
    <s v="171"/>
    <s v="OD23Q0919"/>
    <n v="26.96"/>
    <n v="92.74"/>
    <n v="2500"/>
    <x v="31"/>
    <x v="0"/>
  </r>
  <r>
    <d v="2026-04-12T00:00:00"/>
    <s v="172"/>
    <s v="OD23Q0935"/>
    <n v="26.96"/>
    <n v="92.74"/>
    <n v="2500"/>
    <x v="31"/>
    <x v="0"/>
  </r>
  <r>
    <d v="2026-04-12T00:00:00"/>
    <s v="173"/>
    <s v="CG13BK0798"/>
    <n v="26.96"/>
    <n v="92.74"/>
    <n v="2500"/>
    <x v="31"/>
    <x v="0"/>
  </r>
  <r>
    <d v="2026-04-12T00:00:00"/>
    <s v="174"/>
    <s v="OD23Q0908"/>
    <n v="26.96"/>
    <n v="92.74"/>
    <n v="2500"/>
    <x v="31"/>
    <x v="0"/>
  </r>
  <r>
    <d v="2026-04-12T00:00:00"/>
    <s v="175"/>
    <s v="OD23Q0966"/>
    <n v="26.96"/>
    <n v="92.74"/>
    <n v="2500"/>
    <x v="31"/>
    <x v="0"/>
  </r>
  <r>
    <d v="2026-04-12T00:00:00"/>
    <s v="176"/>
    <s v="CG13BK0803"/>
    <n v="26.96"/>
    <n v="92.74"/>
    <n v="2500"/>
    <x v="31"/>
    <x v="0"/>
  </r>
  <r>
    <d v="2026-04-12T00:00:00"/>
    <s v="177"/>
    <s v="CG13LA5146"/>
    <n v="26.96"/>
    <n v="92.74"/>
    <n v="2500"/>
    <x v="31"/>
    <x v="0"/>
  </r>
  <r>
    <d v="2026-04-12T00:00:00"/>
    <s v="178"/>
    <s v="CG13BD7253"/>
    <n v="26.96"/>
    <n v="92.74"/>
    <n v="2500"/>
    <x v="31"/>
    <x v="0"/>
  </r>
  <r>
    <d v="2026-04-12T00:00:00"/>
    <s v="179"/>
    <s v="CG12S2016"/>
    <n v="26.96"/>
    <n v="92.74"/>
    <n v="2500"/>
    <x v="31"/>
    <x v="0"/>
  </r>
  <r>
    <d v="2026-04-12T00:00:00"/>
    <s v="180"/>
    <s v="CG13BD5528"/>
    <n v="28.04"/>
    <n v="92.74"/>
    <n v="2600"/>
    <x v="31"/>
    <x v="0"/>
  </r>
  <r>
    <d v="2026-04-12T00:00:00"/>
    <s v="181"/>
    <s v="CG13BL0151"/>
    <n v="30.2"/>
    <n v="92.74"/>
    <n v="2800"/>
    <x v="31"/>
    <x v="0"/>
  </r>
  <r>
    <d v="2026-04-12T00:00:00"/>
    <s v="182"/>
    <s v="OD23N1542"/>
    <n v="30.2"/>
    <n v="92.74"/>
    <n v="2800"/>
    <x v="31"/>
    <x v="0"/>
  </r>
  <r>
    <d v="2026-04-12T00:00:00"/>
    <s v="183"/>
    <s v="CG13BL0152"/>
    <n v="30.2"/>
    <n v="92.74"/>
    <n v="2800"/>
    <x v="31"/>
    <x v="0"/>
  </r>
  <r>
    <d v="2026-04-12T00:00:00"/>
    <s v="184"/>
    <s v="OD23P9183"/>
    <n v="30.2"/>
    <n v="92.74"/>
    <n v="2800"/>
    <x v="31"/>
    <x v="0"/>
  </r>
  <r>
    <d v="2026-04-12T00:00:00"/>
    <s v="185"/>
    <s v="OD23P9157"/>
    <n v="30.2"/>
    <n v="92.74"/>
    <n v="2800"/>
    <x v="31"/>
    <x v="0"/>
  </r>
  <r>
    <d v="2026-04-12T00:00:00"/>
    <s v="186"/>
    <s v="OD23D2566"/>
    <n v="30.2"/>
    <n v="92.74"/>
    <n v="2800"/>
    <x v="31"/>
    <x v="0"/>
  </r>
  <r>
    <d v="2026-04-12T00:00:00"/>
    <s v="187"/>
    <s v="CG13BK0799"/>
    <n v="30.2"/>
    <n v="92.74"/>
    <n v="2800"/>
    <x v="31"/>
    <x v="0"/>
  </r>
  <r>
    <d v="2026-04-12T00:00:00"/>
    <s v="188"/>
    <s v="OD23Q2050"/>
    <n v="30.2"/>
    <n v="92.74"/>
    <n v="2800"/>
    <x v="31"/>
    <x v="0"/>
  </r>
  <r>
    <d v="2026-04-12T00:00:00"/>
    <s v="189"/>
    <s v="OD23P9573"/>
    <n v="30.2"/>
    <n v="92.74"/>
    <n v="2800"/>
    <x v="31"/>
    <x v="0"/>
  </r>
  <r>
    <d v="2026-04-12T00:00:00"/>
    <s v="190"/>
    <s v="CG13BL0187"/>
    <n v="30.2"/>
    <n v="92.74"/>
    <n v="2800"/>
    <x v="31"/>
    <x v="0"/>
  </r>
  <r>
    <d v="2026-04-12T00:00:00"/>
    <s v="191"/>
    <s v="OD16D2194"/>
    <n v="30.2"/>
    <n v="92.74"/>
    <n v="2800"/>
    <x v="31"/>
    <x v="0"/>
  </r>
  <r>
    <d v="2026-04-12T00:00:00"/>
    <s v="192"/>
    <s v="OD23N4568"/>
    <n v="30.2"/>
    <n v="92.74"/>
    <n v="2800"/>
    <x v="31"/>
    <x v="0"/>
  </r>
  <r>
    <d v="2026-04-12T00:00:00"/>
    <s v="193"/>
    <s v="CG13BK0802"/>
    <n v="30.2"/>
    <n v="92.74"/>
    <n v="2800"/>
    <x v="31"/>
    <x v="0"/>
  </r>
  <r>
    <d v="2026-04-12T00:00:00"/>
    <s v="194"/>
    <s v="CG13BL0190"/>
    <n v="30.2"/>
    <n v="92.74"/>
    <n v="2800"/>
    <x v="31"/>
    <x v="0"/>
  </r>
  <r>
    <d v="2026-04-12T00:00:00"/>
    <s v="195"/>
    <s v="OD23P9594"/>
    <n v="30.2"/>
    <n v="92.74"/>
    <n v="2800"/>
    <x v="31"/>
    <x v="0"/>
  </r>
  <r>
    <d v="2026-04-12T00:00:00"/>
    <s v="196"/>
    <s v="OD23P8092"/>
    <n v="30.2"/>
    <n v="92.74"/>
    <n v="2800"/>
    <x v="31"/>
    <x v="0"/>
  </r>
  <r>
    <d v="2026-04-12T00:00:00"/>
    <s v="197"/>
    <s v="OD23P9582"/>
    <n v="30.2"/>
    <n v="92.74"/>
    <n v="2800"/>
    <x v="31"/>
    <x v="0"/>
  </r>
  <r>
    <d v="2026-04-12T00:00:00"/>
    <s v="198"/>
    <s v="OD23N9872"/>
    <n v="30.2"/>
    <n v="92.74"/>
    <n v="2800"/>
    <x v="31"/>
    <x v="0"/>
  </r>
  <r>
    <d v="2026-04-12T00:00:00"/>
    <s v="199"/>
    <s v="OD16K0904"/>
    <n v="90"/>
    <n v="92.74"/>
    <n v="8346.6"/>
    <x v="29"/>
    <x v="0"/>
  </r>
  <r>
    <d v="2026-04-12T00:00:00"/>
    <s v="200"/>
    <s v="OD16K1096"/>
    <n v="100"/>
    <n v="92.74"/>
    <n v="9274"/>
    <x v="29"/>
    <x v="0"/>
  </r>
  <r>
    <d v="2026-04-12T00:00:00"/>
    <s v="201"/>
    <s v="OD14T5423"/>
    <n v="45.94"/>
    <n v="92.74"/>
    <n v="4260.47"/>
    <x v="29"/>
    <x v="0"/>
  </r>
  <r>
    <d v="2026-04-12T00:00:00"/>
    <s v="202"/>
    <s v="OD16K5809"/>
    <n v="100"/>
    <n v="92.74"/>
    <n v="9274"/>
    <x v="29"/>
    <x v="0"/>
  </r>
  <r>
    <d v="2026-04-12T00:00:00"/>
    <s v="203"/>
    <s v="OD15U5910"/>
    <n v="102.01"/>
    <n v="92.74"/>
    <n v="9460.4"/>
    <x v="5"/>
    <x v="0"/>
  </r>
  <r>
    <d v="2026-04-12T00:00:00"/>
    <s v="204"/>
    <s v="OR15R9360"/>
    <n v="50"/>
    <n v="92.74"/>
    <n v="4637"/>
    <x v="3"/>
    <x v="0"/>
  </r>
  <r>
    <d v="2026-04-12T00:00:00"/>
    <s v="205"/>
    <s v="WB23F4188"/>
    <n v="287.04000000000002"/>
    <n v="92.74"/>
    <n v="26620.080000000002"/>
    <x v="6"/>
    <x v="0"/>
  </r>
  <r>
    <d v="2026-04-12T00:00:00"/>
    <s v="206"/>
    <s v="OD16K1055"/>
    <n v="85"/>
    <n v="92.74"/>
    <n v="7882.9"/>
    <x v="29"/>
    <x v="0"/>
  </r>
  <r>
    <d v="2026-04-12T00:00:00"/>
    <s v="207"/>
    <s v="OD23U3952"/>
    <n v="23.73"/>
    <n v="92.74"/>
    <n v="2200"/>
    <x v="31"/>
    <x v="0"/>
  </r>
  <r>
    <d v="2026-04-12T00:00:00"/>
    <s v="208"/>
    <s v="OD23U5052"/>
    <n v="23.73"/>
    <n v="92.74"/>
    <n v="2200"/>
    <x v="31"/>
    <x v="0"/>
  </r>
  <r>
    <d v="2026-04-12T00:00:00"/>
    <s v="209"/>
    <s v="OD23U3852"/>
    <n v="23.73"/>
    <n v="92.74"/>
    <n v="2200"/>
    <x v="31"/>
    <x v="0"/>
  </r>
  <r>
    <d v="2026-04-12T00:00:00"/>
    <s v="210"/>
    <s v="OD23-9641"/>
    <n v="21.57"/>
    <n v="92.74"/>
    <n v="2000"/>
    <x v="31"/>
    <x v="0"/>
  </r>
  <r>
    <d v="2026-04-12T00:00:00"/>
    <s v="211"/>
    <s v="JH01FS6302"/>
    <n v="46"/>
    <n v="92.74"/>
    <n v="4266.04"/>
    <x v="5"/>
    <x v="0"/>
  </r>
  <r>
    <d v="2026-04-12T00:00:00"/>
    <s v="212"/>
    <s v=""/>
    <n v="522"/>
    <n v="92.74"/>
    <n v="48410.28"/>
    <x v="7"/>
    <x v="0"/>
  </r>
  <r>
    <d v="2026-04-12T00:00:00"/>
    <s v="213"/>
    <s v=""/>
    <n v="411.14"/>
    <n v="92.74"/>
    <n v="38128.800000000003"/>
    <x v="9"/>
    <x v="0"/>
  </r>
  <r>
    <d v="2026-04-12T00:00:00"/>
    <s v="214"/>
    <s v=""/>
    <n v="328.88"/>
    <n v="92.74"/>
    <n v="30500"/>
    <x v="21"/>
    <x v="0"/>
  </r>
  <r>
    <d v="2026-04-12T00:00:00"/>
    <s v="215"/>
    <s v=""/>
    <n v="4868.45"/>
    <n v="92.74"/>
    <n v="451500"/>
    <x v="8"/>
    <x v="0"/>
  </r>
  <r>
    <d v="2026-04-13T00:00:00"/>
    <s v="216"/>
    <s v="OD15AA4091"/>
    <n v="20"/>
    <n v="92.74"/>
    <n v="1854.8"/>
    <x v="5"/>
    <x v="0"/>
  </r>
  <r>
    <d v="2026-04-13T00:00:00"/>
    <s v="217"/>
    <s v="OD23V1010"/>
    <n v="50"/>
    <n v="92.74"/>
    <n v="4637"/>
    <x v="3"/>
    <x v="0"/>
  </r>
  <r>
    <d v="2026-04-13T00:00:00"/>
    <s v="218"/>
    <s v="OD28C4545"/>
    <n v="45"/>
    <n v="92.74"/>
    <n v="4173.3"/>
    <x v="32"/>
    <x v="0"/>
  </r>
  <r>
    <d v="2026-04-13T00:00:00"/>
    <s v="219"/>
    <s v=""/>
    <n v="2001.29"/>
    <n v="92.74"/>
    <n v="185600"/>
    <x v="8"/>
    <x v="0"/>
  </r>
  <r>
    <d v="2026-04-13T00:00:00"/>
    <s v="220"/>
    <m/>
    <n v="300"/>
    <n v="92.74"/>
    <n v="27822"/>
    <x v="7"/>
    <x v="0"/>
  </r>
  <r>
    <d v="2026-04-16T00:00:00"/>
    <s v="221"/>
    <s v="CG04MN1172"/>
    <n v="600"/>
    <n v="92.74"/>
    <n v="55644"/>
    <x v="28"/>
    <x v="0"/>
  </r>
  <r>
    <d v="2026-04-16T00:00:00"/>
    <s v="222"/>
    <s v="OD23N1900"/>
    <n v="54"/>
    <n v="92.74"/>
    <n v="5007.96"/>
    <x v="20"/>
    <x v="0"/>
  </r>
  <r>
    <d v="2026-04-16T00:00:00"/>
    <s v="223"/>
    <s v="OD15AA4091"/>
    <n v="47"/>
    <n v="92.74"/>
    <n v="4358.78"/>
    <x v="5"/>
    <x v="0"/>
  </r>
  <r>
    <d v="2026-04-16T00:00:00"/>
    <s v="224"/>
    <s v="OD15AA4091"/>
    <n v="50"/>
    <n v="92.74"/>
    <n v="4637"/>
    <x v="5"/>
    <x v="0"/>
  </r>
  <r>
    <d v="2026-04-16T00:00:00"/>
    <s v="225"/>
    <s v="JH01FS6302"/>
    <n v="48.66"/>
    <n v="92.74"/>
    <n v="4512.72"/>
    <x v="5"/>
    <x v="0"/>
  </r>
  <r>
    <d v="2026-04-16T00:00:00"/>
    <s v="226"/>
    <m/>
    <n v="267.41000000000003"/>
    <n v="92.74"/>
    <n v="24800"/>
    <x v="8"/>
    <x v="0"/>
  </r>
  <r>
    <d v="2026-04-16T00:00:00"/>
    <s v="227"/>
    <m/>
    <n v="184.39"/>
    <n v="92.74"/>
    <n v="17100"/>
    <x v="21"/>
    <x v="0"/>
  </r>
  <r>
    <d v="2026-04-17T00:00:00"/>
    <s v="228"/>
    <s v="OD23L4439"/>
    <n v="4000"/>
    <n v="91.2"/>
    <n v="364800"/>
    <x v="0"/>
    <x v="0"/>
  </r>
  <r>
    <d v="2026-04-17T00:00:00"/>
    <s v="229"/>
    <s v="OD15AF5510"/>
    <n v="3000"/>
    <n v="91.36"/>
    <n v="274080"/>
    <x v="24"/>
    <x v="0"/>
  </r>
  <r>
    <d v="2026-04-17T00:00:00"/>
    <s v="230"/>
    <s v="OD33Y3567"/>
    <n v="42.07"/>
    <n v="92.74"/>
    <n v="3901.57"/>
    <x v="5"/>
    <x v="0"/>
  </r>
  <r>
    <d v="2026-04-17T00:00:00"/>
    <s v="231"/>
    <s v="OD14T5423"/>
    <n v="46.12"/>
    <n v="92.74"/>
    <n v="4277.16"/>
    <x v="29"/>
    <x v="0"/>
  </r>
  <r>
    <d v="2026-04-17T00:00:00"/>
    <s v="232"/>
    <s v="UP07HT1484"/>
    <n v="207.08"/>
    <n v="92.74"/>
    <n v="19204.59"/>
    <x v="6"/>
    <x v="0"/>
  </r>
  <r>
    <d v="2026-04-17T00:00:00"/>
    <s v="233"/>
    <s v="OD23U4012"/>
    <n v="160"/>
    <n v="92.74"/>
    <n v="14838.4"/>
    <x v="13"/>
    <x v="0"/>
  </r>
  <r>
    <d v="2026-04-17T00:00:00"/>
    <s v="234"/>
    <s v="OD15H8328"/>
    <n v="10"/>
    <n v="92.74"/>
    <n v="927.4"/>
    <x v="4"/>
    <x v="0"/>
  </r>
  <r>
    <d v="2026-04-17T00:00:00"/>
    <s v="235"/>
    <s v="OD23P9344"/>
    <n v="50"/>
    <n v="92.74"/>
    <n v="4637"/>
    <x v="4"/>
    <x v="0"/>
  </r>
  <r>
    <d v="2026-04-17T00:00:00"/>
    <s v="236"/>
    <s v="OD23P9344"/>
    <n v="50"/>
    <n v="92.74"/>
    <n v="4637"/>
    <x v="4"/>
    <x v="0"/>
  </r>
  <r>
    <d v="2026-04-17T00:00:00"/>
    <s v="237"/>
    <s v="OD15U5910"/>
    <n v="103.78"/>
    <n v="92.74"/>
    <n v="9624.5499999999993"/>
    <x v="5"/>
    <x v="0"/>
  </r>
  <r>
    <d v="2026-04-17T00:00:00"/>
    <s v="238"/>
    <m/>
    <n v="53.91"/>
    <n v="92.74"/>
    <n v="5000"/>
    <x v="7"/>
    <x v="0"/>
  </r>
  <r>
    <d v="2026-04-17T00:00:00"/>
    <s v="239"/>
    <m/>
    <n v="368.77"/>
    <n v="92.74"/>
    <n v="34200"/>
    <x v="21"/>
    <x v="0"/>
  </r>
  <r>
    <d v="2026-04-17T00:00:00"/>
    <s v="240"/>
    <m/>
    <n v="355.83"/>
    <n v="92.74"/>
    <n v="33000"/>
    <x v="9"/>
    <x v="0"/>
  </r>
  <r>
    <d v="2026-04-17T00:00:00"/>
    <s v="241"/>
    <m/>
    <n v="2414.2800000000002"/>
    <n v="92.74"/>
    <n v="223900"/>
    <x v="8"/>
    <x v="0"/>
  </r>
  <r>
    <d v="2026-04-17T00:00:00"/>
    <s v="242"/>
    <m/>
    <n v="1999.89"/>
    <n v="92.74"/>
    <n v="185469.8"/>
    <x v="16"/>
    <x v="0"/>
  </r>
  <r>
    <d v="2026-04-17T00:00:00"/>
    <s v="243"/>
    <m/>
    <n v="3000.08"/>
    <n v="92.74"/>
    <n v="278227.42"/>
    <x v="10"/>
    <x v="0"/>
  </r>
  <r>
    <d v="2026-04-18T00:00:00"/>
    <s v="244"/>
    <s v="OD23L4439"/>
    <n v="4000"/>
    <n v="91.2"/>
    <n v="364800"/>
    <x v="0"/>
    <x v="0"/>
  </r>
  <r>
    <d v="2026-04-18T00:00:00"/>
    <s v="245"/>
    <s v="OD15AF5510"/>
    <n v="3000"/>
    <n v="92.74"/>
    <n v="278220"/>
    <x v="24"/>
    <x v="0"/>
  </r>
  <r>
    <d v="2026-04-18T00:00:00"/>
    <s v="246"/>
    <s v="OD23N5311"/>
    <n v="1200"/>
    <n v="92.74"/>
    <n v="111288"/>
    <x v="33"/>
    <x v="0"/>
  </r>
  <r>
    <d v="2026-04-18T00:00:00"/>
    <s v="247"/>
    <s v="OD15AF5510"/>
    <n v="3000"/>
    <n v="91.5"/>
    <n v="274500"/>
    <x v="0"/>
    <x v="0"/>
  </r>
  <r>
    <d v="2026-04-18T00:00:00"/>
    <s v="248"/>
    <s v="CG04MN1172"/>
    <n v="1000"/>
    <n v="92.74"/>
    <n v="92740"/>
    <x v="28"/>
    <x v="0"/>
  </r>
  <r>
    <d v="2026-04-18T00:00:00"/>
    <s v="249"/>
    <s v="OD23L4439"/>
    <n v="4000"/>
    <n v="91.5"/>
    <n v="366000"/>
    <x v="0"/>
    <x v="0"/>
  </r>
  <r>
    <d v="2026-04-18T00:00:00"/>
    <s v="250"/>
    <s v="OD15AF5510"/>
    <n v="3000.27"/>
    <n v="92.74"/>
    <n v="278245.03999999998"/>
    <x v="10"/>
    <x v="0"/>
  </r>
  <r>
    <d v="2026-04-18T00:00:00"/>
    <s v="251"/>
    <s v="OD02BK4461"/>
    <n v="355.84"/>
    <n v="92.74"/>
    <n v="33000.839999999997"/>
    <x v="6"/>
    <x v="0"/>
  </r>
  <r>
    <d v="2026-04-18T00:00:00"/>
    <s v="252"/>
    <m/>
    <n v="388.18"/>
    <n v="92.74"/>
    <n v="36000"/>
    <x v="9"/>
    <x v="0"/>
  </r>
  <r>
    <d v="2026-04-18T00:00:00"/>
    <s v="253"/>
    <m/>
    <n v="1917.19"/>
    <n v="92.74"/>
    <n v="177800"/>
    <x v="8"/>
    <x v="0"/>
  </r>
  <r>
    <d v="2026-04-18T00:00:00"/>
    <s v="254"/>
    <m/>
    <n v="560"/>
    <n v="92.74"/>
    <n v="51935.32"/>
    <x v="22"/>
    <x v="0"/>
  </r>
  <r>
    <d v="2026-04-18T00:00:00"/>
    <s v="255"/>
    <m/>
    <n v="199.48"/>
    <n v="92.74"/>
    <n v="18500"/>
    <x v="7"/>
    <x v="0"/>
  </r>
  <r>
    <d v="2026-04-18T00:00:00"/>
    <s v="256"/>
    <m/>
    <n v="3000"/>
    <n v="92.74"/>
    <n v="278220"/>
    <x v="34"/>
    <x v="0"/>
  </r>
  <r>
    <d v="2026-04-19T00:00:00"/>
    <s v="257"/>
    <s v="OR15R5510"/>
    <n v="8000"/>
    <n v="92.74"/>
    <n v="741920"/>
    <x v="24"/>
    <x v="0"/>
  </r>
  <r>
    <d v="2026-04-19T00:00:00"/>
    <s v="258"/>
    <s v="OD05AP4113"/>
    <n v="300"/>
    <n v="92.74"/>
    <n v="27822"/>
    <x v="23"/>
    <x v="0"/>
  </r>
  <r>
    <d v="2026-04-19T00:00:00"/>
    <s v="259"/>
    <s v="OR15Q7552"/>
    <n v="1000"/>
    <n v="92.74"/>
    <n v="92740"/>
    <x v="35"/>
    <x v="0"/>
  </r>
  <r>
    <d v="2026-04-19T00:00:00"/>
    <s v="260"/>
    <s v="CG04MN1172"/>
    <n v="500"/>
    <n v="92.74"/>
    <n v="46370"/>
    <x v="28"/>
    <x v="0"/>
  </r>
  <r>
    <d v="2026-04-19T00:00:00"/>
    <s v="261"/>
    <s v="OD23G4251"/>
    <n v="32.35"/>
    <n v="92.74"/>
    <n v="3000"/>
    <x v="29"/>
    <x v="0"/>
  </r>
  <r>
    <d v="2026-04-19T00:00:00"/>
    <s v="262"/>
    <s v="OD15AA4091"/>
    <n v="43.99"/>
    <n v="92.74"/>
    <n v="4079.63"/>
    <x v="5"/>
    <x v="0"/>
  </r>
  <r>
    <d v="2026-04-19T00:00:00"/>
    <s v="263"/>
    <s v="OR15R5510"/>
    <n v="20"/>
    <n v="92.74"/>
    <n v="1854.8"/>
    <x v="3"/>
    <x v="0"/>
  </r>
  <r>
    <d v="2026-04-19T00:00:00"/>
    <s v="264"/>
    <s v="OD23A8210"/>
    <n v="43"/>
    <n v="92.74"/>
    <n v="3987.82"/>
    <x v="2"/>
    <x v="0"/>
  </r>
  <r>
    <d v="2026-04-19T00:00:00"/>
    <s v="265"/>
    <s v="OD23U4012"/>
    <n v="160"/>
    <n v="92.74"/>
    <n v="14838.4"/>
    <x v="13"/>
    <x v="0"/>
  </r>
  <r>
    <d v="2026-04-19T00:00:00"/>
    <s v="266"/>
    <s v="TG08T8119"/>
    <n v="357.32"/>
    <n v="92.74"/>
    <n v="33137.85"/>
    <x v="6"/>
    <x v="0"/>
  </r>
  <r>
    <d v="2026-04-19T00:00:00"/>
    <s v="267"/>
    <s v="WB03C9721"/>
    <n v="310.87"/>
    <n v="92.74"/>
    <n v="28830.080000000002"/>
    <x v="6"/>
    <x v="0"/>
  </r>
  <r>
    <d v="2026-04-19T00:00:00"/>
    <s v="268"/>
    <s v="WB11D1010"/>
    <n v="328.89"/>
    <n v="92.74"/>
    <n v="30501.25"/>
    <x v="6"/>
    <x v="0"/>
  </r>
  <r>
    <d v="2026-04-19T00:00:00"/>
    <s v="269"/>
    <s v=""/>
    <n v="237.22"/>
    <n v="92.74"/>
    <n v="22000"/>
    <x v="9"/>
    <x v="0"/>
  </r>
  <r>
    <d v="2026-04-19T00:00:00"/>
    <s v="270"/>
    <s v="Consumer"/>
    <n v="436.7"/>
    <n v="92.74"/>
    <n v="40500"/>
    <x v="8"/>
    <x v="0"/>
  </r>
  <r>
    <d v="2026-04-19T00:00:00"/>
    <s v="271"/>
    <s v="Transporting"/>
    <n v="3225.15"/>
    <n v="92.74"/>
    <n v="299100"/>
    <x v="8"/>
    <x v="0"/>
  </r>
  <r>
    <d v="2026-04-19T00:00:00"/>
    <s v="272"/>
    <s v=""/>
    <n v="297"/>
    <n v="92.74"/>
    <n v="27543.78"/>
    <x v="7"/>
    <x v="0"/>
  </r>
  <r>
    <d v="2026-04-19T00:00:00"/>
    <s v="273"/>
    <s v="OD15AF5510"/>
    <n v="1500"/>
    <n v="92.74"/>
    <n v="139110"/>
    <x v="16"/>
    <x v="0"/>
  </r>
  <r>
    <d v="2026-04-20T00:00:00"/>
    <s v="274"/>
    <s v="OD15AF5510"/>
    <n v="3029.12"/>
    <n v="92.74"/>
    <n v="280920.59000000003"/>
    <x v="10"/>
    <x v="0"/>
  </r>
  <r>
    <d v="2026-04-20T00:00:00"/>
    <s v="275"/>
    <s v="Transporting"/>
    <n v="4359.5"/>
    <n v="92.74"/>
    <n v="404300"/>
    <x v="8"/>
    <x v="0"/>
  </r>
  <r>
    <d v="2026-04-20T00:00:00"/>
    <s v="276"/>
    <s v="Consumer"/>
    <n v="150.96"/>
    <n v="92.74"/>
    <n v="14000"/>
    <x v="8"/>
    <x v="0"/>
  </r>
  <r>
    <d v="2026-04-20T00:00:00"/>
    <s v="277"/>
    <s v=""/>
    <n v="355.83"/>
    <n v="92.74"/>
    <n v="33000"/>
    <x v="9"/>
    <x v="0"/>
  </r>
  <r>
    <d v="2026-04-20T00:00:00"/>
    <s v="278"/>
    <s v="JH01FS6302"/>
    <n v="47"/>
    <n v="92.74"/>
    <n v="4358.78"/>
    <x v="5"/>
    <x v="0"/>
  </r>
  <r>
    <d v="2026-04-20T00:00:00"/>
    <s v="279"/>
    <s v="OD15U5910"/>
    <n v="96"/>
    <n v="92.74"/>
    <n v="8903.0400000000009"/>
    <x v="5"/>
    <x v="0"/>
  </r>
  <r>
    <d v="2026-04-20T00:00:00"/>
    <s v="280"/>
    <s v="OD23U4012"/>
    <n v="160"/>
    <n v="92.74"/>
    <n v="14838.4"/>
    <x v="13"/>
    <x v="0"/>
  </r>
  <r>
    <d v="2026-04-20T00:00:00"/>
    <s v="281"/>
    <s v="OD23D0009"/>
    <n v="21.57"/>
    <n v="92.74"/>
    <n v="2000"/>
    <x v="19"/>
    <x v="0"/>
  </r>
  <r>
    <d v="2026-04-21T00:00:00"/>
    <s v="282"/>
    <s v="OD15AF5510"/>
    <n v="3000"/>
    <n v="91.5"/>
    <n v="274500"/>
    <x v="0"/>
    <x v="0"/>
  </r>
  <r>
    <d v="2026-04-21T00:00:00"/>
    <s v="283"/>
    <s v="OD23L4439"/>
    <n v="3000"/>
    <n v="91.5"/>
    <n v="274500"/>
    <x v="0"/>
    <x v="0"/>
  </r>
  <r>
    <d v="2026-04-21T00:00:00"/>
    <s v="284"/>
    <s v="KA48A0905"/>
    <n v="120"/>
    <n v="92.74"/>
    <n v="11128.8"/>
    <x v="36"/>
    <x v="0"/>
  </r>
  <r>
    <d v="2026-04-21T00:00:00"/>
    <s v="285"/>
    <s v="Transporting"/>
    <n v="3470.99"/>
    <n v="92.74"/>
    <n v="321900"/>
    <x v="8"/>
    <x v="0"/>
  </r>
  <r>
    <d v="2026-04-21T00:00:00"/>
    <s v="286"/>
    <s v=""/>
    <n v="291.14"/>
    <n v="92.74"/>
    <n v="27000"/>
    <x v="9"/>
    <x v="0"/>
  </r>
  <r>
    <d v="2026-04-21T00:00:00"/>
    <s v="287"/>
    <s v="OD15AF5510"/>
    <n v="2000"/>
    <n v="92.74"/>
    <n v="185480"/>
    <x v="10"/>
    <x v="0"/>
  </r>
  <r>
    <d v="2026-04-21T00:00:00"/>
    <s v="288"/>
    <s v="OD15AF5510"/>
    <n v="1500"/>
    <n v="92.74"/>
    <n v="139110"/>
    <x v="16"/>
    <x v="0"/>
  </r>
  <r>
    <d v="2026-04-21T00:00:00"/>
    <s v="289"/>
    <s v="RJ14GK1162"/>
    <n v="361.87"/>
    <n v="92.74"/>
    <n v="33559.82"/>
    <x v="6"/>
    <x v="0"/>
  </r>
  <r>
    <d v="2026-04-21T00:00:00"/>
    <s v="290"/>
    <s v="OD15AA4091"/>
    <n v="39.15"/>
    <n v="92.74"/>
    <n v="3630.77"/>
    <x v="5"/>
    <x v="0"/>
  </r>
  <r>
    <d v="2026-04-21T00:00:00"/>
    <s v="291"/>
    <s v="OD15AF5510"/>
    <n v="20"/>
    <n v="92.74"/>
    <n v="1854.8"/>
    <x v="3"/>
    <x v="0"/>
  </r>
  <r>
    <d v="2026-04-22T00:00:00"/>
    <s v="292"/>
    <s v="OD15AF5510"/>
    <n v="3000"/>
    <n v="92.74"/>
    <n v="278220"/>
    <x v="24"/>
    <x v="0"/>
  </r>
  <r>
    <d v="2026-04-22T00:00:00"/>
    <s v="293"/>
    <s v="CG04MN1172"/>
    <n v="1000"/>
    <n v="92.74"/>
    <n v="92740"/>
    <x v="28"/>
    <x v="0"/>
  </r>
  <r>
    <d v="2026-04-22T00:00:00"/>
    <s v="294"/>
    <s v="OD23L4439"/>
    <n v="4000"/>
    <n v="91.5"/>
    <n v="366000"/>
    <x v="0"/>
    <x v="0"/>
  </r>
  <r>
    <d v="2026-04-22T00:00:00"/>
    <s v="295"/>
    <s v="OD15AF5510"/>
    <n v="2500.7199999999998"/>
    <n v="92.74"/>
    <n v="231916.77"/>
    <x v="10"/>
    <x v="0"/>
  </r>
  <r>
    <d v="2026-04-22T00:00:00"/>
    <s v="296"/>
    <s v="Transporting"/>
    <n v="4910.5"/>
    <n v="92.74"/>
    <n v="455400"/>
    <x v="8"/>
    <x v="0"/>
  </r>
  <r>
    <d v="2026-04-22T00:00:00"/>
    <s v="297"/>
    <s v="Consumer"/>
    <n v="89.5"/>
    <n v="92.74"/>
    <n v="8300"/>
    <x v="8"/>
    <x v="0"/>
  </r>
  <r>
    <d v="2026-04-22T00:00:00"/>
    <s v="298"/>
    <s v=""/>
    <n v="194.09"/>
    <n v="92.74"/>
    <n v="18000"/>
    <x v="9"/>
    <x v="0"/>
  </r>
  <r>
    <d v="2026-04-22T00:00:00"/>
    <s v="299"/>
    <s v="OD23N1900"/>
    <n v="65"/>
    <n v="92.74"/>
    <n v="6028.1"/>
    <x v="20"/>
    <x v="0"/>
  </r>
  <r>
    <d v="2026-04-22T00:00:00"/>
    <s v="300"/>
    <s v="OD23U4012"/>
    <n v="130"/>
    <n v="92.74"/>
    <n v="12056.2"/>
    <x v="13"/>
    <x v="0"/>
  </r>
  <r>
    <d v="2026-04-23T00:00:00"/>
    <s v="301"/>
    <s v="OD15AF5510"/>
    <n v="3000"/>
    <n v="91.5"/>
    <n v="274500"/>
    <x v="0"/>
    <x v="0"/>
  </r>
  <r>
    <d v="2026-04-23T00:00:00"/>
    <s v="302"/>
    <s v="OR15R5510"/>
    <n v="12000"/>
    <n v="92.74"/>
    <n v="1112880"/>
    <x v="37"/>
    <x v="0"/>
  </r>
  <r>
    <d v="2026-04-23T00:00:00"/>
    <s v="303"/>
    <s v="OD23N5072"/>
    <n v="500"/>
    <n v="92.74"/>
    <n v="46370"/>
    <x v="15"/>
    <x v="0"/>
  </r>
  <r>
    <d v="2026-04-23T00:00:00"/>
    <s v="304"/>
    <s v="OD23L4439"/>
    <n v="4000"/>
    <n v="91.5"/>
    <n v="366000"/>
    <x v="0"/>
    <x v="0"/>
  </r>
  <r>
    <d v="2026-04-23T00:00:00"/>
    <s v="305"/>
    <s v="OR15R5510"/>
    <n v="50"/>
    <n v="92.74"/>
    <n v="4637"/>
    <x v="3"/>
    <x v="0"/>
  </r>
  <r>
    <d v="2026-04-23T00:00:00"/>
    <s v="306"/>
    <s v="OD15U5910"/>
    <n v="98"/>
    <n v="92.74"/>
    <n v="9088.52"/>
    <x v="5"/>
    <x v="0"/>
  </r>
  <r>
    <d v="2026-04-23T00:00:00"/>
    <s v="307"/>
    <s v="OD15AA4091"/>
    <n v="35"/>
    <n v="92.74"/>
    <n v="3245.9"/>
    <x v="5"/>
    <x v="0"/>
  </r>
  <r>
    <d v="2026-04-23T00:00:00"/>
    <s v="308"/>
    <s v="OD15AA4091"/>
    <n v="43.57"/>
    <n v="92.74"/>
    <n v="4040.68"/>
    <x v="5"/>
    <x v="0"/>
  </r>
  <r>
    <d v="2026-04-23T00:00:00"/>
    <s v="309"/>
    <s v="OD23Q4949"/>
    <n v="40"/>
    <n v="92.74"/>
    <n v="3709.6"/>
    <x v="19"/>
    <x v="0"/>
  </r>
  <r>
    <d v="2026-04-23T00:00:00"/>
    <s v="310"/>
    <s v="Transporting"/>
    <n v="3666.16"/>
    <n v="92.74"/>
    <n v="340000"/>
    <x v="8"/>
    <x v="0"/>
  </r>
  <r>
    <d v="2026-04-23T00:00:00"/>
    <s v="311"/>
    <s v="Consumer"/>
    <n v="32.35"/>
    <n v="92.74"/>
    <n v="3000"/>
    <x v="8"/>
    <x v="0"/>
  </r>
  <r>
    <d v="2026-04-23T00:00:00"/>
    <s v="312"/>
    <m/>
    <n v="91.65"/>
    <n v="92.74"/>
    <n v="8500"/>
    <x v="21"/>
    <x v="0"/>
  </r>
  <r>
    <d v="2026-04-23T00:00:00"/>
    <s v="313"/>
    <m/>
    <n v="517.58000000000004"/>
    <n v="92.74"/>
    <n v="48000"/>
    <x v="9"/>
    <x v="0"/>
  </r>
  <r>
    <d v="2026-04-23T00:00:00"/>
    <s v="314"/>
    <m/>
    <n v="246.01"/>
    <n v="92.74"/>
    <n v="22814.959999999999"/>
    <x v="7"/>
    <x v="0"/>
  </r>
  <r>
    <d v="2026-04-23T00:00:00"/>
    <s v="315"/>
    <s v="OD15AF5510"/>
    <n v="2999.25"/>
    <n v="92.74"/>
    <n v="278150.45"/>
    <x v="10"/>
    <x v="0"/>
  </r>
  <r>
    <d v="2026-04-24T00:00:00"/>
    <s v="316"/>
    <s v="OD15AF5510"/>
    <n v="1000"/>
    <n v="92.74"/>
    <n v="92740"/>
    <x v="24"/>
    <x v="0"/>
  </r>
  <r>
    <d v="2026-04-24T00:00:00"/>
    <s v="317"/>
    <s v="OD15AF5510"/>
    <n v="2000"/>
    <n v="92.74"/>
    <n v="185480"/>
    <x v="24"/>
    <x v="0"/>
  </r>
  <r>
    <d v="2026-04-24T00:00:00"/>
    <s v="318"/>
    <s v="OD23L4439"/>
    <n v="4000"/>
    <n v="91.5"/>
    <n v="366000"/>
    <x v="0"/>
    <x v="0"/>
  </r>
  <r>
    <d v="2026-04-24T00:00:00"/>
    <s v="319"/>
    <s v="OD15AF5510"/>
    <n v="46.77"/>
    <n v="92.74"/>
    <n v="4337.4399999999996"/>
    <x v="3"/>
    <x v="0"/>
  </r>
  <r>
    <d v="2026-04-24T00:00:00"/>
    <s v="320"/>
    <s v="OD23N5072"/>
    <n v="1000"/>
    <n v="92.74"/>
    <n v="92740"/>
    <x v="15"/>
    <x v="0"/>
  </r>
  <r>
    <d v="2026-04-24T00:00:00"/>
    <s v="321"/>
    <s v="OD15AF5510"/>
    <n v="1500.57"/>
    <n v="92.74"/>
    <n v="139162.85999999999"/>
    <x v="16"/>
    <x v="0"/>
  </r>
  <r>
    <d v="2026-04-24T00:00:00"/>
    <s v="322"/>
    <s v="OD15AF5510"/>
    <n v="3000.04"/>
    <n v="92.74"/>
    <n v="278223.71000000002"/>
    <x v="10"/>
    <x v="0"/>
  </r>
  <r>
    <d v="2026-04-24T00:00:00"/>
    <s v="323"/>
    <s v=""/>
    <n v="292.91000000000003"/>
    <n v="92.74"/>
    <n v="27164.86"/>
    <x v="7"/>
    <x v="0"/>
  </r>
  <r>
    <d v="2026-04-24T00:00:00"/>
    <s v="324"/>
    <s v=""/>
    <n v="124"/>
    <n v="92.74"/>
    <n v="11500"/>
    <x v="9"/>
    <x v="0"/>
  </r>
  <r>
    <d v="2026-04-24T00:00:00"/>
    <s v="325"/>
    <s v="Transporting"/>
    <n v="3365.32"/>
    <n v="92.74"/>
    <n v="312100"/>
    <x v="8"/>
    <x v="0"/>
  </r>
  <r>
    <d v="2026-04-24T00:00:00"/>
    <s v="326"/>
    <s v="Consumer"/>
    <n v="10.79"/>
    <n v="92.74"/>
    <n v="1000"/>
    <x v="8"/>
    <x v="0"/>
  </r>
  <r>
    <d v="2026-04-25T00:00:00"/>
    <s v="327"/>
    <s v="Consumer"/>
    <n v="32.35"/>
    <n v="92.74"/>
    <n v="3000"/>
    <x v="8"/>
    <x v="0"/>
  </r>
  <r>
    <d v="2026-04-25T00:00:00"/>
    <s v="328"/>
    <s v="Transporting"/>
    <n v="3185.25"/>
    <n v="92.74"/>
    <n v="295400"/>
    <x v="8"/>
    <x v="0"/>
  </r>
  <r>
    <d v="2026-04-25T00:00:00"/>
    <s v="329"/>
    <s v=""/>
    <n v="129.38999999999999"/>
    <n v="92.74"/>
    <n v="12000"/>
    <x v="9"/>
    <x v="0"/>
  </r>
  <r>
    <d v="2026-04-25T00:00:00"/>
    <s v="330"/>
    <s v=""/>
    <n v="603"/>
    <n v="92.74"/>
    <n v="55922.21"/>
    <x v="7"/>
    <x v="0"/>
  </r>
  <r>
    <d v="2026-04-25T00:00:00"/>
    <s v="331"/>
    <s v="OD15AF5510"/>
    <n v="3000.06"/>
    <n v="92.74"/>
    <n v="278225.56"/>
    <x v="10"/>
    <x v="0"/>
  </r>
  <r>
    <d v="2026-04-25T00:00:00"/>
    <s v="332"/>
    <s v="OD05AN7688"/>
    <n v="200"/>
    <n v="92.74"/>
    <n v="18548"/>
    <x v="10"/>
    <x v="0"/>
  </r>
  <r>
    <d v="2026-04-25T00:00:00"/>
    <s v="333"/>
    <s v="KA01AE2683"/>
    <n v="120"/>
    <n v="92.74"/>
    <n v="11128.8"/>
    <x v="36"/>
    <x v="0"/>
  </r>
  <r>
    <d v="2026-04-27T00:00:00"/>
    <s v="334"/>
    <s v="OD15AF5510"/>
    <n v="3000"/>
    <n v="91.5"/>
    <n v="274500"/>
    <x v="0"/>
    <x v="0"/>
  </r>
  <r>
    <d v="2026-04-27T00:00:00"/>
    <s v="335"/>
    <s v="OD23L4439"/>
    <n v="3000"/>
    <n v="91.5"/>
    <n v="274500"/>
    <x v="0"/>
    <x v="0"/>
  </r>
  <r>
    <d v="2026-04-27T00:00:00"/>
    <s v="336"/>
    <s v="OD23N5072"/>
    <n v="500"/>
    <n v="92.74"/>
    <n v="46370"/>
    <x v="15"/>
    <x v="0"/>
  </r>
  <r>
    <d v="2026-04-27T00:00:00"/>
    <s v="337"/>
    <s v="Transporting"/>
    <n v="2748.54"/>
    <n v="92.74"/>
    <n v="254900"/>
    <x v="8"/>
    <x v="0"/>
  </r>
  <r>
    <d v="2026-04-27T00:00:00"/>
    <s v="338"/>
    <s v="OD15AA4091"/>
    <n v="50.2"/>
    <n v="92.74"/>
    <n v="4655.54"/>
    <x v="5"/>
    <x v="0"/>
  </r>
  <r>
    <d v="2026-04-27T00:00:00"/>
    <s v="339"/>
    <s v="JH01FS6302"/>
    <n v="50"/>
    <n v="92.74"/>
    <n v="4637"/>
    <x v="5"/>
    <x v="0"/>
  </r>
  <r>
    <d v="2026-04-27T00:00:00"/>
    <s v="340"/>
    <s v="JH01FS6302"/>
    <n v="50.47"/>
    <n v="92.74"/>
    <n v="4680.58"/>
    <x v="5"/>
    <x v="0"/>
  </r>
  <r>
    <d v="2026-04-28T00:00:00"/>
    <s v="341"/>
    <s v="OD15AF5510"/>
    <n v="3000"/>
    <n v="92.74"/>
    <n v="278220"/>
    <x v="24"/>
    <x v="0"/>
  </r>
  <r>
    <d v="2026-04-28T00:00:00"/>
    <s v="342"/>
    <s v="CG04MN1172"/>
    <n v="1000"/>
    <n v="92.74"/>
    <n v="92740"/>
    <x v="28"/>
    <x v="0"/>
  </r>
  <r>
    <d v="2026-04-28T00:00:00"/>
    <s v="343"/>
    <s v="OD15AF5510"/>
    <n v="1850.75"/>
    <n v="92.74"/>
    <n v="171638.56"/>
    <x v="10"/>
    <x v="0"/>
  </r>
  <r>
    <d v="2026-04-28T00:00:00"/>
    <s v="344"/>
    <s v=""/>
    <n v="20"/>
    <n v="92.74"/>
    <n v="1854.8"/>
    <x v="26"/>
    <x v="0"/>
  </r>
  <r>
    <d v="2026-04-28T00:00:00"/>
    <s v="345"/>
    <s v="OD15AA4091"/>
    <n v="35"/>
    <n v="92.74"/>
    <n v="3245.9"/>
    <x v="5"/>
    <x v="0"/>
  </r>
  <r>
    <d v="2026-04-28T00:00:00"/>
    <s v="346"/>
    <s v="OD15U5910"/>
    <n v="105.03"/>
    <n v="92.74"/>
    <n v="9740.48"/>
    <x v="5"/>
    <x v="0"/>
  </r>
  <r>
    <d v="2026-04-28T00:00:00"/>
    <s v="347"/>
    <s v="OD23A8210"/>
    <n v="32.35"/>
    <n v="92.74"/>
    <n v="3000.13"/>
    <x v="2"/>
    <x v="0"/>
  </r>
  <r>
    <d v="2026-04-28T00:00:00"/>
    <s v="348"/>
    <s v="22BH2043E"/>
    <n v="55.85"/>
    <n v="92.74"/>
    <n v="5179.5200000000004"/>
    <x v="36"/>
    <x v="0"/>
  </r>
  <r>
    <d v="2026-04-28T00:00:00"/>
    <s v="349"/>
    <s v=""/>
    <n v="150.97999999999999"/>
    <n v="92.74"/>
    <n v="14001.73"/>
    <x v="7"/>
    <x v="0"/>
  </r>
  <r>
    <d v="2026-04-28T00:00:00"/>
    <s v="350"/>
    <s v="Transporting"/>
    <n v="3642.44"/>
    <n v="92.74"/>
    <n v="337800"/>
    <x v="8"/>
    <x v="0"/>
  </r>
  <r>
    <d v="2026-04-28T00:00:00"/>
    <s v="351"/>
    <s v="Consumer"/>
    <n v="43.13"/>
    <n v="92.74"/>
    <n v="4000"/>
    <x v="8"/>
    <x v="0"/>
  </r>
  <r>
    <d v="2026-04-29T00:00:00"/>
    <s v="352"/>
    <s v="OD15AF5510"/>
    <n v="3000"/>
    <n v="92.74"/>
    <n v="278220"/>
    <x v="24"/>
    <x v="0"/>
  </r>
  <r>
    <d v="2026-04-29T00:00:00"/>
    <s v="353"/>
    <s v="OD15AF5510"/>
    <n v="1500"/>
    <n v="92.74"/>
    <n v="139110"/>
    <x v="16"/>
    <x v="0"/>
  </r>
  <r>
    <d v="2026-04-29T00:00:00"/>
    <s v="354"/>
    <s v="Transporting"/>
    <n v="2060.6"/>
    <n v="92.74"/>
    <n v="191100"/>
    <x v="8"/>
    <x v="0"/>
  </r>
  <r>
    <d v="2026-04-29T00:00:00"/>
    <s v="355"/>
    <s v=""/>
    <n v="835.13"/>
    <n v="92.74"/>
    <n v="77450.039999999994"/>
    <x v="7"/>
    <x v="0"/>
  </r>
  <r>
    <d v="2026-04-29T00:00:00"/>
    <s v="356"/>
    <s v="OD05AN7688"/>
    <n v="600"/>
    <n v="92.74"/>
    <n v="55644"/>
    <x v="10"/>
    <x v="0"/>
  </r>
  <r>
    <d v="2026-04-29T00:00:00"/>
    <s v="357"/>
    <s v="OD23A8210"/>
    <n v="24"/>
    <n v="92.74"/>
    <n v="2225.7600000000002"/>
    <x v="2"/>
    <x v="0"/>
  </r>
  <r>
    <d v="2026-04-29T00:00:00"/>
    <s v="358"/>
    <s v="OD23D3131"/>
    <n v="27.5"/>
    <n v="92.74"/>
    <n v="2550.34"/>
    <x v="4"/>
    <x v="0"/>
  </r>
  <r>
    <d v="2026-04-29T00:00:00"/>
    <s v="359"/>
    <s v="OD23D3131"/>
    <n v="17.600000000000001"/>
    <n v="92.74"/>
    <n v="1632.22"/>
    <x v="4"/>
    <x v="0"/>
  </r>
  <r>
    <d v="2026-04-30T00:00:00"/>
    <s v="360"/>
    <s v="Transporting"/>
    <n v="3586.37"/>
    <n v="92.74"/>
    <n v="332600"/>
    <x v="8"/>
    <x v="0"/>
  </r>
  <r>
    <d v="2026-04-30T00:00:00"/>
    <s v="361"/>
    <s v=""/>
    <n v="370.93"/>
    <n v="92.74"/>
    <n v="34400"/>
    <x v="21"/>
    <x v="0"/>
  </r>
  <r>
    <d v="2026-04-30T00:00:00"/>
    <s v="362"/>
    <s v="OD15AF5510"/>
    <n v="1500"/>
    <n v="92.74"/>
    <n v="139110"/>
    <x v="16"/>
    <x v="0"/>
  </r>
  <r>
    <d v="2026-04-30T00:00:00"/>
    <s v="363"/>
    <s v="OD15AF5510"/>
    <n v="3000"/>
    <n v="92.74"/>
    <n v="278220"/>
    <x v="24"/>
    <x v="0"/>
  </r>
  <r>
    <d v="2026-04-30T00:00:00"/>
    <s v="364"/>
    <s v="OD23A3710"/>
    <n v="12000"/>
    <n v="92.74"/>
    <n v="1112880"/>
    <x v="30"/>
    <x v="0"/>
  </r>
  <r>
    <d v="2026-04-30T00:00:00"/>
    <s v="365"/>
    <s v="OD23Q4511"/>
    <n v="1150"/>
    <n v="92.74"/>
    <n v="106651"/>
    <x v="17"/>
    <x v="0"/>
  </r>
  <r>
    <d v="2026-04-30T00:00:00"/>
    <s v="366"/>
    <s v="OD15Q5872"/>
    <n v="1000"/>
    <n v="92.74"/>
    <n v="92740"/>
    <x v="15"/>
    <x v="0"/>
  </r>
  <r>
    <d v="2026-04-30T00:00:00"/>
    <s v="367"/>
    <s v="OD05AN7688"/>
    <n v="200"/>
    <n v="92.74"/>
    <n v="18548"/>
    <x v="10"/>
    <x v="0"/>
  </r>
  <r>
    <d v="2026-04-30T00:00:00"/>
    <s v="368"/>
    <s v="OD23G4251"/>
    <n v="32.35"/>
    <n v="92.74"/>
    <n v="3000"/>
    <x v="29"/>
    <x v="0"/>
  </r>
  <r>
    <d v="2026-04-30T00:00:00"/>
    <s v="369"/>
    <s v="OD15AA4091"/>
    <n v="30"/>
    <n v="92.74"/>
    <n v="2782.2"/>
    <x v="5"/>
    <x v="0"/>
  </r>
  <r>
    <d v="2026-04-30T00:00:00"/>
    <s v="370"/>
    <s v="OD23U4152"/>
    <n v="32.35"/>
    <n v="92.74"/>
    <n v="3000"/>
    <x v="31"/>
    <x v="0"/>
  </r>
  <r>
    <d v="2026-04-30T00:00:00"/>
    <s v="371"/>
    <s v="OD23U3852"/>
    <n v="32.35"/>
    <n v="92.74"/>
    <n v="3000"/>
    <x v="31"/>
    <x v="0"/>
  </r>
  <r>
    <d v="2026-04-30T00:00:00"/>
    <s v="372"/>
    <s v="OD23U3952"/>
    <n v="32.35"/>
    <n v="92.74"/>
    <n v="3000"/>
    <x v="31"/>
    <x v="0"/>
  </r>
  <r>
    <d v="2026-04-30T00:00:00"/>
    <s v="373"/>
    <s v="OD23U4252"/>
    <n v="32.35"/>
    <n v="92.74"/>
    <n v="3000"/>
    <x v="31"/>
    <x v="0"/>
  </r>
  <r>
    <d v="2026-04-30T00:00:00"/>
    <s v="374"/>
    <s v="OD23S1752"/>
    <n v="32.35"/>
    <n v="92.74"/>
    <n v="3000"/>
    <x v="31"/>
    <x v="0"/>
  </r>
  <r>
    <d v="2026-04-30T00:00:00"/>
    <s v="375"/>
    <s v="OD23T2252"/>
    <n v="32.35"/>
    <n v="92.74"/>
    <n v="3000"/>
    <x v="31"/>
    <x v="0"/>
  </r>
  <r>
    <d v="2026-04-30T00:00:00"/>
    <s v="376"/>
    <s v="OD23U2652"/>
    <n v="32.35"/>
    <n v="92.74"/>
    <n v="3000"/>
    <x v="31"/>
    <x v="0"/>
  </r>
  <r>
    <d v="2026-04-30T00:00:00"/>
    <s v="377"/>
    <s v="OD23U2852"/>
    <n v="32.35"/>
    <n v="92.74"/>
    <n v="3000"/>
    <x v="31"/>
    <x v="0"/>
  </r>
  <r>
    <d v="2026-04-30T00:00:00"/>
    <s v="378"/>
    <s v="CG13AW9515"/>
    <n v="107.83"/>
    <n v="92.74"/>
    <n v="10000"/>
    <x v="31"/>
    <x v="0"/>
  </r>
  <r>
    <d v="2026-04-30T00:00:00"/>
    <s v="379"/>
    <s v="CG13BK4869"/>
    <n v="129.38999999999999"/>
    <n v="92.74"/>
    <n v="12000"/>
    <x v="31"/>
    <x v="0"/>
  </r>
  <r>
    <d v="2026-05-01T00:00:00"/>
    <s v="380"/>
    <s v="OD15AF5510"/>
    <n v="3000"/>
    <n v="92.74"/>
    <n v="278220"/>
    <x v="24"/>
    <x v="1"/>
  </r>
  <r>
    <d v="2026-05-01T00:00:00"/>
    <s v="381"/>
    <s v="Transporting"/>
    <n v="2035.8"/>
    <n v="92.74"/>
    <n v="188800"/>
    <x v="8"/>
    <x v="1"/>
  </r>
  <r>
    <d v="2026-05-01T00:00:00"/>
    <s v="382"/>
    <s v=""/>
    <n v="238.3"/>
    <n v="92.74"/>
    <n v="22100"/>
    <x v="21"/>
    <x v="1"/>
  </r>
  <r>
    <d v="2026-05-01T00:00:00"/>
    <s v="383"/>
    <s v=""/>
    <n v="388.17"/>
    <n v="92.74"/>
    <n v="35999"/>
    <x v="7"/>
    <x v="1"/>
  </r>
  <r>
    <d v="2026-05-01T00:00:00"/>
    <s v="384"/>
    <s v="OD05AP4113"/>
    <n v="300"/>
    <n v="92.74"/>
    <n v="27822"/>
    <x v="23"/>
    <x v="1"/>
  </r>
  <r>
    <d v="2026-05-01T00:00:00"/>
    <s v="385"/>
    <s v="OD16K1055"/>
    <n v="21.57"/>
    <n v="92.74"/>
    <n v="2000"/>
    <x v="29"/>
    <x v="1"/>
  </r>
  <r>
    <d v="2026-05-01T00:00:00"/>
    <s v="386"/>
    <s v="OD16K1097"/>
    <n v="21.57"/>
    <n v="92.74"/>
    <n v="2000"/>
    <x v="29"/>
    <x v="1"/>
  </r>
  <r>
    <d v="2026-05-01T00:00:00"/>
    <s v="387"/>
    <s v="OD15U5910"/>
    <n v="104.02"/>
    <n v="92.74"/>
    <n v="9646.7999999999993"/>
    <x v="5"/>
    <x v="1"/>
  </r>
  <r>
    <d v="2026-05-01T00:00:00"/>
    <s v="388"/>
    <s v="OD23H5292"/>
    <n v="161.74"/>
    <n v="92.74"/>
    <n v="15000"/>
    <x v="25"/>
    <x v="1"/>
  </r>
  <r>
    <d v="2026-05-02T00:00:00"/>
    <s v="389"/>
    <s v="OD23L4439"/>
    <n v="4000"/>
    <n v="92.74"/>
    <n v="370960"/>
    <x v="0"/>
    <x v="1"/>
  </r>
  <r>
    <d v="2026-05-02T00:00:00"/>
    <s v="390"/>
    <s v="Transporting"/>
    <n v="1926.89"/>
    <n v="92.74"/>
    <n v="178700"/>
    <x v="8"/>
    <x v="1"/>
  </r>
  <r>
    <d v="2026-05-02T00:00:00"/>
    <s v="391"/>
    <s v=""/>
    <n v="196.25"/>
    <n v="92.74"/>
    <n v="18200"/>
    <x v="21"/>
    <x v="1"/>
  </r>
  <r>
    <d v="2026-05-02T00:00:00"/>
    <s v="392"/>
    <s v=""/>
    <n v="1132.95"/>
    <n v="92.74"/>
    <n v="105070.24"/>
    <x v="7"/>
    <x v="1"/>
  </r>
  <r>
    <d v="2026-05-02T00:00:00"/>
    <s v="393"/>
    <s v="OD23S7008"/>
    <n v="10"/>
    <n v="92.74"/>
    <n v="927.4"/>
    <x v="4"/>
    <x v="1"/>
  </r>
  <r>
    <d v="2026-05-02T00:00:00"/>
    <s v="394"/>
    <s v="OD23D3131"/>
    <n v="20"/>
    <n v="92.74"/>
    <n v="1854.8"/>
    <x v="4"/>
    <x v="1"/>
  </r>
  <r>
    <d v="2026-05-02T00:00:00"/>
    <s v="395"/>
    <s v="OD16K1096"/>
    <n v="40"/>
    <n v="92.74"/>
    <n v="3709.6"/>
    <x v="29"/>
    <x v="1"/>
  </r>
  <r>
    <d v="2026-05-02T00:00:00"/>
    <s v="396"/>
    <s v=""/>
    <n v="20"/>
    <n v="92.74"/>
    <n v="1854.8"/>
    <x v="26"/>
    <x v="1"/>
  </r>
  <r>
    <d v="2026-05-02T00:00:00"/>
    <s v="397"/>
    <s v="OD15K2900"/>
    <n v="100"/>
    <n v="92.74"/>
    <n v="9274"/>
    <x v="38"/>
    <x v="1"/>
  </r>
  <r>
    <d v="2026-05-02T00:00:00"/>
    <s v="398"/>
    <s v="OD15AA4091"/>
    <n v="49.09"/>
    <n v="92.74"/>
    <n v="4552.6000000000004"/>
    <x v="5"/>
    <x v="1"/>
  </r>
  <r>
    <d v="2026-05-02T00:00:00"/>
    <s v="399"/>
    <s v="OD15AF5510"/>
    <n v="2981.59"/>
    <n v="92.74"/>
    <n v="276512.65999999997"/>
    <x v="10"/>
    <x v="1"/>
  </r>
  <r>
    <d v="2026-05-03T00:00:00"/>
    <s v="400"/>
    <s v="OD15AF5510"/>
    <n v="3000"/>
    <n v="92.74"/>
    <n v="278220"/>
    <x v="24"/>
    <x v="1"/>
  </r>
  <r>
    <d v="2026-05-03T00:00:00"/>
    <s v="401"/>
    <s v="OD15AF5510"/>
    <n v="1499.86"/>
    <n v="92.74"/>
    <n v="139097.01999999999"/>
    <x v="16"/>
    <x v="1"/>
  </r>
  <r>
    <d v="2026-05-03T00:00:00"/>
    <s v="402"/>
    <s v="Transporting"/>
    <n v="2708.65"/>
    <n v="92.74"/>
    <n v="251200"/>
    <x v="8"/>
    <x v="1"/>
  </r>
  <r>
    <d v="2026-05-03T00:00:00"/>
    <s v="403"/>
    <s v=""/>
    <n v="649.13"/>
    <n v="92.74"/>
    <n v="60200"/>
    <x v="21"/>
    <x v="1"/>
  </r>
  <r>
    <d v="2026-05-03T00:00:00"/>
    <s v="404"/>
    <s v=""/>
    <n v="20"/>
    <n v="92.74"/>
    <n v="1854.8"/>
    <x v="7"/>
    <x v="1"/>
  </r>
  <r>
    <d v="2026-05-03T00:00:00"/>
    <s v="405"/>
    <s v="OD23P9344"/>
    <n v="50"/>
    <n v="92.74"/>
    <n v="4637"/>
    <x v="4"/>
    <x v="1"/>
  </r>
  <r>
    <d v="2026-05-03T00:00:00"/>
    <s v="406"/>
    <s v="JH01FS6302"/>
    <n v="30"/>
    <n v="92.74"/>
    <n v="2782.2"/>
    <x v="5"/>
    <x v="1"/>
  </r>
  <r>
    <d v="2026-05-03T00:00:00"/>
    <s v="407"/>
    <s v="JH01FS6302"/>
    <n v="48.84"/>
    <n v="92.74"/>
    <n v="4529.42"/>
    <x v="5"/>
    <x v="1"/>
  </r>
  <r>
    <d v="2026-05-03T00:00:00"/>
    <s v="408"/>
    <s v="OD14T5423"/>
    <n v="44.62"/>
    <n v="92.74"/>
    <n v="4138.05"/>
    <x v="29"/>
    <x v="1"/>
  </r>
  <r>
    <d v="2026-05-03T00:00:00"/>
    <s v="409"/>
    <s v="OD15AF5510"/>
    <n v="47.36"/>
    <n v="92.74"/>
    <n v="4392.16"/>
    <x v="3"/>
    <x v="1"/>
  </r>
  <r>
    <d v="2026-05-03T00:00:00"/>
    <s v="410"/>
    <s v="OD23A8210"/>
    <n v="52"/>
    <n v="92.74"/>
    <n v="4822.4799999999996"/>
    <x v="2"/>
    <x v="1"/>
  </r>
  <r>
    <d v="2026-05-04T00:00:00"/>
    <s v="411"/>
    <s v="OD23L4439"/>
    <n v="4000"/>
    <n v="92.74"/>
    <n v="370960"/>
    <x v="0"/>
    <x v="1"/>
  </r>
  <r>
    <d v="2026-05-04T00:00:00"/>
    <s v="412"/>
    <s v="Transporting"/>
    <n v="1485.87"/>
    <n v="92.74"/>
    <n v="137800"/>
    <x v="8"/>
    <x v="1"/>
  </r>
  <r>
    <d v="2026-05-04T00:00:00"/>
    <s v="413"/>
    <s v=""/>
    <n v="1630.36"/>
    <n v="92.74"/>
    <n v="151200"/>
    <x v="21"/>
    <x v="1"/>
  </r>
  <r>
    <d v="2026-05-04T00:00:00"/>
    <s v="414"/>
    <s v="OD15AF5510"/>
    <n v="3000"/>
    <n v="92.74"/>
    <n v="278220"/>
    <x v="10"/>
    <x v="1"/>
  </r>
  <r>
    <d v="2026-05-04T00:00:00"/>
    <s v="415"/>
    <s v="OD15Q5872"/>
    <n v="500"/>
    <n v="92.74"/>
    <n v="46370"/>
    <x v="34"/>
    <x v="1"/>
  </r>
  <r>
    <d v="2026-05-04T00:00:00"/>
    <s v="416"/>
    <s v="CG04MN1172"/>
    <n v="1200"/>
    <n v="92.74"/>
    <n v="111288"/>
    <x v="28"/>
    <x v="1"/>
  </r>
  <r>
    <d v="2026-05-04T00:00:00"/>
    <s v="417"/>
    <s v="OD15AA4091"/>
    <n v="45.29"/>
    <n v="92.74"/>
    <n v="4200.1899999999996"/>
    <x v="5"/>
    <x v="1"/>
  </r>
  <r>
    <d v="2026-05-04T00:00:00"/>
    <s v="418"/>
    <s v="OD15K2690"/>
    <n v="98.74"/>
    <n v="92.74"/>
    <n v="9157.14"/>
    <x v="38"/>
    <x v="1"/>
  </r>
  <r>
    <d v="2026-05-05T00:00:00"/>
    <s v="419"/>
    <s v="OR15R5510"/>
    <n v="6000"/>
    <n v="92.74"/>
    <n v="556440"/>
    <x v="24"/>
    <x v="1"/>
  </r>
  <r>
    <d v="2026-05-05T00:00:00"/>
    <s v="420"/>
    <s v="OD23L4439"/>
    <n v="4000"/>
    <n v="92.74"/>
    <n v="370960"/>
    <x v="0"/>
    <x v="1"/>
  </r>
  <r>
    <d v="2026-05-05T00:00:00"/>
    <s v="421"/>
    <s v="OD15U5910"/>
    <n v="106"/>
    <n v="92.74"/>
    <n v="9830.44"/>
    <x v="5"/>
    <x v="1"/>
  </r>
  <r>
    <d v="2026-05-05T00:00:00"/>
    <s v="422"/>
    <s v="JH01FS6302"/>
    <n v="50"/>
    <n v="92.74"/>
    <n v="4637"/>
    <x v="5"/>
    <x v="1"/>
  </r>
  <r>
    <d v="2026-05-05T00:00:00"/>
    <s v="423"/>
    <s v="OD23M1980"/>
    <n v="600"/>
    <n v="92.74"/>
    <n v="55644"/>
    <x v="12"/>
    <x v="1"/>
  </r>
  <r>
    <d v="2026-05-05T00:00:00"/>
    <s v="424"/>
    <s v="OD23G4251"/>
    <n v="21.57"/>
    <n v="92.74"/>
    <n v="2000"/>
    <x v="29"/>
    <x v="1"/>
  </r>
  <r>
    <d v="2026-05-05T00:00:00"/>
    <s v="425"/>
    <s v="OD15Z1430"/>
    <n v="150"/>
    <n v="92.74"/>
    <n v="13911"/>
    <x v="38"/>
    <x v="1"/>
  </r>
  <r>
    <d v="2026-05-05T00:00:00"/>
    <s v="426"/>
    <s v=""/>
    <n v="400"/>
    <n v="92.74"/>
    <n v="37096"/>
    <x v="7"/>
    <x v="1"/>
  </r>
  <r>
    <d v="2026-05-05T00:00:00"/>
    <s v="427"/>
    <s v="Consumer"/>
    <n v="103.13"/>
    <n v="92.74"/>
    <n v="9564.4"/>
    <x v="8"/>
    <x v="1"/>
  </r>
  <r>
    <d v="2026-05-05T00:00:00"/>
    <s v="428"/>
    <s v="Transporting"/>
    <n v="2159.8000000000002"/>
    <n v="92.74"/>
    <n v="200300"/>
    <x v="8"/>
    <x v="1"/>
  </r>
  <r>
    <d v="2026-05-05T00:00:00"/>
    <s v="429"/>
    <s v=""/>
    <n v="90.58"/>
    <n v="92.74"/>
    <n v="8400"/>
    <x v="21"/>
    <x v="1"/>
  </r>
  <r>
    <d v="2026-05-05T00:00:00"/>
    <s v="430"/>
    <s v="OD15AF5510"/>
    <n v="1500"/>
    <n v="92.74"/>
    <n v="139110"/>
    <x v="16"/>
    <x v="1"/>
  </r>
  <r>
    <d v="2026-05-05T00:00:00"/>
    <s v="431"/>
    <s v="OD15AF5510"/>
    <n v="2999.27"/>
    <n v="92.74"/>
    <n v="278152.3"/>
    <x v="10"/>
    <x v="1"/>
  </r>
  <r>
    <d v="2026-05-06T00:00:00"/>
    <s v="432"/>
    <s v="OD15AF5510"/>
    <n v="3000"/>
    <n v="92.74"/>
    <n v="278220"/>
    <x v="0"/>
    <x v="1"/>
  </r>
  <r>
    <d v="2026-05-06T00:00:00"/>
    <s v="433"/>
    <s v="OD15AF5510"/>
    <n v="3000"/>
    <n v="92.74"/>
    <n v="278220"/>
    <x v="24"/>
    <x v="1"/>
  </r>
  <r>
    <d v="2026-05-06T00:00:00"/>
    <s v="434"/>
    <s v="OD23L4439"/>
    <n v="3000"/>
    <n v="92.74"/>
    <n v="278220"/>
    <x v="0"/>
    <x v="1"/>
  </r>
  <r>
    <d v="2026-05-06T00:00:00"/>
    <s v="435"/>
    <s v="OD23S5820"/>
    <n v="200"/>
    <n v="92.74"/>
    <n v="18548"/>
    <x v="12"/>
    <x v="1"/>
  </r>
  <r>
    <d v="2026-05-06T00:00:00"/>
    <s v="436"/>
    <s v="OR16 8223"/>
    <n v="3000"/>
    <n v="92.74"/>
    <n v="278220"/>
    <x v="37"/>
    <x v="1"/>
  </r>
  <r>
    <d v="2026-05-06T00:00:00"/>
    <s v="437"/>
    <s v="OD15AA4091"/>
    <n v="41.17"/>
    <n v="92.74"/>
    <n v="3818.1"/>
    <x v="5"/>
    <x v="1"/>
  </r>
  <r>
    <d v="2026-05-06T00:00:00"/>
    <s v="438"/>
    <s v="CG04MN1172"/>
    <n v="1500"/>
    <n v="92.74"/>
    <n v="139110"/>
    <x v="28"/>
    <x v="1"/>
  </r>
  <r>
    <d v="2026-05-06T00:00:00"/>
    <s v="439"/>
    <s v="OD23G4251"/>
    <n v="50.53"/>
    <n v="92.74"/>
    <n v="4686.1499999999996"/>
    <x v="29"/>
    <x v="1"/>
  </r>
  <r>
    <d v="2026-05-06T00:00:00"/>
    <s v="440"/>
    <s v="OD15K2900"/>
    <n v="100"/>
    <n v="92.74"/>
    <n v="9274"/>
    <x v="38"/>
    <x v="1"/>
  </r>
  <r>
    <d v="2026-05-06T00:00:00"/>
    <s v="441"/>
    <s v="OR15Q0355"/>
    <n v="350"/>
    <n v="92.74"/>
    <n v="32459"/>
    <x v="38"/>
    <x v="1"/>
  </r>
  <r>
    <d v="2026-05-06T00:00:00"/>
    <s v="442"/>
    <s v=""/>
    <n v="20"/>
    <n v="92.74"/>
    <n v="1854.8"/>
    <x v="26"/>
    <x v="1"/>
  </r>
  <r>
    <d v="2026-05-06T00:00:00"/>
    <s v="443"/>
    <s v="Transporting"/>
    <n v="2413.1999999999998"/>
    <n v="92.74"/>
    <n v="223800"/>
    <x v="8"/>
    <x v="1"/>
  </r>
  <r>
    <d v="2026-05-06T00:00:00"/>
    <s v="444"/>
    <s v="Consumer"/>
    <n v="10.79"/>
    <n v="92.74"/>
    <n v="1000"/>
    <x v="8"/>
    <x v="1"/>
  </r>
  <r>
    <d v="2026-05-06T00:00:00"/>
    <s v="445"/>
    <s v="OD23N5072"/>
    <n v="500"/>
    <n v="92.74"/>
    <n v="46370"/>
    <x v="34"/>
    <x v="1"/>
  </r>
  <r>
    <d v="2026-05-06T00:00:00"/>
    <s v="446"/>
    <s v="OD23T1752"/>
    <n v="113.22"/>
    <n v="92.74"/>
    <n v="10500"/>
    <x v="31"/>
    <x v="1"/>
  </r>
  <r>
    <d v="2026-05-06T00:00:00"/>
    <s v="447"/>
    <s v="OD23U4652"/>
    <n v="113.22"/>
    <n v="92.74"/>
    <n v="10500"/>
    <x v="31"/>
    <x v="1"/>
  </r>
  <r>
    <d v="2026-05-06T00:00:00"/>
    <s v="448"/>
    <s v="OD23U4352"/>
    <n v="113.22"/>
    <n v="92.74"/>
    <n v="10500"/>
    <x v="31"/>
    <x v="1"/>
  </r>
  <r>
    <d v="2026-05-06T00:00:00"/>
    <s v="449"/>
    <s v="OD23T1152"/>
    <n v="113.22"/>
    <n v="92.74"/>
    <n v="10500"/>
    <x v="31"/>
    <x v="1"/>
  </r>
  <r>
    <d v="2026-05-06T00:00:00"/>
    <s v="450"/>
    <s v="OD23U2752"/>
    <n v="113.22"/>
    <n v="92.74"/>
    <n v="10500"/>
    <x v="31"/>
    <x v="1"/>
  </r>
  <r>
    <d v="2026-05-06T00:00:00"/>
    <s v="451"/>
    <s v="OD23T2152"/>
    <n v="113.22"/>
    <n v="92.74"/>
    <n v="10500"/>
    <x v="31"/>
    <x v="1"/>
  </r>
  <r>
    <d v="2026-05-06T00:00:00"/>
    <s v="452"/>
    <s v="OD23S1452"/>
    <n v="113.22"/>
    <n v="92.74"/>
    <n v="10500"/>
    <x v="31"/>
    <x v="1"/>
  </r>
  <r>
    <d v="2026-05-06T00:00:00"/>
    <s v="453"/>
    <s v="OD23U4152"/>
    <n v="113.22"/>
    <n v="92.74"/>
    <n v="10500"/>
    <x v="31"/>
    <x v="1"/>
  </r>
  <r>
    <d v="2026-05-06T00:00:00"/>
    <s v="454"/>
    <s v="OD23U4452"/>
    <n v="113.22"/>
    <n v="92.74"/>
    <n v="10500"/>
    <x v="31"/>
    <x v="1"/>
  </r>
  <r>
    <d v="2026-05-07T00:00:00"/>
    <s v="455"/>
    <s v="OR15R5510"/>
    <n v="12000"/>
    <n v="92.74"/>
    <n v="1112880"/>
    <x v="24"/>
    <x v="1"/>
  </r>
  <r>
    <d v="2026-05-07T00:00:00"/>
    <s v="456"/>
    <s v="OD15AF5510"/>
    <n v="3000.14"/>
    <n v="92.74"/>
    <n v="278232.98"/>
    <x v="10"/>
    <x v="1"/>
  </r>
  <r>
    <d v="2026-05-07T00:00:00"/>
    <s v="457"/>
    <s v="Transporting"/>
    <n v="30.19"/>
    <n v="92.74"/>
    <n v="2800"/>
    <x v="8"/>
    <x v="1"/>
  </r>
  <r>
    <d v="2026-05-08T00:00:00"/>
    <s v="458"/>
    <s v="DG"/>
    <n v="20"/>
    <n v="92.74"/>
    <n v="1854.8"/>
    <x v="26"/>
    <x v="1"/>
  </r>
  <r>
    <d v="2026-05-09T00:00:00"/>
    <s v="459"/>
    <s v="OD23D3131"/>
    <n v="20"/>
    <n v="92.74"/>
    <n v="1854.8"/>
    <x v="4"/>
    <x v="1"/>
  </r>
  <r>
    <d v="2026-05-09T00:00:00"/>
    <s v="460"/>
    <s v="OD15AA5823"/>
    <n v="371"/>
    <n v="92.74"/>
    <n v="34406.54"/>
    <x v="38"/>
    <x v="1"/>
  </r>
  <r>
    <d v="2026-05-09T00:00:00"/>
    <s v="461"/>
    <s v="OD15Y2900"/>
    <n v="100"/>
    <n v="92.74"/>
    <n v="9274"/>
    <x v="38"/>
    <x v="1"/>
  </r>
  <r>
    <d v="2026-05-09T00:00:00"/>
    <s v="462"/>
    <s v="JH01FS6302"/>
    <n v="80"/>
    <n v="92.74"/>
    <n v="7419.2"/>
    <x v="5"/>
    <x v="1"/>
  </r>
  <r>
    <d v="2026-05-09T00:00:00"/>
    <s v="463"/>
    <s v="JH01FS6302"/>
    <n v="50"/>
    <n v="92.74"/>
    <n v="4637"/>
    <x v="5"/>
    <x v="1"/>
  </r>
  <r>
    <d v="2026-05-09T00:00:00"/>
    <s v="464"/>
    <s v="OD15AA4091"/>
    <n v="43.5"/>
    <n v="92.74"/>
    <n v="4034.19"/>
    <x v="5"/>
    <x v="1"/>
  </r>
  <r>
    <d v="2026-05-09T00:00:00"/>
    <s v="465"/>
    <s v="OD15U5910"/>
    <n v="83"/>
    <n v="92.74"/>
    <n v="7697.42"/>
    <x v="5"/>
    <x v="1"/>
  </r>
  <r>
    <d v="2026-05-09T00:00:00"/>
    <s v="466"/>
    <s v="OD15AF5510"/>
    <n v="1000.02"/>
    <n v="92.74"/>
    <n v="92741.85"/>
    <x v="16"/>
    <x v="1"/>
  </r>
  <r>
    <d v="2026-05-09T00:00:00"/>
    <s v="467"/>
    <s v="OD15AF5510"/>
    <n v="2999.72"/>
    <n v="92.74"/>
    <n v="278194.03000000003"/>
    <x v="10"/>
    <x v="1"/>
  </r>
  <r>
    <d v="2026-05-09T00:00:00"/>
    <s v="468"/>
    <s v="Transporting"/>
    <n v="1592.62"/>
    <n v="92.74"/>
    <n v="147700"/>
    <x v="8"/>
    <x v="1"/>
  </r>
  <r>
    <d v="2026-05-09T00:00:00"/>
    <s v="469"/>
    <s v="OD23N5072"/>
    <n v="1000"/>
    <n v="92.74"/>
    <n v="92740"/>
    <x v="34"/>
    <x v="1"/>
  </r>
  <r>
    <d v="2026-05-09T00:00:00"/>
    <s v="470"/>
    <m/>
    <n v="424.6"/>
    <n v="92.74"/>
    <n v="39377.4"/>
    <x v="7"/>
    <x v="1"/>
  </r>
  <r>
    <d v="2026-05-10T00:00:00"/>
    <s v="471"/>
    <s v="Transporting"/>
    <n v="2897.35"/>
    <n v="92.74"/>
    <n v="268700"/>
    <x v="8"/>
    <x v="1"/>
  </r>
  <r>
    <d v="2026-05-10T00:00:00"/>
    <s v="472"/>
    <s v="Consumer"/>
    <n v="21.57"/>
    <n v="92.74"/>
    <n v="2000"/>
    <x v="8"/>
    <x v="1"/>
  </r>
  <r>
    <d v="2026-05-10T00:00:00"/>
    <s v="473"/>
    <s v=""/>
    <n v="780.02"/>
    <n v="92.74"/>
    <n v="72339.05"/>
    <x v="7"/>
    <x v="1"/>
  </r>
  <r>
    <d v="2026-05-10T00:00:00"/>
    <s v="474"/>
    <s v="OD23N5072"/>
    <n v="1000"/>
    <n v="92.74"/>
    <n v="92740"/>
    <x v="34"/>
    <x v="1"/>
  </r>
  <r>
    <d v="2026-05-10T00:00:00"/>
    <s v="475"/>
    <s v="OD14T5423"/>
    <n v="42.22"/>
    <n v="92.74"/>
    <n v="3915.48"/>
    <x v="29"/>
    <x v="1"/>
  </r>
  <r>
    <d v="2026-05-10T00:00:00"/>
    <s v="476"/>
    <s v="OD15K2900"/>
    <n v="300"/>
    <n v="92.74"/>
    <n v="27822"/>
    <x v="38"/>
    <x v="1"/>
  </r>
  <r>
    <d v="2026-05-10T00:00:00"/>
    <s v="477"/>
    <s v="OD23A8210"/>
    <n v="43"/>
    <n v="92.74"/>
    <n v="3987.82"/>
    <x v="2"/>
    <x v="1"/>
  </r>
  <r>
    <d v="2026-05-10T00:00:00"/>
    <s v="478"/>
    <s v="OD23A8210"/>
    <n v="38"/>
    <n v="92.74"/>
    <n v="3524.12"/>
    <x v="2"/>
    <x v="1"/>
  </r>
  <r>
    <d v="2026-05-11T00:00:00"/>
    <s v="479"/>
    <s v="OD23R2557"/>
    <n v="600"/>
    <n v="92.74"/>
    <n v="55644"/>
    <x v="39"/>
    <x v="1"/>
  </r>
  <r>
    <d v="2026-05-11T00:00:00"/>
    <s v="480"/>
    <s v="OD15AF5510"/>
    <n v="3000"/>
    <n v="92.74"/>
    <n v="278220"/>
    <x v="24"/>
    <x v="1"/>
  </r>
  <r>
    <d v="2026-05-11T00:00:00"/>
    <s v="481"/>
    <s v="OD23L4439"/>
    <n v="4000"/>
    <n v="92.74"/>
    <n v="370960"/>
    <x v="0"/>
    <x v="1"/>
  </r>
  <r>
    <d v="2026-05-11T00:00:00"/>
    <s v="482"/>
    <s v="Transporting"/>
    <n v="1710.16"/>
    <n v="92.74"/>
    <n v="158600"/>
    <x v="8"/>
    <x v="1"/>
  </r>
  <r>
    <d v="2026-05-11T00:00:00"/>
    <s v="483"/>
    <s v="Consumer"/>
    <n v="70.78"/>
    <n v="92.74"/>
    <n v="6564.4"/>
    <x v="8"/>
    <x v="1"/>
  </r>
  <r>
    <d v="2026-05-11T00:00:00"/>
    <s v="484"/>
    <s v="OD23N5072"/>
    <n v="1000"/>
    <n v="92.74"/>
    <n v="92740"/>
    <x v="34"/>
    <x v="1"/>
  </r>
  <r>
    <d v="2026-05-11T00:00:00"/>
    <s v="485"/>
    <s v=""/>
    <n v="426.4"/>
    <n v="92.74"/>
    <n v="39544.33"/>
    <x v="7"/>
    <x v="1"/>
  </r>
  <r>
    <d v="2026-05-11T00:00:00"/>
    <s v="486"/>
    <s v="OD23G4251"/>
    <n v="52.35"/>
    <n v="92.74"/>
    <n v="4854.93"/>
    <x v="29"/>
    <x v="1"/>
  </r>
  <r>
    <d v="2026-05-11T00:00:00"/>
    <s v="487"/>
    <s v="OD23P9344"/>
    <n v="50"/>
    <n v="92.74"/>
    <n v="4637"/>
    <x v="4"/>
    <x v="1"/>
  </r>
  <r>
    <d v="2026-05-12T00:00:00"/>
    <s v="488"/>
    <s v="OR-16-8223"/>
    <n v="2000"/>
    <n v="92.74"/>
    <n v="185480"/>
    <x v="40"/>
    <x v="1"/>
  </r>
  <r>
    <d v="2026-05-12T00:00:00"/>
    <s v="489"/>
    <s v="OD15AF5510"/>
    <n v="3000.44"/>
    <n v="92.74"/>
    <n v="278260.81"/>
    <x v="10"/>
    <x v="1"/>
  </r>
  <r>
    <d v="2026-05-12T00:00:00"/>
    <s v="490"/>
    <s v="OD15AF5510"/>
    <n v="1000"/>
    <n v="92.74"/>
    <n v="92740"/>
    <x v="16"/>
    <x v="1"/>
  </r>
  <r>
    <d v="2026-05-12T00:00:00"/>
    <s v="491"/>
    <s v="Transporting"/>
    <n v="1478.33"/>
    <n v="92.74"/>
    <n v="137100"/>
    <x v="8"/>
    <x v="1"/>
  </r>
  <r>
    <d v="2026-05-12T00:00:00"/>
    <s v="492"/>
    <s v=""/>
    <n v="760.19"/>
    <n v="92.74"/>
    <n v="70500"/>
    <x v="21"/>
    <x v="1"/>
  </r>
  <r>
    <d v="2026-05-12T00:00:00"/>
    <s v="493"/>
    <s v=""/>
    <n v="280.66000000000003"/>
    <n v="92.74"/>
    <n v="26028.1"/>
    <x v="7"/>
    <x v="1"/>
  </r>
  <r>
    <d v="2026-05-12T00:00:00"/>
    <s v="494"/>
    <s v="JH01FS6302"/>
    <n v="26.38"/>
    <n v="92.74"/>
    <n v="2446.48"/>
    <x v="5"/>
    <x v="1"/>
  </r>
  <r>
    <d v="2026-05-12T00:00:00"/>
    <s v="495"/>
    <s v="OD33Y3567"/>
    <n v="42.63"/>
    <n v="92.74"/>
    <n v="3953.5"/>
    <x v="5"/>
    <x v="1"/>
  </r>
  <r>
    <d v="2026-05-12T00:00:00"/>
    <s v="496"/>
    <s v="OD15AA4091"/>
    <n v="50"/>
    <n v="92.74"/>
    <n v="4637"/>
    <x v="5"/>
    <x v="1"/>
  </r>
  <r>
    <d v="2026-05-12T00:00:00"/>
    <s v="497"/>
    <s v="OD15AA4091"/>
    <n v="34.57"/>
    <n v="92.74"/>
    <n v="3206.02"/>
    <x v="5"/>
    <x v="1"/>
  </r>
  <r>
    <d v="2026-05-12T00:00:00"/>
    <s v="498"/>
    <s v="NL01AJ8743"/>
    <n v="320.5"/>
    <n v="92.74"/>
    <n v="29723.17"/>
    <x v="25"/>
    <x v="1"/>
  </r>
  <r>
    <d v="2026-05-12T00:00:00"/>
    <s v="499"/>
    <s v="OD16K5817"/>
    <n v="120"/>
    <n v="92.74"/>
    <n v="11128.8"/>
    <x v="29"/>
    <x v="1"/>
  </r>
  <r>
    <d v="2026-05-12T00:00:00"/>
    <s v="500"/>
    <s v="OD14T5423"/>
    <n v="44.06"/>
    <n v="92.74"/>
    <n v="4086.12"/>
    <x v="29"/>
    <x v="1"/>
  </r>
  <r>
    <d v="2026-05-12T00:00:00"/>
    <s v="501"/>
    <s v="OD16K5817"/>
    <n v="75.48"/>
    <n v="92.74"/>
    <n v="7000"/>
    <x v="29"/>
    <x v="1"/>
  </r>
  <r>
    <d v="2026-05-12T00:00:00"/>
    <s v="502"/>
    <s v="OD23D3131"/>
    <n v="12.3"/>
    <n v="92.74"/>
    <n v="1140.7"/>
    <x v="4"/>
    <x v="1"/>
  </r>
  <r>
    <d v="2026-05-12T00:00:00"/>
    <s v="503"/>
    <s v="OD15P9503"/>
    <n v="20"/>
    <n v="92.74"/>
    <n v="1854.8"/>
    <x v="4"/>
    <x v="1"/>
  </r>
  <r>
    <d v="2026-05-12T00:00:00"/>
    <s v="504"/>
    <s v="OD15AF5510"/>
    <n v="45.58"/>
    <n v="92.74"/>
    <n v="4227.08"/>
    <x v="3"/>
    <x v="1"/>
  </r>
  <r>
    <d v="2026-05-12T00:00:00"/>
    <s v="505"/>
    <s v="OD23U4012"/>
    <n v="160"/>
    <n v="92.74"/>
    <n v="14838.4"/>
    <x v="13"/>
    <x v="1"/>
  </r>
  <r>
    <d v="2026-05-13T00:00:00"/>
    <s v="506"/>
    <s v="OD15AF5510"/>
    <n v="3000"/>
    <n v="92.74"/>
    <n v="278220"/>
    <x v="10"/>
    <x v="1"/>
  </r>
  <r>
    <d v="2026-05-13T00:00:00"/>
    <s v="507"/>
    <s v="Transporting"/>
    <n v="634.03"/>
    <n v="92.74"/>
    <n v="58800"/>
    <x v="8"/>
    <x v="1"/>
  </r>
  <r>
    <d v="2026-05-13T00:00:00"/>
    <s v="508"/>
    <s v="Consumer"/>
    <n v="250"/>
    <n v="92.74"/>
    <n v="23185"/>
    <x v="8"/>
    <x v="1"/>
  </r>
  <r>
    <d v="2026-05-13T00:00:00"/>
    <s v="509"/>
    <s v=""/>
    <n v="392.66"/>
    <n v="92.74"/>
    <n v="36415.660000000003"/>
    <x v="7"/>
    <x v="1"/>
  </r>
  <r>
    <d v="2026-05-13T00:00:00"/>
    <s v="510"/>
    <s v=""/>
    <n v="75.48"/>
    <n v="92.74"/>
    <n v="7000"/>
    <x v="21"/>
    <x v="1"/>
  </r>
  <r>
    <d v="2026-05-13T00:00:00"/>
    <s v="511"/>
    <s v="OD15K2900"/>
    <n v="100"/>
    <n v="92.74"/>
    <n v="9274"/>
    <x v="38"/>
    <x v="1"/>
  </r>
  <r>
    <d v="2026-05-13T00:00:00"/>
    <s v="512"/>
    <s v="OD15Y2900"/>
    <n v="100"/>
    <n v="92.74"/>
    <n v="9274"/>
    <x v="38"/>
    <x v="1"/>
  </r>
  <r>
    <d v="2026-05-13T00:00:00"/>
    <s v="513"/>
    <s v="OD15U5910"/>
    <n v="104"/>
    <n v="92.74"/>
    <n v="9644.9599999999991"/>
    <x v="5"/>
    <x v="1"/>
  </r>
  <r>
    <d v="2026-05-13T00:00:00"/>
    <s v="514"/>
    <s v="OD15H8328"/>
    <n v="7"/>
    <n v="92.74"/>
    <n v="649.17999999999995"/>
    <x v="4"/>
    <x v="1"/>
  </r>
  <r>
    <d v="2026-05-13T00:00:00"/>
    <s v="515"/>
    <s v=""/>
    <n v="20"/>
    <n v="92.74"/>
    <n v="1854.8"/>
    <x v="26"/>
    <x v="1"/>
  </r>
  <r>
    <d v="2026-05-14T00:00:00"/>
    <s v="516"/>
    <s v="OD23N4311"/>
    <n v="600"/>
    <n v="92.74"/>
    <n v="55644"/>
    <x v="33"/>
    <x v="1"/>
  </r>
  <r>
    <d v="2026-05-14T00:00:00"/>
    <s v="517"/>
    <s v="CG04MN1172"/>
    <n v="1000"/>
    <n v="92.74"/>
    <n v="92740"/>
    <x v="28"/>
    <x v="1"/>
  </r>
  <r>
    <d v="2026-05-14T00:00:00"/>
    <s v="518"/>
    <s v="OD23U4012"/>
    <n v="160"/>
    <n v="92.74"/>
    <n v="14838.4"/>
    <x v="13"/>
    <x v="1"/>
  </r>
  <r>
    <d v="2026-05-14T00:00:00"/>
    <s v="519"/>
    <s v="OD14Z1530"/>
    <n v="240"/>
    <n v="92.74"/>
    <n v="22257.599999999999"/>
    <x v="38"/>
    <x v="1"/>
  </r>
  <r>
    <d v="2026-05-14T00:00:00"/>
    <s v="520"/>
    <s v="GREDAR"/>
    <n v="75.81"/>
    <n v="92.74"/>
    <n v="7030.61"/>
    <x v="38"/>
    <x v="1"/>
  </r>
  <r>
    <d v="2026-05-14T00:00:00"/>
    <s v="521"/>
    <s v="OD15AA5823"/>
    <n v="229"/>
    <n v="92.74"/>
    <n v="21237.46"/>
    <x v="38"/>
    <x v="1"/>
  </r>
  <r>
    <d v="2026-05-14T00:00:00"/>
    <s v="522"/>
    <s v="Transporting"/>
    <n v="263.10000000000002"/>
    <n v="92.74"/>
    <n v="24400"/>
    <x v="8"/>
    <x v="1"/>
  </r>
  <r>
    <d v="2026-05-14T00:00:00"/>
    <s v="523"/>
    <s v="Consumer"/>
    <n v="28"/>
    <n v="92.74"/>
    <n v="2596.7199999999998"/>
    <x v="8"/>
    <x v="1"/>
  </r>
  <r>
    <d v="2026-05-14T00:00:00"/>
    <s v="524"/>
    <s v=""/>
    <n v="150.96"/>
    <n v="92.74"/>
    <n v="14000"/>
    <x v="21"/>
    <x v="1"/>
  </r>
  <r>
    <d v="2026-05-14T00:00:00"/>
    <s v="525"/>
    <s v=""/>
    <n v="399.76"/>
    <n v="92.74"/>
    <n v="37074.080000000002"/>
    <x v="7"/>
    <x v="1"/>
  </r>
  <r>
    <d v="2026-05-14T00:00:00"/>
    <s v="526"/>
    <s v="OD15AF5510"/>
    <n v="1000"/>
    <n v="92.74"/>
    <n v="92740"/>
    <x v="41"/>
    <x v="1"/>
  </r>
  <r>
    <d v="2026-05-14T00:00:00"/>
    <s v="527"/>
    <s v=""/>
    <n v="1000"/>
    <n v="92.74"/>
    <n v="92740"/>
    <x v="42"/>
    <x v="1"/>
  </r>
  <r>
    <d v="2026-05-15T00:00:00"/>
    <s v="528"/>
    <s v="OD23E7045"/>
    <n v="2000"/>
    <n v="95.93"/>
    <n v="191860"/>
    <x v="43"/>
    <x v="1"/>
  </r>
  <r>
    <d v="2026-05-15T00:00:00"/>
    <s v="529"/>
    <s v="OD15W2782"/>
    <n v="500"/>
    <n v="95.93"/>
    <n v="47965"/>
    <x v="44"/>
    <x v="1"/>
  </r>
  <r>
    <d v="2026-05-15T00:00:00"/>
    <s v="530"/>
    <s v="OD34V5966"/>
    <n v="200"/>
    <n v="95.93"/>
    <n v="19186"/>
    <x v="45"/>
    <x v="1"/>
  </r>
  <r>
    <d v="2026-05-15T00:00:00"/>
    <s v="531"/>
    <s v="OD23L4439"/>
    <n v="3000"/>
    <n v="95.93"/>
    <n v="287790"/>
    <x v="0"/>
    <x v="1"/>
  </r>
  <r>
    <d v="2026-05-15T00:00:00"/>
    <s v="532"/>
    <s v="OD23N5072"/>
    <n v="500"/>
    <n v="95.93"/>
    <n v="47965"/>
    <x v="34"/>
    <x v="1"/>
  </r>
  <r>
    <d v="2026-05-15T00:00:00"/>
    <s v="533"/>
    <s v="OD15AF5510"/>
    <n v="1499.99"/>
    <n v="95.93"/>
    <n v="143894.04"/>
    <x v="16"/>
    <x v="1"/>
  </r>
  <r>
    <d v="2026-05-15T00:00:00"/>
    <s v="534"/>
    <s v="Transporting"/>
    <n v="2564.37"/>
    <n v="95.93"/>
    <n v="246000"/>
    <x v="8"/>
    <x v="1"/>
  </r>
  <r>
    <d v="2026-05-15T00:00:00"/>
    <s v="535"/>
    <s v=""/>
    <n v="32.42"/>
    <n v="95.93"/>
    <n v="3110.05"/>
    <x v="7"/>
    <x v="1"/>
  </r>
  <r>
    <d v="2026-05-15T00:00:00"/>
    <s v="536"/>
    <s v="OR15Q0355"/>
    <n v="50"/>
    <n v="95.93"/>
    <n v="4796.5"/>
    <x v="38"/>
    <x v="1"/>
  </r>
  <r>
    <d v="2026-05-15T00:00:00"/>
    <s v="537"/>
    <s v="OD15K2900"/>
    <n v="100"/>
    <n v="95.93"/>
    <n v="9593"/>
    <x v="38"/>
    <x v="1"/>
  </r>
  <r>
    <d v="2026-05-15T00:00:00"/>
    <s v="538"/>
    <s v="OD16 8223"/>
    <n v="2000"/>
    <n v="95.93"/>
    <n v="191860"/>
    <x v="30"/>
    <x v="1"/>
  </r>
  <r>
    <d v="2026-05-16T00:00:00"/>
    <s v="539"/>
    <s v="RJ19GE7997"/>
    <n v="120"/>
    <n v="95.93"/>
    <n v="11511.6"/>
    <x v="36"/>
    <x v="1"/>
  </r>
  <r>
    <d v="2026-05-17T00:00:00"/>
    <s v="540"/>
    <s v="OD15AF5510"/>
    <n v="3000"/>
    <n v="95.93"/>
    <n v="287790"/>
    <x v="24"/>
    <x v="1"/>
  </r>
  <r>
    <d v="2026-05-17T00:00:00"/>
    <s v="541"/>
    <s v="CG04MN1172"/>
    <n v="1500"/>
    <n v="95.93"/>
    <n v="143895"/>
    <x v="28"/>
    <x v="1"/>
  </r>
  <r>
    <d v="2026-05-17T00:00:00"/>
    <s v="542"/>
    <s v="OD15W2782"/>
    <n v="500"/>
    <n v="95.93"/>
    <n v="47965"/>
    <x v="44"/>
    <x v="1"/>
  </r>
  <r>
    <d v="2026-05-17T00:00:00"/>
    <s v="543"/>
    <s v="OD15AC0355"/>
    <n v="500"/>
    <n v="95.93"/>
    <n v="47965"/>
    <x v="46"/>
    <x v="1"/>
  </r>
  <r>
    <d v="2026-05-17T00:00:00"/>
    <s v="544"/>
    <s v="OD23L7437"/>
    <n v="1000"/>
    <n v="95.93"/>
    <n v="95930"/>
    <x v="30"/>
    <x v="1"/>
  </r>
  <r>
    <d v="2026-05-17T00:00:00"/>
    <s v="545"/>
    <s v="Transporting"/>
    <n v="1642.86"/>
    <n v="95.93"/>
    <n v="157600"/>
    <x v="8"/>
    <x v="1"/>
  </r>
  <r>
    <d v="2026-05-17T00:00:00"/>
    <s v="546"/>
    <s v=""/>
    <n v="452.41"/>
    <n v="95.93"/>
    <n v="43400"/>
    <x v="21"/>
    <x v="1"/>
  </r>
  <r>
    <d v="2026-05-17T00:00:00"/>
    <s v="547"/>
    <s v=""/>
    <n v="200.01"/>
    <n v="95.93"/>
    <n v="19186.95"/>
    <x v="47"/>
    <x v="1"/>
  </r>
  <r>
    <d v="2026-05-17T00:00:00"/>
    <s v="548"/>
    <s v=""/>
    <n v="44.3"/>
    <n v="95.93"/>
    <n v="4249.96"/>
    <x v="7"/>
    <x v="1"/>
  </r>
  <r>
    <d v="2026-05-17T00:00:00"/>
    <s v="549"/>
    <s v="OD05AN7688"/>
    <n v="250"/>
    <n v="95.93"/>
    <n v="23982.5"/>
    <x v="10"/>
    <x v="1"/>
  </r>
  <r>
    <d v="2026-05-17T00:00:00"/>
    <s v="550"/>
    <s v="OD15Z1430"/>
    <n v="200"/>
    <n v="95.93"/>
    <n v="19186"/>
    <x v="38"/>
    <x v="1"/>
  </r>
  <r>
    <d v="2026-05-17T00:00:00"/>
    <s v="551"/>
    <s v="JH01FS6302"/>
    <n v="45.52"/>
    <n v="95.93"/>
    <n v="4366.7299999999996"/>
    <x v="5"/>
    <x v="1"/>
  </r>
  <r>
    <d v="2026-05-17T00:00:00"/>
    <s v="552"/>
    <s v="WB59D0791"/>
    <n v="200"/>
    <n v="95.93"/>
    <n v="19186"/>
    <x v="25"/>
    <x v="1"/>
  </r>
  <r>
    <d v="2026-05-17T00:00:00"/>
    <s v="553"/>
    <s v="OD14T5423"/>
    <n v="42.14"/>
    <n v="95.93"/>
    <n v="4042.49"/>
    <x v="29"/>
    <x v="1"/>
  </r>
  <r>
    <d v="2026-05-17T00:00:00"/>
    <s v="554"/>
    <s v="OD23G4251"/>
    <n v="47"/>
    <n v="95.93"/>
    <n v="4508.71"/>
    <x v="29"/>
    <x v="1"/>
  </r>
  <r>
    <d v="2026-05-19T00:00:00"/>
    <s v="555"/>
    <s v="OD23L3142"/>
    <n v="500"/>
    <n v="96.9"/>
    <n v="48450"/>
    <x v="28"/>
    <x v="1"/>
  </r>
  <r>
    <d v="2026-05-19T00:00:00"/>
    <s v="556"/>
    <s v="OD15AA5823"/>
    <n v="300"/>
    <n v="96.9"/>
    <n v="29070"/>
    <x v="38"/>
    <x v="1"/>
  </r>
  <r>
    <d v="2026-05-19T00:00:00"/>
    <s v="557"/>
    <s v="OD15AA4091"/>
    <n v="85"/>
    <n v="96.9"/>
    <n v="8236.5"/>
    <x v="5"/>
    <x v="1"/>
  </r>
  <r>
    <d v="2026-05-19T00:00:00"/>
    <s v="558"/>
    <s v="OD15AA4091"/>
    <n v="49.15"/>
    <n v="96.9"/>
    <n v="4762.63"/>
    <x v="5"/>
    <x v="1"/>
  </r>
  <r>
    <d v="2026-05-19T00:00:00"/>
    <s v="559"/>
    <s v="OD15U5910"/>
    <n v="101.15"/>
    <n v="96.9"/>
    <n v="9801.43"/>
    <x v="5"/>
    <x v="1"/>
  </r>
  <r>
    <d v="2026-05-19T00:00:00"/>
    <s v="560"/>
    <s v="JH01FS6302"/>
    <n v="46.36"/>
    <n v="96.9"/>
    <n v="4492.28"/>
    <x v="5"/>
    <x v="1"/>
  </r>
  <r>
    <d v="2026-05-19T00:00:00"/>
    <s v="561"/>
    <s v="Transporting"/>
    <n v="1259.03"/>
    <n v="96.9"/>
    <n v="122000"/>
    <x v="8"/>
    <x v="1"/>
  </r>
  <r>
    <d v="2026-05-19T00:00:00"/>
    <s v="562"/>
    <s v="OD15AF5510"/>
    <n v="1000.06"/>
    <n v="96.9"/>
    <n v="96905.81"/>
    <x v="41"/>
    <x v="1"/>
  </r>
  <r>
    <d v="2026-05-19T00:00:00"/>
    <s v="563"/>
    <s v="OD23A8210"/>
    <n v="45.92"/>
    <n v="96.9"/>
    <n v="4449.6400000000003"/>
    <x v="2"/>
    <x v="1"/>
  </r>
  <r>
    <d v="2026-05-19T00:00:00"/>
    <s v="564"/>
    <s v="OD23N5072"/>
    <n v="400"/>
    <n v="96.9"/>
    <n v="38760"/>
    <x v="34"/>
    <x v="1"/>
  </r>
  <r>
    <d v="2026-05-19T00:00:00"/>
    <s v="565"/>
    <s v=""/>
    <n v="103.2"/>
    <n v="96.9"/>
    <n v="10000"/>
    <x v="7"/>
    <x v="1"/>
  </r>
  <r>
    <d v="2026-05-19T00:00:00"/>
    <s v="566"/>
    <s v="OD23T0726"/>
    <n v="120"/>
    <n v="96.9"/>
    <n v="11628"/>
    <x v="36"/>
    <x v="1"/>
  </r>
  <r>
    <d v="2026-05-20T00:00:00"/>
    <s v="567"/>
    <s v="OR15R5510"/>
    <n v="4000"/>
    <n v="96.9"/>
    <n v="387600"/>
    <x v="24"/>
    <x v="1"/>
  </r>
  <r>
    <d v="2026-05-20T00:00:00"/>
    <s v="568"/>
    <s v="OD23N4311"/>
    <n v="500"/>
    <n v="96.9"/>
    <n v="48450"/>
    <x v="17"/>
    <x v="1"/>
  </r>
  <r>
    <d v="2026-05-20T00:00:00"/>
    <s v="569"/>
    <s v="OD23S4194"/>
    <n v="500"/>
    <n v="96.9"/>
    <n v="48450"/>
    <x v="35"/>
    <x v="1"/>
  </r>
  <r>
    <d v="2026-05-20T00:00:00"/>
    <s v="570"/>
    <s v="RJ37GA7801"/>
    <n v="984.99"/>
    <n v="96.9"/>
    <n v="95445"/>
    <x v="28"/>
    <x v="1"/>
  </r>
  <r>
    <d v="2026-05-20T00:00:00"/>
    <s v="571"/>
    <s v="OD15AC0355"/>
    <n v="200"/>
    <n v="96.9"/>
    <n v="19380"/>
    <x v="46"/>
    <x v="1"/>
  </r>
  <r>
    <d v="2026-05-20T00:00:00"/>
    <s v="572"/>
    <s v="OD15AA5823"/>
    <n v="300"/>
    <n v="96.9"/>
    <n v="29070"/>
    <x v="38"/>
    <x v="1"/>
  </r>
  <r>
    <d v="2026-05-20T00:00:00"/>
    <s v="573"/>
    <s v="OD16J8242"/>
    <n v="51.6"/>
    <n v="96.9"/>
    <n v="5000"/>
    <x v="29"/>
    <x v="1"/>
  </r>
  <r>
    <d v="2026-05-20T00:00:00"/>
    <s v="574"/>
    <s v="OD23T8210"/>
    <n v="50"/>
    <n v="96.9"/>
    <n v="4845"/>
    <x v="48"/>
    <x v="1"/>
  </r>
  <r>
    <d v="2026-05-20T00:00:00"/>
    <s v="575"/>
    <s v=""/>
    <n v="20"/>
    <n v="96.9"/>
    <n v="1938"/>
    <x v="26"/>
    <x v="1"/>
  </r>
  <r>
    <d v="2026-05-20T00:00:00"/>
    <s v="576"/>
    <s v="RJ19GJ6869"/>
    <n v="200"/>
    <n v="96.9"/>
    <n v="19380"/>
    <x v="25"/>
    <x v="1"/>
  </r>
  <r>
    <d v="2026-05-20T00:00:00"/>
    <s v="577"/>
    <s v="OD15AF5510"/>
    <n v="3000.44"/>
    <n v="96.9"/>
    <n v="290742.64"/>
    <x v="10"/>
    <x v="1"/>
  </r>
  <r>
    <d v="2026-05-20T00:00:00"/>
    <s v="578"/>
    <s v="Transporting"/>
    <n v="3629.76"/>
    <n v="96.9"/>
    <n v="351724"/>
    <x v="8"/>
    <x v="1"/>
  </r>
  <r>
    <d v="2026-05-20T00:00:00"/>
    <s v="579"/>
    <s v=""/>
    <n v="453.2"/>
    <n v="96.9"/>
    <n v="43915"/>
    <x v="7"/>
    <x v="1"/>
  </r>
  <r>
    <d v="2026-05-21T00:00:00"/>
    <s v="580"/>
    <s v="OD15AF5510"/>
    <n v="3000"/>
    <n v="96.9"/>
    <n v="290700"/>
    <x v="0"/>
    <x v="1"/>
  </r>
  <r>
    <d v="2026-05-21T00:00:00"/>
    <s v="581"/>
    <s v="OD23E7045"/>
    <n v="1000"/>
    <n v="96.9"/>
    <n v="96900"/>
    <x v="43"/>
    <x v="1"/>
  </r>
  <r>
    <d v="2026-05-21T00:00:00"/>
    <s v="582"/>
    <s v="OD05AN7688"/>
    <n v="300"/>
    <n v="96.9"/>
    <n v="29070"/>
    <x v="10"/>
    <x v="1"/>
  </r>
  <r>
    <d v="2026-05-21T00:00:00"/>
    <s v="583"/>
    <s v="OD23D3131"/>
    <n v="31.2"/>
    <n v="96.9"/>
    <n v="3023.28"/>
    <x v="4"/>
    <x v="1"/>
  </r>
  <r>
    <d v="2026-05-21T00:00:00"/>
    <s v="584"/>
    <s v="OD16J8226"/>
    <n v="72.239999999999995"/>
    <n v="96.9"/>
    <n v="7000"/>
    <x v="29"/>
    <x v="1"/>
  </r>
  <r>
    <d v="2026-05-21T00:00:00"/>
    <s v="585"/>
    <s v="Transporting"/>
    <n v="57.79"/>
    <n v="96.9"/>
    <n v="5600"/>
    <x v="8"/>
    <x v="1"/>
  </r>
  <r>
    <d v="2026-05-21T00:00:00"/>
    <s v="586"/>
    <s v=""/>
    <n v="22.71"/>
    <n v="96.9"/>
    <n v="2200.59"/>
    <x v="7"/>
    <x v="1"/>
  </r>
  <r>
    <d v="2026-05-21T00:00:00"/>
    <s v="587"/>
    <s v="OD15AF5510"/>
    <n v="1500"/>
    <n v="96.9"/>
    <n v="145350"/>
    <x v="16"/>
    <x v="1"/>
  </r>
  <r>
    <d v="2026-05-22T00:00:00"/>
    <s v="588"/>
    <s v="OD15AF5510"/>
    <n v="3000"/>
    <n v="96.9"/>
    <n v="290700"/>
    <x v="49"/>
    <x v="1"/>
  </r>
  <r>
    <d v="2026-05-22T00:00:00"/>
    <s v="589"/>
    <s v="OD23L4439"/>
    <n v="3000"/>
    <n v="96.9"/>
    <n v="290700"/>
    <x v="0"/>
    <x v="1"/>
  </r>
  <r>
    <d v="2026-05-22T00:00:00"/>
    <s v="590"/>
    <s v="Transporting"/>
    <n v="1463.36"/>
    <n v="96.9"/>
    <n v="141800"/>
    <x v="8"/>
    <x v="1"/>
  </r>
  <r>
    <d v="2026-05-22T00:00:00"/>
    <s v="591"/>
    <s v="Consumer"/>
    <n v="20.64"/>
    <n v="96.9"/>
    <n v="2000"/>
    <x v="8"/>
    <x v="1"/>
  </r>
  <r>
    <d v="2026-05-22T00:00:00"/>
    <s v="592"/>
    <s v=""/>
    <n v="309.60000000000002"/>
    <n v="96.9"/>
    <n v="30000"/>
    <x v="7"/>
    <x v="1"/>
  </r>
  <r>
    <d v="2026-05-22T00:00:00"/>
    <s v="593"/>
    <s v="OD23T8010"/>
    <n v="120"/>
    <n v="96.9"/>
    <n v="11628"/>
    <x v="48"/>
    <x v="1"/>
  </r>
  <r>
    <d v="2026-05-22T00:00:00"/>
    <s v="594"/>
    <s v="CG13AG8329"/>
    <n v="333"/>
    <n v="96.9"/>
    <n v="32267.7"/>
    <x v="36"/>
    <x v="1"/>
  </r>
  <r>
    <d v="2026-05-22T00:00:00"/>
    <s v="595"/>
    <s v="CG13AG8991"/>
    <n v="333"/>
    <n v="96.9"/>
    <n v="32267.7"/>
    <x v="36"/>
    <x v="1"/>
  </r>
  <r>
    <d v="2026-05-22T00:00:00"/>
    <s v="596"/>
    <s v="CG13AG8987"/>
    <n v="334"/>
    <n v="96.9"/>
    <n v="32364.6"/>
    <x v="36"/>
    <x v="1"/>
  </r>
  <r>
    <d v="2026-05-22T00:00:00"/>
    <s v="597"/>
    <s v="OD15K2690"/>
    <n v="325.45999999999998"/>
    <n v="96.9"/>
    <n v="31537.07"/>
    <x v="38"/>
    <x v="1"/>
  </r>
  <r>
    <d v="2026-05-22T00:00:00"/>
    <s v="598"/>
    <s v="GRADER"/>
    <n v="74.540000000000006"/>
    <n v="96.9"/>
    <n v="7222.92"/>
    <x v="38"/>
    <x v="1"/>
  </r>
  <r>
    <d v="2026-05-22T00:00:00"/>
    <s v="599"/>
    <s v="OD15AA4091"/>
    <n v="35"/>
    <n v="96.9"/>
    <n v="3391.5"/>
    <x v="5"/>
    <x v="1"/>
  </r>
  <r>
    <d v="2026-05-22T00:00:00"/>
    <s v="600"/>
    <s v="OD15AA4091"/>
    <n v="35.090000000000003"/>
    <n v="96.9"/>
    <n v="3400.22"/>
    <x v="5"/>
    <x v="1"/>
  </r>
  <r>
    <d v="2026-05-22T00:00:00"/>
    <s v="601"/>
    <s v="OD14T5423"/>
    <n v="47.2"/>
    <n v="96.9"/>
    <n v="4573.68"/>
    <x v="29"/>
    <x v="1"/>
  </r>
  <r>
    <d v="2026-05-22T00:00:00"/>
    <s v="602"/>
    <s v="OD23G4251"/>
    <n v="55.97"/>
    <n v="96.9"/>
    <n v="5423.49"/>
    <x v="29"/>
    <x v="1"/>
  </r>
  <r>
    <d v="2026-05-22T00:00:00"/>
    <s v="603"/>
    <s v="OD05AN7688"/>
    <n v="300"/>
    <n v="96.9"/>
    <n v="29070"/>
    <x v="10"/>
    <x v="1"/>
  </r>
  <r>
    <d v="2026-05-22T00:00:00"/>
    <s v="604"/>
    <s v="NL01AJ8743"/>
    <n v="300"/>
    <n v="96.9"/>
    <n v="29070"/>
    <x v="25"/>
    <x v="1"/>
  </r>
  <r>
    <d v="2026-05-23T00:00:00"/>
    <s v="605"/>
    <s v="OD15AF5510"/>
    <n v="3000"/>
    <n v="97.87"/>
    <n v="293610"/>
    <x v="24"/>
    <x v="1"/>
  </r>
  <r>
    <d v="2026-05-23T00:00:00"/>
    <s v="606"/>
    <s v="OD15D7494"/>
    <n v="500"/>
    <n v="97.87"/>
    <n v="48935"/>
    <x v="50"/>
    <x v="1"/>
  </r>
  <r>
    <d v="2026-05-23T00:00:00"/>
    <s v="607"/>
    <s v="OD15AF5510"/>
    <n v="3000.76"/>
    <n v="97.87"/>
    <n v="293684.38"/>
    <x v="10"/>
    <x v="1"/>
  </r>
  <r>
    <d v="2026-05-23T00:00:00"/>
    <s v="608"/>
    <s v="OD15AF5510"/>
    <n v="1500"/>
    <n v="97.87"/>
    <n v="146805"/>
    <x v="16"/>
    <x v="1"/>
  </r>
  <r>
    <d v="2026-05-23T00:00:00"/>
    <s v="609"/>
    <s v="RJ37GA7801"/>
    <n v="600"/>
    <n v="97.87"/>
    <n v="58722"/>
    <x v="28"/>
    <x v="1"/>
  </r>
  <r>
    <d v="2026-05-23T00:00:00"/>
    <s v="610"/>
    <s v="Consumer"/>
    <n v="55.54"/>
    <n v="97.87"/>
    <n v="5436.1"/>
    <x v="8"/>
    <x v="1"/>
  </r>
  <r>
    <d v="2026-05-23T00:00:00"/>
    <s v="611"/>
    <s v="Transporting"/>
    <n v="3892.92"/>
    <n v="97.87"/>
    <n v="381000"/>
    <x v="8"/>
    <x v="1"/>
  </r>
  <r>
    <d v="2026-05-23T00:00:00"/>
    <s v="612"/>
    <s v=""/>
    <n v="469.62"/>
    <n v="97.87"/>
    <n v="45961.4"/>
    <x v="7"/>
    <x v="1"/>
  </r>
  <r>
    <d v="2026-05-23T00:00:00"/>
    <s v="613"/>
    <s v="OD15AA5823"/>
    <n v="224.79"/>
    <n v="97.87"/>
    <n v="22000.19"/>
    <x v="38"/>
    <x v="1"/>
  </r>
  <r>
    <d v="2026-05-23T00:00:00"/>
    <s v="614"/>
    <s v="OD23D3131"/>
    <n v="20"/>
    <n v="97.87"/>
    <n v="1957.4"/>
    <x v="4"/>
    <x v="1"/>
  </r>
  <r>
    <d v="2026-05-23T00:00:00"/>
    <s v="615"/>
    <s v="OD23T3110"/>
    <n v="120"/>
    <n v="97.87"/>
    <n v="11744.4"/>
    <x v="48"/>
    <x v="1"/>
  </r>
  <r>
    <d v="2026-05-23T00:00:00"/>
    <s v="616"/>
    <s v="RJ02GC7411"/>
    <n v="204.35"/>
    <n v="97.87"/>
    <n v="20000"/>
    <x v="25"/>
    <x v="1"/>
  </r>
  <r>
    <d v="2026-05-23T00:00:00"/>
    <s v="617"/>
    <s v="JH01FS6302"/>
    <n v="25.74"/>
    <n v="97.87"/>
    <n v="2519.17"/>
    <x v="5"/>
    <x v="1"/>
  </r>
  <r>
    <d v="2026-05-23T00:00:00"/>
    <s v="618"/>
    <s v="OD15U5910"/>
    <n v="102.91"/>
    <n v="97.87"/>
    <n v="10071.799999999999"/>
    <x v="5"/>
    <x v="1"/>
  </r>
  <r>
    <d v="2026-05-23T00:00:00"/>
    <s v="619"/>
    <s v="OD16K1092"/>
    <n v="51.09"/>
    <n v="97.87"/>
    <n v="5000"/>
    <x v="29"/>
    <x v="1"/>
  </r>
  <r>
    <d v="2026-05-23T00:00:00"/>
    <s v="620"/>
    <s v="OD16K5862"/>
    <n v="51.09"/>
    <n v="97.87"/>
    <n v="5000"/>
    <x v="29"/>
    <x v="1"/>
  </r>
  <r>
    <d v="2026-05-23T00:00:00"/>
    <s v="621"/>
    <s v="OD16K0936"/>
    <n v="51.09"/>
    <n v="97.87"/>
    <n v="5000"/>
    <x v="29"/>
    <x v="1"/>
  </r>
  <r>
    <d v="2026-05-23T00:00:00"/>
    <s v="622"/>
    <s v="OD16K6067"/>
    <n v="51.09"/>
    <n v="97.87"/>
    <n v="5000"/>
    <x v="29"/>
    <x v="1"/>
  </r>
  <r>
    <d v="2026-05-23T00:00:00"/>
    <s v="623"/>
    <s v="OD16K1023"/>
    <n v="51.09"/>
    <n v="97.87"/>
    <n v="5000"/>
    <x v="29"/>
    <x v="1"/>
  </r>
  <r>
    <d v="2026-05-24T00:00:00"/>
    <s v="624"/>
    <s v="Transporting"/>
    <n v="2979.46"/>
    <n v="97.87"/>
    <n v="291600"/>
    <x v="8"/>
    <x v="1"/>
  </r>
  <r>
    <d v="2026-05-24T00:00:00"/>
    <s v="625"/>
    <s v="OD15AF5510"/>
    <n v="1000"/>
    <n v="97.87"/>
    <n v="97870"/>
    <x v="41"/>
    <x v="1"/>
  </r>
  <r>
    <d v="2026-05-24T00:00:00"/>
    <s v="626"/>
    <s v=""/>
    <n v="100"/>
    <n v="97.87"/>
    <n v="9787"/>
    <x v="7"/>
    <x v="1"/>
  </r>
  <r>
    <d v="2026-05-24T00:00:00"/>
    <s v="627"/>
    <s v="OD23H5292"/>
    <n v="200"/>
    <n v="97.87"/>
    <n v="19574"/>
    <x v="25"/>
    <x v="1"/>
  </r>
  <r>
    <d v="2026-05-24T00:00:00"/>
    <s v="628"/>
    <s v="RJ19GF5027"/>
    <n v="125"/>
    <n v="97.87"/>
    <n v="12234"/>
    <x v="36"/>
    <x v="1"/>
  </r>
  <r>
    <d v="2026-05-25T00:00:00"/>
    <s v="629"/>
    <s v="OD15AF5510"/>
    <n v="3000"/>
    <n v="100.74"/>
    <n v="302220"/>
    <x v="24"/>
    <x v="1"/>
  </r>
  <r>
    <d v="2026-05-25T00:00:00"/>
    <s v="630"/>
    <s v="OD23D9353"/>
    <n v="600"/>
    <n v="100.74"/>
    <n v="60444"/>
    <x v="12"/>
    <x v="1"/>
  </r>
  <r>
    <d v="2026-05-25T00:00:00"/>
    <s v="631"/>
    <s v="OD23L4439"/>
    <n v="3000"/>
    <n v="100.74"/>
    <n v="302220"/>
    <x v="0"/>
    <x v="1"/>
  </r>
  <r>
    <d v="2026-05-25T00:00:00"/>
    <s v="632"/>
    <s v="OD15AF5510"/>
    <n v="2999.83"/>
    <n v="100.74"/>
    <n v="302202.87"/>
    <x v="10"/>
    <x v="1"/>
  </r>
  <r>
    <d v="2026-05-25T00:00:00"/>
    <s v="633"/>
    <s v="Transporting"/>
    <n v="2062.7399999999998"/>
    <n v="100.74"/>
    <n v="207800"/>
    <x v="8"/>
    <x v="1"/>
  </r>
  <r>
    <d v="2026-05-25T00:00:00"/>
    <s v="634"/>
    <s v=""/>
    <n v="198.53"/>
    <n v="100.74"/>
    <n v="20000"/>
    <x v="7"/>
    <x v="1"/>
  </r>
  <r>
    <d v="2026-05-25T00:00:00"/>
    <s v="635"/>
    <s v="AJAX"/>
    <n v="70.83"/>
    <n v="100.74"/>
    <n v="7135.41"/>
    <x v="38"/>
    <x v="1"/>
  </r>
  <r>
    <d v="2026-05-25T00:00:00"/>
    <s v="636"/>
    <s v="OD16K2690"/>
    <n v="200"/>
    <n v="100.74"/>
    <n v="20148"/>
    <x v="38"/>
    <x v="1"/>
  </r>
  <r>
    <d v="2026-05-25T00:00:00"/>
    <s v="637"/>
    <s v="OD15AA4091"/>
    <n v="46.03"/>
    <n v="100.74"/>
    <n v="4637.0600000000004"/>
    <x v="5"/>
    <x v="1"/>
  </r>
  <r>
    <d v="2026-05-25T00:00:00"/>
    <s v="638"/>
    <s v="OD15AF5510"/>
    <n v="45"/>
    <n v="100.74"/>
    <n v="4533.3"/>
    <x v="3"/>
    <x v="1"/>
  </r>
  <r>
    <d v="2026-05-26T00:00:00"/>
    <s v="639"/>
    <s v="OD15AF5510"/>
    <n v="3000"/>
    <n v="100.74"/>
    <n v="302220"/>
    <x v="24"/>
    <x v="1"/>
  </r>
  <r>
    <d v="2026-05-26T00:00:00"/>
    <s v="640"/>
    <s v="OD15D7494"/>
    <n v="1500"/>
    <n v="100.74"/>
    <n v="151110"/>
    <x v="50"/>
    <x v="1"/>
  </r>
  <r>
    <d v="2026-05-26T00:00:00"/>
    <s v="641"/>
    <s v="OD15AF5510"/>
    <n v="1498.21"/>
    <n v="100.74"/>
    <n v="150929.68"/>
    <x v="16"/>
    <x v="1"/>
  </r>
  <r>
    <d v="2026-05-26T00:00:00"/>
    <s v="642"/>
    <s v="Transporting"/>
    <n v="1691.48"/>
    <n v="100.74"/>
    <n v="170400"/>
    <x v="8"/>
    <x v="1"/>
  </r>
  <r>
    <d v="2026-05-26T00:00:00"/>
    <s v="643"/>
    <s v="Consumer"/>
    <n v="19.850000000000001"/>
    <n v="100.74"/>
    <n v="2000"/>
    <x v="8"/>
    <x v="1"/>
  </r>
  <r>
    <d v="2026-05-26T00:00:00"/>
    <s v="644"/>
    <s v=""/>
    <n v="34.549999999999997"/>
    <n v="100.74"/>
    <n v="3480.56"/>
    <x v="7"/>
    <x v="1"/>
  </r>
  <r>
    <d v="2026-05-26T00:00:00"/>
    <s v="645"/>
    <s v="OD23H9543"/>
    <n v="200"/>
    <n v="100.74"/>
    <n v="20148"/>
    <x v="25"/>
    <x v="1"/>
  </r>
  <r>
    <d v="2026-05-26T00:00:00"/>
    <s v="646"/>
    <s v="OD14T5423"/>
    <n v="41.69"/>
    <n v="100.74"/>
    <n v="4199.8500000000004"/>
    <x v="29"/>
    <x v="1"/>
  </r>
  <r>
    <d v="2026-05-27T00:00:00"/>
    <s v="647"/>
    <s v="OD15AF5510"/>
    <n v="3000"/>
    <n v="100.74"/>
    <n v="302220"/>
    <x v="24"/>
    <x v="1"/>
  </r>
  <r>
    <d v="2026-05-27T00:00:00"/>
    <s v="648"/>
    <s v="OD23L4439"/>
    <n v="3000"/>
    <n v="100.74"/>
    <n v="302220"/>
    <x v="0"/>
    <x v="1"/>
  </r>
  <r>
    <d v="2026-05-27T00:00:00"/>
    <s v="649"/>
    <s v="OD15AF5510"/>
    <n v="3000.02"/>
    <n v="100.74"/>
    <n v="302222.01"/>
    <x v="10"/>
    <x v="1"/>
  </r>
  <r>
    <d v="2026-05-27T00:00:00"/>
    <s v="650"/>
    <s v="OD15AF5510"/>
    <n v="1000"/>
    <n v="100.74"/>
    <n v="100740"/>
    <x v="41"/>
    <x v="1"/>
  </r>
  <r>
    <d v="2026-05-27T00:00:00"/>
    <s v="651"/>
    <s v="Transporting"/>
    <n v="1936.67"/>
    <n v="100.74"/>
    <n v="195100"/>
    <x v="8"/>
    <x v="1"/>
  </r>
  <r>
    <d v="2026-05-27T00:00:00"/>
    <s v="652"/>
    <s v=""/>
    <n v="476.47"/>
    <n v="100.74"/>
    <n v="48000"/>
    <x v="21"/>
    <x v="1"/>
  </r>
  <r>
    <d v="2026-05-27T00:00:00"/>
    <s v="653"/>
    <s v=""/>
    <n v="129.05000000000001"/>
    <n v="100.74"/>
    <n v="13000"/>
    <x v="7"/>
    <x v="1"/>
  </r>
  <r>
    <d v="2026-05-27T00:00:00"/>
    <s v="654"/>
    <s v="OD15K2690"/>
    <n v="104.13"/>
    <n v="100.74"/>
    <n v="10490.05"/>
    <x v="38"/>
    <x v="1"/>
  </r>
  <r>
    <d v="2026-05-27T00:00:00"/>
    <s v="655"/>
    <s v="OD15AA5823"/>
    <n v="225"/>
    <n v="100.74"/>
    <n v="22666.5"/>
    <x v="38"/>
    <x v="1"/>
  </r>
  <r>
    <d v="2026-05-27T00:00:00"/>
    <s v="656"/>
    <s v="OD23P9344"/>
    <n v="50"/>
    <n v="100.74"/>
    <n v="5037"/>
    <x v="4"/>
    <x v="1"/>
  </r>
  <r>
    <d v="2026-05-27T00:00:00"/>
    <s v="657"/>
    <s v="OD23D3131"/>
    <n v="25.02"/>
    <n v="100.74"/>
    <n v="2520.5100000000002"/>
    <x v="4"/>
    <x v="1"/>
  </r>
  <r>
    <d v="2026-05-27T00:00:00"/>
    <s v="658"/>
    <s v="OD15U5910"/>
    <n v="103.54"/>
    <n v="100.74"/>
    <n v="10430.61"/>
    <x v="5"/>
    <x v="1"/>
  </r>
  <r>
    <d v="2026-05-27T00:00:00"/>
    <s v="659"/>
    <s v="OD15AA4091"/>
    <n v="34.06"/>
    <n v="100.74"/>
    <n v="3431.2"/>
    <x v="5"/>
    <x v="1"/>
  </r>
  <r>
    <d v="2026-05-27T00:00:00"/>
    <s v="660"/>
    <s v="OD15AA4091"/>
    <n v="35"/>
    <n v="100.74"/>
    <n v="3525.9"/>
    <x v="5"/>
    <x v="1"/>
  </r>
  <r>
    <d v="2026-05-28T00:00:00"/>
    <s v="661"/>
    <s v="OD23D0009"/>
    <n v="62.43"/>
    <n v="100.74"/>
    <n v="6289.19"/>
    <x v="19"/>
    <x v="1"/>
  </r>
  <r>
    <d v="2026-05-28T00:00:00"/>
    <s v="662"/>
    <s v="Transporting"/>
    <n v="1948.58"/>
    <n v="100.74"/>
    <n v="196300"/>
    <x v="8"/>
    <x v="1"/>
  </r>
  <r>
    <d v="2026-05-28T00:00:00"/>
    <s v="663"/>
    <s v=""/>
    <n v="391.11"/>
    <n v="100.74"/>
    <n v="39400"/>
    <x v="21"/>
    <x v="1"/>
  </r>
  <r>
    <d v="2026-05-28T00:00:00"/>
    <s v="664"/>
    <s v=""/>
    <n v="49.63"/>
    <n v="100.74"/>
    <n v="5000"/>
    <x v="7"/>
    <x v="1"/>
  </r>
  <r>
    <d v="2026-05-28T00:00:00"/>
    <s v="665"/>
    <s v="OD15AF5510"/>
    <n v="1502.03"/>
    <n v="100.74"/>
    <n v="151314.5"/>
    <x v="16"/>
    <x v="1"/>
  </r>
  <r>
    <d v="2026-05-28T00:00:00"/>
    <s v="666"/>
    <s v=""/>
    <n v="400"/>
    <n v="100.74"/>
    <n v="40296"/>
    <x v="51"/>
    <x v="1"/>
  </r>
  <r>
    <d v="2026-05-29T00:00:00"/>
    <s v="667"/>
    <s v="OD05AP4113"/>
    <n v="300"/>
    <n v="100.74"/>
    <n v="30222"/>
    <x v="23"/>
    <x v="1"/>
  </r>
  <r>
    <d v="2026-05-29T00:00:00"/>
    <s v="668"/>
    <s v="OD15AF5510"/>
    <n v="3000"/>
    <n v="100.74"/>
    <n v="302220"/>
    <x v="24"/>
    <x v="1"/>
  </r>
  <r>
    <d v="2026-05-29T00:00:00"/>
    <s v="669"/>
    <s v="OD15AF5510"/>
    <n v="3000"/>
    <n v="100.74"/>
    <n v="302220"/>
    <x v="40"/>
    <x v="1"/>
  </r>
  <r>
    <d v="2026-05-29T00:00:00"/>
    <s v="670"/>
    <s v="OD23S5820"/>
    <n v="200"/>
    <n v="100.74"/>
    <n v="20148"/>
    <x v="12"/>
    <x v="1"/>
  </r>
  <r>
    <d v="2026-05-29T00:00:00"/>
    <s v="671"/>
    <s v="OD23Q4511"/>
    <n v="400"/>
    <n v="100.74"/>
    <n v="40296"/>
    <x v="33"/>
    <x v="1"/>
  </r>
  <r>
    <d v="2026-05-29T00:00:00"/>
    <s v="672"/>
    <s v="Transporting"/>
    <n v="27.8"/>
    <n v="100.74"/>
    <n v="2800"/>
    <x v="8"/>
    <x v="1"/>
  </r>
  <r>
    <d v="2026-05-29T00:00:00"/>
    <s v="673"/>
    <s v=""/>
    <n v="314.18"/>
    <n v="100.74"/>
    <n v="31650"/>
    <x v="21"/>
    <x v="1"/>
  </r>
  <r>
    <d v="2026-05-29T00:00:00"/>
    <s v="674"/>
    <s v="OD15T2320"/>
    <n v="19.850000000000001"/>
    <n v="100.74"/>
    <n v="2000"/>
    <x v="38"/>
    <x v="1"/>
  </r>
  <r>
    <d v="2026-05-29T00:00:00"/>
    <s v="675"/>
    <s v="OD15N0455"/>
    <n v="66"/>
    <n v="100.74"/>
    <n v="6648.84"/>
    <x v="38"/>
    <x v="1"/>
  </r>
  <r>
    <d v="2026-05-29T00:00:00"/>
    <s v="676"/>
    <s v="OD15N0455"/>
    <n v="200"/>
    <n v="100.74"/>
    <n v="20148"/>
    <x v="38"/>
    <x v="1"/>
  </r>
  <r>
    <d v="2026-05-29T00:00:00"/>
    <s v="677"/>
    <s v="JH01FS6302"/>
    <n v="25"/>
    <n v="100.74"/>
    <n v="2518.5"/>
    <x v="5"/>
    <x v="1"/>
  </r>
  <r>
    <d v="2026-05-29T00:00:00"/>
    <s v="678"/>
    <s v="OD16J8226"/>
    <n v="19.850000000000001"/>
    <n v="100.74"/>
    <n v="2000"/>
    <x v="29"/>
    <x v="1"/>
  </r>
  <r>
    <d v="2026-05-29T00:00:00"/>
    <s v="679"/>
    <s v="OD23U4012"/>
    <n v="160"/>
    <n v="100.74"/>
    <n v="16118.4"/>
    <x v="13"/>
    <x v="1"/>
  </r>
  <r>
    <d v="2026-05-29T00:00:00"/>
    <s v="680"/>
    <s v="OR23D1144"/>
    <n v="39.71"/>
    <n v="100.74"/>
    <n v="4000"/>
    <x v="36"/>
    <x v="1"/>
  </r>
  <r>
    <d v="2026-05-30T00:00:00"/>
    <s v="681"/>
    <s v="OD15AF5510"/>
    <n v="3000"/>
    <n v="100.74"/>
    <n v="302220"/>
    <x v="24"/>
    <x v="1"/>
  </r>
  <r>
    <d v="2026-05-30T00:00:00"/>
    <s v="682"/>
    <s v="OD15AF5510"/>
    <n v="1500.19"/>
    <n v="100.74"/>
    <n v="151129.14000000001"/>
    <x v="16"/>
    <x v="1"/>
  </r>
  <r>
    <d v="2026-05-30T00:00:00"/>
    <s v="683"/>
    <s v="OD15AF5510"/>
    <n v="1000"/>
    <n v="100.74"/>
    <n v="100740"/>
    <x v="41"/>
    <x v="1"/>
  </r>
  <r>
    <d v="2026-05-30T00:00:00"/>
    <s v="684"/>
    <s v="Transporting"/>
    <n v="612.47"/>
    <n v="100.74"/>
    <n v="61700"/>
    <x v="8"/>
    <x v="1"/>
  </r>
  <r>
    <d v="2026-05-30T00:00:00"/>
    <s v="685"/>
    <s v="OR16B4812"/>
    <n v="800"/>
    <n v="100.74"/>
    <n v="80592"/>
    <x v="10"/>
    <x v="1"/>
  </r>
  <r>
    <d v="2026-05-30T00:00:00"/>
    <s v="686"/>
    <s v="OD15AA4091"/>
    <n v="20"/>
    <n v="100.74"/>
    <n v="2014.8"/>
    <x v="5"/>
    <x v="1"/>
  </r>
  <r>
    <d v="2026-05-30T00:00:00"/>
    <s v="687"/>
    <s v="OD15U5910"/>
    <n v="91.46"/>
    <n v="100.74"/>
    <n v="9213.68"/>
    <x v="5"/>
    <x v="1"/>
  </r>
  <r>
    <d v="2026-05-30T00:00:00"/>
    <s v="688"/>
    <s v="OD15AF5510"/>
    <n v="45.79"/>
    <n v="100.74"/>
    <n v="4612.88"/>
    <x v="3"/>
    <x v="1"/>
  </r>
  <r>
    <d v="2026-05-30T00:00:00"/>
    <s v="689"/>
    <s v="OD23P3948"/>
    <n v="30"/>
    <n v="100.74"/>
    <n v="3022.2"/>
    <x v="28"/>
    <x v="1"/>
  </r>
  <r>
    <d v="2026-05-30T00:00:00"/>
    <s v="690"/>
    <s v="OD15H8328 6 Apr"/>
    <n v="9.2100000000000009"/>
    <n v="100.74"/>
    <n v="927.4"/>
    <x v="4"/>
    <x v="2"/>
  </r>
  <r>
    <d v="2026-06-01T00:00:00"/>
    <s v="691"/>
    <s v="OD15AF5510"/>
    <n v="3000"/>
    <n v="100.74"/>
    <n v="302220"/>
    <x v="24"/>
    <x v="3"/>
  </r>
  <r>
    <d v="2026-06-01T00:00:00"/>
    <s v="692"/>
    <s v="OD23L4439"/>
    <n v="3000"/>
    <n v="100.74"/>
    <n v="302220"/>
    <x v="0"/>
    <x v="3"/>
  </r>
  <r>
    <d v="2026-06-01T00:00:00"/>
    <s v="693"/>
    <s v="Transporting"/>
    <n v="1574.35"/>
    <n v="100.74"/>
    <n v="158600"/>
    <x v="8"/>
    <x v="3"/>
  </r>
  <r>
    <d v="2026-06-01T00:00:00"/>
    <s v="694"/>
    <s v=""/>
    <n v="324.60000000000002"/>
    <n v="100.74"/>
    <n v="32700"/>
    <x v="21"/>
    <x v="3"/>
  </r>
  <r>
    <d v="2026-06-01T00:00:00"/>
    <s v="695"/>
    <s v=""/>
    <n v="49.64"/>
    <n v="100.74"/>
    <n v="5000"/>
    <x v="7"/>
    <x v="3"/>
  </r>
  <r>
    <d v="2026-06-01T00:00:00"/>
    <s v="696"/>
    <s v="JH01FS6302"/>
    <n v="47.41"/>
    <n v="100.74"/>
    <n v="4776.08"/>
    <x v="5"/>
    <x v="3"/>
  </r>
  <r>
    <d v="2026-06-01T00:00:00"/>
    <s v="697"/>
    <s v="OD15AA4091"/>
    <n v="48"/>
    <n v="100.74"/>
    <n v="4835.5200000000004"/>
    <x v="5"/>
    <x v="3"/>
  </r>
  <r>
    <d v="2026-06-01T00:00:00"/>
    <s v="698"/>
    <s v="OD15AA4091"/>
    <n v="50"/>
    <n v="100.74"/>
    <n v="5037"/>
    <x v="5"/>
    <x v="3"/>
  </r>
  <r>
    <d v="2026-06-01T00:00:00"/>
    <s v="699"/>
    <s v="OD33Y3569"/>
    <n v="44.32"/>
    <n v="100.74"/>
    <n v="4464.79"/>
    <x v="5"/>
    <x v="3"/>
  </r>
  <r>
    <d v="2026-06-01T00:00:00"/>
    <s v="700"/>
    <s v="OD23D3131"/>
    <n v="25"/>
    <n v="100.74"/>
    <n v="2518.5"/>
    <x v="4"/>
    <x v="3"/>
  </r>
  <r>
    <d v="2026-06-01T00:00:00"/>
    <s v="701"/>
    <s v="OD23P9344"/>
    <n v="50"/>
    <n v="100.74"/>
    <n v="5037"/>
    <x v="4"/>
    <x v="3"/>
  </r>
  <r>
    <d v="2026-06-01T00:00:00"/>
    <s v="702"/>
    <s v="OD15AA5823"/>
    <n v="220"/>
    <n v="100.74"/>
    <n v="22162.799999999999"/>
    <x v="38"/>
    <x v="3"/>
  </r>
  <r>
    <d v="2026-06-01T00:00:00"/>
    <s v="703"/>
    <s v="OD15AE7230"/>
    <n v="160"/>
    <n v="100.74"/>
    <n v="16118.4"/>
    <x v="38"/>
    <x v="3"/>
  </r>
  <r>
    <d v="2026-06-01T00:00:00"/>
    <s v="704"/>
    <s v="RJ37GA7801"/>
    <n v="500"/>
    <n v="100.74"/>
    <n v="50370"/>
    <x v="28"/>
    <x v="3"/>
  </r>
  <r>
    <d v="2026-06-01T00:00:00"/>
    <s v="705"/>
    <s v="CG13AG8332"/>
    <n v="316"/>
    <n v="100.74"/>
    <n v="31833.84"/>
    <x v="36"/>
    <x v="3"/>
  </r>
  <r>
    <d v="2026-06-01T00:00:00"/>
    <s v="706"/>
    <s v="CG13AG8329"/>
    <n v="317"/>
    <n v="100.74"/>
    <n v="31934.58"/>
    <x v="36"/>
    <x v="3"/>
  </r>
  <r>
    <d v="2026-06-01T00:00:00"/>
    <s v="707"/>
    <s v="CG13AG8993"/>
    <n v="317"/>
    <n v="100.74"/>
    <n v="31934.58"/>
    <x v="36"/>
    <x v="3"/>
  </r>
  <r>
    <d v="2026-06-02T00:00:00"/>
    <s v="708"/>
    <s v="OD15AF5510"/>
    <n v="3000"/>
    <n v="100.74"/>
    <n v="302220"/>
    <x v="10"/>
    <x v="3"/>
  </r>
  <r>
    <d v="2026-06-02T00:00:00"/>
    <s v="709"/>
    <s v="Transporting"/>
    <n v="1587.25"/>
    <n v="100.74"/>
    <n v="159900"/>
    <x v="8"/>
    <x v="3"/>
  </r>
  <r>
    <d v="2026-06-02T00:00:00"/>
    <s v="710"/>
    <s v="Consumer"/>
    <n v="36"/>
    <n v="100.74"/>
    <n v="3626.64"/>
    <x v="8"/>
    <x v="3"/>
  </r>
  <r>
    <d v="2026-06-02T00:00:00"/>
    <s v="711"/>
    <s v=""/>
    <n v="372.25"/>
    <n v="100.74"/>
    <n v="37500"/>
    <x v="21"/>
    <x v="3"/>
  </r>
  <r>
    <d v="2026-06-02T00:00:00"/>
    <s v="712"/>
    <s v="OD15U5910"/>
    <n v="98.53"/>
    <n v="100.74"/>
    <n v="9925.91"/>
    <x v="5"/>
    <x v="3"/>
  </r>
  <r>
    <d v="2026-06-03T00:00:00"/>
    <s v="713"/>
    <s v="OD15AF5510"/>
    <n v="3000"/>
    <n v="100.74"/>
    <n v="302220"/>
    <x v="24"/>
    <x v="3"/>
  </r>
  <r>
    <d v="2026-06-03T00:00:00"/>
    <s v="714"/>
    <s v="OD23N6311"/>
    <n v="1000"/>
    <n v="100.74"/>
    <n v="100740"/>
    <x v="17"/>
    <x v="3"/>
  </r>
  <r>
    <d v="2026-06-03T00:00:00"/>
    <s v="715"/>
    <s v="OD15AF5510"/>
    <n v="1000.6"/>
    <n v="100.74"/>
    <n v="100800.44"/>
    <x v="41"/>
    <x v="3"/>
  </r>
  <r>
    <d v="2026-06-03T00:00:00"/>
    <s v="716"/>
    <s v="OD15AF5510"/>
    <n v="1500.42"/>
    <n v="100.74"/>
    <n v="151152.31"/>
    <x v="16"/>
    <x v="3"/>
  </r>
  <r>
    <d v="2026-06-03T00:00:00"/>
    <s v="717"/>
    <s v="Transporting"/>
    <n v="598.57000000000005"/>
    <n v="100.74"/>
    <n v="60300"/>
    <x v="8"/>
    <x v="3"/>
  </r>
  <r>
    <d v="2026-06-03T00:00:00"/>
    <s v="718"/>
    <s v="Consumer"/>
    <n v="329.78"/>
    <n v="100.74"/>
    <n v="33222"/>
    <x v="8"/>
    <x v="3"/>
  </r>
  <r>
    <d v="2026-06-03T00:00:00"/>
    <s v="719"/>
    <s v=""/>
    <n v="1922.77"/>
    <n v="100.74"/>
    <n v="193700"/>
    <x v="21"/>
    <x v="3"/>
  </r>
  <r>
    <d v="2026-06-03T00:00:00"/>
    <s v="720"/>
    <s v=""/>
    <n v="129.05000000000001"/>
    <n v="100.74"/>
    <n v="13000"/>
    <x v="9"/>
    <x v="3"/>
  </r>
  <r>
    <d v="2026-06-03T00:00:00"/>
    <s v="721"/>
    <s v="OD28C4545"/>
    <n v="33.700000000000003"/>
    <n v="100.74"/>
    <n v="3394.93"/>
    <x v="32"/>
    <x v="3"/>
  </r>
  <r>
    <d v="2026-06-03T00:00:00"/>
    <s v="722"/>
    <s v="OD23A8210"/>
    <n v="40"/>
    <n v="100.74"/>
    <n v="4029.6"/>
    <x v="2"/>
    <x v="3"/>
  </r>
  <r>
    <d v="2026-06-03T00:00:00"/>
    <s v="723"/>
    <s v="OD23Q4770"/>
    <n v="106.66"/>
    <n v="100.74"/>
    <n v="10745.4"/>
    <x v="28"/>
    <x v="3"/>
  </r>
  <r>
    <d v="2026-06-03T00:00:00"/>
    <s v="724"/>
    <s v="OD23N1900"/>
    <n v="36.340000000000003"/>
    <n v="100.74"/>
    <n v="3660.89"/>
    <x v="20"/>
    <x v="3"/>
  </r>
  <r>
    <d v="2026-06-03T00:00:00"/>
    <s v="725"/>
    <s v="OD05AN7688"/>
    <n v="100"/>
    <n v="100.74"/>
    <n v="10074"/>
    <x v="10"/>
    <x v="3"/>
  </r>
  <r>
    <d v="2026-06-03T00:00:00"/>
    <s v="726"/>
    <s v="OD16K0964"/>
    <n v="49.63"/>
    <n v="100.74"/>
    <n v="5000"/>
    <x v="29"/>
    <x v="3"/>
  </r>
  <r>
    <d v="2026-06-03T00:00:00"/>
    <s v="727"/>
    <s v="OD16K0910"/>
    <n v="49.63"/>
    <n v="100.74"/>
    <n v="5000"/>
    <x v="29"/>
    <x v="3"/>
  </r>
  <r>
    <d v="2026-06-03T00:00:00"/>
    <s v="728"/>
    <s v="OD16K1072"/>
    <n v="49.63"/>
    <n v="100.74"/>
    <n v="5000"/>
    <x v="29"/>
    <x v="3"/>
  </r>
  <r>
    <d v="2026-06-03T00:00:00"/>
    <s v="729"/>
    <s v="OD16K1082"/>
    <n v="49.63"/>
    <n v="100.74"/>
    <n v="5000"/>
    <x v="29"/>
    <x v="3"/>
  </r>
  <r>
    <d v="2026-06-03T00:00:00"/>
    <s v="730"/>
    <s v="OD16K1092"/>
    <n v="19.86"/>
    <n v="100.74"/>
    <n v="2000"/>
    <x v="29"/>
    <x v="3"/>
  </r>
  <r>
    <d v="2026-06-03T00:00:00"/>
    <s v="731"/>
    <s v="OD23G4251"/>
    <n v="55.68"/>
    <n v="100.74"/>
    <n v="5609.2"/>
    <x v="29"/>
    <x v="3"/>
  </r>
  <r>
    <d v="2026-06-04T00:00:00"/>
    <s v="732"/>
    <s v="OD23E7045"/>
    <n v="2000"/>
    <n v="100.74"/>
    <n v="201480"/>
    <x v="43"/>
    <x v="3"/>
  </r>
  <r>
    <d v="2026-06-04T00:00:00"/>
    <s v="733"/>
    <s v="Transporting"/>
    <n v="2776.45"/>
    <n v="100.74"/>
    <n v="279700"/>
    <x v="8"/>
    <x v="3"/>
  </r>
  <r>
    <d v="2026-06-04T00:00:00"/>
    <s v="734"/>
    <s v="Consumer"/>
    <n v="32"/>
    <n v="100.74"/>
    <n v="3223.68"/>
    <x v="8"/>
    <x v="3"/>
  </r>
  <r>
    <d v="2026-06-04T00:00:00"/>
    <s v="735"/>
    <s v="OD15AF5510"/>
    <n v="3000"/>
    <n v="100.74"/>
    <n v="302220"/>
    <x v="10"/>
    <x v="3"/>
  </r>
  <r>
    <d v="2026-06-04T00:00:00"/>
    <s v="736"/>
    <s v=""/>
    <n v="1418.02"/>
    <n v="100.74"/>
    <n v="142851.70000000001"/>
    <x v="21"/>
    <x v="3"/>
  </r>
  <r>
    <d v="2026-06-04T00:00:00"/>
    <s v="737"/>
    <s v=""/>
    <n v="236.25"/>
    <n v="100.74"/>
    <n v="23800"/>
    <x v="9"/>
    <x v="3"/>
  </r>
  <r>
    <d v="2026-06-04T00:00:00"/>
    <s v="738"/>
    <s v="OD15AF5510"/>
    <n v="1000.44"/>
    <n v="100.74"/>
    <n v="100784.33"/>
    <x v="41"/>
    <x v="3"/>
  </r>
  <r>
    <d v="2026-06-04T00:00:00"/>
    <s v="739"/>
    <s v="OD15AA4091"/>
    <n v="50.3"/>
    <n v="100.74"/>
    <n v="5067.22"/>
    <x v="5"/>
    <x v="3"/>
  </r>
  <r>
    <d v="2026-06-04T00:00:00"/>
    <s v="740"/>
    <s v="OD15K2690"/>
    <n v="110.19"/>
    <n v="100.74"/>
    <n v="11100.54"/>
    <x v="38"/>
    <x v="3"/>
  </r>
  <r>
    <d v="2026-06-04T00:00:00"/>
    <s v="741"/>
    <s v="OD15X8293"/>
    <n v="78.72"/>
    <n v="100.74"/>
    <n v="7930.25"/>
    <x v="38"/>
    <x v="3"/>
  </r>
  <r>
    <d v="2026-06-04T00:00:00"/>
    <s v="742"/>
    <s v="OD23K1450"/>
    <n v="200"/>
    <n v="100.74"/>
    <n v="20148"/>
    <x v="25"/>
    <x v="3"/>
  </r>
  <r>
    <d v="2026-06-04T00:00:00"/>
    <s v="743"/>
    <s v="NL01AJ8743"/>
    <n v="300"/>
    <n v="100.74"/>
    <n v="30222"/>
    <x v="25"/>
    <x v="3"/>
  </r>
  <r>
    <d v="2026-06-05T00:00:00"/>
    <s v="744"/>
    <s v="OR15R5510"/>
    <n v="12000"/>
    <n v="100.74"/>
    <n v="1208880"/>
    <x v="0"/>
    <x v="3"/>
  </r>
  <r>
    <d v="2026-06-05T00:00:00"/>
    <s v="745"/>
    <s v="OD15U5910"/>
    <n v="104"/>
    <n v="100.74"/>
    <n v="10476.959999999999"/>
    <x v="5"/>
    <x v="3"/>
  </r>
  <r>
    <d v="2026-06-05T00:00:00"/>
    <s v="746"/>
    <s v="JH01FS6302"/>
    <n v="44.45"/>
    <n v="100.74"/>
    <n v="4477.8900000000003"/>
    <x v="5"/>
    <x v="3"/>
  </r>
  <r>
    <d v="2026-06-05T00:00:00"/>
    <s v="747"/>
    <s v="OD15K2690"/>
    <n v="96.39"/>
    <n v="100.74"/>
    <n v="9710.32"/>
    <x v="38"/>
    <x v="3"/>
  </r>
  <r>
    <d v="2026-06-05T00:00:00"/>
    <s v="748"/>
    <s v="OD15AF5510"/>
    <n v="1500"/>
    <n v="100.74"/>
    <n v="151110"/>
    <x v="16"/>
    <x v="3"/>
  </r>
  <r>
    <d v="2026-06-05T00:00:00"/>
    <s v="749"/>
    <s v="OD15AF5510"/>
    <n v="1500"/>
    <n v="100.74"/>
    <n v="151110"/>
    <x v="41"/>
    <x v="3"/>
  </r>
  <r>
    <d v="2026-06-05T00:00:00"/>
    <s v="750"/>
    <s v=""/>
    <n v="119.12"/>
    <n v="100.74"/>
    <n v="12000"/>
    <x v="9"/>
    <x v="3"/>
  </r>
  <r>
    <d v="2026-06-05T00:00:00"/>
    <s v="751"/>
    <s v=""/>
    <n v="640.26"/>
    <n v="100.74"/>
    <n v="64500"/>
    <x v="21"/>
    <x v="3"/>
  </r>
  <r>
    <d v="2026-06-05T00:00:00"/>
    <s v="752"/>
    <s v=""/>
    <n v="19.850000000000001"/>
    <n v="100.74"/>
    <n v="2000"/>
    <x v="7"/>
    <x v="3"/>
  </r>
  <r>
    <d v="2026-06-05T00:00:00"/>
    <s v="753"/>
    <s v="Transporting"/>
    <n v="5478.46"/>
    <n v="100.74"/>
    <n v="551900"/>
    <x v="8"/>
    <x v="3"/>
  </r>
  <r>
    <d v="2026-06-05T00:00:00"/>
    <s v="754"/>
    <s v="Consumer"/>
    <n v="30"/>
    <n v="100.74"/>
    <n v="3022.2"/>
    <x v="8"/>
    <x v="3"/>
  </r>
  <r>
    <d v="2026-06-06T00:00:00"/>
    <s v="755"/>
    <s v="Transporting"/>
    <n v="2724.84"/>
    <n v="100.74"/>
    <n v="274500"/>
    <x v="8"/>
    <x v="3"/>
  </r>
  <r>
    <d v="2026-06-06T00:00:00"/>
    <s v="756"/>
    <s v=""/>
    <n v="1024.42"/>
    <n v="100.74"/>
    <n v="103200"/>
    <x v="21"/>
    <x v="3"/>
  </r>
  <r>
    <d v="2026-06-06T00:00:00"/>
    <s v="757"/>
    <s v=""/>
    <n v="446.69"/>
    <n v="100.74"/>
    <n v="45000"/>
    <x v="9"/>
    <x v="3"/>
  </r>
  <r>
    <d v="2026-06-06T00:00:00"/>
    <s v="758"/>
    <s v="OD15AF5510"/>
    <n v="3000.31"/>
    <n v="100.74"/>
    <n v="302251.23"/>
    <x v="10"/>
    <x v="3"/>
  </r>
  <r>
    <d v="2026-06-06T00:00:00"/>
    <s v="759"/>
    <s v="OD15AF5510"/>
    <n v="300"/>
    <n v="100.74"/>
    <n v="30222"/>
    <x v="41"/>
    <x v="3"/>
  </r>
  <r>
    <d v="2026-06-06T00:00:00"/>
    <s v="760"/>
    <s v="OD15Z1430"/>
    <n v="20"/>
    <n v="100.74"/>
    <n v="2014.8"/>
    <x v="38"/>
    <x v="3"/>
  </r>
  <r>
    <d v="2026-06-06T00:00:00"/>
    <s v="761"/>
    <s v="OD15N0455"/>
    <n v="85.01"/>
    <n v="100.74"/>
    <n v="8563.9"/>
    <x v="38"/>
    <x v="3"/>
  </r>
  <r>
    <d v="2026-06-06T00:00:00"/>
    <s v="762"/>
    <s v="OD15AE7230"/>
    <n v="206.01"/>
    <n v="100.74"/>
    <n v="20753.439999999999"/>
    <x v="38"/>
    <x v="3"/>
  </r>
  <r>
    <d v="2026-06-06T00:00:00"/>
    <s v="763"/>
    <s v="OD15AA5823"/>
    <n v="175.7"/>
    <n v="100.74"/>
    <n v="17700.009999999998"/>
    <x v="38"/>
    <x v="3"/>
  </r>
  <r>
    <d v="2026-06-06T00:00:00"/>
    <s v="764"/>
    <s v="JH13J1926"/>
    <n v="30"/>
    <n v="100.74"/>
    <n v="3022.2"/>
    <x v="28"/>
    <x v="3"/>
  </r>
  <r>
    <d v="2026-06-06T00:00:00"/>
    <s v="765"/>
    <s v="OD23Q4768"/>
    <n v="40"/>
    <n v="100.74"/>
    <n v="4029.6"/>
    <x v="28"/>
    <x v="3"/>
  </r>
  <r>
    <d v="2026-06-06T00:00:00"/>
    <s v="766"/>
    <s v="OD23L3195"/>
    <n v="30"/>
    <n v="100.74"/>
    <n v="3022.2"/>
    <x v="28"/>
    <x v="3"/>
  </r>
  <r>
    <d v="2026-06-06T00:00:00"/>
    <s v="767"/>
    <s v=""/>
    <n v="20"/>
    <n v="100.74"/>
    <n v="2014.8"/>
    <x v="26"/>
    <x v="3"/>
  </r>
  <r>
    <d v="2026-06-06T00:00:00"/>
    <s v="768"/>
    <s v="OD23A8210"/>
    <n v="45"/>
    <n v="100.74"/>
    <n v="4533.3"/>
    <x v="2"/>
    <x v="3"/>
  </r>
  <r>
    <d v="2026-06-07T00:00:00"/>
    <s v="769"/>
    <s v="Transporting"/>
    <n v="661.11"/>
    <n v="100.74"/>
    <n v="66600"/>
    <x v="8"/>
    <x v="3"/>
  </r>
  <r>
    <d v="2026-06-07T00:00:00"/>
    <s v="770"/>
    <s v=""/>
    <n v="957.91"/>
    <n v="100.74"/>
    <n v="96500"/>
    <x v="21"/>
    <x v="3"/>
  </r>
  <r>
    <d v="2026-06-07T00:00:00"/>
    <s v="771"/>
    <s v=""/>
    <n v="119.12"/>
    <n v="100.74"/>
    <n v="12000"/>
    <x v="9"/>
    <x v="3"/>
  </r>
  <r>
    <d v="2026-06-07T00:00:00"/>
    <s v="772"/>
    <s v="JCB"/>
    <n v="70"/>
    <n v="100.74"/>
    <n v="7051.8"/>
    <x v="4"/>
    <x v="3"/>
  </r>
  <r>
    <d v="2026-06-07T00:00:00"/>
    <s v="773"/>
    <s v="OD23Q4770"/>
    <n v="30"/>
    <n v="100.74"/>
    <n v="3022.2"/>
    <x v="28"/>
    <x v="3"/>
  </r>
  <r>
    <d v="2026-06-07T00:00:00"/>
    <s v="774"/>
    <s v="CG04NB2811"/>
    <n v="20"/>
    <n v="100.74"/>
    <n v="2014.8"/>
    <x v="28"/>
    <x v="3"/>
  </r>
  <r>
    <d v="2026-06-07T00:00:00"/>
    <s v="775"/>
    <s v="JCB"/>
    <n v="30"/>
    <n v="100.74"/>
    <n v="3022.2"/>
    <x v="28"/>
    <x v="3"/>
  </r>
  <r>
    <d v="2026-06-07T00:00:00"/>
    <s v="776"/>
    <s v="OD16K1092"/>
    <n v="40"/>
    <n v="100.74"/>
    <n v="4029.6"/>
    <x v="29"/>
    <x v="3"/>
  </r>
  <r>
    <d v="2026-06-08T00:00:00"/>
    <s v="777"/>
    <s v="Transporting"/>
    <n v="516.17999999999995"/>
    <n v="100.74"/>
    <n v="52000"/>
    <x v="8"/>
    <x v="3"/>
  </r>
  <r>
    <d v="2026-06-08T00:00:00"/>
    <s v="778"/>
    <s v="Consumer"/>
    <n v="32"/>
    <n v="100.74"/>
    <n v="3223.68"/>
    <x v="8"/>
    <x v="3"/>
  </r>
  <r>
    <d v="2026-06-08T00:00:00"/>
    <s v="779"/>
    <s v=""/>
    <n v="178.68"/>
    <n v="100.74"/>
    <n v="18000"/>
    <x v="21"/>
    <x v="3"/>
  </r>
  <r>
    <d v="2026-06-08T00:00:00"/>
    <s v="780"/>
    <s v=""/>
    <n v="119.12"/>
    <n v="100.74"/>
    <n v="12000"/>
    <x v="9"/>
    <x v="3"/>
  </r>
  <r>
    <d v="2026-06-08T00:00:00"/>
    <s v="781"/>
    <s v=""/>
    <n v="280.94"/>
    <n v="100.74"/>
    <n v="28302.38"/>
    <x v="7"/>
    <x v="3"/>
  </r>
  <r>
    <d v="2026-06-08T00:00:00"/>
    <s v="782"/>
    <s v=""/>
    <n v="717"/>
    <n v="100.74"/>
    <n v="72231.58"/>
    <x v="22"/>
    <x v="3"/>
  </r>
  <r>
    <d v="2026-06-08T00:00:00"/>
    <s v="783"/>
    <s v="OD15AF5510"/>
    <n v="1500.04"/>
    <n v="100.74"/>
    <n v="151114.03"/>
    <x v="41"/>
    <x v="3"/>
  </r>
  <r>
    <d v="2026-06-08T00:00:00"/>
    <s v="784"/>
    <s v="OD15AF5510"/>
    <n v="1999.04"/>
    <n v="100.74"/>
    <n v="201383.29"/>
    <x v="16"/>
    <x v="3"/>
  </r>
  <r>
    <d v="2026-06-08T00:00:00"/>
    <s v="785"/>
    <s v="OD15AF5510"/>
    <n v="1000"/>
    <n v="100.74"/>
    <n v="100740"/>
    <x v="41"/>
    <x v="3"/>
  </r>
  <r>
    <d v="2026-06-08T00:00:00"/>
    <s v="786"/>
    <s v="7801"/>
    <n v="400"/>
    <n v="100.74"/>
    <n v="40296"/>
    <x v="28"/>
    <x v="3"/>
  </r>
  <r>
    <d v="2026-06-08T00:00:00"/>
    <s v="787"/>
    <s v="JH01FS6302"/>
    <n v="34.71"/>
    <n v="100.74"/>
    <n v="3496.68"/>
    <x v="5"/>
    <x v="3"/>
  </r>
  <r>
    <d v="2026-06-08T00:00:00"/>
    <s v="788"/>
    <s v="OD15U5910"/>
    <n v="104"/>
    <n v="100.74"/>
    <n v="10476.959999999999"/>
    <x v="5"/>
    <x v="3"/>
  </r>
  <r>
    <d v="2026-06-08T00:00:00"/>
    <s v="789"/>
    <s v="OD15AA4091"/>
    <n v="47"/>
    <n v="100.74"/>
    <n v="4734.78"/>
    <x v="5"/>
    <x v="3"/>
  </r>
  <r>
    <d v="2026-06-08T00:00:00"/>
    <s v="790"/>
    <s v="OD15K2690"/>
    <n v="106"/>
    <n v="100.74"/>
    <n v="10678.44"/>
    <x v="38"/>
    <x v="3"/>
  </r>
  <r>
    <d v="2026-06-08T00:00:00"/>
    <s v="791"/>
    <s v="OD15N0455"/>
    <n v="73.27"/>
    <n v="100.74"/>
    <n v="7381.21"/>
    <x v="38"/>
    <x v="3"/>
  </r>
  <r>
    <d v="2026-06-08T00:00:00"/>
    <s v="792"/>
    <s v="OD15Z1430"/>
    <n v="30"/>
    <n v="100.74"/>
    <n v="3022.2"/>
    <x v="38"/>
    <x v="3"/>
  </r>
  <r>
    <d v="2026-06-09T00:00:00"/>
    <s v="793"/>
    <s v="OD23P2429"/>
    <n v="720"/>
    <n v="100.74"/>
    <n v="72532.800000000003"/>
    <x v="28"/>
    <x v="3"/>
  </r>
  <r>
    <d v="2026-06-09T00:00:00"/>
    <s v="794"/>
    <s v="OD15AF5510"/>
    <n v="3000"/>
    <n v="100.74"/>
    <n v="302220"/>
    <x v="10"/>
    <x v="3"/>
  </r>
  <r>
    <d v="2026-06-09T00:00:00"/>
    <s v="795"/>
    <s v="OD15AF5510"/>
    <n v="1920.29"/>
    <n v="100.74"/>
    <n v="193450.01"/>
    <x v="41"/>
    <x v="3"/>
  </r>
  <r>
    <d v="2026-06-09T00:00:00"/>
    <s v="796"/>
    <s v="CG04PA5851"/>
    <n v="2000"/>
    <n v="100.74"/>
    <n v="201480"/>
    <x v="28"/>
    <x v="3"/>
  </r>
  <r>
    <d v="2026-06-09T00:00:00"/>
    <s v="797"/>
    <s v="OD15Q5872"/>
    <n v="3000"/>
    <n v="100.74"/>
    <n v="302220"/>
    <x v="34"/>
    <x v="3"/>
  </r>
  <r>
    <d v="2026-06-09T00:00:00"/>
    <s v="798"/>
    <s v="OD23D3131"/>
    <n v="25"/>
    <n v="100.74"/>
    <n v="2518.5"/>
    <x v="4"/>
    <x v="3"/>
  </r>
  <r>
    <d v="2026-06-09T00:00:00"/>
    <s v="799"/>
    <s v="NL01AJ8643"/>
    <n v="50"/>
    <n v="100.74"/>
    <n v="5037"/>
    <x v="25"/>
    <x v="3"/>
  </r>
  <r>
    <d v="2026-06-09T00:00:00"/>
    <s v="800"/>
    <s v="OD15AF5510"/>
    <n v="46"/>
    <n v="100.74"/>
    <n v="4634.04"/>
    <x v="3"/>
    <x v="3"/>
  </r>
  <r>
    <d v="2026-06-09T00:00:00"/>
    <s v="801"/>
    <s v="OD15AF5510"/>
    <n v="2000"/>
    <n v="100.74"/>
    <n v="201480"/>
    <x v="16"/>
    <x v="3"/>
  </r>
  <r>
    <d v="2026-06-09T00:00:00"/>
    <s v="802"/>
    <s v=""/>
    <n v="59.56"/>
    <n v="100.74"/>
    <n v="6000"/>
    <x v="9"/>
    <x v="3"/>
  </r>
  <r>
    <d v="2026-06-09T00:00:00"/>
    <s v="803"/>
    <s v=""/>
    <n v="1167.3599999999999"/>
    <n v="100.74"/>
    <n v="117600"/>
    <x v="21"/>
    <x v="3"/>
  </r>
  <r>
    <d v="2026-06-09T00:00:00"/>
    <s v="804"/>
    <s v=""/>
    <n v="199.63"/>
    <n v="100.74"/>
    <n v="20111"/>
    <x v="7"/>
    <x v="3"/>
  </r>
  <r>
    <d v="2026-06-09T00:00:00"/>
    <s v="805"/>
    <s v="Transporting"/>
    <n v="1122.69"/>
    <n v="100.74"/>
    <n v="113100"/>
    <x v="8"/>
    <x v="3"/>
  </r>
  <r>
    <d v="2026-06-09T00:00:00"/>
    <s v="806"/>
    <s v="Consumer"/>
    <n v="39.93"/>
    <n v="100.74"/>
    <n v="4022.2"/>
    <x v="8"/>
    <x v="3"/>
  </r>
  <r>
    <d v="2026-06-09T00:00:00"/>
    <s v="807"/>
    <s v="UP78HN0524"/>
    <n v="500"/>
    <n v="100.74"/>
    <n v="50370"/>
    <x v="11"/>
    <x v="3"/>
  </r>
  <r>
    <d v="2026-06-10T00:00:00"/>
    <s v="808"/>
    <s v="OD16M8078"/>
    <n v="1500"/>
    <n v="100.74"/>
    <n v="151110"/>
    <x v="27"/>
    <x v="3"/>
  </r>
  <r>
    <d v="2026-06-10T00:00:00"/>
    <s v="809"/>
    <s v="OR23F0869"/>
    <n v="1500"/>
    <n v="100.74"/>
    <n v="151110"/>
    <x v="52"/>
    <x v="3"/>
  </r>
  <r>
    <d v="2026-06-10T00:00:00"/>
    <s v="810"/>
    <s v="OD15AF5510"/>
    <n v="1500"/>
    <n v="100.74"/>
    <n v="151110"/>
    <x v="41"/>
    <x v="3"/>
  </r>
  <r>
    <d v="2026-06-10T00:00:00"/>
    <s v="811"/>
    <s v="Transporting"/>
    <n v="1808.62"/>
    <n v="100.74"/>
    <n v="182200"/>
    <x v="8"/>
    <x v="3"/>
  </r>
  <r>
    <d v="2026-06-10T00:00:00"/>
    <s v="812"/>
    <s v=""/>
    <n v="849.71"/>
    <n v="100.74"/>
    <n v="85600"/>
    <x v="21"/>
    <x v="3"/>
  </r>
  <r>
    <d v="2026-06-10T00:00:00"/>
    <s v="813"/>
    <s v=""/>
    <n v="29.78"/>
    <n v="100.74"/>
    <n v="3000"/>
    <x v="9"/>
    <x v="3"/>
  </r>
  <r>
    <d v="2026-06-10T00:00:00"/>
    <s v="814"/>
    <s v=""/>
    <n v="348.78"/>
    <n v="100.74"/>
    <n v="35136.06"/>
    <x v="7"/>
    <x v="3"/>
  </r>
  <r>
    <d v="2026-06-10T00:00:00"/>
    <s v="815"/>
    <s v="OD15N0455"/>
    <n v="73.16"/>
    <n v="100.74"/>
    <n v="7370.13"/>
    <x v="38"/>
    <x v="3"/>
  </r>
  <r>
    <d v="2026-06-10T00:00:00"/>
    <s v="816"/>
    <s v="OD15K2690"/>
    <n v="57.73"/>
    <n v="100.74"/>
    <n v="5815.72"/>
    <x v="38"/>
    <x v="3"/>
  </r>
  <r>
    <d v="2026-06-10T00:00:00"/>
    <s v="817"/>
    <s v="NL01AJ8643"/>
    <n v="337.26"/>
    <n v="100.74"/>
    <n v="33975.57"/>
    <x v="25"/>
    <x v="3"/>
  </r>
  <r>
    <d v="2026-06-10T00:00:00"/>
    <s v="818"/>
    <s v="OD15Q5872"/>
    <n v="2000"/>
    <n v="100.74"/>
    <n v="201480"/>
    <x v="34"/>
    <x v="3"/>
  </r>
  <r>
    <d v="2026-06-10T00:00:00"/>
    <s v="819"/>
    <s v="OD15AF0757"/>
    <n v="2000"/>
    <n v="100.74"/>
    <n v="201480"/>
    <x v="53"/>
    <x v="3"/>
  </r>
  <r>
    <d v="2026-06-10T00:00:00"/>
    <s v="820"/>
    <s v="OD23N5072"/>
    <n v="1000"/>
    <n v="100.74"/>
    <n v="100740"/>
    <x v="34"/>
    <x v="3"/>
  </r>
  <r>
    <d v="2026-06-11T00:00:00"/>
    <s v="821"/>
    <s v="OD15AF5510"/>
    <n v="1500.02"/>
    <n v="100.74"/>
    <n v="151112.01"/>
    <x v="16"/>
    <x v="3"/>
  </r>
  <r>
    <d v="2026-06-11T00:00:00"/>
    <s v="822"/>
    <s v="OD15AF5510"/>
    <n v="1500.01"/>
    <n v="100.74"/>
    <n v="151111.01"/>
    <x v="41"/>
    <x v="3"/>
  </r>
  <r>
    <d v="2026-06-11T00:00:00"/>
    <s v="823"/>
    <s v="OD15AF5510"/>
    <n v="2499.5"/>
    <n v="100.74"/>
    <n v="251799.63"/>
    <x v="10"/>
    <x v="3"/>
  </r>
  <r>
    <d v="2026-06-11T00:00:00"/>
    <s v="824"/>
    <s v="Transporting"/>
    <n v="2019.06"/>
    <n v="100.74"/>
    <n v="203400"/>
    <x v="8"/>
    <x v="3"/>
  </r>
  <r>
    <d v="2026-06-11T00:00:00"/>
    <s v="825"/>
    <s v=""/>
    <n v="670.04"/>
    <n v="100.74"/>
    <n v="67500"/>
    <x v="21"/>
    <x v="3"/>
  </r>
  <r>
    <d v="2026-06-11T00:00:00"/>
    <s v="826"/>
    <s v=""/>
    <n v="59.56"/>
    <n v="100.74"/>
    <n v="6000"/>
    <x v="9"/>
    <x v="3"/>
  </r>
  <r>
    <d v="2026-06-11T00:00:00"/>
    <s v="827"/>
    <s v="OD23Q4768"/>
    <n v="20"/>
    <n v="100.74"/>
    <n v="2014.8"/>
    <x v="28"/>
    <x v="3"/>
  </r>
  <r>
    <d v="2026-06-11T00:00:00"/>
    <s v="828"/>
    <s v="JCB"/>
    <n v="70"/>
    <n v="100.74"/>
    <n v="7051.8"/>
    <x v="4"/>
    <x v="3"/>
  </r>
  <r>
    <d v="2026-06-11T00:00:00"/>
    <s v="829"/>
    <s v="OD33Y3567"/>
    <n v="39"/>
    <n v="100.74"/>
    <n v="3928.86"/>
    <x v="5"/>
    <x v="3"/>
  </r>
  <r>
    <d v="2026-06-11T00:00:00"/>
    <s v="830"/>
    <s v="JH01FS6302"/>
    <n v="39.020000000000003"/>
    <n v="100.74"/>
    <n v="3930.87"/>
    <x v="5"/>
    <x v="3"/>
  </r>
  <r>
    <d v="2026-06-11T00:00:00"/>
    <s v="831"/>
    <s v="OD15U5910"/>
    <n v="112"/>
    <n v="100.74"/>
    <n v="11282.88"/>
    <x v="5"/>
    <x v="3"/>
  </r>
  <r>
    <d v="2026-06-12T00:00:00"/>
    <s v="832"/>
    <s v=""/>
    <n v="600"/>
    <n v="100.74"/>
    <n v="60444"/>
    <x v="54"/>
    <x v="3"/>
  </r>
  <r>
    <d v="2026-06-12T00:00:00"/>
    <s v="833"/>
    <s v="OD15N0455"/>
    <n v="86.91"/>
    <n v="100.74"/>
    <n v="8755.31"/>
    <x v="38"/>
    <x v="3"/>
  </r>
  <r>
    <d v="2026-06-12T00:00:00"/>
    <s v="834"/>
    <s v="RJ19GE7997"/>
    <n v="20"/>
    <n v="100.74"/>
    <n v="2014.8"/>
    <x v="36"/>
    <x v="3"/>
  </r>
  <r>
    <d v="2026-06-12T00:00:00"/>
    <s v="835"/>
    <s v="RJ19GG0787"/>
    <n v="20"/>
    <n v="100.74"/>
    <n v="2014.8"/>
    <x v="36"/>
    <x v="3"/>
  </r>
  <r>
    <d v="2026-06-12T00:00:00"/>
    <s v="836"/>
    <s v="OD15P9503"/>
    <n v="46.18"/>
    <n v="100.74"/>
    <n v="4652.17"/>
    <x v="4"/>
    <x v="3"/>
  </r>
  <r>
    <d v="2026-06-12T00:00:00"/>
    <s v="837"/>
    <s v="OD23L3142"/>
    <n v="480"/>
    <n v="100.74"/>
    <n v="48355.199999999997"/>
    <x v="28"/>
    <x v="3"/>
  </r>
  <r>
    <d v="2026-06-12T00:00:00"/>
    <s v="838"/>
    <s v=""/>
    <n v="30"/>
    <n v="100.74"/>
    <n v="3022.2"/>
    <x v="7"/>
    <x v="3"/>
  </r>
  <r>
    <d v="2026-06-12T00:00:00"/>
    <s v="839"/>
    <s v=""/>
    <n v="652.16999999999996"/>
    <n v="100.74"/>
    <n v="65700"/>
    <x v="21"/>
    <x v="3"/>
  </r>
  <r>
    <d v="2026-06-12T00:00:00"/>
    <s v="840"/>
    <s v=""/>
    <n v="595.59"/>
    <n v="100.74"/>
    <n v="60000"/>
    <x v="9"/>
    <x v="3"/>
  </r>
  <r>
    <d v="2026-06-12T00:00:00"/>
    <s v="841"/>
    <s v="OR15Q0355"/>
    <n v="50"/>
    <n v="100.74"/>
    <n v="5037"/>
    <x v="38"/>
    <x v="3"/>
  </r>
  <r>
    <d v="2026-06-12T00:00:00"/>
    <s v="842"/>
    <s v="Transporting"/>
    <n v="2310.9"/>
    <n v="100.74"/>
    <n v="232800"/>
    <x v="8"/>
    <x v="3"/>
  </r>
  <r>
    <d v="2026-06-12T00:00:00"/>
    <s v="843"/>
    <s v="Consumer"/>
    <n v="168.75"/>
    <n v="100.74"/>
    <n v="17000"/>
    <x v="8"/>
    <x v="3"/>
  </r>
  <r>
    <d v="2026-06-12T00:00:00"/>
    <s v="844"/>
    <s v="OD15AF5510"/>
    <n v="1501.49"/>
    <n v="100.74"/>
    <n v="151260.1"/>
    <x v="16"/>
    <x v="3"/>
  </r>
  <r>
    <d v="2026-06-12T00:00:00"/>
    <s v="845"/>
    <s v="OD15AF5510"/>
    <n v="2000"/>
    <n v="100.74"/>
    <n v="201480"/>
    <x v="41"/>
    <x v="3"/>
  </r>
  <r>
    <d v="2026-06-12T00:00:00"/>
    <s v="846"/>
    <s v="RJ17GB0171"/>
    <n v="148.9"/>
    <n v="100.74"/>
    <n v="15000"/>
    <x v="55"/>
    <x v="3"/>
  </r>
  <r>
    <d v="2026-06-13T00:00:00"/>
    <s v="847"/>
    <s v="OD23D3131"/>
    <n v="20"/>
    <n v="100.74"/>
    <n v="2014.8"/>
    <x v="4"/>
    <x v="3"/>
  </r>
  <r>
    <d v="2026-06-13T00:00:00"/>
    <s v="848"/>
    <s v="JH01FS6302"/>
    <n v="31.01"/>
    <n v="100.74"/>
    <n v="3123.94"/>
    <x v="5"/>
    <x v="3"/>
  </r>
  <r>
    <d v="2026-06-13T00:00:00"/>
    <s v="849"/>
    <s v="OD15AA4091"/>
    <n v="35.450000000000003"/>
    <n v="100.74"/>
    <n v="3571.23"/>
    <x v="5"/>
    <x v="3"/>
  </r>
  <r>
    <d v="2026-06-13T00:00:00"/>
    <s v="850"/>
    <s v="CG04MN1172"/>
    <n v="1000"/>
    <n v="100.74"/>
    <n v="100740"/>
    <x v="28"/>
    <x v="3"/>
  </r>
  <r>
    <d v="2026-06-13T00:00:00"/>
    <s v="851"/>
    <s v=""/>
    <n v="148.9"/>
    <n v="100.74"/>
    <n v="15000"/>
    <x v="7"/>
    <x v="3"/>
  </r>
  <r>
    <d v="2026-06-13T00:00:00"/>
    <s v="852"/>
    <s v=""/>
    <n v="29.78"/>
    <n v="100.74"/>
    <n v="3000"/>
    <x v="9"/>
    <x v="3"/>
  </r>
  <r>
    <d v="2026-06-13T00:00:00"/>
    <s v="853"/>
    <s v=""/>
    <n v="540"/>
    <n v="100.74"/>
    <n v="54400"/>
    <x v="21"/>
    <x v="3"/>
  </r>
  <r>
    <d v="2026-06-13T00:00:00"/>
    <s v="854"/>
    <s v="Transporting"/>
    <n v="1739.13"/>
    <n v="100.74"/>
    <n v="175200"/>
    <x v="8"/>
    <x v="3"/>
  </r>
  <r>
    <d v="2026-06-13T00:00:00"/>
    <s v="855"/>
    <s v="Consumer"/>
    <n v="31.77"/>
    <n v="100.74"/>
    <n v="3200.5"/>
    <x v="8"/>
    <x v="3"/>
  </r>
  <r>
    <d v="2026-06-14T00:00:00"/>
    <s v="856"/>
    <s v=""/>
    <n v="2000"/>
    <n v="100.74"/>
    <n v="201480"/>
    <x v="37"/>
    <x v="3"/>
  </r>
  <r>
    <d v="2026-06-14T00:00:00"/>
    <s v="857"/>
    <s v=""/>
    <n v="2000"/>
    <n v="100.74"/>
    <n v="201480"/>
    <x v="56"/>
    <x v="3"/>
  </r>
  <r>
    <d v="2026-06-14T00:00:00"/>
    <s v="858"/>
    <s v=""/>
    <n v="2000"/>
    <n v="100.74"/>
    <n v="201480"/>
    <x v="57"/>
    <x v="3"/>
  </r>
  <r>
    <d v="2026-06-14T00:00:00"/>
    <s v="859"/>
    <s v="UP53FT9419"/>
    <n v="120"/>
    <n v="100.74"/>
    <n v="12088.8"/>
    <x v="36"/>
    <x v="3"/>
  </r>
  <r>
    <d v="2026-06-14T00:00:00"/>
    <s v="860"/>
    <s v="OD23Q4949"/>
    <n v="44.84"/>
    <n v="100.74"/>
    <n v="4517.18"/>
    <x v="19"/>
    <x v="3"/>
  </r>
  <r>
    <d v="2026-06-14T00:00:00"/>
    <s v="861"/>
    <s v="OD16K6067"/>
    <n v="54.6"/>
    <n v="100.74"/>
    <n v="5500"/>
    <x v="29"/>
    <x v="3"/>
  </r>
  <r>
    <d v="2026-06-14T00:00:00"/>
    <s v="862"/>
    <s v="CG04PL4888"/>
    <n v="13.67"/>
    <n v="100.74"/>
    <n v="1377.11"/>
    <x v="28"/>
    <x v="3"/>
  </r>
  <r>
    <d v="2026-06-14T00:00:00"/>
    <s v="863"/>
    <s v="OD15N0455"/>
    <n v="95.03"/>
    <n v="100.74"/>
    <n v="9573.32"/>
    <x v="38"/>
    <x v="3"/>
  </r>
  <r>
    <d v="2026-06-14T00:00:00"/>
    <s v="864"/>
    <s v="OR15Q0355"/>
    <n v="120"/>
    <n v="100.74"/>
    <n v="12088.8"/>
    <x v="38"/>
    <x v="3"/>
  </r>
  <r>
    <d v="2026-06-14T00:00:00"/>
    <s v="865"/>
    <s v="OD15K2690"/>
    <n v="109.2"/>
    <n v="100.74"/>
    <n v="11000.8"/>
    <x v="38"/>
    <x v="3"/>
  </r>
  <r>
    <d v="2026-06-14T00:00:00"/>
    <s v="866"/>
    <s v="HR20BE4625"/>
    <n v="35.049999999999997"/>
    <n v="100.74"/>
    <n v="3530.93"/>
    <x v="41"/>
    <x v="3"/>
  </r>
  <r>
    <d v="2026-06-14T00:00:00"/>
    <s v="867"/>
    <s v="OD05CC2073"/>
    <n v="50.28"/>
    <n v="100.74"/>
    <n v="5065.2"/>
    <x v="41"/>
    <x v="3"/>
  </r>
  <r>
    <d v="2026-06-14T00:00:00"/>
    <s v="868"/>
    <s v="AP39UN1538"/>
    <n v="146"/>
    <n v="100.74"/>
    <n v="14708.04"/>
    <x v="10"/>
    <x v="3"/>
  </r>
  <r>
    <d v="2026-06-14T00:00:00"/>
    <s v="869"/>
    <s v="AP39UN3054"/>
    <n v="196"/>
    <n v="100.74"/>
    <n v="19745.04"/>
    <x v="10"/>
    <x v="3"/>
  </r>
  <r>
    <d v="2026-06-14T00:00:00"/>
    <s v="870"/>
    <s v="AP39UN1536"/>
    <n v="200"/>
    <n v="100.74"/>
    <n v="20148"/>
    <x v="10"/>
    <x v="3"/>
  </r>
  <r>
    <d v="2026-06-14T00:00:00"/>
    <s v="871"/>
    <s v="AP39UN1540"/>
    <n v="184"/>
    <n v="100.74"/>
    <n v="18536.16"/>
    <x v="10"/>
    <x v="3"/>
  </r>
  <r>
    <d v="2026-06-14T00:00:00"/>
    <s v="872"/>
    <s v=""/>
    <n v="50"/>
    <n v="100.74"/>
    <n v="5037"/>
    <x v="7"/>
    <x v="3"/>
  </r>
  <r>
    <d v="2026-06-14T00:00:00"/>
    <s v="873"/>
    <s v=""/>
    <n v="688.9"/>
    <n v="100.74"/>
    <n v="69400"/>
    <x v="21"/>
    <x v="3"/>
  </r>
  <r>
    <d v="2026-06-14T00:00:00"/>
    <s v="874"/>
    <s v="Consumer"/>
    <n v="307.94"/>
    <n v="100.74"/>
    <n v="31022.2"/>
    <x v="8"/>
    <x v="3"/>
  </r>
  <r>
    <d v="2026-06-14T00:00:00"/>
    <s v="875"/>
    <s v="Transporting"/>
    <n v="1857.26"/>
    <n v="100.74"/>
    <n v="187100"/>
    <x v="8"/>
    <x v="3"/>
  </r>
  <r>
    <d v="2026-06-15T00:00:00"/>
    <s v="876"/>
    <s v="Transporting"/>
    <n v="2513.4"/>
    <n v="100.74"/>
    <n v="253200"/>
    <x v="8"/>
    <x v="3"/>
  </r>
  <r>
    <d v="2026-06-15T00:00:00"/>
    <s v="877"/>
    <s v=""/>
    <n v="521.14"/>
    <n v="100.74"/>
    <n v="52500"/>
    <x v="21"/>
    <x v="3"/>
  </r>
  <r>
    <d v="2026-06-15T00:00:00"/>
    <s v="878"/>
    <s v=""/>
    <n v="99.27"/>
    <n v="100.74"/>
    <n v="10000"/>
    <x v="7"/>
    <x v="3"/>
  </r>
  <r>
    <d v="2026-06-15T00:00:00"/>
    <s v="879"/>
    <s v="CG04MN1172"/>
    <n v="1000"/>
    <n v="100.74"/>
    <n v="100740"/>
    <x v="28"/>
    <x v="3"/>
  </r>
  <r>
    <d v="2026-06-15T00:00:00"/>
    <s v="880"/>
    <s v="OD14T5423"/>
    <n v="44.46"/>
    <n v="100.74"/>
    <n v="4478.8999999999996"/>
    <x v="29"/>
    <x v="3"/>
  </r>
  <r>
    <d v="2026-06-15T00:00:00"/>
    <s v="881"/>
    <s v="OD15U5910"/>
    <n v="113.36"/>
    <n v="100.74"/>
    <n v="11419.88"/>
    <x v="5"/>
    <x v="3"/>
  </r>
  <r>
    <d v="2026-06-15T00:00:00"/>
    <s v="882"/>
    <s v="OD23N1900"/>
    <n v="66.47"/>
    <n v="100.74"/>
    <n v="6696.18"/>
    <x v="20"/>
    <x v="3"/>
  </r>
  <r>
    <d v="2026-06-15T00:00:00"/>
    <s v="883"/>
    <s v="AP39UN1542"/>
    <n v="196"/>
    <n v="100.74"/>
    <n v="19745.04"/>
    <x v="10"/>
    <x v="3"/>
  </r>
  <r>
    <d v="2026-06-15T00:00:00"/>
    <s v="884"/>
    <s v="AP39UN1537"/>
    <n v="176"/>
    <n v="100.74"/>
    <n v="17730.240000000002"/>
    <x v="10"/>
    <x v="3"/>
  </r>
  <r>
    <d v="2026-06-15T00:00:00"/>
    <s v="885"/>
    <s v="AP39UN1537"/>
    <n v="188"/>
    <n v="100.74"/>
    <n v="18939.12"/>
    <x v="10"/>
    <x v="3"/>
  </r>
  <r>
    <d v="2026-06-16T00:00:00"/>
    <s v="886"/>
    <s v="OD23U0755"/>
    <n v="150"/>
    <n v="100.74"/>
    <n v="15111"/>
    <x v="16"/>
    <x v="3"/>
  </r>
  <r>
    <d v="2026-06-16T00:00:00"/>
    <s v="887"/>
    <s v="OD23U0855"/>
    <n v="150"/>
    <n v="100.74"/>
    <n v="15111"/>
    <x v="16"/>
    <x v="3"/>
  </r>
  <r>
    <d v="2026-06-16T00:00:00"/>
    <s v="888"/>
    <s v="OD23U1055"/>
    <n v="150"/>
    <n v="100.74"/>
    <n v="15111"/>
    <x v="16"/>
    <x v="3"/>
  </r>
  <r>
    <d v="2026-06-16T00:00:00"/>
    <s v="889"/>
    <s v="OD23U1155"/>
    <n v="150"/>
    <n v="100.74"/>
    <n v="15111"/>
    <x v="16"/>
    <x v="3"/>
  </r>
  <r>
    <d v="2026-06-16T00:00:00"/>
    <s v="890"/>
    <s v="OD23U1655"/>
    <n v="150"/>
    <n v="100.74"/>
    <n v="15111"/>
    <x v="16"/>
    <x v="3"/>
  </r>
  <r>
    <d v="2026-06-16T00:00:00"/>
    <s v="891"/>
    <s v="OD23U1755"/>
    <n v="150"/>
    <n v="100.74"/>
    <n v="15111"/>
    <x v="16"/>
    <x v="3"/>
  </r>
  <r>
    <d v="2026-06-16T00:00:00"/>
    <s v="892"/>
    <s v="OD23U1855"/>
    <n v="150"/>
    <n v="100.74"/>
    <n v="15111"/>
    <x v="16"/>
    <x v="3"/>
  </r>
  <r>
    <d v="2026-06-16T00:00:00"/>
    <s v="893"/>
    <s v="OD23V1955"/>
    <n v="150"/>
    <n v="100.74"/>
    <n v="15111"/>
    <x v="16"/>
    <x v="3"/>
  </r>
  <r>
    <d v="2026-06-16T00:00:00"/>
    <s v="894"/>
    <s v="OD23V2055"/>
    <n v="150"/>
    <n v="100.74"/>
    <n v="15111"/>
    <x v="16"/>
    <x v="3"/>
  </r>
  <r>
    <d v="2026-06-16T00:00:00"/>
    <s v="895"/>
    <s v="OD19T6394"/>
    <n v="150"/>
    <n v="100.74"/>
    <n v="15111"/>
    <x v="16"/>
    <x v="3"/>
  </r>
  <r>
    <d v="2026-06-16T00:00:00"/>
    <s v="896"/>
    <s v="OD23U0755"/>
    <n v="150"/>
    <n v="100.74"/>
    <n v="15111"/>
    <x v="16"/>
    <x v="3"/>
  </r>
  <r>
    <d v="2026-06-16T00:00:00"/>
    <s v="897"/>
    <s v="OD23U0855"/>
    <n v="150"/>
    <n v="100.74"/>
    <n v="15111"/>
    <x v="16"/>
    <x v="3"/>
  </r>
  <r>
    <d v="2026-06-16T00:00:00"/>
    <s v="898"/>
    <s v="OD23U1055"/>
    <n v="150"/>
    <n v="100.74"/>
    <n v="15111"/>
    <x v="16"/>
    <x v="3"/>
  </r>
  <r>
    <d v="2026-06-16T00:00:00"/>
    <s v="899"/>
    <s v="OD23U1155"/>
    <n v="150"/>
    <n v="100.74"/>
    <n v="15111"/>
    <x v="16"/>
    <x v="3"/>
  </r>
  <r>
    <d v="2026-06-16T00:00:00"/>
    <s v="900"/>
    <s v="OD23U1655"/>
    <n v="150"/>
    <n v="100.74"/>
    <n v="15111"/>
    <x v="16"/>
    <x v="3"/>
  </r>
  <r>
    <d v="2026-06-16T00:00:00"/>
    <s v="901"/>
    <s v="OD23U1755"/>
    <n v="150"/>
    <n v="100.74"/>
    <n v="15111"/>
    <x v="16"/>
    <x v="3"/>
  </r>
  <r>
    <d v="2026-06-16T00:00:00"/>
    <s v="902"/>
    <s v="OD23U1855"/>
    <n v="150"/>
    <n v="100.74"/>
    <n v="15111"/>
    <x v="16"/>
    <x v="3"/>
  </r>
  <r>
    <d v="2026-06-16T00:00:00"/>
    <s v="903"/>
    <s v="OD23V1955"/>
    <n v="150"/>
    <n v="100.74"/>
    <n v="15111"/>
    <x v="16"/>
    <x v="3"/>
  </r>
  <r>
    <d v="2026-06-16T00:00:00"/>
    <s v="904"/>
    <s v="OD23V2055"/>
    <n v="150"/>
    <n v="100.74"/>
    <n v="15111"/>
    <x v="16"/>
    <x v="3"/>
  </r>
  <r>
    <d v="2026-06-16T00:00:00"/>
    <s v="905"/>
    <s v="OD19T6394"/>
    <n v="150"/>
    <n v="100.74"/>
    <n v="15111"/>
    <x v="16"/>
    <x v="3"/>
  </r>
  <r>
    <d v="2026-06-16T00:00:00"/>
    <s v="906"/>
    <s v="OD23A8210"/>
    <n v="34.82"/>
    <n v="100.74"/>
    <n v="3507.77"/>
    <x v="2"/>
    <x v="3"/>
  </r>
  <r>
    <d v="2026-06-16T00:00:00"/>
    <s v="907"/>
    <s v="OD23Q0312"/>
    <n v="25"/>
    <n v="100.74"/>
    <n v="2518.5"/>
    <x v="58"/>
    <x v="3"/>
  </r>
  <r>
    <d v="2026-06-16T00:00:00"/>
    <s v="908"/>
    <s v="OD15T6167"/>
    <n v="52.3"/>
    <n v="100.74"/>
    <n v="5268.7"/>
    <x v="58"/>
    <x v="3"/>
  </r>
  <r>
    <d v="2026-06-16T00:00:00"/>
    <s v="909"/>
    <s v="OD23G4251"/>
    <n v="50.38"/>
    <n v="100.74"/>
    <n v="5075.28"/>
    <x v="29"/>
    <x v="3"/>
  </r>
  <r>
    <d v="2026-06-16T00:00:00"/>
    <s v="910"/>
    <s v="OD15N0455"/>
    <n v="74.61"/>
    <n v="100.74"/>
    <n v="7516.21"/>
    <x v="38"/>
    <x v="3"/>
  </r>
  <r>
    <d v="2026-06-16T00:00:00"/>
    <s v="911"/>
    <s v="Transporting"/>
    <n v="1216.99"/>
    <n v="100.74"/>
    <n v="122600"/>
    <x v="8"/>
    <x v="3"/>
  </r>
  <r>
    <d v="2026-06-16T00:00:00"/>
    <s v="912"/>
    <s v=""/>
    <n v="893.39"/>
    <n v="100.74"/>
    <n v="90000"/>
    <x v="21"/>
    <x v="3"/>
  </r>
  <r>
    <d v="2026-06-16T00:00:00"/>
    <s v="913"/>
    <s v="OD23M5679"/>
    <n v="165"/>
    <n v="100.74"/>
    <n v="16622.099999999999"/>
    <x v="28"/>
    <x v="3"/>
  </r>
  <r>
    <d v="2026-06-16T00:00:00"/>
    <s v="914"/>
    <s v="OD23M5631"/>
    <n v="165"/>
    <n v="100.74"/>
    <n v="16622.099999999999"/>
    <x v="28"/>
    <x v="3"/>
  </r>
  <r>
    <d v="2026-06-16T00:00:00"/>
    <s v="915"/>
    <s v="OD23M5635"/>
    <n v="165"/>
    <n v="100.74"/>
    <n v="16622.099999999999"/>
    <x v="28"/>
    <x v="3"/>
  </r>
  <r>
    <d v="2026-06-16T00:00:00"/>
    <s v="916"/>
    <s v="OD23M5651"/>
    <n v="165"/>
    <n v="100.74"/>
    <n v="16622.099999999999"/>
    <x v="28"/>
    <x v="3"/>
  </r>
  <r>
    <d v="2026-06-16T00:00:00"/>
    <s v="917"/>
    <s v="OD23M5675"/>
    <n v="165"/>
    <n v="100.74"/>
    <n v="16622.099999999999"/>
    <x v="28"/>
    <x v="3"/>
  </r>
  <r>
    <d v="2026-06-16T00:00:00"/>
    <s v="918"/>
    <s v="OD23M5617"/>
    <n v="165"/>
    <n v="100.74"/>
    <n v="16622.099999999999"/>
    <x v="28"/>
    <x v="3"/>
  </r>
  <r>
    <d v="2026-06-16T00:00:00"/>
    <s v="919"/>
    <s v="OD23M5687"/>
    <n v="165"/>
    <n v="100.74"/>
    <n v="16622.099999999999"/>
    <x v="28"/>
    <x v="3"/>
  </r>
  <r>
    <d v="2026-06-16T00:00:00"/>
    <s v="920"/>
    <s v="OD23M5610"/>
    <n v="165"/>
    <n v="100.74"/>
    <n v="16622.099999999999"/>
    <x v="28"/>
    <x v="3"/>
  </r>
  <r>
    <d v="2026-06-16T00:00:00"/>
    <s v="921"/>
    <s v="OD23M5686"/>
    <n v="165"/>
    <n v="100.74"/>
    <n v="16622.099999999999"/>
    <x v="28"/>
    <x v="3"/>
  </r>
  <r>
    <d v="2026-06-16T00:00:00"/>
    <s v="922"/>
    <s v="OD23M5613"/>
    <n v="165"/>
    <n v="100.74"/>
    <n v="16622.099999999999"/>
    <x v="28"/>
    <x v="3"/>
  </r>
  <r>
    <d v="2026-06-16T00:00:00"/>
    <s v="923"/>
    <s v="OD23M5684"/>
    <n v="165"/>
    <n v="100.74"/>
    <n v="16622.099999999999"/>
    <x v="28"/>
    <x v="3"/>
  </r>
  <r>
    <d v="2026-06-16T00:00:00"/>
    <s v="924"/>
    <s v="OD23M5682"/>
    <n v="171.33"/>
    <n v="100.74"/>
    <n v="17259.79"/>
    <x v="28"/>
    <x v="3"/>
  </r>
  <r>
    <d v="2026-06-17T00:00:00"/>
    <s v="925"/>
    <s v="OD23M5679"/>
    <n v="165"/>
    <n v="100.74"/>
    <n v="16622.099999999999"/>
    <x v="28"/>
    <x v="3"/>
  </r>
  <r>
    <d v="2026-06-17T00:00:00"/>
    <s v="926"/>
    <s v="OD23M5631"/>
    <n v="165"/>
    <n v="100.74"/>
    <n v="16622.099999999999"/>
    <x v="28"/>
    <x v="3"/>
  </r>
  <r>
    <d v="2026-06-17T00:00:00"/>
    <s v="927"/>
    <s v="OD23M5635"/>
    <n v="165"/>
    <n v="100.74"/>
    <n v="16622.099999999999"/>
    <x v="28"/>
    <x v="3"/>
  </r>
  <r>
    <d v="2026-06-17T00:00:00"/>
    <s v="928"/>
    <s v="OD23M5651"/>
    <n v="165"/>
    <n v="100.74"/>
    <n v="16622.099999999999"/>
    <x v="28"/>
    <x v="3"/>
  </r>
  <r>
    <d v="2026-06-17T00:00:00"/>
    <s v="929"/>
    <s v="OD23M5657"/>
    <n v="165"/>
    <n v="100.74"/>
    <n v="16622.099999999999"/>
    <x v="28"/>
    <x v="3"/>
  </r>
  <r>
    <d v="2026-06-17T00:00:00"/>
    <s v="930"/>
    <s v="OD23M5617"/>
    <n v="165"/>
    <n v="100.74"/>
    <n v="16622.099999999999"/>
    <x v="28"/>
    <x v="3"/>
  </r>
  <r>
    <d v="2026-06-17T00:00:00"/>
    <s v="931"/>
    <s v="OD23M5687"/>
    <n v="165"/>
    <n v="100.74"/>
    <n v="16622.099999999999"/>
    <x v="28"/>
    <x v="3"/>
  </r>
  <r>
    <d v="2026-06-17T00:00:00"/>
    <s v="932"/>
    <s v="OD23M5610"/>
    <n v="165"/>
    <n v="100.74"/>
    <n v="16622.099999999999"/>
    <x v="28"/>
    <x v="3"/>
  </r>
  <r>
    <d v="2026-06-17T00:00:00"/>
    <s v="933"/>
    <s v="OD23M5686"/>
    <n v="165"/>
    <n v="100.74"/>
    <n v="16622.099999999999"/>
    <x v="28"/>
    <x v="3"/>
  </r>
  <r>
    <d v="2026-06-17T00:00:00"/>
    <s v="934"/>
    <s v="OD23M5613"/>
    <n v="165"/>
    <n v="100.74"/>
    <n v="16622.099999999999"/>
    <x v="28"/>
    <x v="3"/>
  </r>
  <r>
    <d v="2026-06-17T00:00:00"/>
    <s v="935"/>
    <s v="OD23M5684"/>
    <n v="165"/>
    <n v="100.74"/>
    <n v="16622.099999999999"/>
    <x v="28"/>
    <x v="3"/>
  </r>
  <r>
    <d v="2026-06-17T00:00:00"/>
    <s v="936"/>
    <s v="OD23M5682"/>
    <n v="185"/>
    <n v="100.74"/>
    <n v="18636.900000000001"/>
    <x v="28"/>
    <x v="3"/>
  </r>
  <r>
    <d v="2026-06-17T00:00:00"/>
    <s v="937"/>
    <s v="RJ19GG0787"/>
    <n v="200"/>
    <n v="100.74"/>
    <n v="20148"/>
    <x v="36"/>
    <x v="3"/>
  </r>
  <r>
    <d v="2026-06-17T00:00:00"/>
    <s v="938"/>
    <s v="OD16J8226"/>
    <n v="24.82"/>
    <n v="100.74"/>
    <n v="2500"/>
    <x v="29"/>
    <x v="3"/>
  </r>
  <r>
    <d v="2026-06-17T00:00:00"/>
    <s v="939"/>
    <s v="OD15AA5823"/>
    <n v="50"/>
    <n v="100.74"/>
    <n v="5037"/>
    <x v="38"/>
    <x v="3"/>
  </r>
  <r>
    <d v="2026-06-17T00:00:00"/>
    <s v="940"/>
    <s v="JCB"/>
    <n v="104.46"/>
    <n v="100.74"/>
    <n v="10523.3"/>
    <x v="4"/>
    <x v="3"/>
  </r>
  <r>
    <d v="2026-06-17T00:00:00"/>
    <s v="941"/>
    <s v="CG04HD0774"/>
    <n v="20"/>
    <n v="100.74"/>
    <n v="2014.8"/>
    <x v="4"/>
    <x v="3"/>
  </r>
  <r>
    <d v="2026-06-17T00:00:00"/>
    <s v="942"/>
    <s v="OD15AA4091"/>
    <n v="42.64"/>
    <n v="100.74"/>
    <n v="4295.55"/>
    <x v="5"/>
    <x v="3"/>
  </r>
  <r>
    <d v="2026-06-17T00:00:00"/>
    <s v="943"/>
    <s v="OD23M4614"/>
    <n v="49.26"/>
    <n v="100.74"/>
    <n v="4962.45"/>
    <x v="58"/>
    <x v="3"/>
  </r>
  <r>
    <d v="2026-06-17T00:00:00"/>
    <s v="944"/>
    <s v="OD23P5658"/>
    <n v="32.01"/>
    <n v="100.74"/>
    <n v="3224.68"/>
    <x v="58"/>
    <x v="3"/>
  </r>
  <r>
    <d v="2026-06-17T00:00:00"/>
    <s v="945"/>
    <s v=""/>
    <n v="57.58"/>
    <n v="100.74"/>
    <n v="5800"/>
    <x v="21"/>
    <x v="3"/>
  </r>
  <r>
    <d v="2026-06-18T00:00:00"/>
    <s v="946"/>
    <s v=""/>
    <n v="49.63"/>
    <n v="100.74"/>
    <n v="5000"/>
    <x v="21"/>
    <x v="3"/>
  </r>
  <r>
    <d v="2026-06-18T00:00:00"/>
    <s v="947"/>
    <s v="OD23A8210"/>
    <n v="48.74"/>
    <n v="100.74"/>
    <n v="4910.0600000000004"/>
    <x v="2"/>
    <x v="3"/>
  </r>
  <r>
    <d v="2026-06-18T00:00:00"/>
    <s v="948"/>
    <s v="JCB"/>
    <n v="30"/>
    <n v="100.74"/>
    <n v="3022.2"/>
    <x v="4"/>
    <x v="3"/>
  </r>
  <r>
    <d v="2026-06-18T00:00:00"/>
    <s v="949"/>
    <s v="OD15AA5823"/>
    <n v="100"/>
    <n v="100.74"/>
    <n v="10074"/>
    <x v="38"/>
    <x v="3"/>
  </r>
  <r>
    <d v="2026-06-18T00:00:00"/>
    <s v="950"/>
    <s v="OD15N0455"/>
    <n v="87.97"/>
    <n v="100.74"/>
    <n v="8862.09"/>
    <x v="38"/>
    <x v="3"/>
  </r>
  <r>
    <d v="2026-06-18T00:00:00"/>
    <s v="951"/>
    <s v="OD23Q0312"/>
    <n v="29.78"/>
    <n v="100.74"/>
    <n v="3000.03"/>
    <x v="58"/>
    <x v="3"/>
  </r>
  <r>
    <d v="2026-06-18T00:00:00"/>
    <s v="952"/>
    <s v="OD23Q5434"/>
    <n v="40.950000000000003"/>
    <n v="100.74"/>
    <n v="4125.3"/>
    <x v="58"/>
    <x v="3"/>
  </r>
  <r>
    <d v="2026-06-18T00:00:00"/>
    <s v="953"/>
    <s v="OD15T6167"/>
    <n v="25"/>
    <n v="100.74"/>
    <n v="2518.5"/>
    <x v="58"/>
    <x v="3"/>
  </r>
  <r>
    <d v="2026-06-18T00:00:00"/>
    <s v="954"/>
    <s v="OD23U0755"/>
    <n v="200"/>
    <n v="100.74"/>
    <n v="20148"/>
    <x v="16"/>
    <x v="3"/>
  </r>
  <r>
    <d v="2026-06-18T00:00:00"/>
    <s v="955"/>
    <s v="OD23U0855"/>
    <n v="200"/>
    <n v="100.74"/>
    <n v="20148"/>
    <x v="16"/>
    <x v="3"/>
  </r>
  <r>
    <d v="2026-06-18T00:00:00"/>
    <s v="956"/>
    <s v="OD23U1055"/>
    <n v="200"/>
    <n v="100.74"/>
    <n v="20148"/>
    <x v="16"/>
    <x v="3"/>
  </r>
  <r>
    <d v="2026-06-18T00:00:00"/>
    <s v="957"/>
    <s v="OD23U1155"/>
    <n v="200"/>
    <n v="100.74"/>
    <n v="20148"/>
    <x v="16"/>
    <x v="3"/>
  </r>
  <r>
    <d v="2026-06-18T00:00:00"/>
    <s v="958"/>
    <s v="OD23U1655"/>
    <n v="200"/>
    <n v="100.74"/>
    <n v="20148"/>
    <x v="16"/>
    <x v="3"/>
  </r>
  <r>
    <d v="2026-06-19T00:00:00"/>
    <s v="959"/>
    <s v="Transporting"/>
    <n v="1310.3"/>
    <n v="100.74"/>
    <n v="132000"/>
    <x v="8"/>
    <x v="3"/>
  </r>
  <r>
    <d v="2026-06-19T00:00:00"/>
    <s v="960"/>
    <s v=""/>
    <n v="229.3"/>
    <n v="100.74"/>
    <n v="23100"/>
    <x v="21"/>
    <x v="3"/>
  </r>
  <r>
    <d v="2026-06-19T00:00:00"/>
    <s v="961"/>
    <s v="OD15Z1430"/>
    <n v="20"/>
    <n v="100.74"/>
    <n v="2014.8"/>
    <x v="38"/>
    <x v="3"/>
  </r>
  <r>
    <d v="2026-06-19T00:00:00"/>
    <s v="962"/>
    <s v="HR20BE4625"/>
    <n v="48"/>
    <n v="100.74"/>
    <n v="4835.5200000000004"/>
    <x v="41"/>
    <x v="3"/>
  </r>
  <r>
    <d v="2026-06-19T00:00:00"/>
    <s v="963"/>
    <s v="OD23D0009"/>
    <n v="52.32"/>
    <n v="100.74"/>
    <n v="5270.71"/>
    <x v="19"/>
    <x v="3"/>
  </r>
  <r>
    <d v="2026-06-19T00:00:00"/>
    <s v="964"/>
    <s v="OD23P5658"/>
    <n v="26.86"/>
    <n v="100.74"/>
    <n v="2705.87"/>
    <x v="58"/>
    <x v="3"/>
  </r>
  <r>
    <d v="2026-06-19T00:00:00"/>
    <s v="965"/>
    <s v="OD14E0075"/>
    <n v="57.08"/>
    <n v="100.74"/>
    <n v="5750.23"/>
    <x v="58"/>
    <x v="3"/>
  </r>
  <r>
    <d v="2026-06-19T00:00:00"/>
    <s v="966"/>
    <s v="OD23P0337"/>
    <n v="54.89"/>
    <n v="100.74"/>
    <n v="5529.61"/>
    <x v="58"/>
    <x v="3"/>
  </r>
  <r>
    <d v="2026-06-19T00:00:00"/>
    <s v="967"/>
    <s v="OD15AF5510"/>
    <n v="200"/>
    <n v="100.74"/>
    <n v="20148"/>
    <x v="41"/>
    <x v="3"/>
  </r>
  <r>
    <d v="2026-06-19T00:00:00"/>
    <s v="968"/>
    <s v=""/>
    <n v="200"/>
    <n v="100.74"/>
    <n v="20148"/>
    <x v="41"/>
    <x v="3"/>
  </r>
  <r>
    <d v="2026-06-19T00:00:00"/>
    <s v="969"/>
    <s v=""/>
    <n v="200"/>
    <n v="100.74"/>
    <n v="20148"/>
    <x v="41"/>
    <x v="3"/>
  </r>
  <r>
    <d v="2026-06-19T00:00:00"/>
    <s v="970"/>
    <s v=""/>
    <n v="200"/>
    <n v="100.74"/>
    <n v="20148"/>
    <x v="41"/>
    <x v="3"/>
  </r>
  <r>
    <d v="2026-06-19T00:00:00"/>
    <s v="971"/>
    <s v=""/>
    <n v="200"/>
    <n v="100.74"/>
    <n v="20148"/>
    <x v="41"/>
    <x v="3"/>
  </r>
  <r>
    <d v="2026-06-19T00:00:00"/>
    <s v="972"/>
    <s v=""/>
    <n v="200"/>
    <n v="100.74"/>
    <n v="20148"/>
    <x v="41"/>
    <x v="3"/>
  </r>
  <r>
    <d v="2026-06-19T00:00:00"/>
    <s v="973"/>
    <s v=""/>
    <n v="200"/>
    <n v="100.74"/>
    <n v="20148"/>
    <x v="41"/>
    <x v="3"/>
  </r>
  <r>
    <d v="2026-06-19T00:00:00"/>
    <s v="974"/>
    <s v=""/>
    <n v="200"/>
    <n v="100.74"/>
    <n v="20148"/>
    <x v="41"/>
    <x v="3"/>
  </r>
  <r>
    <d v="2026-06-19T00:00:00"/>
    <s v="975"/>
    <s v=""/>
    <n v="200"/>
    <n v="100.74"/>
    <n v="20148"/>
    <x v="41"/>
    <x v="3"/>
  </r>
  <r>
    <d v="2026-06-19T00:00:00"/>
    <s v="976"/>
    <s v=""/>
    <n v="200"/>
    <n v="100.74"/>
    <n v="20148"/>
    <x v="41"/>
    <x v="3"/>
  </r>
  <r>
    <d v="2026-06-19T00:00:00"/>
    <s v="977"/>
    <s v=""/>
    <n v="200"/>
    <n v="100.74"/>
    <n v="20148"/>
    <x v="41"/>
    <x v="3"/>
  </r>
  <r>
    <d v="2026-06-19T00:00:00"/>
    <s v="978"/>
    <s v=""/>
    <n v="200"/>
    <n v="100.74"/>
    <n v="20148"/>
    <x v="41"/>
    <x v="3"/>
  </r>
  <r>
    <d v="2026-06-19T00:00:00"/>
    <s v="979"/>
    <s v=""/>
    <n v="200"/>
    <n v="100.74"/>
    <n v="20148"/>
    <x v="41"/>
    <x v="3"/>
  </r>
  <r>
    <d v="2026-06-19T00:00:00"/>
    <s v="980"/>
    <s v=""/>
    <n v="200"/>
    <n v="100.74"/>
    <n v="20148"/>
    <x v="41"/>
    <x v="3"/>
  </r>
  <r>
    <d v="2026-06-19T00:00:00"/>
    <s v="981"/>
    <s v=""/>
    <n v="199.56"/>
    <n v="100.74"/>
    <n v="20103.669999999998"/>
    <x v="41"/>
    <x v="3"/>
  </r>
  <r>
    <d v="2026-06-20T00:00:00"/>
    <s v="982"/>
    <s v="OD23K9457"/>
    <n v="1000"/>
    <n v="100.74"/>
    <n v="100740"/>
    <x v="33"/>
    <x v="3"/>
  </r>
  <r>
    <d v="2026-06-20T00:00:00"/>
    <s v="983"/>
    <s v="Transporting"/>
    <n v="4161.21"/>
    <n v="100.74"/>
    <n v="419200"/>
    <x v="8"/>
    <x v="3"/>
  </r>
  <r>
    <d v="2026-06-20T00:00:00"/>
    <s v="984"/>
    <s v=""/>
    <n v="327.58"/>
    <n v="100.74"/>
    <n v="33000"/>
    <x v="21"/>
    <x v="3"/>
  </r>
  <r>
    <d v="2026-06-20T00:00:00"/>
    <s v="985"/>
    <s v="OR15Q0355"/>
    <n v="60"/>
    <n v="100.74"/>
    <n v="6044.4"/>
    <x v="38"/>
    <x v="3"/>
  </r>
  <r>
    <d v="2026-06-20T00:00:00"/>
    <s v="986"/>
    <s v="OD15K2690"/>
    <n v="109.79"/>
    <n v="100.74"/>
    <n v="11060.24"/>
    <x v="38"/>
    <x v="3"/>
  </r>
  <r>
    <d v="2026-06-20T00:00:00"/>
    <s v="987"/>
    <s v="OD15N0455"/>
    <n v="95.7"/>
    <n v="100.74"/>
    <n v="9640.81"/>
    <x v="38"/>
    <x v="3"/>
  </r>
  <r>
    <d v="2026-06-20T00:00:00"/>
    <s v="988"/>
    <s v="OD15K2690"/>
    <n v="35"/>
    <n v="100.74"/>
    <n v="3525.9"/>
    <x v="38"/>
    <x v="3"/>
  </r>
  <r>
    <d v="2026-06-20T00:00:00"/>
    <s v="989"/>
    <s v="OD15AA4091"/>
    <n v="10"/>
    <n v="100.74"/>
    <n v="1007.4"/>
    <x v="5"/>
    <x v="3"/>
  </r>
  <r>
    <d v="2026-06-20T00:00:00"/>
    <s v="990"/>
    <s v="OD33Y3567"/>
    <n v="30"/>
    <n v="100.74"/>
    <n v="3022.2"/>
    <x v="5"/>
    <x v="3"/>
  </r>
  <r>
    <d v="2026-06-20T00:00:00"/>
    <s v="991"/>
    <s v="OD16K1072"/>
    <n v="19.850000000000001"/>
    <n v="100.74"/>
    <n v="2000"/>
    <x v="29"/>
    <x v="3"/>
  </r>
  <r>
    <d v="2026-06-20T00:00:00"/>
    <s v="992"/>
    <s v="OD23Q5434"/>
    <n v="33.15"/>
    <n v="100.74"/>
    <n v="3339.53"/>
    <x v="58"/>
    <x v="3"/>
  </r>
  <r>
    <d v="2026-06-20T00:00:00"/>
    <s v="993"/>
    <s v="OD23U0755"/>
    <n v="200"/>
    <n v="100.74"/>
    <n v="20148"/>
    <x v="16"/>
    <x v="3"/>
  </r>
  <r>
    <d v="2026-06-20T00:00:00"/>
    <s v="994"/>
    <s v="OD23U0855"/>
    <n v="200"/>
    <n v="100.74"/>
    <n v="20148"/>
    <x v="16"/>
    <x v="3"/>
  </r>
  <r>
    <d v="2026-06-20T00:00:00"/>
    <s v="995"/>
    <s v="OD23U1055"/>
    <n v="200"/>
    <n v="100.74"/>
    <n v="20148"/>
    <x v="16"/>
    <x v="3"/>
  </r>
  <r>
    <d v="2026-06-20T00:00:00"/>
    <s v="996"/>
    <s v="OD23U1155"/>
    <n v="200"/>
    <n v="100.74"/>
    <n v="20148"/>
    <x v="16"/>
    <x v="3"/>
  </r>
  <r>
    <d v="2026-06-20T00:00:00"/>
    <s v="997"/>
    <s v="OD23U1655"/>
    <n v="200"/>
    <n v="100.74"/>
    <n v="20148"/>
    <x v="16"/>
    <x v="3"/>
  </r>
  <r>
    <d v="2026-06-20T00:00:00"/>
    <s v="998"/>
    <s v="OD23U1755"/>
    <n v="200"/>
    <n v="100.74"/>
    <n v="20148"/>
    <x v="16"/>
    <x v="3"/>
  </r>
  <r>
    <d v="2026-06-20T00:00:00"/>
    <s v="999"/>
    <s v="OD23U1855"/>
    <n v="200"/>
    <n v="100.74"/>
    <n v="20148"/>
    <x v="16"/>
    <x v="3"/>
  </r>
  <r>
    <d v="2026-06-20T00:00:00"/>
    <s v="1000"/>
    <s v="OD23V1955"/>
    <n v="200"/>
    <n v="100.74"/>
    <n v="20148"/>
    <x v="16"/>
    <x v="3"/>
  </r>
  <r>
    <d v="2026-06-20T00:00:00"/>
    <s v="1001"/>
    <s v="OD23V2055"/>
    <n v="200"/>
    <n v="100.74"/>
    <n v="20148"/>
    <x v="16"/>
    <x v="3"/>
  </r>
  <r>
    <d v="2026-06-20T00:00:00"/>
    <s v="1002"/>
    <s v="OD19T6394"/>
    <n v="199.83"/>
    <n v="100.74"/>
    <n v="20130.87"/>
    <x v="16"/>
    <x v="3"/>
  </r>
  <r>
    <d v="2026-06-21T00:00:00"/>
    <s v="1003"/>
    <s v="Transporting"/>
    <n v="4892.79"/>
    <n v="100.74"/>
    <n v="492900"/>
    <x v="8"/>
    <x v="3"/>
  </r>
  <r>
    <d v="2026-06-21T00:00:00"/>
    <s v="1004"/>
    <s v=""/>
    <n v="935.08"/>
    <n v="100.74"/>
    <n v="94200"/>
    <x v="21"/>
    <x v="3"/>
  </r>
  <r>
    <d v="2026-06-21T00:00:00"/>
    <s v="1005"/>
    <s v=""/>
    <n v="29.78"/>
    <n v="100.74"/>
    <n v="3000"/>
    <x v="7"/>
    <x v="3"/>
  </r>
  <r>
    <d v="2026-06-21T00:00:00"/>
    <s v="1006"/>
    <s v="NL01AJ8743"/>
    <n v="200"/>
    <n v="100.74"/>
    <n v="20148"/>
    <x v="25"/>
    <x v="3"/>
  </r>
  <r>
    <d v="2026-06-21T00:00:00"/>
    <s v="1007"/>
    <s v="OD33Y3567"/>
    <n v="30"/>
    <n v="100.74"/>
    <n v="3022.2"/>
    <x v="5"/>
    <x v="3"/>
  </r>
  <r>
    <d v="2026-06-21T00:00:00"/>
    <s v="1008"/>
    <s v="JH01FS6302"/>
    <n v="10"/>
    <n v="100.74"/>
    <n v="1007.4"/>
    <x v="5"/>
    <x v="3"/>
  </r>
  <r>
    <d v="2026-06-21T00:00:00"/>
    <s v="1009"/>
    <s v="OD15T6167"/>
    <n v="52.41"/>
    <n v="100.74"/>
    <n v="5279.78"/>
    <x v="58"/>
    <x v="3"/>
  </r>
  <r>
    <d v="2026-06-21T00:00:00"/>
    <s v="1010"/>
    <s v=""/>
    <n v="20"/>
    <n v="100.74"/>
    <n v="2014.8"/>
    <x v="26"/>
    <x v="3"/>
  </r>
  <r>
    <d v="2026-06-22T00:00:00"/>
    <s v="1011"/>
    <s v="OD16M0750"/>
    <n v="150"/>
    <n v="100.74"/>
    <n v="15111"/>
    <x v="59"/>
    <x v="3"/>
  </r>
  <r>
    <d v="2026-06-22T00:00:00"/>
    <s v="1012"/>
    <s v="OD16M0743"/>
    <n v="150"/>
    <n v="100.74"/>
    <n v="15111"/>
    <x v="59"/>
    <x v="3"/>
  </r>
  <r>
    <d v="2026-06-22T00:00:00"/>
    <s v="1013"/>
    <s v="OD16K7132"/>
    <n v="150"/>
    <n v="100.74"/>
    <n v="15111"/>
    <x v="59"/>
    <x v="3"/>
  </r>
  <r>
    <d v="2026-06-22T00:00:00"/>
    <s v="1014"/>
    <s v="OD16K7170"/>
    <n v="150"/>
    <n v="100.74"/>
    <n v="15111"/>
    <x v="59"/>
    <x v="3"/>
  </r>
  <r>
    <d v="2026-06-22T00:00:00"/>
    <s v="1015"/>
    <s v="OD16K7103"/>
    <n v="150"/>
    <n v="100.74"/>
    <n v="15111"/>
    <x v="59"/>
    <x v="3"/>
  </r>
  <r>
    <d v="2026-06-22T00:00:00"/>
    <s v="1016"/>
    <s v="OD14E0075"/>
    <n v="67"/>
    <n v="100.74"/>
    <n v="6749.58"/>
    <x v="58"/>
    <x v="3"/>
  </r>
  <r>
    <d v="2026-06-22T00:00:00"/>
    <s v="1017"/>
    <s v="OD14T5423"/>
    <n v="48.66"/>
    <n v="100.74"/>
    <n v="4902"/>
    <x v="29"/>
    <x v="3"/>
  </r>
  <r>
    <d v="2026-06-22T00:00:00"/>
    <s v="1018"/>
    <s v="Transporting"/>
    <n v="287.87"/>
    <n v="100.74"/>
    <n v="29000"/>
    <x v="8"/>
    <x v="3"/>
  </r>
  <r>
    <d v="2026-06-22T00:00:00"/>
    <s v="1019"/>
    <s v=""/>
    <n v="297.8"/>
    <n v="100.74"/>
    <n v="30000"/>
    <x v="21"/>
    <x v="3"/>
  </r>
  <r>
    <d v="2026-06-23T00:00:00"/>
    <s v="1020"/>
    <s v="OD05AP4113"/>
    <n v="300"/>
    <n v="100.74"/>
    <n v="30222"/>
    <x v="23"/>
    <x v="3"/>
  </r>
  <r>
    <d v="2026-06-23T00:00:00"/>
    <s v="1021"/>
    <s v="OD16L2122"/>
    <n v="200"/>
    <n v="100.74"/>
    <n v="20148"/>
    <x v="50"/>
    <x v="3"/>
  </r>
  <r>
    <d v="2026-06-23T00:00:00"/>
    <s v="1022"/>
    <s v="OD16A4989"/>
    <n v="200"/>
    <n v="100.74"/>
    <n v="20148"/>
    <x v="50"/>
    <x v="3"/>
  </r>
  <r>
    <d v="2026-06-23T00:00:00"/>
    <s v="1023"/>
    <s v="OD16A4980"/>
    <n v="200"/>
    <n v="100.74"/>
    <n v="20148"/>
    <x v="50"/>
    <x v="3"/>
  </r>
  <r>
    <d v="2026-06-23T00:00:00"/>
    <s v="1024"/>
    <s v="OD16A7401"/>
    <n v="200"/>
    <n v="100.74"/>
    <n v="20148"/>
    <x v="50"/>
    <x v="3"/>
  </r>
  <r>
    <d v="2026-06-23T00:00:00"/>
    <s v="1025"/>
    <s v="OD16K3490"/>
    <n v="200"/>
    <n v="100.74"/>
    <n v="20148"/>
    <x v="50"/>
    <x v="3"/>
  </r>
  <r>
    <d v="2026-06-23T00:00:00"/>
    <s v="1026"/>
    <s v="OD16K3409"/>
    <n v="200"/>
    <n v="100.74"/>
    <n v="20148"/>
    <x v="50"/>
    <x v="3"/>
  </r>
  <r>
    <d v="2026-06-23T00:00:00"/>
    <s v="1027"/>
    <s v="AP39UN1540"/>
    <n v="200"/>
    <n v="100.74"/>
    <n v="20148"/>
    <x v="10"/>
    <x v="3"/>
  </r>
  <r>
    <d v="2026-06-23T00:00:00"/>
    <s v="1028"/>
    <s v="OD16K7171"/>
    <n v="150"/>
    <n v="100.74"/>
    <n v="15111"/>
    <x v="59"/>
    <x v="3"/>
  </r>
  <r>
    <d v="2026-06-23T00:00:00"/>
    <s v="1029"/>
    <s v="OD16K7108"/>
    <n v="150"/>
    <n v="100.74"/>
    <n v="15111"/>
    <x v="59"/>
    <x v="3"/>
  </r>
  <r>
    <d v="2026-06-23T00:00:00"/>
    <s v="1030"/>
    <s v="OD15N0455"/>
    <n v="101.75"/>
    <n v="100.74"/>
    <n v="10250.290000000001"/>
    <x v="38"/>
    <x v="3"/>
  </r>
  <r>
    <d v="2026-06-23T00:00:00"/>
    <s v="1031"/>
    <s v="OD15AA4091"/>
    <n v="10"/>
    <n v="100.74"/>
    <n v="1007.4"/>
    <x v="5"/>
    <x v="3"/>
  </r>
  <r>
    <d v="2026-06-23T00:00:00"/>
    <s v="1032"/>
    <s v="OD33Y3567"/>
    <n v="30"/>
    <n v="100.74"/>
    <n v="3022.2"/>
    <x v="5"/>
    <x v="3"/>
  </r>
  <r>
    <d v="2026-06-23T00:00:00"/>
    <s v="1033"/>
    <s v="OD23Q0312"/>
    <n v="31"/>
    <n v="100.74"/>
    <n v="3122.94"/>
    <x v="58"/>
    <x v="3"/>
  </r>
  <r>
    <d v="2026-06-23T00:00:00"/>
    <s v="1034"/>
    <s v="OD23L3195"/>
    <n v="30"/>
    <n v="100.74"/>
    <n v="3022.2"/>
    <x v="28"/>
    <x v="3"/>
  </r>
  <r>
    <d v="2026-06-23T00:00:00"/>
    <s v="1035"/>
    <s v="OD23P3948"/>
    <n v="20"/>
    <n v="100.74"/>
    <n v="2014.8"/>
    <x v="28"/>
    <x v="3"/>
  </r>
  <r>
    <d v="2026-06-23T00:00:00"/>
    <s v="1036"/>
    <s v="OD23Q2058"/>
    <n v="150"/>
    <n v="100.74"/>
    <n v="15111"/>
    <x v="28"/>
    <x v="3"/>
  </r>
  <r>
    <d v="2026-06-23T00:00:00"/>
    <s v="1037"/>
    <s v="OD14AC2698"/>
    <n v="24.82"/>
    <n v="100.74"/>
    <n v="2500"/>
    <x v="60"/>
    <x v="3"/>
  </r>
  <r>
    <d v="2026-06-23T00:00:00"/>
    <s v="1038"/>
    <s v="OD16K2379"/>
    <n v="24.82"/>
    <n v="100.74"/>
    <n v="2500"/>
    <x v="60"/>
    <x v="3"/>
  </r>
  <r>
    <d v="2026-06-23T00:00:00"/>
    <s v="1039"/>
    <s v="OD16K8543"/>
    <n v="24.82"/>
    <n v="100.74"/>
    <n v="2500"/>
    <x v="60"/>
    <x v="3"/>
  </r>
  <r>
    <d v="2026-06-23T00:00:00"/>
    <s v="1040"/>
    <s v="Transporting"/>
    <n v="5911.26"/>
    <n v="100.74"/>
    <n v="595500"/>
    <x v="8"/>
    <x v="3"/>
  </r>
  <r>
    <d v="2026-06-23T00:00:00"/>
    <s v="1041"/>
    <s v=""/>
    <n v="282.91000000000003"/>
    <n v="100.74"/>
    <n v="28500"/>
    <x v="21"/>
    <x v="3"/>
  </r>
  <r>
    <d v="2026-06-23T00:00:00"/>
    <s v="1042"/>
    <s v="OD15AF5510"/>
    <n v="3001.18"/>
    <n v="100.74"/>
    <n v="302338.87"/>
    <x v="16"/>
    <x v="3"/>
  </r>
  <r>
    <d v="2026-06-23T00:00:00"/>
    <s v="1043"/>
    <s v="OD15AF5510"/>
    <n v="3000.27"/>
    <n v="100.74"/>
    <n v="302247.2"/>
    <x v="10"/>
    <x v="3"/>
  </r>
  <r>
    <d v="2026-06-23T00:00:00"/>
    <s v="1044"/>
    <s v="OD15AF5510"/>
    <n v="2000"/>
    <n v="100.74"/>
    <n v="201480"/>
    <x v="41"/>
    <x v="3"/>
  </r>
  <r>
    <d v="2026-06-24T00:00:00"/>
    <s v="1045"/>
    <s v="OD16L2122"/>
    <n v="200"/>
    <n v="100.74"/>
    <n v="20148"/>
    <x v="50"/>
    <x v="3"/>
  </r>
  <r>
    <d v="2026-06-24T00:00:00"/>
    <s v="1046"/>
    <s v="OD16A4989"/>
    <n v="200"/>
    <n v="100.74"/>
    <n v="20148"/>
    <x v="50"/>
    <x v="3"/>
  </r>
  <r>
    <d v="2026-06-24T00:00:00"/>
    <s v="1047"/>
    <s v="OD16A4980"/>
    <n v="200"/>
    <n v="100.74"/>
    <n v="20148"/>
    <x v="50"/>
    <x v="3"/>
  </r>
  <r>
    <d v="2026-06-24T00:00:00"/>
    <s v="1048"/>
    <s v="OD16A7401"/>
    <n v="200"/>
    <n v="100.74"/>
    <n v="20148"/>
    <x v="50"/>
    <x v="3"/>
  </r>
  <r>
    <d v="2026-06-24T00:00:00"/>
    <s v="1049"/>
    <s v="OD16K3490"/>
    <n v="200"/>
    <n v="100.74"/>
    <n v="20148"/>
    <x v="50"/>
    <x v="3"/>
  </r>
  <r>
    <d v="2026-06-24T00:00:00"/>
    <s v="1050"/>
    <s v="OD16K3409"/>
    <n v="200"/>
    <n v="100.74"/>
    <n v="20148"/>
    <x v="50"/>
    <x v="3"/>
  </r>
  <r>
    <d v="2026-06-24T00:00:00"/>
    <s v="1051"/>
    <s v="OD15N0455"/>
    <n v="79.41"/>
    <n v="100.74"/>
    <n v="8000"/>
    <x v="38"/>
    <x v="3"/>
  </r>
  <r>
    <d v="2026-06-24T00:00:00"/>
    <s v="1052"/>
    <s v="OD15AA5823"/>
    <n v="50"/>
    <n v="100.74"/>
    <n v="5037"/>
    <x v="38"/>
    <x v="3"/>
  </r>
  <r>
    <d v="2026-06-24T00:00:00"/>
    <s v="1053"/>
    <s v="OD16K1026"/>
    <n v="19.850000000000001"/>
    <n v="100.74"/>
    <n v="2000"/>
    <x v="29"/>
    <x v="3"/>
  </r>
  <r>
    <d v="2026-06-24T00:00:00"/>
    <s v="1054"/>
    <s v="OD33Y3567"/>
    <n v="30"/>
    <n v="100.74"/>
    <n v="3022.2"/>
    <x v="5"/>
    <x v="3"/>
  </r>
  <r>
    <d v="2026-06-24T00:00:00"/>
    <s v="1055"/>
    <s v="JH01FS6302"/>
    <n v="10"/>
    <n v="100.74"/>
    <n v="1007.4"/>
    <x v="5"/>
    <x v="3"/>
  </r>
  <r>
    <d v="2026-06-24T00:00:00"/>
    <s v="1056"/>
    <s v="OD15T6167"/>
    <n v="52.88"/>
    <n v="100.74"/>
    <n v="5327.13"/>
    <x v="58"/>
    <x v="3"/>
  </r>
  <r>
    <d v="2026-06-24T00:00:00"/>
    <s v="1057"/>
    <s v="OD14E0075"/>
    <n v="61"/>
    <n v="100.74"/>
    <n v="6145.14"/>
    <x v="58"/>
    <x v="3"/>
  </r>
  <r>
    <d v="2026-06-24T00:00:00"/>
    <s v="1058"/>
    <s v="OD23U8210"/>
    <n v="100"/>
    <n v="100.74"/>
    <n v="10074"/>
    <x v="3"/>
    <x v="3"/>
  </r>
  <r>
    <d v="2026-06-24T00:00:00"/>
    <s v="1059"/>
    <s v="OD15AF5510"/>
    <n v="46.64"/>
    <n v="100.74"/>
    <n v="4698.51"/>
    <x v="3"/>
    <x v="3"/>
  </r>
  <r>
    <d v="2026-06-24T00:00:00"/>
    <s v="1060"/>
    <s v="OD16K2358"/>
    <n v="24.82"/>
    <n v="100.74"/>
    <n v="2500"/>
    <x v="60"/>
    <x v="3"/>
  </r>
  <r>
    <d v="2026-06-24T00:00:00"/>
    <s v="1061"/>
    <s v="OD16K2308"/>
    <n v="24.82"/>
    <n v="100.74"/>
    <n v="2500"/>
    <x v="60"/>
    <x v="3"/>
  </r>
  <r>
    <d v="2026-06-24T00:00:00"/>
    <s v="1062"/>
    <s v="OD19Z4586"/>
    <n v="24.82"/>
    <n v="100.74"/>
    <n v="2500"/>
    <x v="60"/>
    <x v="3"/>
  </r>
  <r>
    <d v="2026-06-24T00:00:00"/>
    <s v="1063"/>
    <s v="OD16N0753"/>
    <n v="24.82"/>
    <n v="100.74"/>
    <n v="2500"/>
    <x v="60"/>
    <x v="3"/>
  </r>
  <r>
    <d v="2026-06-24T00:00:00"/>
    <s v="1064"/>
    <s v="OD16N4975"/>
    <n v="24.82"/>
    <n v="100.74"/>
    <n v="2500"/>
    <x v="60"/>
    <x v="3"/>
  </r>
  <r>
    <d v="2026-06-24T00:00:00"/>
    <s v="1065"/>
    <s v="OD16M1125"/>
    <n v="24.82"/>
    <n v="100.74"/>
    <n v="2500"/>
    <x v="60"/>
    <x v="3"/>
  </r>
  <r>
    <d v="2026-06-24T00:00:00"/>
    <s v="1066"/>
    <s v="OD16K2379"/>
    <n v="24.82"/>
    <n v="100.74"/>
    <n v="2500"/>
    <x v="60"/>
    <x v="3"/>
  </r>
  <r>
    <d v="2026-06-24T00:00:00"/>
    <s v="1067"/>
    <s v="OD16K8543"/>
    <n v="24.82"/>
    <n v="100.74"/>
    <n v="2500"/>
    <x v="60"/>
    <x v="3"/>
  </r>
  <r>
    <d v="2026-06-24T00:00:00"/>
    <s v="1068"/>
    <s v="OD14AC2698"/>
    <n v="24.82"/>
    <n v="100.74"/>
    <n v="2500"/>
    <x v="60"/>
    <x v="3"/>
  </r>
  <r>
    <d v="2026-06-24T00:00:00"/>
    <s v="1069"/>
    <s v="OD16K2351"/>
    <n v="24.82"/>
    <n v="100.74"/>
    <n v="2500"/>
    <x v="60"/>
    <x v="3"/>
  </r>
  <r>
    <d v="2026-06-24T00:00:00"/>
    <s v="1070"/>
    <s v="OD16M8879"/>
    <n v="24.82"/>
    <n v="100.74"/>
    <n v="2500"/>
    <x v="60"/>
    <x v="3"/>
  </r>
  <r>
    <d v="2026-06-24T00:00:00"/>
    <s v="1071"/>
    <s v="OD16K4055"/>
    <n v="24.82"/>
    <n v="100.74"/>
    <n v="2500"/>
    <x v="60"/>
    <x v="3"/>
  </r>
  <r>
    <d v="2026-06-24T00:00:00"/>
    <s v="1072"/>
    <s v="CG15AC4333"/>
    <n v="29.78"/>
    <n v="100.74"/>
    <n v="3000"/>
    <x v="60"/>
    <x v="3"/>
  </r>
  <r>
    <d v="2026-06-24T00:00:00"/>
    <s v="1073"/>
    <s v="OD16J8772"/>
    <n v="29.78"/>
    <n v="100.74"/>
    <n v="3000"/>
    <x v="60"/>
    <x v="3"/>
  </r>
  <r>
    <d v="2026-06-24T00:00:00"/>
    <s v="1074"/>
    <s v="OD23P8172"/>
    <n v="29.78"/>
    <n v="100.74"/>
    <n v="3000"/>
    <x v="60"/>
    <x v="3"/>
  </r>
  <r>
    <d v="2026-06-24T00:00:00"/>
    <s v="1075"/>
    <s v="OD16K9280"/>
    <n v="29.78"/>
    <n v="100.74"/>
    <n v="3000"/>
    <x v="60"/>
    <x v="3"/>
  </r>
  <r>
    <d v="2026-06-24T00:00:00"/>
    <s v="1076"/>
    <s v="OD23S2463"/>
    <n v="29.78"/>
    <n v="100.74"/>
    <n v="3000"/>
    <x v="60"/>
    <x v="3"/>
  </r>
  <r>
    <d v="2026-06-24T00:00:00"/>
    <s v="1077"/>
    <s v="OD16C8253"/>
    <n v="29.78"/>
    <n v="100.74"/>
    <n v="3000"/>
    <x v="60"/>
    <x v="3"/>
  </r>
  <r>
    <d v="2026-06-24T00:00:00"/>
    <s v="1078"/>
    <s v="OD16L9774"/>
    <n v="29.78"/>
    <n v="100.74"/>
    <n v="3000"/>
    <x v="60"/>
    <x v="3"/>
  </r>
  <r>
    <d v="2026-06-24T00:00:00"/>
    <s v="1079"/>
    <s v="OD16L9737"/>
    <n v="29.78"/>
    <n v="100.74"/>
    <n v="3000"/>
    <x v="60"/>
    <x v="3"/>
  </r>
  <r>
    <d v="2026-06-24T00:00:00"/>
    <s v="1080"/>
    <s v="OD16L9788"/>
    <n v="29.78"/>
    <n v="100.74"/>
    <n v="3000"/>
    <x v="60"/>
    <x v="3"/>
  </r>
  <r>
    <d v="2026-06-24T00:00:00"/>
    <s v="1081"/>
    <s v="OD16L9561"/>
    <n v="29.78"/>
    <n v="100.74"/>
    <n v="3000"/>
    <x v="60"/>
    <x v="3"/>
  </r>
  <r>
    <d v="2026-06-24T00:00:00"/>
    <s v="1082"/>
    <s v="OD16L9579"/>
    <n v="29.78"/>
    <n v="100.74"/>
    <n v="3000"/>
    <x v="60"/>
    <x v="3"/>
  </r>
  <r>
    <d v="2026-06-24T00:00:00"/>
    <s v="1083"/>
    <s v="OD16K7844"/>
    <n v="29.78"/>
    <n v="100.74"/>
    <n v="3000"/>
    <x v="60"/>
    <x v="3"/>
  </r>
  <r>
    <d v="2026-06-24T00:00:00"/>
    <s v="1084"/>
    <s v="OD16L1393"/>
    <n v="27.79"/>
    <n v="100.74"/>
    <n v="2800"/>
    <x v="60"/>
    <x v="3"/>
  </r>
  <r>
    <d v="2026-06-24T00:00:00"/>
    <s v="1085"/>
    <s v="OD16M3384"/>
    <n v="27.79"/>
    <n v="100.74"/>
    <n v="2800"/>
    <x v="60"/>
    <x v="3"/>
  </r>
  <r>
    <d v="2026-06-24T00:00:00"/>
    <s v="1086"/>
    <s v="OD16P3725"/>
    <n v="27.79"/>
    <n v="100.74"/>
    <n v="2800"/>
    <x v="60"/>
    <x v="3"/>
  </r>
  <r>
    <d v="2026-06-24T00:00:00"/>
    <s v="1087"/>
    <s v="OD16N1595"/>
    <n v="27.79"/>
    <n v="100.74"/>
    <n v="2800"/>
    <x v="60"/>
    <x v="3"/>
  </r>
  <r>
    <d v="2026-06-24T00:00:00"/>
    <s v="1088"/>
    <s v="Consumer"/>
    <n v="29.78"/>
    <n v="100.74"/>
    <n v="3000"/>
    <x v="8"/>
    <x v="3"/>
  </r>
  <r>
    <d v="2026-06-24T00:00:00"/>
    <s v="1089"/>
    <s v="Transporting"/>
    <n v="4433.1899999999996"/>
    <n v="100.74"/>
    <n v="446600"/>
    <x v="8"/>
    <x v="3"/>
  </r>
  <r>
    <d v="2026-06-24T00:00:00"/>
    <s v="1090"/>
    <s v=""/>
    <n v="699.82"/>
    <n v="100.74"/>
    <n v="70500"/>
    <x v="21"/>
    <x v="3"/>
  </r>
  <r>
    <d v="2026-06-24T00:00:00"/>
    <s v="1091"/>
    <s v="OD15AF5510"/>
    <n v="2000"/>
    <n v="100.74"/>
    <n v="201480"/>
    <x v="41"/>
    <x v="3"/>
  </r>
  <r>
    <d v="2026-06-25T00:00:00"/>
    <s v="1092"/>
    <s v="OD23H9543"/>
    <n v="269.74"/>
    <n v="100.74"/>
    <n v="27173.599999999999"/>
    <x v="25"/>
    <x v="3"/>
  </r>
  <r>
    <d v="2026-06-25T00:00:00"/>
    <s v="1093"/>
    <s v="OD15K2690"/>
    <n v="109"/>
    <n v="100.74"/>
    <n v="10980.66"/>
    <x v="38"/>
    <x v="3"/>
  </r>
  <r>
    <d v="2026-06-25T00:00:00"/>
    <s v="1094"/>
    <s v=""/>
    <n v="20"/>
    <n v="100.74"/>
    <n v="2014.8"/>
    <x v="38"/>
    <x v="3"/>
  </r>
  <r>
    <d v="2026-06-25T00:00:00"/>
    <s v="1095"/>
    <s v="OD15N0455"/>
    <n v="66.569999999999993"/>
    <n v="100.74"/>
    <n v="6706.26"/>
    <x v="38"/>
    <x v="3"/>
  </r>
  <r>
    <d v="2026-06-25T00:00:00"/>
    <s v="1096"/>
    <s v="JH01FS6302"/>
    <n v="10"/>
    <n v="100.74"/>
    <n v="1007.4"/>
    <x v="5"/>
    <x v="3"/>
  </r>
  <r>
    <d v="2026-06-25T00:00:00"/>
    <s v="1097"/>
    <s v="OD33Y3567"/>
    <n v="30"/>
    <n v="100.74"/>
    <n v="3022.2"/>
    <x v="5"/>
    <x v="3"/>
  </r>
  <r>
    <d v="2026-06-25T00:00:00"/>
    <s v="1098"/>
    <s v="OD23Q0312"/>
    <n v="27.5"/>
    <n v="100.74"/>
    <n v="2770.35"/>
    <x v="58"/>
    <x v="3"/>
  </r>
  <r>
    <d v="2026-06-25T00:00:00"/>
    <s v="1099"/>
    <s v="OD14E0075"/>
    <n v="62"/>
    <n v="100.74"/>
    <n v="6245.88"/>
    <x v="58"/>
    <x v="3"/>
  </r>
  <r>
    <d v="2026-06-25T00:00:00"/>
    <s v="1100"/>
    <s v="OD23P5658"/>
    <n v="33.020000000000003"/>
    <n v="100.74"/>
    <n v="3326.43"/>
    <x v="58"/>
    <x v="3"/>
  </r>
  <r>
    <d v="2026-06-25T00:00:00"/>
    <s v="1101"/>
    <s v="OD14T5423"/>
    <n v="46.77"/>
    <n v="100.74"/>
    <n v="4711.6000000000004"/>
    <x v="29"/>
    <x v="3"/>
  </r>
  <r>
    <d v="2026-06-25T00:00:00"/>
    <s v="1102"/>
    <s v="OD23A8210"/>
    <n v="35"/>
    <n v="100.74"/>
    <n v="3525.9"/>
    <x v="2"/>
    <x v="3"/>
  </r>
  <r>
    <d v="2026-06-25T00:00:00"/>
    <s v="1103"/>
    <s v="OD16N0753"/>
    <n v="27.79"/>
    <n v="100.74"/>
    <n v="2800"/>
    <x v="60"/>
    <x v="3"/>
  </r>
  <r>
    <d v="2026-06-25T00:00:00"/>
    <s v="1104"/>
    <s v="OD16K6008"/>
    <n v="27.79"/>
    <n v="100.74"/>
    <n v="2800"/>
    <x v="60"/>
    <x v="3"/>
  </r>
  <r>
    <d v="2026-06-25T00:00:00"/>
    <s v="1105"/>
    <s v="OD16N4975"/>
    <n v="24.82"/>
    <n v="100.74"/>
    <n v="2500"/>
    <x v="60"/>
    <x v="3"/>
  </r>
  <r>
    <d v="2026-06-25T00:00:00"/>
    <s v="1106"/>
    <s v="OD16N0753"/>
    <n v="24.82"/>
    <n v="100.74"/>
    <n v="2500"/>
    <x v="60"/>
    <x v="3"/>
  </r>
  <r>
    <d v="2026-06-25T00:00:00"/>
    <s v="1107"/>
    <s v="OD16K8535"/>
    <n v="24.82"/>
    <n v="100.74"/>
    <n v="2500"/>
    <x v="60"/>
    <x v="3"/>
  </r>
  <r>
    <d v="2026-06-25T00:00:00"/>
    <s v="1108"/>
    <s v="OD16M1125"/>
    <n v="24.82"/>
    <n v="100.74"/>
    <n v="2500"/>
    <x v="60"/>
    <x v="3"/>
  </r>
  <r>
    <d v="2026-06-25T00:00:00"/>
    <s v="1109"/>
    <s v="OD16K8578"/>
    <n v="24.82"/>
    <n v="100.74"/>
    <n v="2500"/>
    <x v="60"/>
    <x v="3"/>
  </r>
  <r>
    <d v="2026-06-25T00:00:00"/>
    <s v="1110"/>
    <s v="OD16K2391"/>
    <n v="24.82"/>
    <n v="100.74"/>
    <n v="2500"/>
    <x v="60"/>
    <x v="3"/>
  </r>
  <r>
    <d v="2026-06-25T00:00:00"/>
    <s v="1111"/>
    <s v="OD16K2308"/>
    <n v="24.82"/>
    <n v="100.74"/>
    <n v="2500"/>
    <x v="60"/>
    <x v="3"/>
  </r>
  <r>
    <d v="2026-06-25T00:00:00"/>
    <s v="1112"/>
    <s v="OD16K8437"/>
    <n v="24.82"/>
    <n v="100.74"/>
    <n v="2500"/>
    <x v="60"/>
    <x v="3"/>
  </r>
  <r>
    <d v="2026-06-25T00:00:00"/>
    <s v="1113"/>
    <s v="OD16K2358"/>
    <n v="24.82"/>
    <n v="100.74"/>
    <n v="2500"/>
    <x v="60"/>
    <x v="3"/>
  </r>
  <r>
    <d v="2026-06-25T00:00:00"/>
    <s v="1114"/>
    <s v="OD19Z4586"/>
    <n v="24.82"/>
    <n v="100.74"/>
    <n v="2500"/>
    <x v="60"/>
    <x v="3"/>
  </r>
  <r>
    <d v="2026-06-25T00:00:00"/>
    <s v="1115"/>
    <s v="OD14AC2698"/>
    <n v="24.82"/>
    <n v="100.74"/>
    <n v="2500"/>
    <x v="60"/>
    <x v="3"/>
  </r>
  <r>
    <d v="2026-06-25T00:00:00"/>
    <s v="1116"/>
    <s v="OD16L1393"/>
    <n v="24.82"/>
    <n v="100.74"/>
    <n v="2500"/>
    <x v="60"/>
    <x v="3"/>
  </r>
  <r>
    <d v="2026-06-25T00:00:00"/>
    <s v="1117"/>
    <s v="OD16K2377"/>
    <n v="24.82"/>
    <n v="100.74"/>
    <n v="2500"/>
    <x v="60"/>
    <x v="3"/>
  </r>
  <r>
    <d v="2026-06-25T00:00:00"/>
    <s v="1118"/>
    <s v="OD16N4975"/>
    <n v="24.82"/>
    <n v="100.74"/>
    <n v="2500"/>
    <x v="60"/>
    <x v="3"/>
  </r>
  <r>
    <d v="2026-06-25T00:00:00"/>
    <s v="1119"/>
    <s v="OD16K4055"/>
    <n v="24.82"/>
    <n v="100.74"/>
    <n v="2500"/>
    <x v="60"/>
    <x v="3"/>
  </r>
  <r>
    <d v="2026-06-25T00:00:00"/>
    <s v="1120"/>
    <s v="OD16M8879"/>
    <n v="24.82"/>
    <n v="100.74"/>
    <n v="2500"/>
    <x v="60"/>
    <x v="3"/>
  </r>
  <r>
    <d v="2026-06-25T00:00:00"/>
    <s v="1121"/>
    <s v="OD16K3869"/>
    <n v="24.82"/>
    <n v="100.74"/>
    <n v="2500"/>
    <x v="60"/>
    <x v="3"/>
  </r>
  <r>
    <d v="2026-06-25T00:00:00"/>
    <s v="1122"/>
    <s v="OD16K2351"/>
    <n v="24.82"/>
    <n v="100.74"/>
    <n v="2500"/>
    <x v="60"/>
    <x v="3"/>
  </r>
  <r>
    <d v="2026-06-25T00:00:00"/>
    <s v="1123"/>
    <s v="OD16M1025"/>
    <n v="24.82"/>
    <n v="100.74"/>
    <n v="2500"/>
    <x v="60"/>
    <x v="3"/>
  </r>
  <r>
    <d v="2026-06-25T00:00:00"/>
    <s v="1124"/>
    <s v="OD16K8519"/>
    <n v="24.82"/>
    <n v="100.74"/>
    <n v="2500"/>
    <x v="60"/>
    <x v="3"/>
  </r>
  <r>
    <d v="2026-06-25T00:00:00"/>
    <s v="1125"/>
    <s v="OD16L2825"/>
    <n v="24.82"/>
    <n v="100.74"/>
    <n v="2500"/>
    <x v="60"/>
    <x v="3"/>
  </r>
  <r>
    <d v="2026-06-25T00:00:00"/>
    <s v="1126"/>
    <s v="OD16K8543"/>
    <n v="24.82"/>
    <n v="100.74"/>
    <n v="2500"/>
    <x v="60"/>
    <x v="3"/>
  </r>
  <r>
    <d v="2026-06-25T00:00:00"/>
    <s v="1127"/>
    <s v="OD16K2379"/>
    <n v="24.82"/>
    <n v="100.74"/>
    <n v="2500"/>
    <x v="60"/>
    <x v="3"/>
  </r>
  <r>
    <d v="2026-06-25T00:00:00"/>
    <s v="1128"/>
    <s v="OD16N7967"/>
    <n v="29.78"/>
    <n v="100.74"/>
    <n v="3000"/>
    <x v="60"/>
    <x v="3"/>
  </r>
  <r>
    <d v="2026-06-25T00:00:00"/>
    <s v="1129"/>
    <s v="Transporting"/>
    <n v="3758.19"/>
    <n v="100.74"/>
    <n v="378600"/>
    <x v="8"/>
    <x v="3"/>
  </r>
  <r>
    <d v="2026-06-25T00:00:00"/>
    <s v="1130"/>
    <s v=""/>
    <n v="588.64"/>
    <n v="100.74"/>
    <n v="59300"/>
    <x v="21"/>
    <x v="3"/>
  </r>
  <r>
    <d v="2026-06-25T00:00:00"/>
    <s v="1131"/>
    <s v="OD15AF5510"/>
    <n v="2000"/>
    <n v="100.74"/>
    <n v="201480"/>
    <x v="10"/>
    <x v="3"/>
  </r>
  <r>
    <d v="2026-06-25T00:00:00"/>
    <s v="1132"/>
    <s v="OD15AF5510"/>
    <n v="2999.91"/>
    <n v="100.74"/>
    <n v="302210.93"/>
    <x v="16"/>
    <x v="3"/>
  </r>
  <r>
    <d v="2026-06-26T00:00:00"/>
    <s v="1133"/>
    <s v="OR15R5510"/>
    <n v="12000"/>
    <n v="100.74"/>
    <n v="1208880"/>
    <x v="24"/>
    <x v="3"/>
  </r>
  <r>
    <d v="2026-06-26T00:00:00"/>
    <s v="1134"/>
    <s v="OD33Y3567"/>
    <n v="20"/>
    <n v="100.74"/>
    <n v="2014.8"/>
    <x v="5"/>
    <x v="3"/>
  </r>
  <r>
    <d v="2026-06-26T00:00:00"/>
    <s v="1135"/>
    <s v="OD15AA4091"/>
    <n v="10"/>
    <n v="100.74"/>
    <n v="1007.4"/>
    <x v="5"/>
    <x v="3"/>
  </r>
  <r>
    <d v="2026-06-26T00:00:00"/>
    <s v="1136"/>
    <s v="JH01FS6302"/>
    <n v="10"/>
    <n v="100.74"/>
    <n v="1007.4"/>
    <x v="5"/>
    <x v="3"/>
  </r>
  <r>
    <d v="2026-06-26T00:00:00"/>
    <s v="1137"/>
    <s v="OD23P0337"/>
    <n v="55.75"/>
    <n v="100.74"/>
    <n v="5616.25"/>
    <x v="58"/>
    <x v="3"/>
  </r>
  <r>
    <d v="2026-06-26T00:00:00"/>
    <s v="1138"/>
    <s v="OD23Q5434"/>
    <n v="25"/>
    <n v="100.74"/>
    <n v="2518.5"/>
    <x v="58"/>
    <x v="3"/>
  </r>
  <r>
    <d v="2026-06-26T00:00:00"/>
    <s v="1139"/>
    <s v="DG"/>
    <n v="20"/>
    <n v="100.74"/>
    <n v="2014.8"/>
    <x v="26"/>
    <x v="3"/>
  </r>
  <r>
    <d v="2026-06-26T00:00:00"/>
    <s v="1140"/>
    <s v="OD15X8014"/>
    <n v="200"/>
    <n v="100.74"/>
    <n v="20148"/>
    <x v="54"/>
    <x v="3"/>
  </r>
  <r>
    <d v="2026-06-26T00:00:00"/>
    <s v="1141"/>
    <s v="NL01AJ8643"/>
    <n v="364.21"/>
    <n v="100.74"/>
    <n v="36690.51"/>
    <x v="25"/>
    <x v="3"/>
  </r>
  <r>
    <d v="2026-06-26T00:00:00"/>
    <s v="1142"/>
    <s v="OD16K2308"/>
    <n v="24.82"/>
    <n v="100.74"/>
    <n v="2500"/>
    <x v="60"/>
    <x v="3"/>
  </r>
  <r>
    <d v="2026-06-26T00:00:00"/>
    <s v="1143"/>
    <s v="OD16K8535"/>
    <n v="24.82"/>
    <n v="100.74"/>
    <n v="2500"/>
    <x v="60"/>
    <x v="3"/>
  </r>
  <r>
    <d v="2026-06-26T00:00:00"/>
    <s v="1144"/>
    <s v="OD16K2306"/>
    <n v="24.82"/>
    <n v="100.74"/>
    <n v="2500"/>
    <x v="60"/>
    <x v="3"/>
  </r>
  <r>
    <d v="2026-06-26T00:00:00"/>
    <s v="1145"/>
    <s v="OD16K8437"/>
    <n v="24.82"/>
    <n v="100.74"/>
    <n v="2500"/>
    <x v="60"/>
    <x v="3"/>
  </r>
  <r>
    <d v="2026-06-26T00:00:00"/>
    <s v="1146"/>
    <s v="OD16K2351"/>
    <n v="24.82"/>
    <n v="100.74"/>
    <n v="2500"/>
    <x v="60"/>
    <x v="3"/>
  </r>
  <r>
    <d v="2026-06-26T00:00:00"/>
    <s v="1147"/>
    <s v="OD16K6008"/>
    <n v="24.82"/>
    <n v="100.74"/>
    <n v="2500"/>
    <x v="60"/>
    <x v="3"/>
  </r>
  <r>
    <d v="2026-06-26T00:00:00"/>
    <s v="1148"/>
    <s v="OD16K2391"/>
    <n v="24.82"/>
    <n v="100.74"/>
    <n v="2500"/>
    <x v="60"/>
    <x v="3"/>
  </r>
  <r>
    <d v="2026-06-26T00:00:00"/>
    <s v="1149"/>
    <s v="OD16K3869"/>
    <n v="24.82"/>
    <n v="100.74"/>
    <n v="2500"/>
    <x v="60"/>
    <x v="3"/>
  </r>
  <r>
    <d v="2026-06-26T00:00:00"/>
    <s v="1150"/>
    <s v="OD14AC2698"/>
    <n v="24.82"/>
    <n v="100.74"/>
    <n v="2500"/>
    <x v="60"/>
    <x v="3"/>
  </r>
  <r>
    <d v="2026-06-26T00:00:00"/>
    <s v="1151"/>
    <s v="OD16L2825"/>
    <n v="24.82"/>
    <n v="100.74"/>
    <n v="2500"/>
    <x v="60"/>
    <x v="3"/>
  </r>
  <r>
    <d v="2026-06-26T00:00:00"/>
    <s v="1152"/>
    <s v="OD16K8519"/>
    <n v="24.82"/>
    <n v="100.74"/>
    <n v="2500"/>
    <x v="60"/>
    <x v="3"/>
  </r>
  <r>
    <d v="2026-06-26T00:00:00"/>
    <s v="1153"/>
    <s v="OD16M8879"/>
    <n v="24.82"/>
    <n v="100.74"/>
    <n v="2500"/>
    <x v="60"/>
    <x v="3"/>
  </r>
  <r>
    <d v="2026-06-26T00:00:00"/>
    <s v="1154"/>
    <s v="OD16N0753"/>
    <n v="24.82"/>
    <n v="100.74"/>
    <n v="2500"/>
    <x v="60"/>
    <x v="3"/>
  </r>
  <r>
    <d v="2026-06-26T00:00:00"/>
    <s v="1155"/>
    <s v="OD16K2308"/>
    <n v="24.82"/>
    <n v="100.74"/>
    <n v="2500"/>
    <x v="60"/>
    <x v="3"/>
  </r>
  <r>
    <d v="2026-06-26T00:00:00"/>
    <s v="1156"/>
    <s v="OD16K8543"/>
    <n v="24.82"/>
    <n v="100.74"/>
    <n v="2500"/>
    <x v="60"/>
    <x v="3"/>
  </r>
  <r>
    <d v="2026-06-26T00:00:00"/>
    <s v="1157"/>
    <s v="OD16M1125"/>
    <n v="24.82"/>
    <n v="100.74"/>
    <n v="2500"/>
    <x v="60"/>
    <x v="3"/>
  </r>
  <r>
    <d v="2026-06-26T00:00:00"/>
    <s v="1158"/>
    <s v="OD16J2358"/>
    <n v="24.82"/>
    <n v="100.74"/>
    <n v="2500"/>
    <x v="60"/>
    <x v="3"/>
  </r>
  <r>
    <d v="2026-06-26T00:00:00"/>
    <s v="1159"/>
    <s v="OD16K8578"/>
    <n v="24.82"/>
    <n v="100.74"/>
    <n v="2500"/>
    <x v="60"/>
    <x v="3"/>
  </r>
  <r>
    <d v="2026-06-26T00:00:00"/>
    <s v="1160"/>
    <s v="OD16N4975"/>
    <n v="24.82"/>
    <n v="100.74"/>
    <n v="2500"/>
    <x v="60"/>
    <x v="3"/>
  </r>
  <r>
    <d v="2026-06-26T00:00:00"/>
    <s v="1161"/>
    <s v="OD16K4055"/>
    <n v="24.82"/>
    <n v="100.74"/>
    <n v="2500"/>
    <x v="60"/>
    <x v="3"/>
  </r>
  <r>
    <d v="2026-06-26T00:00:00"/>
    <s v="1162"/>
    <s v="OD16L9425"/>
    <n v="24.82"/>
    <n v="100.74"/>
    <n v="2500"/>
    <x v="60"/>
    <x v="3"/>
  </r>
  <r>
    <d v="2026-06-26T00:00:00"/>
    <s v="1163"/>
    <s v="OD16M2174"/>
    <n v="24.82"/>
    <n v="100.74"/>
    <n v="2500"/>
    <x v="60"/>
    <x v="3"/>
  </r>
  <r>
    <d v="2026-06-26T00:00:00"/>
    <s v="1164"/>
    <s v="OD19Z4586"/>
    <n v="24.82"/>
    <n v="100.74"/>
    <n v="2500"/>
    <x v="60"/>
    <x v="3"/>
  </r>
  <r>
    <d v="2026-06-26T00:00:00"/>
    <s v="1165"/>
    <s v="OD16L1393"/>
    <n v="24.82"/>
    <n v="100.74"/>
    <n v="2500"/>
    <x v="60"/>
    <x v="3"/>
  </r>
  <r>
    <d v="2026-06-26T00:00:00"/>
    <s v="1166"/>
    <s v="OD16K8535"/>
    <n v="24.82"/>
    <n v="100.74"/>
    <n v="2500"/>
    <x v="60"/>
    <x v="3"/>
  </r>
  <r>
    <d v="2026-06-26T00:00:00"/>
    <s v="1167"/>
    <s v="OD16M1025"/>
    <n v="24.82"/>
    <n v="100.74"/>
    <n v="2500"/>
    <x v="60"/>
    <x v="3"/>
  </r>
  <r>
    <d v="2026-06-26T00:00:00"/>
    <s v="1168"/>
    <s v="OD16M2028"/>
    <n v="24.82"/>
    <n v="100.74"/>
    <n v="2500"/>
    <x v="60"/>
    <x v="3"/>
  </r>
  <r>
    <d v="2026-06-26T00:00:00"/>
    <s v="1169"/>
    <s v="OD16M2028"/>
    <n v="24.82"/>
    <n v="100.74"/>
    <n v="2500"/>
    <x v="60"/>
    <x v="3"/>
  </r>
  <r>
    <d v="2026-06-26T00:00:00"/>
    <s v="1170"/>
    <s v="OD16M1125"/>
    <n v="24.82"/>
    <n v="100.74"/>
    <n v="2500"/>
    <x v="60"/>
    <x v="3"/>
  </r>
  <r>
    <d v="2026-06-26T00:00:00"/>
    <s v="1171"/>
    <s v="OD16N4975"/>
    <n v="24.82"/>
    <n v="100.74"/>
    <n v="2500"/>
    <x v="60"/>
    <x v="3"/>
  </r>
  <r>
    <d v="2026-06-26T00:00:00"/>
    <s v="1172"/>
    <s v="OD16K2391"/>
    <n v="24.82"/>
    <n v="100.74"/>
    <n v="2500"/>
    <x v="60"/>
    <x v="3"/>
  </r>
  <r>
    <d v="2026-06-26T00:00:00"/>
    <s v="1173"/>
    <s v="OD16K8437"/>
    <n v="24.82"/>
    <n v="100.74"/>
    <n v="2500"/>
    <x v="60"/>
    <x v="3"/>
  </r>
  <r>
    <d v="2026-06-26T00:00:00"/>
    <s v="1174"/>
    <s v="OD14AC2698"/>
    <n v="24.82"/>
    <n v="100.74"/>
    <n v="2500"/>
    <x v="60"/>
    <x v="3"/>
  </r>
  <r>
    <d v="2026-06-26T00:00:00"/>
    <s v="1175"/>
    <s v="OD16L2825"/>
    <n v="24.82"/>
    <n v="100.74"/>
    <n v="2500"/>
    <x v="60"/>
    <x v="3"/>
  </r>
  <r>
    <d v="2026-06-26T00:00:00"/>
    <s v="1176"/>
    <s v="OD16K8519"/>
    <n v="24.82"/>
    <n v="100.74"/>
    <n v="2500"/>
    <x v="60"/>
    <x v="3"/>
  </r>
  <r>
    <d v="2026-06-26T00:00:00"/>
    <s v="1177"/>
    <s v="OD16K2379"/>
    <n v="24.82"/>
    <n v="100.74"/>
    <n v="2500"/>
    <x v="60"/>
    <x v="3"/>
  </r>
  <r>
    <d v="2026-06-26T00:00:00"/>
    <s v="1178"/>
    <s v="OD16M3384"/>
    <n v="27.79"/>
    <n v="100.74"/>
    <n v="2800"/>
    <x v="60"/>
    <x v="3"/>
  </r>
  <r>
    <d v="2026-06-26T00:00:00"/>
    <s v="1179"/>
    <s v="OD16N1595"/>
    <n v="27.79"/>
    <n v="100.74"/>
    <n v="2800"/>
    <x v="60"/>
    <x v="3"/>
  </r>
  <r>
    <d v="2026-06-26T00:00:00"/>
    <s v="1180"/>
    <s v="OD16P3725"/>
    <n v="27.79"/>
    <n v="100.74"/>
    <n v="2800"/>
    <x v="60"/>
    <x v="3"/>
  </r>
  <r>
    <d v="2026-06-26T00:00:00"/>
    <s v="1181"/>
    <s v="OD16B8153"/>
    <n v="29.78"/>
    <n v="100.74"/>
    <n v="3000"/>
    <x v="60"/>
    <x v="3"/>
  </r>
  <r>
    <d v="2026-06-26T00:00:00"/>
    <s v="1182"/>
    <s v="OD16D2699"/>
    <n v="29.78"/>
    <n v="100.74"/>
    <n v="3000"/>
    <x v="60"/>
    <x v="3"/>
  </r>
  <r>
    <d v="2026-06-26T00:00:00"/>
    <s v="1183"/>
    <s v="Transporting"/>
    <n v="3435.58"/>
    <n v="100.74"/>
    <n v="346100"/>
    <x v="8"/>
    <x v="3"/>
  </r>
  <r>
    <d v="2026-06-26T00:00:00"/>
    <s v="1184"/>
    <s v=""/>
    <n v="789.16"/>
    <n v="100.74"/>
    <n v="79500"/>
    <x v="21"/>
    <x v="3"/>
  </r>
  <r>
    <d v="2026-06-26T00:00:00"/>
    <s v="1185"/>
    <s v=""/>
    <n v="70.48"/>
    <n v="100.74"/>
    <n v="7100.15"/>
    <x v="7"/>
    <x v="3"/>
  </r>
  <r>
    <d v="2026-06-26T00:00:00"/>
    <s v="1186"/>
    <s v="OD15AF5510"/>
    <n v="3000"/>
    <n v="100.74"/>
    <n v="302220"/>
    <x v="10"/>
    <x v="3"/>
  </r>
  <r>
    <d v="2026-06-26T00:00:00"/>
    <s v="1187"/>
    <s v="OD15AF5510"/>
    <n v="2000"/>
    <n v="100.74"/>
    <n v="201480"/>
    <x v="41"/>
    <x v="3"/>
  </r>
  <r>
    <d v="2026-06-27T00:00:00"/>
    <s v="1188"/>
    <s v="OD33Y3567"/>
    <n v="20"/>
    <n v="100.74"/>
    <n v="2014.8"/>
    <x v="5"/>
    <x v="3"/>
  </r>
  <r>
    <d v="2026-06-27T00:00:00"/>
    <s v="1189"/>
    <s v="OD15AA4091"/>
    <n v="10"/>
    <n v="100.74"/>
    <n v="1007.4"/>
    <x v="5"/>
    <x v="3"/>
  </r>
  <r>
    <d v="2026-06-27T00:00:00"/>
    <s v="1190"/>
    <s v="WB59D0791"/>
    <n v="150"/>
    <n v="100.74"/>
    <n v="15111"/>
    <x v="25"/>
    <x v="3"/>
  </r>
  <r>
    <d v="2026-06-27T00:00:00"/>
    <s v="1191"/>
    <s v="OD15T6167"/>
    <n v="50.69"/>
    <n v="100.74"/>
    <n v="5106.5"/>
    <x v="58"/>
    <x v="3"/>
  </r>
  <r>
    <d v="2026-06-27T00:00:00"/>
    <s v="1192"/>
    <s v="OD17F8468"/>
    <n v="19.850000000000001"/>
    <n v="100.74"/>
    <n v="2000"/>
    <x v="28"/>
    <x v="3"/>
  </r>
  <r>
    <d v="2026-06-27T00:00:00"/>
    <s v="1193"/>
    <s v="OD15AA5823"/>
    <n v="60"/>
    <n v="100.74"/>
    <n v="6044.4"/>
    <x v="38"/>
    <x v="3"/>
  </r>
  <r>
    <d v="2026-06-27T00:00:00"/>
    <s v="1194"/>
    <s v="DG"/>
    <n v="20"/>
    <n v="100.74"/>
    <n v="2014.8"/>
    <x v="26"/>
    <x v="3"/>
  </r>
  <r>
    <d v="2026-06-27T00:00:00"/>
    <s v="1195"/>
    <s v="OD16D2699"/>
    <n v="27.79"/>
    <n v="100.74"/>
    <n v="2800"/>
    <x v="60"/>
    <x v="3"/>
  </r>
  <r>
    <d v="2026-06-27T00:00:00"/>
    <s v="1196"/>
    <s v="OD16B8153"/>
    <n v="27.79"/>
    <n v="100.74"/>
    <n v="2800"/>
    <x v="60"/>
    <x v="3"/>
  </r>
  <r>
    <d v="2026-06-27T00:00:00"/>
    <s v="1197"/>
    <s v="OD16N1595"/>
    <n v="27.79"/>
    <n v="100.74"/>
    <n v="2800"/>
    <x v="60"/>
    <x v="3"/>
  </r>
  <r>
    <d v="2026-06-27T00:00:00"/>
    <s v="1198"/>
    <s v="OD16M3384"/>
    <n v="27.79"/>
    <n v="100.74"/>
    <n v="2800"/>
    <x v="60"/>
    <x v="3"/>
  </r>
  <r>
    <d v="2026-06-27T00:00:00"/>
    <s v="1199"/>
    <s v="OD16P3725"/>
    <n v="27.79"/>
    <n v="100.74"/>
    <n v="2800"/>
    <x v="60"/>
    <x v="3"/>
  </r>
  <r>
    <d v="2026-06-27T00:00:00"/>
    <s v="1200"/>
    <s v="OD16K8437"/>
    <n v="24.82"/>
    <n v="100.74"/>
    <n v="2500"/>
    <x v="60"/>
    <x v="3"/>
  </r>
  <r>
    <d v="2026-06-27T00:00:00"/>
    <s v="1201"/>
    <s v="OD16M2028"/>
    <n v="24.82"/>
    <n v="100.74"/>
    <n v="2500"/>
    <x v="60"/>
    <x v="3"/>
  </r>
  <r>
    <d v="2026-06-27T00:00:00"/>
    <s v="1202"/>
    <s v="OD16M1025"/>
    <n v="24.82"/>
    <n v="100.74"/>
    <n v="2500"/>
    <x v="60"/>
    <x v="3"/>
  </r>
  <r>
    <d v="2026-06-27T00:00:00"/>
    <s v="1203"/>
    <s v="OD16K8535"/>
    <n v="24.82"/>
    <n v="100.74"/>
    <n v="2500"/>
    <x v="60"/>
    <x v="3"/>
  </r>
  <r>
    <d v="2026-06-27T00:00:00"/>
    <s v="1204"/>
    <s v="OD16K2308"/>
    <n v="24.82"/>
    <n v="100.74"/>
    <n v="2500"/>
    <x v="60"/>
    <x v="3"/>
  </r>
  <r>
    <d v="2026-06-27T00:00:00"/>
    <s v="1205"/>
    <s v="OD16K8519"/>
    <n v="24.82"/>
    <n v="100.74"/>
    <n v="2500"/>
    <x v="60"/>
    <x v="3"/>
  </r>
  <r>
    <d v="2026-06-27T00:00:00"/>
    <s v="1206"/>
    <s v="OD16L2825"/>
    <n v="24.82"/>
    <n v="100.74"/>
    <n v="2500"/>
    <x v="60"/>
    <x v="3"/>
  </r>
  <r>
    <d v="2026-06-27T00:00:00"/>
    <s v="1207"/>
    <s v="OD16K8543"/>
    <n v="24.82"/>
    <n v="100.74"/>
    <n v="2500"/>
    <x v="60"/>
    <x v="3"/>
  </r>
  <r>
    <d v="2026-06-27T00:00:00"/>
    <s v="1208"/>
    <s v="OD16M2174"/>
    <n v="24.82"/>
    <n v="100.74"/>
    <n v="2500"/>
    <x v="60"/>
    <x v="3"/>
  </r>
  <r>
    <d v="2026-06-27T00:00:00"/>
    <s v="1209"/>
    <s v="OD16L9425"/>
    <n v="24.82"/>
    <n v="100.74"/>
    <n v="2500"/>
    <x v="60"/>
    <x v="3"/>
  </r>
  <r>
    <d v="2026-06-27T00:00:00"/>
    <s v="1210"/>
    <s v="OD19Z4586"/>
    <n v="24.82"/>
    <n v="100.74"/>
    <n v="2500"/>
    <x v="60"/>
    <x v="3"/>
  </r>
  <r>
    <d v="2026-06-27T00:00:00"/>
    <s v="1211"/>
    <s v="OD16K6008"/>
    <n v="24.82"/>
    <n v="100.74"/>
    <n v="2500"/>
    <x v="60"/>
    <x v="3"/>
  </r>
  <r>
    <d v="2026-06-27T00:00:00"/>
    <s v="1212"/>
    <s v="OD16K2377"/>
    <n v="24.82"/>
    <n v="100.74"/>
    <n v="2500"/>
    <x v="60"/>
    <x v="3"/>
  </r>
  <r>
    <d v="2026-06-27T00:00:00"/>
    <s v="1213"/>
    <s v="OD16K2351"/>
    <n v="24.82"/>
    <n v="100.74"/>
    <n v="2500"/>
    <x v="60"/>
    <x v="3"/>
  </r>
  <r>
    <d v="2026-06-27T00:00:00"/>
    <s v="1214"/>
    <s v="OD16M8879"/>
    <n v="24.82"/>
    <n v="100.74"/>
    <n v="2500"/>
    <x v="60"/>
    <x v="3"/>
  </r>
  <r>
    <d v="2026-06-27T00:00:00"/>
    <s v="1215"/>
    <s v="OD16K4055"/>
    <n v="24.82"/>
    <n v="100.74"/>
    <n v="2500"/>
    <x v="60"/>
    <x v="3"/>
  </r>
  <r>
    <d v="2026-06-27T00:00:00"/>
    <s v="1216"/>
    <s v="OD16K2358"/>
    <n v="24.82"/>
    <n v="100.74"/>
    <n v="2500"/>
    <x v="60"/>
    <x v="3"/>
  </r>
  <r>
    <d v="2026-06-27T00:00:00"/>
    <s v="1217"/>
    <s v="OD16N0753"/>
    <n v="24.82"/>
    <n v="100.74"/>
    <n v="2500"/>
    <x v="60"/>
    <x v="3"/>
  </r>
  <r>
    <d v="2026-06-27T00:00:00"/>
    <s v="1218"/>
    <s v="OD16P3045"/>
    <n v="24.82"/>
    <n v="100.74"/>
    <n v="2500"/>
    <x v="60"/>
    <x v="3"/>
  </r>
  <r>
    <d v="2026-06-27T00:00:00"/>
    <s v="1219"/>
    <s v="OD16L1393"/>
    <n v="21.84"/>
    <n v="100.74"/>
    <n v="2200"/>
    <x v="60"/>
    <x v="3"/>
  </r>
  <r>
    <d v="2026-06-27T00:00:00"/>
    <s v="1220"/>
    <s v="OD23D5870"/>
    <n v="24.82"/>
    <n v="100.74"/>
    <n v="2500"/>
    <x v="60"/>
    <x v="3"/>
  </r>
  <r>
    <d v="2026-06-27T00:00:00"/>
    <s v="1221"/>
    <s v="OD16K8578"/>
    <n v="24.82"/>
    <n v="100.74"/>
    <n v="2500"/>
    <x v="60"/>
    <x v="3"/>
  </r>
  <r>
    <d v="2026-06-27T00:00:00"/>
    <s v="1222"/>
    <s v="OD16K2306"/>
    <n v="24.82"/>
    <n v="100.74"/>
    <n v="2500"/>
    <x v="60"/>
    <x v="3"/>
  </r>
  <r>
    <d v="2026-06-27T00:00:00"/>
    <s v="1223"/>
    <s v="OD16K3869"/>
    <n v="24.82"/>
    <n v="100.74"/>
    <n v="2500"/>
    <x v="60"/>
    <x v="3"/>
  </r>
  <r>
    <d v="2026-06-27T00:00:00"/>
    <s v="1224"/>
    <s v="Transporting"/>
    <n v="4588.05"/>
    <n v="100.74"/>
    <n v="462200"/>
    <x v="8"/>
    <x v="3"/>
  </r>
  <r>
    <d v="2026-06-27T00:00:00"/>
    <s v="1225"/>
    <s v=""/>
    <n v="506.25"/>
    <n v="100.74"/>
    <n v="51000"/>
    <x v="21"/>
    <x v="3"/>
  </r>
  <r>
    <d v="2026-06-27T00:00:00"/>
    <s v="1226"/>
    <s v="OD15AF5510"/>
    <n v="3000.38"/>
    <n v="100.74"/>
    <n v="302258.28000000003"/>
    <x v="16"/>
    <x v="3"/>
  </r>
  <r>
    <d v="2026-06-27T00:00:00"/>
    <s v="1227"/>
    <s v="OD15AF5510"/>
    <n v="3000"/>
    <n v="100.74"/>
    <n v="302220"/>
    <x v="10"/>
    <x v="3"/>
  </r>
  <r>
    <d v="2026-06-28T00:00:00"/>
    <s v="1228"/>
    <s v="OD23P0337"/>
    <n v="36.590000000000003"/>
    <n v="100.74"/>
    <n v="3686.07"/>
    <x v="58"/>
    <x v="3"/>
  </r>
  <r>
    <d v="2026-06-28T00:00:00"/>
    <s v="1229"/>
    <s v="OD23Q0312"/>
    <n v="37.03"/>
    <n v="100.74"/>
    <n v="3730.4"/>
    <x v="58"/>
    <x v="3"/>
  </r>
  <r>
    <d v="2026-06-28T00:00:00"/>
    <s v="1230"/>
    <s v="OD23P5658"/>
    <n v="29.69"/>
    <n v="100.74"/>
    <n v="2990.97"/>
    <x v="58"/>
    <x v="3"/>
  </r>
  <r>
    <d v="2026-06-28T00:00:00"/>
    <s v="1231"/>
    <s v="OD15N0455"/>
    <n v="82.54"/>
    <n v="100.74"/>
    <n v="8315.07"/>
    <x v="38"/>
    <x v="3"/>
  </r>
  <r>
    <d v="2026-06-28T00:00:00"/>
    <s v="1232"/>
    <s v="JH13J1926"/>
    <n v="20"/>
    <n v="100.74"/>
    <n v="2014.8"/>
    <x v="28"/>
    <x v="3"/>
  </r>
  <r>
    <d v="2026-06-28T00:00:00"/>
    <s v="1233"/>
    <s v="OD23Q4770"/>
    <n v="30"/>
    <n v="100.74"/>
    <n v="3022.2"/>
    <x v="28"/>
    <x v="3"/>
  </r>
  <r>
    <d v="2026-06-28T00:00:00"/>
    <s v="1234"/>
    <s v="CG04NX4888"/>
    <n v="47.93"/>
    <n v="100.74"/>
    <n v="4828.46"/>
    <x v="28"/>
    <x v="3"/>
  </r>
  <r>
    <d v="2026-06-28T00:00:00"/>
    <s v="1235"/>
    <s v="CG04PA3452"/>
    <n v="39.14"/>
    <n v="100.74"/>
    <n v="3942.96"/>
    <x v="28"/>
    <x v="3"/>
  </r>
  <r>
    <d v="2026-06-28T00:00:00"/>
    <s v="1236"/>
    <s v="Transporting"/>
    <n v="4851.1000000000004"/>
    <n v="100.74"/>
    <n v="488700"/>
    <x v="8"/>
    <x v="3"/>
  </r>
  <r>
    <d v="2026-06-28T00:00:00"/>
    <s v="1237"/>
    <s v=""/>
    <n v="536.03"/>
    <n v="100.74"/>
    <n v="54000"/>
    <x v="21"/>
    <x v="3"/>
  </r>
  <r>
    <d v="2026-06-28T00:00:00"/>
    <s v="1238"/>
    <s v="OD15AF5510"/>
    <n v="2000"/>
    <n v="100.74"/>
    <n v="201480"/>
    <x v="41"/>
    <x v="3"/>
  </r>
  <r>
    <d v="2026-06-29T00:00:00"/>
    <s v="1239"/>
    <s v="OR15R1110"/>
    <n v="12000"/>
    <n v="100.74"/>
    <n v="1208880"/>
    <x v="24"/>
    <x v="3"/>
  </r>
  <r>
    <d v="2026-06-29T00:00:00"/>
    <s v="1240"/>
    <s v="Transporting"/>
    <n v="4715.1099999999997"/>
    <n v="100.74"/>
    <n v="475000"/>
    <x v="8"/>
    <x v="3"/>
  </r>
  <r>
    <d v="2026-06-29T00:00:00"/>
    <s v="1241"/>
    <s v=""/>
    <n v="550.91999999999996"/>
    <n v="100.74"/>
    <n v="55500"/>
    <x v="21"/>
    <x v="3"/>
  </r>
  <r>
    <d v="2026-06-29T00:00:00"/>
    <s v="1242"/>
    <s v="OD15AF5510"/>
    <n v="1499.64"/>
    <n v="100.74"/>
    <n v="151073.73000000001"/>
    <x v="16"/>
    <x v="3"/>
  </r>
  <r>
    <d v="2026-06-29T00:00:00"/>
    <s v="1243"/>
    <s v="OD15X8014"/>
    <n v="400"/>
    <n v="100.74"/>
    <n v="40296"/>
    <x v="54"/>
    <x v="3"/>
  </r>
  <r>
    <d v="2026-06-29T00:00:00"/>
    <s v="1244"/>
    <s v="OD15AA5823"/>
    <n v="39.71"/>
    <n v="100.74"/>
    <n v="4000"/>
    <x v="38"/>
    <x v="3"/>
  </r>
  <r>
    <d v="2026-06-29T00:00:00"/>
    <s v="1245"/>
    <s v="OD15K2690"/>
    <n v="50"/>
    <n v="100.74"/>
    <n v="5037"/>
    <x v="38"/>
    <x v="3"/>
  </r>
  <r>
    <d v="2026-06-29T00:00:00"/>
    <s v="1246"/>
    <s v="OD23Q5434"/>
    <n v="30.43"/>
    <n v="100.74"/>
    <n v="3065.51"/>
    <x v="58"/>
    <x v="3"/>
  </r>
  <r>
    <d v="2026-06-29T00:00:00"/>
    <s v="1247"/>
    <s v="OD14E0075"/>
    <n v="43.04"/>
    <n v="100.74"/>
    <n v="4335.84"/>
    <x v="58"/>
    <x v="3"/>
  </r>
  <r>
    <d v="2026-06-30T00:00:00"/>
    <s v="1248"/>
    <s v="OD15D7494"/>
    <n v="1200"/>
    <n v="100.74"/>
    <n v="120888"/>
    <x v="50"/>
    <x v="3"/>
  </r>
  <r>
    <d v="2026-06-30T00:00:00"/>
    <s v="1249"/>
    <s v="OD15AF5510"/>
    <n v="3000"/>
    <n v="100.74"/>
    <n v="302220"/>
    <x v="50"/>
    <x v="3"/>
  </r>
  <r>
    <d v="2026-06-30T00:00:00"/>
    <s v="1250"/>
    <s v="OD23N7688"/>
    <n v="1000"/>
    <n v="100.74"/>
    <n v="100740"/>
    <x v="10"/>
    <x v="3"/>
  </r>
  <r>
    <d v="2026-06-30T00:00:00"/>
    <s v="1251"/>
    <s v="Transporting"/>
    <n v="2859.84"/>
    <n v="100.74"/>
    <n v="288100"/>
    <x v="8"/>
    <x v="3"/>
  </r>
  <r>
    <d v="2026-06-30T00:00:00"/>
    <s v="1252"/>
    <s v=""/>
    <n v="446.69"/>
    <n v="100.74"/>
    <n v="45000"/>
    <x v="21"/>
    <x v="3"/>
  </r>
  <r>
    <d v="2026-06-30T00:00:00"/>
    <s v="1253"/>
    <s v="JH10BU4866"/>
    <n v="247"/>
    <n v="100.74"/>
    <n v="24882.78"/>
    <x v="25"/>
    <x v="3"/>
  </r>
  <r>
    <d v="2026-06-30T00:00:00"/>
    <s v="1254"/>
    <s v="OD23H5292"/>
    <n v="198.53"/>
    <n v="100.74"/>
    <n v="20000"/>
    <x v="25"/>
    <x v="3"/>
  </r>
  <r>
    <d v="2026-07-01T00:00:00"/>
    <s v="1255"/>
    <s v="OD23N5311"/>
    <n v="1000"/>
    <n v="100.74"/>
    <n v="100740"/>
    <x v="17"/>
    <x v="4"/>
  </r>
  <r>
    <d v="2026-07-01T00:00:00"/>
    <s v="1256"/>
    <s v="OD15AF5510"/>
    <n v="1000"/>
    <n v="100.74"/>
    <n v="100740"/>
    <x v="56"/>
    <x v="4"/>
  </r>
  <r>
    <d v="2026-07-01T00:00:00"/>
    <s v="1257"/>
    <s v="OD15AF5510"/>
    <n v="1000"/>
    <n v="100.74"/>
    <n v="100740"/>
    <x v="30"/>
    <x v="4"/>
  </r>
  <r>
    <d v="2026-07-01T00:00:00"/>
    <s v="1258"/>
    <s v="OD15AF5510"/>
    <n v="1000"/>
    <n v="100.74"/>
    <n v="100740"/>
    <x v="40"/>
    <x v="4"/>
  </r>
  <r>
    <d v="2026-07-01T00:00:00"/>
    <s v="1259"/>
    <s v="OD15N0455"/>
    <n v="49.63"/>
    <n v="100.74"/>
    <n v="5000"/>
    <x v="38"/>
    <x v="4"/>
  </r>
  <r>
    <d v="2026-07-01T00:00:00"/>
    <s v="1260"/>
    <s v="JH13J1926"/>
    <n v="15"/>
    <n v="100.74"/>
    <n v="1511.1"/>
    <x v="28"/>
    <x v="4"/>
  </r>
  <r>
    <d v="2026-07-01T00:00:00"/>
    <s v="1261"/>
    <s v="OD23P3948"/>
    <n v="20"/>
    <n v="100.74"/>
    <n v="2014.8"/>
    <x v="28"/>
    <x v="4"/>
  </r>
  <r>
    <d v="2026-07-01T00:00:00"/>
    <s v="1262"/>
    <s v="OD15AF5510"/>
    <n v="40"/>
    <n v="100.74"/>
    <n v="4029.6"/>
    <x v="3"/>
    <x v="4"/>
  </r>
  <r>
    <d v="2026-07-01T00:00:00"/>
    <s v="1263"/>
    <s v="Transporting"/>
    <n v="3478.26"/>
    <n v="100.74"/>
    <n v="350400"/>
    <x v="8"/>
    <x v="4"/>
  </r>
  <r>
    <d v="2026-07-01T00:00:00"/>
    <s v="1264"/>
    <s v="Consumer"/>
    <n v="39.71"/>
    <n v="100.74"/>
    <n v="4000"/>
    <x v="8"/>
    <x v="4"/>
  </r>
  <r>
    <d v="2026-07-01T00:00:00"/>
    <s v="1265"/>
    <s v=""/>
    <n v="859.64"/>
    <n v="100.74"/>
    <n v="86600"/>
    <x v="21"/>
    <x v="4"/>
  </r>
  <r>
    <d v="2026-07-01T00:00:00"/>
    <s v="1266"/>
    <s v=""/>
    <n v="129"/>
    <n v="100.74"/>
    <n v="12995.46"/>
    <x v="7"/>
    <x v="4"/>
  </r>
  <r>
    <d v="2026-07-01T00:00:00"/>
    <s v="1267"/>
    <s v="OD15AF5510"/>
    <n v="2500"/>
    <n v="100.74"/>
    <n v="251850"/>
    <x v="10"/>
    <x v="4"/>
  </r>
  <r>
    <d v="2026-07-01T00:00:00"/>
    <s v="1268"/>
    <s v="OD15AF5510"/>
    <n v="1500.41"/>
    <n v="100.74"/>
    <n v="151151.29999999999"/>
    <x v="16"/>
    <x v="4"/>
  </r>
  <r>
    <d v="2026-07-01T00:00:00"/>
    <s v="1269"/>
    <s v="OD15AF5510"/>
    <n v="1134.1199999999999"/>
    <n v="100.74"/>
    <n v="114251.25"/>
    <x v="15"/>
    <x v="4"/>
  </r>
  <r>
    <d v="2026-07-01T00:00:00"/>
    <s v="1270"/>
    <s v=""/>
    <n v="294.82"/>
    <n v="100.74"/>
    <n v="29700"/>
    <x v="61"/>
    <x v="4"/>
  </r>
  <r>
    <d v="2026-07-02T00:00:00"/>
    <s v="1271"/>
    <s v="OR15R5510"/>
    <n v="12000"/>
    <n v="100.74"/>
    <n v="1208880"/>
    <x v="24"/>
    <x v="4"/>
  </r>
  <r>
    <d v="2026-07-02T00:00:00"/>
    <s v="1272"/>
    <s v="OD15AF5510"/>
    <n v="3000"/>
    <n v="100.74"/>
    <n v="302220"/>
    <x v="50"/>
    <x v="4"/>
  </r>
  <r>
    <d v="2026-07-02T00:00:00"/>
    <s v="1273"/>
    <s v="OD15AF5510"/>
    <n v="655.21"/>
    <n v="100.74"/>
    <n v="66005.86"/>
    <x v="15"/>
    <x v="4"/>
  </r>
  <r>
    <d v="2026-07-02T00:00:00"/>
    <s v="1274"/>
    <s v="OD15AF5510"/>
    <n v="951.54"/>
    <n v="100.74"/>
    <n v="95858.14"/>
    <x v="15"/>
    <x v="4"/>
  </r>
  <r>
    <d v="2026-07-02T00:00:00"/>
    <s v="1275"/>
    <s v="Transporting"/>
    <n v="2102.44"/>
    <n v="100.74"/>
    <n v="211800"/>
    <x v="8"/>
    <x v="4"/>
  </r>
  <r>
    <d v="2026-07-02T00:00:00"/>
    <s v="1276"/>
    <s v=""/>
    <n v="804.05"/>
    <n v="100.74"/>
    <n v="81000"/>
    <x v="21"/>
    <x v="4"/>
  </r>
  <r>
    <d v="2026-07-02T00:00:00"/>
    <s v="1277"/>
    <s v="OD16K7103"/>
    <n v="200"/>
    <n v="100.74"/>
    <n v="20148"/>
    <x v="62"/>
    <x v="4"/>
  </r>
  <r>
    <d v="2026-07-02T00:00:00"/>
    <s v="1278"/>
    <s v="OD16K7108"/>
    <n v="200"/>
    <n v="100.74"/>
    <n v="20148"/>
    <x v="62"/>
    <x v="4"/>
  </r>
  <r>
    <d v="2026-07-02T00:00:00"/>
    <s v="1279"/>
    <s v="OD16K7171"/>
    <n v="200"/>
    <n v="100.74"/>
    <n v="20148"/>
    <x v="62"/>
    <x v="4"/>
  </r>
  <r>
    <d v="2026-07-02T00:00:00"/>
    <s v="1280"/>
    <s v="OD16K7170"/>
    <n v="200"/>
    <n v="100.74"/>
    <n v="20148"/>
    <x v="62"/>
    <x v="4"/>
  </r>
  <r>
    <d v="2026-07-02T00:00:00"/>
    <s v="1281"/>
    <s v="OD16M0743"/>
    <n v="200"/>
    <n v="100.74"/>
    <n v="20148"/>
    <x v="62"/>
    <x v="4"/>
  </r>
  <r>
    <d v="2026-07-02T00:00:00"/>
    <s v="1282"/>
    <s v="OD15AA5823"/>
    <n v="217"/>
    <n v="100.74"/>
    <n v="21860.58"/>
    <x v="38"/>
    <x v="4"/>
  </r>
  <r>
    <d v="2026-07-02T00:00:00"/>
    <s v="1283"/>
    <s v="OD15X8293"/>
    <n v="81.3"/>
    <n v="100.74"/>
    <n v="8190.16"/>
    <x v="38"/>
    <x v="4"/>
  </r>
  <r>
    <d v="2026-07-02T00:00:00"/>
    <s v="1284"/>
    <s v="OD15K2690"/>
    <n v="112.37"/>
    <n v="100.74"/>
    <n v="11320.15"/>
    <x v="38"/>
    <x v="4"/>
  </r>
  <r>
    <d v="2026-07-02T00:00:00"/>
    <s v="1285"/>
    <s v="OD15AE7230"/>
    <n v="164"/>
    <n v="100.74"/>
    <n v="16521.36"/>
    <x v="38"/>
    <x v="4"/>
  </r>
  <r>
    <d v="2026-07-02T00:00:00"/>
    <s v="1286"/>
    <s v="OD15Z1430"/>
    <n v="20"/>
    <n v="100.74"/>
    <n v="2014.8"/>
    <x v="38"/>
    <x v="4"/>
  </r>
  <r>
    <d v="2026-07-02T00:00:00"/>
    <s v="1287"/>
    <s v="NEW TRACTOR"/>
    <n v="20"/>
    <n v="100.74"/>
    <n v="2014.8"/>
    <x v="38"/>
    <x v="4"/>
  </r>
  <r>
    <d v="2026-07-02T00:00:00"/>
    <s v="1288"/>
    <s v="OR15Q0355"/>
    <n v="150"/>
    <n v="100.74"/>
    <n v="15111"/>
    <x v="38"/>
    <x v="4"/>
  </r>
  <r>
    <d v="2026-07-02T00:00:00"/>
    <s v="1289"/>
    <s v="CG04MR0818"/>
    <n v="8.08"/>
    <n v="100.74"/>
    <n v="813.68"/>
    <x v="28"/>
    <x v="4"/>
  </r>
  <r>
    <d v="2026-07-02T00:00:00"/>
    <s v="1290"/>
    <s v="OR15R5510"/>
    <n v="281"/>
    <n v="100.74"/>
    <n v="28307.94"/>
    <x v="3"/>
    <x v="4"/>
  </r>
  <r>
    <d v="2026-07-02T00:00:00"/>
    <s v="1291"/>
    <s v=""/>
    <n v="258.08999999999997"/>
    <n v="100.74"/>
    <n v="26000"/>
    <x v="61"/>
    <x v="4"/>
  </r>
  <r>
    <d v="2026-07-03T00:00:00"/>
    <s v="1292"/>
    <s v="OR15R1110"/>
    <n v="12000"/>
    <n v="100.74"/>
    <n v="1208880"/>
    <x v="1"/>
    <x v="4"/>
  </r>
  <r>
    <d v="2026-07-03T00:00:00"/>
    <s v="1293"/>
    <s v="OD16M0750"/>
    <n v="200"/>
    <n v="100.74"/>
    <n v="20148"/>
    <x v="62"/>
    <x v="4"/>
  </r>
  <r>
    <d v="2026-07-03T00:00:00"/>
    <s v="1294"/>
    <s v="OD16K7132"/>
    <n v="200"/>
    <n v="100.74"/>
    <n v="20148"/>
    <x v="62"/>
    <x v="4"/>
  </r>
  <r>
    <d v="2026-07-03T00:00:00"/>
    <s v="1295"/>
    <s v="OD16M2067"/>
    <n v="200"/>
    <n v="100.74"/>
    <n v="20148"/>
    <x v="62"/>
    <x v="4"/>
  </r>
  <r>
    <d v="2026-07-03T00:00:00"/>
    <s v="1296"/>
    <s v="OD16M2047"/>
    <n v="200"/>
    <n v="100.74"/>
    <n v="20148"/>
    <x v="62"/>
    <x v="4"/>
  </r>
  <r>
    <d v="2026-07-03T00:00:00"/>
    <s v="1297"/>
    <s v="OD16M2030"/>
    <n v="200"/>
    <n v="100.74"/>
    <n v="20148"/>
    <x v="62"/>
    <x v="4"/>
  </r>
  <r>
    <d v="2026-07-03T00:00:00"/>
    <s v="1298"/>
    <s v="OD16M2004"/>
    <n v="200"/>
    <n v="100.74"/>
    <n v="20148"/>
    <x v="62"/>
    <x v="4"/>
  </r>
  <r>
    <d v="2026-07-03T00:00:00"/>
    <s v="1299"/>
    <s v="OD16M2080"/>
    <n v="200"/>
    <n v="100.74"/>
    <n v="20148"/>
    <x v="62"/>
    <x v="4"/>
  </r>
  <r>
    <d v="2026-07-03T00:00:00"/>
    <s v="1300"/>
    <s v="OD16M0981"/>
    <n v="200"/>
    <n v="100.74"/>
    <n v="20148"/>
    <x v="62"/>
    <x v="4"/>
  </r>
  <r>
    <d v="2026-07-03T00:00:00"/>
    <s v="1301"/>
    <s v="OD16K3450"/>
    <n v="200"/>
    <n v="100.74"/>
    <n v="20148"/>
    <x v="62"/>
    <x v="4"/>
  </r>
  <r>
    <d v="2026-07-03T00:00:00"/>
    <s v="1302"/>
    <s v="OD16M2073"/>
    <n v="200"/>
    <n v="100.74"/>
    <n v="20148"/>
    <x v="62"/>
    <x v="4"/>
  </r>
  <r>
    <d v="2026-07-03T00:00:00"/>
    <s v="1303"/>
    <s v="OD16M2001"/>
    <n v="200"/>
    <n v="100.74"/>
    <n v="20148"/>
    <x v="62"/>
    <x v="4"/>
  </r>
  <r>
    <d v="2026-07-03T00:00:00"/>
    <s v="1304"/>
    <s v="OD16M0914"/>
    <n v="200"/>
    <n v="100.74"/>
    <n v="20148"/>
    <x v="62"/>
    <x v="4"/>
  </r>
  <r>
    <d v="2026-07-03T00:00:00"/>
    <s v="1305"/>
    <s v="OD15N0455"/>
    <n v="88.55"/>
    <n v="100.74"/>
    <n v="8920.52"/>
    <x v="38"/>
    <x v="4"/>
  </r>
  <r>
    <d v="2026-07-03T00:00:00"/>
    <s v="1306"/>
    <s v="OD14T5423"/>
    <n v="51.88"/>
    <n v="100.74"/>
    <n v="5226.3900000000003"/>
    <x v="29"/>
    <x v="4"/>
  </r>
  <r>
    <d v="2026-07-03T00:00:00"/>
    <s v="1307"/>
    <s v="OD15AF5510"/>
    <n v="263.83"/>
    <n v="100.74"/>
    <n v="26578.23"/>
    <x v="15"/>
    <x v="4"/>
  </r>
  <r>
    <d v="2026-07-03T00:00:00"/>
    <s v="1308"/>
    <s v="OD15AF5510"/>
    <n v="922.28"/>
    <n v="100.74"/>
    <n v="92910.49"/>
    <x v="15"/>
    <x v="4"/>
  </r>
  <r>
    <d v="2026-07-03T00:00:00"/>
    <s v="1309"/>
    <s v="OD15AF5510"/>
    <n v="2000.08"/>
    <n v="100.74"/>
    <n v="201488.06"/>
    <x v="16"/>
    <x v="4"/>
  </r>
  <r>
    <d v="2026-07-03T00:00:00"/>
    <s v="1310"/>
    <s v=""/>
    <n v="600.55999999999995"/>
    <n v="100.74"/>
    <n v="60500"/>
    <x v="21"/>
    <x v="4"/>
  </r>
  <r>
    <d v="2026-07-03T00:00:00"/>
    <s v="1311"/>
    <s v="Consumer"/>
    <n v="30"/>
    <n v="100.74"/>
    <n v="3022.2"/>
    <x v="8"/>
    <x v="4"/>
  </r>
  <r>
    <d v="2026-07-03T00:00:00"/>
    <s v="1312"/>
    <s v="Transporting"/>
    <n v="5275.96"/>
    <n v="100.74"/>
    <n v="531500"/>
    <x v="8"/>
    <x v="4"/>
  </r>
  <r>
    <d v="2026-07-04T00:00:00"/>
    <s v="1313"/>
    <s v="Transporting"/>
    <n v="4009.33"/>
    <n v="100.74"/>
    <n v="403900"/>
    <x v="8"/>
    <x v="4"/>
  </r>
  <r>
    <d v="2026-07-04T00:00:00"/>
    <s v="1314"/>
    <s v="Consumer"/>
    <n v="30"/>
    <n v="100.74"/>
    <n v="3022.2"/>
    <x v="8"/>
    <x v="4"/>
  </r>
  <r>
    <d v="2026-07-04T00:00:00"/>
    <s v="1315"/>
    <s v="OD15AF5510"/>
    <n v="2000.04"/>
    <n v="100.74"/>
    <n v="201484.03"/>
    <x v="16"/>
    <x v="4"/>
  </r>
  <r>
    <d v="2026-07-04T00:00:00"/>
    <s v="1316"/>
    <s v="OD15AF5510"/>
    <n v="979.74"/>
    <n v="100.74"/>
    <n v="98699.01"/>
    <x v="15"/>
    <x v="4"/>
  </r>
  <r>
    <d v="2026-07-04T00:00:00"/>
    <s v="1317"/>
    <s v=""/>
    <n v="1459.2"/>
    <n v="100.74"/>
    <n v="147000"/>
    <x v="21"/>
    <x v="4"/>
  </r>
  <r>
    <d v="2026-07-04T00:00:00"/>
    <s v="1318"/>
    <s v=""/>
    <n v="176.24"/>
    <n v="100.74"/>
    <n v="17754.509999999998"/>
    <x v="63"/>
    <x v="4"/>
  </r>
  <r>
    <d v="2026-07-04T00:00:00"/>
    <s v="1319"/>
    <s v=""/>
    <n v="20"/>
    <n v="100.74"/>
    <n v="2014.8"/>
    <x v="26"/>
    <x v="4"/>
  </r>
  <r>
    <d v="2026-07-04T00:00:00"/>
    <s v="1320"/>
    <s v="JH13J1926"/>
    <n v="10"/>
    <n v="100.74"/>
    <n v="1007.4"/>
    <x v="28"/>
    <x v="4"/>
  </r>
  <r>
    <d v="2026-07-04T00:00:00"/>
    <s v="1321"/>
    <s v=""/>
    <n v="15"/>
    <n v="100.74"/>
    <n v="1511.1"/>
    <x v="28"/>
    <x v="4"/>
  </r>
  <r>
    <d v="2026-07-04T00:00:00"/>
    <s v="1322"/>
    <s v="OD23B4525"/>
    <n v="19.86"/>
    <n v="100.74"/>
    <n v="2000"/>
    <x v="60"/>
    <x v="4"/>
  </r>
  <r>
    <d v="2026-07-04T00:00:00"/>
    <s v="1323"/>
    <s v="OD23A7841"/>
    <n v="19.86"/>
    <n v="100.74"/>
    <n v="2000"/>
    <x v="60"/>
    <x v="4"/>
  </r>
  <r>
    <d v="2026-07-04T00:00:00"/>
    <s v="1324"/>
    <s v="OD23Q4004"/>
    <n v="27.8"/>
    <n v="100.74"/>
    <n v="2800"/>
    <x v="60"/>
    <x v="4"/>
  </r>
  <r>
    <d v="2026-07-04T00:00:00"/>
    <s v="1325"/>
    <s v="OD16B8153"/>
    <n v="27.8"/>
    <n v="100.74"/>
    <n v="2800"/>
    <x v="60"/>
    <x v="4"/>
  </r>
  <r>
    <d v="2026-07-04T00:00:00"/>
    <s v="1326"/>
    <s v="OD16D2699"/>
    <n v="27.8"/>
    <n v="100.74"/>
    <n v="2800"/>
    <x v="60"/>
    <x v="4"/>
  </r>
  <r>
    <d v="2026-07-05T00:00:00"/>
    <s v="1327"/>
    <s v="OD16M0743"/>
    <n v="200"/>
    <n v="100.74"/>
    <n v="20148"/>
    <x v="62"/>
    <x v="4"/>
  </r>
  <r>
    <d v="2026-07-05T00:00:00"/>
    <s v="1328"/>
    <s v="OD16K7170"/>
    <n v="200"/>
    <n v="100.74"/>
    <n v="20148"/>
    <x v="62"/>
    <x v="4"/>
  </r>
  <r>
    <d v="2026-07-05T00:00:00"/>
    <s v="1329"/>
    <s v="OD16K7108"/>
    <n v="200"/>
    <n v="100.74"/>
    <n v="20148"/>
    <x v="62"/>
    <x v="4"/>
  </r>
  <r>
    <d v="2026-07-05T00:00:00"/>
    <s v="1330"/>
    <s v="OD16K7171"/>
    <n v="200"/>
    <n v="100.74"/>
    <n v="20148"/>
    <x v="62"/>
    <x v="4"/>
  </r>
  <r>
    <d v="2026-07-05T00:00:00"/>
    <s v="1331"/>
    <s v="OD16K7103"/>
    <n v="200"/>
    <n v="100.74"/>
    <n v="20148"/>
    <x v="62"/>
    <x v="4"/>
  </r>
  <r>
    <d v="2026-07-05T00:00:00"/>
    <s v="1332"/>
    <s v="OD23A9137"/>
    <n v="19.86"/>
    <n v="100.74"/>
    <n v="2000"/>
    <x v="60"/>
    <x v="4"/>
  </r>
  <r>
    <d v="2026-07-05T00:00:00"/>
    <s v="1333"/>
    <s v="OD23B4526"/>
    <n v="19.86"/>
    <n v="100.74"/>
    <n v="2000"/>
    <x v="60"/>
    <x v="4"/>
  </r>
  <r>
    <d v="2026-07-05T00:00:00"/>
    <s v="1334"/>
    <s v="OD23A7844"/>
    <n v="19.86"/>
    <n v="100.74"/>
    <n v="2000"/>
    <x v="60"/>
    <x v="4"/>
  </r>
  <r>
    <d v="2026-07-05T00:00:00"/>
    <s v="1335"/>
    <s v="OD16D7078"/>
    <n v="24.82"/>
    <n v="100.74"/>
    <n v="2500"/>
    <x v="60"/>
    <x v="4"/>
  </r>
  <r>
    <d v="2026-07-05T00:00:00"/>
    <s v="1336"/>
    <s v="OD16D6574"/>
    <n v="24.82"/>
    <n v="100.74"/>
    <n v="2500"/>
    <x v="60"/>
    <x v="4"/>
  </r>
  <r>
    <d v="2026-07-05T00:00:00"/>
    <s v="1337"/>
    <s v="OD16D7074"/>
    <n v="24.82"/>
    <n v="100.74"/>
    <n v="2500"/>
    <x v="60"/>
    <x v="4"/>
  </r>
  <r>
    <d v="2026-07-05T00:00:00"/>
    <s v="1338"/>
    <s v="OD16D9822"/>
    <n v="24.82"/>
    <n v="100.74"/>
    <n v="2500"/>
    <x v="60"/>
    <x v="4"/>
  </r>
  <r>
    <d v="2026-07-05T00:00:00"/>
    <s v="1339"/>
    <s v="OD16K6008"/>
    <n v="27.8"/>
    <n v="100.74"/>
    <n v="2800"/>
    <x v="60"/>
    <x v="4"/>
  </r>
  <r>
    <d v="2026-07-05T00:00:00"/>
    <s v="1340"/>
    <s v="OD16B8153"/>
    <n v="27.8"/>
    <n v="100.74"/>
    <n v="2800"/>
    <x v="60"/>
    <x v="4"/>
  </r>
  <r>
    <d v="2026-07-05T00:00:00"/>
    <s v="1341"/>
    <s v="OD15U2213"/>
    <n v="300"/>
    <n v="100.74"/>
    <n v="30222"/>
    <x v="54"/>
    <x v="4"/>
  </r>
  <r>
    <d v="2026-07-05T00:00:00"/>
    <s v="1342"/>
    <s v="OD16D7168"/>
    <n v="25.81"/>
    <n v="100.74"/>
    <n v="2600"/>
    <x v="60"/>
    <x v="4"/>
  </r>
  <r>
    <d v="2026-07-05T00:00:00"/>
    <s v="1343"/>
    <s v="OD16D2068"/>
    <n v="25.81"/>
    <n v="100.74"/>
    <n v="2600"/>
    <x v="60"/>
    <x v="4"/>
  </r>
  <r>
    <d v="2026-07-05T00:00:00"/>
    <s v="1344"/>
    <s v="OD16D2699"/>
    <n v="27.8"/>
    <n v="100.74"/>
    <n v="2800"/>
    <x v="60"/>
    <x v="4"/>
  </r>
  <r>
    <d v="2026-07-05T00:00:00"/>
    <s v="1345"/>
    <s v="OD16D6574"/>
    <n v="27.8"/>
    <n v="100.74"/>
    <n v="2800"/>
    <x v="60"/>
    <x v="4"/>
  </r>
  <r>
    <d v="2026-07-05T00:00:00"/>
    <s v="1346"/>
    <s v="OD15N0455"/>
    <n v="78.819999999999993"/>
    <n v="100.74"/>
    <n v="7940.32"/>
    <x v="38"/>
    <x v="4"/>
  </r>
  <r>
    <d v="2026-07-05T00:00:00"/>
    <s v="1347"/>
    <s v="1107EX"/>
    <n v="80"/>
    <n v="100.74"/>
    <n v="8059.2"/>
    <x v="38"/>
    <x v="4"/>
  </r>
  <r>
    <d v="2026-07-05T00:00:00"/>
    <s v="1348"/>
    <s v="CG04JD2354"/>
    <n v="20"/>
    <n v="100.74"/>
    <n v="2014.8"/>
    <x v="28"/>
    <x v="4"/>
  </r>
  <r>
    <d v="2026-07-05T00:00:00"/>
    <s v="1349"/>
    <s v="OD23P3948"/>
    <n v="20"/>
    <n v="100.74"/>
    <n v="2014.8"/>
    <x v="28"/>
    <x v="4"/>
  </r>
  <r>
    <d v="2026-07-05T00:00:00"/>
    <s v="1350"/>
    <s v="OD23P3948"/>
    <n v="20"/>
    <n v="100.74"/>
    <n v="2014.8"/>
    <x v="28"/>
    <x v="4"/>
  </r>
  <r>
    <d v="2026-07-05T00:00:00"/>
    <s v="1351"/>
    <s v="CG04MR0818"/>
    <n v="15"/>
    <n v="100.74"/>
    <n v="1511.1"/>
    <x v="28"/>
    <x v="4"/>
  </r>
  <r>
    <d v="2026-07-05T00:00:00"/>
    <s v="1352"/>
    <s v=""/>
    <n v="772.98"/>
    <n v="100.74"/>
    <n v="77870"/>
    <x v="63"/>
    <x v="4"/>
  </r>
  <r>
    <d v="2026-07-05T00:00:00"/>
    <s v="1353"/>
    <s v=""/>
    <n v="49.63"/>
    <n v="100.74"/>
    <n v="5000"/>
    <x v="61"/>
    <x v="4"/>
  </r>
  <r>
    <d v="2026-07-05T00:00:00"/>
    <s v="1354"/>
    <s v=""/>
    <n v="519.16"/>
    <n v="100.74"/>
    <n v="52300"/>
    <x v="21"/>
    <x v="4"/>
  </r>
  <r>
    <d v="2026-07-05T00:00:00"/>
    <s v="1355"/>
    <s v="Transporting"/>
    <n v="1800.68"/>
    <n v="100.74"/>
    <n v="181400"/>
    <x v="8"/>
    <x v="4"/>
  </r>
  <r>
    <d v="2026-07-05T00:00:00"/>
    <s v="1356"/>
    <s v="Consumer"/>
    <n v="29.78"/>
    <n v="100.74"/>
    <n v="3000"/>
    <x v="8"/>
    <x v="4"/>
  </r>
  <r>
    <d v="2026-07-05T00:00:00"/>
    <s v="1357"/>
    <s v="OD15AF5510"/>
    <n v="964.48"/>
    <n v="100.74"/>
    <n v="97161.72"/>
    <x v="15"/>
    <x v="4"/>
  </r>
  <r>
    <d v="2026-07-06T00:00:00"/>
    <s v="1358"/>
    <s v="OD15R1110"/>
    <n v="12000"/>
    <n v="100.74"/>
    <n v="1208880"/>
    <x v="24"/>
    <x v="4"/>
  </r>
  <r>
    <d v="2026-07-06T00:00:00"/>
    <s v="1359"/>
    <s v="OD16M2047"/>
    <n v="200"/>
    <n v="100.74"/>
    <n v="20148"/>
    <x v="62"/>
    <x v="4"/>
  </r>
  <r>
    <d v="2026-07-06T00:00:00"/>
    <s v="1360"/>
    <s v="OD16M2067"/>
    <n v="200"/>
    <n v="100.74"/>
    <n v="20148"/>
    <x v="62"/>
    <x v="4"/>
  </r>
  <r>
    <d v="2026-07-06T00:00:00"/>
    <s v="1361"/>
    <s v="OD16K7132"/>
    <n v="200"/>
    <n v="100.74"/>
    <n v="20148"/>
    <x v="62"/>
    <x v="4"/>
  </r>
  <r>
    <d v="2026-07-06T00:00:00"/>
    <s v="1362"/>
    <s v="OD16M0750"/>
    <n v="200"/>
    <n v="100.74"/>
    <n v="20148"/>
    <x v="62"/>
    <x v="4"/>
  </r>
  <r>
    <d v="2026-07-06T00:00:00"/>
    <s v="1363"/>
    <s v="OD16M2001"/>
    <n v="200"/>
    <n v="100.74"/>
    <n v="20148"/>
    <x v="62"/>
    <x v="4"/>
  </r>
  <r>
    <d v="2026-07-06T00:00:00"/>
    <s v="1364"/>
    <s v="OD16M2073"/>
    <n v="200"/>
    <n v="100.74"/>
    <n v="20148"/>
    <x v="62"/>
    <x v="4"/>
  </r>
  <r>
    <d v="2026-07-06T00:00:00"/>
    <s v="1365"/>
    <s v="OD16M2030"/>
    <n v="200"/>
    <n v="100.74"/>
    <n v="20148"/>
    <x v="62"/>
    <x v="4"/>
  </r>
  <r>
    <d v="2026-07-06T00:00:00"/>
    <s v="1366"/>
    <s v="OD16M0981"/>
    <n v="200"/>
    <n v="100.74"/>
    <n v="20148"/>
    <x v="62"/>
    <x v="4"/>
  </r>
  <r>
    <d v="2026-07-06T00:00:00"/>
    <s v="1367"/>
    <s v="OD16K3450"/>
    <n v="200"/>
    <n v="100.74"/>
    <n v="20148"/>
    <x v="62"/>
    <x v="4"/>
  </r>
  <r>
    <d v="2026-07-06T00:00:00"/>
    <s v="1368"/>
    <s v="OD16M2004"/>
    <n v="200"/>
    <n v="100.74"/>
    <n v="20148"/>
    <x v="62"/>
    <x v="4"/>
  </r>
  <r>
    <d v="2026-07-06T00:00:00"/>
    <s v="1369"/>
    <s v="OD16M0914"/>
    <n v="200"/>
    <n v="100.74"/>
    <n v="20148"/>
    <x v="62"/>
    <x v="4"/>
  </r>
  <r>
    <d v="2026-07-06T00:00:00"/>
    <s v="1370"/>
    <s v="OD16M2080"/>
    <n v="200"/>
    <n v="100.74"/>
    <n v="20148"/>
    <x v="62"/>
    <x v="4"/>
  </r>
  <r>
    <d v="2026-07-06T00:00:00"/>
    <s v="1371"/>
    <s v="OD23A8210"/>
    <n v="49.24"/>
    <n v="100.74"/>
    <n v="4960.43"/>
    <x v="2"/>
    <x v="4"/>
  </r>
  <r>
    <d v="2026-07-06T00:00:00"/>
    <s v="1372"/>
    <s v="OD23A7841"/>
    <n v="19.86"/>
    <n v="100.74"/>
    <n v="2000"/>
    <x v="60"/>
    <x v="4"/>
  </r>
  <r>
    <d v="2026-07-06T00:00:00"/>
    <s v="1373"/>
    <s v="OD23B4525"/>
    <n v="19.86"/>
    <n v="100.74"/>
    <n v="2000"/>
    <x v="60"/>
    <x v="4"/>
  </r>
  <r>
    <d v="2026-07-06T00:00:00"/>
    <s v="1374"/>
    <s v="OD16K5536"/>
    <n v="24.82"/>
    <n v="100.74"/>
    <n v="2500"/>
    <x v="60"/>
    <x v="4"/>
  </r>
  <r>
    <d v="2026-07-06T00:00:00"/>
    <s v="1375"/>
    <s v="OD16K6008"/>
    <n v="24.82"/>
    <n v="100.74"/>
    <n v="2500"/>
    <x v="60"/>
    <x v="4"/>
  </r>
  <r>
    <d v="2026-07-06T00:00:00"/>
    <s v="1376"/>
    <s v="OD16D9822"/>
    <n v="24.82"/>
    <n v="100.74"/>
    <n v="2500"/>
    <x v="60"/>
    <x v="4"/>
  </r>
  <r>
    <d v="2026-07-06T00:00:00"/>
    <s v="1377"/>
    <s v="OD16D7168"/>
    <n v="25.81"/>
    <n v="100.74"/>
    <n v="2600"/>
    <x v="60"/>
    <x v="4"/>
  </r>
  <r>
    <d v="2026-07-06T00:00:00"/>
    <s v="1378"/>
    <s v="OD16D2068"/>
    <n v="25.81"/>
    <n v="100.74"/>
    <n v="2600"/>
    <x v="60"/>
    <x v="4"/>
  </r>
  <r>
    <d v="2026-07-06T00:00:00"/>
    <s v="1379"/>
    <s v="OD16D6574"/>
    <n v="25.81"/>
    <n v="100.74"/>
    <n v="2600"/>
    <x v="60"/>
    <x v="4"/>
  </r>
  <r>
    <d v="2026-07-06T00:00:00"/>
    <s v="1380"/>
    <s v="OD16D2699"/>
    <n v="27.8"/>
    <n v="100.74"/>
    <n v="2800"/>
    <x v="60"/>
    <x v="4"/>
  </r>
  <r>
    <d v="2026-07-06T00:00:00"/>
    <s v="1381"/>
    <s v="OD16B8153"/>
    <n v="27.8"/>
    <n v="100.74"/>
    <n v="2800"/>
    <x v="60"/>
    <x v="4"/>
  </r>
  <r>
    <d v="2026-07-06T00:00:00"/>
    <s v="1382"/>
    <s v="OD16K1356"/>
    <n v="27.8"/>
    <n v="100.74"/>
    <n v="2800"/>
    <x v="60"/>
    <x v="4"/>
  </r>
  <r>
    <d v="2026-07-06T00:00:00"/>
    <s v="1383"/>
    <s v="OD23Q4004"/>
    <n v="27.8"/>
    <n v="100.74"/>
    <n v="2800"/>
    <x v="60"/>
    <x v="4"/>
  </r>
  <r>
    <d v="2026-07-06T00:00:00"/>
    <s v="1384"/>
    <s v="OD16D7103"/>
    <n v="27.8"/>
    <n v="100.74"/>
    <n v="2800"/>
    <x v="60"/>
    <x v="4"/>
  </r>
  <r>
    <d v="2026-07-06T00:00:00"/>
    <s v="1385"/>
    <s v="OD16P5168"/>
    <n v="29.78"/>
    <n v="100.74"/>
    <n v="3000"/>
    <x v="60"/>
    <x v="4"/>
  </r>
  <r>
    <d v="2026-07-06T00:00:00"/>
    <s v="1386"/>
    <s v="OD16N0968"/>
    <n v="29.78"/>
    <n v="100.74"/>
    <n v="3000"/>
    <x v="60"/>
    <x v="4"/>
  </r>
  <r>
    <d v="2026-07-06T00:00:00"/>
    <s v="1387"/>
    <s v="OD16K5536"/>
    <n v="34.75"/>
    <n v="100.74"/>
    <n v="3500"/>
    <x v="60"/>
    <x v="4"/>
  </r>
  <r>
    <d v="2026-07-06T00:00:00"/>
    <s v="1388"/>
    <s v=""/>
    <n v="533.94000000000005"/>
    <n v="100.74"/>
    <n v="53789"/>
    <x v="63"/>
    <x v="4"/>
  </r>
  <r>
    <d v="2026-07-06T00:00:00"/>
    <s v="1389"/>
    <s v=""/>
    <n v="44.67"/>
    <n v="100.74"/>
    <n v="4500"/>
    <x v="61"/>
    <x v="4"/>
  </r>
  <r>
    <d v="2026-07-06T00:00:00"/>
    <s v="1390"/>
    <s v="OD15AF5510"/>
    <n v="1186.0999999999999"/>
    <n v="100.74"/>
    <n v="119487.71"/>
    <x v="15"/>
    <x v="4"/>
  </r>
  <r>
    <d v="2026-07-06T00:00:00"/>
    <s v="1391"/>
    <s v=""/>
    <n v="1107.8"/>
    <n v="100.74"/>
    <n v="111600"/>
    <x v="21"/>
    <x v="4"/>
  </r>
  <r>
    <d v="2026-07-06T00:00:00"/>
    <s v="1392"/>
    <s v="Transporting"/>
    <n v="2668.25"/>
    <n v="100.74"/>
    <n v="268800"/>
    <x v="8"/>
    <x v="4"/>
  </r>
  <r>
    <d v="2026-07-07T00:00:00"/>
    <s v="1393"/>
    <s v="Transporting"/>
    <n v="4525.51"/>
    <n v="100.74"/>
    <n v="455900"/>
    <x v="8"/>
    <x v="4"/>
  </r>
  <r>
    <d v="2026-07-07T00:00:00"/>
    <s v="1394"/>
    <s v=""/>
    <n v="1534.64"/>
    <n v="100.74"/>
    <n v="154600"/>
    <x v="21"/>
    <x v="4"/>
  </r>
  <r>
    <d v="2026-07-07T00:00:00"/>
    <s v="1395"/>
    <s v="OD15AF5510"/>
    <n v="1134.6500000000001"/>
    <n v="100.74"/>
    <n v="114304.64"/>
    <x v="15"/>
    <x v="4"/>
  </r>
  <r>
    <d v="2026-07-07T00:00:00"/>
    <s v="1396"/>
    <s v="OD15AF5510"/>
    <n v="2000.02"/>
    <n v="100.74"/>
    <n v="201482.01"/>
    <x v="16"/>
    <x v="4"/>
  </r>
  <r>
    <d v="2026-07-07T00:00:00"/>
    <s v="1397"/>
    <s v=""/>
    <n v="33.950000000000003"/>
    <n v="100.74"/>
    <n v="3420.45"/>
    <x v="61"/>
    <x v="4"/>
  </r>
  <r>
    <d v="2026-07-07T00:00:00"/>
    <s v="1398"/>
    <s v=""/>
    <n v="590.11"/>
    <n v="100.74"/>
    <n v="59447.9"/>
    <x v="63"/>
    <x v="4"/>
  </r>
  <r>
    <d v="2026-07-07T00:00:00"/>
    <s v="1399"/>
    <s v="OR15Q0355"/>
    <n v="100"/>
    <n v="100.74"/>
    <n v="10074"/>
    <x v="38"/>
    <x v="4"/>
  </r>
  <r>
    <d v="2026-07-07T00:00:00"/>
    <s v="1400"/>
    <s v="OD15AA4091"/>
    <n v="44.92"/>
    <n v="100.74"/>
    <n v="4525.24"/>
    <x v="5"/>
    <x v="4"/>
  </r>
  <r>
    <d v="2026-07-07T00:00:00"/>
    <s v="1401"/>
    <s v="JH01FS6302"/>
    <n v="30"/>
    <n v="100.74"/>
    <n v="3022.2"/>
    <x v="5"/>
    <x v="4"/>
  </r>
  <r>
    <d v="2026-07-07T00:00:00"/>
    <s v="1402"/>
    <s v="JH01FS6302"/>
    <n v="46.77"/>
    <n v="100.74"/>
    <n v="4711.6000000000004"/>
    <x v="5"/>
    <x v="4"/>
  </r>
  <r>
    <d v="2026-07-07T00:00:00"/>
    <s v="1403"/>
    <s v="OD15U5910"/>
    <n v="109"/>
    <n v="100.74"/>
    <n v="10980.66"/>
    <x v="5"/>
    <x v="4"/>
  </r>
  <r>
    <d v="2026-07-07T00:00:00"/>
    <s v="1404"/>
    <s v="NL01AJ8743"/>
    <n v="350"/>
    <n v="100.74"/>
    <n v="35259"/>
    <x v="25"/>
    <x v="4"/>
  </r>
  <r>
    <d v="2026-07-07T00:00:00"/>
    <s v="1405"/>
    <s v="OD16D7078"/>
    <n v="24.82"/>
    <n v="100.74"/>
    <n v="2500"/>
    <x v="60"/>
    <x v="4"/>
  </r>
  <r>
    <d v="2026-07-07T00:00:00"/>
    <s v="1406"/>
    <s v="OD16D7074"/>
    <n v="24.82"/>
    <n v="100.74"/>
    <n v="2500"/>
    <x v="60"/>
    <x v="4"/>
  </r>
  <r>
    <d v="2026-07-07T00:00:00"/>
    <s v="1407"/>
    <s v="CG12S2016"/>
    <n v="29.78"/>
    <n v="100.74"/>
    <n v="3000"/>
    <x v="60"/>
    <x v="4"/>
  </r>
  <r>
    <d v="2026-07-08T00:00:00"/>
    <s v="1408"/>
    <s v="OD15AF5510"/>
    <n v="3000"/>
    <n v="100.74"/>
    <n v="302220"/>
    <x v="50"/>
    <x v="4"/>
  </r>
  <r>
    <d v="2026-07-08T00:00:00"/>
    <s v="1409"/>
    <s v="OD23H7806"/>
    <n v="600"/>
    <n v="100.74"/>
    <n v="60444"/>
    <x v="12"/>
    <x v="4"/>
  </r>
  <r>
    <d v="2026-07-08T00:00:00"/>
    <s v="1410"/>
    <s v="OD16K7103"/>
    <n v="200"/>
    <n v="100.74"/>
    <n v="20148"/>
    <x v="62"/>
    <x v="4"/>
  </r>
  <r>
    <d v="2026-07-08T00:00:00"/>
    <s v="1411"/>
    <s v="OD16K7176"/>
    <n v="200"/>
    <n v="100.74"/>
    <n v="20148"/>
    <x v="62"/>
    <x v="4"/>
  </r>
  <r>
    <d v="2026-07-08T00:00:00"/>
    <s v="1412"/>
    <s v="MP66ZB9863"/>
    <n v="99.27"/>
    <n v="100.74"/>
    <n v="10000"/>
    <x v="64"/>
    <x v="4"/>
  </r>
  <r>
    <d v="2026-07-08T00:00:00"/>
    <s v="1413"/>
    <s v="OD23L3195"/>
    <n v="20"/>
    <n v="100.74"/>
    <n v="2014.8"/>
    <x v="28"/>
    <x v="4"/>
  </r>
  <r>
    <d v="2026-07-08T00:00:00"/>
    <s v="1414"/>
    <s v="OD23L3195"/>
    <n v="15"/>
    <n v="100.74"/>
    <n v="1511.1"/>
    <x v="28"/>
    <x v="4"/>
  </r>
  <r>
    <d v="2026-07-08T00:00:00"/>
    <s v="1415"/>
    <s v="JH13J1926"/>
    <n v="20"/>
    <n v="100.74"/>
    <n v="2014.8"/>
    <x v="28"/>
    <x v="4"/>
  </r>
  <r>
    <d v="2026-07-08T00:00:00"/>
    <s v="1416"/>
    <s v="CG04MR0818"/>
    <n v="15"/>
    <n v="100.74"/>
    <n v="1511.1"/>
    <x v="28"/>
    <x v="4"/>
  </r>
  <r>
    <d v="2026-07-08T00:00:00"/>
    <s v="1417"/>
    <s v="MP66ZB9863"/>
    <n v="50"/>
    <n v="100.74"/>
    <n v="5037"/>
    <x v="64"/>
    <x v="4"/>
  </r>
  <r>
    <d v="2026-07-08T00:00:00"/>
    <s v="1418"/>
    <s v=""/>
    <n v="19.850000000000001"/>
    <n v="100.74"/>
    <n v="2000"/>
    <x v="61"/>
    <x v="4"/>
  </r>
  <r>
    <d v="2026-07-08T00:00:00"/>
    <s v="1419"/>
    <s v=""/>
    <n v="924.17"/>
    <n v="100.74"/>
    <n v="93100.75"/>
    <x v="63"/>
    <x v="4"/>
  </r>
  <r>
    <d v="2026-07-08T00:00:00"/>
    <s v="1420"/>
    <s v="OD15AF5510"/>
    <n v="919.05"/>
    <n v="100.74"/>
    <n v="92585.1"/>
    <x v="15"/>
    <x v="4"/>
  </r>
  <r>
    <d v="2026-07-08T00:00:00"/>
    <s v="1421"/>
    <s v=""/>
    <n v="1841.37"/>
    <n v="100.74"/>
    <n v="185500"/>
    <x v="21"/>
    <x v="4"/>
  </r>
  <r>
    <d v="2026-07-08T00:00:00"/>
    <s v="1422"/>
    <s v="Consumer"/>
    <n v="9.93"/>
    <n v="100.74"/>
    <n v="1000"/>
    <x v="8"/>
    <x v="4"/>
  </r>
  <r>
    <d v="2026-07-08T00:00:00"/>
    <s v="1423"/>
    <s v="Transporting"/>
    <n v="3489.18"/>
    <n v="100.74"/>
    <n v="351500"/>
    <x v="8"/>
    <x v="4"/>
  </r>
  <r>
    <d v="2026-07-08T00:00:00"/>
    <s v="1424"/>
    <s v="OD15W0096"/>
    <n v="198.53"/>
    <n v="100.74"/>
    <n v="20000"/>
    <x v="65"/>
    <x v="4"/>
  </r>
  <r>
    <d v="2026-07-08T00:00:00"/>
    <s v="1425"/>
    <s v="OD15W1196"/>
    <n v="198.53"/>
    <n v="100.74"/>
    <n v="20000"/>
    <x v="65"/>
    <x v="4"/>
  </r>
  <r>
    <d v="2026-07-08T00:00:00"/>
    <s v="1426"/>
    <s v="OD15W2296"/>
    <n v="198.53"/>
    <n v="100.74"/>
    <n v="20000"/>
    <x v="65"/>
    <x v="4"/>
  </r>
  <r>
    <d v="2026-07-08T00:00:00"/>
    <s v="1427"/>
    <s v="OD15W3396"/>
    <n v="198.53"/>
    <n v="100.74"/>
    <n v="20000"/>
    <x v="65"/>
    <x v="4"/>
  </r>
  <r>
    <d v="2026-07-08T00:00:00"/>
    <s v="1428"/>
    <s v="OD15W4496"/>
    <n v="198.53"/>
    <n v="100.74"/>
    <n v="20000"/>
    <x v="65"/>
    <x v="4"/>
  </r>
  <r>
    <d v="2026-07-08T00:00:00"/>
    <s v="1429"/>
    <s v="OD15W5596"/>
    <n v="198.53"/>
    <n v="100.74"/>
    <n v="20000"/>
    <x v="65"/>
    <x v="4"/>
  </r>
  <r>
    <d v="2026-07-09T00:00:00"/>
    <s v="1430"/>
    <s v="OD23A3710"/>
    <n v="12000"/>
    <n v="99.5"/>
    <n v="1194000"/>
    <x v="24"/>
    <x v="4"/>
  </r>
  <r>
    <d v="2026-07-09T00:00:00"/>
    <s v="1431"/>
    <s v="OR15R5510"/>
    <n v="12000"/>
    <n v="99.5"/>
    <n v="1194000"/>
    <x v="0"/>
    <x v="4"/>
  </r>
  <r>
    <d v="2026-07-09T00:00:00"/>
    <s v="1432"/>
    <s v="OR15R9360"/>
    <n v="18000"/>
    <n v="99.5"/>
    <n v="1791000"/>
    <x v="0"/>
    <x v="4"/>
  </r>
  <r>
    <d v="2026-07-09T00:00:00"/>
    <s v="1433"/>
    <s v="OD15AF5510"/>
    <n v="248.22"/>
    <n v="100.74"/>
    <n v="25005.68"/>
    <x v="64"/>
    <x v="4"/>
  </r>
  <r>
    <d v="2026-07-09T00:00:00"/>
    <s v="1434"/>
    <s v="OD15AF5510"/>
    <n v="2024.21"/>
    <n v="100.74"/>
    <n v="203918.92"/>
    <x v="15"/>
    <x v="4"/>
  </r>
  <r>
    <d v="2026-07-09T00:00:00"/>
    <s v="1435"/>
    <s v="OD15AF5510"/>
    <n v="2000"/>
    <n v="100.74"/>
    <n v="201480"/>
    <x v="16"/>
    <x v="4"/>
  </r>
  <r>
    <d v="2026-07-09T00:00:00"/>
    <s v="1436"/>
    <s v="OD15AF5510"/>
    <n v="2000.03"/>
    <n v="100.74"/>
    <n v="201483.02"/>
    <x v="41"/>
    <x v="4"/>
  </r>
  <r>
    <d v="2026-07-09T00:00:00"/>
    <s v="1437"/>
    <s v=""/>
    <n v="1357.95"/>
    <n v="100.74"/>
    <n v="136800"/>
    <x v="21"/>
    <x v="4"/>
  </r>
  <r>
    <d v="2026-07-09T00:00:00"/>
    <s v="1438"/>
    <s v="Consumer"/>
    <n v="49.63"/>
    <n v="100.74"/>
    <n v="5000"/>
    <x v="8"/>
    <x v="4"/>
  </r>
  <r>
    <d v="2026-07-09T00:00:00"/>
    <s v="1439"/>
    <s v="Transporting"/>
    <n v="4746.87"/>
    <n v="100.74"/>
    <n v="478200"/>
    <x v="8"/>
    <x v="4"/>
  </r>
  <r>
    <d v="2026-07-09T00:00:00"/>
    <s v="1440"/>
    <s v=""/>
    <n v="39.71"/>
    <n v="100.74"/>
    <n v="4000"/>
    <x v="61"/>
    <x v="4"/>
  </r>
  <r>
    <d v="2026-07-09T00:00:00"/>
    <s v="1441"/>
    <s v=""/>
    <n v="1150.9100000000001"/>
    <n v="100.74"/>
    <n v="115942.82"/>
    <x v="63"/>
    <x v="4"/>
  </r>
  <r>
    <d v="2026-07-09T00:00:00"/>
    <s v="1442"/>
    <s v="OD16M0750"/>
    <n v="200"/>
    <n v="100.74"/>
    <n v="20148"/>
    <x v="62"/>
    <x v="4"/>
  </r>
  <r>
    <d v="2026-07-09T00:00:00"/>
    <s v="1443"/>
    <s v="JH01FS6302"/>
    <n v="41"/>
    <n v="100.74"/>
    <n v="4130.34"/>
    <x v="5"/>
    <x v="4"/>
  </r>
  <r>
    <d v="2026-07-09T00:00:00"/>
    <s v="1444"/>
    <s v="OD23P3948"/>
    <n v="20"/>
    <n v="100.74"/>
    <n v="2014.8"/>
    <x v="28"/>
    <x v="4"/>
  </r>
  <r>
    <d v="2026-07-09T00:00:00"/>
    <s v="1445"/>
    <s v="OD01D1165"/>
    <n v="10"/>
    <n v="100.74"/>
    <n v="1007.4"/>
    <x v="28"/>
    <x v="4"/>
  </r>
  <r>
    <d v="2026-07-09T00:00:00"/>
    <s v="1446"/>
    <s v="New Tractor"/>
    <n v="20"/>
    <n v="100.74"/>
    <n v="2014.8"/>
    <x v="38"/>
    <x v="4"/>
  </r>
  <r>
    <d v="2026-07-09T00:00:00"/>
    <s v="1447"/>
    <s v="OD15Z1430"/>
    <n v="20"/>
    <n v="100.74"/>
    <n v="2014.8"/>
    <x v="38"/>
    <x v="4"/>
  </r>
  <r>
    <d v="2026-07-09T00:00:00"/>
    <s v="1448"/>
    <s v="OD15K2690"/>
    <n v="119"/>
    <n v="100.74"/>
    <n v="11988.06"/>
    <x v="38"/>
    <x v="4"/>
  </r>
  <r>
    <d v="2026-07-09T00:00:00"/>
    <s v="1449"/>
    <s v="OD23A3710"/>
    <n v="200"/>
    <n v="100.74"/>
    <n v="20148"/>
    <x v="3"/>
    <x v="4"/>
  </r>
  <r>
    <d v="2026-07-09T00:00:00"/>
    <s v="1450"/>
    <s v="NL01AJ8643"/>
    <n v="353.99"/>
    <n v="100.74"/>
    <n v="35660.949999999997"/>
    <x v="25"/>
    <x v="4"/>
  </r>
  <r>
    <d v="2026-07-09T00:00:00"/>
    <s v="1451"/>
    <s v="RJ02BG4856"/>
    <n v="258.02"/>
    <n v="100.74"/>
    <n v="25992.93"/>
    <x v="25"/>
    <x v="4"/>
  </r>
  <r>
    <d v="2026-07-10T00:00:00"/>
    <s v="1452"/>
    <s v="OR15R1110"/>
    <n v="12000"/>
    <n v="99.5"/>
    <n v="1194000"/>
    <x v="24"/>
    <x v="4"/>
  </r>
  <r>
    <d v="2026-07-10T00:00:00"/>
    <s v="1453"/>
    <s v="OD16L8468"/>
    <n v="50"/>
    <n v="100.74"/>
    <n v="5037"/>
    <x v="62"/>
    <x v="4"/>
  </r>
  <r>
    <d v="2026-07-10T00:00:00"/>
    <s v="1454"/>
    <s v="OD16K7176"/>
    <n v="200"/>
    <n v="100.74"/>
    <n v="20148"/>
    <x v="62"/>
    <x v="4"/>
  </r>
  <r>
    <d v="2026-07-10T00:00:00"/>
    <s v="1455"/>
    <s v="OD15X8014"/>
    <n v="600"/>
    <n v="100.74"/>
    <n v="60444"/>
    <x v="54"/>
    <x v="4"/>
  </r>
  <r>
    <d v="2026-07-10T00:00:00"/>
    <s v="1456"/>
    <s v="CG04JD2351"/>
    <n v="10"/>
    <n v="100.74"/>
    <n v="1007.4"/>
    <x v="28"/>
    <x v="4"/>
  </r>
  <r>
    <d v="2026-07-10T00:00:00"/>
    <s v="1457"/>
    <s v="OD15AF5510"/>
    <n v="45.98"/>
    <n v="100.74"/>
    <n v="4632.0200000000004"/>
    <x v="3"/>
    <x v="4"/>
  </r>
  <r>
    <d v="2026-07-10T00:00:00"/>
    <s v="1458"/>
    <s v=""/>
    <n v="756.8"/>
    <n v="100.74"/>
    <n v="76240"/>
    <x v="63"/>
    <x v="4"/>
  </r>
  <r>
    <d v="2026-07-10T00:00:00"/>
    <s v="1459"/>
    <s v=""/>
    <n v="10.42"/>
    <n v="100.74"/>
    <n v="1050"/>
    <x v="61"/>
    <x v="4"/>
  </r>
  <r>
    <d v="2026-07-10T00:00:00"/>
    <s v="1460"/>
    <s v=""/>
    <n v="1574.35"/>
    <n v="100.74"/>
    <n v="158600"/>
    <x v="21"/>
    <x v="4"/>
  </r>
  <r>
    <d v="2026-07-10T00:00:00"/>
    <s v="1461"/>
    <s v="OD15AF5510"/>
    <n v="1252.24"/>
    <n v="100.74"/>
    <n v="126150.66"/>
    <x v="15"/>
    <x v="4"/>
  </r>
  <r>
    <d v="2026-07-10T00:00:00"/>
    <s v="1462"/>
    <s v="Consumer"/>
    <n v="59.56"/>
    <n v="100.74"/>
    <n v="6000"/>
    <x v="8"/>
    <x v="4"/>
  </r>
  <r>
    <d v="2026-07-10T00:00:00"/>
    <s v="1463"/>
    <s v="Transporting"/>
    <n v="3895.18"/>
    <n v="100.74"/>
    <n v="392400"/>
    <x v="8"/>
    <x v="4"/>
  </r>
  <r>
    <d v="2026-07-10T00:00:00"/>
    <s v="1464"/>
    <s v="OD15W0096"/>
    <n v="198.53"/>
    <n v="100.74"/>
    <n v="20000"/>
    <x v="65"/>
    <x v="4"/>
  </r>
  <r>
    <d v="2026-07-10T00:00:00"/>
    <s v="1465"/>
    <s v="OD15W1196"/>
    <n v="198.53"/>
    <n v="100.74"/>
    <n v="20000"/>
    <x v="65"/>
    <x v="4"/>
  </r>
  <r>
    <d v="2026-07-10T00:00:00"/>
    <s v="1466"/>
    <s v="OD15W2296"/>
    <n v="198.53"/>
    <n v="100.74"/>
    <n v="20000"/>
    <x v="65"/>
    <x v="4"/>
  </r>
  <r>
    <d v="2026-07-10T00:00:00"/>
    <s v="1467"/>
    <s v="OD15W3396"/>
    <n v="198.53"/>
    <n v="100.74"/>
    <n v="20000"/>
    <x v="65"/>
    <x v="4"/>
  </r>
  <r>
    <d v="2026-07-10T00:00:00"/>
    <s v="1468"/>
    <s v="OD15W4496"/>
    <n v="198.53"/>
    <n v="100.74"/>
    <n v="20000"/>
    <x v="65"/>
    <x v="4"/>
  </r>
  <r>
    <d v="2026-07-10T00:00:00"/>
    <s v="1469"/>
    <s v="OD15W5596"/>
    <n v="198.53"/>
    <n v="100.74"/>
    <n v="20000"/>
    <x v="65"/>
    <x v="4"/>
  </r>
  <r>
    <d v="2026-07-11T00:00:00"/>
    <s v="1470"/>
    <s v="OD15AF5510"/>
    <n v="3000"/>
    <n v="100.74"/>
    <n v="302220"/>
    <x v="50"/>
    <x v="4"/>
  </r>
  <r>
    <d v="2026-07-11T00:00:00"/>
    <s v="1471"/>
    <s v="OD15N0455"/>
    <n v="94.6"/>
    <n v="100.74"/>
    <n v="9530"/>
    <x v="38"/>
    <x v="4"/>
  </r>
  <r>
    <d v="2026-07-11T00:00:00"/>
    <s v="1472"/>
    <s v="OD15U5910"/>
    <n v="96"/>
    <n v="100.74"/>
    <n v="9671.0400000000009"/>
    <x v="5"/>
    <x v="4"/>
  </r>
  <r>
    <d v="2026-07-11T00:00:00"/>
    <s v="1473"/>
    <s v="JH01FS6302"/>
    <n v="45"/>
    <n v="100.74"/>
    <n v="4533.3"/>
    <x v="5"/>
    <x v="4"/>
  </r>
  <r>
    <d v="2026-07-11T00:00:00"/>
    <s v="1474"/>
    <s v="OD15AA4091"/>
    <n v="44.08"/>
    <n v="100.74"/>
    <n v="4440.6099999999997"/>
    <x v="5"/>
    <x v="4"/>
  </r>
  <r>
    <d v="2026-07-11T00:00:00"/>
    <s v="1475"/>
    <s v="OD16L8468"/>
    <n v="150"/>
    <n v="100.74"/>
    <n v="15111"/>
    <x v="62"/>
    <x v="4"/>
  </r>
  <r>
    <d v="2026-07-11T00:00:00"/>
    <s v="1476"/>
    <s v="OD16K7171"/>
    <n v="200"/>
    <n v="100.74"/>
    <n v="20148"/>
    <x v="62"/>
    <x v="4"/>
  </r>
  <r>
    <d v="2026-07-11T00:00:00"/>
    <s v="1477"/>
    <s v="OD16M0743"/>
    <n v="200"/>
    <n v="100.74"/>
    <n v="20148"/>
    <x v="62"/>
    <x v="4"/>
  </r>
  <r>
    <d v="2026-07-11T00:00:00"/>
    <s v="1478"/>
    <s v="OD16K7170"/>
    <n v="200"/>
    <n v="100.74"/>
    <n v="20148"/>
    <x v="62"/>
    <x v="4"/>
  </r>
  <r>
    <d v="2026-07-11T00:00:00"/>
    <s v="1479"/>
    <s v="OD16K7103"/>
    <n v="200"/>
    <n v="100.74"/>
    <n v="20148"/>
    <x v="62"/>
    <x v="4"/>
  </r>
  <r>
    <d v="2026-07-11T00:00:00"/>
    <s v="1480"/>
    <s v="OD16M0750"/>
    <n v="200"/>
    <n v="100.74"/>
    <n v="20148"/>
    <x v="62"/>
    <x v="4"/>
  </r>
  <r>
    <d v="2026-07-11T00:00:00"/>
    <s v="1481"/>
    <s v="OD16K7132"/>
    <n v="200"/>
    <n v="100.74"/>
    <n v="20148"/>
    <x v="62"/>
    <x v="4"/>
  </r>
  <r>
    <d v="2026-07-11T00:00:00"/>
    <s v="1482"/>
    <m/>
    <n v="119.51"/>
    <n v="100.74"/>
    <n v="12039.88"/>
    <x v="61"/>
    <x v="4"/>
  </r>
  <r>
    <d v="2026-07-11T00:00:00"/>
    <s v="1483"/>
    <m/>
    <n v="1294.5899999999999"/>
    <n v="100.74"/>
    <n v="130416.8"/>
    <x v="63"/>
    <x v="4"/>
  </r>
  <r>
    <d v="2026-07-11T00:00:00"/>
    <s v="1484"/>
    <s v="OD15AF5510"/>
    <n v="2000"/>
    <n v="100.74"/>
    <n v="201480"/>
    <x v="16"/>
    <x v="4"/>
  </r>
  <r>
    <d v="2026-07-11T00:00:00"/>
    <s v="1485"/>
    <s v="OD15AF5510"/>
    <n v="978.9"/>
    <n v="100.74"/>
    <n v="98614.39"/>
    <x v="15"/>
    <x v="4"/>
  </r>
  <r>
    <d v="2026-07-11T00:00:00"/>
    <s v="1486"/>
    <s v="OD15AF5510"/>
    <n v="198.53"/>
    <n v="100.74"/>
    <n v="20000"/>
    <x v="64"/>
    <x v="4"/>
  </r>
  <r>
    <d v="2026-07-11T00:00:00"/>
    <s v="1487"/>
    <m/>
    <n v="1878.1"/>
    <n v="100.74"/>
    <n v="189200"/>
    <x v="21"/>
    <x v="4"/>
  </r>
  <r>
    <d v="2026-07-11T00:00:00"/>
    <s v="1488"/>
    <s v="Consumer"/>
    <n v="59.78"/>
    <n v="100.74"/>
    <n v="6022.2"/>
    <x v="8"/>
    <x v="4"/>
  </r>
  <r>
    <d v="2026-07-11T00:00:00"/>
    <s v="1489"/>
    <s v="Transporting"/>
    <n v="2641.45"/>
    <n v="100.74"/>
    <n v="266100"/>
    <x v="8"/>
    <x v="4"/>
  </r>
  <r>
    <d v="2026-07-12T00:00:00"/>
    <s v="1490"/>
    <s v="Transporting"/>
    <n v="2812.19"/>
    <n v="100.74"/>
    <n v="283300"/>
    <x v="8"/>
    <x v="4"/>
  </r>
  <r>
    <d v="2026-07-12T00:00:00"/>
    <s v="1491"/>
    <m/>
    <n v="841.77"/>
    <n v="100.74"/>
    <n v="84800"/>
    <x v="21"/>
    <x v="4"/>
  </r>
  <r>
    <d v="2026-07-12T00:00:00"/>
    <s v="1492"/>
    <s v="OD15AF5510"/>
    <n v="1070.99"/>
    <n v="100.74"/>
    <n v="107891.53"/>
    <x v="15"/>
    <x v="4"/>
  </r>
  <r>
    <d v="2026-07-12T00:00:00"/>
    <s v="1493"/>
    <m/>
    <n v="1081.97"/>
    <n v="100.74"/>
    <n v="108998"/>
    <x v="63"/>
    <x v="4"/>
  </r>
  <r>
    <d v="2026-07-12T00:00:00"/>
    <s v="1494"/>
    <s v="OD05AN7688"/>
    <n v="600"/>
    <n v="100.74"/>
    <n v="60444"/>
    <x v="10"/>
    <x v="4"/>
  </r>
  <r>
    <d v="2026-07-12T00:00:00"/>
    <s v="1495"/>
    <s v="MP66ZB9863"/>
    <n v="99.27"/>
    <n v="100.74"/>
    <n v="10000"/>
    <x v="64"/>
    <x v="4"/>
  </r>
  <r>
    <d v="2026-07-12T00:00:00"/>
    <s v="1496"/>
    <s v="OD15Z8874"/>
    <n v="197.05"/>
    <n v="100.74"/>
    <n v="19850.810000000001"/>
    <x v="16"/>
    <x v="4"/>
  </r>
  <r>
    <d v="2026-07-12T00:00:00"/>
    <s v="1497"/>
    <s v="OD19G9977"/>
    <n v="195.91"/>
    <n v="100.74"/>
    <n v="19735.97"/>
    <x v="16"/>
    <x v="4"/>
  </r>
  <r>
    <d v="2026-07-12T00:00:00"/>
    <s v="1498"/>
    <s v="OD14T5423"/>
    <n v="20"/>
    <n v="100.74"/>
    <n v="2014.8"/>
    <x v="29"/>
    <x v="4"/>
  </r>
  <r>
    <d v="2026-07-12T00:00:00"/>
    <s v="1499"/>
    <s v="OD14T5423"/>
    <n v="50"/>
    <n v="100.74"/>
    <n v="5037"/>
    <x v="29"/>
    <x v="4"/>
  </r>
  <r>
    <d v="2026-07-12T00:00:00"/>
    <s v="1500"/>
    <s v="OD23Q4949"/>
    <n v="45.67"/>
    <n v="100.74"/>
    <n v="4600.79"/>
    <x v="19"/>
    <x v="4"/>
  </r>
  <r>
    <d v="2026-07-12T00:00:00"/>
    <s v="1501"/>
    <s v="JH01FS6302"/>
    <n v="40"/>
    <n v="100.74"/>
    <n v="4029.6"/>
    <x v="5"/>
    <x v="4"/>
  </r>
  <r>
    <d v="2026-07-12T00:00:00"/>
    <s v="1502"/>
    <m/>
    <n v="20"/>
    <n v="100.74"/>
    <n v="2014.8"/>
    <x v="26"/>
    <x v="4"/>
  </r>
  <r>
    <d v="2026-07-13T00:00:00"/>
    <s v="1503"/>
    <s v="OR15R9360"/>
    <n v="18000"/>
    <n v="99.5"/>
    <n v="1791000"/>
    <x v="0"/>
    <x v="4"/>
  </r>
  <r>
    <d v="2026-07-13T00:00:00"/>
    <s v="1504"/>
    <s v="OR15R5510"/>
    <n v="12000"/>
    <n v="99.5"/>
    <n v="1194000"/>
    <x v="24"/>
    <x v="4"/>
  </r>
  <r>
    <d v="2026-07-13T00:00:00"/>
    <s v="1505"/>
    <s v="OD05AN7688"/>
    <n v="800"/>
    <n v="100.74"/>
    <n v="80592"/>
    <x v="10"/>
    <x v="4"/>
  </r>
  <r>
    <d v="2026-07-13T00:00:00"/>
    <s v="1506"/>
    <s v="OD16K7108"/>
    <n v="200"/>
    <n v="100.74"/>
    <n v="20148"/>
    <x v="62"/>
    <x v="4"/>
  </r>
  <r>
    <d v="2026-07-13T00:00:00"/>
    <s v="1507"/>
    <s v="OD16K5862"/>
    <n v="9.93"/>
    <n v="100.74"/>
    <n v="1000"/>
    <x v="29"/>
    <x v="4"/>
  </r>
  <r>
    <d v="2026-07-13T00:00:00"/>
    <s v="1508"/>
    <s v="OD15X8293"/>
    <n v="81.459999999999994"/>
    <n v="100.74"/>
    <n v="8206.2800000000007"/>
    <x v="38"/>
    <x v="4"/>
  </r>
  <r>
    <d v="2026-07-13T00:00:00"/>
    <s v="1509"/>
    <s v="OD15AE7230"/>
    <n v="210"/>
    <n v="100.74"/>
    <n v="21155.4"/>
    <x v="38"/>
    <x v="4"/>
  </r>
  <r>
    <d v="2026-07-13T00:00:00"/>
    <s v="1510"/>
    <s v="OD15K2690"/>
    <n v="118"/>
    <n v="100.74"/>
    <n v="11887.32"/>
    <x v="38"/>
    <x v="4"/>
  </r>
  <r>
    <d v="2026-07-13T00:00:00"/>
    <s v="1511"/>
    <s v="New Tractor"/>
    <n v="20"/>
    <n v="100.74"/>
    <n v="2014.8"/>
    <x v="38"/>
    <x v="4"/>
  </r>
  <r>
    <d v="2026-07-13T00:00:00"/>
    <s v="1512"/>
    <s v="OD15Z1430"/>
    <n v="20"/>
    <n v="100.74"/>
    <n v="2014.8"/>
    <x v="38"/>
    <x v="4"/>
  </r>
  <r>
    <d v="2026-07-13T00:00:00"/>
    <s v="1513"/>
    <s v="1107EX"/>
    <n v="50"/>
    <n v="100.74"/>
    <n v="5037"/>
    <x v="38"/>
    <x v="4"/>
  </r>
  <r>
    <d v="2026-07-13T00:00:00"/>
    <s v="1514"/>
    <m/>
    <n v="16.88"/>
    <n v="100.74"/>
    <n v="1700"/>
    <x v="61"/>
    <x v="4"/>
  </r>
  <r>
    <d v="2026-07-13T00:00:00"/>
    <s v="1515"/>
    <m/>
    <n v="358.35"/>
    <n v="100.74"/>
    <n v="36100"/>
    <x v="21"/>
    <x v="4"/>
  </r>
  <r>
    <d v="2026-07-13T00:00:00"/>
    <s v="1516"/>
    <s v="Transporting"/>
    <n v="2790.35"/>
    <n v="100.74"/>
    <n v="281100"/>
    <x v="8"/>
    <x v="4"/>
  </r>
  <r>
    <d v="2026-07-13T00:00:00"/>
    <s v="1517"/>
    <s v="OD15AF5510"/>
    <n v="100.26"/>
    <n v="100.74"/>
    <n v="10100"/>
    <x v="64"/>
    <x v="4"/>
  </r>
  <r>
    <d v="2026-07-13T00:00:00"/>
    <s v="1518"/>
    <s v="OD15AF5510"/>
    <n v="2000"/>
    <n v="100.74"/>
    <n v="201480"/>
    <x v="16"/>
    <x v="4"/>
  </r>
  <r>
    <d v="2026-07-13T00:00:00"/>
    <s v="1519"/>
    <s v="OD15AF5510"/>
    <n v="947.37"/>
    <n v="100.74"/>
    <n v="95438.05"/>
    <x v="15"/>
    <x v="4"/>
  </r>
  <r>
    <d v="2026-07-13T00:00:00"/>
    <s v="1520"/>
    <m/>
    <n v="1035.0999999999999"/>
    <n v="100.74"/>
    <n v="104275.6"/>
    <x v="63"/>
    <x v="4"/>
  </r>
  <r>
    <d v="2026-07-14T00:00:00"/>
    <s v="1521"/>
    <s v="OD05AN7688"/>
    <n v="969.69"/>
    <n v="100.74"/>
    <n v="97686.57"/>
    <x v="10"/>
    <x v="4"/>
  </r>
  <r>
    <d v="2026-07-14T00:00:00"/>
    <s v="1522"/>
    <s v="OD15AF5510"/>
    <n v="148.9"/>
    <n v="100.74"/>
    <n v="15000"/>
    <x v="64"/>
    <x v="4"/>
  </r>
  <r>
    <d v="2026-07-14T00:00:00"/>
    <s v="1523"/>
    <s v="OD15AF5510"/>
    <n v="957.1"/>
    <n v="100.74"/>
    <n v="96418.25"/>
    <x v="15"/>
    <x v="4"/>
  </r>
  <r>
    <d v="2026-07-14T00:00:00"/>
    <s v="1524"/>
    <s v="OD15AF5510"/>
    <n v="2000"/>
    <n v="100.74"/>
    <n v="201480"/>
    <x v="41"/>
    <x v="4"/>
  </r>
  <r>
    <d v="2026-07-14T00:00:00"/>
    <s v="1525"/>
    <s v="OD15AF5510"/>
    <n v="1999.91"/>
    <n v="100.74"/>
    <n v="201470.93"/>
    <x v="16"/>
    <x v="4"/>
  </r>
  <r>
    <d v="2026-07-14T00:00:00"/>
    <s v="1526"/>
    <m/>
    <n v="19.850000000000001"/>
    <n v="100.74"/>
    <n v="2000"/>
    <x v="61"/>
    <x v="4"/>
  </r>
  <r>
    <d v="2026-07-14T00:00:00"/>
    <s v="1527"/>
    <m/>
    <n v="1581.81"/>
    <n v="100.74"/>
    <n v="159352"/>
    <x v="63"/>
    <x v="4"/>
  </r>
  <r>
    <d v="2026-07-14T00:00:00"/>
    <s v="1528"/>
    <m/>
    <n v="1779.83"/>
    <n v="100.74"/>
    <n v="179300"/>
    <x v="21"/>
    <x v="4"/>
  </r>
  <r>
    <d v="2026-07-14T00:00:00"/>
    <s v="1529"/>
    <s v="Consumer"/>
    <n v="29.78"/>
    <n v="100.74"/>
    <n v="3000"/>
    <x v="8"/>
    <x v="4"/>
  </r>
  <r>
    <d v="2026-07-14T00:00:00"/>
    <s v="1530"/>
    <s v="Transporting"/>
    <n v="2545.17"/>
    <n v="100.74"/>
    <n v="256400"/>
    <x v="8"/>
    <x v="4"/>
  </r>
  <r>
    <d v="2026-07-14T00:00:00"/>
    <s v="1531"/>
    <s v="OD15X3169"/>
    <n v="49.64"/>
    <n v="100.74"/>
    <n v="5000"/>
    <x v="64"/>
    <x v="4"/>
  </r>
  <r>
    <d v="2026-07-14T00:00:00"/>
    <s v="1532"/>
    <s v="OD33Y3567"/>
    <n v="36"/>
    <n v="100.74"/>
    <n v="3626.64"/>
    <x v="5"/>
    <x v="4"/>
  </r>
  <r>
    <d v="2026-07-14T00:00:00"/>
    <s v="1533"/>
    <s v="OD15U5910"/>
    <n v="95.16"/>
    <n v="100.74"/>
    <n v="9586.41"/>
    <x v="5"/>
    <x v="4"/>
  </r>
  <r>
    <d v="2026-07-14T00:00:00"/>
    <s v="1534"/>
    <s v="OD16L4174"/>
    <n v="150"/>
    <n v="100.74"/>
    <n v="15111"/>
    <x v="62"/>
    <x v="4"/>
  </r>
  <r>
    <d v="2026-07-14T00:00:00"/>
    <s v="1535"/>
    <s v="OD16L8468"/>
    <n v="150"/>
    <n v="100.74"/>
    <n v="15111"/>
    <x v="62"/>
    <x v="4"/>
  </r>
  <r>
    <d v="2026-07-14T00:00:00"/>
    <s v="1536"/>
    <s v="OD16L4157"/>
    <n v="150"/>
    <n v="100.74"/>
    <n v="15111"/>
    <x v="62"/>
    <x v="4"/>
  </r>
  <r>
    <d v="2026-07-14T00:00:00"/>
    <s v="1537"/>
    <s v="OD16L4174"/>
    <n v="50"/>
    <n v="100.74"/>
    <n v="5037"/>
    <x v="62"/>
    <x v="4"/>
  </r>
  <r>
    <d v="2026-07-14T00:00:00"/>
    <s v="1538"/>
    <s v="OD16L8468"/>
    <n v="50"/>
    <n v="100.74"/>
    <n v="5037"/>
    <x v="62"/>
    <x v="4"/>
  </r>
  <r>
    <d v="2026-07-14T00:00:00"/>
    <s v="1539"/>
    <s v="OD16K7103"/>
    <n v="200"/>
    <n v="100.74"/>
    <n v="20148"/>
    <x v="62"/>
    <x v="4"/>
  </r>
  <r>
    <d v="2026-07-14T00:00:00"/>
    <s v="1540"/>
    <s v="OD16L4157"/>
    <n v="50"/>
    <n v="100.74"/>
    <n v="5037"/>
    <x v="62"/>
    <x v="4"/>
  </r>
  <r>
    <d v="2026-07-14T00:00:00"/>
    <s v="1541"/>
    <s v="OR15R9360"/>
    <n v="18000"/>
    <n v="99.5"/>
    <n v="1791000"/>
    <x v="0"/>
    <x v="4"/>
  </r>
  <r>
    <d v="2026-07-15T00:00:00"/>
    <s v="1542"/>
    <s v="OR15R5510"/>
    <n v="12000"/>
    <n v="99.5"/>
    <n v="1194000"/>
    <x v="24"/>
    <x v="4"/>
  </r>
  <r>
    <d v="2026-07-15T00:00:00"/>
    <s v="1543"/>
    <m/>
    <n v="762.72"/>
    <n v="100.74"/>
    <n v="76836"/>
    <x v="63"/>
    <x v="4"/>
  </r>
  <r>
    <d v="2026-07-15T00:00:00"/>
    <s v="1544"/>
    <m/>
    <n v="113.17"/>
    <n v="100.74"/>
    <n v="11400.39"/>
    <x v="61"/>
    <x v="4"/>
  </r>
  <r>
    <d v="2026-07-15T00:00:00"/>
    <s v="1545"/>
    <s v="OD15AF5510"/>
    <n v="945.23"/>
    <n v="100.74"/>
    <n v="95222.47"/>
    <x v="15"/>
    <x v="4"/>
  </r>
  <r>
    <d v="2026-07-15T00:00:00"/>
    <s v="1546"/>
    <s v="OD15AF5510"/>
    <n v="198.53"/>
    <n v="100.74"/>
    <n v="20000"/>
    <x v="64"/>
    <x v="4"/>
  </r>
  <r>
    <d v="2026-07-15T00:00:00"/>
    <s v="1547"/>
    <m/>
    <n v="45.66"/>
    <n v="100.74"/>
    <n v="4600"/>
    <x v="7"/>
    <x v="4"/>
  </r>
  <r>
    <d v="2026-07-15T00:00:00"/>
    <s v="1548"/>
    <m/>
    <n v="3392.52"/>
    <n v="100.74"/>
    <n v="341762.84"/>
    <x v="21"/>
    <x v="4"/>
  </r>
  <r>
    <d v="2026-07-15T00:00:00"/>
    <s v="1549"/>
    <s v="Consumer"/>
    <n v="49.63"/>
    <n v="100.74"/>
    <n v="5000"/>
    <x v="8"/>
    <x v="4"/>
  </r>
  <r>
    <d v="2026-07-15T00:00:00"/>
    <s v="1550"/>
    <s v="Transporting"/>
    <n v="3363.11"/>
    <n v="100.74"/>
    <n v="338800"/>
    <x v="8"/>
    <x v="4"/>
  </r>
  <r>
    <d v="2026-07-15T00:00:00"/>
    <s v="1551"/>
    <s v="OD23U8210"/>
    <n v="200"/>
    <n v="100.74"/>
    <n v="20148"/>
    <x v="3"/>
    <x v="4"/>
  </r>
  <r>
    <d v="2026-07-15T00:00:00"/>
    <s v="1552"/>
    <s v="JH01FS6302"/>
    <n v="50"/>
    <n v="100.74"/>
    <n v="5037"/>
    <x v="5"/>
    <x v="4"/>
  </r>
  <r>
    <d v="2026-07-15T00:00:00"/>
    <s v="1553"/>
    <s v="OD23T3010"/>
    <n v="100"/>
    <n v="100.74"/>
    <n v="10074"/>
    <x v="36"/>
    <x v="4"/>
  </r>
  <r>
    <d v="2026-07-15T00:00:00"/>
    <s v="1554"/>
    <s v="OD23T4010"/>
    <n v="100"/>
    <n v="100.74"/>
    <n v="10074"/>
    <x v="36"/>
    <x v="4"/>
  </r>
  <r>
    <d v="2026-07-15T00:00:00"/>
    <s v="1555"/>
    <s v="OD15AA5823"/>
    <n v="17"/>
    <n v="100.74"/>
    <n v="1712.58"/>
    <x v="38"/>
    <x v="4"/>
  </r>
  <r>
    <d v="2026-07-15T00:00:00"/>
    <s v="1556"/>
    <s v="OD15AA5823"/>
    <n v="225.32"/>
    <n v="100.74"/>
    <n v="22698.73"/>
    <x v="38"/>
    <x v="4"/>
  </r>
  <r>
    <d v="2026-07-15T00:00:00"/>
    <s v="1557"/>
    <s v="OD16L8450"/>
    <n v="50"/>
    <n v="100.74"/>
    <n v="5037"/>
    <x v="62"/>
    <x v="4"/>
  </r>
  <r>
    <d v="2026-07-15T00:00:00"/>
    <s v="1558"/>
    <s v="OD16L8479"/>
    <n v="50"/>
    <n v="100.74"/>
    <n v="5037"/>
    <x v="62"/>
    <x v="4"/>
  </r>
  <r>
    <d v="2026-07-15T00:00:00"/>
    <s v="1559"/>
    <s v="OD16K7108"/>
    <n v="200"/>
    <n v="100.74"/>
    <n v="20148"/>
    <x v="62"/>
    <x v="4"/>
  </r>
  <r>
    <d v="2026-07-15T00:00:00"/>
    <s v="1560"/>
    <s v="OD16L8450"/>
    <n v="150"/>
    <n v="100.74"/>
    <n v="15111"/>
    <x v="62"/>
    <x v="4"/>
  </r>
  <r>
    <d v="2026-07-15T00:00:00"/>
    <s v="1561"/>
    <s v="OD16L8479"/>
    <n v="150"/>
    <n v="100.74"/>
    <n v="15111"/>
    <x v="62"/>
    <x v="4"/>
  </r>
  <r>
    <d v="2026-07-16T00:00:00"/>
    <s v="1562"/>
    <s v="OD16L8468"/>
    <n v="200"/>
    <n v="100.74"/>
    <n v="20148"/>
    <x v="62"/>
    <x v="4"/>
  </r>
  <r>
    <d v="2026-07-16T00:00:00"/>
    <s v="1563"/>
    <s v="OD16L4114"/>
    <n v="200"/>
    <n v="100.74"/>
    <n v="20148"/>
    <x v="62"/>
    <x v="4"/>
  </r>
  <r>
    <d v="2026-07-16T00:00:00"/>
    <s v="1564"/>
    <s v="OD16L4157"/>
    <n v="200"/>
    <n v="100.74"/>
    <n v="20148"/>
    <x v="62"/>
    <x v="4"/>
  </r>
  <r>
    <d v="2026-07-16T00:00:00"/>
    <s v="1565"/>
    <s v="OD16L4319"/>
    <n v="200"/>
    <n v="100.74"/>
    <n v="20148"/>
    <x v="62"/>
    <x v="4"/>
  </r>
  <r>
    <d v="2026-07-16T00:00:00"/>
    <s v="1566"/>
    <s v="OD15N0455"/>
    <n v="97.01"/>
    <n v="100.74"/>
    <n v="9772.7900000000009"/>
    <x v="38"/>
    <x v="4"/>
  </r>
  <r>
    <d v="2026-07-16T00:00:00"/>
    <s v="1567"/>
    <s v="OD15Z7834"/>
    <n v="100"/>
    <n v="100.74"/>
    <n v="10074"/>
    <x v="38"/>
    <x v="4"/>
  </r>
  <r>
    <d v="2026-07-16T00:00:00"/>
    <s v="1568"/>
    <s v="OD16K5817"/>
    <n v="11.91"/>
    <n v="100.74"/>
    <n v="1200"/>
    <x v="29"/>
    <x v="4"/>
  </r>
  <r>
    <d v="2026-07-16T00:00:00"/>
    <s v="1569"/>
    <s v="OD16K1026"/>
    <n v="11.91"/>
    <n v="100.74"/>
    <n v="1200"/>
    <x v="29"/>
    <x v="4"/>
  </r>
  <r>
    <d v="2026-07-16T00:00:00"/>
    <s v="1570"/>
    <m/>
    <n v="261.64999999999998"/>
    <n v="100.74"/>
    <n v="26358.959999999999"/>
    <x v="63"/>
    <x v="4"/>
  </r>
  <r>
    <d v="2026-07-16T00:00:00"/>
    <s v="1571"/>
    <s v="OD15AF5510"/>
    <n v="1167.99"/>
    <n v="100.74"/>
    <n v="117663.31"/>
    <x v="15"/>
    <x v="4"/>
  </r>
  <r>
    <d v="2026-07-16T00:00:00"/>
    <s v="1572"/>
    <s v="OD15AF5510"/>
    <n v="198.53"/>
    <n v="100.74"/>
    <n v="20000"/>
    <x v="64"/>
    <x v="4"/>
  </r>
  <r>
    <d v="2026-07-16T00:00:00"/>
    <s v="1573"/>
    <m/>
    <n v="974.32"/>
    <n v="100.74"/>
    <n v="98152.98"/>
    <x v="21"/>
    <x v="4"/>
  </r>
  <r>
    <d v="2026-07-16T00:00:00"/>
    <s v="1574"/>
    <s v="Consumer"/>
    <n v="148.9"/>
    <n v="100.74"/>
    <n v="15000"/>
    <x v="8"/>
    <x v="4"/>
  </r>
  <r>
    <d v="2026-07-16T00:00:00"/>
    <s v="1575"/>
    <s v="Transporting"/>
    <n v="2888.62"/>
    <n v="100.74"/>
    <n v="291000"/>
    <x v="8"/>
    <x v="4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5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  <r>
    <m/>
    <m/>
    <m/>
    <m/>
    <m/>
    <m/>
    <x v="66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d v="2026-04-01T00:00:00"/>
    <s v="MS1"/>
    <s v="OD15AC5813"/>
    <n v="15"/>
    <n v="101.15"/>
    <n v="1517.25"/>
    <x v="0"/>
    <x v="0"/>
  </r>
  <r>
    <d v="2026-04-02T00:00:00"/>
    <s v="MS2"/>
    <s v="OD15Z4831"/>
    <n v="29.8"/>
    <n v="101.15"/>
    <n v="3014.27"/>
    <x v="0"/>
    <x v="0"/>
  </r>
  <r>
    <d v="2026-04-02T00:00:00"/>
    <s v="MS3"/>
    <s v="OD23T5838"/>
    <n v="27.69"/>
    <n v="101.15"/>
    <n v="2800.84"/>
    <x v="0"/>
    <x v="0"/>
  </r>
  <r>
    <d v="2026-04-02T00:00:00"/>
    <s v="MS4"/>
    <s v="OD23M9485"/>
    <n v="37.36"/>
    <n v="101.15"/>
    <n v="3778.96"/>
    <x v="1"/>
    <x v="0"/>
  </r>
  <r>
    <d v="2026-04-03T00:00:00"/>
    <s v="MS5"/>
    <s v="OD23M4614"/>
    <n v="200"/>
    <n v="101.15"/>
    <n v="20230"/>
    <x v="2"/>
    <x v="0"/>
  </r>
  <r>
    <d v="2026-04-03T00:00:00"/>
    <s v="MS6"/>
    <s v="OD05AN7688"/>
    <n v="20"/>
    <n v="101.15"/>
    <n v="2023"/>
    <x v="3"/>
    <x v="0"/>
  </r>
  <r>
    <d v="2026-04-03T00:00:00"/>
    <s v="MS7"/>
    <s v="OD23P9344"/>
    <n v="4.33"/>
    <n v="101.15"/>
    <n v="437.97"/>
    <x v="0"/>
    <x v="0"/>
  </r>
  <r>
    <d v="2026-04-04T00:00:00"/>
    <s v="MS8"/>
    <s v="OD23N8956"/>
    <n v="2"/>
    <n v="101.15"/>
    <n v="202.3"/>
    <x v="0"/>
    <x v="0"/>
  </r>
  <r>
    <d v="2026-04-04T00:00:00"/>
    <s v="MS9"/>
    <s v="JH09AW8179"/>
    <n v="3"/>
    <n v="101.15"/>
    <n v="303.45"/>
    <x v="4"/>
    <x v="0"/>
  </r>
  <r>
    <d v="2026-04-05T00:00:00"/>
    <s v="MS10"/>
    <s v="AP03BE9123"/>
    <n v="20"/>
    <n v="101.15"/>
    <n v="2023"/>
    <x v="3"/>
    <x v="0"/>
  </r>
  <r>
    <d v="2026-04-07T00:00:00"/>
    <s v="MS11"/>
    <s v="OD23M4545"/>
    <n v="20"/>
    <n v="101.15"/>
    <n v="2023"/>
    <x v="5"/>
    <x v="0"/>
  </r>
  <r>
    <d v="2026-04-08T00:00:00"/>
    <s v="MS12"/>
    <s v="OD23K4545"/>
    <n v="3.96"/>
    <n v="101.15"/>
    <n v="400.55"/>
    <x v="5"/>
    <x v="0"/>
  </r>
  <r>
    <d v="2026-04-08T00:00:00"/>
    <s v="MS13"/>
    <s v="OD23P0325"/>
    <n v="34.79"/>
    <n v="101.15"/>
    <n v="3519"/>
    <x v="1"/>
    <x v="0"/>
  </r>
  <r>
    <d v="2026-04-08T00:00:00"/>
    <s v="MS14"/>
    <s v="OD15Z4831"/>
    <n v="14.14"/>
    <n v="101.15"/>
    <n v="1430.26"/>
    <x v="0"/>
    <x v="0"/>
  </r>
  <r>
    <d v="2026-04-08T00:00:00"/>
    <s v="MS15"/>
    <s v="OD15AC5813"/>
    <n v="29.02"/>
    <n v="101.15"/>
    <n v="2935.37"/>
    <x v="0"/>
    <x v="0"/>
  </r>
  <r>
    <d v="2026-04-08T00:00:00"/>
    <s v="MS16"/>
    <s v="OD05AN7688"/>
    <n v="20"/>
    <n v="101.15"/>
    <n v="2023"/>
    <x v="3"/>
    <x v="0"/>
  </r>
  <r>
    <d v="2026-04-08T00:00:00"/>
    <s v="MS17"/>
    <s v="JH01FS6302"/>
    <n v="5"/>
    <n v="101.15"/>
    <n v="505.75"/>
    <x v="4"/>
    <x v="0"/>
  </r>
  <r>
    <d v="2026-04-08T00:00:00"/>
    <s v="MS18"/>
    <s v="OD23T9966"/>
    <n v="30.01"/>
    <n v="101.15"/>
    <n v="3035.51"/>
    <x v="6"/>
    <x v="0"/>
  </r>
  <r>
    <d v="2026-04-09T00:00:00"/>
    <s v="MS19"/>
    <s v="OD23T5838"/>
    <n v="10"/>
    <n v="101.15"/>
    <n v="1011.5"/>
    <x v="0"/>
    <x v="0"/>
  </r>
  <r>
    <d v="2026-04-10T00:00:00"/>
    <s v="MS20"/>
    <s v="OD23T5838"/>
    <n v="15"/>
    <n v="101.15"/>
    <n v="1517.25"/>
    <x v="0"/>
    <x v="0"/>
  </r>
  <r>
    <d v="2026-04-10T00:00:00"/>
    <s v="MS21"/>
    <s v="OD05AN7688"/>
    <n v="20"/>
    <n v="101.15"/>
    <n v="2023"/>
    <x v="3"/>
    <x v="0"/>
  </r>
  <r>
    <d v="2026-04-10T00:00:00"/>
    <s v="MS22"/>
    <s v="OD23M9485"/>
    <n v="34.9"/>
    <n v="101.15"/>
    <n v="3530.13"/>
    <x v="1"/>
    <x v="0"/>
  </r>
  <r>
    <d v="2026-04-11T00:00:00"/>
    <s v="MS23"/>
    <s v="JH15AK1307"/>
    <n v="35.4"/>
    <n v="101.15"/>
    <n v="3580.71"/>
    <x v="3"/>
    <x v="0"/>
  </r>
  <r>
    <d v="2026-04-11T00:00:00"/>
    <s v="MS24"/>
    <s v="OR15K6024"/>
    <n v="1.98"/>
    <n v="101.15"/>
    <n v="200"/>
    <x v="7"/>
    <x v="0"/>
  </r>
  <r>
    <d v="2026-04-12T00:00:00"/>
    <s v="MS25"/>
    <s v="OD05AN7688"/>
    <n v="20"/>
    <n v="101.15"/>
    <n v="2023"/>
    <x v="3"/>
    <x v="0"/>
  </r>
  <r>
    <d v="2026-04-12T00:00:00"/>
    <s v="MS26"/>
    <s v="OD15Z4831"/>
    <n v="15"/>
    <n v="101.15"/>
    <n v="1517.25"/>
    <x v="0"/>
    <x v="0"/>
  </r>
  <r>
    <d v="2026-04-12T00:00:00"/>
    <s v="MS27"/>
    <s v="OD23M4545"/>
    <n v="20"/>
    <n v="101.15"/>
    <n v="2023"/>
    <x v="5"/>
    <x v="0"/>
  </r>
  <r>
    <d v="2026-04-13T00:00:00"/>
    <s v="MS28"/>
    <s v="OR15K6024"/>
    <n v="4.9400000000000004"/>
    <n v="101.15"/>
    <n v="500"/>
    <x v="7"/>
    <x v="0"/>
  </r>
  <r>
    <d v="2026-04-13T00:00:00"/>
    <s v="MS29"/>
    <s v="OD23T1010"/>
    <n v="32"/>
    <n v="101.15"/>
    <n v="3236.8"/>
    <x v="8"/>
    <x v="0"/>
  </r>
  <r>
    <d v="2026-04-13T00:00:00"/>
    <s v="MS30"/>
    <s v="OD15AC5813"/>
    <n v="10"/>
    <n v="101.15"/>
    <n v="1011.5"/>
    <x v="0"/>
    <x v="0"/>
  </r>
  <r>
    <d v="2026-04-14T00:00:00"/>
    <s v="MS31"/>
    <s v="OD23U4012"/>
    <n v="26.2"/>
    <n v="101.15"/>
    <n v="2650.13"/>
    <x v="9"/>
    <x v="0"/>
  </r>
  <r>
    <d v="2026-04-14T00:00:00"/>
    <s v="MS32"/>
    <s v="OD05AN7688"/>
    <n v="20"/>
    <n v="101.15"/>
    <n v="2023"/>
    <x v="3"/>
    <x v="0"/>
  </r>
  <r>
    <d v="2026-04-14T00:00:00"/>
    <s v="MS33"/>
    <s v="OD23N8956"/>
    <n v="3"/>
    <n v="101.15"/>
    <n v="303.45"/>
    <x v="0"/>
    <x v="0"/>
  </r>
  <r>
    <d v="2026-04-15T00:00:00"/>
    <s v="MS34"/>
    <s v="OD23P9344"/>
    <n v="3.86"/>
    <n v="101.15"/>
    <n v="390.43"/>
    <x v="0"/>
    <x v="0"/>
  </r>
  <r>
    <d v="2026-04-15T00:00:00"/>
    <s v="MS35"/>
    <s v="OD23N1010"/>
    <n v="50"/>
    <n v="101.15"/>
    <n v="5057.5"/>
    <x v="8"/>
    <x v="0"/>
  </r>
  <r>
    <d v="2026-04-15T00:00:00"/>
    <s v="MS36"/>
    <s v="OD23M9485"/>
    <n v="30.75"/>
    <n v="101.15"/>
    <n v="3110.36"/>
    <x v="1"/>
    <x v="0"/>
  </r>
  <r>
    <d v="2026-04-16T00:00:00"/>
    <s v="MS37"/>
    <s v="OD23K4545"/>
    <n v="4.71"/>
    <n v="101.15"/>
    <n v="476.41"/>
    <x v="5"/>
    <x v="0"/>
  </r>
  <r>
    <d v="2026-04-16T00:00:00"/>
    <s v="MS38"/>
    <s v="OD05BT4545"/>
    <n v="20"/>
    <n v="101.15"/>
    <n v="2023"/>
    <x v="5"/>
    <x v="0"/>
  </r>
  <r>
    <d v="2026-04-16T00:00:00"/>
    <s v="MS39"/>
    <s v="OD05AN7688"/>
    <n v="20"/>
    <n v="101.15"/>
    <n v="2023"/>
    <x v="3"/>
    <x v="0"/>
  </r>
  <r>
    <d v="2026-04-17T00:00:00"/>
    <s v="MS40"/>
    <s v="OD05BT4545"/>
    <n v="28.87"/>
    <n v="101.15"/>
    <n v="2920.2"/>
    <x v="5"/>
    <x v="0"/>
  </r>
  <r>
    <d v="2026-04-18T00:00:00"/>
    <s v="MS41"/>
    <s v="OD23T1010"/>
    <n v="41"/>
    <n v="101.15"/>
    <n v="4147.1499999999996"/>
    <x v="8"/>
    <x v="0"/>
  </r>
  <r>
    <d v="2026-04-19T00:00:00"/>
    <s v="MS42"/>
    <s v="OD05AP4113"/>
    <n v="50"/>
    <n v="101.15"/>
    <n v="5057.5"/>
    <x v="10"/>
    <x v="0"/>
  </r>
  <r>
    <d v="2026-04-19T00:00:00"/>
    <s v="MS43"/>
    <s v="OD05AN7688"/>
    <n v="20"/>
    <n v="101.15"/>
    <n v="2023"/>
    <x v="3"/>
    <x v="0"/>
  </r>
  <r>
    <d v="2026-04-20T00:00:00"/>
    <s v="MS44"/>
    <s v="OD23M9485"/>
    <n v="37.020000000000003"/>
    <n v="101.15"/>
    <n v="3744.57"/>
    <x v="1"/>
    <x v="0"/>
  </r>
  <r>
    <d v="2026-04-20T00:00:00"/>
    <s v="MS45"/>
    <s v="OD23P0325"/>
    <n v="35.83"/>
    <n v="101.15"/>
    <n v="3624.2"/>
    <x v="1"/>
    <x v="0"/>
  </r>
  <r>
    <d v="2026-04-21T00:00:00"/>
    <s v="MS46"/>
    <s v="JH15AK1307"/>
    <n v="36.409999999999997"/>
    <n v="101.15"/>
    <n v="3682.87"/>
    <x v="3"/>
    <x v="0"/>
  </r>
  <r>
    <d v="2026-04-21T00:00:00"/>
    <s v="MS47"/>
    <s v="OD05BT4545"/>
    <n v="29.66"/>
    <n v="101.15"/>
    <n v="3000.1"/>
    <x v="5"/>
    <x v="0"/>
  </r>
  <r>
    <d v="2026-04-22T00:00:00"/>
    <s v="MS48"/>
    <s v="OD19J7274"/>
    <n v="20"/>
    <n v="101.15"/>
    <n v="2023"/>
    <x v="3"/>
    <x v="0"/>
  </r>
  <r>
    <d v="2026-04-22T00:00:00"/>
    <s v="MS49"/>
    <s v="OD23U4012"/>
    <n v="21.22"/>
    <n v="101.15"/>
    <n v="2146.4"/>
    <x v="9"/>
    <x v="0"/>
  </r>
  <r>
    <d v="2026-04-23T00:00:00"/>
    <s v="MS50"/>
    <s v="OR15K6024"/>
    <n v="2.97"/>
    <n v="101.15"/>
    <n v="300"/>
    <x v="7"/>
    <x v="0"/>
  </r>
  <r>
    <d v="2026-04-23T00:00:00"/>
    <s v="MS51"/>
    <s v="OD15AA4091"/>
    <n v="1"/>
    <n v="101.15"/>
    <n v="101.15"/>
    <x v="4"/>
    <x v="0"/>
  </r>
  <r>
    <d v="2026-04-24T00:00:00"/>
    <s v="MS52"/>
    <s v="OD14Z4545"/>
    <n v="20"/>
    <n v="101.15"/>
    <n v="2023"/>
    <x v="5"/>
    <x v="0"/>
  </r>
  <r>
    <d v="2026-04-24T00:00:00"/>
    <s v="MS53"/>
    <s v="OD23-7259"/>
    <n v="20"/>
    <n v="101.15"/>
    <n v="2023"/>
    <x v="3"/>
    <x v="0"/>
  </r>
  <r>
    <d v="2026-04-24T00:00:00"/>
    <s v="MS54"/>
    <s v="OD15AC5813"/>
    <n v="10"/>
    <n v="101.15"/>
    <n v="1011.5"/>
    <x v="0"/>
    <x v="0"/>
  </r>
  <r>
    <d v="2026-04-25T00:00:00"/>
    <s v="MS55"/>
    <s v="OD23M4614"/>
    <n v="200"/>
    <n v="101.15"/>
    <n v="20230"/>
    <x v="2"/>
    <x v="0"/>
  </r>
  <r>
    <d v="2026-04-26T00:00:00"/>
    <s v="MS56"/>
    <s v="JH15AK1307"/>
    <n v="32.409999999999997"/>
    <n v="101.15"/>
    <n v="3278.27"/>
    <x v="3"/>
    <x v="0"/>
  </r>
  <r>
    <d v="2026-04-26T00:00:00"/>
    <s v="MS57"/>
    <s v="OD05BT4545"/>
    <n v="20"/>
    <n v="101.15"/>
    <n v="2023"/>
    <x v="5"/>
    <x v="0"/>
  </r>
  <r>
    <d v="2026-04-26T00:00:00"/>
    <s v="MS58"/>
    <s v="OD23F4242"/>
    <n v="11.77"/>
    <n v="101.15"/>
    <n v="1190.53"/>
    <x v="0"/>
    <x v="0"/>
  </r>
  <r>
    <d v="2026-04-26T00:00:00"/>
    <s v="MS59"/>
    <s v="OD23Q2866"/>
    <n v="5"/>
    <n v="101.15"/>
    <n v="505.75"/>
    <x v="0"/>
    <x v="0"/>
  </r>
  <r>
    <d v="2026-04-27T00:00:00"/>
    <s v="MS60"/>
    <s v="OD23T5838"/>
    <n v="26.72"/>
    <n v="101.15"/>
    <n v="2702.72"/>
    <x v="0"/>
    <x v="0"/>
  </r>
  <r>
    <d v="2026-04-28T00:00:00"/>
    <s v="MS61"/>
    <s v="OD05AN7688"/>
    <n v="20"/>
    <n v="101.15"/>
    <n v="2023"/>
    <x v="3"/>
    <x v="0"/>
  </r>
  <r>
    <d v="2026-04-28T00:00:00"/>
    <s v="MS62"/>
    <s v="OD23M9485"/>
    <n v="35"/>
    <n v="101.15"/>
    <n v="3540.25"/>
    <x v="1"/>
    <x v="0"/>
  </r>
  <r>
    <d v="2026-04-28T00:00:00"/>
    <s v="MS63"/>
    <s v="OD23K4545"/>
    <n v="4.1399999999999997"/>
    <n v="101.15"/>
    <n v="418.76"/>
    <x v="5"/>
    <x v="0"/>
  </r>
  <r>
    <d v="2026-04-28T00:00:00"/>
    <s v="MS64"/>
    <s v="OD15AC5813"/>
    <n v="10"/>
    <n v="101.15"/>
    <n v="1011.5"/>
    <x v="0"/>
    <x v="0"/>
  </r>
  <r>
    <d v="2026-04-29T00:00:00"/>
    <s v="MS65"/>
    <s v="OD14Z4545"/>
    <n v="25"/>
    <n v="101.15"/>
    <n v="2528.75"/>
    <x v="5"/>
    <x v="0"/>
  </r>
  <r>
    <d v="2026-04-30T00:00:00"/>
    <s v="MS66"/>
    <s v="OD23N1010"/>
    <n v="40"/>
    <n v="101.15"/>
    <n v="4046"/>
    <x v="8"/>
    <x v="0"/>
  </r>
  <r>
    <d v="2026-04-30T00:00:00"/>
    <s v="MS67"/>
    <s v="JAR 500x10"/>
    <n v="49.43"/>
    <n v="101.15"/>
    <n v="5000"/>
    <x v="5"/>
    <x v="0"/>
  </r>
  <r>
    <d v="2026-05-01T00:00:00"/>
    <s v="MS68"/>
    <s v="OD15Z4831"/>
    <n v="17.8"/>
    <n v="101.15"/>
    <n v="1800.47"/>
    <x v="0"/>
    <x v="1"/>
  </r>
  <r>
    <d v="2026-05-01T00:00:00"/>
    <s v="MS69"/>
    <s v="OR23F4242"/>
    <n v="5"/>
    <n v="101.15"/>
    <n v="505.75"/>
    <x v="0"/>
    <x v="1"/>
  </r>
  <r>
    <d v="2026-05-01T00:00:00"/>
    <s v="MS70"/>
    <s v="OD15AC5813"/>
    <n v="10"/>
    <n v="101.15"/>
    <n v="1011.5"/>
    <x v="0"/>
    <x v="1"/>
  </r>
  <r>
    <d v="2026-05-01T00:00:00"/>
    <s v="MS71"/>
    <s v="JH15AK1307"/>
    <n v="36.78"/>
    <n v="101.15"/>
    <n v="3720.29"/>
    <x v="3"/>
    <x v="1"/>
  </r>
  <r>
    <d v="2026-05-01T00:00:00"/>
    <s v="MS72"/>
    <s v="OD05AN7688"/>
    <n v="20"/>
    <n v="101.15"/>
    <n v="2023"/>
    <x v="3"/>
    <x v="1"/>
  </r>
  <r>
    <d v="2026-05-02T00:00:00"/>
    <s v="MS73"/>
    <s v="OD23T5838"/>
    <n v="23.56"/>
    <n v="101.15"/>
    <n v="2383.09"/>
    <x v="0"/>
    <x v="1"/>
  </r>
  <r>
    <d v="2026-05-02T00:00:00"/>
    <s v="MS74"/>
    <s v="OD05BT4545"/>
    <n v="20"/>
    <n v="101.15"/>
    <n v="2023"/>
    <x v="5"/>
    <x v="1"/>
  </r>
  <r>
    <d v="2026-05-02T00:00:00"/>
    <s v="MS75"/>
    <s v="OR15K6024"/>
    <n v="2.97"/>
    <n v="101.15"/>
    <n v="300"/>
    <x v="7"/>
    <x v="1"/>
  </r>
  <r>
    <d v="2026-05-03T00:00:00"/>
    <s v="MS76"/>
    <s v="OD23M4545"/>
    <n v="20"/>
    <n v="101.15"/>
    <n v="2023"/>
    <x v="5"/>
    <x v="1"/>
  </r>
  <r>
    <d v="2026-05-03T00:00:00"/>
    <s v="MS77"/>
    <s v="OD05BT4545"/>
    <n v="29"/>
    <n v="101.15"/>
    <n v="2933.35"/>
    <x v="5"/>
    <x v="1"/>
  </r>
  <r>
    <d v="2026-05-03T00:00:00"/>
    <s v="MS78"/>
    <s v="OD23P9344"/>
    <n v="5.2"/>
    <n v="101.15"/>
    <n v="525.98"/>
    <x v="0"/>
    <x v="1"/>
  </r>
  <r>
    <d v="2026-05-03T00:00:00"/>
    <s v="MS79"/>
    <s v="OD15Z4831"/>
    <n v="18.39"/>
    <n v="101.15"/>
    <n v="1860.14"/>
    <x v="0"/>
    <x v="1"/>
  </r>
  <r>
    <d v="2026-05-03T00:00:00"/>
    <s v="MS80"/>
    <s v="OD15AC5813"/>
    <n v="10"/>
    <n v="101.15"/>
    <n v="1011.5"/>
    <x v="0"/>
    <x v="1"/>
  </r>
  <r>
    <d v="2026-05-04T00:00:00"/>
    <s v="MS81"/>
    <s v="OD15Y4061"/>
    <n v="6.92"/>
    <n v="101.15"/>
    <n v="700"/>
    <x v="11"/>
    <x v="1"/>
  </r>
  <r>
    <d v="2026-05-04T00:00:00"/>
    <s v="MS82"/>
    <s v="OD23P0325"/>
    <n v="40"/>
    <n v="101.15"/>
    <n v="4046"/>
    <x v="1"/>
    <x v="1"/>
  </r>
  <r>
    <d v="2026-05-05T00:00:00"/>
    <s v="MS83"/>
    <s v="OD23M9485"/>
    <n v="36.049999999999997"/>
    <n v="101.15"/>
    <n v="3646.45"/>
    <x v="1"/>
    <x v="1"/>
  </r>
  <r>
    <d v="2026-05-05T00:00:00"/>
    <s v="MS84"/>
    <s v="OD15AC5813"/>
    <n v="10"/>
    <n v="101.15"/>
    <n v="1011.5"/>
    <x v="0"/>
    <x v="1"/>
  </r>
  <r>
    <d v="2026-05-05T00:00:00"/>
    <s v="MS85"/>
    <s v="OD03AB4917"/>
    <n v="20"/>
    <n v="101.15"/>
    <n v="2023"/>
    <x v="3"/>
    <x v="1"/>
  </r>
  <r>
    <d v="2026-05-05T00:00:00"/>
    <s v="MS86"/>
    <s v="OD15Y4061"/>
    <n v="2.97"/>
    <n v="101.15"/>
    <n v="300"/>
    <x v="11"/>
    <x v="1"/>
  </r>
  <r>
    <d v="2026-05-05T00:00:00"/>
    <s v="MS87"/>
    <s v="OR15K6024"/>
    <n v="2.97"/>
    <n v="101.15"/>
    <n v="300"/>
    <x v="7"/>
    <x v="1"/>
  </r>
  <r>
    <d v="2026-05-07T00:00:00"/>
    <s v="MS88"/>
    <s v="OD15AA4091"/>
    <n v="5"/>
    <n v="101.15"/>
    <n v="505.75"/>
    <x v="4"/>
    <x v="1"/>
  </r>
  <r>
    <d v="2026-05-07T00:00:00"/>
    <s v="MS89"/>
    <s v="JH15AK1307"/>
    <n v="35.69"/>
    <n v="101.15"/>
    <n v="3610.04"/>
    <x v="3"/>
    <x v="1"/>
  </r>
  <r>
    <d v="2026-05-08T00:00:00"/>
    <s v="MS90"/>
    <s v="OD23T1010"/>
    <n v="39.56"/>
    <n v="101.15"/>
    <n v="4001.49"/>
    <x v="8"/>
    <x v="1"/>
  </r>
  <r>
    <d v="2026-05-08T00:00:00"/>
    <s v="MS91"/>
    <s v="OD15AC5813"/>
    <n v="10"/>
    <n v="101.15"/>
    <n v="1011.5"/>
    <x v="0"/>
    <x v="1"/>
  </r>
  <r>
    <d v="2026-05-08T00:00:00"/>
    <s v="MS92"/>
    <s v="OD23K4545"/>
    <n v="4.71"/>
    <n v="101.15"/>
    <n v="476.42"/>
    <x v="5"/>
    <x v="1"/>
  </r>
  <r>
    <d v="2026-05-08T00:00:00"/>
    <s v="MS93"/>
    <s v="OD05BT4545"/>
    <n v="40"/>
    <n v="101.15"/>
    <n v="4046"/>
    <x v="5"/>
    <x v="1"/>
  </r>
  <r>
    <d v="2026-05-09T00:00:00"/>
    <s v="MS94"/>
    <s v="OD14Z4545"/>
    <n v="25"/>
    <n v="101.15"/>
    <n v="2528.75"/>
    <x v="5"/>
    <x v="1"/>
  </r>
  <r>
    <d v="2026-05-09T00:00:00"/>
    <s v="MS95"/>
    <s v="JH09AW8179"/>
    <n v="3"/>
    <n v="101.15"/>
    <n v="303.45"/>
    <x v="4"/>
    <x v="1"/>
  </r>
  <r>
    <d v="2026-05-09T00:00:00"/>
    <s v="MS96"/>
    <s v="AP28AK4448"/>
    <n v="20"/>
    <n v="101.15"/>
    <n v="2023"/>
    <x v="3"/>
    <x v="1"/>
  </r>
  <r>
    <d v="2026-05-10T00:00:00"/>
    <s v="MS97"/>
    <s v="OD23T6336"/>
    <n v="25"/>
    <n v="101.15"/>
    <n v="2528.75"/>
    <x v="12"/>
    <x v="1"/>
  </r>
  <r>
    <d v="2026-05-10T00:00:00"/>
    <s v="MS98"/>
    <s v="OR15K6024"/>
    <n v="2.97"/>
    <n v="101.15"/>
    <n v="300"/>
    <x v="7"/>
    <x v="1"/>
  </r>
  <r>
    <d v="2026-05-11T00:00:00"/>
    <s v="MS99"/>
    <s v="OD15AC5831"/>
    <n v="15"/>
    <n v="101.15"/>
    <n v="1517.25"/>
    <x v="0"/>
    <x v="1"/>
  </r>
  <r>
    <d v="2026-05-11T00:00:00"/>
    <s v="MS100"/>
    <s v="OD23N7728"/>
    <n v="10.48"/>
    <n v="101.15"/>
    <n v="1060.05"/>
    <x v="0"/>
    <x v="1"/>
  </r>
  <r>
    <d v="2026-05-12T00:00:00"/>
    <s v="MS101"/>
    <s v="OD23M4614"/>
    <n v="100"/>
    <n v="101.15"/>
    <n v="10115"/>
    <x v="2"/>
    <x v="1"/>
  </r>
  <r>
    <d v="2026-05-12T00:00:00"/>
    <s v="MS102"/>
    <s v="OD23U4012"/>
    <n v="19.78"/>
    <n v="101.15"/>
    <n v="2000"/>
    <x v="9"/>
    <x v="1"/>
  </r>
  <r>
    <d v="2026-05-14T00:00:00"/>
    <s v="MS103"/>
    <s v="OD15Y4061"/>
    <n v="4.9400000000000004"/>
    <n v="101.15"/>
    <n v="500"/>
    <x v="11"/>
    <x v="1"/>
  </r>
  <r>
    <d v="2026-05-15T00:00:00"/>
    <s v="MS104"/>
    <s v="OD15Z4831"/>
    <n v="29.92"/>
    <n v="104.36"/>
    <n v="3122.45"/>
    <x v="0"/>
    <x v="1"/>
  </r>
  <r>
    <d v="2026-05-15T00:00:00"/>
    <s v="MS105"/>
    <s v="OD15AC5813"/>
    <n v="10"/>
    <n v="104.36"/>
    <n v="1043.5999999999999"/>
    <x v="0"/>
    <x v="1"/>
  </r>
  <r>
    <d v="2026-05-15T00:00:00"/>
    <s v="MS106"/>
    <s v="JH15AK1307"/>
    <n v="32.89"/>
    <n v="104.36"/>
    <n v="3432.4"/>
    <x v="3"/>
    <x v="1"/>
  </r>
  <r>
    <d v="2026-05-17T00:00:00"/>
    <s v="MS107"/>
    <s v="OD14Z4545"/>
    <n v="30"/>
    <n v="104.36"/>
    <n v="3130.8"/>
    <x v="5"/>
    <x v="1"/>
  </r>
  <r>
    <d v="2026-05-17T00:00:00"/>
    <s v="MS108"/>
    <s v="OD05BT4545"/>
    <n v="19.86"/>
    <n v="104.36"/>
    <n v="2072.58"/>
    <x v="5"/>
    <x v="1"/>
  </r>
  <r>
    <d v="2026-05-17T00:00:00"/>
    <s v="MS109"/>
    <s v="OD05AN7688"/>
    <n v="20"/>
    <n v="104.36"/>
    <n v="2087.1999999999998"/>
    <x v="3"/>
    <x v="1"/>
  </r>
  <r>
    <d v="2026-05-18T00:00:00"/>
    <s v="MS110"/>
    <s v="OD23M4545"/>
    <n v="36.29"/>
    <n v="104.36"/>
    <n v="3787.22"/>
    <x v="5"/>
    <x v="1"/>
  </r>
  <r>
    <d v="2026-05-18T00:00:00"/>
    <s v="MS111"/>
    <s v="OD23M9485"/>
    <n v="20"/>
    <n v="104.36"/>
    <n v="2087.1999999999998"/>
    <x v="1"/>
    <x v="1"/>
  </r>
  <r>
    <d v="2026-05-19T00:00:00"/>
    <s v="MS112"/>
    <s v="OD15AA4091"/>
    <n v="5"/>
    <n v="105.3"/>
    <n v="526.5"/>
    <x v="4"/>
    <x v="1"/>
  </r>
  <r>
    <d v="2026-05-19T00:00:00"/>
    <s v="MS113"/>
    <s v="OD23K4545"/>
    <n v="4.4800000000000004"/>
    <n v="105.3"/>
    <n v="471.74"/>
    <x v="5"/>
    <x v="1"/>
  </r>
  <r>
    <d v="2026-05-19T00:00:00"/>
    <s v="MS114"/>
    <s v="CG04QX7299"/>
    <n v="37.99"/>
    <n v="105.3"/>
    <n v="4000"/>
    <x v="5"/>
    <x v="1"/>
  </r>
  <r>
    <d v="2026-05-19T00:00:00"/>
    <s v="MS115"/>
    <s v="OD05BT4545"/>
    <n v="45"/>
    <n v="105.3"/>
    <n v="4738.5"/>
    <x v="5"/>
    <x v="1"/>
  </r>
  <r>
    <d v="2026-05-19T00:00:00"/>
    <s v="MS116"/>
    <s v="OD15AC5813"/>
    <n v="10"/>
    <n v="105.3"/>
    <n v="1053"/>
    <x v="0"/>
    <x v="1"/>
  </r>
  <r>
    <d v="2026-05-19T00:00:00"/>
    <s v="MS117"/>
    <s v="OD23T5838"/>
    <n v="10"/>
    <n v="105.3"/>
    <n v="1053"/>
    <x v="0"/>
    <x v="1"/>
  </r>
  <r>
    <d v="2026-05-19T00:00:00"/>
    <s v="MS118"/>
    <s v="OR15K6024"/>
    <n v="2.85"/>
    <n v="105.3"/>
    <n v="300"/>
    <x v="7"/>
    <x v="1"/>
  </r>
  <r>
    <d v="2026-05-19T00:00:00"/>
    <s v="MS119"/>
    <s v="OD23P0325"/>
    <n v="38.89"/>
    <n v="105.3"/>
    <n v="4095.11"/>
    <x v="1"/>
    <x v="1"/>
  </r>
  <r>
    <d v="2026-05-19T00:00:00"/>
    <s v="MS120"/>
    <s v="OD15Y4061"/>
    <n v="4.75"/>
    <n v="105.3"/>
    <n v="500"/>
    <x v="11"/>
    <x v="1"/>
  </r>
  <r>
    <d v="2026-05-20T00:00:00"/>
    <s v="MS121"/>
    <s v="OD15Z4831"/>
    <n v="33.86"/>
    <n v="105.3"/>
    <n v="3565.45"/>
    <x v="0"/>
    <x v="1"/>
  </r>
  <r>
    <d v="2026-05-20T00:00:00"/>
    <s v="MS122"/>
    <s v="OD14AD5280"/>
    <n v="10"/>
    <n v="105.3"/>
    <n v="1053"/>
    <x v="13"/>
    <x v="1"/>
  </r>
  <r>
    <d v="2026-05-21T00:00:00"/>
    <s v="MS123"/>
    <s v="OD23M4614"/>
    <n v="100"/>
    <n v="105.3"/>
    <n v="10530"/>
    <x v="2"/>
    <x v="1"/>
  </r>
  <r>
    <d v="2026-05-21T00:00:00"/>
    <s v="MS124"/>
    <s v="OR15K6024"/>
    <n v="2.85"/>
    <n v="105.3"/>
    <n v="300"/>
    <x v="7"/>
    <x v="1"/>
  </r>
  <r>
    <d v="2026-05-21T00:00:00"/>
    <s v="MS125"/>
    <s v="OD15Y4061"/>
    <n v="9.5"/>
    <n v="105.3"/>
    <n v="1000"/>
    <x v="11"/>
    <x v="1"/>
  </r>
  <r>
    <d v="2026-05-21T00:00:00"/>
    <s v="MS126"/>
    <s v="OD14Z4545"/>
    <n v="18.989999999999998"/>
    <n v="105.3"/>
    <n v="2000"/>
    <x v="5"/>
    <x v="1"/>
  </r>
  <r>
    <d v="2026-05-21T00:00:00"/>
    <s v="MS127"/>
    <s v="OD23N1010"/>
    <n v="40"/>
    <n v="105.3"/>
    <n v="4212"/>
    <x v="8"/>
    <x v="1"/>
  </r>
  <r>
    <d v="2026-05-21T00:00:00"/>
    <s v="MS128"/>
    <s v="OD23T5838"/>
    <n v="10"/>
    <n v="105.3"/>
    <n v="1053"/>
    <x v="0"/>
    <x v="1"/>
  </r>
  <r>
    <d v="2026-05-21T00:00:00"/>
    <s v="MS129"/>
    <s v="OD05AN7688"/>
    <n v="20"/>
    <n v="105.3"/>
    <n v="2106"/>
    <x v="3"/>
    <x v="1"/>
  </r>
  <r>
    <d v="2026-05-22T00:00:00"/>
    <s v="MS130"/>
    <s v="OR15Q6155"/>
    <n v="4.75"/>
    <n v="105.3"/>
    <n v="500"/>
    <x v="11"/>
    <x v="1"/>
  </r>
  <r>
    <d v="2026-05-22T00:00:00"/>
    <s v="MS131"/>
    <s v="OD15AC5813"/>
    <n v="10"/>
    <n v="105.3"/>
    <n v="1053"/>
    <x v="0"/>
    <x v="1"/>
  </r>
  <r>
    <d v="2026-05-22T00:00:00"/>
    <s v="MS132"/>
    <s v="OD23N7728"/>
    <n v="5"/>
    <n v="105.3"/>
    <n v="526.5"/>
    <x v="0"/>
    <x v="1"/>
  </r>
  <r>
    <d v="2026-05-22T00:00:00"/>
    <s v="MS133"/>
    <s v="JH15AK1307"/>
    <n v="35.86"/>
    <n v="105.3"/>
    <n v="3776.05"/>
    <x v="3"/>
    <x v="1"/>
  </r>
  <r>
    <d v="2026-05-23T00:00:00"/>
    <s v="MS134"/>
    <s v="OD19J7247"/>
    <n v="20"/>
    <n v="106.22"/>
    <n v="2124.4"/>
    <x v="3"/>
    <x v="1"/>
  </r>
  <r>
    <d v="2026-05-23T00:00:00"/>
    <s v="MS135"/>
    <s v=""/>
    <n v="5.63"/>
    <n v="106.22"/>
    <n v="598"/>
    <x v="14"/>
    <x v="1"/>
  </r>
  <r>
    <d v="2026-05-24T00:00:00"/>
    <s v="MS136"/>
    <s v="OD23T5838"/>
    <n v="10"/>
    <n v="106.22"/>
    <n v="1062.2"/>
    <x v="0"/>
    <x v="1"/>
  </r>
  <r>
    <d v="2026-05-24T00:00:00"/>
    <s v="MS137"/>
    <s v="OR15K6024"/>
    <n v="2.83"/>
    <n v="106.22"/>
    <n v="300"/>
    <x v="7"/>
    <x v="1"/>
  </r>
  <r>
    <d v="2026-05-25T00:00:00"/>
    <s v="MS138"/>
    <s v="OD23Q2866"/>
    <n v="5"/>
    <n v="109.01"/>
    <n v="545.04999999999995"/>
    <x v="0"/>
    <x v="1"/>
  </r>
  <r>
    <d v="2026-05-25T00:00:00"/>
    <s v="MS139"/>
    <s v="OD05BT4545"/>
    <n v="33.89"/>
    <n v="109.01"/>
    <n v="3694.34"/>
    <x v="5"/>
    <x v="1"/>
  </r>
  <r>
    <d v="2026-05-26T00:00:00"/>
    <s v="MS140"/>
    <s v="CG05AP5678"/>
    <n v="39.01"/>
    <n v="109.01"/>
    <n v="4252.4799999999996"/>
    <x v="5"/>
    <x v="1"/>
  </r>
  <r>
    <d v="2026-05-26T00:00:00"/>
    <s v="MS141"/>
    <s v="OD23M9485"/>
    <n v="28.12"/>
    <n v="109.01"/>
    <n v="3065.36"/>
    <x v="1"/>
    <x v="1"/>
  </r>
  <r>
    <d v="2026-05-26T00:00:00"/>
    <s v="MS142"/>
    <s v="OD23P0325"/>
    <n v="39"/>
    <n v="109.01"/>
    <n v="4251.3900000000003"/>
    <x v="1"/>
    <x v="1"/>
  </r>
  <r>
    <d v="2026-05-26T00:00:00"/>
    <s v="MS143"/>
    <s v="OD23T5838"/>
    <n v="28.53"/>
    <n v="109.01"/>
    <n v="3110.05"/>
    <x v="0"/>
    <x v="1"/>
  </r>
  <r>
    <d v="2026-05-26T00:00:00"/>
    <s v="MS144"/>
    <s v="OD15Z4831"/>
    <n v="23"/>
    <n v="109.01"/>
    <n v="2507.23"/>
    <x v="0"/>
    <x v="1"/>
  </r>
  <r>
    <d v="2026-05-26T00:00:00"/>
    <s v="MS145"/>
    <s v="JH15AK1307"/>
    <n v="36.06"/>
    <n v="109.01"/>
    <n v="3930.9"/>
    <x v="3"/>
    <x v="1"/>
  </r>
  <r>
    <d v="2026-05-26T00:00:00"/>
    <s v="MS146"/>
    <s v="AP39AK4448"/>
    <n v="20"/>
    <n v="109.01"/>
    <n v="2180.1999999999998"/>
    <x v="3"/>
    <x v="1"/>
  </r>
  <r>
    <d v="2026-05-27T00:00:00"/>
    <s v="MS147"/>
    <s v="OD23P4512"/>
    <n v="10"/>
    <n v="109.01"/>
    <n v="1090.0999999999999"/>
    <x v="0"/>
    <x v="1"/>
  </r>
  <r>
    <d v="2026-05-27T00:00:00"/>
    <s v="MS148"/>
    <s v="OD15AC5813"/>
    <n v="10"/>
    <n v="109.01"/>
    <n v="1090.0999999999999"/>
    <x v="0"/>
    <x v="1"/>
  </r>
  <r>
    <d v="2026-05-27T00:00:00"/>
    <s v="MS149"/>
    <s v="OD15Y4061"/>
    <n v="9.17"/>
    <n v="109.01"/>
    <n v="1000"/>
    <x v="11"/>
    <x v="1"/>
  </r>
  <r>
    <d v="2026-05-27T00:00:00"/>
    <s v="MS150"/>
    <s v="OR15K6024"/>
    <n v="2.75"/>
    <n v="109.01"/>
    <n v="300"/>
    <x v="7"/>
    <x v="1"/>
  </r>
  <r>
    <d v="2026-05-28T00:00:00"/>
    <s v="MS151"/>
    <s v="OR15K6024"/>
    <n v="2.75"/>
    <n v="109.01"/>
    <n v="300"/>
    <x v="7"/>
    <x v="1"/>
  </r>
  <r>
    <d v="2026-05-29T00:00:00"/>
    <s v="MS152"/>
    <s v="OD05AP4113"/>
    <n v="50"/>
    <n v="109.01"/>
    <n v="5450.5"/>
    <x v="10"/>
    <x v="1"/>
  </r>
  <r>
    <d v="2026-05-29T00:00:00"/>
    <s v="MS153"/>
    <s v="OD23K4545"/>
    <n v="4.22"/>
    <n v="109.01"/>
    <n v="460.02"/>
    <x v="5"/>
    <x v="1"/>
  </r>
  <r>
    <d v="2026-05-29T00:00:00"/>
    <s v="MS154"/>
    <s v="OD14Z4545"/>
    <n v="36.33"/>
    <n v="109.01"/>
    <n v="3960.33"/>
    <x v="5"/>
    <x v="1"/>
  </r>
  <r>
    <d v="2026-05-30T00:00:00"/>
    <s v="MS155"/>
    <s v="OD23M4614"/>
    <n v="100"/>
    <n v="109.01"/>
    <n v="10901"/>
    <x v="2"/>
    <x v="1"/>
  </r>
  <r>
    <d v="2026-05-30T00:00:00"/>
    <s v="MS156"/>
    <s v="OR16B4812"/>
    <n v="20"/>
    <n v="109.01"/>
    <n v="2180.1999999999998"/>
    <x v="3"/>
    <x v="1"/>
  </r>
  <r>
    <d v="2026-05-30T00:00:00"/>
    <s v="MS157"/>
    <s v="OD23P9344"/>
    <n v="4.95"/>
    <n v="109.01"/>
    <n v="539.59"/>
    <x v="0"/>
    <x v="1"/>
  </r>
  <r>
    <d v="2026-05-30T00:00:00"/>
    <s v="MS158"/>
    <s v="OD15AC5813"/>
    <n v="10"/>
    <n v="109.01"/>
    <n v="1090.0999999999999"/>
    <x v="0"/>
    <x v="1"/>
  </r>
  <r>
    <d v="2026-05-30T00:00:00"/>
    <s v="MS159"/>
    <s v="OD23U7053"/>
    <n v="5"/>
    <n v="109.01"/>
    <n v="545.04999999999995"/>
    <x v="0"/>
    <x v="1"/>
  </r>
  <r>
    <d v="2026-05-31T00:00:00"/>
    <s v="MS160"/>
    <s v="OR15K6024"/>
    <n v="2.75"/>
    <n v="109.01"/>
    <n v="300"/>
    <x v="7"/>
    <x v="2"/>
  </r>
  <r>
    <d v="2026-05-31T00:00:00"/>
    <s v="MS161"/>
    <s v="OD15Y4061"/>
    <n v="9.17"/>
    <n v="109.01"/>
    <n v="1000"/>
    <x v="11"/>
    <x v="1"/>
  </r>
  <r>
    <d v="2026-05-31T00:00:00"/>
    <s v="MS162"/>
    <s v="JAR 500x11"/>
    <n v="50.46"/>
    <n v="109.01"/>
    <n v="5500"/>
    <x v="5"/>
    <x v="1"/>
  </r>
  <r>
    <d v="2026-06-01T00:00:00"/>
    <s v="MS163"/>
    <s v="OR15Q6155"/>
    <n v="4.59"/>
    <n v="109.01"/>
    <n v="500"/>
    <x v="11"/>
    <x v="3"/>
  </r>
  <r>
    <d v="2026-06-01T00:00:00"/>
    <s v="MS164"/>
    <s v="OD23P0325"/>
    <n v="38.82"/>
    <n v="109.01"/>
    <n v="4231.76"/>
    <x v="1"/>
    <x v="3"/>
  </r>
  <r>
    <d v="2026-06-01T00:00:00"/>
    <s v="MS165"/>
    <s v="OD15AA4091"/>
    <n v="5"/>
    <n v="109.01"/>
    <n v="545.04999999999995"/>
    <x v="4"/>
    <x v="3"/>
  </r>
  <r>
    <d v="2026-06-01T00:00:00"/>
    <s v="MS166"/>
    <m/>
    <n v="11.47"/>
    <n v="109.01"/>
    <n v="1249.98"/>
    <x v="14"/>
    <x v="3"/>
  </r>
  <r>
    <d v="2026-06-02T00:00:00"/>
    <s v="MS167"/>
    <s v="OD05AN7688"/>
    <n v="20"/>
    <n v="109.01"/>
    <n v="2180.1999999999998"/>
    <x v="3"/>
    <x v="3"/>
  </r>
  <r>
    <d v="2026-06-02T00:00:00"/>
    <s v="MS168"/>
    <s v="OR15K6024"/>
    <n v="2.75"/>
    <n v="109.01"/>
    <n v="300"/>
    <x v="7"/>
    <x v="3"/>
  </r>
  <r>
    <d v="2026-06-04T00:00:00"/>
    <s v="MS169"/>
    <s v="OD23N1010"/>
    <n v="53"/>
    <n v="109.01"/>
    <n v="5777.53"/>
    <x v="8"/>
    <x v="3"/>
  </r>
  <r>
    <d v="2026-06-04T00:00:00"/>
    <s v="MS170"/>
    <s v="OR15K6024"/>
    <n v="2.75"/>
    <n v="109.01"/>
    <n v="300"/>
    <x v="7"/>
    <x v="3"/>
  </r>
  <r>
    <d v="2026-06-04T00:00:00"/>
    <s v="MS171"/>
    <s v="OD14AD5280"/>
    <n v="10"/>
    <n v="109.01"/>
    <n v="1090.0999999999999"/>
    <x v="13"/>
    <x v="3"/>
  </r>
  <r>
    <d v="2026-06-05T00:00:00"/>
    <s v="MS172"/>
    <s v="JH15AK1307"/>
    <n v="35.92"/>
    <n v="109.01"/>
    <n v="3915.63"/>
    <x v="3"/>
    <x v="3"/>
  </r>
  <r>
    <d v="2026-06-05T00:00:00"/>
    <s v="MS173"/>
    <s v="OD23T1010"/>
    <n v="40"/>
    <n v="109.01"/>
    <n v="4360.3999999999996"/>
    <x v="8"/>
    <x v="3"/>
  </r>
  <r>
    <d v="2026-06-05T00:00:00"/>
    <s v="MS174"/>
    <s v="OR15Y4061"/>
    <n v="9.17"/>
    <n v="109.01"/>
    <n v="1000"/>
    <x v="11"/>
    <x v="3"/>
  </r>
  <r>
    <d v="2026-06-06T00:00:00"/>
    <s v="MS175"/>
    <s v="OR15Q6155"/>
    <n v="1.84"/>
    <n v="109.01"/>
    <n v="200"/>
    <x v="11"/>
    <x v="3"/>
  </r>
  <r>
    <d v="2026-06-06T00:00:00"/>
    <s v="MS176"/>
    <s v="OD15AC5813"/>
    <n v="10"/>
    <n v="109.01"/>
    <n v="1090.0999999999999"/>
    <x v="0"/>
    <x v="3"/>
  </r>
  <r>
    <d v="2026-06-07T00:00:00"/>
    <s v="MS177"/>
    <s v="OD23B5943"/>
    <n v="2"/>
    <n v="109.01"/>
    <n v="218.02"/>
    <x v="0"/>
    <x v="3"/>
  </r>
  <r>
    <d v="2026-06-07T00:00:00"/>
    <s v="MS178"/>
    <s v="OD23M4545"/>
    <n v="20"/>
    <n v="109.01"/>
    <n v="2180.1999999999998"/>
    <x v="5"/>
    <x v="3"/>
  </r>
  <r>
    <d v="2026-06-07T00:00:00"/>
    <s v="MS179"/>
    <s v="OR15K6024"/>
    <n v="2.75"/>
    <n v="109.01"/>
    <n v="300"/>
    <x v="7"/>
    <x v="3"/>
  </r>
  <r>
    <d v="2026-06-08T00:00:00"/>
    <s v="MS180"/>
    <s v="OD19J7247"/>
    <n v="8.7899999999999991"/>
    <n v="109.01"/>
    <n v="958.19"/>
    <x v="3"/>
    <x v="3"/>
  </r>
  <r>
    <d v="2026-06-08T00:00:00"/>
    <s v="MS181"/>
    <s v="OD23M9485"/>
    <n v="36.520000000000003"/>
    <n v="109.01"/>
    <n v="3981.04"/>
    <x v="1"/>
    <x v="3"/>
  </r>
  <r>
    <d v="2026-06-08T00:00:00"/>
    <s v="MS182"/>
    <s v="OD15Y4061"/>
    <n v="9.17"/>
    <n v="109.01"/>
    <n v="1000"/>
    <x v="11"/>
    <x v="3"/>
  </r>
  <r>
    <d v="2026-06-09T00:00:00"/>
    <s v="MS183"/>
    <s v="OD23P0325"/>
    <n v="37.880000000000003"/>
    <n v="109.01"/>
    <n v="4129.29"/>
    <x v="1"/>
    <x v="3"/>
  </r>
  <r>
    <d v="2026-06-09T00:00:00"/>
    <s v="MS184"/>
    <s v="OD15AC5813"/>
    <n v="15"/>
    <n v="109.01"/>
    <n v="1635.15"/>
    <x v="0"/>
    <x v="3"/>
  </r>
  <r>
    <d v="2026-06-10T00:00:00"/>
    <s v="MS185"/>
    <s v="OD17V0336"/>
    <n v="3.39"/>
    <n v="109.01"/>
    <n v="369.54"/>
    <x v="0"/>
    <x v="3"/>
  </r>
  <r>
    <d v="2026-06-10T00:00:00"/>
    <s v="MS186"/>
    <s v="OD23R2944"/>
    <n v="10.69"/>
    <n v="109.01"/>
    <n v="1165.31"/>
    <x v="0"/>
    <x v="3"/>
  </r>
  <r>
    <d v="2026-06-10T00:00:00"/>
    <s v="MS187"/>
    <s v="OD23P9344"/>
    <n v="4.5"/>
    <n v="109.01"/>
    <n v="490.54"/>
    <x v="0"/>
    <x v="3"/>
  </r>
  <r>
    <d v="2026-06-10T00:00:00"/>
    <s v="MS188"/>
    <s v="OD23K4545"/>
    <n v="4.5"/>
    <n v="109.01"/>
    <n v="490.54"/>
    <x v="5"/>
    <x v="3"/>
  </r>
  <r>
    <d v="2026-06-10T00:00:00"/>
    <s v="MS189"/>
    <s v="OR15K6024"/>
    <n v="2.75"/>
    <n v="109.01"/>
    <n v="300"/>
    <x v="7"/>
    <x v="3"/>
  </r>
  <r>
    <d v="2026-06-11T00:00:00"/>
    <s v="MS190"/>
    <s v="OD15Z4831"/>
    <n v="10"/>
    <n v="109.01"/>
    <n v="1090.0999999999999"/>
    <x v="0"/>
    <x v="3"/>
  </r>
  <r>
    <d v="2026-06-12T00:00:00"/>
    <s v="MS191"/>
    <s v=""/>
    <n v="18.350000000000001"/>
    <n v="109.01"/>
    <n v="2000"/>
    <x v="14"/>
    <x v="3"/>
  </r>
  <r>
    <d v="2026-06-12T00:00:00"/>
    <s v="MS192"/>
    <s v="OD15Y4061"/>
    <n v="9.17"/>
    <n v="109.01"/>
    <n v="1000"/>
    <x v="11"/>
    <x v="3"/>
  </r>
  <r>
    <d v="2026-06-12T00:00:00"/>
    <s v="MS193"/>
    <s v="OR15K6024"/>
    <n v="2.75"/>
    <n v="109.01"/>
    <n v="300"/>
    <x v="7"/>
    <x v="3"/>
  </r>
  <r>
    <d v="2026-06-12T00:00:00"/>
    <s v="MS194"/>
    <s v="OD23T0076"/>
    <n v="4"/>
    <n v="109.01"/>
    <n v="436.04"/>
    <x v="15"/>
    <x v="3"/>
  </r>
  <r>
    <d v="2026-06-12T00:00:00"/>
    <s v="MS195"/>
    <s v="JH15AK1307"/>
    <n v="20"/>
    <n v="109.01"/>
    <n v="2180.1999999999998"/>
    <x v="3"/>
    <x v="3"/>
  </r>
  <r>
    <d v="2026-06-13T00:00:00"/>
    <s v="MS196"/>
    <s v="OD19J7247"/>
    <n v="10"/>
    <n v="109.01"/>
    <n v="1090.0999999999999"/>
    <x v="3"/>
    <x v="3"/>
  </r>
  <r>
    <d v="2026-06-13T00:00:00"/>
    <s v="MS197"/>
    <s v="OR23F4242"/>
    <n v="8"/>
    <n v="109.01"/>
    <n v="872.08"/>
    <x v="0"/>
    <x v="3"/>
  </r>
  <r>
    <d v="2026-06-13T00:00:00"/>
    <s v="MS198"/>
    <s v="OD23P4512"/>
    <n v="10"/>
    <n v="109.01"/>
    <n v="1090.0999999999999"/>
    <x v="0"/>
    <x v="3"/>
  </r>
  <r>
    <d v="2026-06-13T00:00:00"/>
    <s v="MS199"/>
    <s v="OD23M9485"/>
    <n v="27.42"/>
    <n v="109.01"/>
    <n v="2989.05"/>
    <x v="1"/>
    <x v="3"/>
  </r>
  <r>
    <d v="2026-06-14T00:00:00"/>
    <s v="MS200"/>
    <s v="AP03BE9123"/>
    <n v="10.73"/>
    <n v="109.01"/>
    <n v="1169.67"/>
    <x v="3"/>
    <x v="3"/>
  </r>
  <r>
    <d v="2026-06-14T00:00:00"/>
    <s v="MS201"/>
    <s v="OD14AD5280"/>
    <n v="11.34"/>
    <n v="109.01"/>
    <n v="1236.17"/>
    <x v="13"/>
    <x v="3"/>
  </r>
  <r>
    <d v="2026-06-14T00:00:00"/>
    <s v="MS202"/>
    <s v="OD15AC5813"/>
    <n v="10"/>
    <n v="109.01"/>
    <n v="1090.0999999999999"/>
    <x v="0"/>
    <x v="3"/>
  </r>
  <r>
    <d v="2026-06-15T00:00:00"/>
    <s v="MS203"/>
    <s v="OD23T1010"/>
    <n v="41"/>
    <n v="109.01"/>
    <n v="4469.41"/>
    <x v="8"/>
    <x v="3"/>
  </r>
  <r>
    <d v="2026-06-15T00:00:00"/>
    <s v="MS204"/>
    <s v="OD15Z4831"/>
    <n v="10"/>
    <n v="109.01"/>
    <n v="1090.0999999999999"/>
    <x v="0"/>
    <x v="3"/>
  </r>
  <r>
    <d v="2026-06-15T00:00:00"/>
    <s v="MS205"/>
    <s v="OD23P9344"/>
    <n v="5"/>
    <n v="109.01"/>
    <n v="545.04999999999995"/>
    <x v="0"/>
    <x v="3"/>
  </r>
  <r>
    <d v="2026-06-16T00:00:00"/>
    <s v="MS206"/>
    <s v="OR15K6024"/>
    <n v="2.75"/>
    <n v="109.01"/>
    <n v="300"/>
    <x v="7"/>
    <x v="3"/>
  </r>
  <r>
    <d v="2026-06-16T00:00:00"/>
    <s v="MS207"/>
    <s v="OR23B0533"/>
    <n v="1"/>
    <n v="109.01"/>
    <n v="109.01"/>
    <x v="15"/>
    <x v="3"/>
  </r>
  <r>
    <d v="2026-06-16T00:00:00"/>
    <s v="MS208"/>
    <s v="OD23T0076"/>
    <n v="3.95"/>
    <n v="109.01"/>
    <n v="430.58"/>
    <x v="15"/>
    <x v="3"/>
  </r>
  <r>
    <d v="2026-06-17T00:00:00"/>
    <s v="MS209"/>
    <s v="OR15F4242"/>
    <n v="6"/>
    <n v="109.01"/>
    <n v="654.05999999999995"/>
    <x v="0"/>
    <x v="3"/>
  </r>
  <r>
    <d v="2026-06-17T00:00:00"/>
    <s v="MS210"/>
    <s v="OD23T5838"/>
    <n v="10"/>
    <n v="109.01"/>
    <n v="1090.0999999999999"/>
    <x v="0"/>
    <x v="3"/>
  </r>
  <r>
    <d v="2026-06-18T00:00:00"/>
    <s v="MS211"/>
    <s v="OD23U6552"/>
    <n v="10"/>
    <n v="109.01"/>
    <n v="1090.0999999999999"/>
    <x v="0"/>
    <x v="3"/>
  </r>
  <r>
    <d v="2026-06-18T00:00:00"/>
    <s v="MS212"/>
    <s v="OD23M9485"/>
    <n v="30"/>
    <n v="109.01"/>
    <n v="3270.3"/>
    <x v="1"/>
    <x v="3"/>
  </r>
  <r>
    <d v="2026-06-18T00:00:00"/>
    <s v="MS213"/>
    <s v="OD23D8657"/>
    <n v="6.83"/>
    <n v="109.01"/>
    <n v="744.53"/>
    <x v="1"/>
    <x v="3"/>
  </r>
  <r>
    <d v="2026-06-18T00:00:00"/>
    <s v="MS214"/>
    <s v="OD23E7267"/>
    <n v="11.01"/>
    <n v="109.01"/>
    <n v="1200.2"/>
    <x v="1"/>
    <x v="3"/>
  </r>
  <r>
    <d v="2026-06-18T00:00:00"/>
    <s v="MS215"/>
    <s v="OD23P0325"/>
    <n v="30"/>
    <n v="109.01"/>
    <n v="3270.3"/>
    <x v="1"/>
    <x v="3"/>
  </r>
  <r>
    <d v="2026-06-19T00:00:00"/>
    <s v="MS216"/>
    <s v="OD15Y4061"/>
    <n v="9.17"/>
    <n v="109.01"/>
    <n v="1000"/>
    <x v="11"/>
    <x v="3"/>
  </r>
  <r>
    <d v="2026-06-19T00:00:00"/>
    <s v="MS217"/>
    <s v="OD23T5838"/>
    <n v="10"/>
    <n v="109.01"/>
    <n v="1090.0999999999999"/>
    <x v="0"/>
    <x v="3"/>
  </r>
  <r>
    <d v="2026-06-19T00:00:00"/>
    <s v="MS218"/>
    <s v="OD23K4545"/>
    <n v="4.3"/>
    <n v="109.01"/>
    <n v="468.74"/>
    <x v="5"/>
    <x v="3"/>
  </r>
  <r>
    <d v="2026-06-19T00:00:00"/>
    <s v="MS219"/>
    <s v="OR15K6024"/>
    <n v="2.75"/>
    <n v="109.01"/>
    <n v="300"/>
    <x v="7"/>
    <x v="3"/>
  </r>
  <r>
    <d v="2026-06-21T00:00:00"/>
    <s v="MS220"/>
    <s v="OD23M4545"/>
    <n v="20"/>
    <n v="109.01"/>
    <n v="2180.1999999999998"/>
    <x v="5"/>
    <x v="3"/>
  </r>
  <r>
    <d v="2026-06-22T00:00:00"/>
    <s v="MS221"/>
    <s v="OR15K6024"/>
    <n v="2.75"/>
    <n v="109.01"/>
    <n v="300"/>
    <x v="7"/>
    <x v="3"/>
  </r>
  <r>
    <d v="2026-06-22T00:00:00"/>
    <s v="MS222"/>
    <s v="OD23P0325"/>
    <n v="36.78"/>
    <n v="109.01"/>
    <n v="4009.38"/>
    <x v="1"/>
    <x v="3"/>
  </r>
  <r>
    <d v="2026-06-23T00:00:00"/>
    <s v="MS223"/>
    <s v="OD05AP4113"/>
    <n v="50"/>
    <n v="109.01"/>
    <n v="5450.5"/>
    <x v="10"/>
    <x v="3"/>
  </r>
  <r>
    <d v="2026-06-23T00:00:00"/>
    <s v="MS224"/>
    <s v="OD05BY1039"/>
    <n v="50"/>
    <n v="109.01"/>
    <n v="5450.5"/>
    <x v="10"/>
    <x v="3"/>
  </r>
  <r>
    <d v="2026-06-23T00:00:00"/>
    <s v="MS225"/>
    <s v="OD14AD5280"/>
    <n v="10"/>
    <n v="109.01"/>
    <n v="1090.0999999999999"/>
    <x v="13"/>
    <x v="3"/>
  </r>
  <r>
    <d v="2026-06-24T00:00:00"/>
    <s v="MS226"/>
    <s v="AP03BE9123"/>
    <n v="10"/>
    <n v="109.01"/>
    <n v="1090.0999999999999"/>
    <x v="3"/>
    <x v="3"/>
  </r>
  <r>
    <d v="2026-06-24T00:00:00"/>
    <s v="MS227"/>
    <s v="JH15AK1307"/>
    <n v="20"/>
    <n v="109.01"/>
    <n v="2180.1999999999998"/>
    <x v="3"/>
    <x v="3"/>
  </r>
  <r>
    <d v="2026-06-24T00:00:00"/>
    <s v="MS228"/>
    <s v="OD15Y4061"/>
    <n v="2.75"/>
    <n v="109.01"/>
    <n v="300"/>
    <x v="11"/>
    <x v="3"/>
  </r>
  <r>
    <d v="2026-06-25T00:00:00"/>
    <s v="MS229"/>
    <s v="AP03BE9123"/>
    <n v="10"/>
    <n v="109.01"/>
    <n v="1090.0999999999999"/>
    <x v="3"/>
    <x v="3"/>
  </r>
  <r>
    <d v="2026-06-25T00:00:00"/>
    <s v="MS230"/>
    <s v="OD15Y4061"/>
    <n v="9.17"/>
    <n v="109.01"/>
    <n v="1000"/>
    <x v="11"/>
    <x v="3"/>
  </r>
  <r>
    <d v="2026-06-26T00:00:00"/>
    <s v="MS231"/>
    <s v="JH09AW8179"/>
    <n v="8"/>
    <n v="109.01"/>
    <n v="872.08"/>
    <x v="4"/>
    <x v="3"/>
  </r>
  <r>
    <d v="2026-06-26T00:00:00"/>
    <s v="MS232"/>
    <s v="OD23M9485"/>
    <n v="34.75"/>
    <n v="109.01"/>
    <n v="3788.09"/>
    <x v="1"/>
    <x v="3"/>
  </r>
  <r>
    <d v="2026-06-27T00:00:00"/>
    <s v="MS233"/>
    <s v="AP03BE9123"/>
    <n v="10"/>
    <n v="109.01"/>
    <n v="1090.0999999999999"/>
    <x v="3"/>
    <x v="3"/>
  </r>
  <r>
    <d v="2026-06-28T00:00:00"/>
    <s v="MS234"/>
    <s v="OR15K6024"/>
    <n v="2.75"/>
    <n v="109.01"/>
    <n v="300"/>
    <x v="7"/>
    <x v="3"/>
  </r>
  <r>
    <d v="2026-06-29T00:00:00"/>
    <s v="MS235"/>
    <s v="JH15AK1307"/>
    <n v="20"/>
    <n v="109.01"/>
    <n v="2180.1999999999998"/>
    <x v="3"/>
    <x v="3"/>
  </r>
  <r>
    <d v="2026-06-29T00:00:00"/>
    <s v="MS236"/>
    <s v="OD23K4545"/>
    <n v="4.13"/>
    <n v="109.01"/>
    <n v="450.21"/>
    <x v="5"/>
    <x v="3"/>
  </r>
  <r>
    <d v="2026-06-30T00:00:00"/>
    <s v="MS237"/>
    <s v="JAR 500 x 8"/>
    <n v="36.700000000000003"/>
    <n v="109.01"/>
    <n v="4000"/>
    <x v="5"/>
    <x v="3"/>
  </r>
  <r>
    <d v="2026-07-01T00:00:00"/>
    <s v="MS238"/>
    <s v="OR15K6024"/>
    <n v="2.75"/>
    <n v="109.01"/>
    <n v="300"/>
    <x v="7"/>
    <x v="4"/>
  </r>
  <r>
    <d v="2026-07-01T00:00:00"/>
    <s v="MS239"/>
    <s v="OD23P0325"/>
    <n v="38.15"/>
    <n v="109.01"/>
    <n v="4158.7299999999996"/>
    <x v="1"/>
    <x v="4"/>
  </r>
  <r>
    <d v="2026-07-01T00:00:00"/>
    <s v="MS240"/>
    <s v="OD23N1010"/>
    <n v="30"/>
    <n v="109.01"/>
    <n v="3270.3"/>
    <x v="8"/>
    <x v="4"/>
  </r>
  <r>
    <d v="2026-07-01T00:00:00"/>
    <s v="MS241"/>
    <s v="OD15Y4061"/>
    <n v="9.18"/>
    <n v="109.01"/>
    <n v="1000"/>
    <x v="11"/>
    <x v="4"/>
  </r>
  <r>
    <d v="2026-07-01T00:00:00"/>
    <s v="MS242"/>
    <s v=""/>
    <n v="39.9"/>
    <n v="109.01"/>
    <n v="4350"/>
    <x v="16"/>
    <x v="4"/>
  </r>
  <r>
    <d v="2026-07-02T00:00:00"/>
    <s v="MS243"/>
    <s v=""/>
    <n v="38.68"/>
    <n v="109.01"/>
    <n v="4216"/>
    <x v="16"/>
    <x v="4"/>
  </r>
  <r>
    <d v="2026-07-02T00:00:00"/>
    <s v="MS244"/>
    <s v="OD05BT4545"/>
    <n v="30"/>
    <n v="109.01"/>
    <n v="3270.3"/>
    <x v="5"/>
    <x v="4"/>
  </r>
  <r>
    <d v="2026-07-02T00:00:00"/>
    <s v="MS245"/>
    <s v="OD23M9485"/>
    <n v="35.68"/>
    <n v="109.01"/>
    <n v="3889.47"/>
    <x v="1"/>
    <x v="4"/>
  </r>
  <r>
    <d v="2026-07-03T00:00:00"/>
    <s v="MS246"/>
    <s v="JH15AK1307"/>
    <n v="36.43"/>
    <n v="109.01"/>
    <n v="3971.23"/>
    <x v="3"/>
    <x v="4"/>
  </r>
  <r>
    <d v="2026-07-03T00:00:00"/>
    <s v="MS247"/>
    <m/>
    <n v="56.33"/>
    <n v="109.01"/>
    <n v="6140.26"/>
    <x v="16"/>
    <x v="4"/>
  </r>
  <r>
    <d v="2026-07-04T00:00:00"/>
    <s v="MS248"/>
    <s v=""/>
    <n v="65.27"/>
    <n v="109.01"/>
    <n v="7115.05"/>
    <x v="16"/>
    <x v="4"/>
  </r>
  <r>
    <d v="2026-07-04T00:00:00"/>
    <s v="MS249"/>
    <s v="OR15K6024"/>
    <n v="2.75"/>
    <n v="109.01"/>
    <n v="300"/>
    <x v="7"/>
    <x v="4"/>
  </r>
  <r>
    <d v="2026-07-04T00:00:00"/>
    <s v="MS250"/>
    <s v=""/>
    <n v="353.31"/>
    <n v="109.01"/>
    <n v="38515"/>
    <x v="17"/>
    <x v="4"/>
  </r>
  <r>
    <d v="2026-07-04T00:00:00"/>
    <s v="MS251"/>
    <s v=""/>
    <n v="2.02"/>
    <n v="109.01"/>
    <n v="220"/>
    <x v="17"/>
    <x v="4"/>
  </r>
  <r>
    <d v="2026-07-04T00:00:00"/>
    <s v="MS252"/>
    <s v=""/>
    <n v="155.71"/>
    <n v="109.01"/>
    <n v="16974"/>
    <x v="17"/>
    <x v="4"/>
  </r>
  <r>
    <d v="2026-07-05T00:00:00"/>
    <s v="MS253"/>
    <s v=""/>
    <n v="325.05"/>
    <n v="109.01"/>
    <n v="35434"/>
    <x v="17"/>
    <x v="4"/>
  </r>
  <r>
    <d v="2026-07-05T00:00:00"/>
    <s v="MS254"/>
    <s v=""/>
    <n v="1.01"/>
    <n v="109.01"/>
    <n v="110"/>
    <x v="17"/>
    <x v="4"/>
  </r>
  <r>
    <d v="2026-07-05T00:00:00"/>
    <s v="MS255"/>
    <s v=""/>
    <n v="96.47"/>
    <n v="109.01"/>
    <n v="10515.82"/>
    <x v="16"/>
    <x v="4"/>
  </r>
  <r>
    <d v="2026-07-05T00:00:00"/>
    <s v="MS256"/>
    <s v="OD23M4545"/>
    <n v="5"/>
    <n v="109.01"/>
    <n v="545.04999999999995"/>
    <x v="5"/>
    <x v="4"/>
  </r>
  <r>
    <d v="2026-07-06T00:00:00"/>
    <s v="MS257"/>
    <m/>
    <n v="21.1"/>
    <n v="109.01"/>
    <n v="2300"/>
    <x v="16"/>
    <x v="4"/>
  </r>
  <r>
    <d v="2026-07-06T00:00:00"/>
    <s v="MS258"/>
    <m/>
    <n v="362.86"/>
    <n v="109.01"/>
    <n v="39555.25"/>
    <x v="17"/>
    <x v="4"/>
  </r>
  <r>
    <d v="2026-07-06T00:00:00"/>
    <s v="MS259"/>
    <m/>
    <n v="3.21"/>
    <n v="109.01"/>
    <n v="350"/>
    <x v="17"/>
    <x v="4"/>
  </r>
  <r>
    <d v="2026-07-06T00:00:00"/>
    <s v="MS260"/>
    <s v="OD23M4545"/>
    <n v="7"/>
    <n v="109.01"/>
    <n v="763.07"/>
    <x v="5"/>
    <x v="4"/>
  </r>
  <r>
    <d v="2026-07-07T00:00:00"/>
    <s v="MS261"/>
    <s v="OD23K4545"/>
    <n v="4.29"/>
    <n v="109.01"/>
    <n v="467.65"/>
    <x v="5"/>
    <x v="4"/>
  </r>
  <r>
    <d v="2026-07-07T00:00:00"/>
    <s v="MS262"/>
    <s v="OR15K6024"/>
    <n v="2.76"/>
    <n v="109.01"/>
    <n v="300"/>
    <x v="7"/>
    <x v="4"/>
  </r>
  <r>
    <d v="2026-07-07T00:00:00"/>
    <s v="MS263"/>
    <m/>
    <n v="150.32"/>
    <n v="109.01"/>
    <n v="16385.89"/>
    <x v="16"/>
    <x v="4"/>
  </r>
  <r>
    <d v="2026-07-07T00:00:00"/>
    <s v="MS264"/>
    <m/>
    <n v="493.3"/>
    <n v="109.01"/>
    <n v="53775.040000000001"/>
    <x v="17"/>
    <x v="4"/>
  </r>
  <r>
    <d v="2026-07-07T00:00:00"/>
    <s v="MS265"/>
    <m/>
    <n v="5.69"/>
    <n v="109.01"/>
    <n v="620"/>
    <x v="17"/>
    <x v="4"/>
  </r>
  <r>
    <d v="2026-07-08T00:00:00"/>
    <s v="MS266"/>
    <s v="OD23H1350"/>
    <n v="5"/>
    <n v="109.01"/>
    <n v="545.04999999999995"/>
    <x v="18"/>
    <x v="4"/>
  </r>
  <r>
    <d v="2026-07-08T00:00:00"/>
    <s v="MS267"/>
    <s v="OR15K6024"/>
    <n v="0.92"/>
    <n v="109.01"/>
    <n v="100"/>
    <x v="7"/>
    <x v="4"/>
  </r>
  <r>
    <d v="2026-07-08T00:00:00"/>
    <s v="MS268"/>
    <s v="OR15Q6155"/>
    <n v="6.42"/>
    <n v="109.01"/>
    <n v="700"/>
    <x v="11"/>
    <x v="4"/>
  </r>
  <r>
    <d v="2026-07-08T00:00:00"/>
    <s v="MS269"/>
    <s v="OD23P0325"/>
    <n v="40.19"/>
    <n v="109.01"/>
    <n v="4381.1099999999997"/>
    <x v="1"/>
    <x v="4"/>
  </r>
  <r>
    <d v="2026-07-08T00:00:00"/>
    <s v="MS270"/>
    <m/>
    <n v="42.57"/>
    <n v="109.01"/>
    <n v="4640.2"/>
    <x v="16"/>
    <x v="4"/>
  </r>
  <r>
    <d v="2026-07-08T00:00:00"/>
    <s v="MS271"/>
    <m/>
    <n v="413.85"/>
    <n v="109.01"/>
    <n v="45114"/>
    <x v="17"/>
    <x v="4"/>
  </r>
  <r>
    <d v="2026-07-08T00:00:00"/>
    <s v="MS272"/>
    <m/>
    <n v="36.79"/>
    <n v="109.01"/>
    <n v="4010"/>
    <x v="17"/>
    <x v="4"/>
  </r>
  <r>
    <d v="2026-07-09T00:00:00"/>
    <s v="MS273"/>
    <s v=""/>
    <n v="366.79"/>
    <n v="109.01"/>
    <n v="39984.28"/>
    <x v="17"/>
    <x v="4"/>
  </r>
  <r>
    <d v="2026-07-09T00:00:00"/>
    <s v="MS274"/>
    <s v=""/>
    <n v="34.380000000000003"/>
    <n v="109.01"/>
    <n v="3747"/>
    <x v="17"/>
    <x v="4"/>
  </r>
  <r>
    <d v="2026-07-09T00:00:00"/>
    <s v="MS275"/>
    <s v=""/>
    <n v="43.19"/>
    <n v="109.01"/>
    <n v="4708"/>
    <x v="16"/>
    <x v="4"/>
  </r>
  <r>
    <d v="2026-07-09T00:00:00"/>
    <s v="MS276"/>
    <s v="OR15K6024"/>
    <n v="0.92"/>
    <n v="109.01"/>
    <n v="100"/>
    <x v="7"/>
    <x v="4"/>
  </r>
  <r>
    <d v="2026-07-09T00:00:00"/>
    <s v="MS277"/>
    <s v="OD15Y4061"/>
    <n v="9.18"/>
    <n v="109.01"/>
    <n v="1000"/>
    <x v="11"/>
    <x v="4"/>
  </r>
  <r>
    <d v="2026-07-09T00:00:00"/>
    <s v="MS278"/>
    <s v="OD23N1010"/>
    <n v="54"/>
    <n v="109.01"/>
    <n v="5886.54"/>
    <x v="8"/>
    <x v="4"/>
  </r>
  <r>
    <d v="2026-07-10T00:00:00"/>
    <s v="MS279"/>
    <s v="OR15K6024"/>
    <n v="2.75"/>
    <n v="109.01"/>
    <n v="300"/>
    <x v="7"/>
    <x v="4"/>
  </r>
  <r>
    <d v="2026-07-10T00:00:00"/>
    <s v="MS280"/>
    <s v="JH09AW8179"/>
    <n v="7"/>
    <n v="109.01"/>
    <n v="763.07"/>
    <x v="4"/>
    <x v="4"/>
  </r>
  <r>
    <d v="2026-07-10T00:00:00"/>
    <s v="MS281"/>
    <m/>
    <n v="56.66"/>
    <n v="109.01"/>
    <n v="6177.05"/>
    <x v="16"/>
    <x v="4"/>
  </r>
  <r>
    <d v="2026-07-10T00:00:00"/>
    <s v="MS282"/>
    <m/>
    <n v="409.45"/>
    <n v="109.01"/>
    <n v="44634.05"/>
    <x v="17"/>
    <x v="4"/>
  </r>
  <r>
    <d v="2026-07-10T00:00:00"/>
    <s v="MS283"/>
    <m/>
    <n v="29.82"/>
    <n v="109.01"/>
    <n v="3250"/>
    <x v="17"/>
    <x v="4"/>
  </r>
  <r>
    <d v="2026-07-11T00:00:00"/>
    <s v="MS284"/>
    <s v=""/>
    <n v="64.27"/>
    <n v="109.01"/>
    <n v="7006.1"/>
    <x v="16"/>
    <x v="4"/>
  </r>
  <r>
    <d v="2026-07-11T00:00:00"/>
    <s v="MS285"/>
    <s v=""/>
    <n v="439.19"/>
    <n v="109.01"/>
    <n v="47875.9"/>
    <x v="17"/>
    <x v="4"/>
  </r>
  <r>
    <d v="2026-07-11T00:00:00"/>
    <s v="MS286"/>
    <m/>
    <n v="66.97"/>
    <n v="109.01"/>
    <n v="7300"/>
    <x v="17"/>
    <x v="4"/>
  </r>
  <r>
    <d v="2026-07-12T00:00:00"/>
    <s v="MS287"/>
    <m/>
    <n v="451.44"/>
    <n v="109.01"/>
    <n v="49211.31"/>
    <x v="17"/>
    <x v="4"/>
  </r>
  <r>
    <d v="2026-07-12T00:00:00"/>
    <s v="MS288"/>
    <m/>
    <n v="5.87"/>
    <n v="109.01"/>
    <n v="640"/>
    <x v="17"/>
    <x v="4"/>
  </r>
  <r>
    <d v="2026-07-12T00:00:00"/>
    <s v="MS289"/>
    <m/>
    <n v="88.62"/>
    <n v="109.01"/>
    <n v="9660"/>
    <x v="16"/>
    <x v="4"/>
  </r>
  <r>
    <d v="2026-07-12T00:00:00"/>
    <s v="MS290"/>
    <s v="OR15K6024"/>
    <n v="2.75"/>
    <n v="109.01"/>
    <n v="300"/>
    <x v="7"/>
    <x v="4"/>
  </r>
  <r>
    <d v="2026-07-12T00:00:00"/>
    <s v="MS291"/>
    <s v="OD23 2995"/>
    <n v="10"/>
    <n v="109.01"/>
    <n v="1090.0999999999999"/>
    <x v="19"/>
    <x v="4"/>
  </r>
  <r>
    <d v="2026-07-13T00:00:00"/>
    <s v="MS292"/>
    <m/>
    <n v="32.67"/>
    <n v="109.01"/>
    <n v="3561.2"/>
    <x v="16"/>
    <x v="4"/>
  </r>
  <r>
    <d v="2026-07-13T00:00:00"/>
    <s v="MS293"/>
    <s v="OR15K6024"/>
    <n v="2.75"/>
    <n v="109.01"/>
    <n v="300"/>
    <x v="7"/>
    <x v="4"/>
  </r>
  <r>
    <d v="2026-07-13T00:00:00"/>
    <s v="MS294"/>
    <s v="OD23M9485"/>
    <n v="32.82"/>
    <n v="109.01"/>
    <n v="3577.7"/>
    <x v="1"/>
    <x v="4"/>
  </r>
  <r>
    <d v="2026-07-13T00:00:00"/>
    <s v="MS295"/>
    <m/>
    <n v="726.5"/>
    <n v="109.01"/>
    <n v="79195.53"/>
    <x v="17"/>
    <x v="4"/>
  </r>
  <r>
    <d v="2026-07-14T00:00:00"/>
    <s v="MS296"/>
    <m/>
    <n v="291.82"/>
    <n v="109.01"/>
    <n v="31811.02"/>
    <x v="17"/>
    <x v="4"/>
  </r>
  <r>
    <d v="2026-07-14T00:00:00"/>
    <s v="MS297"/>
    <m/>
    <n v="9.18"/>
    <n v="109.01"/>
    <n v="1000"/>
    <x v="17"/>
    <x v="4"/>
  </r>
  <r>
    <d v="2026-07-14T00:00:00"/>
    <s v="MS298"/>
    <m/>
    <n v="142.96"/>
    <n v="109.01"/>
    <n v="15584.26"/>
    <x v="16"/>
    <x v="4"/>
  </r>
  <r>
    <d v="2026-07-14T00:00:00"/>
    <s v="MS299"/>
    <s v="OD15Y4061"/>
    <n v="9.18"/>
    <n v="109.01"/>
    <n v="1000"/>
    <x v="11"/>
    <x v="4"/>
  </r>
  <r>
    <d v="2026-07-14T00:00:00"/>
    <s v="MS300"/>
    <s v="OD23 2995"/>
    <n v="10"/>
    <n v="109.01"/>
    <n v="1090.0999999999999"/>
    <x v="19"/>
    <x v="4"/>
  </r>
  <r>
    <d v="2026-07-14T00:00:00"/>
    <s v="MS301"/>
    <s v="OD23P0325"/>
    <n v="34.18"/>
    <n v="109.01"/>
    <n v="3725.96"/>
    <x v="1"/>
    <x v="4"/>
  </r>
  <r>
    <d v="2026-07-14T00:00:00"/>
    <s v="MS302"/>
    <s v="OD23T1010"/>
    <n v="44.09"/>
    <n v="109.01"/>
    <n v="4806.25"/>
    <x v="8"/>
    <x v="4"/>
  </r>
  <r>
    <d v="2026-07-15T00:00:00"/>
    <s v="MS303"/>
    <s v="OD23K4545"/>
    <n v="4.28"/>
    <n v="109.01"/>
    <n v="466.56"/>
    <x v="5"/>
    <x v="4"/>
  </r>
  <r>
    <d v="2026-07-15T00:00:00"/>
    <s v="MS304"/>
    <m/>
    <n v="31.48"/>
    <n v="109.01"/>
    <n v="3431.2"/>
    <x v="16"/>
    <x v="4"/>
  </r>
  <r>
    <d v="2026-07-15T00:00:00"/>
    <s v="MS305"/>
    <m/>
    <n v="366.65"/>
    <n v="109.01"/>
    <n v="39968.550000000003"/>
    <x v="17"/>
    <x v="4"/>
  </r>
  <r>
    <d v="2026-07-16T00:00:00"/>
    <s v="MS306"/>
    <s v=""/>
    <n v="397.37"/>
    <n v="109.01"/>
    <n v="43317.05"/>
    <x v="17"/>
    <x v="4"/>
  </r>
  <r>
    <d v="2026-07-16T00:00:00"/>
    <s v="MS307"/>
    <s v=""/>
    <n v="72.39"/>
    <n v="109.01"/>
    <n v="7890.77"/>
    <x v="16"/>
    <x v="4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5"/>
  </r>
  <r>
    <m/>
    <m/>
    <m/>
    <m/>
    <m/>
    <m/>
    <x v="2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9">
  <r>
    <x v="0"/>
    <s v="XG1"/>
    <s v="OD15D7494"/>
    <n v="1000"/>
    <n v="103.46"/>
    <n v="103460"/>
    <x v="0"/>
  </r>
  <r>
    <x v="1"/>
    <s v="XG2"/>
    <s v="OD15AF5510"/>
    <n v="2500"/>
    <n v="106.34"/>
    <n v="265850"/>
    <x v="0"/>
  </r>
  <r>
    <x v="2"/>
    <s v="XG3"/>
    <s v="JH13J1926"/>
    <n v="20"/>
    <n v="106.34"/>
    <n v="2126.8000000000002"/>
    <x v="1"/>
  </r>
  <r>
    <x v="2"/>
    <s v="XG4"/>
    <s v="OD23L3195"/>
    <n v="40"/>
    <n v="106.34"/>
    <n v="4253.6000000000004"/>
    <x v="1"/>
  </r>
  <r>
    <x v="3"/>
    <s v="XG5"/>
    <m/>
    <n v="37.619999999999997"/>
    <n v="106.34"/>
    <n v="4000"/>
    <x v="2"/>
  </r>
  <r>
    <x v="4"/>
    <s v="XG6"/>
    <m/>
    <n v="18.809999999999999"/>
    <n v="106.34"/>
    <n v="2000"/>
    <x v="2"/>
  </r>
  <r>
    <x v="5"/>
    <s v="XG7"/>
    <m/>
    <n v="2.82"/>
    <n v="106.34"/>
    <n v="300"/>
    <x v="2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6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  <r>
    <x v="7"/>
    <m/>
    <m/>
    <m/>
    <m/>
    <m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00">
  <r>
    <x v="0"/>
    <s v="1"/>
    <s v="OR15R9360"/>
    <n v="18000"/>
    <x v="0"/>
    <n v="1641600"/>
    <x v="0"/>
  </r>
  <r>
    <x v="0"/>
    <s v="2"/>
    <s v="OR15R5510"/>
    <n v="12000"/>
    <x v="1"/>
    <n v="1096320"/>
    <x v="1"/>
  </r>
  <r>
    <x v="0"/>
    <s v="3"/>
    <s v="OD23A8210"/>
    <n v="53"/>
    <x v="2"/>
    <n v="4915.22"/>
    <x v="2"/>
  </r>
  <r>
    <x v="0"/>
    <s v="4"/>
    <s v="OR15R1110"/>
    <n v="296"/>
    <x v="2"/>
    <n v="27451.040000000001"/>
    <x v="3"/>
  </r>
  <r>
    <x v="0"/>
    <s v="5"/>
    <s v="OD15H8328"/>
    <n v="8"/>
    <x v="2"/>
    <n v="741.92"/>
    <x v="4"/>
  </r>
  <r>
    <x v="0"/>
    <s v="6"/>
    <s v="OD15AA4091"/>
    <n v="35"/>
    <x v="2"/>
    <n v="3245.9"/>
    <x v="5"/>
  </r>
  <r>
    <x v="0"/>
    <s v="7"/>
    <s v="OD15AA4091"/>
    <n v="43"/>
    <x v="2"/>
    <n v="3987.82"/>
    <x v="5"/>
  </r>
  <r>
    <x v="0"/>
    <s v="8"/>
    <s v="JH01FS6302"/>
    <n v="37.31"/>
    <x v="2"/>
    <n v="3460.12"/>
    <x v="5"/>
  </r>
  <r>
    <x v="0"/>
    <s v="9"/>
    <s v="UP44BT0924"/>
    <n v="342.47"/>
    <x v="2"/>
    <n v="31760.66"/>
    <x v="6"/>
  </r>
  <r>
    <x v="0"/>
    <s v="10"/>
    <s v="OD15S8824"/>
    <n v="269.57"/>
    <x v="2"/>
    <n v="25000"/>
    <x v="6"/>
  </r>
  <r>
    <x v="0"/>
    <s v="11"/>
    <s v="UP84BT2840"/>
    <n v="150.96"/>
    <x v="2"/>
    <n v="14000.03"/>
    <x v="6"/>
  </r>
  <r>
    <x v="0"/>
    <s v="12"/>
    <s v="NL01AB9355"/>
    <n v="253.51"/>
    <x v="2"/>
    <n v="23510.51"/>
    <x v="6"/>
  </r>
  <r>
    <x v="0"/>
    <s v="13"/>
    <s v=""/>
    <n v="226.44"/>
    <x v="2"/>
    <n v="21000"/>
    <x v="7"/>
  </r>
  <r>
    <x v="0"/>
    <s v="14"/>
    <s v=""/>
    <n v="2633.17"/>
    <x v="2"/>
    <n v="244200"/>
    <x v="8"/>
  </r>
  <r>
    <x v="0"/>
    <s v="15"/>
    <s v=""/>
    <n v="1221.17"/>
    <x v="2"/>
    <n v="113251.19"/>
    <x v="9"/>
  </r>
  <r>
    <x v="0"/>
    <s v="16"/>
    <s v="OD15AF5510"/>
    <n v="3999.7"/>
    <x v="2"/>
    <n v="370932.18"/>
    <x v="10"/>
  </r>
  <r>
    <x v="1"/>
    <s v="17"/>
    <s v="OR15R5510"/>
    <n v="12000"/>
    <x v="0"/>
    <n v="1094400"/>
    <x v="0"/>
  </r>
  <r>
    <x v="1"/>
    <s v="18"/>
    <s v="UP78HN0524"/>
    <n v="160"/>
    <x v="2"/>
    <n v="14838.4"/>
    <x v="11"/>
  </r>
  <r>
    <x v="1"/>
    <s v="19"/>
    <s v="UP78HN0524"/>
    <n v="200"/>
    <x v="2"/>
    <n v="18548"/>
    <x v="11"/>
  </r>
  <r>
    <x v="1"/>
    <s v="20"/>
    <s v="UP78HN0524"/>
    <n v="21.57"/>
    <x v="2"/>
    <n v="2000"/>
    <x v="11"/>
  </r>
  <r>
    <x v="1"/>
    <s v="21"/>
    <s v="OR15R1110"/>
    <n v="12000"/>
    <x v="1"/>
    <n v="1096320"/>
    <x v="1"/>
  </r>
  <r>
    <x v="1"/>
    <s v="22"/>
    <s v="OD23D9353"/>
    <n v="800"/>
    <x v="2"/>
    <n v="74192"/>
    <x v="12"/>
  </r>
  <r>
    <x v="1"/>
    <s v="23"/>
    <s v="OD23U4012"/>
    <n v="130"/>
    <x v="2"/>
    <n v="12056.2"/>
    <x v="13"/>
  </r>
  <r>
    <x v="1"/>
    <s v="24"/>
    <s v="OD15AA4091"/>
    <n v="42.27"/>
    <x v="2"/>
    <n v="3920.11"/>
    <x v="5"/>
  </r>
  <r>
    <x v="1"/>
    <s v="25"/>
    <s v="WB25J8964"/>
    <n v="226.44"/>
    <x v="2"/>
    <n v="21000.04"/>
    <x v="6"/>
  </r>
  <r>
    <x v="1"/>
    <s v="26"/>
    <s v="OD15AF5510"/>
    <n v="3000"/>
    <x v="2"/>
    <n v="278220"/>
    <x v="10"/>
  </r>
  <r>
    <x v="1"/>
    <s v="27"/>
    <s v="OD23R7380"/>
    <n v="80"/>
    <x v="2"/>
    <n v="7419.2"/>
    <x v="14"/>
  </r>
  <r>
    <x v="1"/>
    <s v="28"/>
    <s v="OD23R7321"/>
    <n v="80"/>
    <x v="2"/>
    <n v="7419.2"/>
    <x v="14"/>
  </r>
  <r>
    <x v="1"/>
    <s v="29"/>
    <s v="OD23R7385"/>
    <n v="80"/>
    <x v="2"/>
    <n v="7419.2"/>
    <x v="14"/>
  </r>
  <r>
    <x v="1"/>
    <s v="30"/>
    <s v="OD23R3330"/>
    <n v="60"/>
    <x v="2"/>
    <n v="5564.4"/>
    <x v="14"/>
  </r>
  <r>
    <x v="1"/>
    <s v="31"/>
    <s v="OD23N4961"/>
    <n v="60"/>
    <x v="2"/>
    <n v="5564.4"/>
    <x v="14"/>
  </r>
  <r>
    <x v="1"/>
    <s v="32"/>
    <s v="OD15AF5510"/>
    <n v="494.6"/>
    <x v="2"/>
    <n v="45869.2"/>
    <x v="15"/>
  </r>
  <r>
    <x v="1"/>
    <s v="33"/>
    <s v="OD15AF5510"/>
    <n v="1500.01"/>
    <x v="2"/>
    <n v="139110.93"/>
    <x v="16"/>
  </r>
  <r>
    <x v="1"/>
    <s v="34"/>
    <m/>
    <n v="441.33"/>
    <x v="2"/>
    <n v="40928.800000000003"/>
    <x v="9"/>
  </r>
  <r>
    <x v="1"/>
    <s v="35"/>
    <m/>
    <n v="4414.49"/>
    <x v="2"/>
    <n v="409400"/>
    <x v="8"/>
  </r>
  <r>
    <x v="1"/>
    <s v="36"/>
    <m/>
    <n v="226.44"/>
    <x v="2"/>
    <n v="21000"/>
    <x v="7"/>
  </r>
  <r>
    <x v="2"/>
    <s v="37"/>
    <s v="OD23N4311"/>
    <n v="1200"/>
    <x v="2"/>
    <n v="111288"/>
    <x v="17"/>
  </r>
  <r>
    <x v="2"/>
    <s v="38"/>
    <s v="OR15R9360"/>
    <n v="18000"/>
    <x v="1"/>
    <n v="1644480"/>
    <x v="1"/>
  </r>
  <r>
    <x v="2"/>
    <s v="39"/>
    <s v="TN52Q8696"/>
    <n v="306.2"/>
    <x v="2"/>
    <n v="28396.98"/>
    <x v="18"/>
  </r>
  <r>
    <x v="2"/>
    <s v="40"/>
    <s v="OD23D0009"/>
    <n v="55.48"/>
    <x v="2"/>
    <n v="5145.21"/>
    <x v="19"/>
  </r>
  <r>
    <x v="2"/>
    <s v="41"/>
    <s v="OD23N4041"/>
    <n v="80"/>
    <x v="2"/>
    <n v="7419.2"/>
    <x v="14"/>
  </r>
  <r>
    <x v="2"/>
    <s v="42"/>
    <s v="OD15Z0036"/>
    <n v="19.14"/>
    <x v="2"/>
    <n v="1775"/>
    <x v="14"/>
  </r>
  <r>
    <x v="2"/>
    <s v="43"/>
    <s v="OD05AN7688"/>
    <n v="500"/>
    <x v="2"/>
    <n v="46370"/>
    <x v="10"/>
  </r>
  <r>
    <x v="2"/>
    <s v="44"/>
    <s v="OD33Y3567"/>
    <n v="35"/>
    <x v="2"/>
    <n v="3245.9"/>
    <x v="5"/>
  </r>
  <r>
    <x v="2"/>
    <s v="45"/>
    <s v="OD33Y3567"/>
    <n v="30"/>
    <x v="2"/>
    <n v="2782.2"/>
    <x v="5"/>
  </r>
  <r>
    <x v="2"/>
    <s v="46"/>
    <s v="OD15U5910"/>
    <n v="88"/>
    <x v="2"/>
    <n v="8161.12"/>
    <x v="5"/>
  </r>
  <r>
    <x v="2"/>
    <s v="47"/>
    <s v="OD23N1900"/>
    <n v="67.5"/>
    <x v="2"/>
    <n v="6259.95"/>
    <x v="20"/>
  </r>
  <r>
    <x v="2"/>
    <s v="48"/>
    <s v="OD15P9503"/>
    <n v="38.28"/>
    <x v="2"/>
    <n v="3550.08"/>
    <x v="4"/>
  </r>
  <r>
    <x v="2"/>
    <s v="49"/>
    <s v="WB65B9720"/>
    <n v="313.79000000000002"/>
    <x v="2"/>
    <n v="29100.880000000001"/>
    <x v="6"/>
  </r>
  <r>
    <x v="2"/>
    <s v="50"/>
    <s v="OD23R7314"/>
    <n v="80"/>
    <x v="2"/>
    <n v="7419.2"/>
    <x v="14"/>
  </r>
  <r>
    <x v="2"/>
    <s v="51"/>
    <s v="JH01FS6302"/>
    <n v="46.47"/>
    <x v="2"/>
    <n v="4309.62"/>
    <x v="5"/>
  </r>
  <r>
    <x v="2"/>
    <s v="52"/>
    <s v="OD15AF5510"/>
    <n v="2500.1799999999998"/>
    <x v="2"/>
    <n v="231866.69"/>
    <x v="10"/>
  </r>
  <r>
    <x v="2"/>
    <s v="53"/>
    <m/>
    <n v="32.35"/>
    <x v="2"/>
    <n v="3000"/>
    <x v="9"/>
  </r>
  <r>
    <x v="2"/>
    <s v="54"/>
    <m/>
    <n v="3127.02"/>
    <x v="2"/>
    <n v="290000"/>
    <x v="8"/>
  </r>
  <r>
    <x v="3"/>
    <s v="55"/>
    <s v="OR15R5510"/>
    <n v="12000"/>
    <x v="0"/>
    <n v="1094400"/>
    <x v="0"/>
  </r>
  <r>
    <x v="3"/>
    <s v="56"/>
    <s v="OD05AN7688"/>
    <n v="500"/>
    <x v="2"/>
    <n v="46370"/>
    <x v="10"/>
  </r>
  <r>
    <x v="3"/>
    <s v="57"/>
    <s v="OD15H8328"/>
    <n v="10"/>
    <x v="2"/>
    <n v="927.4"/>
    <x v="4"/>
  </r>
  <r>
    <x v="3"/>
    <s v="58"/>
    <s v="OD23U4012"/>
    <n v="130"/>
    <x v="2"/>
    <n v="12056.2"/>
    <x v="13"/>
  </r>
  <r>
    <x v="3"/>
    <s v="59"/>
    <s v=""/>
    <n v="615.70000000000005"/>
    <x v="2"/>
    <n v="57100"/>
    <x v="21"/>
  </r>
  <r>
    <x v="3"/>
    <s v="60"/>
    <s v=""/>
    <n v="1289.6300000000001"/>
    <x v="2"/>
    <n v="119600"/>
    <x v="8"/>
  </r>
  <r>
    <x v="3"/>
    <s v="61"/>
    <s v="OD15AF5510"/>
    <n v="3000.11"/>
    <x v="2"/>
    <n v="278230.2"/>
    <x v="10"/>
  </r>
  <r>
    <x v="3"/>
    <s v="62"/>
    <s v=""/>
    <n v="253"/>
    <x v="2"/>
    <n v="23463.22"/>
    <x v="22"/>
  </r>
  <r>
    <x v="4"/>
    <s v="63"/>
    <s v="OD15AF5510"/>
    <n v="1500.01"/>
    <x v="2"/>
    <n v="139110.93"/>
    <x v="16"/>
  </r>
  <r>
    <x v="4"/>
    <s v="64"/>
    <s v="OD15AF5510"/>
    <n v="2500.0100000000002"/>
    <x v="2"/>
    <n v="231850.93"/>
    <x v="10"/>
  </r>
  <r>
    <x v="4"/>
    <s v="65"/>
    <s v="WB61B5913"/>
    <n v="235.61"/>
    <x v="2"/>
    <n v="21850.47"/>
    <x v="6"/>
  </r>
  <r>
    <x v="4"/>
    <s v="66"/>
    <s v="WB23F7579"/>
    <n v="210.33"/>
    <x v="2"/>
    <n v="19506"/>
    <x v="6"/>
  </r>
  <r>
    <x v="4"/>
    <s v="67"/>
    <m/>
    <n v="1492.34"/>
    <x v="2"/>
    <n v="138400"/>
    <x v="8"/>
  </r>
  <r>
    <x v="4"/>
    <s v="68"/>
    <m/>
    <n v="210.27"/>
    <x v="2"/>
    <n v="19500"/>
    <x v="21"/>
  </r>
  <r>
    <x v="4"/>
    <s v="69"/>
    <m/>
    <n v="468.27"/>
    <x v="2"/>
    <n v="43427.35"/>
    <x v="7"/>
  </r>
  <r>
    <x v="5"/>
    <s v="70"/>
    <s v="OR15R1110"/>
    <n v="8000"/>
    <x v="1"/>
    <n v="730880"/>
    <x v="1"/>
  </r>
  <r>
    <x v="5"/>
    <s v="71"/>
    <s v="OD23A3710"/>
    <n v="8000"/>
    <x v="0"/>
    <n v="729600"/>
    <x v="0"/>
  </r>
  <r>
    <x v="5"/>
    <s v="72"/>
    <s v="OD05AP4113"/>
    <n v="300"/>
    <x v="2"/>
    <n v="27822"/>
    <x v="23"/>
  </r>
  <r>
    <x v="5"/>
    <s v="73"/>
    <s v="OD15U5910"/>
    <n v="97.81"/>
    <x v="2"/>
    <n v="9070.89"/>
    <x v="5"/>
  </r>
  <r>
    <x v="5"/>
    <s v="74"/>
    <s v="OD23U4012"/>
    <n v="160"/>
    <x v="2"/>
    <n v="14838.4"/>
    <x v="13"/>
  </r>
  <r>
    <x v="5"/>
    <s v="75"/>
    <s v="WB65D9272"/>
    <n v="301.92"/>
    <x v="2"/>
    <n v="28000"/>
    <x v="6"/>
  </r>
  <r>
    <x v="5"/>
    <s v="76"/>
    <s v="WB23D9901"/>
    <n v="297.83"/>
    <x v="2"/>
    <n v="27620.75"/>
    <x v="6"/>
  </r>
  <r>
    <x v="5"/>
    <s v="77"/>
    <s v="OD15AF5510"/>
    <n v="48"/>
    <x v="2"/>
    <n v="4451.5200000000004"/>
    <x v="3"/>
  </r>
  <r>
    <x v="5"/>
    <s v="78"/>
    <s v=""/>
    <n v="1954.93"/>
    <x v="2"/>
    <n v="181300"/>
    <x v="8"/>
  </r>
  <r>
    <x v="5"/>
    <s v="79"/>
    <s v=""/>
    <n v="532.97"/>
    <x v="2"/>
    <n v="49427.4"/>
    <x v="21"/>
  </r>
  <r>
    <x v="5"/>
    <s v="80"/>
    <s v="OD15AF5510"/>
    <n v="3000"/>
    <x v="2"/>
    <n v="278220"/>
    <x v="10"/>
  </r>
  <r>
    <x v="6"/>
    <s v="81"/>
    <s v="OD15AF5510"/>
    <n v="3000"/>
    <x v="1"/>
    <n v="274080"/>
    <x v="24"/>
  </r>
  <r>
    <x v="6"/>
    <s v="82"/>
    <s v="OR15R5510"/>
    <n v="8000"/>
    <x v="0"/>
    <n v="729600"/>
    <x v="0"/>
  </r>
  <r>
    <x v="6"/>
    <s v="83"/>
    <s v="OD23A8210"/>
    <n v="52"/>
    <x v="2"/>
    <n v="4822.4799999999996"/>
    <x v="2"/>
  </r>
  <r>
    <x v="6"/>
    <s v="84"/>
    <s v="OD15AA4091"/>
    <n v="47.67"/>
    <x v="2"/>
    <n v="4420.91"/>
    <x v="5"/>
  </r>
  <r>
    <x v="6"/>
    <s v="85"/>
    <s v="OD05AN7688"/>
    <n v="500"/>
    <x v="2"/>
    <n v="46370"/>
    <x v="10"/>
  </r>
  <r>
    <x v="6"/>
    <s v="86"/>
    <s v="RJ14GJ6869"/>
    <n v="238.31"/>
    <x v="2"/>
    <n v="22100.86"/>
    <x v="25"/>
  </r>
  <r>
    <x v="6"/>
    <s v="87"/>
    <s v="OD23U4012"/>
    <n v="160"/>
    <x v="2"/>
    <n v="14838.4"/>
    <x v="13"/>
  </r>
  <r>
    <x v="6"/>
    <s v="88"/>
    <s v="CG04PY2656"/>
    <n v="107.83"/>
    <x v="2"/>
    <n v="10000"/>
    <x v="6"/>
  </r>
  <r>
    <x v="6"/>
    <s v="89"/>
    <s v="WB23E1221"/>
    <n v="194.09"/>
    <x v="2"/>
    <n v="18000"/>
    <x v="6"/>
  </r>
  <r>
    <x v="6"/>
    <s v="90"/>
    <m/>
    <n v="3268.28"/>
    <x v="2"/>
    <n v="303100"/>
    <x v="8"/>
  </r>
  <r>
    <x v="6"/>
    <s v="91"/>
    <m/>
    <n v="1611.77"/>
    <x v="2"/>
    <n v="149475.4"/>
    <x v="21"/>
  </r>
  <r>
    <x v="7"/>
    <s v="92"/>
    <s v="OD15AF5510"/>
    <n v="3000"/>
    <x v="1"/>
    <n v="274080"/>
    <x v="24"/>
  </r>
  <r>
    <x v="7"/>
    <s v="93"/>
    <s v="OD23L0093"/>
    <n v="4000"/>
    <x v="0"/>
    <n v="364800"/>
    <x v="0"/>
  </r>
  <r>
    <x v="7"/>
    <s v="94"/>
    <s v="AP31EA0197"/>
    <n v="37"/>
    <x v="2"/>
    <n v="3431.38"/>
    <x v="19"/>
  </r>
  <r>
    <x v="7"/>
    <s v="95"/>
    <s v="AP31EA0197"/>
    <n v="60.01"/>
    <x v="2"/>
    <n v="5565.32"/>
    <x v="19"/>
  </r>
  <r>
    <x v="7"/>
    <s v="96"/>
    <s v="OD09Y9525"/>
    <n v="339"/>
    <x v="2"/>
    <n v="31438.86"/>
    <x v="6"/>
  </r>
  <r>
    <x v="7"/>
    <s v="97"/>
    <s v="NL01AC8674"/>
    <n v="350"/>
    <x v="2"/>
    <n v="32459"/>
    <x v="6"/>
  </r>
  <r>
    <x v="7"/>
    <s v="98"/>
    <s v="DG"/>
    <n v="20"/>
    <x v="2"/>
    <n v="1854.8"/>
    <x v="26"/>
  </r>
  <r>
    <x v="7"/>
    <s v="99"/>
    <s v=""/>
    <n v="2034.72"/>
    <x v="2"/>
    <n v="188700"/>
    <x v="8"/>
  </r>
  <r>
    <x v="7"/>
    <s v="100"/>
    <s v="OD15AF5510"/>
    <n v="4000.09"/>
    <x v="2"/>
    <n v="370968.35"/>
    <x v="10"/>
  </r>
  <r>
    <x v="8"/>
    <s v="101"/>
    <s v="OD23L7437"/>
    <n v="4000"/>
    <x v="1"/>
    <n v="365440"/>
    <x v="27"/>
  </r>
  <r>
    <x v="8"/>
    <s v="102"/>
    <s v="OD15AF5510"/>
    <n v="3000"/>
    <x v="1"/>
    <n v="274080"/>
    <x v="24"/>
  </r>
  <r>
    <x v="8"/>
    <s v="103"/>
    <s v="OD23L4439"/>
    <n v="4000"/>
    <x v="0"/>
    <n v="364800"/>
    <x v="0"/>
  </r>
  <r>
    <x v="8"/>
    <s v="104"/>
    <s v="CG04MN1172"/>
    <n v="2000"/>
    <x v="2"/>
    <n v="185480"/>
    <x v="28"/>
  </r>
  <r>
    <x v="8"/>
    <s v="105"/>
    <s v="OD15U5910"/>
    <n v="100"/>
    <x v="2"/>
    <n v="9274"/>
    <x v="5"/>
  </r>
  <r>
    <x v="8"/>
    <s v="106"/>
    <s v="JH01FS6302"/>
    <n v="45.94"/>
    <x v="2"/>
    <n v="4260.47"/>
    <x v="5"/>
  </r>
  <r>
    <x v="8"/>
    <s v="107"/>
    <s v="OD33Y3567"/>
    <n v="45.47"/>
    <x v="2"/>
    <n v="4216.88"/>
    <x v="5"/>
  </r>
  <r>
    <x v="8"/>
    <s v="108"/>
    <s v="OD15AA4091"/>
    <n v="45"/>
    <x v="2"/>
    <n v="4173.3"/>
    <x v="5"/>
  </r>
  <r>
    <x v="8"/>
    <s v="109"/>
    <s v="RJ32GD7627"/>
    <n v="293.3"/>
    <x v="2"/>
    <n v="27200.639999999999"/>
    <x v="6"/>
  </r>
  <r>
    <x v="8"/>
    <s v="110"/>
    <s v="WB29B7067"/>
    <n v="161.74"/>
    <x v="2"/>
    <n v="15000"/>
    <x v="6"/>
  </r>
  <r>
    <x v="8"/>
    <s v="111"/>
    <s v="OD16K1026"/>
    <n v="100"/>
    <x v="2"/>
    <n v="9274"/>
    <x v="29"/>
  </r>
  <r>
    <x v="8"/>
    <s v="112"/>
    <s v="OD16K1043"/>
    <n v="100"/>
    <x v="2"/>
    <n v="9274"/>
    <x v="29"/>
  </r>
  <r>
    <x v="8"/>
    <s v="113"/>
    <s v="OD16K1055"/>
    <n v="100"/>
    <x v="2"/>
    <n v="9274"/>
    <x v="29"/>
  </r>
  <r>
    <x v="8"/>
    <s v="114"/>
    <s v="OD16K1099"/>
    <n v="100"/>
    <x v="2"/>
    <n v="9274"/>
    <x v="29"/>
  </r>
  <r>
    <x v="8"/>
    <s v="115"/>
    <s v="OD15AF5510"/>
    <n v="1500"/>
    <x v="2"/>
    <n v="139110"/>
    <x v="10"/>
  </r>
  <r>
    <x v="8"/>
    <s v="116"/>
    <s v=""/>
    <n v="61.46"/>
    <x v="2"/>
    <n v="5700"/>
    <x v="21"/>
  </r>
  <r>
    <x v="8"/>
    <s v="117"/>
    <s v="OD15AF5510"/>
    <n v="1500"/>
    <x v="2"/>
    <n v="139110"/>
    <x v="16"/>
  </r>
  <r>
    <x v="8"/>
    <s v="118"/>
    <s v=""/>
    <n v="1779.17"/>
    <x v="2"/>
    <n v="165000"/>
    <x v="8"/>
  </r>
  <r>
    <x v="9"/>
    <s v="119"/>
    <s v="OD23L4439"/>
    <n v="4000"/>
    <x v="0"/>
    <n v="364800"/>
    <x v="0"/>
  </r>
  <r>
    <x v="9"/>
    <s v="120"/>
    <s v="OD15AF5510"/>
    <n v="3000.01"/>
    <x v="2"/>
    <n v="278220.93"/>
    <x v="10"/>
  </r>
  <r>
    <x v="9"/>
    <s v="121"/>
    <s v="OD15AA4091"/>
    <n v="44.43"/>
    <x v="2"/>
    <n v="4120.43"/>
    <x v="5"/>
  </r>
  <r>
    <x v="9"/>
    <s v="122"/>
    <s v="OD23T8891"/>
    <n v="248.08"/>
    <x v="2"/>
    <n v="23006.93"/>
    <x v="6"/>
  </r>
  <r>
    <x v="9"/>
    <s v="123"/>
    <s v="NL01K4155"/>
    <n v="215.66"/>
    <x v="2"/>
    <n v="20000"/>
    <x v="6"/>
  </r>
  <r>
    <x v="9"/>
    <s v="124"/>
    <s v="NL01K7386"/>
    <n v="215.66"/>
    <x v="2"/>
    <n v="20000"/>
    <x v="6"/>
  </r>
  <r>
    <x v="9"/>
    <s v="125"/>
    <s v="NL01L4145"/>
    <n v="215.66"/>
    <x v="2"/>
    <n v="20000"/>
    <x v="6"/>
  </r>
  <r>
    <x v="9"/>
    <s v="126"/>
    <s v="NL01K5192"/>
    <n v="215.66"/>
    <x v="2"/>
    <n v="20000"/>
    <x v="6"/>
  </r>
  <r>
    <x v="9"/>
    <s v="127"/>
    <s v="WB29C3226"/>
    <n v="323.49"/>
    <x v="2"/>
    <n v="30000"/>
    <x v="6"/>
  </r>
  <r>
    <x v="9"/>
    <s v="128"/>
    <s v="WB29C4016"/>
    <n v="269.57"/>
    <x v="2"/>
    <n v="25000"/>
    <x v="6"/>
  </r>
  <r>
    <x v="9"/>
    <s v="129"/>
    <s v="OD23U4012"/>
    <n v="160"/>
    <x v="2"/>
    <n v="14838.4"/>
    <x v="13"/>
  </r>
  <r>
    <x v="9"/>
    <s v="130"/>
    <m/>
    <n v="301.92"/>
    <x v="2"/>
    <n v="28000"/>
    <x v="8"/>
  </r>
  <r>
    <x v="9"/>
    <s v="131"/>
    <m/>
    <n v="178"/>
    <x v="2"/>
    <n v="16507.72"/>
    <x v="22"/>
  </r>
  <r>
    <x v="10"/>
    <s v="132"/>
    <s v="OR15R9360"/>
    <n v="18000"/>
    <x v="1"/>
    <n v="1644480"/>
    <x v="1"/>
  </r>
  <r>
    <x v="10"/>
    <s v="133"/>
    <s v="OD15AF5510"/>
    <n v="3000"/>
    <x v="0"/>
    <n v="273600"/>
    <x v="0"/>
  </r>
  <r>
    <x v="10"/>
    <s v="134"/>
    <s v="OR15R1110"/>
    <n v="12000"/>
    <x v="1"/>
    <n v="1096320"/>
    <x v="30"/>
  </r>
  <r>
    <x v="10"/>
    <s v="135"/>
    <s v="OD15AF5510"/>
    <n v="3000.32"/>
    <x v="2"/>
    <n v="278249.68"/>
    <x v="10"/>
  </r>
  <r>
    <x v="10"/>
    <s v="136"/>
    <s v="OD15AF5510"/>
    <n v="1500.01"/>
    <x v="2"/>
    <n v="139110.93"/>
    <x v="16"/>
  </r>
  <r>
    <x v="10"/>
    <s v="137"/>
    <s v="CG15EG0399"/>
    <n v="258.8"/>
    <x v="2"/>
    <n v="24001.11"/>
    <x v="6"/>
  </r>
  <r>
    <x v="10"/>
    <s v="138"/>
    <s v="WB23F9149"/>
    <n v="275.48"/>
    <x v="2"/>
    <n v="25548.01"/>
    <x v="6"/>
  </r>
  <r>
    <x v="10"/>
    <s v="139"/>
    <s v="OD11AC5545"/>
    <n v="233.67"/>
    <x v="2"/>
    <n v="21670.55"/>
    <x v="6"/>
  </r>
  <r>
    <x v="10"/>
    <s v="140"/>
    <s v="WB25L8508"/>
    <n v="330"/>
    <x v="2"/>
    <n v="30604.2"/>
    <x v="6"/>
  </r>
  <r>
    <x v="10"/>
    <s v="141"/>
    <s v="OD23U4012"/>
    <n v="160"/>
    <x v="2"/>
    <n v="14838.4"/>
    <x v="13"/>
  </r>
  <r>
    <x v="10"/>
    <s v="142"/>
    <s v="RJ37GA7801"/>
    <n v="400"/>
    <x v="2"/>
    <n v="37096"/>
    <x v="28"/>
  </r>
  <r>
    <x v="10"/>
    <s v="143"/>
    <s v="OD15AF5510"/>
    <n v="46.81"/>
    <x v="2"/>
    <n v="4341.1499999999996"/>
    <x v="3"/>
  </r>
  <r>
    <x v="10"/>
    <s v="144"/>
    <s v=""/>
    <n v="314.08999999999997"/>
    <x v="2"/>
    <n v="29128.799999999999"/>
    <x v="9"/>
  </r>
  <r>
    <x v="10"/>
    <s v="145"/>
    <m/>
    <n v="245.85"/>
    <x v="2"/>
    <n v="22800"/>
    <x v="21"/>
  </r>
  <r>
    <x v="10"/>
    <s v="146"/>
    <m/>
    <n v="2884.41"/>
    <x v="2"/>
    <n v="267500"/>
    <x v="8"/>
  </r>
  <r>
    <x v="11"/>
    <s v="147"/>
    <s v="OD15AF5510"/>
    <n v="3000"/>
    <x v="1"/>
    <n v="274080"/>
    <x v="24"/>
  </r>
  <r>
    <x v="11"/>
    <s v="148"/>
    <s v="OD15AF5510"/>
    <n v="3000"/>
    <x v="2"/>
    <n v="278220"/>
    <x v="10"/>
  </r>
  <r>
    <x v="11"/>
    <s v="149"/>
    <s v="OD16L2239"/>
    <n v="21.57"/>
    <x v="2"/>
    <n v="2000"/>
    <x v="31"/>
  </r>
  <r>
    <x v="11"/>
    <s v="150"/>
    <s v="OD16L3067"/>
    <n v="21.57"/>
    <x v="2"/>
    <n v="2000"/>
    <x v="31"/>
  </r>
  <r>
    <x v="11"/>
    <s v="151"/>
    <s v="OD16C1690"/>
    <n v="21.57"/>
    <x v="2"/>
    <n v="2000"/>
    <x v="31"/>
  </r>
  <r>
    <x v="11"/>
    <s v="152"/>
    <s v="OD16D2879"/>
    <n v="21.57"/>
    <x v="2"/>
    <n v="2000"/>
    <x v="31"/>
  </r>
  <r>
    <x v="11"/>
    <s v="153"/>
    <s v="CG10R1707"/>
    <n v="21.57"/>
    <x v="2"/>
    <n v="2000"/>
    <x v="31"/>
  </r>
  <r>
    <x v="11"/>
    <s v="154"/>
    <s v="OD23T1952"/>
    <n v="23.73"/>
    <x v="2"/>
    <n v="2200"/>
    <x v="31"/>
  </r>
  <r>
    <x v="11"/>
    <s v="155"/>
    <s v="OD23T1852"/>
    <n v="23.73"/>
    <x v="2"/>
    <n v="2200"/>
    <x v="31"/>
  </r>
  <r>
    <x v="11"/>
    <s v="156"/>
    <s v="OD23T1752"/>
    <n v="23.73"/>
    <x v="2"/>
    <n v="2200"/>
    <x v="31"/>
  </r>
  <r>
    <x v="11"/>
    <s v="157"/>
    <s v="OD23S1552"/>
    <n v="23.73"/>
    <x v="2"/>
    <n v="2200"/>
    <x v="31"/>
  </r>
  <r>
    <x v="11"/>
    <s v="158"/>
    <s v="OD23S1452"/>
    <n v="23.73"/>
    <x v="2"/>
    <n v="2200"/>
    <x v="31"/>
  </r>
  <r>
    <x v="11"/>
    <s v="159"/>
    <s v="OD23U5352"/>
    <n v="23.73"/>
    <x v="2"/>
    <n v="2200"/>
    <x v="31"/>
  </r>
  <r>
    <x v="11"/>
    <s v="160"/>
    <s v="OD23S1352"/>
    <n v="23.73"/>
    <x v="2"/>
    <n v="2200"/>
    <x v="31"/>
  </r>
  <r>
    <x v="11"/>
    <s v="161"/>
    <s v="OD23U2652"/>
    <n v="23.73"/>
    <x v="2"/>
    <n v="2200"/>
    <x v="31"/>
  </r>
  <r>
    <x v="11"/>
    <s v="162"/>
    <s v="OD23U3152"/>
    <n v="23.73"/>
    <x v="2"/>
    <n v="2200"/>
    <x v="31"/>
  </r>
  <r>
    <x v="11"/>
    <s v="163"/>
    <s v="OD23U3752"/>
    <n v="23.73"/>
    <x v="2"/>
    <n v="2200"/>
    <x v="31"/>
  </r>
  <r>
    <x v="11"/>
    <s v="164"/>
    <s v="OD23T1552"/>
    <n v="23.73"/>
    <x v="2"/>
    <n v="2200"/>
    <x v="31"/>
  </r>
  <r>
    <x v="11"/>
    <s v="165"/>
    <s v="OD23S1852"/>
    <n v="23.73"/>
    <x v="2"/>
    <n v="2200"/>
    <x v="31"/>
  </r>
  <r>
    <x v="11"/>
    <s v="166"/>
    <s v="CG13BD5532"/>
    <n v="26.96"/>
    <x v="2"/>
    <n v="2500"/>
    <x v="31"/>
  </r>
  <r>
    <x v="11"/>
    <s v="167"/>
    <s v="CG13BD5534"/>
    <n v="26.96"/>
    <x v="2"/>
    <n v="2500"/>
    <x v="31"/>
  </r>
  <r>
    <x v="11"/>
    <s v="168"/>
    <s v="CG13BD5531"/>
    <n v="26.96"/>
    <x v="2"/>
    <n v="2500"/>
    <x v="31"/>
  </r>
  <r>
    <x v="11"/>
    <s v="169"/>
    <s v="CG13BD5533"/>
    <n v="26.96"/>
    <x v="2"/>
    <n v="2500"/>
    <x v="31"/>
  </r>
  <r>
    <x v="11"/>
    <s v="170"/>
    <s v="OD23Q2094"/>
    <n v="26.96"/>
    <x v="2"/>
    <n v="2500"/>
    <x v="31"/>
  </r>
  <r>
    <x v="11"/>
    <s v="171"/>
    <s v="OD23Q0919"/>
    <n v="26.96"/>
    <x v="2"/>
    <n v="2500"/>
    <x v="31"/>
  </r>
  <r>
    <x v="11"/>
    <s v="172"/>
    <s v="OD23Q0935"/>
    <n v="26.96"/>
    <x v="2"/>
    <n v="2500"/>
    <x v="31"/>
  </r>
  <r>
    <x v="11"/>
    <s v="173"/>
    <s v="CG13BK0798"/>
    <n v="26.96"/>
    <x v="2"/>
    <n v="2500"/>
    <x v="31"/>
  </r>
  <r>
    <x v="11"/>
    <s v="174"/>
    <s v="OD23Q0908"/>
    <n v="26.96"/>
    <x v="2"/>
    <n v="2500"/>
    <x v="31"/>
  </r>
  <r>
    <x v="11"/>
    <s v="175"/>
    <s v="OD23Q0966"/>
    <n v="26.96"/>
    <x v="2"/>
    <n v="2500"/>
    <x v="31"/>
  </r>
  <r>
    <x v="11"/>
    <s v="176"/>
    <s v="CG13BK0803"/>
    <n v="26.96"/>
    <x v="2"/>
    <n v="2500"/>
    <x v="31"/>
  </r>
  <r>
    <x v="11"/>
    <s v="177"/>
    <s v="CG13LA5146"/>
    <n v="26.96"/>
    <x v="2"/>
    <n v="2500"/>
    <x v="31"/>
  </r>
  <r>
    <x v="11"/>
    <s v="178"/>
    <s v="CG13BD7253"/>
    <n v="26.96"/>
    <x v="2"/>
    <n v="2500"/>
    <x v="31"/>
  </r>
  <r>
    <x v="11"/>
    <s v="179"/>
    <s v="CG12S2016"/>
    <n v="26.96"/>
    <x v="2"/>
    <n v="2500"/>
    <x v="31"/>
  </r>
  <r>
    <x v="11"/>
    <s v="180"/>
    <s v="CG13BD5528"/>
    <n v="28.04"/>
    <x v="2"/>
    <n v="2600"/>
    <x v="31"/>
  </r>
  <r>
    <x v="11"/>
    <s v="181"/>
    <s v="CG13BL0151"/>
    <n v="30.2"/>
    <x v="2"/>
    <n v="2800"/>
    <x v="31"/>
  </r>
  <r>
    <x v="11"/>
    <s v="182"/>
    <s v="OD23N1542"/>
    <n v="30.2"/>
    <x v="2"/>
    <n v="2800"/>
    <x v="31"/>
  </r>
  <r>
    <x v="11"/>
    <s v="183"/>
    <s v="CG13BL0152"/>
    <n v="30.2"/>
    <x v="2"/>
    <n v="2800"/>
    <x v="31"/>
  </r>
  <r>
    <x v="11"/>
    <s v="184"/>
    <s v="OD23P9183"/>
    <n v="30.2"/>
    <x v="2"/>
    <n v="2800"/>
    <x v="31"/>
  </r>
  <r>
    <x v="11"/>
    <s v="185"/>
    <s v="OD23P9157"/>
    <n v="30.2"/>
    <x v="2"/>
    <n v="2800"/>
    <x v="31"/>
  </r>
  <r>
    <x v="11"/>
    <s v="186"/>
    <s v="OD23D2566"/>
    <n v="30.2"/>
    <x v="2"/>
    <n v="2800"/>
    <x v="31"/>
  </r>
  <r>
    <x v="11"/>
    <s v="187"/>
    <s v="CG13BK0799"/>
    <n v="30.2"/>
    <x v="2"/>
    <n v="2800"/>
    <x v="31"/>
  </r>
  <r>
    <x v="11"/>
    <s v="188"/>
    <s v="OD23Q2050"/>
    <n v="30.2"/>
    <x v="2"/>
    <n v="2800"/>
    <x v="31"/>
  </r>
  <r>
    <x v="11"/>
    <s v="189"/>
    <s v="OD23P9573"/>
    <n v="30.2"/>
    <x v="2"/>
    <n v="2800"/>
    <x v="31"/>
  </r>
  <r>
    <x v="11"/>
    <s v="190"/>
    <s v="CG13BL0187"/>
    <n v="30.2"/>
    <x v="2"/>
    <n v="2800"/>
    <x v="31"/>
  </r>
  <r>
    <x v="11"/>
    <s v="191"/>
    <s v="OD16D2194"/>
    <n v="30.2"/>
    <x v="2"/>
    <n v="2800"/>
    <x v="31"/>
  </r>
  <r>
    <x v="11"/>
    <s v="192"/>
    <s v="OD23N4568"/>
    <n v="30.2"/>
    <x v="2"/>
    <n v="2800"/>
    <x v="31"/>
  </r>
  <r>
    <x v="11"/>
    <s v="193"/>
    <s v="CG13BK0802"/>
    <n v="30.2"/>
    <x v="2"/>
    <n v="2800"/>
    <x v="31"/>
  </r>
  <r>
    <x v="11"/>
    <s v="194"/>
    <s v="CG13BL0190"/>
    <n v="30.2"/>
    <x v="2"/>
    <n v="2800"/>
    <x v="31"/>
  </r>
  <r>
    <x v="11"/>
    <s v="195"/>
    <s v="OD23P9594"/>
    <n v="30.2"/>
    <x v="2"/>
    <n v="2800"/>
    <x v="31"/>
  </r>
  <r>
    <x v="11"/>
    <s v="196"/>
    <s v="OD23P8092"/>
    <n v="30.2"/>
    <x v="2"/>
    <n v="2800"/>
    <x v="31"/>
  </r>
  <r>
    <x v="11"/>
    <s v="197"/>
    <s v="OD23P9582"/>
    <n v="30.2"/>
    <x v="2"/>
    <n v="2800"/>
    <x v="31"/>
  </r>
  <r>
    <x v="11"/>
    <s v="198"/>
    <s v="OD23N9872"/>
    <n v="30.2"/>
    <x v="2"/>
    <n v="2800"/>
    <x v="31"/>
  </r>
  <r>
    <x v="11"/>
    <s v="199"/>
    <s v="OD16K0904"/>
    <n v="90"/>
    <x v="2"/>
    <n v="8346.6"/>
    <x v="29"/>
  </r>
  <r>
    <x v="11"/>
    <s v="200"/>
    <s v="OD16K1096"/>
    <n v="100"/>
    <x v="2"/>
    <n v="9274"/>
    <x v="29"/>
  </r>
  <r>
    <x v="11"/>
    <s v="201"/>
    <s v="OD14T5423"/>
    <n v="45.94"/>
    <x v="2"/>
    <n v="4260.47"/>
    <x v="29"/>
  </r>
  <r>
    <x v="11"/>
    <s v="202"/>
    <s v="OD16K5809"/>
    <n v="100"/>
    <x v="2"/>
    <n v="9274"/>
    <x v="29"/>
  </r>
  <r>
    <x v="11"/>
    <s v="203"/>
    <s v="OD15U5910"/>
    <n v="102.01"/>
    <x v="2"/>
    <n v="9460.4"/>
    <x v="5"/>
  </r>
  <r>
    <x v="11"/>
    <s v="204"/>
    <s v="OR15R9360"/>
    <n v="50"/>
    <x v="2"/>
    <n v="4637"/>
    <x v="3"/>
  </r>
  <r>
    <x v="11"/>
    <s v="205"/>
    <s v="WB23F4188"/>
    <n v="287.04000000000002"/>
    <x v="2"/>
    <n v="26620.080000000002"/>
    <x v="6"/>
  </r>
  <r>
    <x v="11"/>
    <s v="206"/>
    <s v="OD16K1055"/>
    <n v="85"/>
    <x v="2"/>
    <n v="7882.9"/>
    <x v="29"/>
  </r>
  <r>
    <x v="11"/>
    <s v="207"/>
    <s v="OD23U3952"/>
    <n v="23.73"/>
    <x v="2"/>
    <n v="2200"/>
    <x v="31"/>
  </r>
  <r>
    <x v="11"/>
    <s v="208"/>
    <s v="OD23U5052"/>
    <n v="23.73"/>
    <x v="2"/>
    <n v="2200"/>
    <x v="31"/>
  </r>
  <r>
    <x v="11"/>
    <s v="209"/>
    <s v="OD23U3852"/>
    <n v="23.73"/>
    <x v="2"/>
    <n v="2200"/>
    <x v="31"/>
  </r>
  <r>
    <x v="11"/>
    <s v="210"/>
    <s v="OD23-9641"/>
    <n v="21.57"/>
    <x v="2"/>
    <n v="2000"/>
    <x v="31"/>
  </r>
  <r>
    <x v="11"/>
    <s v="211"/>
    <s v="JH01FS6302"/>
    <n v="46"/>
    <x v="2"/>
    <n v="4266.04"/>
    <x v="5"/>
  </r>
  <r>
    <x v="11"/>
    <s v="212"/>
    <s v=""/>
    <n v="522"/>
    <x v="2"/>
    <n v="48410.28"/>
    <x v="7"/>
  </r>
  <r>
    <x v="11"/>
    <s v="213"/>
    <s v=""/>
    <n v="411.14"/>
    <x v="2"/>
    <n v="38128.800000000003"/>
    <x v="9"/>
  </r>
  <r>
    <x v="11"/>
    <s v="214"/>
    <s v=""/>
    <n v="328.88"/>
    <x v="2"/>
    <n v="30500"/>
    <x v="21"/>
  </r>
  <r>
    <x v="11"/>
    <s v="215"/>
    <s v=""/>
    <n v="4868.45"/>
    <x v="2"/>
    <n v="451500"/>
    <x v="8"/>
  </r>
  <r>
    <x v="12"/>
    <s v="216"/>
    <s v="OD15AA4091"/>
    <n v="20"/>
    <x v="2"/>
    <n v="1854.8"/>
    <x v="5"/>
  </r>
  <r>
    <x v="12"/>
    <s v="217"/>
    <s v="OD23V1010"/>
    <n v="50"/>
    <x v="2"/>
    <n v="4637"/>
    <x v="3"/>
  </r>
  <r>
    <x v="12"/>
    <s v="218"/>
    <s v="OD28C4545"/>
    <n v="45"/>
    <x v="2"/>
    <n v="4173.3"/>
    <x v="32"/>
  </r>
  <r>
    <x v="12"/>
    <s v="219"/>
    <s v=""/>
    <n v="2001.29"/>
    <x v="2"/>
    <n v="185600"/>
    <x v="8"/>
  </r>
  <r>
    <x v="12"/>
    <s v="220"/>
    <m/>
    <n v="300"/>
    <x v="2"/>
    <n v="27822"/>
    <x v="7"/>
  </r>
  <r>
    <x v="13"/>
    <s v="221"/>
    <s v="CG04MN1172"/>
    <n v="600"/>
    <x v="2"/>
    <n v="55644"/>
    <x v="28"/>
  </r>
  <r>
    <x v="13"/>
    <s v="222"/>
    <s v="OD23N1900"/>
    <n v="54"/>
    <x v="2"/>
    <n v="5007.96"/>
    <x v="20"/>
  </r>
  <r>
    <x v="13"/>
    <s v="223"/>
    <s v="OD15AA4091"/>
    <n v="47"/>
    <x v="2"/>
    <n v="4358.78"/>
    <x v="5"/>
  </r>
  <r>
    <x v="13"/>
    <s v="224"/>
    <s v="OD15AA4091"/>
    <n v="50"/>
    <x v="2"/>
    <n v="4637"/>
    <x v="5"/>
  </r>
  <r>
    <x v="13"/>
    <s v="225"/>
    <s v="JH01FS6302"/>
    <n v="48.66"/>
    <x v="2"/>
    <n v="4512.72"/>
    <x v="5"/>
  </r>
  <r>
    <x v="13"/>
    <s v="226"/>
    <m/>
    <n v="267.41000000000003"/>
    <x v="2"/>
    <n v="24800"/>
    <x v="8"/>
  </r>
  <r>
    <x v="13"/>
    <s v="227"/>
    <m/>
    <n v="184.39"/>
    <x v="2"/>
    <n v="17100"/>
    <x v="21"/>
  </r>
  <r>
    <x v="14"/>
    <s v="228"/>
    <s v="OD23L4439"/>
    <n v="4000"/>
    <x v="0"/>
    <n v="364800"/>
    <x v="0"/>
  </r>
  <r>
    <x v="14"/>
    <s v="229"/>
    <s v="OD15AF5510"/>
    <n v="3000"/>
    <x v="1"/>
    <n v="274080"/>
    <x v="24"/>
  </r>
  <r>
    <x v="14"/>
    <s v="230"/>
    <s v="OD33Y3567"/>
    <n v="42.07"/>
    <x v="2"/>
    <n v="3901.57"/>
    <x v="5"/>
  </r>
  <r>
    <x v="14"/>
    <s v="231"/>
    <s v="OD14T5423"/>
    <n v="46.12"/>
    <x v="2"/>
    <n v="4277.16"/>
    <x v="29"/>
  </r>
  <r>
    <x v="14"/>
    <s v="232"/>
    <s v="UP07HT1484"/>
    <n v="207.08"/>
    <x v="2"/>
    <n v="19204.59"/>
    <x v="6"/>
  </r>
  <r>
    <x v="14"/>
    <s v="233"/>
    <s v="OD23U4012"/>
    <n v="160"/>
    <x v="2"/>
    <n v="14838.4"/>
    <x v="13"/>
  </r>
  <r>
    <x v="14"/>
    <s v="234"/>
    <s v="OD15H8328"/>
    <n v="10"/>
    <x v="2"/>
    <n v="927.4"/>
    <x v="4"/>
  </r>
  <r>
    <x v="14"/>
    <s v="235"/>
    <s v="OD23P9344"/>
    <n v="50"/>
    <x v="2"/>
    <n v="4637"/>
    <x v="4"/>
  </r>
  <r>
    <x v="14"/>
    <s v="236"/>
    <s v="OD23P9344"/>
    <n v="50"/>
    <x v="2"/>
    <n v="4637"/>
    <x v="4"/>
  </r>
  <r>
    <x v="14"/>
    <s v="237"/>
    <s v="OD15U5910"/>
    <n v="103.78"/>
    <x v="2"/>
    <n v="9624.5499999999993"/>
    <x v="5"/>
  </r>
  <r>
    <x v="14"/>
    <s v="238"/>
    <m/>
    <n v="53.91"/>
    <x v="2"/>
    <n v="5000"/>
    <x v="7"/>
  </r>
  <r>
    <x v="14"/>
    <s v="239"/>
    <m/>
    <n v="368.77"/>
    <x v="2"/>
    <n v="34200"/>
    <x v="21"/>
  </r>
  <r>
    <x v="14"/>
    <s v="240"/>
    <m/>
    <n v="355.83"/>
    <x v="2"/>
    <n v="33000"/>
    <x v="9"/>
  </r>
  <r>
    <x v="14"/>
    <s v="241"/>
    <m/>
    <n v="2414.2800000000002"/>
    <x v="2"/>
    <n v="223900"/>
    <x v="8"/>
  </r>
  <r>
    <x v="14"/>
    <s v="242"/>
    <m/>
    <n v="1999.89"/>
    <x v="2"/>
    <n v="185469.8"/>
    <x v="16"/>
  </r>
  <r>
    <x v="14"/>
    <s v="243"/>
    <m/>
    <n v="3000.08"/>
    <x v="2"/>
    <n v="278227.42"/>
    <x v="10"/>
  </r>
  <r>
    <x v="15"/>
    <s v="244"/>
    <s v="OD23L4439"/>
    <n v="4000"/>
    <x v="0"/>
    <n v="364800"/>
    <x v="0"/>
  </r>
  <r>
    <x v="15"/>
    <s v="245"/>
    <s v="OD15AF5510"/>
    <n v="3000"/>
    <x v="2"/>
    <n v="278220"/>
    <x v="24"/>
  </r>
  <r>
    <x v="15"/>
    <s v="246"/>
    <s v="OD23N5311"/>
    <n v="1200"/>
    <x v="2"/>
    <n v="111288"/>
    <x v="33"/>
  </r>
  <r>
    <x v="15"/>
    <s v="247"/>
    <s v="OD15AF5510"/>
    <n v="3000"/>
    <x v="3"/>
    <n v="274500"/>
    <x v="0"/>
  </r>
  <r>
    <x v="15"/>
    <s v="248"/>
    <s v="CG04MN1172"/>
    <n v="1000"/>
    <x v="2"/>
    <n v="92740"/>
    <x v="28"/>
  </r>
  <r>
    <x v="15"/>
    <s v="249"/>
    <s v="OD23L4439"/>
    <n v="4000"/>
    <x v="3"/>
    <n v="366000"/>
    <x v="0"/>
  </r>
  <r>
    <x v="15"/>
    <s v="250"/>
    <s v="OD15AF5510"/>
    <n v="3000.27"/>
    <x v="2"/>
    <n v="278245.03999999998"/>
    <x v="10"/>
  </r>
  <r>
    <x v="15"/>
    <s v="251"/>
    <s v="OD02BK4461"/>
    <n v="355.84"/>
    <x v="2"/>
    <n v="33000.839999999997"/>
    <x v="6"/>
  </r>
  <r>
    <x v="15"/>
    <s v="252"/>
    <m/>
    <n v="388.18"/>
    <x v="2"/>
    <n v="36000"/>
    <x v="9"/>
  </r>
  <r>
    <x v="15"/>
    <s v="253"/>
    <m/>
    <n v="1917.19"/>
    <x v="2"/>
    <n v="177800"/>
    <x v="8"/>
  </r>
  <r>
    <x v="15"/>
    <s v="254"/>
    <m/>
    <n v="560"/>
    <x v="2"/>
    <n v="51935.32"/>
    <x v="22"/>
  </r>
  <r>
    <x v="15"/>
    <s v="255"/>
    <m/>
    <n v="199.48"/>
    <x v="2"/>
    <n v="18500"/>
    <x v="7"/>
  </r>
  <r>
    <x v="15"/>
    <s v="256"/>
    <m/>
    <n v="3000"/>
    <x v="2"/>
    <n v="278220"/>
    <x v="34"/>
  </r>
  <r>
    <x v="16"/>
    <s v="257"/>
    <s v="OR15R5510"/>
    <n v="8000"/>
    <x v="2"/>
    <n v="741920"/>
    <x v="24"/>
  </r>
  <r>
    <x v="16"/>
    <s v="258"/>
    <s v="OD05AP4113"/>
    <n v="300"/>
    <x v="2"/>
    <n v="27822"/>
    <x v="23"/>
  </r>
  <r>
    <x v="16"/>
    <s v="259"/>
    <s v="OR15Q7552"/>
    <n v="1000"/>
    <x v="2"/>
    <n v="92740"/>
    <x v="35"/>
  </r>
  <r>
    <x v="16"/>
    <s v="260"/>
    <s v="CG04MN1172"/>
    <n v="500"/>
    <x v="2"/>
    <n v="46370"/>
    <x v="28"/>
  </r>
  <r>
    <x v="16"/>
    <s v="261"/>
    <s v="OD23G4251"/>
    <n v="32.35"/>
    <x v="2"/>
    <n v="3000"/>
    <x v="29"/>
  </r>
  <r>
    <x v="16"/>
    <s v="262"/>
    <s v="OD15AA4091"/>
    <n v="43.99"/>
    <x v="2"/>
    <n v="4079.63"/>
    <x v="5"/>
  </r>
  <r>
    <x v="16"/>
    <s v="263"/>
    <s v="OR15R5510"/>
    <n v="20"/>
    <x v="2"/>
    <n v="1854.8"/>
    <x v="3"/>
  </r>
  <r>
    <x v="16"/>
    <s v="264"/>
    <s v="OD23A8210"/>
    <n v="43"/>
    <x v="2"/>
    <n v="3987.82"/>
    <x v="2"/>
  </r>
  <r>
    <x v="16"/>
    <s v="265"/>
    <s v="OD23U4012"/>
    <n v="160"/>
    <x v="2"/>
    <n v="14838.4"/>
    <x v="13"/>
  </r>
  <r>
    <x v="16"/>
    <s v="266"/>
    <s v="TG08T8119"/>
    <n v="357.32"/>
    <x v="2"/>
    <n v="33137.85"/>
    <x v="6"/>
  </r>
  <r>
    <x v="16"/>
    <s v="267"/>
    <s v="WB03C9721"/>
    <n v="310.87"/>
    <x v="2"/>
    <n v="28830.080000000002"/>
    <x v="6"/>
  </r>
  <r>
    <x v="16"/>
    <s v="268"/>
    <s v="WB11D1010"/>
    <n v="328.89"/>
    <x v="2"/>
    <n v="30501.25"/>
    <x v="6"/>
  </r>
  <r>
    <x v="16"/>
    <s v="269"/>
    <s v=""/>
    <n v="237.22"/>
    <x v="2"/>
    <n v="22000"/>
    <x v="9"/>
  </r>
  <r>
    <x v="16"/>
    <s v="270"/>
    <s v="Consumer"/>
    <n v="436.7"/>
    <x v="2"/>
    <n v="40500"/>
    <x v="8"/>
  </r>
  <r>
    <x v="16"/>
    <s v="271"/>
    <s v="Transporting"/>
    <n v="3225.15"/>
    <x v="2"/>
    <n v="299100"/>
    <x v="8"/>
  </r>
  <r>
    <x v="16"/>
    <s v="272"/>
    <s v=""/>
    <n v="297"/>
    <x v="2"/>
    <n v="27543.78"/>
    <x v="7"/>
  </r>
  <r>
    <x v="16"/>
    <s v="273"/>
    <s v="OD15AF5510"/>
    <n v="1500"/>
    <x v="2"/>
    <n v="139110"/>
    <x v="16"/>
  </r>
  <r>
    <x v="17"/>
    <s v="274"/>
    <s v="OD15AF5510"/>
    <n v="3029.12"/>
    <x v="2"/>
    <n v="280920.59000000003"/>
    <x v="10"/>
  </r>
  <r>
    <x v="17"/>
    <s v="275"/>
    <s v="Transporting"/>
    <n v="4359.5"/>
    <x v="2"/>
    <n v="404300"/>
    <x v="8"/>
  </r>
  <r>
    <x v="17"/>
    <s v="276"/>
    <s v="Consumer"/>
    <n v="150.96"/>
    <x v="2"/>
    <n v="14000"/>
    <x v="8"/>
  </r>
  <r>
    <x v="17"/>
    <s v="277"/>
    <s v=""/>
    <n v="355.83"/>
    <x v="2"/>
    <n v="33000"/>
    <x v="9"/>
  </r>
  <r>
    <x v="17"/>
    <s v="278"/>
    <s v="JH01FS6302"/>
    <n v="47"/>
    <x v="2"/>
    <n v="4358.78"/>
    <x v="5"/>
  </r>
  <r>
    <x v="17"/>
    <s v="279"/>
    <s v="OD15U5910"/>
    <n v="96"/>
    <x v="2"/>
    <n v="8903.0400000000009"/>
    <x v="5"/>
  </r>
  <r>
    <x v="17"/>
    <s v="280"/>
    <s v="OD23U4012"/>
    <n v="160"/>
    <x v="2"/>
    <n v="14838.4"/>
    <x v="13"/>
  </r>
  <r>
    <x v="17"/>
    <s v="281"/>
    <s v="OD23D0009"/>
    <n v="21.57"/>
    <x v="2"/>
    <n v="2000"/>
    <x v="19"/>
  </r>
  <r>
    <x v="18"/>
    <s v="282"/>
    <s v="OD15AF5510"/>
    <n v="3000"/>
    <x v="3"/>
    <n v="274500"/>
    <x v="0"/>
  </r>
  <r>
    <x v="18"/>
    <s v="283"/>
    <s v="OD23L4439"/>
    <n v="3000"/>
    <x v="3"/>
    <n v="274500"/>
    <x v="0"/>
  </r>
  <r>
    <x v="18"/>
    <s v="284"/>
    <s v="KA48A0905"/>
    <n v="120"/>
    <x v="2"/>
    <n v="11128.8"/>
    <x v="36"/>
  </r>
  <r>
    <x v="18"/>
    <s v="285"/>
    <s v="Transporting"/>
    <n v="3470.99"/>
    <x v="2"/>
    <n v="321900"/>
    <x v="8"/>
  </r>
  <r>
    <x v="18"/>
    <s v="286"/>
    <s v=""/>
    <n v="291.14"/>
    <x v="2"/>
    <n v="27000"/>
    <x v="9"/>
  </r>
  <r>
    <x v="18"/>
    <s v="287"/>
    <s v="OD15AF5510"/>
    <n v="2000"/>
    <x v="2"/>
    <n v="185480"/>
    <x v="10"/>
  </r>
  <r>
    <x v="18"/>
    <s v="288"/>
    <s v="OD15AF5510"/>
    <n v="1500"/>
    <x v="2"/>
    <n v="139110"/>
    <x v="16"/>
  </r>
  <r>
    <x v="18"/>
    <s v="289"/>
    <s v="RJ14GK1162"/>
    <n v="361.87"/>
    <x v="2"/>
    <n v="33559.82"/>
    <x v="6"/>
  </r>
  <r>
    <x v="18"/>
    <s v="290"/>
    <s v="OD15AA4091"/>
    <n v="39.15"/>
    <x v="2"/>
    <n v="3630.77"/>
    <x v="5"/>
  </r>
  <r>
    <x v="18"/>
    <s v="291"/>
    <s v="OD15AF5510"/>
    <n v="20"/>
    <x v="2"/>
    <n v="1854.8"/>
    <x v="3"/>
  </r>
  <r>
    <x v="19"/>
    <s v="292"/>
    <s v="OD15AF5510"/>
    <n v="3000"/>
    <x v="2"/>
    <n v="278220"/>
    <x v="24"/>
  </r>
  <r>
    <x v="19"/>
    <s v="293"/>
    <s v="CG04MN1172"/>
    <n v="1000"/>
    <x v="2"/>
    <n v="92740"/>
    <x v="28"/>
  </r>
  <r>
    <x v="19"/>
    <s v="294"/>
    <s v="OD23L4439"/>
    <n v="4000"/>
    <x v="3"/>
    <n v="366000"/>
    <x v="0"/>
  </r>
  <r>
    <x v="19"/>
    <s v="295"/>
    <s v="OD15AF5510"/>
    <n v="2500.7199999999998"/>
    <x v="2"/>
    <n v="231916.77"/>
    <x v="10"/>
  </r>
  <r>
    <x v="19"/>
    <s v="296"/>
    <s v="Transporting"/>
    <n v="4910.5"/>
    <x v="2"/>
    <n v="455400"/>
    <x v="8"/>
  </r>
  <r>
    <x v="19"/>
    <s v="297"/>
    <s v="Consumer"/>
    <n v="89.5"/>
    <x v="2"/>
    <n v="8300"/>
    <x v="8"/>
  </r>
  <r>
    <x v="19"/>
    <s v="298"/>
    <s v=""/>
    <n v="194.09"/>
    <x v="2"/>
    <n v="18000"/>
    <x v="9"/>
  </r>
  <r>
    <x v="19"/>
    <s v="299"/>
    <s v="OD23N1900"/>
    <n v="65"/>
    <x v="2"/>
    <n v="6028.1"/>
    <x v="20"/>
  </r>
  <r>
    <x v="19"/>
    <s v="300"/>
    <s v="OD23U4012"/>
    <n v="130"/>
    <x v="2"/>
    <n v="12056.2"/>
    <x v="13"/>
  </r>
  <r>
    <x v="20"/>
    <s v="301"/>
    <s v="OD15AF5510"/>
    <n v="3000"/>
    <x v="3"/>
    <n v="274500"/>
    <x v="0"/>
  </r>
  <r>
    <x v="20"/>
    <s v="302"/>
    <s v="OR15R5510"/>
    <n v="12000"/>
    <x v="2"/>
    <n v="1112880"/>
    <x v="37"/>
  </r>
  <r>
    <x v="20"/>
    <s v="303"/>
    <s v="OD23N5072"/>
    <n v="500"/>
    <x v="2"/>
    <n v="46370"/>
    <x v="15"/>
  </r>
  <r>
    <x v="20"/>
    <s v="304"/>
    <s v="OD23L4439"/>
    <n v="4000"/>
    <x v="3"/>
    <n v="366000"/>
    <x v="0"/>
  </r>
  <r>
    <x v="20"/>
    <s v="305"/>
    <s v="OR15R5510"/>
    <n v="50"/>
    <x v="2"/>
    <n v="4637"/>
    <x v="3"/>
  </r>
  <r>
    <x v="20"/>
    <s v="306"/>
    <s v="OD15U5910"/>
    <n v="98"/>
    <x v="2"/>
    <n v="9088.52"/>
    <x v="5"/>
  </r>
  <r>
    <x v="20"/>
    <s v="307"/>
    <s v="OD15AA4091"/>
    <n v="35"/>
    <x v="2"/>
    <n v="3245.9"/>
    <x v="5"/>
  </r>
  <r>
    <x v="20"/>
    <s v="308"/>
    <s v="OD15AA4091"/>
    <n v="43.57"/>
    <x v="2"/>
    <n v="4040.68"/>
    <x v="5"/>
  </r>
  <r>
    <x v="20"/>
    <s v="309"/>
    <s v="OD23Q4949"/>
    <n v="40"/>
    <x v="2"/>
    <n v="3709.6"/>
    <x v="19"/>
  </r>
  <r>
    <x v="20"/>
    <s v="310"/>
    <s v="Transporting"/>
    <n v="3666.16"/>
    <x v="2"/>
    <n v="340000"/>
    <x v="8"/>
  </r>
  <r>
    <x v="20"/>
    <s v="311"/>
    <s v="Consumer"/>
    <n v="32.35"/>
    <x v="2"/>
    <n v="3000"/>
    <x v="8"/>
  </r>
  <r>
    <x v="20"/>
    <s v="312"/>
    <m/>
    <n v="91.65"/>
    <x v="2"/>
    <n v="8500"/>
    <x v="21"/>
  </r>
  <r>
    <x v="20"/>
    <s v="313"/>
    <m/>
    <n v="517.58000000000004"/>
    <x v="2"/>
    <n v="48000"/>
    <x v="9"/>
  </r>
  <r>
    <x v="20"/>
    <s v="314"/>
    <m/>
    <n v="246.01"/>
    <x v="2"/>
    <n v="22814.959999999999"/>
    <x v="7"/>
  </r>
  <r>
    <x v="20"/>
    <s v="315"/>
    <s v="OD15AF5510"/>
    <n v="2999.25"/>
    <x v="2"/>
    <n v="278150.45"/>
    <x v="10"/>
  </r>
  <r>
    <x v="21"/>
    <s v="316"/>
    <s v="OD15AF5510"/>
    <n v="1000"/>
    <x v="2"/>
    <n v="92740"/>
    <x v="24"/>
  </r>
  <r>
    <x v="21"/>
    <s v="317"/>
    <s v="OD15AF5510"/>
    <n v="2000"/>
    <x v="2"/>
    <n v="185480"/>
    <x v="24"/>
  </r>
  <r>
    <x v="21"/>
    <s v="318"/>
    <s v="OD23L4439"/>
    <n v="4000"/>
    <x v="3"/>
    <n v="366000"/>
    <x v="0"/>
  </r>
  <r>
    <x v="21"/>
    <s v="319"/>
    <s v="OD15AF5510"/>
    <n v="46.77"/>
    <x v="2"/>
    <n v="4337.4399999999996"/>
    <x v="3"/>
  </r>
  <r>
    <x v="21"/>
    <s v="320"/>
    <s v="OD23N5072"/>
    <n v="1000"/>
    <x v="2"/>
    <n v="92740"/>
    <x v="15"/>
  </r>
  <r>
    <x v="21"/>
    <s v="321"/>
    <s v="OD15AF5510"/>
    <n v="1500.57"/>
    <x v="2"/>
    <n v="139162.85999999999"/>
    <x v="16"/>
  </r>
  <r>
    <x v="21"/>
    <s v="322"/>
    <s v="OD15AF5510"/>
    <n v="3000.04"/>
    <x v="2"/>
    <n v="278223.71000000002"/>
    <x v="10"/>
  </r>
  <r>
    <x v="21"/>
    <s v="323"/>
    <s v=""/>
    <n v="292.91000000000003"/>
    <x v="2"/>
    <n v="27164.86"/>
    <x v="7"/>
  </r>
  <r>
    <x v="21"/>
    <s v="324"/>
    <s v=""/>
    <n v="124"/>
    <x v="2"/>
    <n v="11500"/>
    <x v="9"/>
  </r>
  <r>
    <x v="21"/>
    <s v="325"/>
    <s v="Transporting"/>
    <n v="3365.32"/>
    <x v="2"/>
    <n v="312100"/>
    <x v="8"/>
  </r>
  <r>
    <x v="21"/>
    <s v="326"/>
    <s v="Consumer"/>
    <n v="10.79"/>
    <x v="2"/>
    <n v="1000"/>
    <x v="8"/>
  </r>
  <r>
    <x v="22"/>
    <s v="327"/>
    <s v="Consumer"/>
    <n v="32.35"/>
    <x v="2"/>
    <n v="3000"/>
    <x v="8"/>
  </r>
  <r>
    <x v="22"/>
    <s v="328"/>
    <s v="Transporting"/>
    <n v="3185.25"/>
    <x v="2"/>
    <n v="295400"/>
    <x v="8"/>
  </r>
  <r>
    <x v="22"/>
    <s v="329"/>
    <s v=""/>
    <n v="129.38999999999999"/>
    <x v="2"/>
    <n v="12000"/>
    <x v="9"/>
  </r>
  <r>
    <x v="22"/>
    <s v="330"/>
    <s v=""/>
    <n v="603"/>
    <x v="2"/>
    <n v="55922.21"/>
    <x v="7"/>
  </r>
  <r>
    <x v="22"/>
    <s v="331"/>
    <s v="OD15AF5510"/>
    <n v="3000.06"/>
    <x v="2"/>
    <n v="278225.56"/>
    <x v="10"/>
  </r>
  <r>
    <x v="22"/>
    <s v="332"/>
    <s v="OD05AN7688"/>
    <n v="200"/>
    <x v="2"/>
    <n v="18548"/>
    <x v="10"/>
  </r>
  <r>
    <x v="22"/>
    <s v="333"/>
    <s v="KA01AE2683"/>
    <n v="120"/>
    <x v="2"/>
    <n v="11128.8"/>
    <x v="36"/>
  </r>
  <r>
    <x v="23"/>
    <s v="334"/>
    <s v="OD15AF5510"/>
    <n v="3000"/>
    <x v="3"/>
    <n v="274500"/>
    <x v="0"/>
  </r>
  <r>
    <x v="23"/>
    <s v="335"/>
    <s v="OD23L4439"/>
    <n v="3000"/>
    <x v="3"/>
    <n v="274500"/>
    <x v="0"/>
  </r>
  <r>
    <x v="23"/>
    <s v="336"/>
    <s v="OD23N5072"/>
    <n v="500"/>
    <x v="2"/>
    <n v="46370"/>
    <x v="15"/>
  </r>
  <r>
    <x v="23"/>
    <s v="337"/>
    <s v="Transporting"/>
    <n v="2748.54"/>
    <x v="2"/>
    <n v="254900"/>
    <x v="8"/>
  </r>
  <r>
    <x v="23"/>
    <s v="338"/>
    <s v="OD15AA4091"/>
    <n v="50.2"/>
    <x v="2"/>
    <n v="4655.54"/>
    <x v="5"/>
  </r>
  <r>
    <x v="23"/>
    <s v="339"/>
    <s v="JH01FS6302"/>
    <n v="50"/>
    <x v="2"/>
    <n v="4637"/>
    <x v="5"/>
  </r>
  <r>
    <x v="23"/>
    <s v="340"/>
    <s v="JH01FS6302"/>
    <n v="50.47"/>
    <x v="2"/>
    <n v="4680.58"/>
    <x v="5"/>
  </r>
  <r>
    <x v="24"/>
    <s v="341"/>
    <s v="OD15AF5510"/>
    <n v="3000"/>
    <x v="2"/>
    <n v="278220"/>
    <x v="24"/>
  </r>
  <r>
    <x v="24"/>
    <s v="342"/>
    <s v="CG04MN1172"/>
    <n v="1000"/>
    <x v="2"/>
    <n v="92740"/>
    <x v="28"/>
  </r>
  <r>
    <x v="24"/>
    <s v="343"/>
    <s v="OD15AF5510"/>
    <n v="1850.75"/>
    <x v="2"/>
    <n v="171638.56"/>
    <x v="10"/>
  </r>
  <r>
    <x v="24"/>
    <s v="344"/>
    <s v=""/>
    <n v="20"/>
    <x v="2"/>
    <n v="1854.8"/>
    <x v="26"/>
  </r>
  <r>
    <x v="24"/>
    <s v="345"/>
    <s v="OD15AA4091"/>
    <n v="35"/>
    <x v="2"/>
    <n v="3245.9"/>
    <x v="5"/>
  </r>
  <r>
    <x v="24"/>
    <s v="346"/>
    <s v="OD15U5910"/>
    <n v="105.03"/>
    <x v="2"/>
    <n v="9740.48"/>
    <x v="5"/>
  </r>
  <r>
    <x v="24"/>
    <s v="347"/>
    <s v="OD23A8210"/>
    <n v="32.35"/>
    <x v="2"/>
    <n v="3000.13"/>
    <x v="2"/>
  </r>
  <r>
    <x v="24"/>
    <s v="348"/>
    <s v="22BH2043E"/>
    <n v="55.85"/>
    <x v="2"/>
    <n v="5179.5200000000004"/>
    <x v="36"/>
  </r>
  <r>
    <x v="24"/>
    <s v="349"/>
    <s v=""/>
    <n v="150.97999999999999"/>
    <x v="2"/>
    <n v="14001.73"/>
    <x v="7"/>
  </r>
  <r>
    <x v="24"/>
    <s v="350"/>
    <s v="Transporting"/>
    <n v="3642.44"/>
    <x v="2"/>
    <n v="337800"/>
    <x v="8"/>
  </r>
  <r>
    <x v="24"/>
    <s v="351"/>
    <s v="Consumer"/>
    <n v="43.13"/>
    <x v="2"/>
    <n v="4000"/>
    <x v="8"/>
  </r>
  <r>
    <x v="25"/>
    <s v="352"/>
    <s v="OD15AF5510"/>
    <n v="3000"/>
    <x v="2"/>
    <n v="278220"/>
    <x v="24"/>
  </r>
  <r>
    <x v="25"/>
    <s v="353"/>
    <s v="OD15AF5510"/>
    <n v="1500"/>
    <x v="2"/>
    <n v="139110"/>
    <x v="16"/>
  </r>
  <r>
    <x v="25"/>
    <s v="354"/>
    <s v="Transporting"/>
    <n v="2060.6"/>
    <x v="2"/>
    <n v="191100"/>
    <x v="8"/>
  </r>
  <r>
    <x v="25"/>
    <s v="355"/>
    <s v=""/>
    <n v="835.13"/>
    <x v="2"/>
    <n v="77450.039999999994"/>
    <x v="7"/>
  </r>
  <r>
    <x v="25"/>
    <s v="356"/>
    <s v="OD05AN7688"/>
    <n v="600"/>
    <x v="2"/>
    <n v="55644"/>
    <x v="10"/>
  </r>
  <r>
    <x v="25"/>
    <s v="357"/>
    <s v="OD23A8210"/>
    <n v="24"/>
    <x v="2"/>
    <n v="2225.7600000000002"/>
    <x v="2"/>
  </r>
  <r>
    <x v="25"/>
    <s v="358"/>
    <s v="OD23D3131"/>
    <n v="27.5"/>
    <x v="2"/>
    <n v="2550.34"/>
    <x v="4"/>
  </r>
  <r>
    <x v="25"/>
    <s v="359"/>
    <s v="OD23D3131"/>
    <n v="17.600000000000001"/>
    <x v="2"/>
    <n v="1632.22"/>
    <x v="4"/>
  </r>
  <r>
    <x v="26"/>
    <s v="360"/>
    <s v="Transporting"/>
    <n v="3586.37"/>
    <x v="2"/>
    <n v="332600"/>
    <x v="8"/>
  </r>
  <r>
    <x v="26"/>
    <s v="361"/>
    <s v=""/>
    <n v="370.93"/>
    <x v="2"/>
    <n v="34400"/>
    <x v="21"/>
  </r>
  <r>
    <x v="26"/>
    <s v="362"/>
    <s v="OD15AF5510"/>
    <n v="1500"/>
    <x v="2"/>
    <n v="139110"/>
    <x v="16"/>
  </r>
  <r>
    <x v="26"/>
    <s v="363"/>
    <s v="OD15AF5510"/>
    <n v="3000"/>
    <x v="2"/>
    <n v="278220"/>
    <x v="24"/>
  </r>
  <r>
    <x v="26"/>
    <s v="364"/>
    <s v="OD23A3710"/>
    <n v="12000"/>
    <x v="2"/>
    <n v="1112880"/>
    <x v="30"/>
  </r>
  <r>
    <x v="26"/>
    <s v="365"/>
    <s v="OD23Q4511"/>
    <n v="1150"/>
    <x v="2"/>
    <n v="106651"/>
    <x v="17"/>
  </r>
  <r>
    <x v="26"/>
    <s v="366"/>
    <s v="OD15Q5872"/>
    <n v="1000"/>
    <x v="2"/>
    <n v="92740"/>
    <x v="15"/>
  </r>
  <r>
    <x v="26"/>
    <s v="367"/>
    <s v="OD05AN7688"/>
    <n v="200"/>
    <x v="2"/>
    <n v="18548"/>
    <x v="10"/>
  </r>
  <r>
    <x v="26"/>
    <s v="368"/>
    <s v="OD23G4251"/>
    <n v="32.35"/>
    <x v="2"/>
    <n v="3000"/>
    <x v="29"/>
  </r>
  <r>
    <x v="26"/>
    <s v="369"/>
    <s v="OD15AA4091"/>
    <n v="30"/>
    <x v="2"/>
    <n v="2782.2"/>
    <x v="5"/>
  </r>
  <r>
    <x v="26"/>
    <s v="370"/>
    <s v="OD23U4152"/>
    <n v="32.35"/>
    <x v="2"/>
    <n v="3000"/>
    <x v="31"/>
  </r>
  <r>
    <x v="26"/>
    <s v="371"/>
    <s v="OD23U3852"/>
    <n v="32.35"/>
    <x v="2"/>
    <n v="3000"/>
    <x v="31"/>
  </r>
  <r>
    <x v="26"/>
    <s v="372"/>
    <s v="OD23U3952"/>
    <n v="32.35"/>
    <x v="2"/>
    <n v="3000"/>
    <x v="31"/>
  </r>
  <r>
    <x v="26"/>
    <s v="373"/>
    <s v="OD23U4252"/>
    <n v="32.35"/>
    <x v="2"/>
    <n v="3000"/>
    <x v="31"/>
  </r>
  <r>
    <x v="26"/>
    <s v="374"/>
    <s v="OD23S1752"/>
    <n v="32.35"/>
    <x v="2"/>
    <n v="3000"/>
    <x v="31"/>
  </r>
  <r>
    <x v="26"/>
    <s v="375"/>
    <s v="OD23T2252"/>
    <n v="32.35"/>
    <x v="2"/>
    <n v="3000"/>
    <x v="31"/>
  </r>
  <r>
    <x v="26"/>
    <s v="376"/>
    <s v="OD23U2652"/>
    <n v="32.35"/>
    <x v="2"/>
    <n v="3000"/>
    <x v="31"/>
  </r>
  <r>
    <x v="26"/>
    <s v="377"/>
    <s v="OD23U2852"/>
    <n v="32.35"/>
    <x v="2"/>
    <n v="3000"/>
    <x v="31"/>
  </r>
  <r>
    <x v="26"/>
    <s v="378"/>
    <s v="CG13AW9515"/>
    <n v="107.83"/>
    <x v="2"/>
    <n v="10000"/>
    <x v="31"/>
  </r>
  <r>
    <x v="26"/>
    <s v="379"/>
    <s v="CG13BK4869"/>
    <n v="129.38999999999999"/>
    <x v="2"/>
    <n v="12000"/>
    <x v="31"/>
  </r>
  <r>
    <x v="27"/>
    <s v="380"/>
    <s v="OD15AF5510"/>
    <n v="3000"/>
    <x v="2"/>
    <n v="278220"/>
    <x v="24"/>
  </r>
  <r>
    <x v="27"/>
    <s v="381"/>
    <s v="Transporting"/>
    <n v="2035.8"/>
    <x v="2"/>
    <n v="188800"/>
    <x v="8"/>
  </r>
  <r>
    <x v="27"/>
    <s v="382"/>
    <s v=""/>
    <n v="238.3"/>
    <x v="2"/>
    <n v="22100"/>
    <x v="21"/>
  </r>
  <r>
    <x v="27"/>
    <s v="383"/>
    <s v=""/>
    <n v="388.17"/>
    <x v="2"/>
    <n v="35999"/>
    <x v="7"/>
  </r>
  <r>
    <x v="27"/>
    <s v="384"/>
    <s v="OD05AP4113"/>
    <n v="300"/>
    <x v="2"/>
    <n v="27822"/>
    <x v="23"/>
  </r>
  <r>
    <x v="27"/>
    <s v="385"/>
    <s v="OD16K1055"/>
    <n v="21.57"/>
    <x v="2"/>
    <n v="2000"/>
    <x v="29"/>
  </r>
  <r>
    <x v="27"/>
    <s v="386"/>
    <s v="OD16K1097"/>
    <n v="21.57"/>
    <x v="2"/>
    <n v="2000"/>
    <x v="29"/>
  </r>
  <r>
    <x v="27"/>
    <s v="387"/>
    <s v="OD15U5910"/>
    <n v="104.02"/>
    <x v="2"/>
    <n v="9646.7999999999993"/>
    <x v="5"/>
  </r>
  <r>
    <x v="27"/>
    <s v="388"/>
    <s v="OD23H5292"/>
    <n v="161.74"/>
    <x v="2"/>
    <n v="15000"/>
    <x v="25"/>
  </r>
  <r>
    <x v="28"/>
    <s v="389"/>
    <s v="OD23L4439"/>
    <n v="4000"/>
    <x v="2"/>
    <n v="370960"/>
    <x v="0"/>
  </r>
  <r>
    <x v="28"/>
    <s v="390"/>
    <s v="Transporting"/>
    <n v="1926.89"/>
    <x v="2"/>
    <n v="178700"/>
    <x v="8"/>
  </r>
  <r>
    <x v="28"/>
    <s v="391"/>
    <s v=""/>
    <n v="196.25"/>
    <x v="2"/>
    <n v="18200"/>
    <x v="21"/>
  </r>
  <r>
    <x v="28"/>
    <s v="392"/>
    <s v=""/>
    <n v="1132.95"/>
    <x v="2"/>
    <n v="105070.24"/>
    <x v="7"/>
  </r>
  <r>
    <x v="28"/>
    <s v="393"/>
    <s v="OD23S7008"/>
    <n v="10"/>
    <x v="2"/>
    <n v="927.4"/>
    <x v="4"/>
  </r>
  <r>
    <x v="28"/>
    <s v="394"/>
    <s v="OD23D3131"/>
    <n v="20"/>
    <x v="2"/>
    <n v="1854.8"/>
    <x v="4"/>
  </r>
  <r>
    <x v="28"/>
    <s v="395"/>
    <s v="OD16K1096"/>
    <n v="40"/>
    <x v="2"/>
    <n v="3709.6"/>
    <x v="29"/>
  </r>
  <r>
    <x v="28"/>
    <s v="396"/>
    <s v=""/>
    <n v="20"/>
    <x v="2"/>
    <n v="1854.8"/>
    <x v="26"/>
  </r>
  <r>
    <x v="28"/>
    <s v="397"/>
    <s v="OD15K2900"/>
    <n v="100"/>
    <x v="2"/>
    <n v="9274"/>
    <x v="38"/>
  </r>
  <r>
    <x v="28"/>
    <s v="398"/>
    <s v="OD15AA4091"/>
    <n v="49.09"/>
    <x v="2"/>
    <n v="4552.6000000000004"/>
    <x v="5"/>
  </r>
  <r>
    <x v="28"/>
    <s v="399"/>
    <s v="OD15AF5510"/>
    <n v="2981.59"/>
    <x v="2"/>
    <n v="276512.65999999997"/>
    <x v="10"/>
  </r>
  <r>
    <x v="29"/>
    <s v="400"/>
    <s v="OD15AF5510"/>
    <n v="3000"/>
    <x v="2"/>
    <n v="278220"/>
    <x v="24"/>
  </r>
  <r>
    <x v="29"/>
    <s v="401"/>
    <s v="OD15AF5510"/>
    <n v="1499.86"/>
    <x v="2"/>
    <n v="139097.01999999999"/>
    <x v="16"/>
  </r>
  <r>
    <x v="29"/>
    <s v="402"/>
    <s v="Transporting"/>
    <n v="2708.65"/>
    <x v="2"/>
    <n v="251200"/>
    <x v="8"/>
  </r>
  <r>
    <x v="29"/>
    <s v="403"/>
    <s v=""/>
    <n v="649.13"/>
    <x v="2"/>
    <n v="60200"/>
    <x v="21"/>
  </r>
  <r>
    <x v="29"/>
    <s v="404"/>
    <s v=""/>
    <n v="20"/>
    <x v="2"/>
    <n v="1854.8"/>
    <x v="7"/>
  </r>
  <r>
    <x v="29"/>
    <s v="405"/>
    <s v="OD23P9344"/>
    <n v="50"/>
    <x v="2"/>
    <n v="4637"/>
    <x v="4"/>
  </r>
  <r>
    <x v="29"/>
    <s v="406"/>
    <s v="JH01FS6302"/>
    <n v="30"/>
    <x v="2"/>
    <n v="2782.2"/>
    <x v="5"/>
  </r>
  <r>
    <x v="29"/>
    <s v="407"/>
    <s v="JH01FS6302"/>
    <n v="48.84"/>
    <x v="2"/>
    <n v="4529.42"/>
    <x v="5"/>
  </r>
  <r>
    <x v="29"/>
    <s v="408"/>
    <s v="OD14T5423"/>
    <n v="44.62"/>
    <x v="2"/>
    <n v="4138.05"/>
    <x v="29"/>
  </r>
  <r>
    <x v="29"/>
    <s v="409"/>
    <s v="OD15AF5510"/>
    <n v="47.36"/>
    <x v="2"/>
    <n v="4392.16"/>
    <x v="3"/>
  </r>
  <r>
    <x v="29"/>
    <s v="410"/>
    <s v="OD23A8210"/>
    <n v="52"/>
    <x v="2"/>
    <n v="4822.4799999999996"/>
    <x v="2"/>
  </r>
  <r>
    <x v="30"/>
    <s v="411"/>
    <s v="OD23L4439"/>
    <n v="4000"/>
    <x v="2"/>
    <n v="370960"/>
    <x v="0"/>
  </r>
  <r>
    <x v="30"/>
    <s v="412"/>
    <s v="Transporting"/>
    <n v="1485.87"/>
    <x v="2"/>
    <n v="137800"/>
    <x v="8"/>
  </r>
  <r>
    <x v="30"/>
    <s v="413"/>
    <s v=""/>
    <n v="1630.36"/>
    <x v="2"/>
    <n v="151200"/>
    <x v="21"/>
  </r>
  <r>
    <x v="30"/>
    <s v="414"/>
    <s v="OD15AF5510"/>
    <n v="3000"/>
    <x v="2"/>
    <n v="278220"/>
    <x v="10"/>
  </r>
  <r>
    <x v="30"/>
    <s v="415"/>
    <s v="OD15Q5872"/>
    <n v="500"/>
    <x v="2"/>
    <n v="46370"/>
    <x v="34"/>
  </r>
  <r>
    <x v="30"/>
    <s v="416"/>
    <s v="CG04MN1172"/>
    <n v="1200"/>
    <x v="2"/>
    <n v="111288"/>
    <x v="28"/>
  </r>
  <r>
    <x v="30"/>
    <s v="417"/>
    <s v="OD15AA4091"/>
    <n v="45.29"/>
    <x v="2"/>
    <n v="4200.1899999999996"/>
    <x v="5"/>
  </r>
  <r>
    <x v="30"/>
    <s v="418"/>
    <s v="OD15K2690"/>
    <n v="98.74"/>
    <x v="2"/>
    <n v="9157.14"/>
    <x v="38"/>
  </r>
  <r>
    <x v="31"/>
    <s v="419"/>
    <s v="OR15R5510"/>
    <n v="6000"/>
    <x v="2"/>
    <n v="556440"/>
    <x v="24"/>
  </r>
  <r>
    <x v="31"/>
    <s v="420"/>
    <s v="OD23L4439"/>
    <n v="4000"/>
    <x v="2"/>
    <n v="370960"/>
    <x v="0"/>
  </r>
  <r>
    <x v="31"/>
    <s v="421"/>
    <s v="OD15U5910"/>
    <n v="106"/>
    <x v="2"/>
    <n v="9830.44"/>
    <x v="5"/>
  </r>
  <r>
    <x v="31"/>
    <s v="422"/>
    <s v="JH01FS6302"/>
    <n v="50"/>
    <x v="2"/>
    <n v="4637"/>
    <x v="5"/>
  </r>
  <r>
    <x v="31"/>
    <s v="423"/>
    <s v="OD23M1980"/>
    <n v="600"/>
    <x v="2"/>
    <n v="55644"/>
    <x v="12"/>
  </r>
  <r>
    <x v="31"/>
    <s v="424"/>
    <s v="OD23G4251"/>
    <n v="21.57"/>
    <x v="2"/>
    <n v="2000"/>
    <x v="29"/>
  </r>
  <r>
    <x v="31"/>
    <s v="425"/>
    <s v="OD15Z1430"/>
    <n v="150"/>
    <x v="2"/>
    <n v="13911"/>
    <x v="38"/>
  </r>
  <r>
    <x v="31"/>
    <s v="426"/>
    <s v=""/>
    <n v="400"/>
    <x v="2"/>
    <n v="37096"/>
    <x v="7"/>
  </r>
  <r>
    <x v="31"/>
    <s v="427"/>
    <s v="Consumer"/>
    <n v="103.13"/>
    <x v="2"/>
    <n v="9564.4"/>
    <x v="8"/>
  </r>
  <r>
    <x v="31"/>
    <s v="428"/>
    <s v="Transporting"/>
    <n v="2159.8000000000002"/>
    <x v="2"/>
    <n v="200300"/>
    <x v="8"/>
  </r>
  <r>
    <x v="31"/>
    <s v="429"/>
    <s v=""/>
    <n v="90.58"/>
    <x v="2"/>
    <n v="8400"/>
    <x v="21"/>
  </r>
  <r>
    <x v="31"/>
    <s v="430"/>
    <s v="OD15AF5510"/>
    <n v="1500"/>
    <x v="2"/>
    <n v="139110"/>
    <x v="16"/>
  </r>
  <r>
    <x v="31"/>
    <s v="431"/>
    <s v="OD15AF5510"/>
    <n v="2999.27"/>
    <x v="2"/>
    <n v="278152.3"/>
    <x v="10"/>
  </r>
  <r>
    <x v="32"/>
    <s v="432"/>
    <s v="OD15AF5510"/>
    <n v="3000"/>
    <x v="2"/>
    <n v="278220"/>
    <x v="0"/>
  </r>
  <r>
    <x v="32"/>
    <s v="433"/>
    <s v="OD15AF5510"/>
    <n v="3000"/>
    <x v="2"/>
    <n v="278220"/>
    <x v="24"/>
  </r>
  <r>
    <x v="32"/>
    <s v="434"/>
    <s v="OD23L4439"/>
    <n v="3000"/>
    <x v="2"/>
    <n v="278220"/>
    <x v="0"/>
  </r>
  <r>
    <x v="32"/>
    <s v="435"/>
    <s v="OD23S5820"/>
    <n v="200"/>
    <x v="2"/>
    <n v="18548"/>
    <x v="12"/>
  </r>
  <r>
    <x v="32"/>
    <s v="436"/>
    <s v="OR16 8223"/>
    <n v="3000"/>
    <x v="2"/>
    <n v="278220"/>
    <x v="37"/>
  </r>
  <r>
    <x v="32"/>
    <s v="437"/>
    <s v="OD15AA4091"/>
    <n v="41.17"/>
    <x v="2"/>
    <n v="3818.1"/>
    <x v="5"/>
  </r>
  <r>
    <x v="32"/>
    <s v="438"/>
    <s v="CG04MN1172"/>
    <n v="1500"/>
    <x v="2"/>
    <n v="139110"/>
    <x v="28"/>
  </r>
  <r>
    <x v="32"/>
    <s v="439"/>
    <s v="OD23G4251"/>
    <n v="50.53"/>
    <x v="2"/>
    <n v="4686.1499999999996"/>
    <x v="29"/>
  </r>
  <r>
    <x v="32"/>
    <s v="440"/>
    <s v="OD15K2900"/>
    <n v="100"/>
    <x v="2"/>
    <n v="9274"/>
    <x v="38"/>
  </r>
  <r>
    <x v="32"/>
    <s v="441"/>
    <s v="OR15Q0355"/>
    <n v="350"/>
    <x v="2"/>
    <n v="32459"/>
    <x v="38"/>
  </r>
  <r>
    <x v="32"/>
    <s v="442"/>
    <s v=""/>
    <n v="20"/>
    <x v="2"/>
    <n v="1854.8"/>
    <x v="26"/>
  </r>
  <r>
    <x v="32"/>
    <s v="443"/>
    <s v="Transporting"/>
    <n v="2413.1999999999998"/>
    <x v="2"/>
    <n v="223800"/>
    <x v="8"/>
  </r>
  <r>
    <x v="32"/>
    <s v="444"/>
    <s v="Consumer"/>
    <n v="10.79"/>
    <x v="2"/>
    <n v="1000"/>
    <x v="8"/>
  </r>
  <r>
    <x v="32"/>
    <s v="445"/>
    <s v="OD23N5072"/>
    <n v="500"/>
    <x v="2"/>
    <n v="46370"/>
    <x v="34"/>
  </r>
  <r>
    <x v="32"/>
    <s v="446"/>
    <s v="OD23T1752"/>
    <n v="113.22"/>
    <x v="2"/>
    <n v="10500"/>
    <x v="31"/>
  </r>
  <r>
    <x v="32"/>
    <s v="447"/>
    <s v="OD23U4652"/>
    <n v="113.22"/>
    <x v="2"/>
    <n v="10500"/>
    <x v="31"/>
  </r>
  <r>
    <x v="32"/>
    <s v="448"/>
    <s v="OD23U4352"/>
    <n v="113.22"/>
    <x v="2"/>
    <n v="10500"/>
    <x v="31"/>
  </r>
  <r>
    <x v="32"/>
    <s v="449"/>
    <s v="OD23T1152"/>
    <n v="113.22"/>
    <x v="2"/>
    <n v="10500"/>
    <x v="31"/>
  </r>
  <r>
    <x v="32"/>
    <s v="450"/>
    <s v="OD23U2752"/>
    <n v="113.22"/>
    <x v="2"/>
    <n v="10500"/>
    <x v="31"/>
  </r>
  <r>
    <x v="32"/>
    <s v="451"/>
    <s v="OD23T2152"/>
    <n v="113.22"/>
    <x v="2"/>
    <n v="10500"/>
    <x v="31"/>
  </r>
  <r>
    <x v="32"/>
    <s v="452"/>
    <s v="OD23S1452"/>
    <n v="113.22"/>
    <x v="2"/>
    <n v="10500"/>
    <x v="31"/>
  </r>
  <r>
    <x v="32"/>
    <s v="453"/>
    <s v="OD23U4152"/>
    <n v="113.22"/>
    <x v="2"/>
    <n v="10500"/>
    <x v="31"/>
  </r>
  <r>
    <x v="32"/>
    <s v="454"/>
    <s v="OD23U4452"/>
    <n v="113.22"/>
    <x v="2"/>
    <n v="10500"/>
    <x v="31"/>
  </r>
  <r>
    <x v="33"/>
    <s v="455"/>
    <s v="OR15R5510"/>
    <n v="12000"/>
    <x v="2"/>
    <n v="1112880"/>
    <x v="24"/>
  </r>
  <r>
    <x v="33"/>
    <s v="456"/>
    <s v="OD15AF5510"/>
    <n v="3000.14"/>
    <x v="2"/>
    <n v="278232.98"/>
    <x v="10"/>
  </r>
  <r>
    <x v="33"/>
    <s v="457"/>
    <s v="Transporting"/>
    <n v="30.19"/>
    <x v="2"/>
    <n v="2800"/>
    <x v="8"/>
  </r>
  <r>
    <x v="34"/>
    <s v="458"/>
    <s v="DG"/>
    <n v="20"/>
    <x v="2"/>
    <n v="1854.8"/>
    <x v="26"/>
  </r>
  <r>
    <x v="35"/>
    <s v="459"/>
    <s v="OD23D3131"/>
    <n v="20"/>
    <x v="2"/>
    <n v="1854.8"/>
    <x v="4"/>
  </r>
  <r>
    <x v="35"/>
    <s v="460"/>
    <s v="OD15AA5823"/>
    <n v="371"/>
    <x v="2"/>
    <n v="34406.54"/>
    <x v="38"/>
  </r>
  <r>
    <x v="35"/>
    <s v="461"/>
    <s v="OD15Y2900"/>
    <n v="100"/>
    <x v="2"/>
    <n v="9274"/>
    <x v="38"/>
  </r>
  <r>
    <x v="35"/>
    <s v="462"/>
    <s v="JH01FS6302"/>
    <n v="80"/>
    <x v="2"/>
    <n v="7419.2"/>
    <x v="5"/>
  </r>
  <r>
    <x v="35"/>
    <s v="463"/>
    <s v="JH01FS6302"/>
    <n v="50"/>
    <x v="2"/>
    <n v="4637"/>
    <x v="5"/>
  </r>
  <r>
    <x v="35"/>
    <s v="464"/>
    <s v="OD15AA4091"/>
    <n v="43.5"/>
    <x v="2"/>
    <n v="4034.19"/>
    <x v="5"/>
  </r>
  <r>
    <x v="35"/>
    <s v="465"/>
    <s v="OD15U5910"/>
    <n v="83"/>
    <x v="2"/>
    <n v="7697.42"/>
    <x v="5"/>
  </r>
  <r>
    <x v="35"/>
    <s v="466"/>
    <s v="OD15AF5510"/>
    <n v="1000.02"/>
    <x v="2"/>
    <n v="92741.85"/>
    <x v="16"/>
  </r>
  <r>
    <x v="35"/>
    <s v="467"/>
    <s v="OD15AF5510"/>
    <n v="2999.72"/>
    <x v="2"/>
    <n v="278194.03000000003"/>
    <x v="10"/>
  </r>
  <r>
    <x v="35"/>
    <s v="468"/>
    <s v="Transporting"/>
    <n v="1592.62"/>
    <x v="2"/>
    <n v="147700"/>
    <x v="8"/>
  </r>
  <r>
    <x v="35"/>
    <s v="469"/>
    <s v="OD23N5072"/>
    <n v="1000"/>
    <x v="2"/>
    <n v="92740"/>
    <x v="34"/>
  </r>
  <r>
    <x v="35"/>
    <s v="470"/>
    <m/>
    <n v="424.6"/>
    <x v="2"/>
    <n v="39377.4"/>
    <x v="7"/>
  </r>
  <r>
    <x v="36"/>
    <s v="471"/>
    <s v="Transporting"/>
    <n v="2897.35"/>
    <x v="2"/>
    <n v="268700"/>
    <x v="8"/>
  </r>
  <r>
    <x v="36"/>
    <s v="472"/>
    <s v="Consumer"/>
    <n v="21.57"/>
    <x v="2"/>
    <n v="2000"/>
    <x v="8"/>
  </r>
  <r>
    <x v="36"/>
    <s v="473"/>
    <s v=""/>
    <n v="780.02"/>
    <x v="2"/>
    <n v="72339.05"/>
    <x v="7"/>
  </r>
  <r>
    <x v="36"/>
    <s v="474"/>
    <s v="OD23N5072"/>
    <n v="1000"/>
    <x v="2"/>
    <n v="92740"/>
    <x v="34"/>
  </r>
  <r>
    <x v="36"/>
    <s v="475"/>
    <s v="OD14T5423"/>
    <n v="42.22"/>
    <x v="2"/>
    <n v="3915.48"/>
    <x v="29"/>
  </r>
  <r>
    <x v="36"/>
    <s v="476"/>
    <s v="OD15K2900"/>
    <n v="300"/>
    <x v="2"/>
    <n v="27822"/>
    <x v="38"/>
  </r>
  <r>
    <x v="36"/>
    <s v="477"/>
    <s v="OD23A8210"/>
    <n v="43"/>
    <x v="2"/>
    <n v="3987.82"/>
    <x v="2"/>
  </r>
  <r>
    <x v="36"/>
    <s v="478"/>
    <s v="OD23A8210"/>
    <n v="38"/>
    <x v="2"/>
    <n v="3524.12"/>
    <x v="2"/>
  </r>
  <r>
    <x v="37"/>
    <s v="479"/>
    <s v="OD23R2557"/>
    <n v="600"/>
    <x v="2"/>
    <n v="55644"/>
    <x v="39"/>
  </r>
  <r>
    <x v="37"/>
    <s v="480"/>
    <s v="OD15AF5510"/>
    <n v="3000"/>
    <x v="2"/>
    <n v="278220"/>
    <x v="24"/>
  </r>
  <r>
    <x v="37"/>
    <s v="481"/>
    <s v="OD23L4439"/>
    <n v="4000"/>
    <x v="2"/>
    <n v="370960"/>
    <x v="0"/>
  </r>
  <r>
    <x v="37"/>
    <s v="482"/>
    <s v="Transporting"/>
    <n v="1710.16"/>
    <x v="2"/>
    <n v="158600"/>
    <x v="8"/>
  </r>
  <r>
    <x v="37"/>
    <s v="483"/>
    <s v="Consumer"/>
    <n v="70.78"/>
    <x v="2"/>
    <n v="6564.4"/>
    <x v="8"/>
  </r>
  <r>
    <x v="37"/>
    <s v="484"/>
    <s v="OD23N5072"/>
    <n v="1000"/>
    <x v="2"/>
    <n v="92740"/>
    <x v="34"/>
  </r>
  <r>
    <x v="37"/>
    <s v="485"/>
    <s v=""/>
    <n v="426.4"/>
    <x v="2"/>
    <n v="39544.33"/>
    <x v="7"/>
  </r>
  <r>
    <x v="37"/>
    <s v="486"/>
    <s v="OD23G4251"/>
    <n v="52.35"/>
    <x v="2"/>
    <n v="4854.93"/>
    <x v="29"/>
  </r>
  <r>
    <x v="37"/>
    <s v="487"/>
    <s v="OD23P9344"/>
    <n v="50"/>
    <x v="2"/>
    <n v="4637"/>
    <x v="4"/>
  </r>
  <r>
    <x v="38"/>
    <s v="488"/>
    <s v="OR-16-8223"/>
    <n v="2000"/>
    <x v="2"/>
    <n v="185480"/>
    <x v="40"/>
  </r>
  <r>
    <x v="38"/>
    <s v="489"/>
    <s v="OD15AF5510"/>
    <n v="3000.44"/>
    <x v="2"/>
    <n v="278260.81"/>
    <x v="10"/>
  </r>
  <r>
    <x v="38"/>
    <s v="490"/>
    <s v="OD15AF5510"/>
    <n v="1000"/>
    <x v="2"/>
    <n v="92740"/>
    <x v="16"/>
  </r>
  <r>
    <x v="38"/>
    <s v="491"/>
    <s v="Transporting"/>
    <n v="1478.33"/>
    <x v="2"/>
    <n v="137100"/>
    <x v="8"/>
  </r>
  <r>
    <x v="38"/>
    <s v="492"/>
    <s v=""/>
    <n v="760.19"/>
    <x v="2"/>
    <n v="70500"/>
    <x v="21"/>
  </r>
  <r>
    <x v="38"/>
    <s v="493"/>
    <s v=""/>
    <n v="280.66000000000003"/>
    <x v="2"/>
    <n v="26028.1"/>
    <x v="7"/>
  </r>
  <r>
    <x v="38"/>
    <s v="494"/>
    <s v="JH01FS6302"/>
    <n v="26.38"/>
    <x v="2"/>
    <n v="2446.48"/>
    <x v="5"/>
  </r>
  <r>
    <x v="38"/>
    <s v="495"/>
    <s v="OD33Y3567"/>
    <n v="42.63"/>
    <x v="2"/>
    <n v="3953.5"/>
    <x v="5"/>
  </r>
  <r>
    <x v="38"/>
    <s v="496"/>
    <s v="OD15AA4091"/>
    <n v="50"/>
    <x v="2"/>
    <n v="4637"/>
    <x v="5"/>
  </r>
  <r>
    <x v="38"/>
    <s v="497"/>
    <s v="OD15AA4091"/>
    <n v="34.57"/>
    <x v="2"/>
    <n v="3206.02"/>
    <x v="5"/>
  </r>
  <r>
    <x v="38"/>
    <s v="498"/>
    <s v="NL01AJ8743"/>
    <n v="320.5"/>
    <x v="2"/>
    <n v="29723.17"/>
    <x v="25"/>
  </r>
  <r>
    <x v="38"/>
    <s v="499"/>
    <s v="OD16K5817"/>
    <n v="120"/>
    <x v="2"/>
    <n v="11128.8"/>
    <x v="29"/>
  </r>
  <r>
    <x v="38"/>
    <s v="500"/>
    <s v="OD14T5423"/>
    <n v="44.06"/>
    <x v="2"/>
    <n v="4086.12"/>
    <x v="29"/>
  </r>
  <r>
    <x v="38"/>
    <s v="501"/>
    <s v="OD16K5817"/>
    <n v="75.48"/>
    <x v="2"/>
    <n v="7000"/>
    <x v="29"/>
  </r>
  <r>
    <x v="38"/>
    <s v="502"/>
    <s v="OD23D3131"/>
    <n v="12.3"/>
    <x v="2"/>
    <n v="1140.7"/>
    <x v="4"/>
  </r>
  <r>
    <x v="38"/>
    <s v="503"/>
    <s v="OD15P9503"/>
    <n v="20"/>
    <x v="2"/>
    <n v="1854.8"/>
    <x v="4"/>
  </r>
  <r>
    <x v="38"/>
    <s v="504"/>
    <s v="OD15AF5510"/>
    <n v="45.58"/>
    <x v="2"/>
    <n v="4227.08"/>
    <x v="3"/>
  </r>
  <r>
    <x v="38"/>
    <s v="505"/>
    <s v="OD23U4012"/>
    <n v="160"/>
    <x v="2"/>
    <n v="14838.4"/>
    <x v="13"/>
  </r>
  <r>
    <x v="39"/>
    <s v="506"/>
    <s v="OD15AF5510"/>
    <n v="3000"/>
    <x v="2"/>
    <n v="278220"/>
    <x v="10"/>
  </r>
  <r>
    <x v="39"/>
    <s v="507"/>
    <s v="Transporting"/>
    <n v="634.03"/>
    <x v="2"/>
    <n v="58800"/>
    <x v="8"/>
  </r>
  <r>
    <x v="39"/>
    <s v="508"/>
    <s v="Consumer"/>
    <n v="250"/>
    <x v="2"/>
    <n v="23185"/>
    <x v="8"/>
  </r>
  <r>
    <x v="39"/>
    <s v="509"/>
    <s v=""/>
    <n v="392.66"/>
    <x v="2"/>
    <n v="36415.660000000003"/>
    <x v="7"/>
  </r>
  <r>
    <x v="39"/>
    <s v="510"/>
    <s v=""/>
    <n v="75.48"/>
    <x v="2"/>
    <n v="7000"/>
    <x v="21"/>
  </r>
  <r>
    <x v="39"/>
    <s v="511"/>
    <s v="OD15K2900"/>
    <n v="100"/>
    <x v="2"/>
    <n v="9274"/>
    <x v="38"/>
  </r>
  <r>
    <x v="39"/>
    <s v="512"/>
    <s v="OD15Y2900"/>
    <n v="100"/>
    <x v="2"/>
    <n v="9274"/>
    <x v="38"/>
  </r>
  <r>
    <x v="39"/>
    <s v="513"/>
    <s v="OD15U5910"/>
    <n v="104"/>
    <x v="2"/>
    <n v="9644.9599999999991"/>
    <x v="5"/>
  </r>
  <r>
    <x v="39"/>
    <s v="514"/>
    <s v="OD15H8328"/>
    <n v="7"/>
    <x v="2"/>
    <n v="649.17999999999995"/>
    <x v="4"/>
  </r>
  <r>
    <x v="39"/>
    <s v="515"/>
    <s v=""/>
    <n v="20"/>
    <x v="2"/>
    <n v="1854.8"/>
    <x v="26"/>
  </r>
  <r>
    <x v="40"/>
    <s v="516"/>
    <s v="OD23N4311"/>
    <n v="600"/>
    <x v="2"/>
    <n v="55644"/>
    <x v="33"/>
  </r>
  <r>
    <x v="40"/>
    <s v="517"/>
    <s v="CG04MN1172"/>
    <n v="1000"/>
    <x v="2"/>
    <n v="92740"/>
    <x v="28"/>
  </r>
  <r>
    <x v="40"/>
    <s v="518"/>
    <s v="OD23U4012"/>
    <n v="160"/>
    <x v="2"/>
    <n v="14838.4"/>
    <x v="13"/>
  </r>
  <r>
    <x v="40"/>
    <s v="519"/>
    <s v="OD14Z1530"/>
    <n v="240"/>
    <x v="2"/>
    <n v="22257.599999999999"/>
    <x v="38"/>
  </r>
  <r>
    <x v="40"/>
    <s v="520"/>
    <s v="GREDAR"/>
    <n v="75.81"/>
    <x v="2"/>
    <n v="7030.61"/>
    <x v="38"/>
  </r>
  <r>
    <x v="40"/>
    <s v="521"/>
    <s v="OD15AA5823"/>
    <n v="229"/>
    <x v="2"/>
    <n v="21237.46"/>
    <x v="38"/>
  </r>
  <r>
    <x v="40"/>
    <s v="522"/>
    <s v="Transporting"/>
    <n v="263.10000000000002"/>
    <x v="2"/>
    <n v="24400"/>
    <x v="8"/>
  </r>
  <r>
    <x v="40"/>
    <s v="523"/>
    <s v="Consumer"/>
    <n v="28"/>
    <x v="2"/>
    <n v="2596.7199999999998"/>
    <x v="8"/>
  </r>
  <r>
    <x v="40"/>
    <s v="524"/>
    <s v=""/>
    <n v="150.96"/>
    <x v="2"/>
    <n v="14000"/>
    <x v="21"/>
  </r>
  <r>
    <x v="40"/>
    <s v="525"/>
    <s v=""/>
    <n v="399.76"/>
    <x v="2"/>
    <n v="37074.080000000002"/>
    <x v="7"/>
  </r>
  <r>
    <x v="40"/>
    <s v="526"/>
    <s v="OD15AF5510"/>
    <n v="1000"/>
    <x v="2"/>
    <n v="92740"/>
    <x v="41"/>
  </r>
  <r>
    <x v="40"/>
    <s v="527"/>
    <s v=""/>
    <n v="1000"/>
    <x v="2"/>
    <n v="92740"/>
    <x v="42"/>
  </r>
  <r>
    <x v="41"/>
    <s v="528"/>
    <s v="OD23E7045"/>
    <n v="2000"/>
    <x v="4"/>
    <n v="191860"/>
    <x v="43"/>
  </r>
  <r>
    <x v="41"/>
    <s v="529"/>
    <s v="OD15W2782"/>
    <n v="500"/>
    <x v="4"/>
    <n v="47965"/>
    <x v="44"/>
  </r>
  <r>
    <x v="41"/>
    <s v="530"/>
    <s v="OD34V5966"/>
    <n v="200"/>
    <x v="4"/>
    <n v="19186"/>
    <x v="45"/>
  </r>
  <r>
    <x v="41"/>
    <s v="531"/>
    <s v="OD23L4439"/>
    <n v="3000"/>
    <x v="4"/>
    <n v="287790"/>
    <x v="0"/>
  </r>
  <r>
    <x v="41"/>
    <s v="532"/>
    <s v="OD23N5072"/>
    <n v="500"/>
    <x v="4"/>
    <n v="47965"/>
    <x v="34"/>
  </r>
  <r>
    <x v="41"/>
    <s v="533"/>
    <s v="OD15AF5510"/>
    <n v="1499.99"/>
    <x v="4"/>
    <n v="143894.04"/>
    <x v="16"/>
  </r>
  <r>
    <x v="41"/>
    <s v="534"/>
    <s v="Transporting"/>
    <n v="2564.37"/>
    <x v="4"/>
    <n v="246000"/>
    <x v="8"/>
  </r>
  <r>
    <x v="41"/>
    <s v="535"/>
    <s v=""/>
    <n v="32.42"/>
    <x v="4"/>
    <n v="3110.05"/>
    <x v="7"/>
  </r>
  <r>
    <x v="41"/>
    <s v="536"/>
    <s v="OR15Q0355"/>
    <n v="50"/>
    <x v="4"/>
    <n v="4796.5"/>
    <x v="38"/>
  </r>
  <r>
    <x v="41"/>
    <s v="537"/>
    <s v="OD15K2900"/>
    <n v="100"/>
    <x v="4"/>
    <n v="9593"/>
    <x v="38"/>
  </r>
  <r>
    <x v="41"/>
    <s v="538"/>
    <s v="OD16 8223"/>
    <n v="2000"/>
    <x v="4"/>
    <n v="191860"/>
    <x v="30"/>
  </r>
  <r>
    <x v="42"/>
    <s v="539"/>
    <s v="RJ19GE7997"/>
    <n v="120"/>
    <x v="4"/>
    <n v="11511.6"/>
    <x v="36"/>
  </r>
  <r>
    <x v="43"/>
    <s v="540"/>
    <s v="OD15AF5510"/>
    <n v="3000"/>
    <x v="4"/>
    <n v="287790"/>
    <x v="24"/>
  </r>
  <r>
    <x v="43"/>
    <s v="541"/>
    <s v="CG04MN1172"/>
    <n v="1500"/>
    <x v="4"/>
    <n v="143895"/>
    <x v="28"/>
  </r>
  <r>
    <x v="43"/>
    <s v="542"/>
    <s v="OD15W2782"/>
    <n v="500"/>
    <x v="4"/>
    <n v="47965"/>
    <x v="44"/>
  </r>
  <r>
    <x v="43"/>
    <s v="543"/>
    <s v="OD15AC0355"/>
    <n v="500"/>
    <x v="4"/>
    <n v="47965"/>
    <x v="46"/>
  </r>
  <r>
    <x v="43"/>
    <s v="544"/>
    <s v="OD23L7437"/>
    <n v="1000"/>
    <x v="4"/>
    <n v="95930"/>
    <x v="30"/>
  </r>
  <r>
    <x v="43"/>
    <s v="545"/>
    <s v="Transporting"/>
    <n v="1642.86"/>
    <x v="4"/>
    <n v="157600"/>
    <x v="8"/>
  </r>
  <r>
    <x v="43"/>
    <s v="546"/>
    <s v=""/>
    <n v="452.41"/>
    <x v="4"/>
    <n v="43400"/>
    <x v="21"/>
  </r>
  <r>
    <x v="43"/>
    <s v="547"/>
    <s v=""/>
    <n v="200.01"/>
    <x v="4"/>
    <n v="19186.95"/>
    <x v="47"/>
  </r>
  <r>
    <x v="43"/>
    <s v="548"/>
    <s v=""/>
    <n v="44.3"/>
    <x v="4"/>
    <n v="4249.96"/>
    <x v="7"/>
  </r>
  <r>
    <x v="43"/>
    <s v="549"/>
    <s v="OD05AN7688"/>
    <n v="250"/>
    <x v="4"/>
    <n v="23982.5"/>
    <x v="10"/>
  </r>
  <r>
    <x v="43"/>
    <s v="550"/>
    <s v="OD15Z1430"/>
    <n v="200"/>
    <x v="4"/>
    <n v="19186"/>
    <x v="38"/>
  </r>
  <r>
    <x v="43"/>
    <s v="551"/>
    <s v="JH01FS6302"/>
    <n v="45.52"/>
    <x v="4"/>
    <n v="4366.7299999999996"/>
    <x v="5"/>
  </r>
  <r>
    <x v="43"/>
    <s v="552"/>
    <s v="WB59D0791"/>
    <n v="200"/>
    <x v="4"/>
    <n v="19186"/>
    <x v="25"/>
  </r>
  <r>
    <x v="43"/>
    <s v="553"/>
    <s v="OD14T5423"/>
    <n v="42.14"/>
    <x v="4"/>
    <n v="4042.49"/>
    <x v="29"/>
  </r>
  <r>
    <x v="43"/>
    <s v="554"/>
    <s v="OD23G4251"/>
    <n v="47"/>
    <x v="4"/>
    <n v="4508.71"/>
    <x v="29"/>
  </r>
  <r>
    <x v="44"/>
    <s v="555"/>
    <s v="OD23L3142"/>
    <n v="500"/>
    <x v="5"/>
    <n v="48450"/>
    <x v="28"/>
  </r>
  <r>
    <x v="44"/>
    <s v="556"/>
    <s v="OD15AA5823"/>
    <n v="300"/>
    <x v="5"/>
    <n v="29070"/>
    <x v="38"/>
  </r>
  <r>
    <x v="44"/>
    <s v="557"/>
    <s v="OD15AA4091"/>
    <n v="85"/>
    <x v="5"/>
    <n v="8236.5"/>
    <x v="5"/>
  </r>
  <r>
    <x v="44"/>
    <s v="558"/>
    <s v="OD15AA4091"/>
    <n v="49.15"/>
    <x v="5"/>
    <n v="4762.63"/>
    <x v="5"/>
  </r>
  <r>
    <x v="44"/>
    <s v="559"/>
    <s v="OD15U5910"/>
    <n v="101.15"/>
    <x v="5"/>
    <n v="9801.43"/>
    <x v="5"/>
  </r>
  <r>
    <x v="44"/>
    <s v="560"/>
    <s v="JH01FS6302"/>
    <n v="46.36"/>
    <x v="5"/>
    <n v="4492.28"/>
    <x v="5"/>
  </r>
  <r>
    <x v="44"/>
    <s v="561"/>
    <s v="Transporting"/>
    <n v="1259.03"/>
    <x v="5"/>
    <n v="122000"/>
    <x v="8"/>
  </r>
  <r>
    <x v="44"/>
    <s v="562"/>
    <s v="OD15AF5510"/>
    <n v="1000.06"/>
    <x v="5"/>
    <n v="96905.81"/>
    <x v="41"/>
  </r>
  <r>
    <x v="44"/>
    <s v="563"/>
    <s v="OD23A8210"/>
    <n v="45.92"/>
    <x v="5"/>
    <n v="4449.6400000000003"/>
    <x v="2"/>
  </r>
  <r>
    <x v="44"/>
    <s v="564"/>
    <s v="OD23N5072"/>
    <n v="400"/>
    <x v="5"/>
    <n v="38760"/>
    <x v="34"/>
  </r>
  <r>
    <x v="44"/>
    <s v="565"/>
    <s v=""/>
    <n v="103.2"/>
    <x v="5"/>
    <n v="10000"/>
    <x v="7"/>
  </r>
  <r>
    <x v="44"/>
    <s v="566"/>
    <s v="OD23T0726"/>
    <n v="120"/>
    <x v="5"/>
    <n v="11628"/>
    <x v="36"/>
  </r>
  <r>
    <x v="45"/>
    <s v="567"/>
    <s v="OR15R5510"/>
    <n v="4000"/>
    <x v="5"/>
    <n v="387600"/>
    <x v="24"/>
  </r>
  <r>
    <x v="45"/>
    <s v="568"/>
    <s v="OD23N4311"/>
    <n v="500"/>
    <x v="5"/>
    <n v="48450"/>
    <x v="17"/>
  </r>
  <r>
    <x v="45"/>
    <s v="569"/>
    <s v="OD23S4194"/>
    <n v="500"/>
    <x v="5"/>
    <n v="48450"/>
    <x v="35"/>
  </r>
  <r>
    <x v="45"/>
    <s v="570"/>
    <s v="RJ37GA7801"/>
    <n v="984.99"/>
    <x v="5"/>
    <n v="95445"/>
    <x v="28"/>
  </r>
  <r>
    <x v="45"/>
    <s v="571"/>
    <s v="OD15AC0355"/>
    <n v="200"/>
    <x v="5"/>
    <n v="19380"/>
    <x v="46"/>
  </r>
  <r>
    <x v="45"/>
    <s v="572"/>
    <s v="OD15AA5823"/>
    <n v="300"/>
    <x v="5"/>
    <n v="29070"/>
    <x v="38"/>
  </r>
  <r>
    <x v="45"/>
    <s v="573"/>
    <s v="OD16J8242"/>
    <n v="51.6"/>
    <x v="5"/>
    <n v="5000"/>
    <x v="29"/>
  </r>
  <r>
    <x v="45"/>
    <s v="574"/>
    <s v="OD23T8210"/>
    <n v="50"/>
    <x v="5"/>
    <n v="4845"/>
    <x v="48"/>
  </r>
  <r>
    <x v="45"/>
    <s v="575"/>
    <s v=""/>
    <n v="20"/>
    <x v="5"/>
    <n v="1938"/>
    <x v="26"/>
  </r>
  <r>
    <x v="45"/>
    <s v="576"/>
    <s v="RJ19GJ6869"/>
    <n v="200"/>
    <x v="5"/>
    <n v="19380"/>
    <x v="25"/>
  </r>
  <r>
    <x v="45"/>
    <s v="577"/>
    <s v="OD15AF5510"/>
    <n v="3000.44"/>
    <x v="5"/>
    <n v="290742.64"/>
    <x v="10"/>
  </r>
  <r>
    <x v="45"/>
    <s v="578"/>
    <s v="Transporting"/>
    <n v="3629.76"/>
    <x v="5"/>
    <n v="351724"/>
    <x v="8"/>
  </r>
  <r>
    <x v="45"/>
    <s v="579"/>
    <s v=""/>
    <n v="453.2"/>
    <x v="5"/>
    <n v="43915"/>
    <x v="7"/>
  </r>
  <r>
    <x v="46"/>
    <s v="580"/>
    <s v="OD15AF5510"/>
    <n v="3000"/>
    <x v="5"/>
    <n v="290700"/>
    <x v="0"/>
  </r>
  <r>
    <x v="46"/>
    <s v="581"/>
    <s v="OD23E7045"/>
    <n v="1000"/>
    <x v="5"/>
    <n v="96900"/>
    <x v="43"/>
  </r>
  <r>
    <x v="46"/>
    <s v="582"/>
    <s v="OD05AN7688"/>
    <n v="300"/>
    <x v="5"/>
    <n v="29070"/>
    <x v="10"/>
  </r>
  <r>
    <x v="46"/>
    <s v="583"/>
    <s v="OD23D3131"/>
    <n v="31.2"/>
    <x v="5"/>
    <n v="3023.28"/>
    <x v="4"/>
  </r>
  <r>
    <x v="46"/>
    <s v="584"/>
    <s v="OD16J8226"/>
    <n v="72.239999999999995"/>
    <x v="5"/>
    <n v="7000"/>
    <x v="29"/>
  </r>
  <r>
    <x v="46"/>
    <s v="585"/>
    <s v="Transporting"/>
    <n v="57.79"/>
    <x v="5"/>
    <n v="5600"/>
    <x v="8"/>
  </r>
  <r>
    <x v="46"/>
    <s v="586"/>
    <s v=""/>
    <n v="22.71"/>
    <x v="5"/>
    <n v="2200.59"/>
    <x v="7"/>
  </r>
  <r>
    <x v="46"/>
    <s v="587"/>
    <s v="OD15AF5510"/>
    <n v="1500"/>
    <x v="5"/>
    <n v="145350"/>
    <x v="16"/>
  </r>
  <r>
    <x v="47"/>
    <s v="588"/>
    <s v="OD15AF5510"/>
    <n v="3000"/>
    <x v="5"/>
    <n v="290700"/>
    <x v="49"/>
  </r>
  <r>
    <x v="47"/>
    <s v="589"/>
    <s v="OD23L4439"/>
    <n v="3000"/>
    <x v="5"/>
    <n v="290700"/>
    <x v="0"/>
  </r>
  <r>
    <x v="47"/>
    <s v="590"/>
    <s v="Transporting"/>
    <n v="1463.36"/>
    <x v="5"/>
    <n v="141800"/>
    <x v="8"/>
  </r>
  <r>
    <x v="47"/>
    <s v="591"/>
    <s v="Consumer"/>
    <n v="20.64"/>
    <x v="5"/>
    <n v="2000"/>
    <x v="8"/>
  </r>
  <r>
    <x v="47"/>
    <s v="592"/>
    <s v=""/>
    <n v="309.60000000000002"/>
    <x v="5"/>
    <n v="30000"/>
    <x v="7"/>
  </r>
  <r>
    <x v="47"/>
    <s v="593"/>
    <s v="OD23T8010"/>
    <n v="120"/>
    <x v="5"/>
    <n v="11628"/>
    <x v="48"/>
  </r>
  <r>
    <x v="47"/>
    <s v="594"/>
    <s v="CG13AG8329"/>
    <n v="333"/>
    <x v="5"/>
    <n v="32267.7"/>
    <x v="36"/>
  </r>
  <r>
    <x v="47"/>
    <s v="595"/>
    <s v="CG13AG8991"/>
    <n v="333"/>
    <x v="5"/>
    <n v="32267.7"/>
    <x v="36"/>
  </r>
  <r>
    <x v="47"/>
    <s v="596"/>
    <s v="CG13AG8987"/>
    <n v="334"/>
    <x v="5"/>
    <n v="32364.6"/>
    <x v="36"/>
  </r>
  <r>
    <x v="47"/>
    <s v="597"/>
    <s v="OD15K2690"/>
    <n v="325.45999999999998"/>
    <x v="5"/>
    <n v="31537.07"/>
    <x v="38"/>
  </r>
  <r>
    <x v="47"/>
    <s v="598"/>
    <s v="GRADER"/>
    <n v="74.540000000000006"/>
    <x v="5"/>
    <n v="7222.92"/>
    <x v="38"/>
  </r>
  <r>
    <x v="47"/>
    <s v="599"/>
    <s v="OD15AA4091"/>
    <n v="35"/>
    <x v="5"/>
    <n v="3391.5"/>
    <x v="5"/>
  </r>
  <r>
    <x v="47"/>
    <s v="600"/>
    <s v="OD15AA4091"/>
    <n v="35.090000000000003"/>
    <x v="5"/>
    <n v="3400.22"/>
    <x v="5"/>
  </r>
  <r>
    <x v="47"/>
    <s v="601"/>
    <s v="OD14T5423"/>
    <n v="47.2"/>
    <x v="5"/>
    <n v="4573.68"/>
    <x v="29"/>
  </r>
  <r>
    <x v="47"/>
    <s v="602"/>
    <s v="OD23G4251"/>
    <n v="55.97"/>
    <x v="5"/>
    <n v="5423.49"/>
    <x v="29"/>
  </r>
  <r>
    <x v="47"/>
    <s v="603"/>
    <s v="OD05AN7688"/>
    <n v="300"/>
    <x v="5"/>
    <n v="29070"/>
    <x v="10"/>
  </r>
  <r>
    <x v="47"/>
    <s v="604"/>
    <s v="NL01AJ8743"/>
    <n v="300"/>
    <x v="5"/>
    <n v="29070"/>
    <x v="25"/>
  </r>
  <r>
    <x v="48"/>
    <s v="605"/>
    <s v="OD15AF5510"/>
    <n v="3000"/>
    <x v="6"/>
    <n v="293610"/>
    <x v="24"/>
  </r>
  <r>
    <x v="48"/>
    <s v="606"/>
    <s v="OD15D7494"/>
    <n v="500"/>
    <x v="6"/>
    <n v="48935"/>
    <x v="50"/>
  </r>
  <r>
    <x v="48"/>
    <s v="607"/>
    <s v="OD15AF5510"/>
    <n v="3000.76"/>
    <x v="6"/>
    <n v="293684.38"/>
    <x v="10"/>
  </r>
  <r>
    <x v="48"/>
    <s v="608"/>
    <s v="OD15AF5510"/>
    <n v="1500"/>
    <x v="6"/>
    <n v="146805"/>
    <x v="16"/>
  </r>
  <r>
    <x v="48"/>
    <s v="609"/>
    <s v="RJ37GA7801"/>
    <n v="600"/>
    <x v="6"/>
    <n v="58722"/>
    <x v="28"/>
  </r>
  <r>
    <x v="48"/>
    <s v="610"/>
    <s v="Consumer"/>
    <n v="55.54"/>
    <x v="6"/>
    <n v="5436.1"/>
    <x v="8"/>
  </r>
  <r>
    <x v="48"/>
    <s v="611"/>
    <s v="Transporting"/>
    <n v="3892.92"/>
    <x v="6"/>
    <n v="381000"/>
    <x v="8"/>
  </r>
  <r>
    <x v="48"/>
    <s v="612"/>
    <s v=""/>
    <n v="469.62"/>
    <x v="6"/>
    <n v="45961.4"/>
    <x v="7"/>
  </r>
  <r>
    <x v="48"/>
    <s v="613"/>
    <s v="OD15AA5823"/>
    <n v="224.79"/>
    <x v="6"/>
    <n v="22000.19"/>
    <x v="38"/>
  </r>
  <r>
    <x v="48"/>
    <s v="614"/>
    <s v="OD23D3131"/>
    <n v="20"/>
    <x v="6"/>
    <n v="1957.4"/>
    <x v="4"/>
  </r>
  <r>
    <x v="48"/>
    <s v="615"/>
    <s v="OD23T3110"/>
    <n v="120"/>
    <x v="6"/>
    <n v="11744.4"/>
    <x v="48"/>
  </r>
  <r>
    <x v="48"/>
    <s v="616"/>
    <s v="RJ02GC7411"/>
    <n v="204.35"/>
    <x v="6"/>
    <n v="20000"/>
    <x v="25"/>
  </r>
  <r>
    <x v="48"/>
    <s v="617"/>
    <s v="JH01FS6302"/>
    <n v="25.74"/>
    <x v="6"/>
    <n v="2519.17"/>
    <x v="5"/>
  </r>
  <r>
    <x v="48"/>
    <s v="618"/>
    <s v="OD15U5910"/>
    <n v="102.91"/>
    <x v="6"/>
    <n v="10071.799999999999"/>
    <x v="5"/>
  </r>
  <r>
    <x v="48"/>
    <s v="619"/>
    <s v="OD16K1092"/>
    <n v="51.09"/>
    <x v="6"/>
    <n v="5000"/>
    <x v="29"/>
  </r>
  <r>
    <x v="48"/>
    <s v="620"/>
    <s v="OD16K5862"/>
    <n v="51.09"/>
    <x v="6"/>
    <n v="5000"/>
    <x v="29"/>
  </r>
  <r>
    <x v="48"/>
    <s v="621"/>
    <s v="OD16K0936"/>
    <n v="51.09"/>
    <x v="6"/>
    <n v="5000"/>
    <x v="29"/>
  </r>
  <r>
    <x v="48"/>
    <s v="622"/>
    <s v="OD16K6067"/>
    <n v="51.09"/>
    <x v="6"/>
    <n v="5000"/>
    <x v="29"/>
  </r>
  <r>
    <x v="48"/>
    <s v="623"/>
    <s v="OD16K1023"/>
    <n v="51.09"/>
    <x v="6"/>
    <n v="5000"/>
    <x v="29"/>
  </r>
  <r>
    <x v="49"/>
    <s v="624"/>
    <s v="Transporting"/>
    <n v="2979.46"/>
    <x v="6"/>
    <n v="291600"/>
    <x v="8"/>
  </r>
  <r>
    <x v="49"/>
    <s v="625"/>
    <s v="OD15AF5510"/>
    <n v="1000"/>
    <x v="6"/>
    <n v="97870"/>
    <x v="41"/>
  </r>
  <r>
    <x v="49"/>
    <s v="626"/>
    <s v=""/>
    <n v="100"/>
    <x v="6"/>
    <n v="9787"/>
    <x v="7"/>
  </r>
  <r>
    <x v="49"/>
    <s v="627"/>
    <s v="OD23H5292"/>
    <n v="200"/>
    <x v="6"/>
    <n v="19574"/>
    <x v="25"/>
  </r>
  <r>
    <x v="49"/>
    <s v="628"/>
    <s v="RJ19GF5027"/>
    <n v="125"/>
    <x v="6"/>
    <n v="12234"/>
    <x v="36"/>
  </r>
  <r>
    <x v="50"/>
    <s v="629"/>
    <s v="OD15AF5510"/>
    <n v="3000"/>
    <x v="7"/>
    <n v="302220"/>
    <x v="24"/>
  </r>
  <r>
    <x v="50"/>
    <s v="630"/>
    <s v="OD23D9353"/>
    <n v="600"/>
    <x v="7"/>
    <n v="60444"/>
    <x v="12"/>
  </r>
  <r>
    <x v="50"/>
    <s v="631"/>
    <s v="OD23L4439"/>
    <n v="3000"/>
    <x v="7"/>
    <n v="302220"/>
    <x v="0"/>
  </r>
  <r>
    <x v="50"/>
    <s v="632"/>
    <s v="OD15AF5510"/>
    <n v="2999.83"/>
    <x v="7"/>
    <n v="302202.87"/>
    <x v="10"/>
  </r>
  <r>
    <x v="50"/>
    <s v="633"/>
    <s v="Transporting"/>
    <n v="2062.7399999999998"/>
    <x v="7"/>
    <n v="207800"/>
    <x v="8"/>
  </r>
  <r>
    <x v="50"/>
    <s v="634"/>
    <s v=""/>
    <n v="198.53"/>
    <x v="7"/>
    <n v="20000"/>
    <x v="7"/>
  </r>
  <r>
    <x v="50"/>
    <s v="635"/>
    <s v="AJAX"/>
    <n v="70.83"/>
    <x v="7"/>
    <n v="7135.41"/>
    <x v="38"/>
  </r>
  <r>
    <x v="50"/>
    <s v="636"/>
    <s v="OD16K2690"/>
    <n v="200"/>
    <x v="7"/>
    <n v="20148"/>
    <x v="38"/>
  </r>
  <r>
    <x v="50"/>
    <s v="637"/>
    <s v="OD15AA4091"/>
    <n v="46.03"/>
    <x v="7"/>
    <n v="4637.0600000000004"/>
    <x v="5"/>
  </r>
  <r>
    <x v="50"/>
    <s v="638"/>
    <s v="OD15AF5510"/>
    <n v="45"/>
    <x v="7"/>
    <n v="4533.3"/>
    <x v="3"/>
  </r>
  <r>
    <x v="51"/>
    <s v="639"/>
    <s v="OD15AF5510"/>
    <n v="3000"/>
    <x v="7"/>
    <n v="302220"/>
    <x v="24"/>
  </r>
  <r>
    <x v="51"/>
    <s v="640"/>
    <s v="OD15D7494"/>
    <n v="1500"/>
    <x v="7"/>
    <n v="151110"/>
    <x v="50"/>
  </r>
  <r>
    <x v="51"/>
    <s v="641"/>
    <s v="OD15AF5510"/>
    <n v="1498.21"/>
    <x v="7"/>
    <n v="150929.68"/>
    <x v="16"/>
  </r>
  <r>
    <x v="51"/>
    <s v="642"/>
    <s v="Transporting"/>
    <n v="1691.48"/>
    <x v="7"/>
    <n v="170400"/>
    <x v="8"/>
  </r>
  <r>
    <x v="51"/>
    <s v="643"/>
    <s v="Consumer"/>
    <n v="19.850000000000001"/>
    <x v="7"/>
    <n v="2000"/>
    <x v="8"/>
  </r>
  <r>
    <x v="51"/>
    <s v="644"/>
    <s v=""/>
    <n v="34.549999999999997"/>
    <x v="7"/>
    <n v="3480.56"/>
    <x v="7"/>
  </r>
  <r>
    <x v="51"/>
    <s v="645"/>
    <s v="OD23H9543"/>
    <n v="200"/>
    <x v="7"/>
    <n v="20148"/>
    <x v="25"/>
  </r>
  <r>
    <x v="51"/>
    <s v="646"/>
    <s v="OD14T5423"/>
    <n v="41.69"/>
    <x v="7"/>
    <n v="4199.8500000000004"/>
    <x v="29"/>
  </r>
  <r>
    <x v="52"/>
    <s v="647"/>
    <s v="OD15AF5510"/>
    <n v="3000"/>
    <x v="7"/>
    <n v="302220"/>
    <x v="24"/>
  </r>
  <r>
    <x v="52"/>
    <s v="648"/>
    <s v="OD23L4439"/>
    <n v="3000"/>
    <x v="7"/>
    <n v="302220"/>
    <x v="0"/>
  </r>
  <r>
    <x v="52"/>
    <s v="649"/>
    <s v="OD15AF5510"/>
    <n v="3000.02"/>
    <x v="7"/>
    <n v="302222.01"/>
    <x v="10"/>
  </r>
  <r>
    <x v="52"/>
    <s v="650"/>
    <s v="OD15AF5510"/>
    <n v="1000"/>
    <x v="7"/>
    <n v="100740"/>
    <x v="41"/>
  </r>
  <r>
    <x v="52"/>
    <s v="651"/>
    <s v="Transporting"/>
    <n v="1936.67"/>
    <x v="7"/>
    <n v="195100"/>
    <x v="8"/>
  </r>
  <r>
    <x v="52"/>
    <s v="652"/>
    <s v=""/>
    <n v="476.47"/>
    <x v="7"/>
    <n v="48000"/>
    <x v="21"/>
  </r>
  <r>
    <x v="52"/>
    <s v="653"/>
    <s v=""/>
    <n v="129.05000000000001"/>
    <x v="7"/>
    <n v="13000"/>
    <x v="7"/>
  </r>
  <r>
    <x v="52"/>
    <s v="654"/>
    <s v="OD15K2690"/>
    <n v="104.13"/>
    <x v="7"/>
    <n v="10490.05"/>
    <x v="38"/>
  </r>
  <r>
    <x v="52"/>
    <s v="655"/>
    <s v="OD15AA5823"/>
    <n v="225"/>
    <x v="7"/>
    <n v="22666.5"/>
    <x v="38"/>
  </r>
  <r>
    <x v="52"/>
    <s v="656"/>
    <s v="OD23P9344"/>
    <n v="50"/>
    <x v="7"/>
    <n v="5037"/>
    <x v="4"/>
  </r>
  <r>
    <x v="52"/>
    <s v="657"/>
    <s v="OD23D3131"/>
    <n v="25.02"/>
    <x v="7"/>
    <n v="2520.5100000000002"/>
    <x v="4"/>
  </r>
  <r>
    <x v="52"/>
    <s v="658"/>
    <s v="OD15U5910"/>
    <n v="103.54"/>
    <x v="7"/>
    <n v="10430.61"/>
    <x v="5"/>
  </r>
  <r>
    <x v="52"/>
    <s v="659"/>
    <s v="OD15AA4091"/>
    <n v="34.06"/>
    <x v="7"/>
    <n v="3431.2"/>
    <x v="5"/>
  </r>
  <r>
    <x v="52"/>
    <s v="660"/>
    <s v="OD15AA4091"/>
    <n v="35"/>
    <x v="7"/>
    <n v="3525.9"/>
    <x v="5"/>
  </r>
  <r>
    <x v="53"/>
    <s v="661"/>
    <s v="OD23D0009"/>
    <n v="62.43"/>
    <x v="7"/>
    <n v="6289.19"/>
    <x v="19"/>
  </r>
  <r>
    <x v="53"/>
    <s v="662"/>
    <s v="Transporting"/>
    <n v="1948.58"/>
    <x v="7"/>
    <n v="196300"/>
    <x v="8"/>
  </r>
  <r>
    <x v="53"/>
    <s v="663"/>
    <s v=""/>
    <n v="391.11"/>
    <x v="7"/>
    <n v="39400"/>
    <x v="21"/>
  </r>
  <r>
    <x v="53"/>
    <s v="664"/>
    <s v=""/>
    <n v="49.63"/>
    <x v="7"/>
    <n v="5000"/>
    <x v="7"/>
  </r>
  <r>
    <x v="53"/>
    <s v="665"/>
    <s v="OD15AF5510"/>
    <n v="1502.03"/>
    <x v="7"/>
    <n v="151314.5"/>
    <x v="16"/>
  </r>
  <r>
    <x v="53"/>
    <s v="666"/>
    <s v=""/>
    <n v="400"/>
    <x v="7"/>
    <n v="40296"/>
    <x v="51"/>
  </r>
  <r>
    <x v="54"/>
    <s v="667"/>
    <s v="OD05AP4113"/>
    <n v="300"/>
    <x v="7"/>
    <n v="30222"/>
    <x v="23"/>
  </r>
  <r>
    <x v="54"/>
    <s v="668"/>
    <s v="OD15AF5510"/>
    <n v="3000"/>
    <x v="7"/>
    <n v="302220"/>
    <x v="24"/>
  </r>
  <r>
    <x v="54"/>
    <s v="669"/>
    <s v="OD15AF5510"/>
    <n v="3000"/>
    <x v="7"/>
    <n v="302220"/>
    <x v="40"/>
  </r>
  <r>
    <x v="54"/>
    <s v="670"/>
    <s v="OD23S5820"/>
    <n v="200"/>
    <x v="7"/>
    <n v="20148"/>
    <x v="12"/>
  </r>
  <r>
    <x v="54"/>
    <s v="671"/>
    <s v="OD23Q4511"/>
    <n v="400"/>
    <x v="7"/>
    <n v="40296"/>
    <x v="33"/>
  </r>
  <r>
    <x v="54"/>
    <s v="672"/>
    <s v="Transporting"/>
    <n v="27.8"/>
    <x v="7"/>
    <n v="2800"/>
    <x v="8"/>
  </r>
  <r>
    <x v="54"/>
    <s v="673"/>
    <s v=""/>
    <n v="314.18"/>
    <x v="7"/>
    <n v="31650"/>
    <x v="21"/>
  </r>
  <r>
    <x v="54"/>
    <s v="674"/>
    <s v="OD15T2320"/>
    <n v="19.850000000000001"/>
    <x v="7"/>
    <n v="2000"/>
    <x v="38"/>
  </r>
  <r>
    <x v="54"/>
    <s v="675"/>
    <s v="OD15N0455"/>
    <n v="66"/>
    <x v="7"/>
    <n v="6648.84"/>
    <x v="38"/>
  </r>
  <r>
    <x v="54"/>
    <s v="676"/>
    <s v="OD15N0455"/>
    <n v="200"/>
    <x v="7"/>
    <n v="20148"/>
    <x v="38"/>
  </r>
  <r>
    <x v="54"/>
    <s v="677"/>
    <s v="JH01FS6302"/>
    <n v="25"/>
    <x v="7"/>
    <n v="2518.5"/>
    <x v="5"/>
  </r>
  <r>
    <x v="54"/>
    <s v="678"/>
    <s v="OD16J8226"/>
    <n v="19.850000000000001"/>
    <x v="7"/>
    <n v="2000"/>
    <x v="29"/>
  </r>
  <r>
    <x v="54"/>
    <s v="679"/>
    <s v="OD23U4012"/>
    <n v="160"/>
    <x v="7"/>
    <n v="16118.4"/>
    <x v="13"/>
  </r>
  <r>
    <x v="54"/>
    <s v="680"/>
    <s v="OR23D1144"/>
    <n v="39.71"/>
    <x v="7"/>
    <n v="4000"/>
    <x v="36"/>
  </r>
  <r>
    <x v="55"/>
    <s v="681"/>
    <s v="OD15AF5510"/>
    <n v="3000"/>
    <x v="7"/>
    <n v="302220"/>
    <x v="24"/>
  </r>
  <r>
    <x v="55"/>
    <s v="682"/>
    <s v="OD15AF5510"/>
    <n v="1500.19"/>
    <x v="7"/>
    <n v="151129.14000000001"/>
    <x v="16"/>
  </r>
  <r>
    <x v="55"/>
    <s v="683"/>
    <s v="OD15AF5510"/>
    <n v="1000"/>
    <x v="7"/>
    <n v="100740"/>
    <x v="41"/>
  </r>
  <r>
    <x v="55"/>
    <s v="684"/>
    <s v="Transporting"/>
    <n v="612.47"/>
    <x v="7"/>
    <n v="61700"/>
    <x v="8"/>
  </r>
  <r>
    <x v="55"/>
    <s v="685"/>
    <s v="OR16B4812"/>
    <n v="800"/>
    <x v="7"/>
    <n v="80592"/>
    <x v="10"/>
  </r>
  <r>
    <x v="55"/>
    <s v="686"/>
    <s v="OD15AA4091"/>
    <n v="20"/>
    <x v="7"/>
    <n v="2014.8"/>
    <x v="5"/>
  </r>
  <r>
    <x v="55"/>
    <s v="687"/>
    <s v="OD15U5910"/>
    <n v="91.46"/>
    <x v="7"/>
    <n v="9213.68"/>
    <x v="5"/>
  </r>
  <r>
    <x v="55"/>
    <s v="688"/>
    <s v="OD15AF5510"/>
    <n v="45.79"/>
    <x v="7"/>
    <n v="4612.88"/>
    <x v="3"/>
  </r>
  <r>
    <x v="55"/>
    <s v="689"/>
    <s v="OD23P3948"/>
    <n v="30"/>
    <x v="7"/>
    <n v="3022.2"/>
    <x v="28"/>
  </r>
  <r>
    <x v="55"/>
    <s v="690"/>
    <s v="OD15H8328 6 Apr"/>
    <n v="9.2100000000000009"/>
    <x v="7"/>
    <n v="927.4"/>
    <x v="4"/>
  </r>
  <r>
    <x v="56"/>
    <s v="691"/>
    <s v="OD15AF5510"/>
    <n v="3000"/>
    <x v="7"/>
    <n v="302220"/>
    <x v="24"/>
  </r>
  <r>
    <x v="56"/>
    <s v="692"/>
    <s v="OD23L4439"/>
    <n v="3000"/>
    <x v="7"/>
    <n v="302220"/>
    <x v="0"/>
  </r>
  <r>
    <x v="56"/>
    <s v="693"/>
    <s v="Transporting"/>
    <n v="1574.35"/>
    <x v="7"/>
    <n v="158600"/>
    <x v="8"/>
  </r>
  <r>
    <x v="56"/>
    <s v="694"/>
    <s v=""/>
    <n v="324.60000000000002"/>
    <x v="7"/>
    <n v="32700"/>
    <x v="21"/>
  </r>
  <r>
    <x v="56"/>
    <s v="695"/>
    <s v=""/>
    <n v="49.64"/>
    <x v="7"/>
    <n v="5000"/>
    <x v="7"/>
  </r>
  <r>
    <x v="56"/>
    <s v="696"/>
    <s v="JH01FS6302"/>
    <n v="47.41"/>
    <x v="7"/>
    <n v="4776.08"/>
    <x v="5"/>
  </r>
  <r>
    <x v="56"/>
    <s v="697"/>
    <s v="OD15AA4091"/>
    <n v="48"/>
    <x v="7"/>
    <n v="4835.5200000000004"/>
    <x v="5"/>
  </r>
  <r>
    <x v="56"/>
    <s v="698"/>
    <s v="OD15AA4091"/>
    <n v="50"/>
    <x v="7"/>
    <n v="5037"/>
    <x v="5"/>
  </r>
  <r>
    <x v="56"/>
    <s v="699"/>
    <s v="OD33Y3569"/>
    <n v="44.32"/>
    <x v="7"/>
    <n v="4464.79"/>
    <x v="5"/>
  </r>
  <r>
    <x v="56"/>
    <s v="700"/>
    <s v="OD23D3131"/>
    <n v="25"/>
    <x v="7"/>
    <n v="2518.5"/>
    <x v="4"/>
  </r>
  <r>
    <x v="56"/>
    <s v="701"/>
    <s v="OD23P9344"/>
    <n v="50"/>
    <x v="7"/>
    <n v="5037"/>
    <x v="4"/>
  </r>
  <r>
    <x v="56"/>
    <s v="702"/>
    <s v="OD15AA5823"/>
    <n v="220"/>
    <x v="7"/>
    <n v="22162.799999999999"/>
    <x v="38"/>
  </r>
  <r>
    <x v="56"/>
    <s v="703"/>
    <s v="OD15AE7230"/>
    <n v="160"/>
    <x v="7"/>
    <n v="16118.4"/>
    <x v="38"/>
  </r>
  <r>
    <x v="56"/>
    <s v="704"/>
    <s v="RJ37GA7801"/>
    <n v="500"/>
    <x v="7"/>
    <n v="50370"/>
    <x v="28"/>
  </r>
  <r>
    <x v="56"/>
    <s v="705"/>
    <s v="CG13AG8332"/>
    <n v="316"/>
    <x v="7"/>
    <n v="31833.84"/>
    <x v="36"/>
  </r>
  <r>
    <x v="56"/>
    <s v="706"/>
    <s v="CG13AG8329"/>
    <n v="317"/>
    <x v="7"/>
    <n v="31934.58"/>
    <x v="36"/>
  </r>
  <r>
    <x v="56"/>
    <s v="707"/>
    <s v="CG13AG8993"/>
    <n v="317"/>
    <x v="7"/>
    <n v="31934.58"/>
    <x v="36"/>
  </r>
  <r>
    <x v="57"/>
    <s v="708"/>
    <s v="OD15AF5510"/>
    <n v="3000"/>
    <x v="7"/>
    <n v="302220"/>
    <x v="10"/>
  </r>
  <r>
    <x v="57"/>
    <s v="709"/>
    <s v="Transporting"/>
    <n v="1587.25"/>
    <x v="7"/>
    <n v="159900"/>
    <x v="8"/>
  </r>
  <r>
    <x v="57"/>
    <s v="710"/>
    <s v="Consumer"/>
    <n v="36"/>
    <x v="7"/>
    <n v="3626.64"/>
    <x v="8"/>
  </r>
  <r>
    <x v="57"/>
    <s v="711"/>
    <s v=""/>
    <n v="372.25"/>
    <x v="7"/>
    <n v="37500"/>
    <x v="21"/>
  </r>
  <r>
    <x v="57"/>
    <s v="712"/>
    <s v="OD15U5910"/>
    <n v="98.53"/>
    <x v="7"/>
    <n v="9925.91"/>
    <x v="5"/>
  </r>
  <r>
    <x v="58"/>
    <s v="713"/>
    <s v="OD15AF5510"/>
    <n v="3000"/>
    <x v="7"/>
    <n v="302220"/>
    <x v="24"/>
  </r>
  <r>
    <x v="58"/>
    <s v="714"/>
    <s v="OD23N6311"/>
    <n v="1000"/>
    <x v="7"/>
    <n v="100740"/>
    <x v="17"/>
  </r>
  <r>
    <x v="58"/>
    <s v="715"/>
    <s v="OD15AF5510"/>
    <n v="1000.6"/>
    <x v="7"/>
    <n v="100800.44"/>
    <x v="41"/>
  </r>
  <r>
    <x v="58"/>
    <s v="716"/>
    <s v="OD15AF5510"/>
    <n v="1500.42"/>
    <x v="7"/>
    <n v="151152.31"/>
    <x v="16"/>
  </r>
  <r>
    <x v="58"/>
    <s v="717"/>
    <s v="Transporting"/>
    <n v="598.57000000000005"/>
    <x v="7"/>
    <n v="60300"/>
    <x v="8"/>
  </r>
  <r>
    <x v="58"/>
    <s v="718"/>
    <s v="Consumer"/>
    <n v="329.78"/>
    <x v="7"/>
    <n v="33222"/>
    <x v="8"/>
  </r>
  <r>
    <x v="58"/>
    <s v="719"/>
    <s v=""/>
    <n v="1922.77"/>
    <x v="7"/>
    <n v="193700"/>
    <x v="21"/>
  </r>
  <r>
    <x v="58"/>
    <s v="720"/>
    <s v=""/>
    <n v="129.05000000000001"/>
    <x v="7"/>
    <n v="13000"/>
    <x v="9"/>
  </r>
  <r>
    <x v="58"/>
    <s v="721"/>
    <s v="OD28C4545"/>
    <n v="33.700000000000003"/>
    <x v="7"/>
    <n v="3394.93"/>
    <x v="32"/>
  </r>
  <r>
    <x v="58"/>
    <s v="722"/>
    <s v="OD23A8210"/>
    <n v="40"/>
    <x v="7"/>
    <n v="4029.6"/>
    <x v="2"/>
  </r>
  <r>
    <x v="58"/>
    <s v="723"/>
    <s v="OD23Q4770"/>
    <n v="106.66"/>
    <x v="7"/>
    <n v="10745.4"/>
    <x v="28"/>
  </r>
  <r>
    <x v="58"/>
    <s v="724"/>
    <s v="OD23N1900"/>
    <n v="36.340000000000003"/>
    <x v="7"/>
    <n v="3660.89"/>
    <x v="20"/>
  </r>
  <r>
    <x v="58"/>
    <s v="725"/>
    <s v="OD05AN7688"/>
    <n v="100"/>
    <x v="7"/>
    <n v="10074"/>
    <x v="10"/>
  </r>
  <r>
    <x v="58"/>
    <s v="726"/>
    <s v="OD16K0964"/>
    <n v="49.63"/>
    <x v="7"/>
    <n v="5000"/>
    <x v="29"/>
  </r>
  <r>
    <x v="58"/>
    <s v="727"/>
    <s v="OD16K0910"/>
    <n v="49.63"/>
    <x v="7"/>
    <n v="5000"/>
    <x v="29"/>
  </r>
  <r>
    <x v="58"/>
    <s v="728"/>
    <s v="OD16K1072"/>
    <n v="49.63"/>
    <x v="7"/>
    <n v="5000"/>
    <x v="29"/>
  </r>
  <r>
    <x v="58"/>
    <s v="729"/>
    <s v="OD16K1082"/>
    <n v="49.63"/>
    <x v="7"/>
    <n v="5000"/>
    <x v="29"/>
  </r>
  <r>
    <x v="58"/>
    <s v="730"/>
    <s v="OD16K1092"/>
    <n v="19.86"/>
    <x v="7"/>
    <n v="2000"/>
    <x v="29"/>
  </r>
  <r>
    <x v="58"/>
    <s v="731"/>
    <s v="OD23G4251"/>
    <n v="55.68"/>
    <x v="7"/>
    <n v="5609.2"/>
    <x v="29"/>
  </r>
  <r>
    <x v="59"/>
    <s v="732"/>
    <s v="OD23E7045"/>
    <n v="2000"/>
    <x v="7"/>
    <n v="201480"/>
    <x v="43"/>
  </r>
  <r>
    <x v="59"/>
    <s v="733"/>
    <s v="Transporting"/>
    <n v="2776.45"/>
    <x v="7"/>
    <n v="279700"/>
    <x v="8"/>
  </r>
  <r>
    <x v="59"/>
    <s v="734"/>
    <s v="Consumer"/>
    <n v="32"/>
    <x v="7"/>
    <n v="3223.68"/>
    <x v="8"/>
  </r>
  <r>
    <x v="59"/>
    <s v="735"/>
    <s v="OD15AF5510"/>
    <n v="3000"/>
    <x v="7"/>
    <n v="302220"/>
    <x v="10"/>
  </r>
  <r>
    <x v="59"/>
    <s v="736"/>
    <s v=""/>
    <n v="1418.02"/>
    <x v="7"/>
    <n v="142851.70000000001"/>
    <x v="21"/>
  </r>
  <r>
    <x v="59"/>
    <s v="737"/>
    <s v=""/>
    <n v="236.25"/>
    <x v="7"/>
    <n v="23800"/>
    <x v="9"/>
  </r>
  <r>
    <x v="59"/>
    <s v="738"/>
    <s v="OD15AF5510"/>
    <n v="1000.44"/>
    <x v="7"/>
    <n v="100784.33"/>
    <x v="41"/>
  </r>
  <r>
    <x v="59"/>
    <s v="739"/>
    <s v="OD15AA4091"/>
    <n v="50.3"/>
    <x v="7"/>
    <n v="5067.22"/>
    <x v="5"/>
  </r>
  <r>
    <x v="59"/>
    <s v="740"/>
    <s v="OD15K2690"/>
    <n v="110.19"/>
    <x v="7"/>
    <n v="11100.54"/>
    <x v="38"/>
  </r>
  <r>
    <x v="59"/>
    <s v="741"/>
    <s v="OD15X8293"/>
    <n v="78.72"/>
    <x v="7"/>
    <n v="7930.25"/>
    <x v="38"/>
  </r>
  <r>
    <x v="59"/>
    <s v="742"/>
    <s v="OD23K1450"/>
    <n v="200"/>
    <x v="7"/>
    <n v="20148"/>
    <x v="25"/>
  </r>
  <r>
    <x v="59"/>
    <s v="743"/>
    <s v="NL01AJ8743"/>
    <n v="300"/>
    <x v="7"/>
    <n v="30222"/>
    <x v="25"/>
  </r>
  <r>
    <x v="60"/>
    <s v="744"/>
    <s v="OR15R5510"/>
    <n v="12000"/>
    <x v="7"/>
    <n v="1208880"/>
    <x v="0"/>
  </r>
  <r>
    <x v="60"/>
    <s v="745"/>
    <s v="OD15U5910"/>
    <n v="104"/>
    <x v="7"/>
    <n v="10476.959999999999"/>
    <x v="5"/>
  </r>
  <r>
    <x v="60"/>
    <s v="746"/>
    <s v="JH01FS6302"/>
    <n v="44.45"/>
    <x v="7"/>
    <n v="4477.8900000000003"/>
    <x v="5"/>
  </r>
  <r>
    <x v="60"/>
    <s v="747"/>
    <s v="OD15K2690"/>
    <n v="96.39"/>
    <x v="7"/>
    <n v="9710.32"/>
    <x v="38"/>
  </r>
  <r>
    <x v="60"/>
    <s v="748"/>
    <s v="OD15AF5510"/>
    <n v="1500"/>
    <x v="7"/>
    <n v="151110"/>
    <x v="16"/>
  </r>
  <r>
    <x v="60"/>
    <s v="749"/>
    <s v="OD15AF5510"/>
    <n v="1500"/>
    <x v="7"/>
    <n v="151110"/>
    <x v="41"/>
  </r>
  <r>
    <x v="60"/>
    <s v="750"/>
    <s v=""/>
    <n v="119.12"/>
    <x v="7"/>
    <n v="12000"/>
    <x v="9"/>
  </r>
  <r>
    <x v="60"/>
    <s v="751"/>
    <s v=""/>
    <n v="640.26"/>
    <x v="7"/>
    <n v="64500"/>
    <x v="21"/>
  </r>
  <r>
    <x v="60"/>
    <s v="752"/>
    <s v=""/>
    <n v="19.850000000000001"/>
    <x v="7"/>
    <n v="2000"/>
    <x v="7"/>
  </r>
  <r>
    <x v="60"/>
    <s v="753"/>
    <s v="Transporting"/>
    <n v="5478.46"/>
    <x v="7"/>
    <n v="551900"/>
    <x v="8"/>
  </r>
  <r>
    <x v="60"/>
    <s v="754"/>
    <s v="Consumer"/>
    <n v="30"/>
    <x v="7"/>
    <n v="3022.2"/>
    <x v="8"/>
  </r>
  <r>
    <x v="61"/>
    <s v="755"/>
    <s v="Transporting"/>
    <n v="2724.84"/>
    <x v="7"/>
    <n v="274500"/>
    <x v="8"/>
  </r>
  <r>
    <x v="61"/>
    <s v="756"/>
    <s v=""/>
    <n v="1024.42"/>
    <x v="7"/>
    <n v="103200"/>
    <x v="21"/>
  </r>
  <r>
    <x v="61"/>
    <s v="757"/>
    <s v=""/>
    <n v="446.69"/>
    <x v="7"/>
    <n v="45000"/>
    <x v="9"/>
  </r>
  <r>
    <x v="61"/>
    <s v="758"/>
    <s v="OD15AF5510"/>
    <n v="3000.31"/>
    <x v="7"/>
    <n v="302251.23"/>
    <x v="10"/>
  </r>
  <r>
    <x v="61"/>
    <s v="759"/>
    <s v="OD15AF5510"/>
    <n v="300"/>
    <x v="7"/>
    <n v="30222"/>
    <x v="41"/>
  </r>
  <r>
    <x v="61"/>
    <s v="760"/>
    <s v="OD15Z1430"/>
    <n v="20"/>
    <x v="7"/>
    <n v="2014.8"/>
    <x v="38"/>
  </r>
  <r>
    <x v="61"/>
    <s v="761"/>
    <s v="OD15N0455"/>
    <n v="85.01"/>
    <x v="7"/>
    <n v="8563.9"/>
    <x v="38"/>
  </r>
  <r>
    <x v="61"/>
    <s v="762"/>
    <s v="OD15AE7230"/>
    <n v="206.01"/>
    <x v="7"/>
    <n v="20753.439999999999"/>
    <x v="38"/>
  </r>
  <r>
    <x v="61"/>
    <s v="763"/>
    <s v="OD15AA5823"/>
    <n v="175.7"/>
    <x v="7"/>
    <n v="17700.009999999998"/>
    <x v="38"/>
  </r>
  <r>
    <x v="61"/>
    <s v="764"/>
    <s v="JH13J1926"/>
    <n v="30"/>
    <x v="7"/>
    <n v="3022.2"/>
    <x v="28"/>
  </r>
  <r>
    <x v="61"/>
    <s v="765"/>
    <s v="OD23Q4768"/>
    <n v="40"/>
    <x v="7"/>
    <n v="4029.6"/>
    <x v="28"/>
  </r>
  <r>
    <x v="61"/>
    <s v="766"/>
    <s v="OD23L3195"/>
    <n v="30"/>
    <x v="7"/>
    <n v="3022.2"/>
    <x v="28"/>
  </r>
  <r>
    <x v="61"/>
    <s v="767"/>
    <s v=""/>
    <n v="20"/>
    <x v="7"/>
    <n v="2014.8"/>
    <x v="26"/>
  </r>
  <r>
    <x v="61"/>
    <s v="768"/>
    <s v="OD23A8210"/>
    <n v="45"/>
    <x v="7"/>
    <n v="4533.3"/>
    <x v="2"/>
  </r>
  <r>
    <x v="62"/>
    <s v="769"/>
    <s v="Transporting"/>
    <n v="661.11"/>
    <x v="7"/>
    <n v="66600"/>
    <x v="8"/>
  </r>
  <r>
    <x v="62"/>
    <s v="770"/>
    <s v=""/>
    <n v="957.91"/>
    <x v="7"/>
    <n v="96500"/>
    <x v="21"/>
  </r>
  <r>
    <x v="62"/>
    <s v="771"/>
    <s v=""/>
    <n v="119.12"/>
    <x v="7"/>
    <n v="12000"/>
    <x v="9"/>
  </r>
  <r>
    <x v="62"/>
    <s v="772"/>
    <s v="JCB"/>
    <n v="70"/>
    <x v="7"/>
    <n v="7051.8"/>
    <x v="4"/>
  </r>
  <r>
    <x v="62"/>
    <s v="773"/>
    <s v="OD23Q4770"/>
    <n v="30"/>
    <x v="7"/>
    <n v="3022.2"/>
    <x v="28"/>
  </r>
  <r>
    <x v="62"/>
    <s v="774"/>
    <s v="CG04NB2811"/>
    <n v="20"/>
    <x v="7"/>
    <n v="2014.8"/>
    <x v="28"/>
  </r>
  <r>
    <x v="62"/>
    <s v="775"/>
    <s v="JCB"/>
    <n v="30"/>
    <x v="7"/>
    <n v="3022.2"/>
    <x v="28"/>
  </r>
  <r>
    <x v="62"/>
    <s v="776"/>
    <s v="OD16K1092"/>
    <n v="40"/>
    <x v="7"/>
    <n v="4029.6"/>
    <x v="29"/>
  </r>
  <r>
    <x v="63"/>
    <s v="777"/>
    <s v="Transporting"/>
    <n v="516.17999999999995"/>
    <x v="7"/>
    <n v="52000"/>
    <x v="8"/>
  </r>
  <r>
    <x v="63"/>
    <s v="778"/>
    <s v="Consumer"/>
    <n v="32"/>
    <x v="7"/>
    <n v="3223.68"/>
    <x v="8"/>
  </r>
  <r>
    <x v="63"/>
    <s v="779"/>
    <s v=""/>
    <n v="178.68"/>
    <x v="7"/>
    <n v="18000"/>
    <x v="21"/>
  </r>
  <r>
    <x v="63"/>
    <s v="780"/>
    <s v=""/>
    <n v="119.12"/>
    <x v="7"/>
    <n v="12000"/>
    <x v="9"/>
  </r>
  <r>
    <x v="63"/>
    <s v="781"/>
    <s v=""/>
    <n v="280.94"/>
    <x v="7"/>
    <n v="28302.38"/>
    <x v="7"/>
  </r>
  <r>
    <x v="63"/>
    <s v="782"/>
    <s v=""/>
    <n v="717"/>
    <x v="7"/>
    <n v="72231.58"/>
    <x v="22"/>
  </r>
  <r>
    <x v="63"/>
    <s v="783"/>
    <s v="OD15AF5510"/>
    <n v="1500.04"/>
    <x v="7"/>
    <n v="151114.03"/>
    <x v="41"/>
  </r>
  <r>
    <x v="63"/>
    <s v="784"/>
    <s v="OD15AF5510"/>
    <n v="1999.04"/>
    <x v="7"/>
    <n v="201383.29"/>
    <x v="16"/>
  </r>
  <r>
    <x v="63"/>
    <s v="785"/>
    <s v="OD15AF5510"/>
    <n v="1000"/>
    <x v="7"/>
    <n v="100740"/>
    <x v="41"/>
  </r>
  <r>
    <x v="63"/>
    <s v="786"/>
    <s v="7801"/>
    <n v="400"/>
    <x v="7"/>
    <n v="40296"/>
    <x v="28"/>
  </r>
  <r>
    <x v="63"/>
    <s v="787"/>
    <s v="JH01FS6302"/>
    <n v="34.71"/>
    <x v="7"/>
    <n v="3496.68"/>
    <x v="5"/>
  </r>
  <r>
    <x v="63"/>
    <s v="788"/>
    <s v="OD15U5910"/>
    <n v="104"/>
    <x v="7"/>
    <n v="10476.959999999999"/>
    <x v="5"/>
  </r>
  <r>
    <x v="63"/>
    <s v="789"/>
    <s v="OD15AA4091"/>
    <n v="47"/>
    <x v="7"/>
    <n v="4734.78"/>
    <x v="5"/>
  </r>
  <r>
    <x v="63"/>
    <s v="790"/>
    <s v="OD15K2690"/>
    <n v="106"/>
    <x v="7"/>
    <n v="10678.44"/>
    <x v="38"/>
  </r>
  <r>
    <x v="63"/>
    <s v="791"/>
    <s v="OD15N0455"/>
    <n v="73.27"/>
    <x v="7"/>
    <n v="7381.21"/>
    <x v="38"/>
  </r>
  <r>
    <x v="63"/>
    <s v="792"/>
    <s v="OD15Z1430"/>
    <n v="30"/>
    <x v="7"/>
    <n v="3022.2"/>
    <x v="38"/>
  </r>
  <r>
    <x v="64"/>
    <s v="793"/>
    <s v="OD23P2429"/>
    <n v="720"/>
    <x v="7"/>
    <n v="72532.800000000003"/>
    <x v="28"/>
  </r>
  <r>
    <x v="64"/>
    <s v="794"/>
    <s v="OD15AF5510"/>
    <n v="3000"/>
    <x v="7"/>
    <n v="302220"/>
    <x v="10"/>
  </r>
  <r>
    <x v="64"/>
    <s v="795"/>
    <s v="OD15AF5510"/>
    <n v="1920.29"/>
    <x v="7"/>
    <n v="193450.01"/>
    <x v="41"/>
  </r>
  <r>
    <x v="64"/>
    <s v="796"/>
    <s v="CG04PA5851"/>
    <n v="2000"/>
    <x v="7"/>
    <n v="201480"/>
    <x v="28"/>
  </r>
  <r>
    <x v="64"/>
    <s v="797"/>
    <s v="OD15Q5872"/>
    <n v="3000"/>
    <x v="7"/>
    <n v="302220"/>
    <x v="34"/>
  </r>
  <r>
    <x v="64"/>
    <s v="798"/>
    <s v="OD23D3131"/>
    <n v="25"/>
    <x v="7"/>
    <n v="2518.5"/>
    <x v="4"/>
  </r>
  <r>
    <x v="64"/>
    <s v="799"/>
    <s v="NL01AJ8643"/>
    <n v="50"/>
    <x v="7"/>
    <n v="5037"/>
    <x v="25"/>
  </r>
  <r>
    <x v="64"/>
    <s v="800"/>
    <s v="OD15AF5510"/>
    <n v="46"/>
    <x v="7"/>
    <n v="4634.04"/>
    <x v="3"/>
  </r>
  <r>
    <x v="64"/>
    <s v="801"/>
    <s v="OD15AF5510"/>
    <n v="2000"/>
    <x v="7"/>
    <n v="201480"/>
    <x v="16"/>
  </r>
  <r>
    <x v="64"/>
    <s v="802"/>
    <s v=""/>
    <n v="59.56"/>
    <x v="7"/>
    <n v="6000"/>
    <x v="9"/>
  </r>
  <r>
    <x v="64"/>
    <s v="803"/>
    <s v=""/>
    <n v="1167.3599999999999"/>
    <x v="7"/>
    <n v="117600"/>
    <x v="21"/>
  </r>
  <r>
    <x v="64"/>
    <s v="804"/>
    <s v=""/>
    <n v="199.63"/>
    <x v="7"/>
    <n v="20111"/>
    <x v="7"/>
  </r>
  <r>
    <x v="64"/>
    <s v="805"/>
    <s v="Transporting"/>
    <n v="1122.69"/>
    <x v="7"/>
    <n v="113100"/>
    <x v="8"/>
  </r>
  <r>
    <x v="64"/>
    <s v="806"/>
    <s v="Consumer"/>
    <n v="39.93"/>
    <x v="7"/>
    <n v="4022.2"/>
    <x v="8"/>
  </r>
  <r>
    <x v="64"/>
    <s v="807"/>
    <s v="UP78HN0524"/>
    <n v="500"/>
    <x v="7"/>
    <n v="50370"/>
    <x v="11"/>
  </r>
  <r>
    <x v="65"/>
    <s v="808"/>
    <s v="OD16M8078"/>
    <n v="1500"/>
    <x v="7"/>
    <n v="151110"/>
    <x v="27"/>
  </r>
  <r>
    <x v="65"/>
    <s v="809"/>
    <s v="OR23F0869"/>
    <n v="1500"/>
    <x v="7"/>
    <n v="151110"/>
    <x v="52"/>
  </r>
  <r>
    <x v="65"/>
    <s v="810"/>
    <s v="OD15AF5510"/>
    <n v="1500"/>
    <x v="7"/>
    <n v="151110"/>
    <x v="41"/>
  </r>
  <r>
    <x v="65"/>
    <s v="811"/>
    <s v="Transporting"/>
    <n v="1808.62"/>
    <x v="7"/>
    <n v="182200"/>
    <x v="8"/>
  </r>
  <r>
    <x v="65"/>
    <s v="812"/>
    <s v=""/>
    <n v="849.71"/>
    <x v="7"/>
    <n v="85600"/>
    <x v="21"/>
  </r>
  <r>
    <x v="65"/>
    <s v="813"/>
    <s v=""/>
    <n v="29.78"/>
    <x v="7"/>
    <n v="3000"/>
    <x v="9"/>
  </r>
  <r>
    <x v="65"/>
    <s v="814"/>
    <s v=""/>
    <n v="348.78"/>
    <x v="7"/>
    <n v="35136.06"/>
    <x v="7"/>
  </r>
  <r>
    <x v="65"/>
    <s v="815"/>
    <s v="OD15N0455"/>
    <n v="73.16"/>
    <x v="7"/>
    <n v="7370.13"/>
    <x v="38"/>
  </r>
  <r>
    <x v="65"/>
    <s v="816"/>
    <s v="OD15K2690"/>
    <n v="57.73"/>
    <x v="7"/>
    <n v="5815.72"/>
    <x v="38"/>
  </r>
  <r>
    <x v="65"/>
    <s v="817"/>
    <s v="NL01AJ8643"/>
    <n v="337.26"/>
    <x v="7"/>
    <n v="33975.57"/>
    <x v="25"/>
  </r>
  <r>
    <x v="65"/>
    <s v="818"/>
    <s v="OD15Q5872"/>
    <n v="2000"/>
    <x v="7"/>
    <n v="201480"/>
    <x v="34"/>
  </r>
  <r>
    <x v="65"/>
    <s v="819"/>
    <s v="OD15AF0757"/>
    <n v="2000"/>
    <x v="7"/>
    <n v="201480"/>
    <x v="53"/>
  </r>
  <r>
    <x v="65"/>
    <s v="820"/>
    <s v="OD23N5072"/>
    <n v="1000"/>
    <x v="7"/>
    <n v="100740"/>
    <x v="34"/>
  </r>
  <r>
    <x v="66"/>
    <s v="821"/>
    <s v="OD15AF5510"/>
    <n v="1500.02"/>
    <x v="7"/>
    <n v="151112.01"/>
    <x v="16"/>
  </r>
  <r>
    <x v="66"/>
    <s v="822"/>
    <s v="OD15AF5510"/>
    <n v="1500.01"/>
    <x v="7"/>
    <n v="151111.01"/>
    <x v="41"/>
  </r>
  <r>
    <x v="66"/>
    <s v="823"/>
    <s v="OD15AF5510"/>
    <n v="2499.5"/>
    <x v="7"/>
    <n v="251799.63"/>
    <x v="10"/>
  </r>
  <r>
    <x v="66"/>
    <s v="824"/>
    <s v="Transporting"/>
    <n v="2019.06"/>
    <x v="7"/>
    <n v="203400"/>
    <x v="8"/>
  </r>
  <r>
    <x v="66"/>
    <s v="825"/>
    <s v=""/>
    <n v="670.04"/>
    <x v="7"/>
    <n v="67500"/>
    <x v="21"/>
  </r>
  <r>
    <x v="66"/>
    <s v="826"/>
    <s v=""/>
    <n v="59.56"/>
    <x v="7"/>
    <n v="6000"/>
    <x v="9"/>
  </r>
  <r>
    <x v="66"/>
    <s v="827"/>
    <s v="OD23Q4768"/>
    <n v="20"/>
    <x v="7"/>
    <n v="2014.8"/>
    <x v="28"/>
  </r>
  <r>
    <x v="66"/>
    <s v="828"/>
    <s v="JCB"/>
    <n v="70"/>
    <x v="7"/>
    <n v="7051.8"/>
    <x v="4"/>
  </r>
  <r>
    <x v="66"/>
    <s v="829"/>
    <s v="OD33Y3567"/>
    <n v="39"/>
    <x v="7"/>
    <n v="3928.86"/>
    <x v="5"/>
  </r>
  <r>
    <x v="66"/>
    <s v="830"/>
    <s v="JH01FS6302"/>
    <n v="39.020000000000003"/>
    <x v="7"/>
    <n v="3930.87"/>
    <x v="5"/>
  </r>
  <r>
    <x v="66"/>
    <s v="831"/>
    <s v="OD15U5910"/>
    <n v="112"/>
    <x v="7"/>
    <n v="11282.88"/>
    <x v="5"/>
  </r>
  <r>
    <x v="67"/>
    <s v="832"/>
    <s v=""/>
    <n v="600"/>
    <x v="7"/>
    <n v="60444"/>
    <x v="54"/>
  </r>
  <r>
    <x v="67"/>
    <s v="833"/>
    <s v="OD15N0455"/>
    <n v="86.91"/>
    <x v="7"/>
    <n v="8755.31"/>
    <x v="38"/>
  </r>
  <r>
    <x v="67"/>
    <s v="834"/>
    <s v="RJ19GE7997"/>
    <n v="20"/>
    <x v="7"/>
    <n v="2014.8"/>
    <x v="36"/>
  </r>
  <r>
    <x v="67"/>
    <s v="835"/>
    <s v="RJ19GG0787"/>
    <n v="20"/>
    <x v="7"/>
    <n v="2014.8"/>
    <x v="36"/>
  </r>
  <r>
    <x v="67"/>
    <s v="836"/>
    <s v="OD15P9503"/>
    <n v="46.18"/>
    <x v="7"/>
    <n v="4652.17"/>
    <x v="4"/>
  </r>
  <r>
    <x v="67"/>
    <s v="837"/>
    <s v="OD23L3142"/>
    <n v="480"/>
    <x v="7"/>
    <n v="48355.199999999997"/>
    <x v="28"/>
  </r>
  <r>
    <x v="67"/>
    <s v="838"/>
    <s v=""/>
    <n v="30"/>
    <x v="7"/>
    <n v="3022.2"/>
    <x v="7"/>
  </r>
  <r>
    <x v="67"/>
    <s v="839"/>
    <s v=""/>
    <n v="652.16999999999996"/>
    <x v="7"/>
    <n v="65700"/>
    <x v="21"/>
  </r>
  <r>
    <x v="67"/>
    <s v="840"/>
    <s v=""/>
    <n v="595.59"/>
    <x v="7"/>
    <n v="60000"/>
    <x v="9"/>
  </r>
  <r>
    <x v="67"/>
    <s v="841"/>
    <s v="OR15Q0355"/>
    <n v="50"/>
    <x v="7"/>
    <n v="5037"/>
    <x v="38"/>
  </r>
  <r>
    <x v="67"/>
    <s v="842"/>
    <s v="Transporting"/>
    <n v="2310.9"/>
    <x v="7"/>
    <n v="232800"/>
    <x v="8"/>
  </r>
  <r>
    <x v="67"/>
    <s v="843"/>
    <s v="Consumer"/>
    <n v="168.75"/>
    <x v="7"/>
    <n v="17000"/>
    <x v="8"/>
  </r>
  <r>
    <x v="67"/>
    <s v="844"/>
    <s v="OD15AF5510"/>
    <n v="1501.49"/>
    <x v="7"/>
    <n v="151260.1"/>
    <x v="16"/>
  </r>
  <r>
    <x v="67"/>
    <s v="845"/>
    <s v="OD15AF5510"/>
    <n v="2000"/>
    <x v="7"/>
    <n v="201480"/>
    <x v="41"/>
  </r>
  <r>
    <x v="67"/>
    <s v="846"/>
    <s v="RJ17GB0171"/>
    <n v="148.9"/>
    <x v="7"/>
    <n v="15000"/>
    <x v="55"/>
  </r>
  <r>
    <x v="68"/>
    <s v="847"/>
    <s v="OD23D3131"/>
    <n v="20"/>
    <x v="7"/>
    <n v="2014.8"/>
    <x v="4"/>
  </r>
  <r>
    <x v="68"/>
    <s v="848"/>
    <s v="JH01FS6302"/>
    <n v="31.01"/>
    <x v="7"/>
    <n v="3123.94"/>
    <x v="5"/>
  </r>
  <r>
    <x v="68"/>
    <s v="849"/>
    <s v="OD15AA4091"/>
    <n v="35.450000000000003"/>
    <x v="7"/>
    <n v="3571.23"/>
    <x v="5"/>
  </r>
  <r>
    <x v="68"/>
    <s v="850"/>
    <s v="CG04MN1172"/>
    <n v="1000"/>
    <x v="7"/>
    <n v="100740"/>
    <x v="28"/>
  </r>
  <r>
    <x v="68"/>
    <s v="851"/>
    <s v=""/>
    <n v="148.9"/>
    <x v="7"/>
    <n v="15000"/>
    <x v="7"/>
  </r>
  <r>
    <x v="68"/>
    <s v="852"/>
    <s v=""/>
    <n v="29.78"/>
    <x v="7"/>
    <n v="3000"/>
    <x v="9"/>
  </r>
  <r>
    <x v="68"/>
    <s v="853"/>
    <s v=""/>
    <n v="540"/>
    <x v="7"/>
    <n v="54400"/>
    <x v="21"/>
  </r>
  <r>
    <x v="68"/>
    <s v="854"/>
    <s v="Transporting"/>
    <n v="1739.13"/>
    <x v="7"/>
    <n v="175200"/>
    <x v="8"/>
  </r>
  <r>
    <x v="68"/>
    <s v="855"/>
    <s v="Consumer"/>
    <n v="31.77"/>
    <x v="7"/>
    <n v="3200.5"/>
    <x v="8"/>
  </r>
  <r>
    <x v="69"/>
    <s v="856"/>
    <s v=""/>
    <n v="2000"/>
    <x v="7"/>
    <n v="201480"/>
    <x v="37"/>
  </r>
  <r>
    <x v="69"/>
    <s v="857"/>
    <s v=""/>
    <n v="2000"/>
    <x v="7"/>
    <n v="201480"/>
    <x v="56"/>
  </r>
  <r>
    <x v="69"/>
    <s v="858"/>
    <s v=""/>
    <n v="2000"/>
    <x v="7"/>
    <n v="201480"/>
    <x v="57"/>
  </r>
  <r>
    <x v="69"/>
    <s v="859"/>
    <s v="UP53FT9419"/>
    <n v="120"/>
    <x v="7"/>
    <n v="12088.8"/>
    <x v="36"/>
  </r>
  <r>
    <x v="69"/>
    <s v="860"/>
    <s v="OD23Q4949"/>
    <n v="44.84"/>
    <x v="7"/>
    <n v="4517.18"/>
    <x v="19"/>
  </r>
  <r>
    <x v="69"/>
    <s v="861"/>
    <s v="OD16K6067"/>
    <n v="54.6"/>
    <x v="7"/>
    <n v="5500"/>
    <x v="29"/>
  </r>
  <r>
    <x v="69"/>
    <s v="862"/>
    <s v="CG04PL4888"/>
    <n v="13.67"/>
    <x v="7"/>
    <n v="1377.11"/>
    <x v="28"/>
  </r>
  <r>
    <x v="69"/>
    <s v="863"/>
    <s v="OD15N0455"/>
    <n v="95.03"/>
    <x v="7"/>
    <n v="9573.32"/>
    <x v="38"/>
  </r>
  <r>
    <x v="69"/>
    <s v="864"/>
    <s v="OR15Q0355"/>
    <n v="120"/>
    <x v="7"/>
    <n v="12088.8"/>
    <x v="38"/>
  </r>
  <r>
    <x v="69"/>
    <s v="865"/>
    <s v="OD15K2690"/>
    <n v="109.2"/>
    <x v="7"/>
    <n v="11000.8"/>
    <x v="38"/>
  </r>
  <r>
    <x v="69"/>
    <s v="866"/>
    <s v="HR20BE4625"/>
    <n v="35.049999999999997"/>
    <x v="7"/>
    <n v="3530.93"/>
    <x v="41"/>
  </r>
  <r>
    <x v="69"/>
    <s v="867"/>
    <s v="OD05CC2073"/>
    <n v="50.28"/>
    <x v="7"/>
    <n v="5065.2"/>
    <x v="41"/>
  </r>
  <r>
    <x v="69"/>
    <s v="868"/>
    <s v="AP39UN1538"/>
    <n v="146"/>
    <x v="7"/>
    <n v="14708.04"/>
    <x v="10"/>
  </r>
  <r>
    <x v="69"/>
    <s v="869"/>
    <s v="AP39UN3054"/>
    <n v="196"/>
    <x v="7"/>
    <n v="19745.04"/>
    <x v="10"/>
  </r>
  <r>
    <x v="69"/>
    <s v="870"/>
    <s v="AP39UN1536"/>
    <n v="200"/>
    <x v="7"/>
    <n v="20148"/>
    <x v="10"/>
  </r>
  <r>
    <x v="69"/>
    <s v="871"/>
    <s v="AP39UN1540"/>
    <n v="184"/>
    <x v="7"/>
    <n v="18536.16"/>
    <x v="10"/>
  </r>
  <r>
    <x v="69"/>
    <s v="872"/>
    <s v=""/>
    <n v="50"/>
    <x v="7"/>
    <n v="5037"/>
    <x v="7"/>
  </r>
  <r>
    <x v="69"/>
    <s v="873"/>
    <s v=""/>
    <n v="688.9"/>
    <x v="7"/>
    <n v="69400"/>
    <x v="21"/>
  </r>
  <r>
    <x v="69"/>
    <s v="874"/>
    <s v="Consumer"/>
    <n v="307.94"/>
    <x v="7"/>
    <n v="31022.2"/>
    <x v="8"/>
  </r>
  <r>
    <x v="69"/>
    <s v="875"/>
    <s v="Transporting"/>
    <n v="1857.26"/>
    <x v="7"/>
    <n v="187100"/>
    <x v="8"/>
  </r>
  <r>
    <x v="70"/>
    <s v="876"/>
    <s v="Transporting"/>
    <n v="2513.4"/>
    <x v="7"/>
    <n v="253200"/>
    <x v="8"/>
  </r>
  <r>
    <x v="70"/>
    <s v="877"/>
    <s v=""/>
    <n v="521.14"/>
    <x v="7"/>
    <n v="52500"/>
    <x v="21"/>
  </r>
  <r>
    <x v="70"/>
    <s v="878"/>
    <s v=""/>
    <n v="99.27"/>
    <x v="7"/>
    <n v="10000"/>
    <x v="7"/>
  </r>
  <r>
    <x v="70"/>
    <s v="879"/>
    <s v="CG04MN1172"/>
    <n v="1000"/>
    <x v="7"/>
    <n v="100740"/>
    <x v="28"/>
  </r>
  <r>
    <x v="70"/>
    <s v="880"/>
    <s v="OD14T5423"/>
    <n v="44.46"/>
    <x v="7"/>
    <n v="4478.8999999999996"/>
    <x v="29"/>
  </r>
  <r>
    <x v="70"/>
    <s v="881"/>
    <s v="OD15U5910"/>
    <n v="113.36"/>
    <x v="7"/>
    <n v="11419.88"/>
    <x v="5"/>
  </r>
  <r>
    <x v="70"/>
    <s v="882"/>
    <s v="OD23N1900"/>
    <n v="66.47"/>
    <x v="7"/>
    <n v="6696.18"/>
    <x v="20"/>
  </r>
  <r>
    <x v="70"/>
    <s v="883"/>
    <s v="AP39UN1542"/>
    <n v="196"/>
    <x v="7"/>
    <n v="19745.04"/>
    <x v="10"/>
  </r>
  <r>
    <x v="70"/>
    <s v="884"/>
    <s v="AP39UN1537"/>
    <n v="176"/>
    <x v="7"/>
    <n v="17730.240000000002"/>
    <x v="10"/>
  </r>
  <r>
    <x v="70"/>
    <s v="885"/>
    <s v="AP39UN1537"/>
    <n v="188"/>
    <x v="7"/>
    <n v="18939.12"/>
    <x v="10"/>
  </r>
  <r>
    <x v="71"/>
    <s v="886"/>
    <s v="OD23U0755"/>
    <n v="150"/>
    <x v="7"/>
    <n v="15111"/>
    <x v="16"/>
  </r>
  <r>
    <x v="71"/>
    <s v="887"/>
    <s v="OD23U0855"/>
    <n v="150"/>
    <x v="7"/>
    <n v="15111"/>
    <x v="16"/>
  </r>
  <r>
    <x v="71"/>
    <s v="888"/>
    <s v="OD23U1055"/>
    <n v="150"/>
    <x v="7"/>
    <n v="15111"/>
    <x v="16"/>
  </r>
  <r>
    <x v="71"/>
    <s v="889"/>
    <s v="OD23U1155"/>
    <n v="150"/>
    <x v="7"/>
    <n v="15111"/>
    <x v="16"/>
  </r>
  <r>
    <x v="71"/>
    <s v="890"/>
    <s v="OD23U1655"/>
    <n v="150"/>
    <x v="7"/>
    <n v="15111"/>
    <x v="16"/>
  </r>
  <r>
    <x v="71"/>
    <s v="891"/>
    <s v="OD23U1755"/>
    <n v="150"/>
    <x v="7"/>
    <n v="15111"/>
    <x v="16"/>
  </r>
  <r>
    <x v="71"/>
    <s v="892"/>
    <s v="OD23U1855"/>
    <n v="150"/>
    <x v="7"/>
    <n v="15111"/>
    <x v="16"/>
  </r>
  <r>
    <x v="71"/>
    <s v="893"/>
    <s v="OD23V1955"/>
    <n v="150"/>
    <x v="7"/>
    <n v="15111"/>
    <x v="16"/>
  </r>
  <r>
    <x v="71"/>
    <s v="894"/>
    <s v="OD23V2055"/>
    <n v="150"/>
    <x v="7"/>
    <n v="15111"/>
    <x v="16"/>
  </r>
  <r>
    <x v="71"/>
    <s v="895"/>
    <s v="OD19T6394"/>
    <n v="150"/>
    <x v="7"/>
    <n v="15111"/>
    <x v="16"/>
  </r>
  <r>
    <x v="71"/>
    <s v="896"/>
    <s v="OD23U0755"/>
    <n v="150"/>
    <x v="7"/>
    <n v="15111"/>
    <x v="16"/>
  </r>
  <r>
    <x v="71"/>
    <s v="897"/>
    <s v="OD23U0855"/>
    <n v="150"/>
    <x v="7"/>
    <n v="15111"/>
    <x v="16"/>
  </r>
  <r>
    <x v="71"/>
    <s v="898"/>
    <s v="OD23U1055"/>
    <n v="150"/>
    <x v="7"/>
    <n v="15111"/>
    <x v="16"/>
  </r>
  <r>
    <x v="71"/>
    <s v="899"/>
    <s v="OD23U1155"/>
    <n v="150"/>
    <x v="7"/>
    <n v="15111"/>
    <x v="16"/>
  </r>
  <r>
    <x v="71"/>
    <s v="900"/>
    <s v="OD23U1655"/>
    <n v="150"/>
    <x v="7"/>
    <n v="15111"/>
    <x v="16"/>
  </r>
  <r>
    <x v="71"/>
    <s v="901"/>
    <s v="OD23U1755"/>
    <n v="150"/>
    <x v="7"/>
    <n v="15111"/>
    <x v="16"/>
  </r>
  <r>
    <x v="71"/>
    <s v="902"/>
    <s v="OD23U1855"/>
    <n v="150"/>
    <x v="7"/>
    <n v="15111"/>
    <x v="16"/>
  </r>
  <r>
    <x v="71"/>
    <s v="903"/>
    <s v="OD23V1955"/>
    <n v="150"/>
    <x v="7"/>
    <n v="15111"/>
    <x v="16"/>
  </r>
  <r>
    <x v="71"/>
    <s v="904"/>
    <s v="OD23V2055"/>
    <n v="150"/>
    <x v="7"/>
    <n v="15111"/>
    <x v="16"/>
  </r>
  <r>
    <x v="71"/>
    <s v="905"/>
    <s v="OD19T6394"/>
    <n v="150"/>
    <x v="7"/>
    <n v="15111"/>
    <x v="16"/>
  </r>
  <r>
    <x v="71"/>
    <s v="906"/>
    <s v="OD23A8210"/>
    <n v="34.82"/>
    <x v="7"/>
    <n v="3507.77"/>
    <x v="2"/>
  </r>
  <r>
    <x v="71"/>
    <s v="907"/>
    <s v="OD23Q0312"/>
    <n v="25"/>
    <x v="7"/>
    <n v="2518.5"/>
    <x v="58"/>
  </r>
  <r>
    <x v="71"/>
    <s v="908"/>
    <s v="OD15T6167"/>
    <n v="52.3"/>
    <x v="7"/>
    <n v="5268.7"/>
    <x v="58"/>
  </r>
  <r>
    <x v="71"/>
    <s v="909"/>
    <s v="OD23G4251"/>
    <n v="50.38"/>
    <x v="7"/>
    <n v="5075.28"/>
    <x v="29"/>
  </r>
  <r>
    <x v="71"/>
    <s v="910"/>
    <s v="OD15N0455"/>
    <n v="74.61"/>
    <x v="7"/>
    <n v="7516.21"/>
    <x v="38"/>
  </r>
  <r>
    <x v="71"/>
    <s v="911"/>
    <s v="Transporting"/>
    <n v="1216.99"/>
    <x v="7"/>
    <n v="122600"/>
    <x v="8"/>
  </r>
  <r>
    <x v="71"/>
    <s v="912"/>
    <s v=""/>
    <n v="893.39"/>
    <x v="7"/>
    <n v="90000"/>
    <x v="21"/>
  </r>
  <r>
    <x v="71"/>
    <s v="913"/>
    <s v="OD23M5679"/>
    <n v="165"/>
    <x v="7"/>
    <n v="16622.099999999999"/>
    <x v="28"/>
  </r>
  <r>
    <x v="71"/>
    <s v="914"/>
    <s v="OD23M5631"/>
    <n v="165"/>
    <x v="7"/>
    <n v="16622.099999999999"/>
    <x v="28"/>
  </r>
  <r>
    <x v="71"/>
    <s v="915"/>
    <s v="OD23M5635"/>
    <n v="165"/>
    <x v="7"/>
    <n v="16622.099999999999"/>
    <x v="28"/>
  </r>
  <r>
    <x v="71"/>
    <s v="916"/>
    <s v="OD23M5651"/>
    <n v="165"/>
    <x v="7"/>
    <n v="16622.099999999999"/>
    <x v="28"/>
  </r>
  <r>
    <x v="71"/>
    <s v="917"/>
    <s v="OD23M5675"/>
    <n v="165"/>
    <x v="7"/>
    <n v="16622.099999999999"/>
    <x v="28"/>
  </r>
  <r>
    <x v="71"/>
    <s v="918"/>
    <s v="OD23M5617"/>
    <n v="165"/>
    <x v="7"/>
    <n v="16622.099999999999"/>
    <x v="28"/>
  </r>
  <r>
    <x v="71"/>
    <s v="919"/>
    <s v="OD23M5687"/>
    <n v="165"/>
    <x v="7"/>
    <n v="16622.099999999999"/>
    <x v="28"/>
  </r>
  <r>
    <x v="71"/>
    <s v="920"/>
    <s v="OD23M5610"/>
    <n v="165"/>
    <x v="7"/>
    <n v="16622.099999999999"/>
    <x v="28"/>
  </r>
  <r>
    <x v="71"/>
    <s v="921"/>
    <s v="OD23M5686"/>
    <n v="165"/>
    <x v="7"/>
    <n v="16622.099999999999"/>
    <x v="28"/>
  </r>
  <r>
    <x v="71"/>
    <s v="922"/>
    <s v="OD23M5613"/>
    <n v="165"/>
    <x v="7"/>
    <n v="16622.099999999999"/>
    <x v="28"/>
  </r>
  <r>
    <x v="71"/>
    <s v="923"/>
    <s v="OD23M5684"/>
    <n v="165"/>
    <x v="7"/>
    <n v="16622.099999999999"/>
    <x v="28"/>
  </r>
  <r>
    <x v="71"/>
    <s v="924"/>
    <s v="OD23M5682"/>
    <n v="171.33"/>
    <x v="7"/>
    <n v="17259.79"/>
    <x v="28"/>
  </r>
  <r>
    <x v="72"/>
    <s v="925"/>
    <s v="OD23M5679"/>
    <n v="165"/>
    <x v="7"/>
    <n v="16622.099999999999"/>
    <x v="28"/>
  </r>
  <r>
    <x v="72"/>
    <s v="926"/>
    <s v="OD23M5631"/>
    <n v="165"/>
    <x v="7"/>
    <n v="16622.099999999999"/>
    <x v="28"/>
  </r>
  <r>
    <x v="72"/>
    <s v="927"/>
    <s v="OD23M5635"/>
    <n v="165"/>
    <x v="7"/>
    <n v="16622.099999999999"/>
    <x v="28"/>
  </r>
  <r>
    <x v="72"/>
    <s v="928"/>
    <s v="OD23M5651"/>
    <n v="165"/>
    <x v="7"/>
    <n v="16622.099999999999"/>
    <x v="28"/>
  </r>
  <r>
    <x v="72"/>
    <s v="929"/>
    <s v="OD23M5657"/>
    <n v="165"/>
    <x v="7"/>
    <n v="16622.099999999999"/>
    <x v="28"/>
  </r>
  <r>
    <x v="72"/>
    <s v="930"/>
    <s v="OD23M5617"/>
    <n v="165"/>
    <x v="7"/>
    <n v="16622.099999999999"/>
    <x v="28"/>
  </r>
  <r>
    <x v="72"/>
    <s v="931"/>
    <s v="OD23M5687"/>
    <n v="165"/>
    <x v="7"/>
    <n v="16622.099999999999"/>
    <x v="28"/>
  </r>
  <r>
    <x v="72"/>
    <s v="932"/>
    <s v="OD23M5610"/>
    <n v="165"/>
    <x v="7"/>
    <n v="16622.099999999999"/>
    <x v="28"/>
  </r>
  <r>
    <x v="72"/>
    <s v="933"/>
    <s v="OD23M5686"/>
    <n v="165"/>
    <x v="7"/>
    <n v="16622.099999999999"/>
    <x v="28"/>
  </r>
  <r>
    <x v="72"/>
    <s v="934"/>
    <s v="OD23M5613"/>
    <n v="165"/>
    <x v="7"/>
    <n v="16622.099999999999"/>
    <x v="28"/>
  </r>
  <r>
    <x v="72"/>
    <s v="935"/>
    <s v="OD23M5684"/>
    <n v="165"/>
    <x v="7"/>
    <n v="16622.099999999999"/>
    <x v="28"/>
  </r>
  <r>
    <x v="72"/>
    <s v="936"/>
    <s v="OD23M5682"/>
    <n v="185"/>
    <x v="7"/>
    <n v="18636.900000000001"/>
    <x v="28"/>
  </r>
  <r>
    <x v="72"/>
    <s v="937"/>
    <s v="RJ19GG0787"/>
    <n v="200"/>
    <x v="7"/>
    <n v="20148"/>
    <x v="36"/>
  </r>
  <r>
    <x v="72"/>
    <s v="938"/>
    <s v="OD16J8226"/>
    <n v="24.82"/>
    <x v="7"/>
    <n v="2500"/>
    <x v="29"/>
  </r>
  <r>
    <x v="72"/>
    <s v="939"/>
    <s v="OD15AA5823"/>
    <n v="50"/>
    <x v="7"/>
    <n v="5037"/>
    <x v="38"/>
  </r>
  <r>
    <x v="72"/>
    <s v="940"/>
    <s v="JCB"/>
    <n v="104.46"/>
    <x v="7"/>
    <n v="10523.3"/>
    <x v="4"/>
  </r>
  <r>
    <x v="72"/>
    <s v="941"/>
    <s v="CG04HD0774"/>
    <n v="20"/>
    <x v="7"/>
    <n v="2014.8"/>
    <x v="4"/>
  </r>
  <r>
    <x v="72"/>
    <s v="942"/>
    <s v="OD15AA4091"/>
    <n v="42.64"/>
    <x v="7"/>
    <n v="4295.55"/>
    <x v="5"/>
  </r>
  <r>
    <x v="72"/>
    <s v="943"/>
    <s v="OD23M4614"/>
    <n v="49.26"/>
    <x v="7"/>
    <n v="4962.45"/>
    <x v="58"/>
  </r>
  <r>
    <x v="72"/>
    <s v="944"/>
    <s v="OD23P5658"/>
    <n v="32.01"/>
    <x v="7"/>
    <n v="3224.68"/>
    <x v="58"/>
  </r>
  <r>
    <x v="72"/>
    <s v="945"/>
    <s v=""/>
    <n v="57.58"/>
    <x v="7"/>
    <n v="5800"/>
    <x v="21"/>
  </r>
  <r>
    <x v="73"/>
    <s v="946"/>
    <s v=""/>
    <n v="49.63"/>
    <x v="7"/>
    <n v="5000"/>
    <x v="21"/>
  </r>
  <r>
    <x v="73"/>
    <s v="947"/>
    <s v="OD23A8210"/>
    <n v="48.74"/>
    <x v="7"/>
    <n v="4910.0600000000004"/>
    <x v="2"/>
  </r>
  <r>
    <x v="73"/>
    <s v="948"/>
    <s v="JCB"/>
    <n v="30"/>
    <x v="7"/>
    <n v="3022.2"/>
    <x v="4"/>
  </r>
  <r>
    <x v="73"/>
    <s v="949"/>
    <s v="OD15AA5823"/>
    <n v="100"/>
    <x v="7"/>
    <n v="10074"/>
    <x v="38"/>
  </r>
  <r>
    <x v="73"/>
    <s v="950"/>
    <s v="OD15N0455"/>
    <n v="87.97"/>
    <x v="7"/>
    <n v="8862.09"/>
    <x v="38"/>
  </r>
  <r>
    <x v="73"/>
    <s v="951"/>
    <s v="OD23Q0312"/>
    <n v="29.78"/>
    <x v="7"/>
    <n v="3000.03"/>
    <x v="58"/>
  </r>
  <r>
    <x v="73"/>
    <s v="952"/>
    <s v="OD23Q5434"/>
    <n v="40.950000000000003"/>
    <x v="7"/>
    <n v="4125.3"/>
    <x v="58"/>
  </r>
  <r>
    <x v="73"/>
    <s v="953"/>
    <s v="OD15T6167"/>
    <n v="25"/>
    <x v="7"/>
    <n v="2518.5"/>
    <x v="58"/>
  </r>
  <r>
    <x v="73"/>
    <s v="954"/>
    <s v="OD23U0755"/>
    <n v="200"/>
    <x v="7"/>
    <n v="20148"/>
    <x v="16"/>
  </r>
  <r>
    <x v="73"/>
    <s v="955"/>
    <s v="OD23U0855"/>
    <n v="200"/>
    <x v="7"/>
    <n v="20148"/>
    <x v="16"/>
  </r>
  <r>
    <x v="73"/>
    <s v="956"/>
    <s v="OD23U1055"/>
    <n v="200"/>
    <x v="7"/>
    <n v="20148"/>
    <x v="16"/>
  </r>
  <r>
    <x v="73"/>
    <s v="957"/>
    <s v="OD23U1155"/>
    <n v="200"/>
    <x v="7"/>
    <n v="20148"/>
    <x v="16"/>
  </r>
  <r>
    <x v="73"/>
    <s v="958"/>
    <s v="OD23U1655"/>
    <n v="200"/>
    <x v="7"/>
    <n v="20148"/>
    <x v="16"/>
  </r>
  <r>
    <x v="74"/>
    <s v="959"/>
    <s v="Transporting"/>
    <n v="1310.3"/>
    <x v="7"/>
    <n v="132000"/>
    <x v="8"/>
  </r>
  <r>
    <x v="74"/>
    <s v="960"/>
    <s v=""/>
    <n v="229.3"/>
    <x v="7"/>
    <n v="23100"/>
    <x v="21"/>
  </r>
  <r>
    <x v="74"/>
    <s v="961"/>
    <s v="OD15Z1430"/>
    <n v="20"/>
    <x v="7"/>
    <n v="2014.8"/>
    <x v="38"/>
  </r>
  <r>
    <x v="74"/>
    <s v="962"/>
    <s v="HR20BE4625"/>
    <n v="48"/>
    <x v="7"/>
    <n v="4835.5200000000004"/>
    <x v="41"/>
  </r>
  <r>
    <x v="74"/>
    <s v="963"/>
    <s v="OD23D0009"/>
    <n v="52.32"/>
    <x v="7"/>
    <n v="5270.71"/>
    <x v="19"/>
  </r>
  <r>
    <x v="74"/>
    <s v="964"/>
    <s v="OD23P5658"/>
    <n v="26.86"/>
    <x v="7"/>
    <n v="2705.87"/>
    <x v="58"/>
  </r>
  <r>
    <x v="74"/>
    <s v="965"/>
    <s v="OD14E0075"/>
    <n v="57.08"/>
    <x v="7"/>
    <n v="5750.23"/>
    <x v="58"/>
  </r>
  <r>
    <x v="74"/>
    <s v="966"/>
    <s v="OD23P0337"/>
    <n v="54.89"/>
    <x v="7"/>
    <n v="5529.61"/>
    <x v="58"/>
  </r>
  <r>
    <x v="74"/>
    <s v="967"/>
    <s v="OD15AF5510"/>
    <n v="200"/>
    <x v="7"/>
    <n v="20148"/>
    <x v="41"/>
  </r>
  <r>
    <x v="74"/>
    <s v="968"/>
    <s v=""/>
    <n v="200"/>
    <x v="7"/>
    <n v="20148"/>
    <x v="41"/>
  </r>
  <r>
    <x v="74"/>
    <s v="969"/>
    <s v=""/>
    <n v="200"/>
    <x v="7"/>
    <n v="20148"/>
    <x v="41"/>
  </r>
  <r>
    <x v="74"/>
    <s v="970"/>
    <s v=""/>
    <n v="200"/>
    <x v="7"/>
    <n v="20148"/>
    <x v="41"/>
  </r>
  <r>
    <x v="74"/>
    <s v="971"/>
    <s v=""/>
    <n v="200"/>
    <x v="7"/>
    <n v="20148"/>
    <x v="41"/>
  </r>
  <r>
    <x v="74"/>
    <s v="972"/>
    <s v=""/>
    <n v="200"/>
    <x v="7"/>
    <n v="20148"/>
    <x v="41"/>
  </r>
  <r>
    <x v="74"/>
    <s v="973"/>
    <s v=""/>
    <n v="200"/>
    <x v="7"/>
    <n v="20148"/>
    <x v="41"/>
  </r>
  <r>
    <x v="74"/>
    <s v="974"/>
    <s v=""/>
    <n v="200"/>
    <x v="7"/>
    <n v="20148"/>
    <x v="41"/>
  </r>
  <r>
    <x v="74"/>
    <s v="975"/>
    <s v=""/>
    <n v="200"/>
    <x v="7"/>
    <n v="20148"/>
    <x v="41"/>
  </r>
  <r>
    <x v="74"/>
    <s v="976"/>
    <s v=""/>
    <n v="200"/>
    <x v="7"/>
    <n v="20148"/>
    <x v="41"/>
  </r>
  <r>
    <x v="74"/>
    <s v="977"/>
    <s v=""/>
    <n v="200"/>
    <x v="7"/>
    <n v="20148"/>
    <x v="41"/>
  </r>
  <r>
    <x v="74"/>
    <s v="978"/>
    <s v=""/>
    <n v="200"/>
    <x v="7"/>
    <n v="20148"/>
    <x v="41"/>
  </r>
  <r>
    <x v="74"/>
    <s v="979"/>
    <s v=""/>
    <n v="200"/>
    <x v="7"/>
    <n v="20148"/>
    <x v="41"/>
  </r>
  <r>
    <x v="74"/>
    <s v="980"/>
    <s v=""/>
    <n v="200"/>
    <x v="7"/>
    <n v="20148"/>
    <x v="41"/>
  </r>
  <r>
    <x v="74"/>
    <s v="981"/>
    <s v=""/>
    <n v="199.56"/>
    <x v="7"/>
    <n v="20103.669999999998"/>
    <x v="41"/>
  </r>
  <r>
    <x v="75"/>
    <s v="982"/>
    <s v="OD23K9457"/>
    <n v="1000"/>
    <x v="7"/>
    <n v="100740"/>
    <x v="33"/>
  </r>
  <r>
    <x v="75"/>
    <s v="983"/>
    <s v="Transporting"/>
    <n v="4161.21"/>
    <x v="7"/>
    <n v="419200"/>
    <x v="8"/>
  </r>
  <r>
    <x v="75"/>
    <s v="984"/>
    <s v=""/>
    <n v="327.58"/>
    <x v="7"/>
    <n v="33000"/>
    <x v="21"/>
  </r>
  <r>
    <x v="75"/>
    <s v="985"/>
    <s v="OR15Q0355"/>
    <n v="60"/>
    <x v="7"/>
    <n v="6044.4"/>
    <x v="38"/>
  </r>
  <r>
    <x v="75"/>
    <s v="986"/>
    <s v="OD15K2690"/>
    <n v="109.79"/>
    <x v="7"/>
    <n v="11060.24"/>
    <x v="38"/>
  </r>
  <r>
    <x v="75"/>
    <s v="987"/>
    <s v="OD15N0455"/>
    <n v="95.7"/>
    <x v="7"/>
    <n v="9640.81"/>
    <x v="38"/>
  </r>
  <r>
    <x v="75"/>
    <s v="988"/>
    <s v="OD15K2690"/>
    <n v="35"/>
    <x v="7"/>
    <n v="3525.9"/>
    <x v="38"/>
  </r>
  <r>
    <x v="75"/>
    <s v="989"/>
    <s v="OD15AA4091"/>
    <n v="10"/>
    <x v="7"/>
    <n v="1007.4"/>
    <x v="5"/>
  </r>
  <r>
    <x v="75"/>
    <s v="990"/>
    <s v="OD33Y3567"/>
    <n v="30"/>
    <x v="7"/>
    <n v="3022.2"/>
    <x v="5"/>
  </r>
  <r>
    <x v="75"/>
    <s v="991"/>
    <s v="OD16K1072"/>
    <n v="19.850000000000001"/>
    <x v="7"/>
    <n v="2000"/>
    <x v="29"/>
  </r>
  <r>
    <x v="75"/>
    <s v="992"/>
    <s v="OD23Q5434"/>
    <n v="33.15"/>
    <x v="7"/>
    <n v="3339.53"/>
    <x v="58"/>
  </r>
  <r>
    <x v="75"/>
    <s v="993"/>
    <s v="OD23U0755"/>
    <n v="200"/>
    <x v="7"/>
    <n v="20148"/>
    <x v="16"/>
  </r>
  <r>
    <x v="75"/>
    <s v="994"/>
    <s v="OD23U0855"/>
    <n v="200"/>
    <x v="7"/>
    <n v="20148"/>
    <x v="16"/>
  </r>
  <r>
    <x v="75"/>
    <s v="995"/>
    <s v="OD23U1055"/>
    <n v="200"/>
    <x v="7"/>
    <n v="20148"/>
    <x v="16"/>
  </r>
  <r>
    <x v="75"/>
    <s v="996"/>
    <s v="OD23U1155"/>
    <n v="200"/>
    <x v="7"/>
    <n v="20148"/>
    <x v="16"/>
  </r>
  <r>
    <x v="75"/>
    <s v="997"/>
    <s v="OD23U1655"/>
    <n v="200"/>
    <x v="7"/>
    <n v="20148"/>
    <x v="16"/>
  </r>
  <r>
    <x v="75"/>
    <s v="998"/>
    <s v="OD23U1755"/>
    <n v="200"/>
    <x v="7"/>
    <n v="20148"/>
    <x v="16"/>
  </r>
  <r>
    <x v="75"/>
    <s v="999"/>
    <s v="OD23U1855"/>
    <n v="200"/>
    <x v="7"/>
    <n v="20148"/>
    <x v="16"/>
  </r>
  <r>
    <x v="75"/>
    <s v="1000"/>
    <s v="OD23V1955"/>
    <n v="200"/>
    <x v="7"/>
    <n v="20148"/>
    <x v="16"/>
  </r>
  <r>
    <x v="75"/>
    <s v="1001"/>
    <s v="OD23V2055"/>
    <n v="200"/>
    <x v="7"/>
    <n v="20148"/>
    <x v="16"/>
  </r>
  <r>
    <x v="75"/>
    <s v="1002"/>
    <s v="OD19T6394"/>
    <n v="199.83"/>
    <x v="7"/>
    <n v="20130.87"/>
    <x v="16"/>
  </r>
  <r>
    <x v="76"/>
    <s v="1003"/>
    <s v="Transporting"/>
    <n v="4892.79"/>
    <x v="7"/>
    <n v="492900"/>
    <x v="8"/>
  </r>
  <r>
    <x v="76"/>
    <s v="1004"/>
    <s v=""/>
    <n v="935.08"/>
    <x v="7"/>
    <n v="94200"/>
    <x v="21"/>
  </r>
  <r>
    <x v="76"/>
    <s v="1005"/>
    <s v=""/>
    <n v="29.78"/>
    <x v="7"/>
    <n v="3000"/>
    <x v="7"/>
  </r>
  <r>
    <x v="76"/>
    <s v="1006"/>
    <s v="NL01AJ8743"/>
    <n v="200"/>
    <x v="7"/>
    <n v="20148"/>
    <x v="25"/>
  </r>
  <r>
    <x v="76"/>
    <s v="1007"/>
    <s v="OD33Y3567"/>
    <n v="30"/>
    <x v="7"/>
    <n v="3022.2"/>
    <x v="5"/>
  </r>
  <r>
    <x v="76"/>
    <s v="1008"/>
    <s v="JH01FS6302"/>
    <n v="10"/>
    <x v="7"/>
    <n v="1007.4"/>
    <x v="5"/>
  </r>
  <r>
    <x v="76"/>
    <s v="1009"/>
    <s v="OD15T6167"/>
    <n v="52.41"/>
    <x v="7"/>
    <n v="5279.78"/>
    <x v="58"/>
  </r>
  <r>
    <x v="76"/>
    <s v="1010"/>
    <s v=""/>
    <n v="20"/>
    <x v="7"/>
    <n v="2014.8"/>
    <x v="26"/>
  </r>
  <r>
    <x v="77"/>
    <s v="1011"/>
    <s v="OD16M0750"/>
    <n v="150"/>
    <x v="7"/>
    <n v="15111"/>
    <x v="59"/>
  </r>
  <r>
    <x v="77"/>
    <s v="1012"/>
    <s v="OD16M0743"/>
    <n v="150"/>
    <x v="7"/>
    <n v="15111"/>
    <x v="59"/>
  </r>
  <r>
    <x v="77"/>
    <s v="1013"/>
    <s v="OD16K7132"/>
    <n v="150"/>
    <x v="7"/>
    <n v="15111"/>
    <x v="59"/>
  </r>
  <r>
    <x v="77"/>
    <s v="1014"/>
    <s v="OD16K7170"/>
    <n v="150"/>
    <x v="7"/>
    <n v="15111"/>
    <x v="59"/>
  </r>
  <r>
    <x v="77"/>
    <s v="1015"/>
    <s v="OD16K7103"/>
    <n v="150"/>
    <x v="7"/>
    <n v="15111"/>
    <x v="59"/>
  </r>
  <r>
    <x v="77"/>
    <s v="1016"/>
    <s v="OD14E0075"/>
    <n v="67"/>
    <x v="7"/>
    <n v="6749.58"/>
    <x v="58"/>
  </r>
  <r>
    <x v="77"/>
    <s v="1017"/>
    <s v="OD14T5423"/>
    <n v="48.66"/>
    <x v="7"/>
    <n v="4902"/>
    <x v="29"/>
  </r>
  <r>
    <x v="77"/>
    <s v="1018"/>
    <s v="Transporting"/>
    <n v="287.87"/>
    <x v="7"/>
    <n v="29000"/>
    <x v="8"/>
  </r>
  <r>
    <x v="77"/>
    <s v="1019"/>
    <s v=""/>
    <n v="297.8"/>
    <x v="7"/>
    <n v="30000"/>
    <x v="21"/>
  </r>
  <r>
    <x v="78"/>
    <s v="1020"/>
    <s v="OD05AP4113"/>
    <n v="300"/>
    <x v="7"/>
    <n v="30222"/>
    <x v="23"/>
  </r>
  <r>
    <x v="78"/>
    <s v="1021"/>
    <s v="OD16L2122"/>
    <n v="200"/>
    <x v="7"/>
    <n v="20148"/>
    <x v="50"/>
  </r>
  <r>
    <x v="78"/>
    <s v="1022"/>
    <s v="OD16A4989"/>
    <n v="200"/>
    <x v="7"/>
    <n v="20148"/>
    <x v="50"/>
  </r>
  <r>
    <x v="78"/>
    <s v="1023"/>
    <s v="OD16A4980"/>
    <n v="200"/>
    <x v="7"/>
    <n v="20148"/>
    <x v="50"/>
  </r>
  <r>
    <x v="78"/>
    <s v="1024"/>
    <s v="OD16A7401"/>
    <n v="200"/>
    <x v="7"/>
    <n v="20148"/>
    <x v="50"/>
  </r>
  <r>
    <x v="78"/>
    <s v="1025"/>
    <s v="OD16K3490"/>
    <n v="200"/>
    <x v="7"/>
    <n v="20148"/>
    <x v="50"/>
  </r>
  <r>
    <x v="78"/>
    <s v="1026"/>
    <s v="OD16K3409"/>
    <n v="200"/>
    <x v="7"/>
    <n v="20148"/>
    <x v="50"/>
  </r>
  <r>
    <x v="78"/>
    <s v="1027"/>
    <s v="AP39UN1540"/>
    <n v="200"/>
    <x v="7"/>
    <n v="20148"/>
    <x v="10"/>
  </r>
  <r>
    <x v="78"/>
    <s v="1028"/>
    <s v="OD16K7171"/>
    <n v="150"/>
    <x v="7"/>
    <n v="15111"/>
    <x v="59"/>
  </r>
  <r>
    <x v="78"/>
    <s v="1029"/>
    <s v="OD16K7108"/>
    <n v="150"/>
    <x v="7"/>
    <n v="15111"/>
    <x v="59"/>
  </r>
  <r>
    <x v="78"/>
    <s v="1030"/>
    <s v="OD15N0455"/>
    <n v="101.75"/>
    <x v="7"/>
    <n v="10250.290000000001"/>
    <x v="38"/>
  </r>
  <r>
    <x v="78"/>
    <s v="1031"/>
    <s v="OD15AA4091"/>
    <n v="10"/>
    <x v="7"/>
    <n v="1007.4"/>
    <x v="5"/>
  </r>
  <r>
    <x v="78"/>
    <s v="1032"/>
    <s v="OD33Y3567"/>
    <n v="30"/>
    <x v="7"/>
    <n v="3022.2"/>
    <x v="5"/>
  </r>
  <r>
    <x v="78"/>
    <s v="1033"/>
    <s v="OD23Q0312"/>
    <n v="31"/>
    <x v="7"/>
    <n v="3122.94"/>
    <x v="58"/>
  </r>
  <r>
    <x v="78"/>
    <s v="1034"/>
    <s v="OD23L3195"/>
    <n v="30"/>
    <x v="7"/>
    <n v="3022.2"/>
    <x v="28"/>
  </r>
  <r>
    <x v="78"/>
    <s v="1035"/>
    <s v="OD23P3948"/>
    <n v="20"/>
    <x v="7"/>
    <n v="2014.8"/>
    <x v="28"/>
  </r>
  <r>
    <x v="78"/>
    <s v="1036"/>
    <s v="OD23Q2058"/>
    <n v="150"/>
    <x v="7"/>
    <n v="15111"/>
    <x v="28"/>
  </r>
  <r>
    <x v="78"/>
    <s v="1037"/>
    <s v="OD14AC2698"/>
    <n v="24.82"/>
    <x v="7"/>
    <n v="2500"/>
    <x v="60"/>
  </r>
  <r>
    <x v="78"/>
    <s v="1038"/>
    <s v="OD16K2379"/>
    <n v="24.82"/>
    <x v="7"/>
    <n v="2500"/>
    <x v="60"/>
  </r>
  <r>
    <x v="78"/>
    <s v="1039"/>
    <s v="OD16K8543"/>
    <n v="24.82"/>
    <x v="7"/>
    <n v="2500"/>
    <x v="60"/>
  </r>
  <r>
    <x v="78"/>
    <s v="1040"/>
    <s v="Transporting"/>
    <n v="5911.26"/>
    <x v="7"/>
    <n v="595500"/>
    <x v="8"/>
  </r>
  <r>
    <x v="78"/>
    <s v="1041"/>
    <s v=""/>
    <n v="282.91000000000003"/>
    <x v="7"/>
    <n v="28500"/>
    <x v="21"/>
  </r>
  <r>
    <x v="78"/>
    <s v="1042"/>
    <s v="OD15AF5510"/>
    <n v="3001.18"/>
    <x v="7"/>
    <n v="302338.87"/>
    <x v="16"/>
  </r>
  <r>
    <x v="78"/>
    <s v="1043"/>
    <s v="OD15AF5510"/>
    <n v="3000.27"/>
    <x v="7"/>
    <n v="302247.2"/>
    <x v="10"/>
  </r>
  <r>
    <x v="78"/>
    <s v="1044"/>
    <s v="OD15AF5510"/>
    <n v="2000"/>
    <x v="7"/>
    <n v="201480"/>
    <x v="41"/>
  </r>
  <r>
    <x v="79"/>
    <s v="1045"/>
    <s v="OD16L2122"/>
    <n v="200"/>
    <x v="7"/>
    <n v="20148"/>
    <x v="50"/>
  </r>
  <r>
    <x v="79"/>
    <s v="1046"/>
    <s v="OD16A4989"/>
    <n v="200"/>
    <x v="7"/>
    <n v="20148"/>
    <x v="50"/>
  </r>
  <r>
    <x v="79"/>
    <s v="1047"/>
    <s v="OD16A4980"/>
    <n v="200"/>
    <x v="7"/>
    <n v="20148"/>
    <x v="50"/>
  </r>
  <r>
    <x v="79"/>
    <s v="1048"/>
    <s v="OD16A7401"/>
    <n v="200"/>
    <x v="7"/>
    <n v="20148"/>
    <x v="50"/>
  </r>
  <r>
    <x v="79"/>
    <s v="1049"/>
    <s v="OD16K3490"/>
    <n v="200"/>
    <x v="7"/>
    <n v="20148"/>
    <x v="50"/>
  </r>
  <r>
    <x v="79"/>
    <s v="1050"/>
    <s v="OD16K3409"/>
    <n v="200"/>
    <x v="7"/>
    <n v="20148"/>
    <x v="50"/>
  </r>
  <r>
    <x v="79"/>
    <s v="1051"/>
    <s v="OD15N0455"/>
    <n v="79.41"/>
    <x v="7"/>
    <n v="8000"/>
    <x v="38"/>
  </r>
  <r>
    <x v="79"/>
    <s v="1052"/>
    <s v="OD15AA5823"/>
    <n v="50"/>
    <x v="7"/>
    <n v="5037"/>
    <x v="38"/>
  </r>
  <r>
    <x v="79"/>
    <s v="1053"/>
    <s v="OD16K1026"/>
    <n v="19.850000000000001"/>
    <x v="7"/>
    <n v="2000"/>
    <x v="29"/>
  </r>
  <r>
    <x v="79"/>
    <s v="1054"/>
    <s v="OD33Y3567"/>
    <n v="30"/>
    <x v="7"/>
    <n v="3022.2"/>
    <x v="5"/>
  </r>
  <r>
    <x v="79"/>
    <s v="1055"/>
    <s v="JH01FS6302"/>
    <n v="10"/>
    <x v="7"/>
    <n v="1007.4"/>
    <x v="5"/>
  </r>
  <r>
    <x v="79"/>
    <s v="1056"/>
    <s v="OD15T6167"/>
    <n v="52.88"/>
    <x v="7"/>
    <n v="5327.13"/>
    <x v="58"/>
  </r>
  <r>
    <x v="79"/>
    <s v="1057"/>
    <s v="OD14E0075"/>
    <n v="61"/>
    <x v="7"/>
    <n v="6145.14"/>
    <x v="58"/>
  </r>
  <r>
    <x v="79"/>
    <s v="1058"/>
    <s v="OD23U8210"/>
    <n v="100"/>
    <x v="7"/>
    <n v="10074"/>
    <x v="3"/>
  </r>
  <r>
    <x v="79"/>
    <s v="1059"/>
    <s v="OD15AF5510"/>
    <n v="46.64"/>
    <x v="7"/>
    <n v="4698.51"/>
    <x v="3"/>
  </r>
  <r>
    <x v="79"/>
    <s v="1060"/>
    <s v="OD16K2358"/>
    <n v="24.82"/>
    <x v="7"/>
    <n v="2500"/>
    <x v="60"/>
  </r>
  <r>
    <x v="79"/>
    <s v="1061"/>
    <s v="OD16K2308"/>
    <n v="24.82"/>
    <x v="7"/>
    <n v="2500"/>
    <x v="60"/>
  </r>
  <r>
    <x v="79"/>
    <s v="1062"/>
    <s v="OD19Z4586"/>
    <n v="24.82"/>
    <x v="7"/>
    <n v="2500"/>
    <x v="60"/>
  </r>
  <r>
    <x v="79"/>
    <s v="1063"/>
    <s v="OD16N0753"/>
    <n v="24.82"/>
    <x v="7"/>
    <n v="2500"/>
    <x v="60"/>
  </r>
  <r>
    <x v="79"/>
    <s v="1064"/>
    <s v="OD16N4975"/>
    <n v="24.82"/>
    <x v="7"/>
    <n v="2500"/>
    <x v="60"/>
  </r>
  <r>
    <x v="79"/>
    <s v="1065"/>
    <s v="OD16M1125"/>
    <n v="24.82"/>
    <x v="7"/>
    <n v="2500"/>
    <x v="60"/>
  </r>
  <r>
    <x v="79"/>
    <s v="1066"/>
    <s v="OD16K2379"/>
    <n v="24.82"/>
    <x v="7"/>
    <n v="2500"/>
    <x v="60"/>
  </r>
  <r>
    <x v="79"/>
    <s v="1067"/>
    <s v="OD16K8543"/>
    <n v="24.82"/>
    <x v="7"/>
    <n v="2500"/>
    <x v="60"/>
  </r>
  <r>
    <x v="79"/>
    <s v="1068"/>
    <s v="OD14AC2698"/>
    <n v="24.82"/>
    <x v="7"/>
    <n v="2500"/>
    <x v="60"/>
  </r>
  <r>
    <x v="79"/>
    <s v="1069"/>
    <s v="OD16K2351"/>
    <n v="24.82"/>
    <x v="7"/>
    <n v="2500"/>
    <x v="60"/>
  </r>
  <r>
    <x v="79"/>
    <s v="1070"/>
    <s v="OD16M8879"/>
    <n v="24.82"/>
    <x v="7"/>
    <n v="2500"/>
    <x v="60"/>
  </r>
  <r>
    <x v="79"/>
    <s v="1071"/>
    <s v="OD16K4055"/>
    <n v="24.82"/>
    <x v="7"/>
    <n v="2500"/>
    <x v="60"/>
  </r>
  <r>
    <x v="79"/>
    <s v="1072"/>
    <s v="CG15AC4333"/>
    <n v="29.78"/>
    <x v="7"/>
    <n v="3000"/>
    <x v="60"/>
  </r>
  <r>
    <x v="79"/>
    <s v="1073"/>
    <s v="OD16J8772"/>
    <n v="29.78"/>
    <x v="7"/>
    <n v="3000"/>
    <x v="60"/>
  </r>
  <r>
    <x v="79"/>
    <s v="1074"/>
    <s v="OD23P8172"/>
    <n v="29.78"/>
    <x v="7"/>
    <n v="3000"/>
    <x v="60"/>
  </r>
  <r>
    <x v="79"/>
    <s v="1075"/>
    <s v="OD16K9280"/>
    <n v="29.78"/>
    <x v="7"/>
    <n v="3000"/>
    <x v="60"/>
  </r>
  <r>
    <x v="79"/>
    <s v="1076"/>
    <s v="OD23S2463"/>
    <n v="29.78"/>
    <x v="7"/>
    <n v="3000"/>
    <x v="60"/>
  </r>
  <r>
    <x v="79"/>
    <s v="1077"/>
    <s v="OD16C8253"/>
    <n v="29.78"/>
    <x v="7"/>
    <n v="3000"/>
    <x v="60"/>
  </r>
  <r>
    <x v="79"/>
    <s v="1078"/>
    <s v="OD16L9774"/>
    <n v="29.78"/>
    <x v="7"/>
    <n v="3000"/>
    <x v="60"/>
  </r>
  <r>
    <x v="79"/>
    <s v="1079"/>
    <s v="OD16L9737"/>
    <n v="29.78"/>
    <x v="7"/>
    <n v="3000"/>
    <x v="60"/>
  </r>
  <r>
    <x v="79"/>
    <s v="1080"/>
    <s v="OD16L9788"/>
    <n v="29.78"/>
    <x v="7"/>
    <n v="3000"/>
    <x v="60"/>
  </r>
  <r>
    <x v="79"/>
    <s v="1081"/>
    <s v="OD16L9561"/>
    <n v="29.78"/>
    <x v="7"/>
    <n v="3000"/>
    <x v="60"/>
  </r>
  <r>
    <x v="79"/>
    <s v="1082"/>
    <s v="OD16L9579"/>
    <n v="29.78"/>
    <x v="7"/>
    <n v="3000"/>
    <x v="60"/>
  </r>
  <r>
    <x v="79"/>
    <s v="1083"/>
    <s v="OD16K7844"/>
    <n v="29.78"/>
    <x v="7"/>
    <n v="3000"/>
    <x v="60"/>
  </r>
  <r>
    <x v="79"/>
    <s v="1084"/>
    <s v="OD16L1393"/>
    <n v="27.79"/>
    <x v="7"/>
    <n v="2800"/>
    <x v="60"/>
  </r>
  <r>
    <x v="79"/>
    <s v="1085"/>
    <s v="OD16M3384"/>
    <n v="27.79"/>
    <x v="7"/>
    <n v="2800"/>
    <x v="60"/>
  </r>
  <r>
    <x v="79"/>
    <s v="1086"/>
    <s v="OD16P3725"/>
    <n v="27.79"/>
    <x v="7"/>
    <n v="2800"/>
    <x v="60"/>
  </r>
  <r>
    <x v="79"/>
    <s v="1087"/>
    <s v="OD16N1595"/>
    <n v="27.79"/>
    <x v="7"/>
    <n v="2800"/>
    <x v="60"/>
  </r>
  <r>
    <x v="79"/>
    <s v="1088"/>
    <s v="Consumer"/>
    <n v="29.78"/>
    <x v="7"/>
    <n v="3000"/>
    <x v="8"/>
  </r>
  <r>
    <x v="79"/>
    <s v="1089"/>
    <s v="Transporting"/>
    <n v="4433.1899999999996"/>
    <x v="7"/>
    <n v="446600"/>
    <x v="8"/>
  </r>
  <r>
    <x v="79"/>
    <s v="1090"/>
    <s v=""/>
    <n v="699.82"/>
    <x v="7"/>
    <n v="70500"/>
    <x v="21"/>
  </r>
  <r>
    <x v="79"/>
    <s v="1091"/>
    <s v="OD15AF5510"/>
    <n v="2000"/>
    <x v="7"/>
    <n v="201480"/>
    <x v="41"/>
  </r>
  <r>
    <x v="80"/>
    <s v="1092"/>
    <s v="OD23H9543"/>
    <n v="269.74"/>
    <x v="7"/>
    <n v="27173.599999999999"/>
    <x v="25"/>
  </r>
  <r>
    <x v="80"/>
    <s v="1093"/>
    <s v="OD15K2690"/>
    <n v="109"/>
    <x v="7"/>
    <n v="10980.66"/>
    <x v="38"/>
  </r>
  <r>
    <x v="80"/>
    <s v="1094"/>
    <s v=""/>
    <n v="20"/>
    <x v="7"/>
    <n v="2014.8"/>
    <x v="38"/>
  </r>
  <r>
    <x v="80"/>
    <s v="1095"/>
    <s v="OD15N0455"/>
    <n v="66.569999999999993"/>
    <x v="7"/>
    <n v="6706.26"/>
    <x v="38"/>
  </r>
  <r>
    <x v="80"/>
    <s v="1096"/>
    <s v="JH01FS6302"/>
    <n v="10"/>
    <x v="7"/>
    <n v="1007.4"/>
    <x v="5"/>
  </r>
  <r>
    <x v="80"/>
    <s v="1097"/>
    <s v="OD33Y3567"/>
    <n v="30"/>
    <x v="7"/>
    <n v="3022.2"/>
    <x v="5"/>
  </r>
  <r>
    <x v="80"/>
    <s v="1098"/>
    <s v="OD23Q0312"/>
    <n v="27.5"/>
    <x v="7"/>
    <n v="2770.35"/>
    <x v="58"/>
  </r>
  <r>
    <x v="80"/>
    <s v="1099"/>
    <s v="OD14E0075"/>
    <n v="62"/>
    <x v="7"/>
    <n v="6245.88"/>
    <x v="58"/>
  </r>
  <r>
    <x v="80"/>
    <s v="1100"/>
    <s v="OD23P5658"/>
    <n v="33.020000000000003"/>
    <x v="7"/>
    <n v="3326.43"/>
    <x v="58"/>
  </r>
  <r>
    <x v="80"/>
    <s v="1101"/>
    <s v="OD14T5423"/>
    <n v="46.77"/>
    <x v="7"/>
    <n v="4711.6000000000004"/>
    <x v="29"/>
  </r>
  <r>
    <x v="80"/>
    <s v="1102"/>
    <s v="OD23A8210"/>
    <n v="35"/>
    <x v="7"/>
    <n v="3525.9"/>
    <x v="2"/>
  </r>
  <r>
    <x v="80"/>
    <s v="1103"/>
    <s v="OD16N0753"/>
    <n v="27.79"/>
    <x v="7"/>
    <n v="2800"/>
    <x v="60"/>
  </r>
  <r>
    <x v="80"/>
    <s v="1104"/>
    <s v="OD16K6008"/>
    <n v="27.79"/>
    <x v="7"/>
    <n v="2800"/>
    <x v="60"/>
  </r>
  <r>
    <x v="80"/>
    <s v="1105"/>
    <s v="OD16N4975"/>
    <n v="24.82"/>
    <x v="7"/>
    <n v="2500"/>
    <x v="60"/>
  </r>
  <r>
    <x v="80"/>
    <s v="1106"/>
    <s v="OD16N0753"/>
    <n v="24.82"/>
    <x v="7"/>
    <n v="2500"/>
    <x v="60"/>
  </r>
  <r>
    <x v="80"/>
    <s v="1107"/>
    <s v="OD16K8535"/>
    <n v="24.82"/>
    <x v="7"/>
    <n v="2500"/>
    <x v="60"/>
  </r>
  <r>
    <x v="80"/>
    <s v="1108"/>
    <s v="OD16M1125"/>
    <n v="24.82"/>
    <x v="7"/>
    <n v="2500"/>
    <x v="60"/>
  </r>
  <r>
    <x v="80"/>
    <s v="1109"/>
    <s v="OD16K8578"/>
    <n v="24.82"/>
    <x v="7"/>
    <n v="2500"/>
    <x v="60"/>
  </r>
  <r>
    <x v="80"/>
    <s v="1110"/>
    <s v="OD16K2391"/>
    <n v="24.82"/>
    <x v="7"/>
    <n v="2500"/>
    <x v="60"/>
  </r>
  <r>
    <x v="80"/>
    <s v="1111"/>
    <s v="OD16K2308"/>
    <n v="24.82"/>
    <x v="7"/>
    <n v="2500"/>
    <x v="60"/>
  </r>
  <r>
    <x v="80"/>
    <s v="1112"/>
    <s v="OD16K8437"/>
    <n v="24.82"/>
    <x v="7"/>
    <n v="2500"/>
    <x v="60"/>
  </r>
  <r>
    <x v="80"/>
    <s v="1113"/>
    <s v="OD16K2358"/>
    <n v="24.82"/>
    <x v="7"/>
    <n v="2500"/>
    <x v="60"/>
  </r>
  <r>
    <x v="80"/>
    <s v="1114"/>
    <s v="OD19Z4586"/>
    <n v="24.82"/>
    <x v="7"/>
    <n v="2500"/>
    <x v="60"/>
  </r>
  <r>
    <x v="80"/>
    <s v="1115"/>
    <s v="OD14AC2698"/>
    <n v="24.82"/>
    <x v="7"/>
    <n v="2500"/>
    <x v="60"/>
  </r>
  <r>
    <x v="80"/>
    <s v="1116"/>
    <s v="OD16L1393"/>
    <n v="24.82"/>
    <x v="7"/>
    <n v="2500"/>
    <x v="60"/>
  </r>
  <r>
    <x v="80"/>
    <s v="1117"/>
    <s v="OD16K2377"/>
    <n v="24.82"/>
    <x v="7"/>
    <n v="2500"/>
    <x v="60"/>
  </r>
  <r>
    <x v="80"/>
    <s v="1118"/>
    <s v="OD16N4975"/>
    <n v="24.82"/>
    <x v="7"/>
    <n v="2500"/>
    <x v="60"/>
  </r>
  <r>
    <x v="80"/>
    <s v="1119"/>
    <s v="OD16K4055"/>
    <n v="24.82"/>
    <x v="7"/>
    <n v="2500"/>
    <x v="60"/>
  </r>
  <r>
    <x v="80"/>
    <s v="1120"/>
    <s v="OD16M8879"/>
    <n v="24.82"/>
    <x v="7"/>
    <n v="2500"/>
    <x v="60"/>
  </r>
  <r>
    <x v="80"/>
    <s v="1121"/>
    <s v="OD16K3869"/>
    <n v="24.82"/>
    <x v="7"/>
    <n v="2500"/>
    <x v="60"/>
  </r>
  <r>
    <x v="80"/>
    <s v="1122"/>
    <s v="OD16K2351"/>
    <n v="24.82"/>
    <x v="7"/>
    <n v="2500"/>
    <x v="60"/>
  </r>
  <r>
    <x v="80"/>
    <s v="1123"/>
    <s v="OD16M1025"/>
    <n v="24.82"/>
    <x v="7"/>
    <n v="2500"/>
    <x v="60"/>
  </r>
  <r>
    <x v="80"/>
    <s v="1124"/>
    <s v="OD16K8519"/>
    <n v="24.82"/>
    <x v="7"/>
    <n v="2500"/>
    <x v="60"/>
  </r>
  <r>
    <x v="80"/>
    <s v="1125"/>
    <s v="OD16L2825"/>
    <n v="24.82"/>
    <x v="7"/>
    <n v="2500"/>
    <x v="60"/>
  </r>
  <r>
    <x v="80"/>
    <s v="1126"/>
    <s v="OD16K8543"/>
    <n v="24.82"/>
    <x v="7"/>
    <n v="2500"/>
    <x v="60"/>
  </r>
  <r>
    <x v="80"/>
    <s v="1127"/>
    <s v="OD16K2379"/>
    <n v="24.82"/>
    <x v="7"/>
    <n v="2500"/>
    <x v="60"/>
  </r>
  <r>
    <x v="80"/>
    <s v="1128"/>
    <s v="OD16N7967"/>
    <n v="29.78"/>
    <x v="7"/>
    <n v="3000"/>
    <x v="60"/>
  </r>
  <r>
    <x v="80"/>
    <s v="1129"/>
    <s v="Transporting"/>
    <n v="3758.19"/>
    <x v="7"/>
    <n v="378600"/>
    <x v="8"/>
  </r>
  <r>
    <x v="80"/>
    <s v="1130"/>
    <s v=""/>
    <n v="588.64"/>
    <x v="7"/>
    <n v="59300"/>
    <x v="21"/>
  </r>
  <r>
    <x v="80"/>
    <s v="1131"/>
    <s v="OD15AF5510"/>
    <n v="2000"/>
    <x v="7"/>
    <n v="201480"/>
    <x v="10"/>
  </r>
  <r>
    <x v="80"/>
    <s v="1132"/>
    <s v="OD15AF5510"/>
    <n v="2999.91"/>
    <x v="7"/>
    <n v="302210.93"/>
    <x v="16"/>
  </r>
  <r>
    <x v="81"/>
    <s v="1133"/>
    <s v="OR15R5510"/>
    <n v="12000"/>
    <x v="7"/>
    <n v="1208880"/>
    <x v="24"/>
  </r>
  <r>
    <x v="81"/>
    <s v="1134"/>
    <s v="OD33Y3567"/>
    <n v="20"/>
    <x v="7"/>
    <n v="2014.8"/>
    <x v="5"/>
  </r>
  <r>
    <x v="81"/>
    <s v="1135"/>
    <s v="OD15AA4091"/>
    <n v="10"/>
    <x v="7"/>
    <n v="1007.4"/>
    <x v="5"/>
  </r>
  <r>
    <x v="81"/>
    <s v="1136"/>
    <s v="JH01FS6302"/>
    <n v="10"/>
    <x v="7"/>
    <n v="1007.4"/>
    <x v="5"/>
  </r>
  <r>
    <x v="81"/>
    <s v="1137"/>
    <s v="OD23P0337"/>
    <n v="55.75"/>
    <x v="7"/>
    <n v="5616.25"/>
    <x v="58"/>
  </r>
  <r>
    <x v="81"/>
    <s v="1138"/>
    <s v="OD23Q5434"/>
    <n v="25"/>
    <x v="7"/>
    <n v="2518.5"/>
    <x v="58"/>
  </r>
  <r>
    <x v="81"/>
    <s v="1139"/>
    <s v="DG"/>
    <n v="20"/>
    <x v="7"/>
    <n v="2014.8"/>
    <x v="26"/>
  </r>
  <r>
    <x v="81"/>
    <s v="1140"/>
    <s v="OD15X8014"/>
    <n v="200"/>
    <x v="7"/>
    <n v="20148"/>
    <x v="54"/>
  </r>
  <r>
    <x v="81"/>
    <s v="1141"/>
    <s v="NL01AJ8643"/>
    <n v="364.21"/>
    <x v="7"/>
    <n v="36690.51"/>
    <x v="25"/>
  </r>
  <r>
    <x v="81"/>
    <s v="1142"/>
    <s v="OD16K2308"/>
    <n v="24.82"/>
    <x v="7"/>
    <n v="2500"/>
    <x v="60"/>
  </r>
  <r>
    <x v="81"/>
    <s v="1143"/>
    <s v="OD16K8535"/>
    <n v="24.82"/>
    <x v="7"/>
    <n v="2500"/>
    <x v="60"/>
  </r>
  <r>
    <x v="81"/>
    <s v="1144"/>
    <s v="OD16K2306"/>
    <n v="24.82"/>
    <x v="7"/>
    <n v="2500"/>
    <x v="60"/>
  </r>
  <r>
    <x v="81"/>
    <s v="1145"/>
    <s v="OD16K8437"/>
    <n v="24.82"/>
    <x v="7"/>
    <n v="2500"/>
    <x v="60"/>
  </r>
  <r>
    <x v="81"/>
    <s v="1146"/>
    <s v="OD16K2351"/>
    <n v="24.82"/>
    <x v="7"/>
    <n v="2500"/>
    <x v="60"/>
  </r>
  <r>
    <x v="81"/>
    <s v="1147"/>
    <s v="OD16K6008"/>
    <n v="24.82"/>
    <x v="7"/>
    <n v="2500"/>
    <x v="60"/>
  </r>
  <r>
    <x v="81"/>
    <s v="1148"/>
    <s v="OD16K2391"/>
    <n v="24.82"/>
    <x v="7"/>
    <n v="2500"/>
    <x v="60"/>
  </r>
  <r>
    <x v="81"/>
    <s v="1149"/>
    <s v="OD16K3869"/>
    <n v="24.82"/>
    <x v="7"/>
    <n v="2500"/>
    <x v="60"/>
  </r>
  <r>
    <x v="81"/>
    <s v="1150"/>
    <s v="OD14AC2698"/>
    <n v="24.82"/>
    <x v="7"/>
    <n v="2500"/>
    <x v="60"/>
  </r>
  <r>
    <x v="81"/>
    <s v="1151"/>
    <s v="OD16L2825"/>
    <n v="24.82"/>
    <x v="7"/>
    <n v="2500"/>
    <x v="60"/>
  </r>
  <r>
    <x v="81"/>
    <s v="1152"/>
    <s v="OD16K8519"/>
    <n v="24.82"/>
    <x v="7"/>
    <n v="2500"/>
    <x v="60"/>
  </r>
  <r>
    <x v="81"/>
    <s v="1153"/>
    <s v="OD16M8879"/>
    <n v="24.82"/>
    <x v="7"/>
    <n v="2500"/>
    <x v="60"/>
  </r>
  <r>
    <x v="81"/>
    <s v="1154"/>
    <s v="OD16N0753"/>
    <n v="24.82"/>
    <x v="7"/>
    <n v="2500"/>
    <x v="60"/>
  </r>
  <r>
    <x v="81"/>
    <s v="1155"/>
    <s v="OD16K2308"/>
    <n v="24.82"/>
    <x v="7"/>
    <n v="2500"/>
    <x v="60"/>
  </r>
  <r>
    <x v="81"/>
    <s v="1156"/>
    <s v="OD16K8543"/>
    <n v="24.82"/>
    <x v="7"/>
    <n v="2500"/>
    <x v="60"/>
  </r>
  <r>
    <x v="81"/>
    <s v="1157"/>
    <s v="OD16M1125"/>
    <n v="24.82"/>
    <x v="7"/>
    <n v="2500"/>
    <x v="60"/>
  </r>
  <r>
    <x v="81"/>
    <s v="1158"/>
    <s v="OD16J2358"/>
    <n v="24.82"/>
    <x v="7"/>
    <n v="2500"/>
    <x v="60"/>
  </r>
  <r>
    <x v="81"/>
    <s v="1159"/>
    <s v="OD16K8578"/>
    <n v="24.82"/>
    <x v="7"/>
    <n v="2500"/>
    <x v="60"/>
  </r>
  <r>
    <x v="81"/>
    <s v="1160"/>
    <s v="OD16N4975"/>
    <n v="24.82"/>
    <x v="7"/>
    <n v="2500"/>
    <x v="60"/>
  </r>
  <r>
    <x v="81"/>
    <s v="1161"/>
    <s v="OD16K4055"/>
    <n v="24.82"/>
    <x v="7"/>
    <n v="2500"/>
    <x v="60"/>
  </r>
  <r>
    <x v="81"/>
    <s v="1162"/>
    <s v="OD16L9425"/>
    <n v="24.82"/>
    <x v="7"/>
    <n v="2500"/>
    <x v="60"/>
  </r>
  <r>
    <x v="81"/>
    <s v="1163"/>
    <s v="OD16M2174"/>
    <n v="24.82"/>
    <x v="7"/>
    <n v="2500"/>
    <x v="60"/>
  </r>
  <r>
    <x v="81"/>
    <s v="1164"/>
    <s v="OD19Z4586"/>
    <n v="24.82"/>
    <x v="7"/>
    <n v="2500"/>
    <x v="60"/>
  </r>
  <r>
    <x v="81"/>
    <s v="1165"/>
    <s v="OD16L1393"/>
    <n v="24.82"/>
    <x v="7"/>
    <n v="2500"/>
    <x v="60"/>
  </r>
  <r>
    <x v="81"/>
    <s v="1166"/>
    <s v="OD16K8535"/>
    <n v="24.82"/>
    <x v="7"/>
    <n v="2500"/>
    <x v="60"/>
  </r>
  <r>
    <x v="81"/>
    <s v="1167"/>
    <s v="OD16M1025"/>
    <n v="24.82"/>
    <x v="7"/>
    <n v="2500"/>
    <x v="60"/>
  </r>
  <r>
    <x v="81"/>
    <s v="1168"/>
    <s v="OD16M2028"/>
    <n v="24.82"/>
    <x v="7"/>
    <n v="2500"/>
    <x v="60"/>
  </r>
  <r>
    <x v="81"/>
    <s v="1169"/>
    <s v="OD16M2028"/>
    <n v="24.82"/>
    <x v="7"/>
    <n v="2500"/>
    <x v="60"/>
  </r>
  <r>
    <x v="81"/>
    <s v="1170"/>
    <s v="OD16M1125"/>
    <n v="24.82"/>
    <x v="7"/>
    <n v="2500"/>
    <x v="60"/>
  </r>
  <r>
    <x v="81"/>
    <s v="1171"/>
    <s v="OD16N4975"/>
    <n v="24.82"/>
    <x v="7"/>
    <n v="2500"/>
    <x v="60"/>
  </r>
  <r>
    <x v="81"/>
    <s v="1172"/>
    <s v="OD16K2391"/>
    <n v="24.82"/>
    <x v="7"/>
    <n v="2500"/>
    <x v="60"/>
  </r>
  <r>
    <x v="81"/>
    <s v="1173"/>
    <s v="OD16K8437"/>
    <n v="24.82"/>
    <x v="7"/>
    <n v="2500"/>
    <x v="60"/>
  </r>
  <r>
    <x v="81"/>
    <s v="1174"/>
    <s v="OD14AC2698"/>
    <n v="24.82"/>
    <x v="7"/>
    <n v="2500"/>
    <x v="60"/>
  </r>
  <r>
    <x v="81"/>
    <s v="1175"/>
    <s v="OD16L2825"/>
    <n v="24.82"/>
    <x v="7"/>
    <n v="2500"/>
    <x v="60"/>
  </r>
  <r>
    <x v="81"/>
    <s v="1176"/>
    <s v="OD16K8519"/>
    <n v="24.82"/>
    <x v="7"/>
    <n v="2500"/>
    <x v="60"/>
  </r>
  <r>
    <x v="81"/>
    <s v="1177"/>
    <s v="OD16K2379"/>
    <n v="24.82"/>
    <x v="7"/>
    <n v="2500"/>
    <x v="60"/>
  </r>
  <r>
    <x v="81"/>
    <s v="1178"/>
    <s v="OD16M3384"/>
    <n v="27.79"/>
    <x v="7"/>
    <n v="2800"/>
    <x v="60"/>
  </r>
  <r>
    <x v="81"/>
    <s v="1179"/>
    <s v="OD16N1595"/>
    <n v="27.79"/>
    <x v="7"/>
    <n v="2800"/>
    <x v="60"/>
  </r>
  <r>
    <x v="81"/>
    <s v="1180"/>
    <s v="OD16P3725"/>
    <n v="27.79"/>
    <x v="7"/>
    <n v="2800"/>
    <x v="60"/>
  </r>
  <r>
    <x v="81"/>
    <s v="1181"/>
    <s v="OD16B8153"/>
    <n v="29.78"/>
    <x v="7"/>
    <n v="3000"/>
    <x v="60"/>
  </r>
  <r>
    <x v="81"/>
    <s v="1182"/>
    <s v="OD16D2699"/>
    <n v="29.78"/>
    <x v="7"/>
    <n v="3000"/>
    <x v="60"/>
  </r>
  <r>
    <x v="81"/>
    <s v="1183"/>
    <s v="Transporting"/>
    <n v="3435.58"/>
    <x v="7"/>
    <n v="346100"/>
    <x v="8"/>
  </r>
  <r>
    <x v="81"/>
    <s v="1184"/>
    <s v=""/>
    <n v="789.16"/>
    <x v="7"/>
    <n v="79500"/>
    <x v="21"/>
  </r>
  <r>
    <x v="81"/>
    <s v="1185"/>
    <s v=""/>
    <n v="70.48"/>
    <x v="7"/>
    <n v="7100.15"/>
    <x v="7"/>
  </r>
  <r>
    <x v="81"/>
    <s v="1186"/>
    <s v="OD15AF5510"/>
    <n v="3000"/>
    <x v="7"/>
    <n v="302220"/>
    <x v="10"/>
  </r>
  <r>
    <x v="81"/>
    <s v="1187"/>
    <s v="OD15AF5510"/>
    <n v="2000"/>
    <x v="7"/>
    <n v="201480"/>
    <x v="41"/>
  </r>
  <r>
    <x v="82"/>
    <s v="1188"/>
    <s v="OD33Y3567"/>
    <n v="20"/>
    <x v="7"/>
    <n v="2014.8"/>
    <x v="5"/>
  </r>
  <r>
    <x v="82"/>
    <s v="1189"/>
    <s v="OD15AA4091"/>
    <n v="10"/>
    <x v="7"/>
    <n v="1007.4"/>
    <x v="5"/>
  </r>
  <r>
    <x v="82"/>
    <s v="1190"/>
    <s v="WB59D0791"/>
    <n v="150"/>
    <x v="7"/>
    <n v="15111"/>
    <x v="25"/>
  </r>
  <r>
    <x v="82"/>
    <s v="1191"/>
    <s v="OD15T6167"/>
    <n v="50.69"/>
    <x v="7"/>
    <n v="5106.5"/>
    <x v="58"/>
  </r>
  <r>
    <x v="82"/>
    <s v="1192"/>
    <s v="OD17F8468"/>
    <n v="19.850000000000001"/>
    <x v="7"/>
    <n v="2000"/>
    <x v="28"/>
  </r>
  <r>
    <x v="82"/>
    <s v="1193"/>
    <s v="OD15AA5823"/>
    <n v="60"/>
    <x v="7"/>
    <n v="6044.4"/>
    <x v="38"/>
  </r>
  <r>
    <x v="82"/>
    <s v="1194"/>
    <s v="DG"/>
    <n v="20"/>
    <x v="7"/>
    <n v="2014.8"/>
    <x v="26"/>
  </r>
  <r>
    <x v="82"/>
    <s v="1195"/>
    <s v="OD16D2699"/>
    <n v="27.79"/>
    <x v="7"/>
    <n v="2800"/>
    <x v="60"/>
  </r>
  <r>
    <x v="82"/>
    <s v="1196"/>
    <s v="OD16B8153"/>
    <n v="27.79"/>
    <x v="7"/>
    <n v="2800"/>
    <x v="60"/>
  </r>
  <r>
    <x v="82"/>
    <s v="1197"/>
    <s v="OD16N1595"/>
    <n v="27.79"/>
    <x v="7"/>
    <n v="2800"/>
    <x v="60"/>
  </r>
  <r>
    <x v="82"/>
    <s v="1198"/>
    <s v="OD16M3384"/>
    <n v="27.79"/>
    <x v="7"/>
    <n v="2800"/>
    <x v="60"/>
  </r>
  <r>
    <x v="82"/>
    <s v="1199"/>
    <s v="OD16P3725"/>
    <n v="27.79"/>
    <x v="7"/>
    <n v="2800"/>
    <x v="60"/>
  </r>
  <r>
    <x v="82"/>
    <s v="1200"/>
    <s v="OD16K8437"/>
    <n v="24.82"/>
    <x v="7"/>
    <n v="2500"/>
    <x v="60"/>
  </r>
  <r>
    <x v="82"/>
    <s v="1201"/>
    <s v="OD16M2028"/>
    <n v="24.82"/>
    <x v="7"/>
    <n v="2500"/>
    <x v="60"/>
  </r>
  <r>
    <x v="82"/>
    <s v="1202"/>
    <s v="OD16M1025"/>
    <n v="24.82"/>
    <x v="7"/>
    <n v="2500"/>
    <x v="60"/>
  </r>
  <r>
    <x v="82"/>
    <s v="1203"/>
    <s v="OD16K8535"/>
    <n v="24.82"/>
    <x v="7"/>
    <n v="2500"/>
    <x v="60"/>
  </r>
  <r>
    <x v="82"/>
    <s v="1204"/>
    <s v="OD16K2308"/>
    <n v="24.82"/>
    <x v="7"/>
    <n v="2500"/>
    <x v="60"/>
  </r>
  <r>
    <x v="82"/>
    <s v="1205"/>
    <s v="OD16K8519"/>
    <n v="24.82"/>
    <x v="7"/>
    <n v="2500"/>
    <x v="60"/>
  </r>
  <r>
    <x v="82"/>
    <s v="1206"/>
    <s v="OD16L2825"/>
    <n v="24.82"/>
    <x v="7"/>
    <n v="2500"/>
    <x v="60"/>
  </r>
  <r>
    <x v="82"/>
    <s v="1207"/>
    <s v="OD16K8543"/>
    <n v="24.82"/>
    <x v="7"/>
    <n v="2500"/>
    <x v="60"/>
  </r>
  <r>
    <x v="82"/>
    <s v="1208"/>
    <s v="OD16M2174"/>
    <n v="24.82"/>
    <x v="7"/>
    <n v="2500"/>
    <x v="60"/>
  </r>
  <r>
    <x v="82"/>
    <s v="1209"/>
    <s v="OD16L9425"/>
    <n v="24.82"/>
    <x v="7"/>
    <n v="2500"/>
    <x v="60"/>
  </r>
  <r>
    <x v="82"/>
    <s v="1210"/>
    <s v="OD19Z4586"/>
    <n v="24.82"/>
    <x v="7"/>
    <n v="2500"/>
    <x v="60"/>
  </r>
  <r>
    <x v="82"/>
    <s v="1211"/>
    <s v="OD16K6008"/>
    <n v="24.82"/>
    <x v="7"/>
    <n v="2500"/>
    <x v="60"/>
  </r>
  <r>
    <x v="82"/>
    <s v="1212"/>
    <s v="OD16K2377"/>
    <n v="24.82"/>
    <x v="7"/>
    <n v="2500"/>
    <x v="60"/>
  </r>
  <r>
    <x v="82"/>
    <s v="1213"/>
    <s v="OD16K2351"/>
    <n v="24.82"/>
    <x v="7"/>
    <n v="2500"/>
    <x v="60"/>
  </r>
  <r>
    <x v="82"/>
    <s v="1214"/>
    <s v="OD16M8879"/>
    <n v="24.82"/>
    <x v="7"/>
    <n v="2500"/>
    <x v="60"/>
  </r>
  <r>
    <x v="82"/>
    <s v="1215"/>
    <s v="OD16K4055"/>
    <n v="24.82"/>
    <x v="7"/>
    <n v="2500"/>
    <x v="60"/>
  </r>
  <r>
    <x v="82"/>
    <s v="1216"/>
    <s v="OD16K2358"/>
    <n v="24.82"/>
    <x v="7"/>
    <n v="2500"/>
    <x v="60"/>
  </r>
  <r>
    <x v="82"/>
    <s v="1217"/>
    <s v="OD16N0753"/>
    <n v="24.82"/>
    <x v="7"/>
    <n v="2500"/>
    <x v="60"/>
  </r>
  <r>
    <x v="82"/>
    <s v="1218"/>
    <s v="OD16P3045"/>
    <n v="24.82"/>
    <x v="7"/>
    <n v="2500"/>
    <x v="60"/>
  </r>
  <r>
    <x v="82"/>
    <s v="1219"/>
    <s v="OD16L1393"/>
    <n v="21.84"/>
    <x v="7"/>
    <n v="2200"/>
    <x v="60"/>
  </r>
  <r>
    <x v="82"/>
    <s v="1220"/>
    <s v="OD23D5870"/>
    <n v="24.82"/>
    <x v="7"/>
    <n v="2500"/>
    <x v="60"/>
  </r>
  <r>
    <x v="82"/>
    <s v="1221"/>
    <s v="OD16K8578"/>
    <n v="24.82"/>
    <x v="7"/>
    <n v="2500"/>
    <x v="60"/>
  </r>
  <r>
    <x v="82"/>
    <s v="1222"/>
    <s v="OD16K2306"/>
    <n v="24.82"/>
    <x v="7"/>
    <n v="2500"/>
    <x v="60"/>
  </r>
  <r>
    <x v="82"/>
    <s v="1223"/>
    <s v="OD16K3869"/>
    <n v="24.82"/>
    <x v="7"/>
    <n v="2500"/>
    <x v="60"/>
  </r>
  <r>
    <x v="82"/>
    <s v="1224"/>
    <s v="Transporting"/>
    <n v="4588.05"/>
    <x v="7"/>
    <n v="462200"/>
    <x v="8"/>
  </r>
  <r>
    <x v="82"/>
    <s v="1225"/>
    <s v=""/>
    <n v="506.25"/>
    <x v="7"/>
    <n v="51000"/>
    <x v="21"/>
  </r>
  <r>
    <x v="82"/>
    <s v="1226"/>
    <s v="OD15AF5510"/>
    <n v="3000.38"/>
    <x v="7"/>
    <n v="302258.28000000003"/>
    <x v="16"/>
  </r>
  <r>
    <x v="82"/>
    <s v="1227"/>
    <s v="OD15AF5510"/>
    <n v="3000"/>
    <x v="7"/>
    <n v="302220"/>
    <x v="10"/>
  </r>
  <r>
    <x v="83"/>
    <s v="1228"/>
    <s v="OD23P0337"/>
    <n v="36.590000000000003"/>
    <x v="7"/>
    <n v="3686.07"/>
    <x v="58"/>
  </r>
  <r>
    <x v="83"/>
    <s v="1229"/>
    <s v="OD23Q0312"/>
    <n v="37.03"/>
    <x v="7"/>
    <n v="3730.4"/>
    <x v="58"/>
  </r>
  <r>
    <x v="83"/>
    <s v="1230"/>
    <s v="OD23P5658"/>
    <n v="29.69"/>
    <x v="7"/>
    <n v="2990.97"/>
    <x v="58"/>
  </r>
  <r>
    <x v="83"/>
    <s v="1231"/>
    <s v="OD15N0455"/>
    <n v="82.54"/>
    <x v="7"/>
    <n v="8315.07"/>
    <x v="38"/>
  </r>
  <r>
    <x v="83"/>
    <s v="1232"/>
    <s v="JH13J1926"/>
    <n v="20"/>
    <x v="7"/>
    <n v="2014.8"/>
    <x v="28"/>
  </r>
  <r>
    <x v="83"/>
    <s v="1233"/>
    <s v="OD23Q4770"/>
    <n v="30"/>
    <x v="7"/>
    <n v="3022.2"/>
    <x v="28"/>
  </r>
  <r>
    <x v="83"/>
    <s v="1234"/>
    <s v="CG04NX4888"/>
    <n v="47.93"/>
    <x v="7"/>
    <n v="4828.46"/>
    <x v="28"/>
  </r>
  <r>
    <x v="83"/>
    <s v="1235"/>
    <s v="CG04PA3452"/>
    <n v="39.14"/>
    <x v="7"/>
    <n v="3942.96"/>
    <x v="28"/>
  </r>
  <r>
    <x v="83"/>
    <s v="1236"/>
    <s v="Transporting"/>
    <n v="4851.1000000000004"/>
    <x v="7"/>
    <n v="488700"/>
    <x v="8"/>
  </r>
  <r>
    <x v="83"/>
    <s v="1237"/>
    <s v=""/>
    <n v="536.03"/>
    <x v="7"/>
    <n v="54000"/>
    <x v="21"/>
  </r>
  <r>
    <x v="83"/>
    <s v="1238"/>
    <s v="OD15AF5510"/>
    <n v="2000"/>
    <x v="7"/>
    <n v="201480"/>
    <x v="41"/>
  </r>
  <r>
    <x v="84"/>
    <s v="1239"/>
    <s v="OR15R1110"/>
    <n v="12000"/>
    <x v="7"/>
    <n v="1208880"/>
    <x v="24"/>
  </r>
  <r>
    <x v="84"/>
    <s v="1240"/>
    <s v="Transporting"/>
    <n v="4715.1099999999997"/>
    <x v="7"/>
    <n v="475000"/>
    <x v="8"/>
  </r>
  <r>
    <x v="84"/>
    <s v="1241"/>
    <s v=""/>
    <n v="550.91999999999996"/>
    <x v="7"/>
    <n v="55500"/>
    <x v="21"/>
  </r>
  <r>
    <x v="84"/>
    <s v="1242"/>
    <s v="OD15AF5510"/>
    <n v="1499.64"/>
    <x v="7"/>
    <n v="151073.73000000001"/>
    <x v="16"/>
  </r>
  <r>
    <x v="84"/>
    <s v="1243"/>
    <s v="OD15X8014"/>
    <n v="400"/>
    <x v="7"/>
    <n v="40296"/>
    <x v="54"/>
  </r>
  <r>
    <x v="84"/>
    <s v="1244"/>
    <s v="OD15AA5823"/>
    <n v="39.71"/>
    <x v="7"/>
    <n v="4000"/>
    <x v="38"/>
  </r>
  <r>
    <x v="84"/>
    <s v="1245"/>
    <s v="OD15K2690"/>
    <n v="50"/>
    <x v="7"/>
    <n v="5037"/>
    <x v="38"/>
  </r>
  <r>
    <x v="84"/>
    <s v="1246"/>
    <s v="OD23Q5434"/>
    <n v="30.43"/>
    <x v="7"/>
    <n v="3065.51"/>
    <x v="58"/>
  </r>
  <r>
    <x v="84"/>
    <s v="1247"/>
    <s v="OD14E0075"/>
    <n v="43.04"/>
    <x v="7"/>
    <n v="4335.84"/>
    <x v="58"/>
  </r>
  <r>
    <x v="85"/>
    <s v="1248"/>
    <s v="OD15D7494"/>
    <n v="1200"/>
    <x v="7"/>
    <n v="120888"/>
    <x v="50"/>
  </r>
  <r>
    <x v="85"/>
    <s v="1249"/>
    <s v="OD15AF5510"/>
    <n v="3000"/>
    <x v="7"/>
    <n v="302220"/>
    <x v="50"/>
  </r>
  <r>
    <x v="85"/>
    <s v="1250"/>
    <s v="OD23N7688"/>
    <n v="1000"/>
    <x v="7"/>
    <n v="100740"/>
    <x v="10"/>
  </r>
  <r>
    <x v="85"/>
    <s v="1251"/>
    <s v="Transporting"/>
    <n v="2859.84"/>
    <x v="7"/>
    <n v="288100"/>
    <x v="8"/>
  </r>
  <r>
    <x v="85"/>
    <s v="1252"/>
    <s v=""/>
    <n v="446.69"/>
    <x v="7"/>
    <n v="45000"/>
    <x v="21"/>
  </r>
  <r>
    <x v="85"/>
    <s v="1253"/>
    <s v="JH10BU4866"/>
    <n v="247"/>
    <x v="7"/>
    <n v="24882.78"/>
    <x v="25"/>
  </r>
  <r>
    <x v="85"/>
    <s v="1254"/>
    <s v="OD23H5292"/>
    <n v="198.53"/>
    <x v="7"/>
    <n v="20000"/>
    <x v="25"/>
  </r>
  <r>
    <x v="86"/>
    <s v="1255"/>
    <s v="OD23N5311"/>
    <n v="1000"/>
    <x v="7"/>
    <n v="100740"/>
    <x v="17"/>
  </r>
  <r>
    <x v="86"/>
    <s v="1256"/>
    <s v="OD15AF5510"/>
    <n v="1000"/>
    <x v="7"/>
    <n v="100740"/>
    <x v="56"/>
  </r>
  <r>
    <x v="86"/>
    <s v="1257"/>
    <s v="OD15AF5510"/>
    <n v="1000"/>
    <x v="7"/>
    <n v="100740"/>
    <x v="30"/>
  </r>
  <r>
    <x v="86"/>
    <s v="1258"/>
    <s v="OD15AF5510"/>
    <n v="1000"/>
    <x v="7"/>
    <n v="100740"/>
    <x v="40"/>
  </r>
  <r>
    <x v="86"/>
    <s v="1259"/>
    <s v="OD15N0455"/>
    <n v="49.63"/>
    <x v="7"/>
    <n v="5000"/>
    <x v="38"/>
  </r>
  <r>
    <x v="86"/>
    <s v="1260"/>
    <s v="JH13J1926"/>
    <n v="15"/>
    <x v="7"/>
    <n v="1511.1"/>
    <x v="28"/>
  </r>
  <r>
    <x v="86"/>
    <s v="1261"/>
    <s v="OD23P3948"/>
    <n v="20"/>
    <x v="7"/>
    <n v="2014.8"/>
    <x v="28"/>
  </r>
  <r>
    <x v="86"/>
    <s v="1262"/>
    <s v="OD15AF5510"/>
    <n v="40"/>
    <x v="7"/>
    <n v="4029.6"/>
    <x v="3"/>
  </r>
  <r>
    <x v="86"/>
    <s v="1263"/>
    <s v="Transporting"/>
    <n v="3478.26"/>
    <x v="7"/>
    <n v="350400"/>
    <x v="8"/>
  </r>
  <r>
    <x v="86"/>
    <s v="1264"/>
    <s v="Consumer"/>
    <n v="39.71"/>
    <x v="7"/>
    <n v="4000"/>
    <x v="8"/>
  </r>
  <r>
    <x v="86"/>
    <s v="1265"/>
    <s v=""/>
    <n v="859.64"/>
    <x v="7"/>
    <n v="86600"/>
    <x v="21"/>
  </r>
  <r>
    <x v="86"/>
    <s v="1266"/>
    <s v=""/>
    <n v="129"/>
    <x v="7"/>
    <n v="12995.46"/>
    <x v="7"/>
  </r>
  <r>
    <x v="86"/>
    <s v="1267"/>
    <s v="OD15AF5510"/>
    <n v="2500"/>
    <x v="7"/>
    <n v="251850"/>
    <x v="10"/>
  </r>
  <r>
    <x v="86"/>
    <s v="1268"/>
    <s v="OD15AF5510"/>
    <n v="1500.41"/>
    <x v="7"/>
    <n v="151151.29999999999"/>
    <x v="16"/>
  </r>
  <r>
    <x v="86"/>
    <s v="1269"/>
    <s v="OD15AF5510"/>
    <n v="1134.1199999999999"/>
    <x v="7"/>
    <n v="114251.25"/>
    <x v="15"/>
  </r>
  <r>
    <x v="86"/>
    <s v="1270"/>
    <s v=""/>
    <n v="294.82"/>
    <x v="7"/>
    <n v="29700"/>
    <x v="61"/>
  </r>
  <r>
    <x v="87"/>
    <s v="1271"/>
    <s v="OR15R5510"/>
    <n v="12000"/>
    <x v="7"/>
    <n v="1208880"/>
    <x v="24"/>
  </r>
  <r>
    <x v="87"/>
    <s v="1272"/>
    <s v="OD15AF5510"/>
    <n v="3000"/>
    <x v="7"/>
    <n v="302220"/>
    <x v="50"/>
  </r>
  <r>
    <x v="87"/>
    <s v="1273"/>
    <s v="OD15AF5510"/>
    <n v="655.21"/>
    <x v="7"/>
    <n v="66005.86"/>
    <x v="15"/>
  </r>
  <r>
    <x v="87"/>
    <s v="1274"/>
    <s v="OD15AF5510"/>
    <n v="951.54"/>
    <x v="7"/>
    <n v="95858.14"/>
    <x v="15"/>
  </r>
  <r>
    <x v="87"/>
    <s v="1275"/>
    <s v="Transporting"/>
    <n v="2102.44"/>
    <x v="7"/>
    <n v="211800"/>
    <x v="8"/>
  </r>
  <r>
    <x v="87"/>
    <s v="1276"/>
    <s v=""/>
    <n v="804.05"/>
    <x v="7"/>
    <n v="81000"/>
    <x v="21"/>
  </r>
  <r>
    <x v="87"/>
    <s v="1277"/>
    <s v="OD16K7103"/>
    <n v="200"/>
    <x v="7"/>
    <n v="20148"/>
    <x v="62"/>
  </r>
  <r>
    <x v="87"/>
    <s v="1278"/>
    <s v="OD16K7108"/>
    <n v="200"/>
    <x v="7"/>
    <n v="20148"/>
    <x v="62"/>
  </r>
  <r>
    <x v="87"/>
    <s v="1279"/>
    <s v="OD16K7171"/>
    <n v="200"/>
    <x v="7"/>
    <n v="20148"/>
    <x v="62"/>
  </r>
  <r>
    <x v="87"/>
    <s v="1280"/>
    <s v="OD16K7170"/>
    <n v="200"/>
    <x v="7"/>
    <n v="20148"/>
    <x v="62"/>
  </r>
  <r>
    <x v="87"/>
    <s v="1281"/>
    <s v="OD16M0743"/>
    <n v="200"/>
    <x v="7"/>
    <n v="20148"/>
    <x v="62"/>
  </r>
  <r>
    <x v="87"/>
    <s v="1282"/>
    <s v="OD15AA5823"/>
    <n v="217"/>
    <x v="7"/>
    <n v="21860.58"/>
    <x v="38"/>
  </r>
  <r>
    <x v="87"/>
    <s v="1283"/>
    <s v="OD15X8293"/>
    <n v="81.3"/>
    <x v="7"/>
    <n v="8190.16"/>
    <x v="38"/>
  </r>
  <r>
    <x v="87"/>
    <s v="1284"/>
    <s v="OD15K2690"/>
    <n v="112.37"/>
    <x v="7"/>
    <n v="11320.15"/>
    <x v="38"/>
  </r>
  <r>
    <x v="87"/>
    <s v="1285"/>
    <s v="OD15AE7230"/>
    <n v="164"/>
    <x v="7"/>
    <n v="16521.36"/>
    <x v="38"/>
  </r>
  <r>
    <x v="87"/>
    <s v="1286"/>
    <s v="OD15Z1430"/>
    <n v="20"/>
    <x v="7"/>
    <n v="2014.8"/>
    <x v="38"/>
  </r>
  <r>
    <x v="87"/>
    <s v="1287"/>
    <s v="New Tractor"/>
    <n v="20"/>
    <x v="7"/>
    <n v="2014.8"/>
    <x v="38"/>
  </r>
  <r>
    <x v="87"/>
    <s v="1288"/>
    <s v="OR15Q0355"/>
    <n v="150"/>
    <x v="7"/>
    <n v="15111"/>
    <x v="38"/>
  </r>
  <r>
    <x v="87"/>
    <s v="1289"/>
    <s v="CG04MR0818"/>
    <n v="8.08"/>
    <x v="7"/>
    <n v="813.68"/>
    <x v="28"/>
  </r>
  <r>
    <x v="87"/>
    <s v="1290"/>
    <s v="OR15R5510"/>
    <n v="281"/>
    <x v="7"/>
    <n v="28307.94"/>
    <x v="3"/>
  </r>
  <r>
    <x v="87"/>
    <s v="1291"/>
    <s v=""/>
    <n v="258.08999999999997"/>
    <x v="7"/>
    <n v="26000"/>
    <x v="61"/>
  </r>
  <r>
    <x v="88"/>
    <s v="1292"/>
    <s v="OR15R1110"/>
    <n v="12000"/>
    <x v="7"/>
    <n v="1208880"/>
    <x v="1"/>
  </r>
  <r>
    <x v="88"/>
    <s v="1293"/>
    <s v="OD16M0750"/>
    <n v="200"/>
    <x v="7"/>
    <n v="20148"/>
    <x v="62"/>
  </r>
  <r>
    <x v="88"/>
    <s v="1294"/>
    <s v="OD16K7132"/>
    <n v="200"/>
    <x v="7"/>
    <n v="20148"/>
    <x v="62"/>
  </r>
  <r>
    <x v="88"/>
    <s v="1295"/>
    <s v="OD16M2067"/>
    <n v="200"/>
    <x v="7"/>
    <n v="20148"/>
    <x v="62"/>
  </r>
  <r>
    <x v="88"/>
    <s v="1296"/>
    <s v="OD16M2047"/>
    <n v="200"/>
    <x v="7"/>
    <n v="20148"/>
    <x v="62"/>
  </r>
  <r>
    <x v="88"/>
    <s v="1297"/>
    <s v="OD16M2030"/>
    <n v="200"/>
    <x v="7"/>
    <n v="20148"/>
    <x v="62"/>
  </r>
  <r>
    <x v="88"/>
    <s v="1298"/>
    <s v="OD16M2004"/>
    <n v="200"/>
    <x v="7"/>
    <n v="20148"/>
    <x v="62"/>
  </r>
  <r>
    <x v="88"/>
    <s v="1299"/>
    <s v="OD16M2080"/>
    <n v="200"/>
    <x v="7"/>
    <n v="20148"/>
    <x v="62"/>
  </r>
  <r>
    <x v="88"/>
    <s v="1300"/>
    <s v="OD16M0981"/>
    <n v="200"/>
    <x v="7"/>
    <n v="20148"/>
    <x v="62"/>
  </r>
  <r>
    <x v="88"/>
    <s v="1301"/>
    <s v="OD16K3450"/>
    <n v="200"/>
    <x v="7"/>
    <n v="20148"/>
    <x v="62"/>
  </r>
  <r>
    <x v="88"/>
    <s v="1302"/>
    <s v="OD16M2073"/>
    <n v="200"/>
    <x v="7"/>
    <n v="20148"/>
    <x v="62"/>
  </r>
  <r>
    <x v="88"/>
    <s v="1303"/>
    <s v="OD16M2001"/>
    <n v="200"/>
    <x v="7"/>
    <n v="20148"/>
    <x v="62"/>
  </r>
  <r>
    <x v="88"/>
    <s v="1304"/>
    <s v="OD16M0914"/>
    <n v="200"/>
    <x v="7"/>
    <n v="20148"/>
    <x v="62"/>
  </r>
  <r>
    <x v="88"/>
    <s v="1305"/>
    <s v="OD15N0455"/>
    <n v="88.55"/>
    <x v="7"/>
    <n v="8920.52"/>
    <x v="38"/>
  </r>
  <r>
    <x v="88"/>
    <s v="1306"/>
    <s v="OD14T5423"/>
    <n v="51.88"/>
    <x v="7"/>
    <n v="5226.3900000000003"/>
    <x v="29"/>
  </r>
  <r>
    <x v="88"/>
    <s v="1307"/>
    <s v="OD15AF5510"/>
    <n v="263.83"/>
    <x v="7"/>
    <n v="26578.23"/>
    <x v="15"/>
  </r>
  <r>
    <x v="88"/>
    <s v="1308"/>
    <s v="OD15AF5510"/>
    <n v="922.28"/>
    <x v="7"/>
    <n v="92910.49"/>
    <x v="15"/>
  </r>
  <r>
    <x v="88"/>
    <s v="1309"/>
    <s v="OD15AF5510"/>
    <n v="2000.08"/>
    <x v="7"/>
    <n v="201488.06"/>
    <x v="16"/>
  </r>
  <r>
    <x v="88"/>
    <s v="1310"/>
    <s v=""/>
    <n v="600.55999999999995"/>
    <x v="7"/>
    <n v="60500"/>
    <x v="21"/>
  </r>
  <r>
    <x v="88"/>
    <s v="1311"/>
    <s v="Consumer"/>
    <n v="30"/>
    <x v="7"/>
    <n v="3022.2"/>
    <x v="8"/>
  </r>
  <r>
    <x v="88"/>
    <s v="1312"/>
    <s v="Transporting"/>
    <n v="5275.96"/>
    <x v="7"/>
    <n v="531500"/>
    <x v="8"/>
  </r>
  <r>
    <x v="89"/>
    <s v="1313"/>
    <s v="Transporting"/>
    <n v="4009.33"/>
    <x v="7"/>
    <n v="403900"/>
    <x v="8"/>
  </r>
  <r>
    <x v="89"/>
    <s v="1314"/>
    <s v="Consumer"/>
    <n v="30"/>
    <x v="7"/>
    <n v="3022.2"/>
    <x v="8"/>
  </r>
  <r>
    <x v="89"/>
    <s v="1315"/>
    <s v="OD15AF5510"/>
    <n v="2000.04"/>
    <x v="7"/>
    <n v="201484.03"/>
    <x v="16"/>
  </r>
  <r>
    <x v="89"/>
    <s v="1316"/>
    <s v="OD15AF5510"/>
    <n v="979.74"/>
    <x v="7"/>
    <n v="98699.01"/>
    <x v="15"/>
  </r>
  <r>
    <x v="89"/>
    <s v="1317"/>
    <s v=""/>
    <n v="1459.2"/>
    <x v="7"/>
    <n v="147000"/>
    <x v="21"/>
  </r>
  <r>
    <x v="89"/>
    <s v="1318"/>
    <s v=""/>
    <n v="176.24"/>
    <x v="7"/>
    <n v="17754.509999999998"/>
    <x v="63"/>
  </r>
  <r>
    <x v="89"/>
    <s v="1319"/>
    <s v=""/>
    <n v="20"/>
    <x v="7"/>
    <n v="2014.8"/>
    <x v="26"/>
  </r>
  <r>
    <x v="89"/>
    <s v="1320"/>
    <s v="JH13J1926"/>
    <n v="10"/>
    <x v="7"/>
    <n v="1007.4"/>
    <x v="28"/>
  </r>
  <r>
    <x v="89"/>
    <s v="1321"/>
    <s v=""/>
    <n v="15"/>
    <x v="7"/>
    <n v="1511.1"/>
    <x v="28"/>
  </r>
  <r>
    <x v="89"/>
    <s v="1322"/>
    <s v="OD23B4525"/>
    <n v="19.86"/>
    <x v="7"/>
    <n v="2000"/>
    <x v="60"/>
  </r>
  <r>
    <x v="89"/>
    <s v="1323"/>
    <s v="OD23A7841"/>
    <n v="19.86"/>
    <x v="7"/>
    <n v="2000"/>
    <x v="60"/>
  </r>
  <r>
    <x v="89"/>
    <s v="1324"/>
    <s v="OD23Q4004"/>
    <n v="27.8"/>
    <x v="7"/>
    <n v="2800"/>
    <x v="60"/>
  </r>
  <r>
    <x v="89"/>
    <s v="1325"/>
    <s v="OD16B8153"/>
    <n v="27.8"/>
    <x v="7"/>
    <n v="2800"/>
    <x v="60"/>
  </r>
  <r>
    <x v="89"/>
    <s v="1326"/>
    <s v="OD16D2699"/>
    <n v="27.8"/>
    <x v="7"/>
    <n v="2800"/>
    <x v="60"/>
  </r>
  <r>
    <x v="90"/>
    <s v="1327"/>
    <s v="OD16M0743"/>
    <n v="200"/>
    <x v="7"/>
    <n v="20148"/>
    <x v="62"/>
  </r>
  <r>
    <x v="90"/>
    <s v="1328"/>
    <s v="OD16K7170"/>
    <n v="200"/>
    <x v="7"/>
    <n v="20148"/>
    <x v="62"/>
  </r>
  <r>
    <x v="90"/>
    <s v="1329"/>
    <s v="OD16K7108"/>
    <n v="200"/>
    <x v="7"/>
    <n v="20148"/>
    <x v="62"/>
  </r>
  <r>
    <x v="90"/>
    <s v="1330"/>
    <s v="OD16K7171"/>
    <n v="200"/>
    <x v="7"/>
    <n v="20148"/>
    <x v="62"/>
  </r>
  <r>
    <x v="90"/>
    <s v="1331"/>
    <s v="OD16K7103"/>
    <n v="200"/>
    <x v="7"/>
    <n v="20148"/>
    <x v="62"/>
  </r>
  <r>
    <x v="90"/>
    <s v="1332"/>
    <s v="OD23A9137"/>
    <n v="19.86"/>
    <x v="7"/>
    <n v="2000"/>
    <x v="60"/>
  </r>
  <r>
    <x v="90"/>
    <s v="1333"/>
    <s v="OD23B4526"/>
    <n v="19.86"/>
    <x v="7"/>
    <n v="2000"/>
    <x v="60"/>
  </r>
  <r>
    <x v="90"/>
    <s v="1334"/>
    <s v="OD23A7844"/>
    <n v="19.86"/>
    <x v="7"/>
    <n v="2000"/>
    <x v="60"/>
  </r>
  <r>
    <x v="90"/>
    <s v="1335"/>
    <s v="OD16D7078"/>
    <n v="24.82"/>
    <x v="7"/>
    <n v="2500"/>
    <x v="60"/>
  </r>
  <r>
    <x v="90"/>
    <s v="1336"/>
    <s v="OD16D6574"/>
    <n v="24.82"/>
    <x v="7"/>
    <n v="2500"/>
    <x v="60"/>
  </r>
  <r>
    <x v="90"/>
    <s v="1337"/>
    <s v="OD16D7074"/>
    <n v="24.82"/>
    <x v="7"/>
    <n v="2500"/>
    <x v="60"/>
  </r>
  <r>
    <x v="90"/>
    <s v="1338"/>
    <s v="OD16D9822"/>
    <n v="24.82"/>
    <x v="7"/>
    <n v="2500"/>
    <x v="60"/>
  </r>
  <r>
    <x v="90"/>
    <s v="1339"/>
    <s v="OD16K6008"/>
    <n v="27.8"/>
    <x v="7"/>
    <n v="2800"/>
    <x v="60"/>
  </r>
  <r>
    <x v="90"/>
    <s v="1340"/>
    <s v="OD16B8153"/>
    <n v="27.8"/>
    <x v="7"/>
    <n v="2800"/>
    <x v="60"/>
  </r>
  <r>
    <x v="90"/>
    <s v="1341"/>
    <s v="OD15U2213"/>
    <n v="300"/>
    <x v="7"/>
    <n v="30222"/>
    <x v="54"/>
  </r>
  <r>
    <x v="90"/>
    <s v="1342"/>
    <s v="OD16D7168"/>
    <n v="25.81"/>
    <x v="7"/>
    <n v="2600"/>
    <x v="60"/>
  </r>
  <r>
    <x v="90"/>
    <s v="1343"/>
    <s v="OD16D2068"/>
    <n v="25.81"/>
    <x v="7"/>
    <n v="2600"/>
    <x v="60"/>
  </r>
  <r>
    <x v="90"/>
    <s v="1344"/>
    <s v="OD16D2699"/>
    <n v="27.8"/>
    <x v="7"/>
    <n v="2800"/>
    <x v="60"/>
  </r>
  <r>
    <x v="90"/>
    <s v="1345"/>
    <s v="OD16D6574"/>
    <n v="27.8"/>
    <x v="7"/>
    <n v="2800"/>
    <x v="60"/>
  </r>
  <r>
    <x v="90"/>
    <s v="1346"/>
    <s v="OD15N0455"/>
    <n v="78.819999999999993"/>
    <x v="7"/>
    <n v="7940.32"/>
    <x v="38"/>
  </r>
  <r>
    <x v="90"/>
    <s v="1347"/>
    <s v="1107EX"/>
    <n v="80"/>
    <x v="7"/>
    <n v="8059.2"/>
    <x v="38"/>
  </r>
  <r>
    <x v="90"/>
    <s v="1348"/>
    <s v="CG04JD2354"/>
    <n v="20"/>
    <x v="7"/>
    <n v="2014.8"/>
    <x v="28"/>
  </r>
  <r>
    <x v="90"/>
    <s v="1349"/>
    <s v="OD23P3948"/>
    <n v="20"/>
    <x v="7"/>
    <n v="2014.8"/>
    <x v="28"/>
  </r>
  <r>
    <x v="90"/>
    <s v="1350"/>
    <s v="OD23P3948"/>
    <n v="20"/>
    <x v="7"/>
    <n v="2014.8"/>
    <x v="28"/>
  </r>
  <r>
    <x v="90"/>
    <s v="1351"/>
    <s v="CG04MR0818"/>
    <n v="15"/>
    <x v="7"/>
    <n v="1511.1"/>
    <x v="28"/>
  </r>
  <r>
    <x v="90"/>
    <s v="1352"/>
    <s v=""/>
    <n v="772.98"/>
    <x v="7"/>
    <n v="77870"/>
    <x v="63"/>
  </r>
  <r>
    <x v="90"/>
    <s v="1353"/>
    <s v=""/>
    <n v="49.63"/>
    <x v="7"/>
    <n v="5000"/>
    <x v="61"/>
  </r>
  <r>
    <x v="90"/>
    <s v="1354"/>
    <s v=""/>
    <n v="519.16"/>
    <x v="7"/>
    <n v="52300"/>
    <x v="21"/>
  </r>
  <r>
    <x v="90"/>
    <s v="1355"/>
    <s v="Transporting"/>
    <n v="1800.68"/>
    <x v="7"/>
    <n v="181400"/>
    <x v="8"/>
  </r>
  <r>
    <x v="90"/>
    <s v="1356"/>
    <s v="Consumer"/>
    <n v="29.78"/>
    <x v="7"/>
    <n v="3000"/>
    <x v="8"/>
  </r>
  <r>
    <x v="90"/>
    <s v="1357"/>
    <s v="OD15AF5510"/>
    <n v="964.48"/>
    <x v="7"/>
    <n v="97161.72"/>
    <x v="15"/>
  </r>
  <r>
    <x v="91"/>
    <s v="1358"/>
    <s v="OD15R1110"/>
    <n v="12000"/>
    <x v="7"/>
    <n v="1208880"/>
    <x v="24"/>
  </r>
  <r>
    <x v="91"/>
    <s v="1359"/>
    <s v="OD16M2047"/>
    <n v="200"/>
    <x v="7"/>
    <n v="20148"/>
    <x v="62"/>
  </r>
  <r>
    <x v="91"/>
    <s v="1360"/>
    <s v="OD16M2067"/>
    <n v="200"/>
    <x v="7"/>
    <n v="20148"/>
    <x v="62"/>
  </r>
  <r>
    <x v="91"/>
    <s v="1361"/>
    <s v="OD16K7132"/>
    <n v="200"/>
    <x v="7"/>
    <n v="20148"/>
    <x v="62"/>
  </r>
  <r>
    <x v="91"/>
    <s v="1362"/>
    <s v="OD16M0750"/>
    <n v="200"/>
    <x v="7"/>
    <n v="20148"/>
    <x v="62"/>
  </r>
  <r>
    <x v="91"/>
    <s v="1363"/>
    <s v="OD16M2001"/>
    <n v="200"/>
    <x v="7"/>
    <n v="20148"/>
    <x v="62"/>
  </r>
  <r>
    <x v="91"/>
    <s v="1364"/>
    <s v="OD16M2073"/>
    <n v="200"/>
    <x v="7"/>
    <n v="20148"/>
    <x v="62"/>
  </r>
  <r>
    <x v="91"/>
    <s v="1365"/>
    <s v="OD16M2030"/>
    <n v="200"/>
    <x v="7"/>
    <n v="20148"/>
    <x v="62"/>
  </r>
  <r>
    <x v="91"/>
    <s v="1366"/>
    <s v="OD16M0981"/>
    <n v="200"/>
    <x v="7"/>
    <n v="20148"/>
    <x v="62"/>
  </r>
  <r>
    <x v="91"/>
    <s v="1367"/>
    <s v="OD16K3450"/>
    <n v="200"/>
    <x v="7"/>
    <n v="20148"/>
    <x v="62"/>
  </r>
  <r>
    <x v="91"/>
    <s v="1368"/>
    <s v="OD16M2004"/>
    <n v="200"/>
    <x v="7"/>
    <n v="20148"/>
    <x v="62"/>
  </r>
  <r>
    <x v="91"/>
    <s v="1369"/>
    <s v="OD16M0914"/>
    <n v="200"/>
    <x v="7"/>
    <n v="20148"/>
    <x v="62"/>
  </r>
  <r>
    <x v="91"/>
    <s v="1370"/>
    <s v="OD16M2080"/>
    <n v="200"/>
    <x v="7"/>
    <n v="20148"/>
    <x v="62"/>
  </r>
  <r>
    <x v="91"/>
    <s v="1371"/>
    <s v="OD23A8210"/>
    <n v="49.24"/>
    <x v="7"/>
    <n v="4960.43"/>
    <x v="2"/>
  </r>
  <r>
    <x v="91"/>
    <s v="1372"/>
    <s v="OD23A7841"/>
    <n v="19.86"/>
    <x v="7"/>
    <n v="2000"/>
    <x v="60"/>
  </r>
  <r>
    <x v="91"/>
    <s v="1373"/>
    <s v="OD23B4525"/>
    <n v="19.86"/>
    <x v="7"/>
    <n v="2000"/>
    <x v="60"/>
  </r>
  <r>
    <x v="91"/>
    <s v="1374"/>
    <s v="OD16K5536"/>
    <n v="24.82"/>
    <x v="7"/>
    <n v="2500"/>
    <x v="60"/>
  </r>
  <r>
    <x v="91"/>
    <s v="1375"/>
    <s v="OD16K6008"/>
    <n v="24.82"/>
    <x v="7"/>
    <n v="2500"/>
    <x v="60"/>
  </r>
  <r>
    <x v="91"/>
    <s v="1376"/>
    <s v="OD16D9822"/>
    <n v="24.82"/>
    <x v="7"/>
    <n v="2500"/>
    <x v="60"/>
  </r>
  <r>
    <x v="91"/>
    <s v="1377"/>
    <s v="OD16D7168"/>
    <n v="25.81"/>
    <x v="7"/>
    <n v="2600"/>
    <x v="60"/>
  </r>
  <r>
    <x v="91"/>
    <s v="1378"/>
    <s v="OD16D2068"/>
    <n v="25.81"/>
    <x v="7"/>
    <n v="2600"/>
    <x v="60"/>
  </r>
  <r>
    <x v="91"/>
    <s v="1379"/>
    <s v="OD16D6574"/>
    <n v="25.81"/>
    <x v="7"/>
    <n v="2600"/>
    <x v="60"/>
  </r>
  <r>
    <x v="91"/>
    <s v="1380"/>
    <s v="OD16D2699"/>
    <n v="27.8"/>
    <x v="7"/>
    <n v="2800"/>
    <x v="60"/>
  </r>
  <r>
    <x v="91"/>
    <s v="1381"/>
    <s v="OD16B8153"/>
    <n v="27.8"/>
    <x v="7"/>
    <n v="2800"/>
    <x v="60"/>
  </r>
  <r>
    <x v="91"/>
    <s v="1382"/>
    <s v="OD16K1356"/>
    <n v="27.8"/>
    <x v="7"/>
    <n v="2800"/>
    <x v="60"/>
  </r>
  <r>
    <x v="91"/>
    <s v="1383"/>
    <s v="OD23Q4004"/>
    <n v="27.8"/>
    <x v="7"/>
    <n v="2800"/>
    <x v="60"/>
  </r>
  <r>
    <x v="91"/>
    <s v="1384"/>
    <s v="OD16D7103"/>
    <n v="27.8"/>
    <x v="7"/>
    <n v="2800"/>
    <x v="60"/>
  </r>
  <r>
    <x v="91"/>
    <s v="1385"/>
    <s v="OD16P5168"/>
    <n v="29.78"/>
    <x v="7"/>
    <n v="3000"/>
    <x v="60"/>
  </r>
  <r>
    <x v="91"/>
    <s v="1386"/>
    <s v="OD16N0968"/>
    <n v="29.78"/>
    <x v="7"/>
    <n v="3000"/>
    <x v="60"/>
  </r>
  <r>
    <x v="91"/>
    <s v="1387"/>
    <s v="OD16K5536"/>
    <n v="34.75"/>
    <x v="7"/>
    <n v="3500"/>
    <x v="60"/>
  </r>
  <r>
    <x v="91"/>
    <s v="1388"/>
    <s v=""/>
    <n v="533.94000000000005"/>
    <x v="7"/>
    <n v="53789"/>
    <x v="63"/>
  </r>
  <r>
    <x v="91"/>
    <s v="1389"/>
    <s v=""/>
    <n v="44.67"/>
    <x v="7"/>
    <n v="4500"/>
    <x v="61"/>
  </r>
  <r>
    <x v="91"/>
    <s v="1390"/>
    <s v="OD15AF5510"/>
    <n v="1186.0999999999999"/>
    <x v="7"/>
    <n v="119487.71"/>
    <x v="15"/>
  </r>
  <r>
    <x v="91"/>
    <s v="1391"/>
    <s v=""/>
    <n v="1107.8"/>
    <x v="7"/>
    <n v="111600"/>
    <x v="21"/>
  </r>
  <r>
    <x v="91"/>
    <s v="1392"/>
    <s v="Transporting"/>
    <n v="2668.25"/>
    <x v="7"/>
    <n v="268800"/>
    <x v="8"/>
  </r>
  <r>
    <x v="92"/>
    <s v="1393"/>
    <s v="Transporting"/>
    <n v="4525.51"/>
    <x v="7"/>
    <n v="455900"/>
    <x v="8"/>
  </r>
  <r>
    <x v="92"/>
    <s v="1394"/>
    <s v=""/>
    <n v="1534.64"/>
    <x v="7"/>
    <n v="154600"/>
    <x v="21"/>
  </r>
  <r>
    <x v="92"/>
    <s v="1395"/>
    <s v="OD15AF5510"/>
    <n v="1134.6500000000001"/>
    <x v="7"/>
    <n v="114304.64"/>
    <x v="15"/>
  </r>
  <r>
    <x v="92"/>
    <s v="1396"/>
    <s v="OD15AF5510"/>
    <n v="2000.02"/>
    <x v="7"/>
    <n v="201482.01"/>
    <x v="16"/>
  </r>
  <r>
    <x v="92"/>
    <s v="1397"/>
    <s v=""/>
    <n v="33.950000000000003"/>
    <x v="7"/>
    <n v="3420.45"/>
    <x v="61"/>
  </r>
  <r>
    <x v="92"/>
    <s v="1398"/>
    <s v=""/>
    <n v="590.11"/>
    <x v="7"/>
    <n v="59447.9"/>
    <x v="63"/>
  </r>
  <r>
    <x v="92"/>
    <s v="1399"/>
    <s v="OR15Q0355"/>
    <n v="100"/>
    <x v="7"/>
    <n v="10074"/>
    <x v="38"/>
  </r>
  <r>
    <x v="92"/>
    <s v="1400"/>
    <s v="OD15AA4091"/>
    <n v="44.92"/>
    <x v="7"/>
    <n v="4525.24"/>
    <x v="5"/>
  </r>
  <r>
    <x v="92"/>
    <s v="1401"/>
    <s v="JH01FS6302"/>
    <n v="30"/>
    <x v="7"/>
    <n v="3022.2"/>
    <x v="5"/>
  </r>
  <r>
    <x v="92"/>
    <s v="1402"/>
    <s v="JH01FS6302"/>
    <n v="46.77"/>
    <x v="7"/>
    <n v="4711.6000000000004"/>
    <x v="5"/>
  </r>
  <r>
    <x v="92"/>
    <s v="1403"/>
    <s v="OD15U5910"/>
    <n v="109"/>
    <x v="7"/>
    <n v="10980.66"/>
    <x v="5"/>
  </r>
  <r>
    <x v="92"/>
    <s v="1404"/>
    <s v="NL01AJ8743"/>
    <n v="350"/>
    <x v="7"/>
    <n v="35259"/>
    <x v="25"/>
  </r>
  <r>
    <x v="92"/>
    <s v="1405"/>
    <s v="OD16D7078"/>
    <n v="24.82"/>
    <x v="7"/>
    <n v="2500"/>
    <x v="60"/>
  </r>
  <r>
    <x v="92"/>
    <s v="1406"/>
    <s v="OD16D7074"/>
    <n v="24.82"/>
    <x v="7"/>
    <n v="2500"/>
    <x v="60"/>
  </r>
  <r>
    <x v="92"/>
    <s v="1407"/>
    <s v="CG12S2016"/>
    <n v="29.78"/>
    <x v="7"/>
    <n v="3000"/>
    <x v="60"/>
  </r>
  <r>
    <x v="93"/>
    <s v="1408"/>
    <s v="OD15AF5510"/>
    <n v="3000"/>
    <x v="7"/>
    <n v="302220"/>
    <x v="50"/>
  </r>
  <r>
    <x v="93"/>
    <s v="1409"/>
    <s v="OD23H7806"/>
    <n v="600"/>
    <x v="7"/>
    <n v="60444"/>
    <x v="12"/>
  </r>
  <r>
    <x v="93"/>
    <s v="1410"/>
    <s v="OD16K7103"/>
    <n v="200"/>
    <x v="7"/>
    <n v="20148"/>
    <x v="62"/>
  </r>
  <r>
    <x v="93"/>
    <s v="1411"/>
    <s v="OD16K7176"/>
    <n v="200"/>
    <x v="7"/>
    <n v="20148"/>
    <x v="62"/>
  </r>
  <r>
    <x v="93"/>
    <s v="1412"/>
    <s v="MP66ZB9863"/>
    <n v="99.27"/>
    <x v="7"/>
    <n v="10000"/>
    <x v="64"/>
  </r>
  <r>
    <x v="93"/>
    <s v="1413"/>
    <s v="OD23L3195"/>
    <n v="20"/>
    <x v="7"/>
    <n v="2014.8"/>
    <x v="28"/>
  </r>
  <r>
    <x v="93"/>
    <s v="1414"/>
    <s v="OD23L3195"/>
    <n v="15"/>
    <x v="7"/>
    <n v="1511.1"/>
    <x v="28"/>
  </r>
  <r>
    <x v="93"/>
    <s v="1415"/>
    <s v="JH13J1926"/>
    <n v="20"/>
    <x v="7"/>
    <n v="2014.8"/>
    <x v="28"/>
  </r>
  <r>
    <x v="93"/>
    <s v="1416"/>
    <s v="CG04MR0818"/>
    <n v="15"/>
    <x v="7"/>
    <n v="1511.1"/>
    <x v="28"/>
  </r>
  <r>
    <x v="93"/>
    <s v="1417"/>
    <s v="MP66ZB9863"/>
    <n v="50"/>
    <x v="7"/>
    <n v="5037"/>
    <x v="64"/>
  </r>
  <r>
    <x v="93"/>
    <s v="1418"/>
    <s v=""/>
    <n v="19.850000000000001"/>
    <x v="7"/>
    <n v="2000"/>
    <x v="61"/>
  </r>
  <r>
    <x v="93"/>
    <s v="1419"/>
    <s v=""/>
    <n v="924.17"/>
    <x v="7"/>
    <n v="93100.75"/>
    <x v="63"/>
  </r>
  <r>
    <x v="93"/>
    <s v="1420"/>
    <s v="OD15AF5510"/>
    <n v="919.05"/>
    <x v="7"/>
    <n v="92585.1"/>
    <x v="15"/>
  </r>
  <r>
    <x v="93"/>
    <s v="1421"/>
    <s v=""/>
    <n v="1841.37"/>
    <x v="7"/>
    <n v="185500"/>
    <x v="21"/>
  </r>
  <r>
    <x v="93"/>
    <s v="1422"/>
    <s v="Consumer"/>
    <n v="9.93"/>
    <x v="7"/>
    <n v="1000"/>
    <x v="8"/>
  </r>
  <r>
    <x v="93"/>
    <s v="1423"/>
    <s v="Transporting"/>
    <n v="3489.18"/>
    <x v="7"/>
    <n v="351500"/>
    <x v="8"/>
  </r>
  <r>
    <x v="93"/>
    <s v="1424"/>
    <s v="OD15W0096"/>
    <n v="198.53"/>
    <x v="7"/>
    <n v="20000"/>
    <x v="65"/>
  </r>
  <r>
    <x v="93"/>
    <s v="1425"/>
    <s v="OD15W1196"/>
    <n v="198.53"/>
    <x v="7"/>
    <n v="20000"/>
    <x v="65"/>
  </r>
  <r>
    <x v="93"/>
    <s v="1426"/>
    <s v="OD15W2296"/>
    <n v="198.53"/>
    <x v="7"/>
    <n v="20000"/>
    <x v="65"/>
  </r>
  <r>
    <x v="93"/>
    <s v="1427"/>
    <s v="OD15W3396"/>
    <n v="198.53"/>
    <x v="7"/>
    <n v="20000"/>
    <x v="65"/>
  </r>
  <r>
    <x v="93"/>
    <s v="1428"/>
    <s v="OD15W4496"/>
    <n v="198.53"/>
    <x v="7"/>
    <n v="20000"/>
    <x v="65"/>
  </r>
  <r>
    <x v="93"/>
    <s v="1429"/>
    <s v="OD15W5596"/>
    <n v="198.53"/>
    <x v="7"/>
    <n v="20000"/>
    <x v="65"/>
  </r>
  <r>
    <x v="94"/>
    <s v="1430"/>
    <s v="OD23A3710"/>
    <n v="12000"/>
    <x v="8"/>
    <n v="1194000"/>
    <x v="24"/>
  </r>
  <r>
    <x v="94"/>
    <s v="1431"/>
    <s v="OR15R5510"/>
    <n v="12000"/>
    <x v="8"/>
    <n v="1194000"/>
    <x v="0"/>
  </r>
  <r>
    <x v="94"/>
    <s v="1432"/>
    <s v="OR15R9360"/>
    <n v="18000"/>
    <x v="8"/>
    <n v="1791000"/>
    <x v="0"/>
  </r>
  <r>
    <x v="94"/>
    <s v="1433"/>
    <s v="OD15AF5510"/>
    <n v="248.22"/>
    <x v="7"/>
    <n v="25005.68"/>
    <x v="64"/>
  </r>
  <r>
    <x v="94"/>
    <s v="1434"/>
    <s v="OD15AF5510"/>
    <n v="2024.21"/>
    <x v="7"/>
    <n v="203918.92"/>
    <x v="15"/>
  </r>
  <r>
    <x v="94"/>
    <s v="1435"/>
    <s v="OD15AF5510"/>
    <n v="2000"/>
    <x v="7"/>
    <n v="201480"/>
    <x v="16"/>
  </r>
  <r>
    <x v="94"/>
    <s v="1436"/>
    <s v="OD15AF5510"/>
    <n v="2000.03"/>
    <x v="7"/>
    <n v="201483.02"/>
    <x v="41"/>
  </r>
  <r>
    <x v="94"/>
    <s v="1437"/>
    <s v=""/>
    <n v="1357.95"/>
    <x v="7"/>
    <n v="136800"/>
    <x v="21"/>
  </r>
  <r>
    <x v="94"/>
    <s v="1438"/>
    <s v="Consumer"/>
    <n v="49.63"/>
    <x v="7"/>
    <n v="5000"/>
    <x v="8"/>
  </r>
  <r>
    <x v="94"/>
    <s v="1439"/>
    <s v="Transporting"/>
    <n v="4746.87"/>
    <x v="7"/>
    <n v="478200"/>
    <x v="8"/>
  </r>
  <r>
    <x v="94"/>
    <s v="1440"/>
    <s v=""/>
    <n v="39.71"/>
    <x v="7"/>
    <n v="4000"/>
    <x v="61"/>
  </r>
  <r>
    <x v="94"/>
    <s v="1441"/>
    <s v=""/>
    <n v="1150.9100000000001"/>
    <x v="7"/>
    <n v="115942.82"/>
    <x v="63"/>
  </r>
  <r>
    <x v="94"/>
    <s v="1442"/>
    <s v="OD16M0750"/>
    <n v="200"/>
    <x v="7"/>
    <n v="20148"/>
    <x v="62"/>
  </r>
  <r>
    <x v="94"/>
    <s v="1443"/>
    <s v="JH01FS6302"/>
    <n v="41"/>
    <x v="7"/>
    <n v="4130.34"/>
    <x v="5"/>
  </r>
  <r>
    <x v="94"/>
    <s v="1444"/>
    <s v="OD23P3948"/>
    <n v="20"/>
    <x v="7"/>
    <n v="2014.8"/>
    <x v="28"/>
  </r>
  <r>
    <x v="94"/>
    <s v="1445"/>
    <s v="OD01D1165"/>
    <n v="10"/>
    <x v="7"/>
    <n v="1007.4"/>
    <x v="28"/>
  </r>
  <r>
    <x v="94"/>
    <s v="1446"/>
    <s v="New Tractor"/>
    <n v="20"/>
    <x v="7"/>
    <n v="2014.8"/>
    <x v="38"/>
  </r>
  <r>
    <x v="94"/>
    <s v="1447"/>
    <s v="OD15Z1430"/>
    <n v="20"/>
    <x v="7"/>
    <n v="2014.8"/>
    <x v="38"/>
  </r>
  <r>
    <x v="94"/>
    <s v="1448"/>
    <s v="OD15K2690"/>
    <n v="119"/>
    <x v="7"/>
    <n v="11988.06"/>
    <x v="38"/>
  </r>
  <r>
    <x v="94"/>
    <s v="1449"/>
    <s v="OD23A3710"/>
    <n v="200"/>
    <x v="7"/>
    <n v="20148"/>
    <x v="3"/>
  </r>
  <r>
    <x v="94"/>
    <s v="1450"/>
    <s v="NL01AJ8643"/>
    <n v="353.99"/>
    <x v="7"/>
    <n v="35660.949999999997"/>
    <x v="25"/>
  </r>
  <r>
    <x v="94"/>
    <s v="1451"/>
    <s v="RJ02BG4856"/>
    <n v="258.02"/>
    <x v="7"/>
    <n v="25992.93"/>
    <x v="25"/>
  </r>
  <r>
    <x v="95"/>
    <s v="1452"/>
    <s v="OR15R1110"/>
    <n v="12000"/>
    <x v="8"/>
    <n v="1194000"/>
    <x v="24"/>
  </r>
  <r>
    <x v="95"/>
    <s v="1453"/>
    <s v="OD16L8468"/>
    <n v="50"/>
    <x v="7"/>
    <n v="5037"/>
    <x v="62"/>
  </r>
  <r>
    <x v="95"/>
    <s v="1454"/>
    <s v="OD16K7176"/>
    <n v="200"/>
    <x v="7"/>
    <n v="20148"/>
    <x v="62"/>
  </r>
  <r>
    <x v="95"/>
    <s v="1455"/>
    <s v="OD15X8014"/>
    <n v="600"/>
    <x v="7"/>
    <n v="60444"/>
    <x v="54"/>
  </r>
  <r>
    <x v="95"/>
    <s v="1456"/>
    <s v="CG04JD2351"/>
    <n v="10"/>
    <x v="7"/>
    <n v="1007.4"/>
    <x v="28"/>
  </r>
  <r>
    <x v="95"/>
    <s v="1457"/>
    <s v="OD15AF5510"/>
    <n v="45.98"/>
    <x v="7"/>
    <n v="4632.0200000000004"/>
    <x v="3"/>
  </r>
  <r>
    <x v="95"/>
    <s v="1458"/>
    <s v=""/>
    <n v="756.8"/>
    <x v="7"/>
    <n v="76240"/>
    <x v="63"/>
  </r>
  <r>
    <x v="95"/>
    <s v="1459"/>
    <s v=""/>
    <n v="10.42"/>
    <x v="7"/>
    <n v="1050"/>
    <x v="61"/>
  </r>
  <r>
    <x v="95"/>
    <s v="1460"/>
    <s v=""/>
    <n v="1574.35"/>
    <x v="7"/>
    <n v="158600"/>
    <x v="21"/>
  </r>
  <r>
    <x v="95"/>
    <s v="1461"/>
    <s v="OD15AF5510"/>
    <n v="1252.24"/>
    <x v="7"/>
    <n v="126150.66"/>
    <x v="15"/>
  </r>
  <r>
    <x v="95"/>
    <s v="1462"/>
    <s v="Consumer"/>
    <n v="59.56"/>
    <x v="7"/>
    <n v="6000"/>
    <x v="8"/>
  </r>
  <r>
    <x v="95"/>
    <s v="1463"/>
    <s v="Transporting"/>
    <n v="3895.18"/>
    <x v="7"/>
    <n v="392400"/>
    <x v="8"/>
  </r>
  <r>
    <x v="95"/>
    <s v="1464"/>
    <s v="OD15W0096"/>
    <n v="198.53"/>
    <x v="7"/>
    <n v="20000"/>
    <x v="65"/>
  </r>
  <r>
    <x v="95"/>
    <s v="1465"/>
    <s v="OD15W1196"/>
    <n v="198.53"/>
    <x v="7"/>
    <n v="20000"/>
    <x v="65"/>
  </r>
  <r>
    <x v="95"/>
    <s v="1466"/>
    <s v="OD15W2296"/>
    <n v="198.53"/>
    <x v="7"/>
    <n v="20000"/>
    <x v="65"/>
  </r>
  <r>
    <x v="95"/>
    <s v="1467"/>
    <s v="OD15W3396"/>
    <n v="198.53"/>
    <x v="7"/>
    <n v="20000"/>
    <x v="65"/>
  </r>
  <r>
    <x v="95"/>
    <s v="1468"/>
    <s v="OD15W4496"/>
    <n v="198.53"/>
    <x v="7"/>
    <n v="20000"/>
    <x v="65"/>
  </r>
  <r>
    <x v="95"/>
    <s v="1469"/>
    <s v="OD15W5596"/>
    <n v="198.53"/>
    <x v="7"/>
    <n v="20000"/>
    <x v="65"/>
  </r>
  <r>
    <x v="96"/>
    <s v="1470"/>
    <s v="OD15AF5510"/>
    <n v="3000"/>
    <x v="7"/>
    <n v="302220"/>
    <x v="50"/>
  </r>
  <r>
    <x v="96"/>
    <s v="1471"/>
    <s v="OD15N0455"/>
    <n v="94.6"/>
    <x v="7"/>
    <n v="9530"/>
    <x v="38"/>
  </r>
  <r>
    <x v="96"/>
    <s v="1472"/>
    <s v="OD15U5910"/>
    <n v="96"/>
    <x v="7"/>
    <n v="9671.0400000000009"/>
    <x v="5"/>
  </r>
  <r>
    <x v="96"/>
    <s v="1473"/>
    <s v="JH01FS6302"/>
    <n v="45"/>
    <x v="7"/>
    <n v="4533.3"/>
    <x v="5"/>
  </r>
  <r>
    <x v="96"/>
    <s v="1474"/>
    <s v="OD15AA4091"/>
    <n v="44.08"/>
    <x v="7"/>
    <n v="4440.6099999999997"/>
    <x v="5"/>
  </r>
  <r>
    <x v="96"/>
    <s v="1475"/>
    <s v="OD16L8468"/>
    <n v="150"/>
    <x v="7"/>
    <n v="15111"/>
    <x v="62"/>
  </r>
  <r>
    <x v="96"/>
    <s v="1476"/>
    <s v="OD16K7171"/>
    <n v="200"/>
    <x v="7"/>
    <n v="20148"/>
    <x v="62"/>
  </r>
  <r>
    <x v="96"/>
    <s v="1477"/>
    <s v="OD16M0743"/>
    <n v="200"/>
    <x v="7"/>
    <n v="20148"/>
    <x v="62"/>
  </r>
  <r>
    <x v="96"/>
    <s v="1478"/>
    <s v="OD16K7170"/>
    <n v="200"/>
    <x v="7"/>
    <n v="20148"/>
    <x v="62"/>
  </r>
  <r>
    <x v="96"/>
    <s v="1479"/>
    <s v="OD16K7103"/>
    <n v="200"/>
    <x v="7"/>
    <n v="20148"/>
    <x v="62"/>
  </r>
  <r>
    <x v="96"/>
    <s v="1480"/>
    <s v="OD16M0750"/>
    <n v="200"/>
    <x v="7"/>
    <n v="20148"/>
    <x v="62"/>
  </r>
  <r>
    <x v="96"/>
    <s v="1481"/>
    <s v="OD16K7132"/>
    <n v="200"/>
    <x v="7"/>
    <n v="20148"/>
    <x v="62"/>
  </r>
  <r>
    <x v="96"/>
    <s v="1482"/>
    <m/>
    <n v="119.51"/>
    <x v="7"/>
    <n v="12039.88"/>
    <x v="61"/>
  </r>
  <r>
    <x v="96"/>
    <s v="1483"/>
    <m/>
    <n v="1294.5899999999999"/>
    <x v="7"/>
    <n v="130416.8"/>
    <x v="63"/>
  </r>
  <r>
    <x v="96"/>
    <s v="1484"/>
    <s v="OD15AF5510"/>
    <n v="2000"/>
    <x v="7"/>
    <n v="201480"/>
    <x v="16"/>
  </r>
  <r>
    <x v="96"/>
    <s v="1485"/>
    <s v="OD15AF5510"/>
    <n v="978.9"/>
    <x v="7"/>
    <n v="98614.39"/>
    <x v="15"/>
  </r>
  <r>
    <x v="96"/>
    <s v="1486"/>
    <s v="OD15AF5510"/>
    <n v="198.53"/>
    <x v="7"/>
    <n v="20000"/>
    <x v="64"/>
  </r>
  <r>
    <x v="96"/>
    <s v="1487"/>
    <m/>
    <n v="1878.1"/>
    <x v="7"/>
    <n v="189200"/>
    <x v="21"/>
  </r>
  <r>
    <x v="96"/>
    <s v="1488"/>
    <s v="Consumer"/>
    <n v="59.78"/>
    <x v="7"/>
    <n v="6022.2"/>
    <x v="8"/>
  </r>
  <r>
    <x v="96"/>
    <s v="1489"/>
    <s v="Transporting"/>
    <n v="2641.45"/>
    <x v="7"/>
    <n v="266100"/>
    <x v="8"/>
  </r>
  <r>
    <x v="97"/>
    <s v="1490"/>
    <s v="Transporting"/>
    <n v="2812.19"/>
    <x v="7"/>
    <n v="283300"/>
    <x v="8"/>
  </r>
  <r>
    <x v="97"/>
    <s v="1491"/>
    <m/>
    <n v="841.77"/>
    <x v="7"/>
    <n v="84800"/>
    <x v="21"/>
  </r>
  <r>
    <x v="97"/>
    <s v="1492"/>
    <s v="OD15AF5510"/>
    <n v="1070.99"/>
    <x v="7"/>
    <n v="107891.53"/>
    <x v="15"/>
  </r>
  <r>
    <x v="97"/>
    <s v="1493"/>
    <m/>
    <n v="1081.97"/>
    <x v="7"/>
    <n v="108998"/>
    <x v="63"/>
  </r>
  <r>
    <x v="97"/>
    <s v="1494"/>
    <s v="OD05AN7688"/>
    <n v="600"/>
    <x v="7"/>
    <n v="60444"/>
    <x v="10"/>
  </r>
  <r>
    <x v="97"/>
    <s v="1495"/>
    <s v="MP66ZB9863"/>
    <n v="99.27"/>
    <x v="7"/>
    <n v="10000"/>
    <x v="64"/>
  </r>
  <r>
    <x v="97"/>
    <s v="1496"/>
    <s v="OD15Z8874"/>
    <n v="197.05"/>
    <x v="7"/>
    <n v="19850.810000000001"/>
    <x v="16"/>
  </r>
  <r>
    <x v="97"/>
    <s v="1497"/>
    <s v="OD19G9977"/>
    <n v="195.91"/>
    <x v="7"/>
    <n v="19735.97"/>
    <x v="16"/>
  </r>
  <r>
    <x v="97"/>
    <s v="1498"/>
    <s v="OD14T5423"/>
    <n v="20"/>
    <x v="7"/>
    <n v="2014.8"/>
    <x v="29"/>
  </r>
  <r>
    <x v="97"/>
    <s v="1499"/>
    <s v="OD14T5423"/>
    <n v="50"/>
    <x v="7"/>
    <n v="5037"/>
    <x v="29"/>
  </r>
  <r>
    <x v="97"/>
    <s v="1500"/>
    <s v="OD23Q4949"/>
    <n v="45.67"/>
    <x v="7"/>
    <n v="4600.79"/>
    <x v="19"/>
  </r>
  <r>
    <x v="97"/>
    <s v="1501"/>
    <s v="JH01FS6302"/>
    <n v="40"/>
    <x v="7"/>
    <n v="4029.6"/>
    <x v="5"/>
  </r>
  <r>
    <x v="97"/>
    <s v="1502"/>
    <m/>
    <n v="20"/>
    <x v="7"/>
    <n v="2014.8"/>
    <x v="26"/>
  </r>
  <r>
    <x v="98"/>
    <s v="1503"/>
    <s v="OR15R9360"/>
    <n v="18000"/>
    <x v="8"/>
    <n v="1791000"/>
    <x v="0"/>
  </r>
  <r>
    <x v="98"/>
    <s v="1504"/>
    <s v="OR15R5510"/>
    <n v="12000"/>
    <x v="8"/>
    <n v="1194000"/>
    <x v="24"/>
  </r>
  <r>
    <x v="98"/>
    <s v="1505"/>
    <s v="OD05AN7688"/>
    <n v="800"/>
    <x v="7"/>
    <n v="80592"/>
    <x v="10"/>
  </r>
  <r>
    <x v="98"/>
    <s v="1506"/>
    <s v="OD16K7108"/>
    <n v="200"/>
    <x v="7"/>
    <n v="20148"/>
    <x v="62"/>
  </r>
  <r>
    <x v="98"/>
    <s v="1507"/>
    <s v="OD16K5862"/>
    <n v="9.93"/>
    <x v="7"/>
    <n v="1000"/>
    <x v="29"/>
  </r>
  <r>
    <x v="98"/>
    <s v="1508"/>
    <s v="OD15X8293"/>
    <n v="81.459999999999994"/>
    <x v="7"/>
    <n v="8206.2800000000007"/>
    <x v="38"/>
  </r>
  <r>
    <x v="98"/>
    <s v="1509"/>
    <s v="OD15AE7230"/>
    <n v="210"/>
    <x v="7"/>
    <n v="21155.4"/>
    <x v="38"/>
  </r>
  <r>
    <x v="98"/>
    <s v="1510"/>
    <s v="OD15K2690"/>
    <n v="118"/>
    <x v="7"/>
    <n v="11887.32"/>
    <x v="38"/>
  </r>
  <r>
    <x v="98"/>
    <s v="1511"/>
    <s v="New Tractor"/>
    <n v="20"/>
    <x v="7"/>
    <n v="2014.8"/>
    <x v="38"/>
  </r>
  <r>
    <x v="98"/>
    <s v="1512"/>
    <s v="OD15Z1430"/>
    <n v="20"/>
    <x v="7"/>
    <n v="2014.8"/>
    <x v="38"/>
  </r>
  <r>
    <x v="98"/>
    <s v="1513"/>
    <s v="1107EX"/>
    <n v="50"/>
    <x v="7"/>
    <n v="5037"/>
    <x v="38"/>
  </r>
  <r>
    <x v="98"/>
    <s v="1514"/>
    <m/>
    <n v="16.88"/>
    <x v="7"/>
    <n v="1700"/>
    <x v="61"/>
  </r>
  <r>
    <x v="98"/>
    <s v="1515"/>
    <m/>
    <n v="358.35"/>
    <x v="7"/>
    <n v="36100"/>
    <x v="21"/>
  </r>
  <r>
    <x v="98"/>
    <s v="1516"/>
    <s v="Transporting"/>
    <n v="2790.35"/>
    <x v="7"/>
    <n v="281100"/>
    <x v="8"/>
  </r>
  <r>
    <x v="98"/>
    <s v="1517"/>
    <s v="OD15AF5510"/>
    <n v="100.26"/>
    <x v="7"/>
    <n v="10100"/>
    <x v="64"/>
  </r>
  <r>
    <x v="98"/>
    <s v="1518"/>
    <s v="OD15AF5510"/>
    <n v="2000"/>
    <x v="7"/>
    <n v="201480"/>
    <x v="16"/>
  </r>
  <r>
    <x v="98"/>
    <s v="1519"/>
    <s v="OD15AF5510"/>
    <n v="947.37"/>
    <x v="7"/>
    <n v="95438.05"/>
    <x v="15"/>
  </r>
  <r>
    <x v="98"/>
    <s v="1520"/>
    <m/>
    <n v="1035.0999999999999"/>
    <x v="7"/>
    <n v="104275.6"/>
    <x v="63"/>
  </r>
  <r>
    <x v="99"/>
    <s v="1521"/>
    <s v="OD05AN7688"/>
    <n v="969.69"/>
    <x v="7"/>
    <n v="97686.57"/>
    <x v="10"/>
  </r>
  <r>
    <x v="99"/>
    <s v="1522"/>
    <s v="OD15AF5510"/>
    <n v="148.9"/>
    <x v="7"/>
    <n v="15000"/>
    <x v="64"/>
  </r>
  <r>
    <x v="99"/>
    <s v="1523"/>
    <s v="OD15AF5510"/>
    <n v="957.1"/>
    <x v="7"/>
    <n v="96418.25"/>
    <x v="15"/>
  </r>
  <r>
    <x v="99"/>
    <s v="1524"/>
    <s v="OD15AF5510"/>
    <n v="2000"/>
    <x v="7"/>
    <n v="201480"/>
    <x v="41"/>
  </r>
  <r>
    <x v="99"/>
    <s v="1525"/>
    <s v="OD15AF5510"/>
    <n v="1999.91"/>
    <x v="7"/>
    <n v="201470.93"/>
    <x v="16"/>
  </r>
  <r>
    <x v="99"/>
    <s v="1526"/>
    <m/>
    <n v="19.850000000000001"/>
    <x v="7"/>
    <n v="2000"/>
    <x v="61"/>
  </r>
  <r>
    <x v="99"/>
    <s v="1527"/>
    <m/>
    <n v="1581.81"/>
    <x v="7"/>
    <n v="159352"/>
    <x v="63"/>
  </r>
  <r>
    <x v="99"/>
    <s v="1528"/>
    <m/>
    <n v="1779.83"/>
    <x v="7"/>
    <n v="179300"/>
    <x v="21"/>
  </r>
  <r>
    <x v="99"/>
    <s v="1529"/>
    <s v="Consumer"/>
    <n v="29.78"/>
    <x v="7"/>
    <n v="3000"/>
    <x v="8"/>
  </r>
  <r>
    <x v="99"/>
    <s v="1530"/>
    <s v="Transporting"/>
    <n v="2545.17"/>
    <x v="7"/>
    <n v="256400"/>
    <x v="8"/>
  </r>
  <r>
    <x v="99"/>
    <s v="1531"/>
    <s v="OD15X3169"/>
    <n v="49.64"/>
    <x v="7"/>
    <n v="5000"/>
    <x v="64"/>
  </r>
  <r>
    <x v="99"/>
    <s v="1532"/>
    <s v="OD33Y3567"/>
    <n v="36"/>
    <x v="7"/>
    <n v="3626.64"/>
    <x v="5"/>
  </r>
  <r>
    <x v="99"/>
    <s v="1533"/>
    <s v="OD15U5910"/>
    <n v="95.16"/>
    <x v="7"/>
    <n v="9586.41"/>
    <x v="5"/>
  </r>
  <r>
    <x v="99"/>
    <s v="1534"/>
    <s v="OD16L4174"/>
    <n v="150"/>
    <x v="7"/>
    <n v="15111"/>
    <x v="62"/>
  </r>
  <r>
    <x v="99"/>
    <s v="1535"/>
    <s v="OD16L8468"/>
    <n v="150"/>
    <x v="7"/>
    <n v="15111"/>
    <x v="62"/>
  </r>
  <r>
    <x v="99"/>
    <s v="1536"/>
    <s v="OD16L4157"/>
    <n v="150"/>
    <x v="7"/>
    <n v="15111"/>
    <x v="62"/>
  </r>
  <r>
    <x v="99"/>
    <s v="1537"/>
    <s v="OD16L4174"/>
    <n v="50"/>
    <x v="7"/>
    <n v="5037"/>
    <x v="62"/>
  </r>
  <r>
    <x v="99"/>
    <s v="1538"/>
    <s v="OD16L8468"/>
    <n v="50"/>
    <x v="7"/>
    <n v="5037"/>
    <x v="62"/>
  </r>
  <r>
    <x v="99"/>
    <s v="1539"/>
    <s v="OD16K7103"/>
    <n v="200"/>
    <x v="7"/>
    <n v="20148"/>
    <x v="62"/>
  </r>
  <r>
    <x v="99"/>
    <s v="1540"/>
    <s v="OD16L4157"/>
    <n v="50"/>
    <x v="7"/>
    <n v="5037"/>
    <x v="62"/>
  </r>
  <r>
    <x v="99"/>
    <s v="1541"/>
    <s v="OR15R9360"/>
    <n v="18000"/>
    <x v="8"/>
    <n v="1791000"/>
    <x v="0"/>
  </r>
  <r>
    <x v="100"/>
    <s v="1542"/>
    <s v="OR15R5510"/>
    <n v="12000"/>
    <x v="8"/>
    <n v="1194000"/>
    <x v="24"/>
  </r>
  <r>
    <x v="100"/>
    <s v="1543"/>
    <m/>
    <n v="762.72"/>
    <x v="7"/>
    <n v="76836"/>
    <x v="63"/>
  </r>
  <r>
    <x v="100"/>
    <s v="1544"/>
    <m/>
    <n v="113.17"/>
    <x v="7"/>
    <n v="11400.39"/>
    <x v="61"/>
  </r>
  <r>
    <x v="100"/>
    <s v="1545"/>
    <s v="OD15AF5510"/>
    <n v="945.23"/>
    <x v="7"/>
    <n v="95222.47"/>
    <x v="15"/>
  </r>
  <r>
    <x v="100"/>
    <s v="1546"/>
    <s v="OD15AF5510"/>
    <n v="198.53"/>
    <x v="7"/>
    <n v="20000"/>
    <x v="64"/>
  </r>
  <r>
    <x v="100"/>
    <s v="1547"/>
    <m/>
    <n v="45.66"/>
    <x v="7"/>
    <n v="4600"/>
    <x v="7"/>
  </r>
  <r>
    <x v="100"/>
    <s v="1548"/>
    <m/>
    <n v="3392.52"/>
    <x v="7"/>
    <n v="341762.84"/>
    <x v="21"/>
  </r>
  <r>
    <x v="100"/>
    <s v="1549"/>
    <s v="Consumer"/>
    <n v="49.63"/>
    <x v="7"/>
    <n v="5000"/>
    <x v="8"/>
  </r>
  <r>
    <x v="100"/>
    <s v="1550"/>
    <s v="Transporting"/>
    <n v="3363.11"/>
    <x v="7"/>
    <n v="338800"/>
    <x v="8"/>
  </r>
  <r>
    <x v="100"/>
    <s v="1551"/>
    <s v="OD23U8210"/>
    <n v="200"/>
    <x v="7"/>
    <n v="20148"/>
    <x v="3"/>
  </r>
  <r>
    <x v="100"/>
    <s v="1552"/>
    <s v="JH01FS6302"/>
    <n v="50"/>
    <x v="7"/>
    <n v="5037"/>
    <x v="5"/>
  </r>
  <r>
    <x v="100"/>
    <s v="1553"/>
    <s v="OD23T3010"/>
    <n v="100"/>
    <x v="7"/>
    <n v="10074"/>
    <x v="36"/>
  </r>
  <r>
    <x v="100"/>
    <s v="1554"/>
    <s v="OD23T4010"/>
    <n v="100"/>
    <x v="7"/>
    <n v="10074"/>
    <x v="36"/>
  </r>
  <r>
    <x v="100"/>
    <s v="1555"/>
    <s v="OD15AA5823"/>
    <n v="17"/>
    <x v="7"/>
    <n v="1712.58"/>
    <x v="38"/>
  </r>
  <r>
    <x v="100"/>
    <s v="1556"/>
    <s v="OD15AA5823"/>
    <n v="225.32"/>
    <x v="7"/>
    <n v="22698.73"/>
    <x v="38"/>
  </r>
  <r>
    <x v="100"/>
    <s v="1557"/>
    <s v="OD16L8450"/>
    <n v="50"/>
    <x v="7"/>
    <n v="5037"/>
    <x v="62"/>
  </r>
  <r>
    <x v="100"/>
    <s v="1558"/>
    <s v="OD16L8479"/>
    <n v="50"/>
    <x v="7"/>
    <n v="5037"/>
    <x v="62"/>
  </r>
  <r>
    <x v="100"/>
    <s v="1559"/>
    <s v="OD16K7108"/>
    <n v="200"/>
    <x v="7"/>
    <n v="20148"/>
    <x v="62"/>
  </r>
  <r>
    <x v="100"/>
    <s v="1560"/>
    <s v="OD16L8450"/>
    <n v="150"/>
    <x v="7"/>
    <n v="15111"/>
    <x v="62"/>
  </r>
  <r>
    <x v="100"/>
    <s v="1561"/>
    <s v="OD16L8479"/>
    <n v="150"/>
    <x v="7"/>
    <n v="15111"/>
    <x v="62"/>
  </r>
  <r>
    <x v="101"/>
    <s v="1562"/>
    <s v="OD16L8468"/>
    <n v="200"/>
    <x v="7"/>
    <n v="20148"/>
    <x v="62"/>
  </r>
  <r>
    <x v="101"/>
    <s v="1563"/>
    <s v="OD16L4114"/>
    <n v="200"/>
    <x v="7"/>
    <n v="20148"/>
    <x v="62"/>
  </r>
  <r>
    <x v="101"/>
    <s v="1564"/>
    <s v="OD16L4157"/>
    <n v="200"/>
    <x v="7"/>
    <n v="20148"/>
    <x v="62"/>
  </r>
  <r>
    <x v="101"/>
    <s v="1565"/>
    <s v="OD16L4319"/>
    <n v="200"/>
    <x v="7"/>
    <n v="20148"/>
    <x v="62"/>
  </r>
  <r>
    <x v="101"/>
    <s v="1566"/>
    <s v="OD15N0455"/>
    <n v="97.01"/>
    <x v="7"/>
    <n v="9772.7900000000009"/>
    <x v="38"/>
  </r>
  <r>
    <x v="101"/>
    <s v="1567"/>
    <s v="OD15Z7834"/>
    <n v="100"/>
    <x v="7"/>
    <n v="10074"/>
    <x v="38"/>
  </r>
  <r>
    <x v="101"/>
    <s v="1568"/>
    <s v="OD16K5817"/>
    <n v="11.91"/>
    <x v="7"/>
    <n v="1200"/>
    <x v="29"/>
  </r>
  <r>
    <x v="101"/>
    <s v="1569"/>
    <s v="OD16K1026"/>
    <n v="11.91"/>
    <x v="7"/>
    <n v="1200"/>
    <x v="29"/>
  </r>
  <r>
    <x v="101"/>
    <s v="1570"/>
    <m/>
    <n v="261.64999999999998"/>
    <x v="7"/>
    <n v="26358.959999999999"/>
    <x v="63"/>
  </r>
  <r>
    <x v="101"/>
    <s v="1571"/>
    <s v="OD15AF5510"/>
    <n v="1167.99"/>
    <x v="7"/>
    <n v="117663.31"/>
    <x v="15"/>
  </r>
  <r>
    <x v="101"/>
    <s v="1572"/>
    <s v="OD15AF5510"/>
    <n v="198.53"/>
    <x v="7"/>
    <n v="20000"/>
    <x v="64"/>
  </r>
  <r>
    <x v="101"/>
    <s v="1573"/>
    <m/>
    <n v="974.32"/>
    <x v="7"/>
    <n v="98152.98"/>
    <x v="21"/>
  </r>
  <r>
    <x v="101"/>
    <s v="1574"/>
    <s v="Consumer"/>
    <n v="148.9"/>
    <x v="7"/>
    <n v="15000"/>
    <x v="8"/>
  </r>
  <r>
    <x v="101"/>
    <s v="1575"/>
    <s v="Transporting"/>
    <n v="2888.62"/>
    <x v="7"/>
    <n v="291000"/>
    <x v="8"/>
  </r>
  <r>
    <x v="102"/>
    <s v="1576"/>
    <s v="OD15R1110"/>
    <n v="12000"/>
    <x v="8"/>
    <n v="1194000"/>
    <x v="0"/>
  </r>
  <r>
    <x v="102"/>
    <s v="1577"/>
    <s v="OD23K9457"/>
    <n v="1200"/>
    <x v="7"/>
    <n v="120888"/>
    <x v="33"/>
  </r>
  <r>
    <x v="102"/>
    <s v="1578"/>
    <s v="OD23T2110"/>
    <n v="20"/>
    <x v="7"/>
    <n v="2014.8"/>
    <x v="36"/>
  </r>
  <r>
    <x v="102"/>
    <s v="1579"/>
    <s v="OD23A8210"/>
    <n v="55"/>
    <x v="7"/>
    <n v="5540.7"/>
    <x v="2"/>
  </r>
  <r>
    <x v="102"/>
    <s v="1580"/>
    <s v="TRACTOR"/>
    <n v="10"/>
    <x v="7"/>
    <n v="1007.4"/>
    <x v="38"/>
  </r>
  <r>
    <x v="102"/>
    <s v="1581"/>
    <s v="ROLLER"/>
    <n v="50"/>
    <x v="7"/>
    <n v="5037"/>
    <x v="38"/>
  </r>
  <r>
    <x v="102"/>
    <s v="1582"/>
    <s v="OD15U5910"/>
    <n v="97.96"/>
    <x v="7"/>
    <n v="9868.49"/>
    <x v="5"/>
  </r>
  <r>
    <x v="102"/>
    <s v="1583"/>
    <s v="OD23H9543"/>
    <n v="230.01"/>
    <x v="7"/>
    <n v="23171.200000000001"/>
    <x v="25"/>
  </r>
  <r>
    <x v="102"/>
    <s v="1584"/>
    <s v="HR20BE4625"/>
    <n v="37.74"/>
    <x v="7"/>
    <n v="3801.92"/>
    <x v="41"/>
  </r>
  <r>
    <x v="102"/>
    <s v="1585"/>
    <s v="OD05AN7688"/>
    <n v="400"/>
    <x v="7"/>
    <n v="40296"/>
    <x v="10"/>
  </r>
  <r>
    <x v="102"/>
    <s v="1586"/>
    <s v="OD16K7171"/>
    <n v="200"/>
    <x v="7"/>
    <n v="20148"/>
    <x v="62"/>
  </r>
  <r>
    <x v="102"/>
    <s v="1587"/>
    <s v="OD16K7176"/>
    <n v="200"/>
    <x v="7"/>
    <n v="20148"/>
    <x v="62"/>
  </r>
  <r>
    <x v="102"/>
    <s v="1588"/>
    <s v="OD16K7103"/>
    <n v="200"/>
    <x v="7"/>
    <n v="20148"/>
    <x v="62"/>
  </r>
  <r>
    <x v="102"/>
    <s v="1589"/>
    <s v="OD16M0974"/>
    <n v="200"/>
    <x v="7"/>
    <n v="20148"/>
    <x v="62"/>
  </r>
  <r>
    <x v="102"/>
    <s v="1590"/>
    <s v="OD16M0981"/>
    <n v="200"/>
    <x v="7"/>
    <n v="20148"/>
    <x v="62"/>
  </r>
  <r>
    <x v="102"/>
    <s v="1591"/>
    <s v="OD14AG8510"/>
    <n v="200"/>
    <x v="7"/>
    <n v="20148"/>
    <x v="62"/>
  </r>
  <r>
    <x v="102"/>
    <s v="1592"/>
    <s v="OD16M0914"/>
    <n v="200"/>
    <x v="7"/>
    <n v="20148"/>
    <x v="62"/>
  </r>
  <r>
    <x v="102"/>
    <s v="1593"/>
    <m/>
    <n v="1097.6400000000001"/>
    <x v="7"/>
    <n v="110575.98"/>
    <x v="63"/>
  </r>
  <r>
    <x v="102"/>
    <s v="1594"/>
    <m/>
    <n v="99.27"/>
    <x v="7"/>
    <n v="10000"/>
    <x v="61"/>
  </r>
  <r>
    <x v="102"/>
    <s v="1595"/>
    <m/>
    <n v="250.63"/>
    <x v="7"/>
    <n v="25248"/>
    <x v="7"/>
  </r>
  <r>
    <x v="102"/>
    <s v="1596"/>
    <s v="OD15AF5510"/>
    <n v="893.04"/>
    <x v="7"/>
    <n v="89964.85"/>
    <x v="15"/>
  </r>
  <r>
    <x v="102"/>
    <s v="1597"/>
    <s v="OD15AF5510"/>
    <n v="2000"/>
    <x v="7"/>
    <n v="201480"/>
    <x v="16"/>
  </r>
  <r>
    <x v="102"/>
    <s v="1598"/>
    <m/>
    <n v="2753.29"/>
    <x v="7"/>
    <n v="277366"/>
    <x v="21"/>
  </r>
  <r>
    <x v="102"/>
    <s v="1599"/>
    <s v="Consumer"/>
    <n v="74.45"/>
    <x v="7"/>
    <n v="7500"/>
    <x v="8"/>
  </r>
  <r>
    <x v="102"/>
    <s v="1600"/>
    <s v="Transporting"/>
    <n v="3114.95"/>
    <x v="7"/>
    <n v="313800"/>
    <x v="8"/>
  </r>
  <r>
    <x v="102"/>
    <s v="1601"/>
    <s v="OD23A3710"/>
    <n v="12000"/>
    <x v="8"/>
    <n v="1194000"/>
    <x v="24"/>
  </r>
  <r>
    <x v="103"/>
    <s v="1602"/>
    <s v="OR15R5510"/>
    <n v="12000"/>
    <x v="8"/>
    <n v="1194000"/>
    <x v="0"/>
  </r>
  <r>
    <x v="103"/>
    <s v="1603"/>
    <s v="Transporting"/>
    <n v="2926.35"/>
    <x v="7"/>
    <n v="294800"/>
    <x v="8"/>
  </r>
  <r>
    <x v="103"/>
    <s v="1604"/>
    <m/>
    <n v="1649.77"/>
    <x v="7"/>
    <n v="166198.22"/>
    <x v="21"/>
  </r>
  <r>
    <x v="103"/>
    <s v="1605"/>
    <s v="OD15AF5510"/>
    <n v="829.86"/>
    <x v="7"/>
    <n v="83600.100000000006"/>
    <x v="15"/>
  </r>
  <r>
    <x v="103"/>
    <s v="1606"/>
    <s v="OD15AF5510"/>
    <n v="2000"/>
    <x v="7"/>
    <n v="201480"/>
    <x v="16"/>
  </r>
  <r>
    <x v="103"/>
    <s v="1607"/>
    <m/>
    <n v="221.38"/>
    <x v="7"/>
    <n v="22301.919999999998"/>
    <x v="61"/>
  </r>
  <r>
    <x v="103"/>
    <s v="1608"/>
    <m/>
    <n v="1676.66"/>
    <x v="7"/>
    <n v="168907"/>
    <x v="63"/>
  </r>
  <r>
    <x v="103"/>
    <s v="1609"/>
    <m/>
    <n v="200"/>
    <x v="7"/>
    <n v="20148"/>
    <x v="7"/>
  </r>
  <r>
    <x v="103"/>
    <s v="1610"/>
    <s v="OD15K2690"/>
    <n v="50"/>
    <x v="7"/>
    <n v="5037"/>
    <x v="38"/>
  </r>
  <r>
    <x v="103"/>
    <s v="1611"/>
    <s v="OD15AE7230"/>
    <n v="40"/>
    <x v="7"/>
    <n v="4029.6"/>
    <x v="38"/>
  </r>
  <r>
    <x v="103"/>
    <s v="1612"/>
    <s v="OD23T2110"/>
    <n v="100"/>
    <x v="7"/>
    <n v="10074"/>
    <x v="36"/>
  </r>
  <r>
    <x v="103"/>
    <s v="1613"/>
    <s v="OD05AN7688"/>
    <n v="600"/>
    <x v="7"/>
    <n v="60444"/>
    <x v="10"/>
  </r>
  <r>
    <x v="103"/>
    <s v="1614"/>
    <s v="OD16M2073"/>
    <n v="215"/>
    <x v="7"/>
    <n v="21659.1"/>
    <x v="62"/>
  </r>
  <r>
    <x v="103"/>
    <s v="1615"/>
    <s v="OD16K3450"/>
    <n v="215"/>
    <x v="7"/>
    <n v="21659.1"/>
    <x v="62"/>
  </r>
  <r>
    <x v="103"/>
    <s v="1616"/>
    <s v="OD16M2019"/>
    <n v="215"/>
    <x v="7"/>
    <n v="21659.1"/>
    <x v="62"/>
  </r>
  <r>
    <x v="103"/>
    <s v="1617"/>
    <s v="OD16M2080"/>
    <n v="215"/>
    <x v="7"/>
    <n v="21659.1"/>
    <x v="62"/>
  </r>
  <r>
    <x v="103"/>
    <s v="1618"/>
    <s v="OD23S4194"/>
    <n v="1000"/>
    <x v="7"/>
    <n v="100740"/>
    <x v="35"/>
  </r>
  <r>
    <x v="104"/>
    <s v="1619"/>
    <n v="1327"/>
    <n v="600"/>
    <x v="7"/>
    <n v="60444"/>
    <x v="54"/>
  </r>
  <r>
    <x v="104"/>
    <s v="1620"/>
    <s v="OD15AF5510"/>
    <n v="198.53"/>
    <x v="7"/>
    <n v="20000"/>
    <x v="64"/>
  </r>
  <r>
    <x v="104"/>
    <s v="1621"/>
    <s v="OD15AF5510"/>
    <n v="928.93"/>
    <x v="7"/>
    <n v="93580.41"/>
    <x v="15"/>
  </r>
  <r>
    <x v="104"/>
    <s v="1622"/>
    <s v="OD23T8010"/>
    <n v="100"/>
    <x v="7"/>
    <n v="10074"/>
    <x v="36"/>
  </r>
  <r>
    <x v="104"/>
    <s v="1623"/>
    <s v="RJ02GB6172"/>
    <n v="232.77"/>
    <x v="7"/>
    <n v="23449.24"/>
    <x v="25"/>
  </r>
  <r>
    <x v="104"/>
    <s v="1624"/>
    <s v="OD15AA4091"/>
    <n v="46.96"/>
    <x v="7"/>
    <n v="4730.75"/>
    <x v="5"/>
  </r>
  <r>
    <x v="104"/>
    <s v="1625"/>
    <s v="JH01FS6302"/>
    <n v="43.19"/>
    <x v="7"/>
    <n v="4350.96"/>
    <x v="5"/>
  </r>
  <r>
    <x v="104"/>
    <s v="1626"/>
    <s v="TRACTOR"/>
    <n v="20"/>
    <x v="7"/>
    <n v="2014.8"/>
    <x v="38"/>
  </r>
  <r>
    <x v="104"/>
    <s v="1627"/>
    <s v="OD15Z7834"/>
    <n v="40"/>
    <x v="7"/>
    <n v="4029.6"/>
    <x v="38"/>
  </r>
  <r>
    <x v="104"/>
    <s v="1628"/>
    <s v="AJAX"/>
    <n v="84.58"/>
    <x v="7"/>
    <n v="8520.58"/>
    <x v="38"/>
  </r>
  <r>
    <x v="104"/>
    <s v="1629"/>
    <s v="OD16L4114"/>
    <n v="200"/>
    <x v="7"/>
    <n v="20148"/>
    <x v="62"/>
  </r>
  <r>
    <x v="104"/>
    <s v="1630"/>
    <s v="OD16L8468"/>
    <n v="200"/>
    <x v="7"/>
    <n v="20148"/>
    <x v="62"/>
  </r>
  <r>
    <x v="104"/>
    <s v="1631"/>
    <s v="OD16K7176"/>
    <n v="200"/>
    <x v="7"/>
    <n v="20148"/>
    <x v="62"/>
  </r>
  <r>
    <x v="104"/>
    <s v="1632"/>
    <s v="OD16K7171"/>
    <n v="200"/>
    <x v="7"/>
    <n v="20148"/>
    <x v="62"/>
  </r>
  <r>
    <x v="104"/>
    <s v="1633"/>
    <s v="OD16K7103"/>
    <n v="200"/>
    <x v="7"/>
    <n v="20148"/>
    <x v="62"/>
  </r>
  <r>
    <x v="104"/>
    <s v="1634"/>
    <s v="OD15AA4091"/>
    <n v="50"/>
    <x v="7"/>
    <n v="5037"/>
    <x v="5"/>
  </r>
  <r>
    <x v="104"/>
    <s v="1635"/>
    <m/>
    <n v="535.59"/>
    <x v="7"/>
    <n v="53955"/>
    <x v="63"/>
  </r>
  <r>
    <x v="104"/>
    <s v="1636"/>
    <m/>
    <n v="113.52"/>
    <x v="7"/>
    <n v="11436.31"/>
    <x v="61"/>
  </r>
  <r>
    <x v="104"/>
    <s v="1637"/>
    <m/>
    <n v="200"/>
    <x v="7"/>
    <n v="20148"/>
    <x v="7"/>
  </r>
  <r>
    <x v="104"/>
    <s v="1638"/>
    <m/>
    <n v="1275.18"/>
    <x v="7"/>
    <n v="128462.06"/>
    <x v="21"/>
  </r>
  <r>
    <x v="104"/>
    <s v="1639"/>
    <s v="Transporting"/>
    <n v="1185.23"/>
    <x v="7"/>
    <n v="119400"/>
    <x v="8"/>
  </r>
  <r>
    <x v="105"/>
    <n v="1640"/>
    <s v="OR15R5510"/>
    <n v="12000"/>
    <x v="8"/>
    <n v="1194000"/>
    <x v="24"/>
  </r>
  <r>
    <x v="105"/>
    <s v="1641"/>
    <s v="OD15AF5510"/>
    <n v="740.38"/>
    <x v="7"/>
    <n v="74585.88"/>
    <x v="15"/>
  </r>
  <r>
    <x v="105"/>
    <s v="1642"/>
    <s v="OD15AF5510"/>
    <n v="2000"/>
    <x v="7"/>
    <n v="201480"/>
    <x v="16"/>
  </r>
  <r>
    <x v="105"/>
    <s v="1643"/>
    <s v="OD15AF5510"/>
    <n v="2500"/>
    <x v="7"/>
    <n v="251850"/>
    <x v="41"/>
  </r>
  <r>
    <x v="105"/>
    <s v="1644"/>
    <s v="OD15K2690"/>
    <n v="50"/>
    <x v="7"/>
    <n v="5037"/>
    <x v="38"/>
  </r>
  <r>
    <x v="105"/>
    <s v="1645"/>
    <s v="OD23H5292"/>
    <n v="200"/>
    <x v="7"/>
    <n v="20148"/>
    <x v="25"/>
  </r>
  <r>
    <x v="105"/>
    <s v="1646"/>
    <s v="OD23T7010"/>
    <n v="100"/>
    <x v="7"/>
    <n v="10074"/>
    <x v="36"/>
  </r>
  <r>
    <x v="105"/>
    <s v="1647"/>
    <m/>
    <n v="20"/>
    <x v="7"/>
    <n v="2014.8"/>
    <x v="26"/>
  </r>
  <r>
    <x v="105"/>
    <s v="1648"/>
    <s v="OD16K7108"/>
    <n v="200"/>
    <x v="7"/>
    <n v="20148"/>
    <x v="62"/>
  </r>
  <r>
    <x v="105"/>
    <s v="1649"/>
    <s v="OD16L8479"/>
    <n v="200"/>
    <x v="7"/>
    <n v="20148"/>
    <x v="62"/>
  </r>
  <r>
    <x v="105"/>
    <s v="1650"/>
    <s v="OD16L4174"/>
    <n v="200"/>
    <x v="7"/>
    <n v="20148"/>
    <x v="62"/>
  </r>
  <r>
    <x v="105"/>
    <s v="1651"/>
    <s v="OD16L8463"/>
    <n v="200"/>
    <x v="7"/>
    <n v="20148"/>
    <x v="62"/>
  </r>
  <r>
    <x v="105"/>
    <s v="1652"/>
    <s v="OD33Y3567"/>
    <n v="30"/>
    <x v="7"/>
    <n v="3022.2"/>
    <x v="5"/>
  </r>
  <r>
    <x v="105"/>
    <s v="1653"/>
    <s v="OD05AN7688"/>
    <n v="400"/>
    <x v="7"/>
    <n v="40296"/>
    <x v="10"/>
  </r>
  <r>
    <x v="105"/>
    <s v="1654"/>
    <m/>
    <n v="991.85"/>
    <x v="7"/>
    <n v="99919.38"/>
    <x v="63"/>
  </r>
  <r>
    <x v="105"/>
    <s v="1655"/>
    <m/>
    <n v="24.82"/>
    <x v="7"/>
    <n v="2500"/>
    <x v="61"/>
  </r>
  <r>
    <x v="105"/>
    <s v="1656"/>
    <m/>
    <n v="570"/>
    <x v="7"/>
    <n v="57422.2"/>
    <x v="21"/>
  </r>
  <r>
    <x v="105"/>
    <s v="1657"/>
    <s v="Consumer"/>
    <n v="89.56"/>
    <x v="7"/>
    <n v="9022.2000000000007"/>
    <x v="8"/>
  </r>
  <r>
    <x v="105"/>
    <s v="1658"/>
    <s v="Transporting"/>
    <n v="1413.54"/>
    <x v="7"/>
    <n v="142400"/>
    <x v="8"/>
  </r>
  <r>
    <x v="106"/>
    <s v="1659"/>
    <s v="OD15AF5510"/>
    <n v="3000"/>
    <x v="7"/>
    <n v="302220"/>
    <x v="50"/>
  </r>
  <r>
    <x v="106"/>
    <s v="1660"/>
    <s v="OR15R5510"/>
    <n v="12000"/>
    <x v="8"/>
    <n v="1194000"/>
    <x v="1"/>
  </r>
  <r>
    <x v="106"/>
    <s v="1661"/>
    <s v="OR15R9360"/>
    <n v="4000"/>
    <x v="8"/>
    <n v="398000"/>
    <x v="0"/>
  </r>
  <r>
    <x v="106"/>
    <s v="1662"/>
    <s v="OR15R9360"/>
    <n v="14000"/>
    <x v="8"/>
    <n v="1393000"/>
    <x v="0"/>
  </r>
  <r>
    <x v="106"/>
    <s v="1663"/>
    <s v="OD05AN7688"/>
    <n v="400"/>
    <x v="7"/>
    <n v="40296"/>
    <x v="10"/>
  </r>
  <r>
    <x v="106"/>
    <s v="1664"/>
    <s v="OD15AF5510"/>
    <n v="707.31"/>
    <x v="7"/>
    <n v="71254.41"/>
    <x v="15"/>
  </r>
  <r>
    <x v="106"/>
    <s v="1665"/>
    <s v=""/>
    <n v="880.95"/>
    <x v="7"/>
    <n v="88747.26"/>
    <x v="21"/>
  </r>
  <r>
    <x v="106"/>
    <s v="1666"/>
    <s v="Transporting"/>
    <n v="2103.4299999999998"/>
    <x v="7"/>
    <n v="211900"/>
    <x v="8"/>
  </r>
  <r>
    <x v="106"/>
    <s v="1667"/>
    <s v="Consumer"/>
    <n v="24.82"/>
    <x v="7"/>
    <n v="2500"/>
    <x v="8"/>
  </r>
  <r>
    <x v="106"/>
    <s v="1668"/>
    <m/>
    <n v="41.39"/>
    <x v="7"/>
    <n v="4170"/>
    <x v="61"/>
  </r>
  <r>
    <x v="106"/>
    <s v="1669"/>
    <s v="OD16K7103"/>
    <n v="200"/>
    <x v="7"/>
    <n v="20148"/>
    <x v="62"/>
  </r>
  <r>
    <x v="106"/>
    <s v="1670"/>
    <s v="OD16K7176"/>
    <n v="200"/>
    <x v="7"/>
    <n v="20148"/>
    <x v="62"/>
  </r>
  <r>
    <x v="106"/>
    <s v="1671"/>
    <s v="OD14T5423"/>
    <n v="50.13"/>
    <x v="7"/>
    <n v="5050.09"/>
    <x v="29"/>
  </r>
  <r>
    <x v="106"/>
    <s v="1672"/>
    <s v="OD15AF5510"/>
    <n v="47.13"/>
    <x v="7"/>
    <n v="4747.87"/>
    <x v="3"/>
  </r>
  <r>
    <x v="106"/>
    <s v="1673"/>
    <s v="OD15T2320"/>
    <n v="19.850000000000001"/>
    <x v="7"/>
    <n v="2000"/>
    <x v="38"/>
  </r>
  <r>
    <x v="106"/>
    <s v="1674"/>
    <m/>
    <n v="326.26"/>
    <x v="7"/>
    <n v="32867"/>
    <x v="63"/>
  </r>
  <r>
    <x v="106"/>
    <s v="1675"/>
    <s v="OD15AF5510"/>
    <n v="198.53"/>
    <x v="7"/>
    <n v="20000"/>
    <x v="64"/>
  </r>
  <r>
    <x v="107"/>
    <s v="1676"/>
    <s v="OD15AF5510"/>
    <n v="3000"/>
    <x v="7"/>
    <n v="302220"/>
    <x v="50"/>
  </r>
  <r>
    <x v="107"/>
    <s v="1677"/>
    <s v="OD15AF5510"/>
    <n v="149.09"/>
    <x v="7"/>
    <n v="15019.33"/>
    <x v="64"/>
  </r>
  <r>
    <x v="107"/>
    <s v="1678"/>
    <s v="OD15AF5510"/>
    <n v="1332.2"/>
    <x v="7"/>
    <n v="134205.82999999999"/>
    <x v="15"/>
  </r>
  <r>
    <x v="107"/>
    <s v="1679"/>
    <s v="Transporting"/>
    <n v="1492.95"/>
    <x v="7"/>
    <n v="150400"/>
    <x v="8"/>
  </r>
  <r>
    <x v="107"/>
    <s v="1680"/>
    <s v="Consumer"/>
    <n v="9.93"/>
    <x v="7"/>
    <n v="1000"/>
    <x v="8"/>
  </r>
  <r>
    <x v="107"/>
    <s v="1681"/>
    <m/>
    <n v="1627.31"/>
    <x v="7"/>
    <n v="163935.32"/>
    <x v="21"/>
  </r>
  <r>
    <x v="107"/>
    <s v="1682"/>
    <m/>
    <n v="491.11"/>
    <x v="7"/>
    <n v="49474.73"/>
    <x v="63"/>
  </r>
  <r>
    <x v="107"/>
    <s v="1683"/>
    <s v="OD23S0027"/>
    <n v="19.850000000000001"/>
    <x v="7"/>
    <n v="2000"/>
    <x v="29"/>
  </r>
  <r>
    <x v="107"/>
    <s v="1684"/>
    <s v="OD15AA4091"/>
    <n v="44.85"/>
    <x v="7"/>
    <n v="4518.18"/>
    <x v="5"/>
  </r>
  <r>
    <x v="107"/>
    <s v="1685"/>
    <s v="OD15N0455"/>
    <n v="90.64"/>
    <x v="7"/>
    <n v="9131.07"/>
    <x v="38"/>
  </r>
  <r>
    <x v="107"/>
    <s v="1686"/>
    <s v="OD23T8210"/>
    <n v="100"/>
    <x v="7"/>
    <n v="10074"/>
    <x v="36"/>
  </r>
  <r>
    <x v="107"/>
    <s v="1687"/>
    <s v="OR15R9360"/>
    <n v="100"/>
    <x v="7"/>
    <n v="10074"/>
    <x v="3"/>
  </r>
  <r>
    <x v="107"/>
    <s v="1688"/>
    <s v="OD05AN7688"/>
    <n v="200"/>
    <x v="7"/>
    <n v="20148"/>
    <x v="10"/>
  </r>
  <r>
    <x v="107"/>
    <s v="1689"/>
    <s v="NL01AJ8743"/>
    <n v="354.81"/>
    <x v="7"/>
    <n v="35743.550000000003"/>
    <x v="25"/>
  </r>
  <r>
    <x v="107"/>
    <s v="1690"/>
    <s v="RJ02GB9087"/>
    <n v="256"/>
    <x v="7"/>
    <n v="25789.439999999999"/>
    <x v="25"/>
  </r>
  <r>
    <x v="107"/>
    <s v="1691"/>
    <s v="OD16L8450"/>
    <n v="50"/>
    <x v="7"/>
    <n v="5037"/>
    <x v="62"/>
  </r>
  <r>
    <x v="107"/>
    <s v="1692"/>
    <s v="OD16L4319"/>
    <n v="50"/>
    <x v="7"/>
    <n v="5037"/>
    <x v="62"/>
  </r>
  <r>
    <x v="107"/>
    <s v="1693"/>
    <s v="OD16L4181"/>
    <n v="50"/>
    <x v="7"/>
    <n v="5037"/>
    <x v="62"/>
  </r>
  <r>
    <x v="107"/>
    <s v="1694"/>
    <s v="OD16L4103"/>
    <n v="50"/>
    <x v="7"/>
    <n v="5037"/>
    <x v="62"/>
  </r>
  <r>
    <x v="107"/>
    <s v="1695"/>
    <s v="OD16L8468"/>
    <n v="50"/>
    <x v="7"/>
    <n v="5037"/>
    <x v="62"/>
  </r>
  <r>
    <x v="107"/>
    <s v="1696"/>
    <s v="OD16K7108"/>
    <n v="200"/>
    <x v="7"/>
    <n v="20148"/>
    <x v="62"/>
  </r>
  <r>
    <x v="108"/>
    <s v="1697"/>
    <s v="OR15R1110"/>
    <n v="12000"/>
    <x v="8"/>
    <n v="1194000"/>
    <x v="24"/>
  </r>
  <r>
    <x v="108"/>
    <s v="1698"/>
    <s v="OR15R5510"/>
    <n v="12000"/>
    <x v="8"/>
    <n v="1194000"/>
    <x v="1"/>
  </r>
  <r>
    <x v="108"/>
    <s v="1699"/>
    <s v="OD15AF5510"/>
    <n v="49.44"/>
    <x v="7"/>
    <n v="4980.59"/>
    <x v="64"/>
  </r>
  <r>
    <x v="108"/>
    <s v="1700"/>
    <s v="OD15AF5510"/>
    <n v="561.11"/>
    <x v="7"/>
    <n v="56526.22"/>
    <x v="15"/>
  </r>
  <r>
    <x v="108"/>
    <s v="1701"/>
    <m/>
    <n v="514.9"/>
    <x v="7"/>
    <n v="51871"/>
    <x v="63"/>
  </r>
  <r>
    <x v="108"/>
    <s v="1702"/>
    <m/>
    <n v="1880.78"/>
    <x v="7"/>
    <n v="189469.56"/>
    <x v="21"/>
  </r>
  <r>
    <x v="108"/>
    <s v="1703"/>
    <s v="Transporting"/>
    <n v="608.5"/>
    <x v="7"/>
    <n v="61300"/>
    <x v="8"/>
  </r>
  <r>
    <x v="108"/>
    <s v="1704"/>
    <s v="HR20BE4625"/>
    <n v="43.88"/>
    <x v="7"/>
    <n v="4420.47"/>
    <x v="41"/>
  </r>
  <r>
    <x v="108"/>
    <s v="1705"/>
    <s v="JH01FS6302"/>
    <n v="43.88"/>
    <x v="7"/>
    <n v="4420.47"/>
    <x v="5"/>
  </r>
  <r>
    <x v="108"/>
    <s v="1706"/>
    <s v="OD33Y3567"/>
    <n v="44.23"/>
    <x v="7"/>
    <n v="4455.7299999999996"/>
    <x v="5"/>
  </r>
  <r>
    <x v="108"/>
    <s v="1707"/>
    <s v="JH10DJ8003"/>
    <n v="353.82"/>
    <x v="7"/>
    <n v="35643.82"/>
    <x v="25"/>
  </r>
  <r>
    <x v="108"/>
    <s v="1708"/>
    <s v="OD23T9010"/>
    <n v="100"/>
    <x v="7"/>
    <n v="10074"/>
    <x v="36"/>
  </r>
  <r>
    <x v="108"/>
    <s v="1709"/>
    <s v="OD23T6010"/>
    <n v="100"/>
    <x v="7"/>
    <n v="10074"/>
    <x v="36"/>
  </r>
  <r>
    <x v="108"/>
    <s v="1710"/>
    <s v="OD23T3110"/>
    <n v="100"/>
    <x v="7"/>
    <n v="10074"/>
    <x v="36"/>
  </r>
  <r>
    <x v="108"/>
    <s v="1711"/>
    <s v="OD16L4114"/>
    <n v="200"/>
    <x v="7"/>
    <n v="20148"/>
    <x v="62"/>
  </r>
  <r>
    <x v="108"/>
    <s v="1712"/>
    <s v="OD16K7171"/>
    <n v="200"/>
    <x v="7"/>
    <n v="20148"/>
    <x v="62"/>
  </r>
  <r>
    <x v="108"/>
    <s v="1713"/>
    <s v="OD16L4190"/>
    <n v="200"/>
    <x v="7"/>
    <n v="20148"/>
    <x v="62"/>
  </r>
  <r>
    <x v="108"/>
    <s v="1714"/>
    <s v="OD16K7103"/>
    <n v="200"/>
    <x v="7"/>
    <n v="20148"/>
    <x v="62"/>
  </r>
  <r>
    <x v="108"/>
    <s v="1715"/>
    <s v="OD16L4181"/>
    <n v="150"/>
    <x v="7"/>
    <n v="15111"/>
    <x v="62"/>
  </r>
  <r>
    <x v="108"/>
    <s v="1716"/>
    <s v="OD16L4103"/>
    <n v="150"/>
    <x v="7"/>
    <n v="15111"/>
    <x v="62"/>
  </r>
  <r>
    <x v="108"/>
    <s v="1717"/>
    <s v="OD16L8450"/>
    <n v="150"/>
    <x v="7"/>
    <n v="15111"/>
    <x v="62"/>
  </r>
  <r>
    <x v="108"/>
    <s v="1718"/>
    <s v="OD16L4319"/>
    <n v="150"/>
    <x v="7"/>
    <n v="15111"/>
    <x v="62"/>
  </r>
  <r>
    <x v="108"/>
    <s v="1719"/>
    <s v="OD16L8468"/>
    <n v="150"/>
    <x v="7"/>
    <n v="15111"/>
    <x v="62"/>
  </r>
  <r>
    <x v="108"/>
    <s v="1720"/>
    <s v="OD16L4174"/>
    <n v="200"/>
    <x v="7"/>
    <n v="20148"/>
    <x v="62"/>
  </r>
  <r>
    <x v="108"/>
    <s v="1721"/>
    <s v="OD16L8479"/>
    <n v="200"/>
    <x v="7"/>
    <n v="20148"/>
    <x v="62"/>
  </r>
  <r>
    <x v="108"/>
    <s v="1722"/>
    <s v="OD16L8463"/>
    <n v="200"/>
    <x v="7"/>
    <n v="20148"/>
    <x v="62"/>
  </r>
  <r>
    <x v="109"/>
    <s v="1723"/>
    <s v="OD05AP4113"/>
    <n v="300"/>
    <x v="7"/>
    <n v="30222"/>
    <x v="23"/>
  </r>
  <r>
    <x v="109"/>
    <s v="1724"/>
    <s v="OD23A8210"/>
    <n v="47"/>
    <x v="7"/>
    <n v="4734.78"/>
    <x v="2"/>
  </r>
  <r>
    <x v="109"/>
    <s v="1725"/>
    <s v="OD16K7176"/>
    <n v="200"/>
    <x v="7"/>
    <n v="20148"/>
    <x v="62"/>
  </r>
  <r>
    <x v="109"/>
    <s v="1726"/>
    <s v="OD16K7108"/>
    <n v="200"/>
    <x v="7"/>
    <n v="20148"/>
    <x v="62"/>
  </r>
  <r>
    <x v="109"/>
    <s v="1727"/>
    <s v="OD16L4157"/>
    <n v="200"/>
    <x v="7"/>
    <n v="20148"/>
    <x v="62"/>
  </r>
  <r>
    <x v="109"/>
    <s v="1728"/>
    <s v="OD15K2690"/>
    <n v="103.8"/>
    <x v="7"/>
    <n v="10456.81"/>
    <x v="38"/>
  </r>
  <r>
    <x v="109"/>
    <s v="1729"/>
    <s v="ROLLER"/>
    <n v="60"/>
    <x v="7"/>
    <n v="6044.4"/>
    <x v="38"/>
  </r>
  <r>
    <x v="109"/>
    <s v="1730"/>
    <s v="OD23T4010"/>
    <n v="100"/>
    <x v="7"/>
    <n v="10074"/>
    <x v="36"/>
  </r>
  <r>
    <x v="109"/>
    <s v="1731"/>
    <s v="OD23T3010"/>
    <n v="100"/>
    <x v="7"/>
    <n v="10074"/>
    <x v="36"/>
  </r>
  <r>
    <x v="109"/>
    <s v="1732"/>
    <s v="OD23Q0466"/>
    <n v="400"/>
    <x v="7"/>
    <n v="40296"/>
    <x v="10"/>
  </r>
  <r>
    <x v="109"/>
    <s v="1733"/>
    <m/>
    <n v="432.6"/>
    <x v="7"/>
    <n v="43580"/>
    <x v="63"/>
  </r>
  <r>
    <x v="109"/>
    <s v="1734"/>
    <m/>
    <n v="37.72"/>
    <x v="7"/>
    <n v="3800"/>
    <x v="61"/>
  </r>
  <r>
    <x v="109"/>
    <s v="1735"/>
    <s v="OD15AF5510"/>
    <n v="2000"/>
    <x v="7"/>
    <n v="201480"/>
    <x v="41"/>
  </r>
  <r>
    <x v="109"/>
    <s v="1736"/>
    <s v="OD15AF5510"/>
    <n v="2000"/>
    <x v="7"/>
    <n v="201480"/>
    <x v="16"/>
  </r>
  <r>
    <x v="109"/>
    <s v="1737"/>
    <s v="OD15AF5510"/>
    <n v="1002.15"/>
    <x v="7"/>
    <n v="100956.59"/>
    <x v="15"/>
  </r>
  <r>
    <x v="109"/>
    <s v="1738"/>
    <s v="OD15AF5510"/>
    <n v="154.28"/>
    <x v="7"/>
    <n v="15542.17"/>
    <x v="64"/>
  </r>
  <r>
    <x v="109"/>
    <s v="1739"/>
    <m/>
    <n v="1933.37"/>
    <x v="7"/>
    <n v="194768.08"/>
    <x v="21"/>
  </r>
  <r>
    <x v="109"/>
    <s v="1740"/>
    <s v="Consumer"/>
    <n v="14.89"/>
    <x v="7"/>
    <n v="1500"/>
    <x v="8"/>
  </r>
  <r>
    <x v="110"/>
    <s v="1741"/>
    <s v="OD23A3710"/>
    <n v="12000"/>
    <x v="8"/>
    <n v="1194000"/>
    <x v="24"/>
  </r>
  <r>
    <x v="110"/>
    <s v="1742"/>
    <m/>
    <n v="761.14"/>
    <x v="7"/>
    <n v="76677.399999999994"/>
    <x v="63"/>
  </r>
  <r>
    <x v="110"/>
    <s v="1743"/>
    <m/>
    <n v="9.93"/>
    <x v="7"/>
    <n v="1000"/>
    <x v="61"/>
  </r>
  <r>
    <x v="110"/>
    <s v="1744"/>
    <m/>
    <n v="100"/>
    <x v="7"/>
    <n v="10074"/>
    <x v="7"/>
  </r>
  <r>
    <x v="110"/>
    <s v="1745"/>
    <s v="OD15AF5510"/>
    <n v="143.52000000000001"/>
    <x v="7"/>
    <n v="14458"/>
    <x v="64"/>
  </r>
  <r>
    <x v="110"/>
    <s v="1746"/>
    <s v="OD15AF5510"/>
    <n v="734.48"/>
    <x v="7"/>
    <n v="73991.520000000004"/>
    <x v="15"/>
  </r>
  <r>
    <x v="110"/>
    <s v="1747"/>
    <s v="OD15AF5510"/>
    <n v="198.53"/>
    <x v="7"/>
    <n v="20000"/>
    <x v="66"/>
  </r>
  <r>
    <x v="110"/>
    <s v="1748"/>
    <s v="OD15AF5510"/>
    <n v="1500"/>
    <x v="7"/>
    <n v="151110"/>
    <x v="16"/>
  </r>
  <r>
    <x v="110"/>
    <s v="1749"/>
    <m/>
    <n v="1721.26"/>
    <x v="7"/>
    <n v="173400"/>
    <x v="21"/>
  </r>
  <r>
    <x v="110"/>
    <s v="1750"/>
    <s v="Consumer"/>
    <n v="29.78"/>
    <x v="7"/>
    <n v="3000"/>
    <x v="8"/>
  </r>
  <r>
    <x v="110"/>
    <s v="1751"/>
    <s v="OD15AA4091"/>
    <n v="42.49"/>
    <x v="7"/>
    <n v="4280.4399999999996"/>
    <x v="5"/>
  </r>
  <r>
    <x v="110"/>
    <s v="1752"/>
    <s v="JH10TF2111"/>
    <n v="30"/>
    <x v="7"/>
    <n v="3022.2"/>
    <x v="5"/>
  </r>
  <r>
    <x v="110"/>
    <s v="1753"/>
    <s v="OD23U8210"/>
    <n v="200"/>
    <x v="7"/>
    <n v="20148"/>
    <x v="3"/>
  </r>
  <r>
    <x v="110"/>
    <s v="1754"/>
    <s v="NL01AJ8643"/>
    <n v="360"/>
    <x v="7"/>
    <n v="36266.400000000001"/>
    <x v="25"/>
  </r>
  <r>
    <x v="110"/>
    <s v="1755"/>
    <s v="OD05AN7688"/>
    <n v="400"/>
    <x v="7"/>
    <n v="40296"/>
    <x v="10"/>
  </r>
  <r>
    <x v="110"/>
    <s v="1756"/>
    <n v="8014"/>
    <n v="600"/>
    <x v="7"/>
    <n v="60444"/>
    <x v="54"/>
  </r>
  <r>
    <x v="110"/>
    <s v="1757"/>
    <s v="OD16L4114"/>
    <n v="200"/>
    <x v="7"/>
    <n v="20148"/>
    <x v="62"/>
  </r>
  <r>
    <x v="110"/>
    <s v="1758"/>
    <s v="OD16L8479"/>
    <n v="200"/>
    <x v="7"/>
    <n v="20148"/>
    <x v="62"/>
  </r>
  <r>
    <x v="110"/>
    <s v="1759"/>
    <s v="OD16L8463"/>
    <n v="200"/>
    <x v="7"/>
    <n v="20148"/>
    <x v="62"/>
  </r>
  <r>
    <x v="110"/>
    <s v="1760"/>
    <s v="OD16L4319"/>
    <n v="200"/>
    <x v="7"/>
    <n v="20148"/>
    <x v="62"/>
  </r>
  <r>
    <x v="110"/>
    <s v="1761"/>
    <s v="OD16L4103"/>
    <n v="200"/>
    <x v="7"/>
    <n v="20148"/>
    <x v="62"/>
  </r>
  <r>
    <x v="110"/>
    <s v="1762"/>
    <s v="OD16L4181"/>
    <n v="200"/>
    <x v="7"/>
    <n v="20148"/>
    <x v="62"/>
  </r>
  <r>
    <x v="110"/>
    <s v="1763"/>
    <s v="OD16L4151"/>
    <n v="200"/>
    <x v="7"/>
    <n v="20148"/>
    <x v="62"/>
  </r>
  <r>
    <x v="110"/>
    <s v="1764"/>
    <s v="OD16L4190"/>
    <n v="200"/>
    <x v="7"/>
    <n v="20148"/>
    <x v="62"/>
  </r>
  <r>
    <x v="110"/>
    <s v="1765"/>
    <s v="OD16L8468"/>
    <n v="200"/>
    <x v="7"/>
    <n v="20148"/>
    <x v="62"/>
  </r>
  <r>
    <x v="110"/>
    <s v="1766"/>
    <s v="OD16K7103"/>
    <n v="200"/>
    <x v="7"/>
    <n v="20148"/>
    <x v="62"/>
  </r>
  <r>
    <x v="111"/>
    <s v="1767"/>
    <s v="OD23N4311"/>
    <n v="1200"/>
    <x v="7"/>
    <n v="120888"/>
    <x v="17"/>
  </r>
  <r>
    <x v="111"/>
    <s v="1768"/>
    <s v="OR15R5510"/>
    <n v="12000"/>
    <x v="8"/>
    <n v="1194000"/>
    <x v="1"/>
  </r>
  <r>
    <x v="111"/>
    <s v="1769"/>
    <s v="OR15R9360"/>
    <n v="18000"/>
    <x v="8"/>
    <n v="1791000"/>
    <x v="0"/>
  </r>
  <r>
    <x v="111"/>
    <s v="1770"/>
    <s v="OD23M0874"/>
    <n v="250"/>
    <x v="7"/>
    <n v="25185"/>
    <x v="66"/>
  </r>
  <r>
    <x v="111"/>
    <s v="1771"/>
    <s v="OD15AF5510"/>
    <n v="722.8"/>
    <x v="7"/>
    <n v="72814.87"/>
    <x v="66"/>
  </r>
  <r>
    <x v="111"/>
    <s v="1772"/>
    <s v="OD15AF5510"/>
    <n v="198.16"/>
    <x v="7"/>
    <n v="19963"/>
    <x v="64"/>
  </r>
  <r>
    <x v="111"/>
    <s v="1773"/>
    <s v="MP66ZB9863"/>
    <n v="50"/>
    <x v="7"/>
    <n v="5037"/>
    <x v="64"/>
  </r>
  <r>
    <x v="111"/>
    <s v="1774"/>
    <s v="OD15AF5510"/>
    <n v="1116.03"/>
    <x v="7"/>
    <n v="112428.86"/>
    <x v="15"/>
  </r>
  <r>
    <x v="111"/>
    <s v="1775"/>
    <s v="OD15AF5510"/>
    <n v="2500"/>
    <x v="7"/>
    <n v="251850"/>
    <x v="41"/>
  </r>
  <r>
    <x v="111"/>
    <s v="1776"/>
    <m/>
    <n v="1795.38"/>
    <x v="7"/>
    <n v="180866.6"/>
    <x v="21"/>
  </r>
  <r>
    <x v="111"/>
    <s v="1777"/>
    <m/>
    <n v="100"/>
    <x v="7"/>
    <n v="10074"/>
    <x v="7"/>
  </r>
  <r>
    <x v="111"/>
    <s v="1778"/>
    <m/>
    <n v="617.41999999999996"/>
    <x v="7"/>
    <n v="62198.8"/>
    <x v="63"/>
  </r>
  <r>
    <x v="111"/>
    <s v="1779"/>
    <s v="OD05AN7688"/>
    <n v="400"/>
    <x v="7"/>
    <n v="40296"/>
    <x v="10"/>
  </r>
  <r>
    <x v="111"/>
    <s v="1780"/>
    <s v="OD16K7176"/>
    <n v="200"/>
    <x v="7"/>
    <n v="20148"/>
    <x v="62"/>
  </r>
  <r>
    <x v="111"/>
    <s v="1781"/>
    <s v="OD16K7108"/>
    <n v="200"/>
    <x v="7"/>
    <n v="20148"/>
    <x v="62"/>
  </r>
  <r>
    <x v="111"/>
    <s v="1782"/>
    <s v="OD16K7171"/>
    <n v="200"/>
    <x v="7"/>
    <n v="20148"/>
    <x v="62"/>
  </r>
  <r>
    <x v="111"/>
    <s v="1783"/>
    <s v="OD16L4174"/>
    <n v="200"/>
    <x v="7"/>
    <n v="20148"/>
    <x v="62"/>
  </r>
  <r>
    <x v="111"/>
    <s v="1784"/>
    <s v="OD16L4157"/>
    <n v="200"/>
    <x v="7"/>
    <n v="20148"/>
    <x v="62"/>
  </r>
  <r>
    <x v="112"/>
    <s v="1785"/>
    <s v="OR15R1110"/>
    <n v="12000"/>
    <x v="8"/>
    <n v="1194000"/>
    <x v="0"/>
  </r>
  <r>
    <x v="112"/>
    <s v="1786"/>
    <m/>
    <n v="20"/>
    <x v="7"/>
    <n v="2014.8"/>
    <x v="26"/>
  </r>
  <r>
    <x v="112"/>
    <s v="1787"/>
    <s v="OD15AA5823"/>
    <n v="238"/>
    <x v="7"/>
    <n v="23976.12"/>
    <x v="38"/>
  </r>
  <r>
    <x v="112"/>
    <s v="1788"/>
    <s v="OD15AE7230"/>
    <n v="245.02"/>
    <x v="7"/>
    <n v="24683.31"/>
    <x v="38"/>
  </r>
  <r>
    <x v="112"/>
    <s v="1789"/>
    <s v="OD33Y3567"/>
    <n v="30"/>
    <x v="7"/>
    <n v="3022.2"/>
    <x v="5"/>
  </r>
  <r>
    <x v="112"/>
    <s v="1790"/>
    <s v="JH01FS6302"/>
    <n v="43.28"/>
    <x v="7"/>
    <n v="4360.0200000000004"/>
    <x v="5"/>
  </r>
  <r>
    <x v="112"/>
    <s v="1791"/>
    <m/>
    <n v="340.05"/>
    <x v="7"/>
    <n v="34257"/>
    <x v="63"/>
  </r>
  <r>
    <x v="112"/>
    <s v="1792"/>
    <s v="OD15AF5510"/>
    <n v="1500"/>
    <x v="7"/>
    <n v="151110"/>
    <x v="16"/>
  </r>
  <r>
    <x v="112"/>
    <s v="1793"/>
    <s v="OD15AF5510"/>
    <n v="1211.6099999999999"/>
    <x v="7"/>
    <n v="122057.59"/>
    <x v="15"/>
  </r>
  <r>
    <x v="112"/>
    <s v="1794"/>
    <s v="OD15AF5510"/>
    <n v="248.16"/>
    <x v="7"/>
    <n v="25000"/>
    <x v="64"/>
  </r>
  <r>
    <x v="112"/>
    <s v="1795"/>
    <m/>
    <n v="652.89"/>
    <x v="7"/>
    <n v="65771.78"/>
    <x v="21"/>
  </r>
  <r>
    <x v="112"/>
    <s v="1796"/>
    <s v="Consumer"/>
    <n v="30"/>
    <x v="7"/>
    <n v="3022.2"/>
    <x v="8"/>
  </r>
  <r>
    <x v="113"/>
    <s v="1797"/>
    <s v="OD15AF5510"/>
    <n v="3000"/>
    <x v="7"/>
    <n v="302220"/>
    <x v="50"/>
  </r>
  <r>
    <x v="113"/>
    <s v="1798"/>
    <s v="OD23A3710"/>
    <n v="12000"/>
    <x v="8"/>
    <n v="1194000"/>
    <x v="24"/>
  </r>
  <r>
    <x v="113"/>
    <s v="1799"/>
    <s v="OD15AF5510"/>
    <n v="248.16"/>
    <x v="7"/>
    <n v="25000"/>
    <x v="64"/>
  </r>
  <r>
    <x v="113"/>
    <s v="1800"/>
    <s v="OD15AF5510"/>
    <n v="1031.94"/>
    <x v="7"/>
    <n v="103957.64"/>
    <x v="15"/>
  </r>
  <r>
    <x v="113"/>
    <s v="1801"/>
    <s v="Consumer"/>
    <n v="188.6"/>
    <x v="7"/>
    <n v="19000"/>
    <x v="8"/>
  </r>
  <r>
    <x v="113"/>
    <s v="1802"/>
    <m/>
    <n v="1679.68"/>
    <x v="7"/>
    <n v="169210.96"/>
    <x v="21"/>
  </r>
  <r>
    <x v="113"/>
    <s v="1803"/>
    <m/>
    <n v="9.93"/>
    <x v="7"/>
    <n v="1000"/>
    <x v="61"/>
  </r>
  <r>
    <x v="113"/>
    <s v="1804"/>
    <m/>
    <n v="651.11"/>
    <x v="7"/>
    <n v="65592.679999999993"/>
    <x v="63"/>
  </r>
  <r>
    <x v="113"/>
    <s v="1805"/>
    <m/>
    <n v="40"/>
    <x v="7"/>
    <n v="4029.6"/>
    <x v="7"/>
  </r>
  <r>
    <x v="113"/>
    <s v="1806"/>
    <s v="OD15AA4091"/>
    <n v="42.59"/>
    <x v="7"/>
    <n v="4290.51"/>
    <x v="5"/>
  </r>
  <r>
    <x v="113"/>
    <s v="1807"/>
    <m/>
    <n v="40"/>
    <x v="7"/>
    <n v="4029.6"/>
    <x v="26"/>
  </r>
  <r>
    <x v="114"/>
    <s v="1808"/>
    <s v="OR15R9360"/>
    <n v="18000"/>
    <x v="8"/>
    <n v="1791000"/>
    <x v="0"/>
  </r>
  <r>
    <x v="114"/>
    <s v="1809"/>
    <s v="OD16K0904"/>
    <n v="10"/>
    <x v="7"/>
    <n v="1007.4"/>
    <x v="29"/>
  </r>
  <r>
    <x v="114"/>
    <s v="1810"/>
    <s v="OD16K5817"/>
    <n v="54.6"/>
    <x v="7"/>
    <n v="5500"/>
    <x v="29"/>
  </r>
  <r>
    <x v="114"/>
    <s v="1811"/>
    <s v="OD16K5862"/>
    <n v="54.6"/>
    <x v="7"/>
    <n v="5500"/>
    <x v="29"/>
  </r>
  <r>
    <x v="114"/>
    <s v="1812"/>
    <s v="OD16K0936"/>
    <n v="54.6"/>
    <x v="7"/>
    <n v="5500"/>
    <x v="29"/>
  </r>
  <r>
    <x v="114"/>
    <s v="1813"/>
    <s v="OD16K0964"/>
    <n v="54.6"/>
    <x v="7"/>
    <n v="5500"/>
    <x v="29"/>
  </r>
  <r>
    <x v="114"/>
    <s v="1814"/>
    <s v="OD16K1026"/>
    <n v="54.6"/>
    <x v="7"/>
    <n v="5500"/>
    <x v="29"/>
  </r>
  <r>
    <x v="114"/>
    <s v="1815"/>
    <s v="OD16K1099"/>
    <n v="54.6"/>
    <x v="7"/>
    <n v="5500"/>
    <x v="29"/>
  </r>
  <r>
    <x v="114"/>
    <s v="1816"/>
    <s v="OD16K0904"/>
    <n v="54.6"/>
    <x v="7"/>
    <n v="5500"/>
    <x v="29"/>
  </r>
  <r>
    <x v="114"/>
    <s v="1817"/>
    <s v="OD16K1096"/>
    <n v="54.6"/>
    <x v="7"/>
    <n v="5500"/>
    <x v="29"/>
  </r>
  <r>
    <x v="114"/>
    <s v="1818"/>
    <s v="OD16K1023"/>
    <n v="54.6"/>
    <x v="7"/>
    <n v="5500"/>
    <x v="29"/>
  </r>
  <r>
    <x v="114"/>
    <s v="1819"/>
    <s v="OD16K7108"/>
    <n v="94.3"/>
    <x v="7"/>
    <n v="9500"/>
    <x v="62"/>
  </r>
  <r>
    <x v="114"/>
    <s v="1820"/>
    <s v="OD16K7171"/>
    <n v="94.3"/>
    <x v="7"/>
    <n v="9500"/>
    <x v="62"/>
  </r>
  <r>
    <x v="114"/>
    <s v="1821"/>
    <s v="OD16M0743"/>
    <n v="94.3"/>
    <x v="7"/>
    <n v="9500"/>
    <x v="62"/>
  </r>
  <r>
    <x v="114"/>
    <s v="1822"/>
    <s v="OD16K7176"/>
    <n v="94.3"/>
    <x v="7"/>
    <n v="9500"/>
    <x v="62"/>
  </r>
  <r>
    <x v="114"/>
    <s v="1823"/>
    <s v="OD16K7103"/>
    <n v="94.3"/>
    <x v="7"/>
    <n v="9500"/>
    <x v="62"/>
  </r>
  <r>
    <x v="114"/>
    <s v="1824"/>
    <s v="OD05AN7688"/>
    <n v="400"/>
    <x v="7"/>
    <n v="40296"/>
    <x v="10"/>
  </r>
  <r>
    <x v="114"/>
    <s v="1825"/>
    <s v="HR20BE4625"/>
    <n v="45"/>
    <x v="7"/>
    <n v="4533.3"/>
    <x v="41"/>
  </r>
  <r>
    <x v="114"/>
    <s v="1826"/>
    <s v="OD15AF5510"/>
    <n v="46.47"/>
    <x v="7"/>
    <n v="4681.38"/>
    <x v="3"/>
  </r>
  <r>
    <x v="114"/>
    <s v="1827"/>
    <s v="JH01FS6302"/>
    <n v="30"/>
    <x v="7"/>
    <n v="3022.2"/>
    <x v="5"/>
  </r>
  <r>
    <x v="114"/>
    <s v="1828"/>
    <s v="JH01FS6302"/>
    <n v="20"/>
    <x v="7"/>
    <n v="2014.8"/>
    <x v="5"/>
  </r>
  <r>
    <x v="114"/>
    <s v="1829"/>
    <m/>
    <n v="251.61"/>
    <x v="7"/>
    <n v="25347"/>
    <x v="63"/>
  </r>
  <r>
    <x v="114"/>
    <s v="1830"/>
    <m/>
    <n v="1527.7"/>
    <x v="7"/>
    <n v="153900"/>
    <x v="21"/>
  </r>
  <r>
    <x v="114"/>
    <s v="1831"/>
    <s v="Transporting"/>
    <n v="1474.09"/>
    <x v="7"/>
    <n v="148500"/>
    <x v="8"/>
  </r>
  <r>
    <x v="114"/>
    <s v="1832"/>
    <s v="Consumer"/>
    <n v="89.34"/>
    <x v="7"/>
    <n v="9000"/>
    <x v="8"/>
  </r>
  <r>
    <x v="114"/>
    <s v="1833"/>
    <s v="OD15AF5510"/>
    <n v="297.8"/>
    <x v="7"/>
    <n v="30000"/>
    <x v="66"/>
  </r>
  <r>
    <x v="114"/>
    <s v="1834"/>
    <s v="OD15AF5510"/>
    <n v="1500"/>
    <x v="7"/>
    <n v="151110"/>
    <x v="16"/>
  </r>
  <r>
    <x v="114"/>
    <s v="1835"/>
    <s v="OD15AF5510"/>
    <n v="811.63"/>
    <x v="7"/>
    <n v="81763.61"/>
    <x v="15"/>
  </r>
  <r>
    <x v="114"/>
    <s v="1836"/>
    <s v="OD15AF5510"/>
    <n v="248.16"/>
    <x v="7"/>
    <n v="25000"/>
    <x v="64"/>
  </r>
  <r>
    <x v="115"/>
    <s v="1837"/>
    <s v="OD16K0910"/>
    <n v="54.6"/>
    <x v="7"/>
    <n v="5500"/>
    <x v="29"/>
  </r>
  <r>
    <x v="115"/>
    <s v="1838"/>
    <s v="OD16K6067"/>
    <n v="54.6"/>
    <x v="7"/>
    <n v="5500"/>
    <x v="29"/>
  </r>
  <r>
    <x v="115"/>
    <s v="1839"/>
    <s v="OD16K5809"/>
    <n v="54.6"/>
    <x v="7"/>
    <n v="5500"/>
    <x v="29"/>
  </r>
  <r>
    <x v="115"/>
    <s v="1840"/>
    <s v="OD16K1097"/>
    <n v="54.6"/>
    <x v="7"/>
    <n v="5500"/>
    <x v="29"/>
  </r>
  <r>
    <x v="115"/>
    <s v="1841"/>
    <s v="OD16K5862"/>
    <n v="54.6"/>
    <x v="7"/>
    <n v="5500"/>
    <x v="29"/>
  </r>
  <r>
    <x v="115"/>
    <s v="1842"/>
    <s v="OD16K5817"/>
    <n v="54.6"/>
    <x v="7"/>
    <n v="5500"/>
    <x v="29"/>
  </r>
  <r>
    <x v="115"/>
    <s v="1843"/>
    <s v="OD16K1096"/>
    <n v="54.6"/>
    <x v="7"/>
    <n v="5500"/>
    <x v="29"/>
  </r>
  <r>
    <x v="115"/>
    <s v="1844"/>
    <s v="OD16K1023"/>
    <n v="54.6"/>
    <x v="7"/>
    <n v="5500"/>
    <x v="29"/>
  </r>
  <r>
    <x v="115"/>
    <s v="1845"/>
    <s v="OD16K1072"/>
    <n v="54.6"/>
    <x v="7"/>
    <n v="5500"/>
    <x v="29"/>
  </r>
  <r>
    <x v="115"/>
    <s v="1846"/>
    <s v="OD16K0936"/>
    <n v="54.6"/>
    <x v="7"/>
    <n v="5500"/>
    <x v="29"/>
  </r>
  <r>
    <x v="115"/>
    <s v="1847"/>
    <s v="OD16K1099"/>
    <n v="54.6"/>
    <x v="7"/>
    <n v="5500"/>
    <x v="29"/>
  </r>
  <r>
    <x v="115"/>
    <s v="1848"/>
    <s v="OD05AN7688"/>
    <n v="600"/>
    <x v="7"/>
    <n v="60444"/>
    <x v="10"/>
  </r>
  <r>
    <x v="115"/>
    <s v="1849"/>
    <s v="OD23A3710"/>
    <n v="12000"/>
    <x v="8"/>
    <n v="1194000"/>
    <x v="24"/>
  </r>
  <r>
    <x v="115"/>
    <s v="1850"/>
    <s v="JH01FS6302"/>
    <n v="20"/>
    <x v="7"/>
    <n v="2014.8"/>
    <x v="5"/>
  </r>
  <r>
    <x v="115"/>
    <s v="1851"/>
    <s v="OD15AA4091"/>
    <n v="35"/>
    <x v="7"/>
    <n v="3525.9"/>
    <x v="5"/>
  </r>
  <r>
    <x v="115"/>
    <s v="1852"/>
    <s v="OD15AA4091"/>
    <n v="20"/>
    <x v="7"/>
    <n v="2014.8"/>
    <x v="5"/>
  </r>
  <r>
    <x v="115"/>
    <s v="1853"/>
    <s v="OD16K1072"/>
    <n v="10.92"/>
    <x v="7"/>
    <n v="1100"/>
    <x v="29"/>
  </r>
  <r>
    <x v="115"/>
    <s v="1854"/>
    <m/>
    <n v="20"/>
    <x v="7"/>
    <n v="2014.8"/>
    <x v="26"/>
  </r>
  <r>
    <x v="115"/>
    <s v="1855"/>
    <s v="OD16M0750"/>
    <n v="94.3"/>
    <x v="7"/>
    <n v="9500"/>
    <x v="62"/>
  </r>
  <r>
    <x v="115"/>
    <s v="1856"/>
    <s v="OD16K7170"/>
    <n v="94.3"/>
    <x v="7"/>
    <n v="9500"/>
    <x v="62"/>
  </r>
  <r>
    <x v="115"/>
    <s v="1857"/>
    <s v="OD16K7132"/>
    <n v="94.3"/>
    <x v="7"/>
    <n v="9500"/>
    <x v="62"/>
  </r>
  <r>
    <x v="115"/>
    <s v="1858"/>
    <m/>
    <n v="1027.74"/>
    <x v="7"/>
    <n v="103535"/>
    <x v="63"/>
  </r>
  <r>
    <x v="115"/>
    <s v="1859"/>
    <m/>
    <n v="1381.26"/>
    <x v="7"/>
    <n v="139148.1"/>
    <x v="21"/>
  </r>
  <r>
    <x v="115"/>
    <s v="1860"/>
    <s v="Consumer"/>
    <n v="39.71"/>
    <x v="7"/>
    <n v="4000"/>
    <x v="8"/>
  </r>
  <r>
    <x v="115"/>
    <s v="1861"/>
    <s v="Transporting"/>
    <n v="2162.9899999999998"/>
    <x v="7"/>
    <n v="217900"/>
    <x v="8"/>
  </r>
  <r>
    <x v="115"/>
    <s v="1862"/>
    <s v="OD15AF5510"/>
    <n v="248.16"/>
    <x v="7"/>
    <n v="25000"/>
    <x v="64"/>
  </r>
  <r>
    <x v="115"/>
    <s v="1863"/>
    <s v="OD15AF5510"/>
    <n v="779.93"/>
    <x v="7"/>
    <n v="78570.149999999994"/>
    <x v="15"/>
  </r>
  <r>
    <x v="116"/>
    <s v="1864"/>
    <s v="OR15R5510"/>
    <n v="12000"/>
    <x v="8"/>
    <n v="1194000"/>
    <x v="1"/>
  </r>
  <r>
    <x v="116"/>
    <s v="1865"/>
    <s v="OD16K0904"/>
    <n v="54.6"/>
    <x v="7"/>
    <n v="5500"/>
    <x v="29"/>
  </r>
  <r>
    <x v="116"/>
    <s v="1866"/>
    <s v="OD16K6067"/>
    <n v="54.6"/>
    <x v="7"/>
    <n v="5500"/>
    <x v="29"/>
  </r>
  <r>
    <x v="116"/>
    <s v="1867"/>
    <s v="OD16K5862"/>
    <n v="54.6"/>
    <x v="7"/>
    <n v="5500"/>
    <x v="29"/>
  </r>
  <r>
    <x v="116"/>
    <s v="1868"/>
    <s v="OD16K5809"/>
    <n v="54.6"/>
    <x v="7"/>
    <n v="5500"/>
    <x v="29"/>
  </r>
  <r>
    <x v="116"/>
    <s v="1869"/>
    <s v="OD16K5817"/>
    <n v="54.6"/>
    <x v="7"/>
    <n v="5500"/>
    <x v="29"/>
  </r>
  <r>
    <x v="116"/>
    <s v="1870"/>
    <s v="OD16K1055"/>
    <n v="54.6"/>
    <x v="7"/>
    <n v="5500"/>
    <x v="29"/>
  </r>
  <r>
    <x v="116"/>
    <s v="1871"/>
    <s v="OD16K1097"/>
    <n v="54.6"/>
    <x v="7"/>
    <n v="5500"/>
    <x v="29"/>
  </r>
  <r>
    <x v="116"/>
    <s v="1872"/>
    <s v="OD16K0936"/>
    <n v="54.6"/>
    <x v="7"/>
    <n v="5500"/>
    <x v="29"/>
  </r>
  <r>
    <x v="116"/>
    <s v="1873"/>
    <s v="OD16K1043"/>
    <n v="54.6"/>
    <x v="7"/>
    <n v="5500"/>
    <x v="29"/>
  </r>
  <r>
    <x v="116"/>
    <s v="1874"/>
    <s v="OD16K0910"/>
    <n v="54.6"/>
    <x v="7"/>
    <n v="5500"/>
    <x v="29"/>
  </r>
  <r>
    <x v="116"/>
    <s v="1875"/>
    <s v="OD16K1055"/>
    <n v="10.92"/>
    <x v="7"/>
    <n v="1100"/>
    <x v="29"/>
  </r>
  <r>
    <x v="116"/>
    <s v="1876"/>
    <s v="OD15Y1327"/>
    <n v="600"/>
    <x v="7"/>
    <n v="60444"/>
    <x v="54"/>
  </r>
  <r>
    <x v="116"/>
    <s v="1877"/>
    <s v="Transporting"/>
    <n v="1841.37"/>
    <x v="7"/>
    <n v="185500"/>
    <x v="8"/>
  </r>
  <r>
    <x v="116"/>
    <s v="1878"/>
    <m/>
    <n v="962.32"/>
    <x v="7"/>
    <n v="96944.4"/>
    <x v="21"/>
  </r>
  <r>
    <x v="116"/>
    <s v="1879"/>
    <s v="OD15AF5510"/>
    <n v="248.16"/>
    <x v="7"/>
    <n v="25000"/>
    <x v="64"/>
  </r>
  <r>
    <x v="116"/>
    <s v="1880"/>
    <s v="OD15AF5510"/>
    <n v="738.05"/>
    <x v="7"/>
    <n v="74351.16"/>
    <x v="15"/>
  </r>
  <r>
    <x v="116"/>
    <s v="1881"/>
    <s v="OD15AF5510"/>
    <n v="297.8"/>
    <x v="7"/>
    <n v="30000"/>
    <x v="66"/>
  </r>
  <r>
    <x v="116"/>
    <s v="1882"/>
    <s v="OD23M0874"/>
    <n v="100"/>
    <x v="7"/>
    <n v="10074"/>
    <x v="66"/>
  </r>
  <r>
    <x v="116"/>
    <s v="1883"/>
    <s v="OD15AF5510"/>
    <n v="2000.01"/>
    <x v="7"/>
    <n v="201481.01"/>
    <x v="16"/>
  </r>
  <r>
    <x v="116"/>
    <s v="1884"/>
    <s v="OD15AF5510"/>
    <n v="2500"/>
    <x v="7"/>
    <n v="251850"/>
    <x v="41"/>
  </r>
  <r>
    <x v="116"/>
    <s v="1885"/>
    <m/>
    <n v="37.72"/>
    <x v="7"/>
    <n v="3800"/>
    <x v="61"/>
  </r>
  <r>
    <x v="116"/>
    <s v="1886"/>
    <m/>
    <n v="577.25"/>
    <x v="7"/>
    <n v="58152.18"/>
    <x v="63"/>
  </r>
  <r>
    <x v="116"/>
    <s v="1887"/>
    <s v="OR15R9360"/>
    <n v="18000"/>
    <x v="8"/>
    <n v="1791000"/>
    <x v="0"/>
  </r>
  <r>
    <x v="116"/>
    <s v="1888"/>
    <s v="OR15R1110"/>
    <n v="12000"/>
    <x v="8"/>
    <n v="1194000"/>
    <x v="1"/>
  </r>
  <r>
    <x v="117"/>
    <s v="1889"/>
    <s v="OD16J8242"/>
    <n v="54.6"/>
    <x v="7"/>
    <n v="5500"/>
    <x v="29"/>
  </r>
  <r>
    <x v="117"/>
    <s v="1890"/>
    <s v="OD16K1023"/>
    <n v="54.6"/>
    <x v="7"/>
    <n v="5500"/>
    <x v="29"/>
  </r>
  <r>
    <x v="117"/>
    <s v="1891"/>
    <s v="OD16K1072"/>
    <n v="54.6"/>
    <x v="7"/>
    <n v="5500"/>
    <x v="29"/>
  </r>
  <r>
    <x v="117"/>
    <s v="1892"/>
    <s v="OD16K1096"/>
    <n v="54.6"/>
    <x v="7"/>
    <n v="5500"/>
    <x v="29"/>
  </r>
  <r>
    <x v="117"/>
    <s v="1893"/>
    <s v="OD16J8242"/>
    <n v="11.92"/>
    <x v="7"/>
    <n v="1200"/>
    <x v="29"/>
  </r>
  <r>
    <x v="117"/>
    <s v="1894"/>
    <s v="OD16J8226"/>
    <n v="10.92"/>
    <x v="7"/>
    <n v="1100"/>
    <x v="29"/>
  </r>
  <r>
    <x v="117"/>
    <s v="1895"/>
    <s v="OD16K1092"/>
    <n v="10.92"/>
    <x v="7"/>
    <n v="1100"/>
    <x v="29"/>
  </r>
  <r>
    <x v="117"/>
    <s v="1896"/>
    <s v="OD16K1082"/>
    <n v="10.92"/>
    <x v="7"/>
    <n v="1100"/>
    <x v="29"/>
  </r>
  <r>
    <x v="117"/>
    <s v="1897"/>
    <s v="OD23G4251"/>
    <n v="53.7"/>
    <x v="7"/>
    <n v="5409.73"/>
    <x v="29"/>
  </r>
  <r>
    <x v="117"/>
    <s v="1898"/>
    <s v="OD05AN7688"/>
    <n v="400"/>
    <x v="7"/>
    <n v="40296"/>
    <x v="10"/>
  </r>
  <r>
    <x v="117"/>
    <s v="1899"/>
    <s v="OD16L4114"/>
    <n v="94.3"/>
    <x v="7"/>
    <n v="9500"/>
    <x v="62"/>
  </r>
  <r>
    <x v="117"/>
    <s v="1900"/>
    <s v="OD16L8463"/>
    <n v="94.3"/>
    <x v="7"/>
    <n v="9500"/>
    <x v="62"/>
  </r>
  <r>
    <x v="117"/>
    <s v="1901"/>
    <s v="JH01FS6302"/>
    <n v="45.38"/>
    <x v="7"/>
    <n v="4571.58"/>
    <x v="5"/>
  </r>
  <r>
    <x v="117"/>
    <s v="1902"/>
    <s v="OD15AA4091"/>
    <n v="50.39"/>
    <x v="7"/>
    <n v="5076.28"/>
    <x v="5"/>
  </r>
  <r>
    <x v="117"/>
    <s v="1903"/>
    <s v="OD15AA4091"/>
    <n v="50"/>
    <x v="7"/>
    <n v="5037"/>
    <x v="5"/>
  </r>
  <r>
    <x v="117"/>
    <s v="1904"/>
    <s v="OD15U5910"/>
    <n v="93.75"/>
    <x v="7"/>
    <n v="9444.3700000000008"/>
    <x v="5"/>
  </r>
  <r>
    <x v="117"/>
    <s v="1905"/>
    <m/>
    <n v="397.01"/>
    <x v="7"/>
    <n v="39994.42"/>
    <x v="63"/>
  </r>
  <r>
    <x v="117"/>
    <s v="1906"/>
    <m/>
    <n v="112.17"/>
    <x v="7"/>
    <n v="11300"/>
    <x v="61"/>
  </r>
  <r>
    <x v="117"/>
    <s v="1907"/>
    <s v="OD15AF5510"/>
    <n v="1251.3"/>
    <x v="7"/>
    <n v="126055.96"/>
    <x v="15"/>
  </r>
  <r>
    <x v="117"/>
    <s v="1908"/>
    <s v="OD15AF5510"/>
    <n v="197.8"/>
    <x v="7"/>
    <n v="19926"/>
    <x v="66"/>
  </r>
  <r>
    <x v="117"/>
    <s v="1909"/>
    <m/>
    <n v="995.63"/>
    <x v="7"/>
    <n v="100300"/>
    <x v="21"/>
  </r>
  <r>
    <x v="117"/>
    <s v="1910"/>
    <s v="Transporting"/>
    <n v="1934.68"/>
    <x v="7"/>
    <n v="194900"/>
    <x v="8"/>
  </r>
  <r>
    <x v="117"/>
    <s v="1911"/>
    <s v="OD15AF5510"/>
    <n v="1500"/>
    <x v="9"/>
    <n v="150360"/>
    <x v="16"/>
  </r>
  <r>
    <x v="118"/>
    <s v="1912"/>
    <s v="OD16K5862"/>
    <n v="54.6"/>
    <x v="7"/>
    <n v="5500"/>
    <x v="29"/>
  </r>
  <r>
    <x v="118"/>
    <s v="1913"/>
    <s v="OD16K1092"/>
    <n v="54.6"/>
    <x v="7"/>
    <n v="5500"/>
    <x v="29"/>
  </r>
  <r>
    <x v="118"/>
    <s v="1914"/>
    <s v="OD16K0936"/>
    <n v="54.6"/>
    <x v="7"/>
    <n v="5500"/>
    <x v="29"/>
  </r>
  <r>
    <x v="118"/>
    <s v="1915"/>
    <s v="OD16K0910"/>
    <n v="54.6"/>
    <x v="7"/>
    <n v="5500"/>
    <x v="29"/>
  </r>
  <r>
    <x v="118"/>
    <s v="1916"/>
    <s v="OD16K6067"/>
    <n v="54.6"/>
    <x v="7"/>
    <n v="5500"/>
    <x v="29"/>
  </r>
  <r>
    <x v="118"/>
    <s v="1917"/>
    <s v="OD16K1043"/>
    <n v="54.6"/>
    <x v="7"/>
    <n v="5500"/>
    <x v="29"/>
  </r>
  <r>
    <x v="118"/>
    <s v="1918"/>
    <s v="OD16K1099"/>
    <n v="54.6"/>
    <x v="7"/>
    <n v="5500"/>
    <x v="29"/>
  </r>
  <r>
    <x v="118"/>
    <s v="1919"/>
    <s v="OD16K5809"/>
    <n v="54.6"/>
    <x v="7"/>
    <n v="5500"/>
    <x v="29"/>
  </r>
  <r>
    <x v="118"/>
    <s v="1920"/>
    <s v="OD16K1097"/>
    <n v="54.6"/>
    <x v="7"/>
    <n v="5500"/>
    <x v="29"/>
  </r>
  <r>
    <x v="118"/>
    <s v="1921"/>
    <s v="OD16K1072"/>
    <n v="54.6"/>
    <x v="7"/>
    <n v="5500"/>
    <x v="29"/>
  </r>
  <r>
    <x v="118"/>
    <s v="1922"/>
    <s v="OD16K0904"/>
    <n v="54.6"/>
    <x v="7"/>
    <n v="5500"/>
    <x v="29"/>
  </r>
  <r>
    <x v="118"/>
    <s v="1923"/>
    <s v="OD16J8226"/>
    <n v="54.6"/>
    <x v="7"/>
    <n v="5500"/>
    <x v="29"/>
  </r>
  <r>
    <x v="118"/>
    <s v="1924"/>
    <s v="OD16J8242"/>
    <n v="54.6"/>
    <x v="7"/>
    <n v="5500"/>
    <x v="29"/>
  </r>
  <r>
    <x v="118"/>
    <s v="1925"/>
    <s v="OD16K1023"/>
    <n v="54.6"/>
    <x v="7"/>
    <n v="5500"/>
    <x v="29"/>
  </r>
  <r>
    <x v="118"/>
    <s v="1926"/>
    <s v="OD16K5817"/>
    <n v="54.6"/>
    <x v="7"/>
    <n v="5500"/>
    <x v="29"/>
  </r>
  <r>
    <x v="118"/>
    <s v="1927"/>
    <s v="OD16K1096"/>
    <n v="54.6"/>
    <x v="7"/>
    <n v="5500"/>
    <x v="29"/>
  </r>
  <r>
    <x v="118"/>
    <s v="1928"/>
    <s v="OD16K1082"/>
    <n v="29.78"/>
    <x v="7"/>
    <n v="3000"/>
    <x v="29"/>
  </r>
  <r>
    <x v="118"/>
    <s v="1929"/>
    <s v="OD23M0874"/>
    <n v="225.89"/>
    <x v="7"/>
    <n v="22756.15"/>
    <x v="66"/>
  </r>
  <r>
    <x v="118"/>
    <s v="1930"/>
    <s v="OD15K2690"/>
    <n v="99"/>
    <x v="7"/>
    <n v="9973.26"/>
    <x v="38"/>
  </r>
  <r>
    <x v="118"/>
    <s v="1931"/>
    <s v="NL01AJ8743"/>
    <n v="367.31"/>
    <x v="7"/>
    <n v="37002.800000000003"/>
    <x v="25"/>
  </r>
  <r>
    <x v="118"/>
    <s v="1932"/>
    <m/>
    <n v="43.68"/>
    <x v="7"/>
    <n v="4400"/>
    <x v="7"/>
  </r>
  <r>
    <x v="118"/>
    <s v="1933"/>
    <m/>
    <n v="625.44000000000005"/>
    <x v="7"/>
    <n v="63007"/>
    <x v="63"/>
  </r>
  <r>
    <x v="118"/>
    <s v="1934"/>
    <m/>
    <n v="38.85"/>
    <x v="7"/>
    <n v="3914"/>
    <x v="61"/>
  </r>
  <r>
    <x v="118"/>
    <s v="1935"/>
    <s v="OD15AF5510"/>
    <n v="1985.99"/>
    <x v="7"/>
    <n v="200068.63"/>
    <x v="15"/>
  </r>
  <r>
    <x v="118"/>
    <s v="1936"/>
    <s v="OD15AF5510"/>
    <n v="99.27"/>
    <x v="7"/>
    <n v="10000"/>
    <x v="64"/>
  </r>
  <r>
    <x v="118"/>
    <s v="1937"/>
    <m/>
    <n v="2345.58"/>
    <x v="7"/>
    <n v="236293.98"/>
    <x v="21"/>
  </r>
  <r>
    <x v="118"/>
    <s v="1938"/>
    <s v="Transporting"/>
    <n v="1804.65"/>
    <x v="7"/>
    <n v="181800"/>
    <x v="8"/>
  </r>
  <r>
    <x v="119"/>
    <s v="1939"/>
    <s v="OD15AF5510"/>
    <n v="3000"/>
    <x v="7"/>
    <n v="302220"/>
    <x v="50"/>
  </r>
  <r>
    <x v="119"/>
    <s v="1940"/>
    <s v="OR15R9360"/>
    <n v="18000"/>
    <x v="8"/>
    <n v="1791000"/>
    <x v="1"/>
  </r>
  <r>
    <x v="119"/>
    <s v="1941"/>
    <s v="OD23N5311"/>
    <n v="1200"/>
    <x v="7"/>
    <n v="120888"/>
    <x v="33"/>
  </r>
  <r>
    <x v="119"/>
    <s v="1942"/>
    <s v="OD15AA4091"/>
    <n v="42.19"/>
    <x v="7"/>
    <n v="4250.22"/>
    <x v="5"/>
  </r>
  <r>
    <x v="119"/>
    <s v="1943"/>
    <m/>
    <n v="14.89"/>
    <x v="7"/>
    <n v="1500"/>
    <x v="61"/>
  </r>
  <r>
    <x v="119"/>
    <s v="1944"/>
    <m/>
    <n v="321.54000000000002"/>
    <x v="7"/>
    <n v="32392"/>
    <x v="63"/>
  </r>
  <r>
    <x v="119"/>
    <s v="1945"/>
    <s v="OD15AF5510"/>
    <n v="200.95"/>
    <x v="7"/>
    <n v="20243.98"/>
    <x v="66"/>
  </r>
  <r>
    <x v="119"/>
    <s v="1946"/>
    <s v="OD15AF5510"/>
    <n v="2100"/>
    <x v="9"/>
    <n v="210504"/>
    <x v="16"/>
  </r>
  <r>
    <x v="119"/>
    <s v="1947"/>
    <s v="OD15AF5510"/>
    <n v="1178.26"/>
    <x v="7"/>
    <n v="118697.91"/>
    <x v="15"/>
  </r>
  <r>
    <x v="119"/>
    <s v="1948"/>
    <s v="OD15AF5510"/>
    <n v="198.53"/>
    <x v="7"/>
    <n v="20000"/>
    <x v="64"/>
  </r>
  <r>
    <x v="119"/>
    <s v="1949"/>
    <m/>
    <n v="148.9"/>
    <x v="7"/>
    <n v="15000"/>
    <x v="7"/>
  </r>
  <r>
    <x v="119"/>
    <s v="1950"/>
    <m/>
    <n v="1770.73"/>
    <x v="7"/>
    <n v="178383.12"/>
    <x v="21"/>
  </r>
  <r>
    <x v="119"/>
    <s v="1951"/>
    <s v="Transporting"/>
    <n v="2235.46"/>
    <x v="7"/>
    <n v="225200"/>
    <x v="8"/>
  </r>
  <r>
    <x v="119"/>
    <s v="1952"/>
    <s v="OD23A3710"/>
    <n v="12000"/>
    <x v="8"/>
    <n v="1194000"/>
    <x v="24"/>
  </r>
  <r>
    <x v="120"/>
    <s v="1953"/>
    <s v="OR15R1110"/>
    <n v="12000"/>
    <x v="8"/>
    <n v="1194000"/>
    <x v="0"/>
  </r>
  <r>
    <x v="120"/>
    <s v="1954"/>
    <s v="OR15R5510"/>
    <n v="12000"/>
    <x v="8"/>
    <n v="1194000"/>
    <x v="1"/>
  </r>
  <r>
    <x v="120"/>
    <s v="1955"/>
    <m/>
    <n v="39.71"/>
    <x v="7"/>
    <n v="4000"/>
    <x v="61"/>
  </r>
  <r>
    <x v="120"/>
    <s v="1956"/>
    <m/>
    <n v="713.38"/>
    <x v="7"/>
    <n v="71866"/>
    <x v="63"/>
  </r>
  <r>
    <x v="120"/>
    <s v="1957"/>
    <s v="Consumer"/>
    <n v="28.39"/>
    <x v="7"/>
    <n v="2860"/>
    <x v="8"/>
  </r>
  <r>
    <x v="120"/>
    <s v="1958"/>
    <s v="Transporting"/>
    <n v="1579.31"/>
    <x v="7"/>
    <n v="159100"/>
    <x v="8"/>
  </r>
  <r>
    <x v="120"/>
    <s v="1959"/>
    <m/>
    <n v="1759.05"/>
    <x v="7"/>
    <n v="177206.8"/>
    <x v="21"/>
  </r>
  <r>
    <x v="120"/>
    <s v="1960"/>
    <s v="OD15AF5510"/>
    <n v="99.27"/>
    <x v="7"/>
    <n v="10000"/>
    <x v="64"/>
  </r>
  <r>
    <x v="120"/>
    <s v="1961"/>
    <s v="OD15AF5510"/>
    <n v="614.9"/>
    <x v="7"/>
    <n v="61945.03"/>
    <x v="15"/>
  </r>
  <r>
    <x v="120"/>
    <s v="1962"/>
    <s v="OD15AF5510"/>
    <n v="2000"/>
    <x v="7"/>
    <n v="201480"/>
    <x v="41"/>
  </r>
  <r>
    <x v="120"/>
    <s v="1963"/>
    <s v="HR20BE4625"/>
    <n v="44.84"/>
    <x v="7"/>
    <n v="4517.18"/>
    <x v="41"/>
  </r>
  <r>
    <x v="120"/>
    <s v="1964"/>
    <s v="OD23M0874"/>
    <n v="297.8"/>
    <x v="7"/>
    <n v="30000"/>
    <x v="66"/>
  </r>
  <r>
    <x v="120"/>
    <s v="1965"/>
    <s v="MP66ZB9863"/>
    <n v="148.9"/>
    <x v="7"/>
    <n v="15000"/>
    <x v="64"/>
  </r>
  <r>
    <x v="120"/>
    <s v="1966"/>
    <s v="OD23A8210"/>
    <n v="49"/>
    <x v="7"/>
    <n v="4936.26"/>
    <x v="2"/>
  </r>
  <r>
    <x v="120"/>
    <s v="1967"/>
    <s v="OR15Q6155"/>
    <n v="30"/>
    <x v="7"/>
    <n v="3022.2"/>
    <x v="38"/>
  </r>
  <r>
    <x v="120"/>
    <s v="1968"/>
    <s v="OD15U5910"/>
    <n v="98.35"/>
    <x v="7"/>
    <n v="9907.77"/>
    <x v="5"/>
  </r>
  <r>
    <x v="120"/>
    <s v="1969"/>
    <s v="OD19AA4091"/>
    <n v="50"/>
    <x v="7"/>
    <n v="5037"/>
    <x v="5"/>
  </r>
  <r>
    <x v="120"/>
    <s v="1970"/>
    <s v="JH01FS6302"/>
    <n v="51.33"/>
    <x v="7"/>
    <n v="5170.9799999999996"/>
    <x v="5"/>
  </r>
  <r>
    <x v="120"/>
    <s v="1971"/>
    <s v="OD16K0910"/>
    <n v="64.52"/>
    <x v="7"/>
    <n v="6500"/>
    <x v="29"/>
  </r>
  <r>
    <x v="120"/>
    <s v="1972"/>
    <s v="OD16K1023"/>
    <n v="64.52"/>
    <x v="7"/>
    <n v="6500"/>
    <x v="29"/>
  </r>
  <r>
    <x v="120"/>
    <s v="1973"/>
    <s v="OD16K1096"/>
    <n v="64.52"/>
    <x v="7"/>
    <n v="6500"/>
    <x v="29"/>
  </r>
  <r>
    <x v="120"/>
    <s v="1974"/>
    <s v="OD16K0904"/>
    <n v="64.52"/>
    <x v="7"/>
    <n v="6500"/>
    <x v="29"/>
  </r>
  <r>
    <x v="120"/>
    <s v="1975"/>
    <s v="OD16J8242"/>
    <n v="64.52"/>
    <x v="7"/>
    <n v="6500"/>
    <x v="29"/>
  </r>
  <r>
    <x v="120"/>
    <s v="1976"/>
    <s v="OD16J8226"/>
    <n v="64.52"/>
    <x v="7"/>
    <n v="6500"/>
    <x v="29"/>
  </r>
  <r>
    <x v="120"/>
    <s v="1977"/>
    <s v="OD16K1055"/>
    <n v="10.92"/>
    <x v="7"/>
    <n v="1100"/>
    <x v="29"/>
  </r>
  <r>
    <x v="120"/>
    <s v="1978"/>
    <s v="OD23S0027"/>
    <n v="47.77"/>
    <x v="7"/>
    <n v="4812.34"/>
    <x v="29"/>
  </r>
  <r>
    <x v="120"/>
    <s v="1979"/>
    <s v="OD16K1097"/>
    <n v="54.6"/>
    <x v="7"/>
    <n v="5500"/>
    <x v="29"/>
  </r>
  <r>
    <x v="120"/>
    <s v="1980"/>
    <s v="OD16K1082"/>
    <n v="54.6"/>
    <x v="7"/>
    <n v="5500"/>
    <x v="29"/>
  </r>
  <r>
    <x v="120"/>
    <s v="1981"/>
    <s v="OD16K5809"/>
    <n v="54.6"/>
    <x v="7"/>
    <n v="5500"/>
    <x v="29"/>
  </r>
  <r>
    <x v="120"/>
    <s v="1982"/>
    <s v="OD16K1072"/>
    <n v="54.6"/>
    <x v="7"/>
    <n v="5500"/>
    <x v="29"/>
  </r>
  <r>
    <x v="120"/>
    <s v="1983"/>
    <s v="OD16K1043"/>
    <n v="54.6"/>
    <x v="7"/>
    <n v="5500"/>
    <x v="29"/>
  </r>
  <r>
    <x v="120"/>
    <s v="1984"/>
    <s v="OD16K5862"/>
    <n v="54.6"/>
    <x v="7"/>
    <n v="5500"/>
    <x v="29"/>
  </r>
  <r>
    <x v="120"/>
    <s v="1985"/>
    <s v="OD16K1092"/>
    <n v="54.6"/>
    <x v="7"/>
    <n v="5500"/>
    <x v="29"/>
  </r>
  <r>
    <x v="120"/>
    <s v="1986"/>
    <s v="OD16K0936"/>
    <n v="54.6"/>
    <x v="7"/>
    <n v="5500"/>
    <x v="29"/>
  </r>
  <r>
    <x v="120"/>
    <s v="1987"/>
    <s v="OD16K6067"/>
    <n v="54.6"/>
    <x v="7"/>
    <n v="5500"/>
    <x v="29"/>
  </r>
  <r>
    <x v="120"/>
    <s v="1988"/>
    <s v="OD16K5817"/>
    <n v="54.6"/>
    <x v="7"/>
    <n v="5500"/>
    <x v="29"/>
  </r>
  <r>
    <x v="120"/>
    <s v="1989"/>
    <s v="OD16K1099"/>
    <n v="54.6"/>
    <x v="7"/>
    <n v="5500"/>
    <x v="29"/>
  </r>
  <r>
    <x v="121"/>
    <s v="1990"/>
    <s v="OD15AF5510"/>
    <n v="3000"/>
    <x v="7"/>
    <n v="302220"/>
    <x v="50"/>
  </r>
  <r>
    <x v="121"/>
    <s v="1991"/>
    <s v="OR15R1110"/>
    <n v="4000"/>
    <x v="8"/>
    <n v="398000"/>
    <x v="40"/>
  </r>
  <r>
    <x v="121"/>
    <s v="1992"/>
    <s v="OR15R1110"/>
    <n v="4000"/>
    <x v="8"/>
    <n v="398000"/>
    <x v="30"/>
  </r>
  <r>
    <x v="121"/>
    <s v="1993"/>
    <s v="OR15R1110"/>
    <n v="4000"/>
    <x v="8"/>
    <n v="398000"/>
    <x v="49"/>
  </r>
  <r>
    <x v="121"/>
    <s v="1994"/>
    <s v="OD23A3710"/>
    <n v="4000"/>
    <x v="8"/>
    <n v="398000"/>
    <x v="40"/>
  </r>
  <r>
    <x v="121"/>
    <s v="1995"/>
    <s v="OD23A3710"/>
    <n v="4000"/>
    <x v="8"/>
    <n v="398000"/>
    <x v="30"/>
  </r>
  <r>
    <x v="121"/>
    <s v="1996"/>
    <s v="OD23A3710"/>
    <n v="4000"/>
    <x v="8"/>
    <n v="398000"/>
    <x v="49"/>
  </r>
  <r>
    <x v="121"/>
    <s v="1997"/>
    <s v="OD23H7806"/>
    <n v="600"/>
    <x v="7"/>
    <n v="60444"/>
    <x v="12"/>
  </r>
  <r>
    <x v="121"/>
    <s v="1998"/>
    <s v="OD15AF5510"/>
    <n v="297.8"/>
    <x v="7"/>
    <n v="30000"/>
    <x v="66"/>
  </r>
  <r>
    <x v="121"/>
    <s v="1999"/>
    <s v="OD15AF5510"/>
    <n v="1999.82"/>
    <x v="9"/>
    <n v="200461.96"/>
    <x v="16"/>
  </r>
  <r>
    <x v="121"/>
    <s v="2000"/>
    <s v="OD15AF5510"/>
    <n v="248.16"/>
    <x v="7"/>
    <n v="25000"/>
    <x v="64"/>
  </r>
  <r>
    <x v="121"/>
    <s v="2001"/>
    <s v="OD15AF5510"/>
    <n v="1144.95"/>
    <x v="7"/>
    <n v="115342.26"/>
    <x v="15"/>
  </r>
  <r>
    <x v="121"/>
    <s v="2002"/>
    <m/>
    <n v="2222.06"/>
    <x v="7"/>
    <n v="223850.31"/>
    <x v="21"/>
  </r>
  <r>
    <x v="121"/>
    <s v="2003"/>
    <m/>
    <n v="503.49"/>
    <x v="7"/>
    <n v="50721.85"/>
    <x v="7"/>
  </r>
  <r>
    <x v="121"/>
    <s v="2004"/>
    <m/>
    <n v="807.57"/>
    <x v="7"/>
    <n v="81355"/>
    <x v="63"/>
  </r>
  <r>
    <x v="121"/>
    <s v="2005"/>
    <s v="Transporting"/>
    <n v="2405.1999999999998"/>
    <x v="7"/>
    <n v="242300"/>
    <x v="8"/>
  </r>
  <r>
    <x v="121"/>
    <s v="2006"/>
    <s v="OD15Y1327"/>
    <n v="600"/>
    <x v="7"/>
    <n v="60444"/>
    <x v="54"/>
  </r>
  <r>
    <x v="121"/>
    <s v="2007"/>
    <s v="OD15X8293"/>
    <n v="40"/>
    <x v="7"/>
    <n v="4029.6"/>
    <x v="38"/>
  </r>
  <r>
    <x v="121"/>
    <s v="2008"/>
    <s v="New Tractor"/>
    <n v="10"/>
    <x v="7"/>
    <n v="1007.4"/>
    <x v="38"/>
  </r>
  <r>
    <x v="121"/>
    <s v="2009"/>
    <s v="OD15Z1430"/>
    <n v="10"/>
    <x v="7"/>
    <n v="1007.4"/>
    <x v="38"/>
  </r>
  <r>
    <x v="121"/>
    <s v="2010"/>
    <s v="OD16K1099"/>
    <n v="54.6"/>
    <x v="7"/>
    <n v="5500"/>
    <x v="29"/>
  </r>
  <r>
    <x v="121"/>
    <s v="2011"/>
    <s v="OD16K1096"/>
    <n v="54.6"/>
    <x v="7"/>
    <n v="5500"/>
    <x v="29"/>
  </r>
  <r>
    <x v="121"/>
    <s v="2012"/>
    <s v="OD16J8226"/>
    <n v="54.6"/>
    <x v="7"/>
    <n v="5500"/>
    <x v="29"/>
  </r>
  <r>
    <x v="121"/>
    <s v="2013"/>
    <s v="OD16K1055"/>
    <n v="54.6"/>
    <x v="7"/>
    <n v="5500"/>
    <x v="29"/>
  </r>
  <r>
    <x v="121"/>
    <s v="2014"/>
    <s v="OD16K1023"/>
    <n v="54.6"/>
    <x v="7"/>
    <n v="5500"/>
    <x v="29"/>
  </r>
  <r>
    <x v="121"/>
    <s v="2015"/>
    <s v="OD16K0904"/>
    <n v="54.6"/>
    <x v="7"/>
    <n v="5500"/>
    <x v="29"/>
  </r>
  <r>
    <x v="121"/>
    <s v="2016"/>
    <s v="OD16K0910"/>
    <n v="54.6"/>
    <x v="7"/>
    <n v="5500"/>
    <x v="29"/>
  </r>
  <r>
    <x v="121"/>
    <s v="2017"/>
    <s v="OD16K0936"/>
    <n v="54.6"/>
    <x v="7"/>
    <n v="5500"/>
    <x v="29"/>
  </r>
  <r>
    <x v="121"/>
    <s v="2018"/>
    <s v="OD16K5817"/>
    <n v="54.6"/>
    <x v="7"/>
    <n v="5500"/>
    <x v="29"/>
  </r>
  <r>
    <x v="121"/>
    <s v="2019"/>
    <s v="OD16J8226"/>
    <n v="20"/>
    <x v="7"/>
    <n v="2014.8"/>
    <x v="29"/>
  </r>
  <r>
    <x v="122"/>
    <s v="2020"/>
    <s v="OD16K1023"/>
    <n v="20"/>
    <x v="7"/>
    <n v="2014.8"/>
    <x v="29"/>
  </r>
  <r>
    <x v="122"/>
    <s v="2021"/>
    <s v="OD16K1043"/>
    <n v="54.6"/>
    <x v="7"/>
    <n v="5500"/>
    <x v="29"/>
  </r>
  <r>
    <x v="122"/>
    <s v="2022"/>
    <s v="OD16K1072"/>
    <n v="54.6"/>
    <x v="7"/>
    <n v="5500"/>
    <x v="29"/>
  </r>
  <r>
    <x v="122"/>
    <s v="2023"/>
    <s v="OD23G4251"/>
    <n v="48.94"/>
    <x v="7"/>
    <n v="4930.21"/>
    <x v="29"/>
  </r>
  <r>
    <x v="122"/>
    <s v="2024"/>
    <s v="OD16K1097"/>
    <n v="54.6"/>
    <x v="7"/>
    <n v="5500"/>
    <x v="29"/>
  </r>
  <r>
    <x v="122"/>
    <s v="2025"/>
    <s v="OD16K1092"/>
    <n v="54.6"/>
    <x v="7"/>
    <n v="5500"/>
    <x v="29"/>
  </r>
  <r>
    <x v="122"/>
    <s v="2026"/>
    <s v="OD16K5862"/>
    <n v="54.6"/>
    <x v="7"/>
    <n v="5500"/>
    <x v="29"/>
  </r>
  <r>
    <x v="122"/>
    <s v="2027"/>
    <s v="OD16K5809"/>
    <n v="54.6"/>
    <x v="7"/>
    <n v="5500"/>
    <x v="29"/>
  </r>
  <r>
    <x v="122"/>
    <s v="2028"/>
    <s v="OD16K1099"/>
    <n v="54.6"/>
    <x v="7"/>
    <n v="5500"/>
    <x v="29"/>
  </r>
  <r>
    <x v="122"/>
    <s v="2029"/>
    <s v="OD16K0910"/>
    <n v="54.6"/>
    <x v="7"/>
    <n v="5500"/>
    <x v="29"/>
  </r>
  <r>
    <x v="122"/>
    <s v="2030"/>
    <s v="JH10DE7228"/>
    <n v="235.76"/>
    <x v="7"/>
    <n v="23750.46"/>
    <x v="25"/>
  </r>
  <r>
    <x v="122"/>
    <s v="2031"/>
    <s v="OD23U8210"/>
    <n v="200"/>
    <x v="7"/>
    <n v="20148"/>
    <x v="3"/>
  </r>
  <r>
    <x v="122"/>
    <s v="2032"/>
    <s v="JH01FS6302"/>
    <n v="35"/>
    <x v="7"/>
    <n v="3525.9"/>
    <x v="5"/>
  </r>
  <r>
    <x v="122"/>
    <s v="2033"/>
    <s v="OD15Z1430"/>
    <n v="20"/>
    <x v="7"/>
    <n v="2014.8"/>
    <x v="38"/>
  </r>
  <r>
    <x v="122"/>
    <s v="2034"/>
    <s v="MP66ZB9863"/>
    <n v="49.63"/>
    <x v="7"/>
    <n v="5000"/>
    <x v="64"/>
  </r>
  <r>
    <x v="122"/>
    <s v="2035"/>
    <s v="OD15AF5510"/>
    <n v="198.53"/>
    <x v="7"/>
    <n v="20000"/>
    <x v="64"/>
  </r>
  <r>
    <x v="122"/>
    <s v="2036"/>
    <m/>
    <n v="1275.46"/>
    <x v="7"/>
    <n v="128489.68"/>
    <x v="21"/>
  </r>
  <r>
    <x v="122"/>
    <s v="2037"/>
    <s v="Transporting"/>
    <n v="1523.72"/>
    <x v="7"/>
    <n v="153500"/>
    <x v="8"/>
  </r>
  <r>
    <x v="122"/>
    <s v="2038"/>
    <s v="Consumer"/>
    <n v="150.44"/>
    <x v="7"/>
    <n v="15155.26"/>
    <x v="8"/>
  </r>
  <r>
    <x v="122"/>
    <s v="2039"/>
    <m/>
    <n v="248.16"/>
    <x v="7"/>
    <n v="25000"/>
    <x v="7"/>
  </r>
  <r>
    <x v="122"/>
    <s v="2040"/>
    <m/>
    <n v="866.93"/>
    <x v="7"/>
    <n v="87335"/>
    <x v="63"/>
  </r>
  <r>
    <x v="122"/>
    <s v="2041"/>
    <s v="OD15AF5510"/>
    <n v="1147.03"/>
    <x v="7"/>
    <n v="115551.8"/>
    <x v="15"/>
  </r>
  <r>
    <x v="122"/>
    <s v="2042"/>
    <s v="OD15AF5510"/>
    <n v="1923.51"/>
    <x v="7"/>
    <n v="193774.4"/>
    <x v="41"/>
  </r>
  <r>
    <x v="123"/>
    <s v="2043"/>
    <s v="OR15R1110"/>
    <n v="12000"/>
    <x v="8"/>
    <n v="1194000"/>
    <x v="24"/>
  </r>
  <r>
    <x v="123"/>
    <s v="2044"/>
    <s v="OR15R9360"/>
    <n v="2000"/>
    <x v="8"/>
    <n v="199000"/>
    <x v="0"/>
  </r>
  <r>
    <x v="123"/>
    <s v="2045"/>
    <s v="OR15R9360"/>
    <n v="16000"/>
    <x v="8"/>
    <n v="1592000"/>
    <x v="0"/>
  </r>
  <r>
    <x v="123"/>
    <s v="2046"/>
    <m/>
    <n v="772.04"/>
    <x v="7"/>
    <n v="77775"/>
    <x v="63"/>
  </r>
  <r>
    <x v="123"/>
    <s v="2047"/>
    <m/>
    <n v="565.80999999999995"/>
    <x v="7"/>
    <n v="57000"/>
    <x v="7"/>
  </r>
  <r>
    <x v="123"/>
    <s v="2048"/>
    <s v="OD15AF5510"/>
    <n v="2000"/>
    <x v="9"/>
    <n v="200480"/>
    <x v="16"/>
  </r>
  <r>
    <x v="123"/>
    <s v="2049"/>
    <s v="OD15AF5510"/>
    <n v="843.67"/>
    <x v="7"/>
    <n v="84991.32"/>
    <x v="15"/>
  </r>
  <r>
    <x v="123"/>
    <s v="2050"/>
    <m/>
    <n v="1471.97"/>
    <x v="7"/>
    <n v="148285.88"/>
    <x v="21"/>
  </r>
  <r>
    <x v="123"/>
    <s v="2051"/>
    <s v="Transporting"/>
    <n v="2707.96"/>
    <x v="7"/>
    <n v="272800"/>
    <x v="8"/>
  </r>
  <r>
    <x v="123"/>
    <s v="2052"/>
    <s v="Consumer"/>
    <n v="89.34"/>
    <x v="7"/>
    <n v="9000"/>
    <x v="8"/>
  </r>
  <r>
    <x v="123"/>
    <s v="2053"/>
    <s v="OD15U5910"/>
    <n v="94.25"/>
    <x v="7"/>
    <n v="9494.74"/>
    <x v="5"/>
  </r>
  <r>
    <x v="123"/>
    <s v="2054"/>
    <s v="JH01FS6302"/>
    <n v="49.47"/>
    <x v="7"/>
    <n v="4983.6000000000004"/>
    <x v="5"/>
  </r>
  <r>
    <x v="123"/>
    <s v="2055"/>
    <s v="OD15AA4091"/>
    <n v="50.65"/>
    <x v="7"/>
    <n v="5102.4799999999996"/>
    <x v="5"/>
  </r>
  <r>
    <x v="123"/>
    <s v="2056"/>
    <s v="OD23H9543"/>
    <n v="272.99"/>
    <x v="7"/>
    <n v="27501.01"/>
    <x v="25"/>
  </r>
  <r>
    <x v="123"/>
    <s v="2057"/>
    <s v="OR15R1110"/>
    <n v="200"/>
    <x v="7"/>
    <n v="20148"/>
    <x v="3"/>
  </r>
  <r>
    <x v="123"/>
    <s v="2058"/>
    <s v="OD15AF5510"/>
    <n v="44.4"/>
    <x v="7"/>
    <n v="4472.8500000000004"/>
    <x v="3"/>
  </r>
  <r>
    <x v="123"/>
    <s v="2059"/>
    <s v="OD16D6515"/>
    <n v="27.8"/>
    <x v="7"/>
    <n v="2800"/>
    <x v="60"/>
  </r>
  <r>
    <x v="123"/>
    <s v="2060"/>
    <s v="OD16D7087"/>
    <n v="27.8"/>
    <x v="7"/>
    <n v="2800"/>
    <x v="60"/>
  </r>
  <r>
    <x v="123"/>
    <s v="2061"/>
    <s v="OD16D7070"/>
    <n v="27.8"/>
    <x v="7"/>
    <n v="2800"/>
    <x v="60"/>
  </r>
  <r>
    <x v="123"/>
    <s v="2062"/>
    <s v="OD16D9642"/>
    <n v="27.8"/>
    <x v="7"/>
    <n v="2800"/>
    <x v="60"/>
  </r>
  <r>
    <x v="123"/>
    <s v="2063"/>
    <s v="OD16D7103"/>
    <n v="27.8"/>
    <x v="7"/>
    <n v="2800"/>
    <x v="60"/>
  </r>
  <r>
    <x v="123"/>
    <s v="2064"/>
    <s v="OD16E9647"/>
    <n v="27.8"/>
    <x v="7"/>
    <n v="2800"/>
    <x v="60"/>
  </r>
  <r>
    <x v="124"/>
    <s v="2065"/>
    <s v="OD23A3710"/>
    <n v="12000"/>
    <x v="8"/>
    <n v="1194000"/>
    <x v="24"/>
  </r>
  <r>
    <x v="124"/>
    <s v="2066"/>
    <s v="OR15R5510"/>
    <n v="12000"/>
    <x v="8"/>
    <n v="1194000"/>
    <x v="1"/>
  </r>
  <r>
    <x v="124"/>
    <s v="2067"/>
    <s v="OD15AF5510"/>
    <n v="1148.71"/>
    <x v="7"/>
    <n v="115721.05"/>
    <x v="15"/>
  </r>
  <r>
    <x v="124"/>
    <s v="2068"/>
    <s v="OD15AF5510"/>
    <n v="248.16"/>
    <x v="7"/>
    <n v="25000"/>
    <x v="64"/>
  </r>
  <r>
    <x v="124"/>
    <s v="2069"/>
    <s v="DG"/>
    <n v="20"/>
    <x v="7"/>
    <n v="2014.8"/>
    <x v="26"/>
  </r>
  <r>
    <x v="124"/>
    <s v="2070"/>
    <s v="OD15K2690"/>
    <n v="112.18"/>
    <x v="7"/>
    <n v="11301.01"/>
    <x v="38"/>
  </r>
  <r>
    <x v="124"/>
    <s v="2071"/>
    <s v="OD15AE7230"/>
    <n v="60"/>
    <x v="7"/>
    <n v="6044.4"/>
    <x v="38"/>
  </r>
  <r>
    <x v="124"/>
    <s v="2072"/>
    <s v="NL01AJ8643"/>
    <n v="363"/>
    <x v="7"/>
    <n v="36568.620000000003"/>
    <x v="25"/>
  </r>
  <r>
    <x v="124"/>
    <s v="2073"/>
    <s v="RJ25GA7718"/>
    <n v="337.53"/>
    <x v="7"/>
    <n v="34002.769999999997"/>
    <x v="25"/>
  </r>
  <r>
    <x v="124"/>
    <s v="2074"/>
    <s v="RJ02GC6819"/>
    <n v="356.16"/>
    <x v="7"/>
    <n v="35879.550000000003"/>
    <x v="25"/>
  </r>
  <r>
    <x v="124"/>
    <s v="2075"/>
    <s v="OD23M0874"/>
    <n v="297.8"/>
    <x v="7"/>
    <n v="30000"/>
    <x v="66"/>
  </r>
  <r>
    <x v="124"/>
    <s v="2076"/>
    <s v="OD16D9822"/>
    <n v="27.8"/>
    <x v="7"/>
    <n v="2800"/>
    <x v="60"/>
  </r>
  <r>
    <x v="124"/>
    <s v="2077"/>
    <s v="OD16D6515"/>
    <n v="27.8"/>
    <x v="7"/>
    <n v="2800"/>
    <x v="60"/>
  </r>
  <r>
    <x v="124"/>
    <s v="2078"/>
    <s v="OD16E9519"/>
    <n v="27.8"/>
    <x v="7"/>
    <n v="2800"/>
    <x v="60"/>
  </r>
  <r>
    <x v="124"/>
    <s v="2079"/>
    <s v="OD16D7103"/>
    <n v="27.8"/>
    <x v="7"/>
    <n v="2800"/>
    <x v="60"/>
  </r>
  <r>
    <x v="124"/>
    <s v="2080"/>
    <m/>
    <n v="1446.24"/>
    <x v="7"/>
    <n v="145694.22"/>
    <x v="21"/>
  </r>
  <r>
    <x v="124"/>
    <s v="2081"/>
    <s v="Consumer"/>
    <n v="24.82"/>
    <x v="7"/>
    <n v="2500"/>
    <x v="8"/>
  </r>
  <r>
    <x v="124"/>
    <s v="2082"/>
    <s v="Transporting"/>
    <n v="2755.61"/>
    <x v="7"/>
    <n v="277600"/>
    <x v="8"/>
  </r>
  <r>
    <x v="125"/>
    <s v="2083"/>
    <s v="Transporting"/>
    <n v="4263.45"/>
    <x v="7"/>
    <n v="429500"/>
    <x v="8"/>
  </r>
  <r>
    <x v="125"/>
    <s v="2084"/>
    <s v="Consumer"/>
    <n v="14.89"/>
    <x v="7"/>
    <n v="1500"/>
    <x v="8"/>
  </r>
  <r>
    <x v="125"/>
    <s v="2085"/>
    <m/>
    <n v="1107.46"/>
    <x v="7"/>
    <n v="111565.8"/>
    <x v="63"/>
  </r>
  <r>
    <x v="125"/>
    <s v="2086"/>
    <m/>
    <n v="64.48"/>
    <x v="7"/>
    <n v="6495.58"/>
    <x v="61"/>
  </r>
  <r>
    <x v="125"/>
    <s v="2087"/>
    <m/>
    <n v="320.02"/>
    <x v="7"/>
    <n v="32239.82"/>
    <x v="7"/>
  </r>
  <r>
    <x v="125"/>
    <s v="2088"/>
    <m/>
    <n v="2149.63"/>
    <x v="7"/>
    <n v="216554.06"/>
    <x v="21"/>
  </r>
  <r>
    <x v="125"/>
    <s v="2089"/>
    <s v="OD15AF5510"/>
    <n v="846.77"/>
    <x v="7"/>
    <n v="85303.61"/>
    <x v="15"/>
  </r>
  <r>
    <x v="125"/>
    <s v="2090"/>
    <s v="OD15AF5510"/>
    <n v="148.9"/>
    <x v="7"/>
    <n v="15000"/>
    <x v="64"/>
  </r>
  <r>
    <x v="125"/>
    <s v="2091"/>
    <s v="OD15AF5510"/>
    <n v="2000"/>
    <x v="9"/>
    <n v="200480"/>
    <x v="16"/>
  </r>
  <r>
    <x v="125"/>
    <s v="2092"/>
    <s v="OD23M0874"/>
    <n v="297.8"/>
    <x v="7"/>
    <n v="30000"/>
    <x v="66"/>
  </r>
  <r>
    <x v="125"/>
    <s v="2093"/>
    <s v="OD16D7094"/>
    <n v="27.8"/>
    <x v="7"/>
    <n v="2800"/>
    <x v="60"/>
  </r>
  <r>
    <x v="125"/>
    <s v="2094"/>
    <s v="OD16D9822"/>
    <n v="27.8"/>
    <x v="7"/>
    <n v="2800"/>
    <x v="60"/>
  </r>
  <r>
    <x v="125"/>
    <s v="2095"/>
    <s v="OD16D7074"/>
    <n v="27.8"/>
    <x v="7"/>
    <n v="2800"/>
    <x v="60"/>
  </r>
  <r>
    <x v="125"/>
    <s v="2096"/>
    <s v="OD16E9647"/>
    <n v="27.8"/>
    <x v="7"/>
    <n v="2800"/>
    <x v="60"/>
  </r>
  <r>
    <x v="125"/>
    <s v="2097"/>
    <s v="OD16E9642"/>
    <n v="27.8"/>
    <x v="7"/>
    <n v="2800"/>
    <x v="60"/>
  </r>
  <r>
    <x v="125"/>
    <s v="2098"/>
    <s v="OD16D7070"/>
    <n v="27.8"/>
    <x v="7"/>
    <n v="2800"/>
    <x v="60"/>
  </r>
  <r>
    <x v="125"/>
    <s v="2099"/>
    <s v="OD16D7087"/>
    <n v="27.8"/>
    <x v="7"/>
    <n v="2800"/>
    <x v="60"/>
  </r>
  <r>
    <x v="125"/>
    <s v="2100"/>
    <s v="OD16D6574"/>
    <n v="27.8"/>
    <x v="7"/>
    <n v="2800"/>
    <x v="60"/>
  </r>
  <r>
    <x v="126"/>
    <s v="2101"/>
    <s v="OD15AF5510"/>
    <n v="3000"/>
    <x v="7"/>
    <n v="302220"/>
    <x v="50"/>
  </r>
  <r>
    <x v="126"/>
    <s v="2102"/>
    <s v="OR15R1110"/>
    <n v="12000"/>
    <x v="8"/>
    <n v="1194000"/>
    <x v="24"/>
  </r>
  <r>
    <x v="126"/>
    <s v="2103"/>
    <s v="OD16D7087"/>
    <n v="27.8"/>
    <x v="7"/>
    <n v="2800"/>
    <x v="60"/>
  </r>
  <r>
    <x v="126"/>
    <s v="2104"/>
    <s v="OD16D7082"/>
    <n v="27.8"/>
    <x v="7"/>
    <n v="2800"/>
    <x v="60"/>
  </r>
  <r>
    <x v="126"/>
    <s v="2105"/>
    <s v="OD15U5910"/>
    <n v="102.08"/>
    <x v="7"/>
    <n v="10283.530000000001"/>
    <x v="5"/>
  </r>
  <r>
    <x v="126"/>
    <s v="2106"/>
    <s v="OD15AA4091"/>
    <n v="44.76"/>
    <x v="7"/>
    <n v="4509.12"/>
    <x v="5"/>
  </r>
  <r>
    <x v="126"/>
    <s v="2107"/>
    <m/>
    <n v="10"/>
    <x v="7"/>
    <n v="1007.4"/>
    <x v="38"/>
  </r>
  <r>
    <x v="126"/>
    <s v="2108"/>
    <m/>
    <n v="10"/>
    <x v="7"/>
    <n v="1007.4"/>
    <x v="38"/>
  </r>
  <r>
    <x v="126"/>
    <s v="2109"/>
    <s v="OD15AF5510"/>
    <n v="148.88999999999999"/>
    <x v="7"/>
    <n v="15000"/>
    <x v="64"/>
  </r>
  <r>
    <x v="126"/>
    <s v="2110"/>
    <s v="OD15AF5510"/>
    <n v="1246.7"/>
    <x v="7"/>
    <n v="125592.56"/>
    <x v="15"/>
  </r>
  <r>
    <x v="126"/>
    <s v="2111"/>
    <s v="OD15AF5510"/>
    <n v="2500"/>
    <x v="7"/>
    <n v="251850"/>
    <x v="41"/>
  </r>
  <r>
    <x v="126"/>
    <s v="2112"/>
    <m/>
    <n v="383.48"/>
    <x v="7"/>
    <n v="38632"/>
    <x v="63"/>
  </r>
  <r>
    <x v="126"/>
    <s v="2113"/>
    <s v="Transporting"/>
    <n v="2482.63"/>
    <x v="7"/>
    <n v="250100"/>
    <x v="8"/>
  </r>
  <r>
    <x v="126"/>
    <s v="2114"/>
    <s v="Consumer"/>
    <n v="34.75"/>
    <x v="7"/>
    <n v="3500"/>
    <x v="8"/>
  </r>
  <r>
    <x v="126"/>
    <s v="2115"/>
    <m/>
    <n v="385.83"/>
    <x v="7"/>
    <n v="38868.559999999998"/>
    <x v="7"/>
  </r>
  <r>
    <x v="126"/>
    <s v="2116"/>
    <m/>
    <n v="35.049999999999997"/>
    <x v="7"/>
    <n v="3530.93"/>
    <x v="61"/>
  </r>
  <r>
    <x v="126"/>
    <s v="2117"/>
    <m/>
    <n v="1122.3599999999999"/>
    <x v="7"/>
    <n v="113067.04"/>
    <x v="21"/>
  </r>
  <r>
    <x v="126"/>
    <s v="2118"/>
    <m/>
    <n v="119.12"/>
    <x v="7"/>
    <n v="12000"/>
    <x v="63"/>
  </r>
  <r>
    <x v="127"/>
    <s v="2119"/>
    <s v="OR15R5510"/>
    <n v="12000"/>
    <x v="8"/>
    <n v="1194000"/>
    <x v="0"/>
  </r>
  <r>
    <x v="127"/>
    <s v="2120"/>
    <s v="OD16D7082"/>
    <n v="27.8"/>
    <x v="7"/>
    <n v="2800"/>
    <x v="60"/>
  </r>
  <r>
    <x v="127"/>
    <s v="2121"/>
    <s v="OD16D7074"/>
    <n v="27.8"/>
    <x v="7"/>
    <n v="2800"/>
    <x v="60"/>
  </r>
  <r>
    <x v="127"/>
    <s v="2122"/>
    <s v="OD16D7087"/>
    <n v="27.8"/>
    <x v="7"/>
    <n v="2800"/>
    <x v="60"/>
  </r>
  <r>
    <x v="127"/>
    <s v="2123"/>
    <s v="HR20BE4625"/>
    <n v="47.73"/>
    <x v="7"/>
    <n v="4808.32"/>
    <x v="41"/>
  </r>
  <r>
    <x v="127"/>
    <s v="2124"/>
    <s v="OR15Q6155"/>
    <n v="20"/>
    <x v="7"/>
    <n v="2014.8"/>
    <x v="38"/>
  </r>
  <r>
    <x v="127"/>
    <s v="2125"/>
    <s v="NL01AJ8743"/>
    <n v="367.36"/>
    <x v="7"/>
    <n v="37007.839999999997"/>
    <x v="25"/>
  </r>
  <r>
    <x v="127"/>
    <s v="2126"/>
    <s v="JH01FS6302"/>
    <n v="51.45"/>
    <x v="7"/>
    <n v="5183.07"/>
    <x v="5"/>
  </r>
  <r>
    <x v="127"/>
    <s v="2127"/>
    <s v="Transporting"/>
    <n v="2891.6"/>
    <x v="7"/>
    <n v="291300"/>
    <x v="8"/>
  </r>
  <r>
    <x v="127"/>
    <s v="2128"/>
    <s v="Consumer"/>
    <n v="178.68"/>
    <x v="7"/>
    <n v="18000"/>
    <x v="8"/>
  </r>
  <r>
    <x v="127"/>
    <s v="2129"/>
    <m/>
    <n v="1804.53"/>
    <x v="7"/>
    <n v="181787.86"/>
    <x v="21"/>
  </r>
  <r>
    <x v="127"/>
    <s v="2130"/>
    <s v="OD15AF5510"/>
    <n v="248.16"/>
    <x v="7"/>
    <n v="25000"/>
    <x v="64"/>
  </r>
  <r>
    <x v="127"/>
    <s v="2131"/>
    <s v="OD15AF5510"/>
    <n v="1410.25"/>
    <x v="7"/>
    <n v="142068.59"/>
    <x v="15"/>
  </r>
  <r>
    <x v="127"/>
    <s v="2132"/>
    <s v="OD15AF5510"/>
    <n v="2000"/>
    <x v="7"/>
    <n v="201480"/>
    <x v="41"/>
  </r>
  <r>
    <x v="127"/>
    <s v="2133"/>
    <s v="OD15AF5510"/>
    <n v="2000"/>
    <x v="9"/>
    <n v="200480"/>
    <x v="16"/>
  </r>
  <r>
    <x v="127"/>
    <s v="2134"/>
    <m/>
    <n v="45.47"/>
    <x v="7"/>
    <n v="4580.6000000000004"/>
    <x v="61"/>
  </r>
  <r>
    <x v="127"/>
    <s v="2135"/>
    <m/>
    <n v="362.93"/>
    <x v="7"/>
    <n v="36562"/>
    <x v="63"/>
  </r>
  <r>
    <x v="127"/>
    <s v="2136"/>
    <m/>
    <n v="29.78"/>
    <x v="7"/>
    <n v="3000"/>
    <x v="63"/>
  </r>
  <r>
    <x v="127"/>
    <s v="2137"/>
    <m/>
    <n v="180.01"/>
    <x v="7"/>
    <n v="18134.2"/>
    <x v="7"/>
  </r>
  <r>
    <x v="128"/>
    <s v="2138"/>
    <s v="OR15R9360"/>
    <n v="18000"/>
    <x v="8"/>
    <n v="1791000"/>
    <x v="0"/>
  </r>
  <r>
    <x v="128"/>
    <s v="2139"/>
    <s v="OR15R1110"/>
    <n v="12000"/>
    <x v="8"/>
    <n v="1194000"/>
    <x v="24"/>
  </r>
  <r>
    <x v="128"/>
    <s v="2140"/>
    <s v="OD16D9822"/>
    <n v="27.8"/>
    <x v="7"/>
    <n v="2800"/>
    <x v="60"/>
  </r>
  <r>
    <x v="128"/>
    <s v="2141"/>
    <s v="OD16D7087"/>
    <n v="27.8"/>
    <x v="7"/>
    <n v="2800"/>
    <x v="60"/>
  </r>
  <r>
    <x v="128"/>
    <s v="2142"/>
    <s v="OD16D7069"/>
    <n v="27.8"/>
    <x v="7"/>
    <n v="2800"/>
    <x v="60"/>
  </r>
  <r>
    <x v="128"/>
    <s v="2143"/>
    <s v="OD16D7089"/>
    <n v="27.8"/>
    <x v="7"/>
    <n v="2800"/>
    <x v="60"/>
  </r>
  <r>
    <x v="128"/>
    <s v="2144"/>
    <s v="OD23U3745"/>
    <n v="27.8"/>
    <x v="7"/>
    <n v="2800"/>
    <x v="60"/>
  </r>
  <r>
    <x v="128"/>
    <s v="2145"/>
    <s v="OD23U3774"/>
    <n v="27.8"/>
    <x v="7"/>
    <n v="2800"/>
    <x v="60"/>
  </r>
  <r>
    <x v="128"/>
    <s v="2146"/>
    <s v="OD23N9951"/>
    <n v="27.8"/>
    <x v="7"/>
    <n v="2800"/>
    <x v="60"/>
  </r>
  <r>
    <x v="128"/>
    <s v="2147"/>
    <s v="OD23V1271"/>
    <n v="27.8"/>
    <x v="7"/>
    <n v="2800"/>
    <x v="60"/>
  </r>
  <r>
    <x v="128"/>
    <s v="2148"/>
    <s v="OD23V1299"/>
    <n v="27.8"/>
    <x v="7"/>
    <n v="2800"/>
    <x v="60"/>
  </r>
  <r>
    <x v="128"/>
    <s v="2149"/>
    <s v="OD23V1268"/>
    <n v="27.8"/>
    <x v="7"/>
    <n v="2800"/>
    <x v="60"/>
  </r>
  <r>
    <x v="128"/>
    <s v="2150"/>
    <s v="OD23N9947"/>
    <n v="27.8"/>
    <x v="7"/>
    <n v="2800"/>
    <x v="60"/>
  </r>
  <r>
    <x v="128"/>
    <s v="2151"/>
    <s v="OD23C1900"/>
    <n v="46.66"/>
    <x v="7"/>
    <n v="4700.5200000000004"/>
    <x v="20"/>
  </r>
  <r>
    <x v="128"/>
    <s v="2152"/>
    <s v="OD15K2690"/>
    <n v="20"/>
    <x v="7"/>
    <n v="2014.8"/>
    <x v="38"/>
  </r>
  <r>
    <x v="128"/>
    <s v="2153"/>
    <s v="OD15AA4091"/>
    <n v="44.23"/>
    <x v="7"/>
    <n v="4455.7299999999996"/>
    <x v="5"/>
  </r>
  <r>
    <x v="128"/>
    <s v="2154"/>
    <m/>
    <n v="89.34"/>
    <x v="7"/>
    <n v="9000"/>
    <x v="61"/>
  </r>
  <r>
    <x v="128"/>
    <s v="2155"/>
    <m/>
    <n v="794.5"/>
    <x v="7"/>
    <n v="80038"/>
    <x v="63"/>
  </r>
  <r>
    <x v="128"/>
    <s v="2156"/>
    <s v="Transporting"/>
    <n v="3350.21"/>
    <x v="7"/>
    <n v="337500"/>
    <x v="8"/>
  </r>
  <r>
    <x v="128"/>
    <s v="2157"/>
    <s v="Consumer"/>
    <n v="30"/>
    <x v="7"/>
    <n v="3022.2"/>
    <x v="8"/>
  </r>
  <r>
    <x v="128"/>
    <s v="2158"/>
    <m/>
    <n v="951.34"/>
    <x v="7"/>
    <n v="95838.38"/>
    <x v="21"/>
  </r>
  <r>
    <x v="128"/>
    <s v="2159"/>
    <s v="OD15AF5510"/>
    <n v="906.77"/>
    <x v="7"/>
    <n v="91348.01"/>
    <x v="15"/>
  </r>
  <r>
    <x v="128"/>
    <s v="2160"/>
    <s v="OD15AF5510"/>
    <n v="248.16"/>
    <x v="7"/>
    <n v="25000"/>
    <x v="64"/>
  </r>
  <r>
    <x v="128"/>
    <s v="2161"/>
    <s v="OD15AF5510"/>
    <n v="2000"/>
    <x v="9"/>
    <n v="200480"/>
    <x v="16"/>
  </r>
  <r>
    <x v="128"/>
    <s v="2162"/>
    <s v="OD15AF5510"/>
    <n v="297.8"/>
    <x v="7"/>
    <n v="30000"/>
    <x v="66"/>
  </r>
  <r>
    <x v="128"/>
    <s v="2163"/>
    <s v="Tata Excavator 200"/>
    <n v="174.01"/>
    <x v="7"/>
    <n v="17529.77"/>
    <x v="10"/>
  </r>
  <r>
    <x v="129"/>
    <s v="2164"/>
    <s v="OD15X8293"/>
    <n v="20"/>
    <x v="7"/>
    <n v="2014.8"/>
    <x v="38"/>
  </r>
  <r>
    <x v="129"/>
    <s v="2165"/>
    <s v="OR15R9360"/>
    <n v="100"/>
    <x v="7"/>
    <n v="10074"/>
    <x v="3"/>
  </r>
  <r>
    <x v="129"/>
    <s v="2166"/>
    <s v="OD33Y3567"/>
    <n v="41.7"/>
    <x v="7"/>
    <n v="4200.8500000000004"/>
    <x v="5"/>
  </r>
  <r>
    <x v="129"/>
    <s v="2167"/>
    <s v="OD23U5910"/>
    <n v="100"/>
    <x v="7"/>
    <n v="10074"/>
    <x v="5"/>
  </r>
  <r>
    <x v="129"/>
    <s v="2168"/>
    <s v="OD15AA4091"/>
    <n v="35"/>
    <x v="7"/>
    <n v="3525.9"/>
    <x v="5"/>
  </r>
  <r>
    <x v="129"/>
    <s v="2169"/>
    <s v="OD23V1268"/>
    <n v="27.8"/>
    <x v="7"/>
    <n v="2800"/>
    <x v="60"/>
  </r>
  <r>
    <x v="129"/>
    <s v="2170"/>
    <s v="OD23N9933"/>
    <n v="27.8"/>
    <x v="7"/>
    <n v="2800"/>
    <x v="60"/>
  </r>
  <r>
    <x v="129"/>
    <s v="2171"/>
    <s v="OD23P1073"/>
    <n v="27.8"/>
    <x v="7"/>
    <n v="2800"/>
    <x v="60"/>
  </r>
  <r>
    <x v="129"/>
    <s v="2172"/>
    <s v="OD23V1223"/>
    <n v="27.8"/>
    <x v="7"/>
    <n v="2800"/>
    <x v="60"/>
  </r>
  <r>
    <x v="129"/>
    <s v="2173"/>
    <s v="OD23V1292"/>
    <n v="27.8"/>
    <x v="7"/>
    <n v="2800"/>
    <x v="60"/>
  </r>
  <r>
    <x v="129"/>
    <s v="2174"/>
    <s v="OD23P1018"/>
    <n v="27.8"/>
    <x v="7"/>
    <n v="2800"/>
    <x v="60"/>
  </r>
  <r>
    <x v="129"/>
    <s v="2175"/>
    <s v="OD23N9735"/>
    <n v="27.8"/>
    <x v="7"/>
    <n v="2800"/>
    <x v="60"/>
  </r>
  <r>
    <x v="129"/>
    <s v="2176"/>
    <s v="Transporting"/>
    <n v="2209.65"/>
    <x v="7"/>
    <n v="222600"/>
    <x v="8"/>
  </r>
  <r>
    <x v="129"/>
    <s v="2177"/>
    <s v="Consumer"/>
    <n v="148.9"/>
    <x v="7"/>
    <n v="15000"/>
    <x v="8"/>
  </r>
  <r>
    <x v="129"/>
    <s v="2178"/>
    <m/>
    <n v="489.18"/>
    <x v="7"/>
    <n v="49279.82"/>
    <x v="21"/>
  </r>
  <r>
    <x v="129"/>
    <s v="2179"/>
    <m/>
    <n v="605.59"/>
    <x v="7"/>
    <n v="61007.4"/>
    <x v="63"/>
  </r>
  <r>
    <x v="129"/>
    <s v="2180"/>
    <m/>
    <n v="134.01"/>
    <x v="7"/>
    <n v="13500"/>
    <x v="63"/>
  </r>
  <r>
    <x v="129"/>
    <s v="2181"/>
    <m/>
    <n v="23.78"/>
    <x v="7"/>
    <n v="2395.59"/>
    <x v="61"/>
  </r>
  <r>
    <x v="129"/>
    <s v="2182"/>
    <s v="OD15AF5510"/>
    <n v="1269.72"/>
    <x v="7"/>
    <n v="127911.59"/>
    <x v="15"/>
  </r>
  <r>
    <x v="130"/>
    <s v="2183"/>
    <s v="OD15AF5510"/>
    <n v="3000"/>
    <x v="7"/>
    <n v="302220"/>
    <x v="50"/>
  </r>
  <r>
    <x v="130"/>
    <s v="2184"/>
    <s v="OD23N5311"/>
    <n v="1200"/>
    <x v="7"/>
    <n v="120888"/>
    <x v="17"/>
  </r>
  <r>
    <x v="130"/>
    <s v="2185"/>
    <s v="OD23N9947"/>
    <n v="27.79"/>
    <x v="7"/>
    <n v="2800"/>
    <x v="60"/>
  </r>
  <r>
    <x v="130"/>
    <s v="2186"/>
    <s v="OD15Y1327"/>
    <n v="600"/>
    <x v="7"/>
    <n v="60444"/>
    <x v="54"/>
  </r>
  <r>
    <x v="130"/>
    <s v="2187"/>
    <s v="OD23A8210"/>
    <n v="53.63"/>
    <x v="7"/>
    <n v="5402.68"/>
    <x v="2"/>
  </r>
  <r>
    <x v="130"/>
    <s v="2188"/>
    <s v="OD16K7171"/>
    <n v="200"/>
    <x v="7"/>
    <n v="20148"/>
    <x v="62"/>
  </r>
  <r>
    <x v="130"/>
    <s v="2189"/>
    <s v="OD16K7176"/>
    <n v="200"/>
    <x v="7"/>
    <n v="20148"/>
    <x v="62"/>
  </r>
  <r>
    <x v="130"/>
    <s v="2190"/>
    <s v="OD16K7170"/>
    <n v="200"/>
    <x v="7"/>
    <n v="20148"/>
    <x v="62"/>
  </r>
  <r>
    <x v="130"/>
    <s v="2191"/>
    <s v="OD16K7132"/>
    <n v="200"/>
    <x v="7"/>
    <n v="20148"/>
    <x v="62"/>
  </r>
  <r>
    <x v="130"/>
    <s v="2192"/>
    <s v="Transporting"/>
    <n v="3033.55"/>
    <x v="7"/>
    <n v="305600"/>
    <x v="8"/>
  </r>
  <r>
    <x v="130"/>
    <s v="2193"/>
    <s v="Consumer"/>
    <n v="9.93"/>
    <x v="7"/>
    <n v="1000"/>
    <x v="8"/>
  </r>
  <r>
    <x v="130"/>
    <s v="2194"/>
    <m/>
    <n v="1221.75"/>
    <x v="7"/>
    <n v="123078.78"/>
    <x v="21"/>
  </r>
  <r>
    <x v="130"/>
    <s v="2195"/>
    <m/>
    <n v="740.94"/>
    <x v="7"/>
    <n v="74642.600000000006"/>
    <x v="7"/>
  </r>
  <r>
    <x v="130"/>
    <s v="2196"/>
    <s v="OD15AF5510"/>
    <n v="603.13"/>
    <x v="7"/>
    <n v="60759.32"/>
    <x v="15"/>
  </r>
  <r>
    <x v="130"/>
    <s v="2197"/>
    <s v="OD15AF5510"/>
    <n v="2000"/>
    <x v="9"/>
    <n v="200480"/>
    <x v="16"/>
  </r>
  <r>
    <x v="130"/>
    <s v="2198"/>
    <m/>
    <n v="517.87"/>
    <x v="7"/>
    <n v="52170"/>
    <x v="63"/>
  </r>
  <r>
    <x v="130"/>
    <s v="2199"/>
    <m/>
    <n v="59.01"/>
    <x v="7"/>
    <n v="5945"/>
    <x v="61"/>
  </r>
  <r>
    <x v="131"/>
    <s v="2200"/>
    <s v="OD16M0750"/>
    <n v="200"/>
    <x v="7"/>
    <n v="20148"/>
    <x v="62"/>
  </r>
  <r>
    <x v="131"/>
    <s v="2201"/>
    <s v="OD15U5910"/>
    <n v="114"/>
    <x v="7"/>
    <n v="11484.36"/>
    <x v="5"/>
  </r>
  <r>
    <x v="131"/>
    <s v="2202"/>
    <s v="OD23P1004"/>
    <n v="27.79"/>
    <x v="7"/>
    <n v="2800"/>
    <x v="60"/>
  </r>
  <r>
    <x v="131"/>
    <s v="2203"/>
    <s v="OD15AF5510"/>
    <n v="1012.42"/>
    <x v="7"/>
    <n v="101991.19"/>
    <x v="15"/>
  </r>
  <r>
    <x v="131"/>
    <s v="2204"/>
    <m/>
    <n v="148.9"/>
    <x v="7"/>
    <n v="15000"/>
    <x v="7"/>
  </r>
  <r>
    <x v="131"/>
    <s v="2205"/>
    <m/>
    <n v="720.09"/>
    <x v="7"/>
    <n v="72542"/>
    <x v="63"/>
  </r>
  <r>
    <x v="131"/>
    <s v="2206"/>
    <m/>
    <n v="49.63"/>
    <x v="7"/>
    <n v="5000"/>
    <x v="63"/>
  </r>
  <r>
    <x v="131"/>
    <s v="2207"/>
    <m/>
    <n v="29.78"/>
    <x v="7"/>
    <n v="3000"/>
    <x v="61"/>
  </r>
  <r>
    <x v="131"/>
    <s v="2208"/>
    <s v="Transporting"/>
    <n v="2207.66"/>
    <x v="7"/>
    <n v="222400"/>
    <x v="8"/>
  </r>
  <r>
    <x v="131"/>
    <s v="2209"/>
    <s v="Consumer"/>
    <n v="14.89"/>
    <x v="7"/>
    <n v="1500"/>
    <x v="8"/>
  </r>
  <r>
    <x v="131"/>
    <s v="2210"/>
    <m/>
    <n v="1461.7"/>
    <x v="7"/>
    <n v="147252.88"/>
    <x v="21"/>
  </r>
  <r>
    <x v="132"/>
    <s v="2211"/>
    <s v="OD23A3710"/>
    <n v="12000"/>
    <x v="8"/>
    <n v="1194000"/>
    <x v="24"/>
  </r>
  <r>
    <x v="132"/>
    <s v="2212"/>
    <m/>
    <n v="617.33000000000004"/>
    <x v="7"/>
    <n v="62190"/>
    <x v="63"/>
  </r>
  <r>
    <x v="132"/>
    <s v="2213"/>
    <m/>
    <n v="6.29"/>
    <x v="7"/>
    <n v="633.65"/>
    <x v="61"/>
  </r>
  <r>
    <x v="132"/>
    <s v="2214"/>
    <m/>
    <n v="905.81"/>
    <x v="7"/>
    <n v="91251.7"/>
    <x v="21"/>
  </r>
  <r>
    <x v="132"/>
    <s v="2215"/>
    <s v="Transporting"/>
    <n v="2418.11"/>
    <x v="7"/>
    <n v="243600"/>
    <x v="8"/>
  </r>
  <r>
    <x v="132"/>
    <s v="2216"/>
    <s v="OD15AF5510"/>
    <n v="150"/>
    <x v="7"/>
    <n v="15111"/>
    <x v="66"/>
  </r>
  <r>
    <x v="132"/>
    <s v="2217"/>
    <s v="OD15AF5510"/>
    <n v="2000"/>
    <x v="9"/>
    <n v="200480"/>
    <x v="16"/>
  </r>
  <r>
    <x v="132"/>
    <s v="2218"/>
    <s v="OD15AF5510"/>
    <n v="1242.3499999999999"/>
    <x v="7"/>
    <n v="125154.34"/>
    <x v="15"/>
  </r>
  <r>
    <x v="132"/>
    <s v="2219"/>
    <s v="OD16M0743"/>
    <n v="200"/>
    <x v="7"/>
    <n v="20148"/>
    <x v="62"/>
  </r>
  <r>
    <x v="132"/>
    <s v="2220"/>
    <s v="OD16K7103"/>
    <n v="200"/>
    <x v="7"/>
    <n v="20148"/>
    <x v="62"/>
  </r>
  <r>
    <x v="132"/>
    <s v="2221"/>
    <s v="OD15AA4091"/>
    <n v="49.21"/>
    <x v="7"/>
    <n v="4957.41"/>
    <x v="5"/>
  </r>
  <r>
    <x v="132"/>
    <s v="2222"/>
    <s v="TRACTOR"/>
    <n v="10"/>
    <x v="7"/>
    <n v="1007.4"/>
    <x v="38"/>
  </r>
  <r>
    <x v="132"/>
    <s v="2223"/>
    <s v="OD15AF5510"/>
    <n v="45.29"/>
    <x v="7"/>
    <n v="4562.51"/>
    <x v="3"/>
  </r>
  <r>
    <x v="133"/>
    <s v="2224"/>
    <s v="OD15AF5510"/>
    <n v="3000"/>
    <x v="7"/>
    <n v="302220"/>
    <x v="50"/>
  </r>
  <r>
    <x v="133"/>
    <s v="2225"/>
    <s v="OR15R9360"/>
    <n v="18000"/>
    <x v="8"/>
    <n v="1791000"/>
    <x v="1"/>
  </r>
  <r>
    <x v="133"/>
    <s v="2226"/>
    <s v="OD23M0874"/>
    <n v="198.53"/>
    <x v="7"/>
    <n v="20000"/>
    <x v="66"/>
  </r>
  <r>
    <x v="133"/>
    <s v="2227"/>
    <s v="HR20BE4625"/>
    <n v="20"/>
    <x v="7"/>
    <n v="2014.8"/>
    <x v="41"/>
  </r>
  <r>
    <x v="133"/>
    <s v="2228"/>
    <s v="OD16K7108"/>
    <n v="200"/>
    <x v="7"/>
    <n v="20148"/>
    <x v="62"/>
  </r>
  <r>
    <x v="133"/>
    <s v="2229"/>
    <s v="OD16K7176"/>
    <n v="200"/>
    <x v="7"/>
    <n v="20148"/>
    <x v="62"/>
  </r>
  <r>
    <x v="133"/>
    <s v="2230"/>
    <s v="OD16K7170"/>
    <n v="200"/>
    <x v="7"/>
    <n v="20148"/>
    <x v="62"/>
  </r>
  <r>
    <x v="133"/>
    <s v="2231"/>
    <s v="OD15AF5510"/>
    <n v="1051.3699999999999"/>
    <x v="7"/>
    <n v="105915.01"/>
    <x v="15"/>
  </r>
  <r>
    <x v="133"/>
    <s v="2232"/>
    <s v="Transporting"/>
    <n v="1114.75"/>
    <x v="7"/>
    <n v="112300"/>
    <x v="8"/>
  </r>
  <r>
    <x v="133"/>
    <s v="2233"/>
    <m/>
    <n v="967.86"/>
    <x v="7"/>
    <n v="97501.82"/>
    <x v="21"/>
  </r>
  <r>
    <x v="133"/>
    <s v="2234"/>
    <m/>
    <n v="1062.48"/>
    <x v="7"/>
    <n v="107033.9"/>
    <x v="7"/>
  </r>
  <r>
    <x v="133"/>
    <s v="2235"/>
    <m/>
    <n v="14.89"/>
    <x v="7"/>
    <n v="1500"/>
    <x v="61"/>
  </r>
  <r>
    <x v="133"/>
    <s v="2236"/>
    <m/>
    <n v="409.87"/>
    <x v="7"/>
    <n v="41290"/>
    <x v="63"/>
  </r>
  <r>
    <x v="134"/>
    <s v="2237"/>
    <s v="OD23A3710"/>
    <n v="12000"/>
    <x v="8"/>
    <n v="1194000"/>
    <x v="24"/>
  </r>
  <r>
    <x v="134"/>
    <s v="2238"/>
    <s v="OR15R1110"/>
    <n v="12000"/>
    <x v="8"/>
    <n v="1194000"/>
    <x v="0"/>
  </r>
  <r>
    <x v="134"/>
    <s v="2239"/>
    <s v="OR15R9360"/>
    <n v="18000"/>
    <x v="8"/>
    <n v="1791000"/>
    <x v="0"/>
  </r>
  <r>
    <x v="134"/>
    <s v="2240"/>
    <s v="OD15AF5510"/>
    <n v="1326.66"/>
    <x v="7"/>
    <n v="133647.73000000001"/>
    <x v="15"/>
  </r>
  <r>
    <x v="134"/>
    <s v="2241"/>
    <s v="OD15AF5510"/>
    <n v="2000"/>
    <x v="9"/>
    <n v="200480"/>
    <x v="16"/>
  </r>
  <r>
    <x v="134"/>
    <s v="2242"/>
    <s v="OD23U8210"/>
    <n v="200"/>
    <x v="7"/>
    <n v="20148"/>
    <x v="3"/>
  </r>
  <r>
    <x v="134"/>
    <s v="2243"/>
    <s v="OD23M0874"/>
    <n v="147.80000000000001"/>
    <x v="7"/>
    <n v="14889"/>
    <x v="66"/>
  </r>
  <r>
    <x v="134"/>
    <s v="2244"/>
    <s v="RJ14GQ9377"/>
    <n v="379.6"/>
    <x v="7"/>
    <n v="38240.9"/>
    <x v="25"/>
  </r>
  <r>
    <x v="134"/>
    <s v="2245"/>
    <s v="OD15AA4091"/>
    <n v="42.4"/>
    <x v="7"/>
    <n v="4271.37"/>
    <x v="5"/>
  </r>
  <r>
    <x v="134"/>
    <s v="2246"/>
    <s v="OD15U5910"/>
    <n v="104"/>
    <x v="7"/>
    <n v="10476.959999999999"/>
    <x v="5"/>
  </r>
  <r>
    <x v="134"/>
    <s v="2247"/>
    <m/>
    <n v="632.37"/>
    <x v="7"/>
    <n v="63705"/>
    <x v="63"/>
  </r>
  <r>
    <x v="134"/>
    <s v="2248"/>
    <m/>
    <n v="35.770000000000003"/>
    <x v="7"/>
    <n v="3603.43"/>
    <x v="61"/>
  </r>
  <r>
    <x v="134"/>
    <s v="2249"/>
    <m/>
    <n v="684.62"/>
    <x v="7"/>
    <n v="68968.72"/>
    <x v="21"/>
  </r>
  <r>
    <x v="134"/>
    <s v="2250"/>
    <m/>
    <n v="99.27"/>
    <x v="7"/>
    <n v="10000"/>
    <x v="7"/>
  </r>
  <r>
    <x v="134"/>
    <s v="2251"/>
    <s v="Consumer"/>
    <n v="163.79"/>
    <x v="7"/>
    <n v="16500"/>
    <x v="8"/>
  </r>
  <r>
    <x v="134"/>
    <s v="2252"/>
    <s v="Transporting"/>
    <n v="1879.09"/>
    <x v="7"/>
    <n v="189300"/>
    <x v="8"/>
  </r>
  <r>
    <x v="135"/>
    <s v="2253"/>
    <m/>
    <n v="20"/>
    <x v="7"/>
    <n v="2014.8"/>
    <x v="26"/>
  </r>
  <r>
    <x v="135"/>
    <s v="2254"/>
    <s v="BR02AA4252"/>
    <n v="337.51"/>
    <x v="7"/>
    <n v="34000.75"/>
    <x v="25"/>
  </r>
  <r>
    <x v="135"/>
    <s v="2255"/>
    <s v="OD15AF5510"/>
    <n v="868.22"/>
    <x v="7"/>
    <n v="87464.48"/>
    <x v="15"/>
  </r>
  <r>
    <x v="135"/>
    <s v="2256"/>
    <s v="OD16K7176"/>
    <n v="79.41"/>
    <x v="7"/>
    <n v="8000"/>
    <x v="62"/>
  </r>
  <r>
    <x v="135"/>
    <s v="2257"/>
    <s v="OD16K7170"/>
    <n v="79.41"/>
    <x v="7"/>
    <n v="8000"/>
    <x v="62"/>
  </r>
  <r>
    <x v="135"/>
    <s v="2258"/>
    <s v="OD16K7108"/>
    <n v="79.41"/>
    <x v="7"/>
    <n v="8000"/>
    <x v="62"/>
  </r>
  <r>
    <x v="135"/>
    <s v="2259"/>
    <m/>
    <n v="655.29999999999995"/>
    <x v="7"/>
    <n v="66014.7"/>
    <x v="21"/>
  </r>
  <r>
    <x v="135"/>
    <s v="2260"/>
    <s v="Transporting"/>
    <n v="2779.43"/>
    <x v="7"/>
    <n v="280000"/>
    <x v="8"/>
  </r>
  <r>
    <x v="135"/>
    <s v="2261"/>
    <m/>
    <n v="75.540000000000006"/>
    <x v="7"/>
    <n v="7610"/>
    <x v="61"/>
  </r>
  <r>
    <x v="135"/>
    <s v="2262"/>
    <m/>
    <n v="395.91"/>
    <x v="7"/>
    <n v="39884"/>
    <x v="63"/>
  </r>
  <r>
    <x v="136"/>
    <s v="2263"/>
    <m/>
    <n v="475.06"/>
    <x v="7"/>
    <n v="47858"/>
    <x v="63"/>
  </r>
  <r>
    <x v="136"/>
    <s v="2264"/>
    <m/>
    <n v="120"/>
    <x v="7"/>
    <n v="12088.8"/>
    <x v="61"/>
  </r>
  <r>
    <x v="136"/>
    <s v="2265"/>
    <m/>
    <n v="178.79"/>
    <x v="7"/>
    <n v="18011.099999999999"/>
    <x v="21"/>
  </r>
  <r>
    <x v="136"/>
    <s v="2266"/>
    <s v="Transporting"/>
    <n v="3161.6"/>
    <x v="7"/>
    <n v="318500"/>
    <x v="8"/>
  </r>
  <r>
    <x v="136"/>
    <s v="2267"/>
    <s v="Consumer"/>
    <n v="29.78"/>
    <x v="7"/>
    <n v="3000"/>
    <x v="8"/>
  </r>
  <r>
    <x v="136"/>
    <s v="2268"/>
    <s v="OD23M0874"/>
    <n v="297.8"/>
    <x v="7"/>
    <n v="30000"/>
    <x v="66"/>
  </r>
  <r>
    <x v="136"/>
    <s v="2269"/>
    <s v="OD15AA4091"/>
    <n v="45.9"/>
    <x v="7"/>
    <n v="4623.96"/>
    <x v="5"/>
  </r>
  <r>
    <x v="136"/>
    <s v="2270"/>
    <s v="OD16K7132"/>
    <n v="168.75"/>
    <x v="7"/>
    <n v="17000"/>
    <x v="62"/>
  </r>
  <r>
    <x v="136"/>
    <s v="2271"/>
    <s v="OD16L8463"/>
    <n v="178.68"/>
    <x v="7"/>
    <n v="18000"/>
    <x v="62"/>
  </r>
  <r>
    <x v="136"/>
    <s v="2272"/>
    <s v="OD16L4127"/>
    <n v="178.68"/>
    <x v="7"/>
    <n v="18000"/>
    <x v="62"/>
  </r>
  <r>
    <x v="136"/>
    <s v="2273"/>
    <s v="OD16L4114"/>
    <n v="178.68"/>
    <x v="7"/>
    <n v="18000"/>
    <x v="62"/>
  </r>
  <r>
    <x v="136"/>
    <s v="2274"/>
    <s v="OD16M0743"/>
    <n v="200"/>
    <x v="7"/>
    <n v="20148"/>
    <x v="62"/>
  </r>
  <r>
    <x v="136"/>
    <s v="2275"/>
    <s v="OD15AF5510"/>
    <n v="957.1"/>
    <x v="7"/>
    <n v="96418.25"/>
    <x v="15"/>
  </r>
  <r>
    <x v="136"/>
    <s v="2276"/>
    <s v="OD15AF5510"/>
    <n v="2400"/>
    <x v="9"/>
    <n v="240576"/>
    <x v="16"/>
  </r>
  <r>
    <x v="137"/>
    <s v="2277"/>
    <s v="OR15R5510"/>
    <n v="12000"/>
    <x v="8"/>
    <n v="1194000"/>
    <x v="24"/>
  </r>
  <r>
    <x v="137"/>
    <s v="2278"/>
    <s v="OR15R9360"/>
    <n v="18000"/>
    <x v="10"/>
    <n v="1799820"/>
    <x v="67"/>
  </r>
  <r>
    <x v="137"/>
    <s v="2279"/>
    <s v="OD15U5910"/>
    <n v="93.48"/>
    <x v="7"/>
    <n v="9417.17"/>
    <x v="5"/>
  </r>
  <r>
    <x v="137"/>
    <s v="2280"/>
    <s v="OD15K2690"/>
    <n v="50"/>
    <x v="7"/>
    <n v="5037"/>
    <x v="38"/>
  </r>
  <r>
    <x v="137"/>
    <s v="2281"/>
    <s v="OD15Z1430"/>
    <n v="50"/>
    <x v="7"/>
    <n v="5037"/>
    <x v="38"/>
  </r>
  <r>
    <x v="137"/>
    <s v="2282"/>
    <s v="OD15Z1430"/>
    <n v="10"/>
    <x v="7"/>
    <n v="1007.4"/>
    <x v="38"/>
  </r>
  <r>
    <x v="137"/>
    <s v="2283"/>
    <s v="OD16M0750"/>
    <n v="79.41"/>
    <x v="7"/>
    <n v="8000"/>
    <x v="62"/>
  </r>
  <r>
    <x v="137"/>
    <s v="2284"/>
    <m/>
    <n v="475.25"/>
    <x v="7"/>
    <n v="47876.36"/>
    <x v="63"/>
  </r>
  <r>
    <x v="137"/>
    <s v="2285"/>
    <m/>
    <n v="360.99"/>
    <x v="7"/>
    <n v="36365.86"/>
    <x v="21"/>
  </r>
  <r>
    <x v="137"/>
    <s v="2286"/>
    <s v="Consumer"/>
    <n v="35"/>
    <x v="7"/>
    <n v="3525.9"/>
    <x v="8"/>
  </r>
  <r>
    <x v="137"/>
    <s v="2287"/>
    <s v="Transporting"/>
    <n v="1826.48"/>
    <x v="7"/>
    <n v="184000"/>
    <x v="8"/>
  </r>
  <r>
    <x v="137"/>
    <s v="2288"/>
    <m/>
    <n v="29.78"/>
    <x v="7"/>
    <n v="3000"/>
    <x v="7"/>
  </r>
  <r>
    <x v="137"/>
    <s v="2289"/>
    <s v="OD15AF5510"/>
    <n v="1177.1500000000001"/>
    <x v="7"/>
    <n v="118586.09"/>
    <x v="15"/>
  </r>
  <r>
    <x v="137"/>
    <s v="2290"/>
    <s v="OD15AF5510"/>
    <n v="1204.48"/>
    <x v="7"/>
    <n v="121339.32"/>
    <x v="15"/>
  </r>
  <r>
    <x v="138"/>
    <s v="2291"/>
    <s v="OR15R1110"/>
    <n v="12000"/>
    <x v="10"/>
    <n v="1199880"/>
    <x v="67"/>
  </r>
  <r>
    <x v="138"/>
    <s v="2292"/>
    <s v="OD23A3710"/>
    <n v="12000"/>
    <x v="10"/>
    <n v="1199880"/>
    <x v="67"/>
  </r>
  <r>
    <x v="138"/>
    <s v="2293"/>
    <s v="OR15R5510"/>
    <n v="12000"/>
    <x v="8"/>
    <n v="1194000"/>
    <x v="1"/>
  </r>
  <r>
    <x v="138"/>
    <s v="2294"/>
    <s v="OD15AF5510"/>
    <n v="716.83"/>
    <x v="7"/>
    <n v="72213.45"/>
    <x v="15"/>
  </r>
  <r>
    <x v="138"/>
    <s v="2295"/>
    <s v="OD15AF5510"/>
    <n v="1999.73"/>
    <x v="9"/>
    <n v="200452.94"/>
    <x v="16"/>
  </r>
  <r>
    <x v="138"/>
    <s v="2296"/>
    <s v="OR15R9360"/>
    <n v="200"/>
    <x v="7"/>
    <n v="20148"/>
    <x v="3"/>
  </r>
  <r>
    <x v="138"/>
    <s v="2297"/>
    <s v="RJ02GC6819"/>
    <n v="352.4"/>
    <x v="7"/>
    <n v="35500.769999999997"/>
    <x v="25"/>
  </r>
  <r>
    <x v="138"/>
    <s v="2298"/>
    <s v="RJ25GA7718"/>
    <n v="331.07"/>
    <x v="7"/>
    <n v="33351.99"/>
    <x v="25"/>
  </r>
  <r>
    <x v="138"/>
    <s v="2299"/>
    <s v="OD16L8450"/>
    <n v="89.34"/>
    <x v="7"/>
    <n v="9000"/>
    <x v="62"/>
  </r>
  <r>
    <x v="138"/>
    <s v="2300"/>
    <s v="OD16L4158"/>
    <n v="89.34"/>
    <x v="7"/>
    <n v="9000"/>
    <x v="62"/>
  </r>
  <r>
    <x v="138"/>
    <s v="2301"/>
    <s v="OD16L4319"/>
    <n v="89.34"/>
    <x v="7"/>
    <n v="9000"/>
    <x v="62"/>
  </r>
  <r>
    <x v="138"/>
    <s v="2302"/>
    <s v="OD16L4157"/>
    <n v="89.34"/>
    <x v="7"/>
    <n v="9000"/>
    <x v="62"/>
  </r>
  <r>
    <x v="138"/>
    <s v="2303"/>
    <s v="OD16L4190"/>
    <n v="89.34"/>
    <x v="7"/>
    <n v="9000"/>
    <x v="62"/>
  </r>
  <r>
    <x v="138"/>
    <s v="2304"/>
    <s v="OD16L4127"/>
    <n v="89.34"/>
    <x v="7"/>
    <n v="9000"/>
    <x v="62"/>
  </r>
  <r>
    <x v="138"/>
    <s v="2305"/>
    <s v="OD16K7132"/>
    <n v="79.41"/>
    <x v="7"/>
    <n v="8000"/>
    <x v="62"/>
  </r>
  <r>
    <x v="138"/>
    <s v="2306"/>
    <s v="OD16L4114"/>
    <n v="89.34"/>
    <x v="7"/>
    <n v="9000"/>
    <x v="62"/>
  </r>
  <r>
    <x v="138"/>
    <s v="2307"/>
    <s v="OD16L4103"/>
    <n v="89.34"/>
    <x v="7"/>
    <n v="9000"/>
    <x v="62"/>
  </r>
  <r>
    <x v="138"/>
    <s v="2308"/>
    <s v="OD16L4181"/>
    <n v="89.34"/>
    <x v="7"/>
    <n v="9000"/>
    <x v="62"/>
  </r>
  <r>
    <x v="138"/>
    <s v="2309"/>
    <s v="OD16L4151"/>
    <n v="89.34"/>
    <x v="7"/>
    <n v="9000"/>
    <x v="62"/>
  </r>
  <r>
    <x v="138"/>
    <s v="2310"/>
    <s v="OD16K1072"/>
    <n v="54.6"/>
    <x v="7"/>
    <n v="5500"/>
    <x v="29"/>
  </r>
  <r>
    <x v="138"/>
    <s v="2311"/>
    <s v="OD15AA4091"/>
    <n v="20"/>
    <x v="7"/>
    <n v="2014.8"/>
    <x v="5"/>
  </r>
  <r>
    <x v="138"/>
    <s v="2312"/>
    <m/>
    <n v="92.65"/>
    <x v="7"/>
    <n v="9333.2999999999993"/>
    <x v="21"/>
  </r>
  <r>
    <x v="138"/>
    <s v="2313"/>
    <s v="Transporting"/>
    <n v="1097.8800000000001"/>
    <x v="7"/>
    <n v="110600"/>
    <x v="8"/>
  </r>
  <r>
    <x v="138"/>
    <s v="2314"/>
    <m/>
    <n v="783.2"/>
    <x v="7"/>
    <n v="78900"/>
    <x v="63"/>
  </r>
  <r>
    <x v="138"/>
    <s v="2315"/>
    <m/>
    <n v="9.93"/>
    <x v="7"/>
    <n v="1000"/>
    <x v="61"/>
  </r>
  <r>
    <x v="139"/>
    <s v="2316"/>
    <s v="OR15R9360"/>
    <n v="18000"/>
    <x v="8"/>
    <n v="1791000"/>
    <x v="1"/>
  </r>
  <r>
    <x v="139"/>
    <s v="2317"/>
    <s v="OD15AF5510"/>
    <n v="198.53"/>
    <x v="7"/>
    <n v="20000"/>
    <x v="64"/>
  </r>
  <r>
    <x v="139"/>
    <s v="2318"/>
    <s v="OD15AF5510"/>
    <n v="1236.47"/>
    <x v="7"/>
    <n v="124561.99"/>
    <x v="15"/>
  </r>
  <r>
    <x v="139"/>
    <s v="2319"/>
    <s v="OD15N0455"/>
    <n v="84.4"/>
    <x v="7"/>
    <n v="8502.4500000000007"/>
    <x v="38"/>
  </r>
  <r>
    <x v="139"/>
    <s v="2320"/>
    <s v="OD23S0027"/>
    <n v="48.46"/>
    <x v="7"/>
    <n v="4881.8599999999997"/>
    <x v="29"/>
  </r>
  <r>
    <x v="139"/>
    <s v="2321"/>
    <s v="JH01FS6302"/>
    <n v="39.799999999999997"/>
    <x v="7"/>
    <n v="4009.45"/>
    <x v="5"/>
  </r>
  <r>
    <x v="139"/>
    <s v="2322"/>
    <s v="OD15AA4091"/>
    <n v="10"/>
    <x v="7"/>
    <n v="1007.4"/>
    <x v="5"/>
  </r>
  <r>
    <x v="139"/>
    <s v="2323"/>
    <s v="OD16M0743"/>
    <n v="89.34"/>
    <x v="7"/>
    <n v="9000"/>
    <x v="62"/>
  </r>
  <r>
    <x v="139"/>
    <s v="2324"/>
    <s v="OD16L8463"/>
    <n v="89.34"/>
    <x v="7"/>
    <n v="9000"/>
    <x v="62"/>
  </r>
  <r>
    <x v="139"/>
    <s v="2325"/>
    <m/>
    <n v="886.39"/>
    <x v="7"/>
    <n v="89295"/>
    <x v="63"/>
  </r>
  <r>
    <x v="139"/>
    <s v="2326"/>
    <m/>
    <n v="142.49"/>
    <x v="7"/>
    <n v="14354"/>
    <x v="61"/>
  </r>
  <r>
    <x v="139"/>
    <s v="2327"/>
    <m/>
    <n v="1737.12"/>
    <x v="7"/>
    <n v="174997.38"/>
    <x v="21"/>
  </r>
  <r>
    <x v="139"/>
    <s v="2328"/>
    <s v="Consumer"/>
    <n v="59.56"/>
    <x v="7"/>
    <n v="6000"/>
    <x v="8"/>
  </r>
  <r>
    <x v="139"/>
    <s v="2329"/>
    <s v="Transporting"/>
    <n v="2556.08"/>
    <x v="7"/>
    <n v="257500"/>
    <x v="8"/>
  </r>
  <r>
    <x v="140"/>
    <s v="2330"/>
    <s v="OR15R5510"/>
    <n v="12000"/>
    <x v="8"/>
    <n v="1194000"/>
    <x v="24"/>
  </r>
  <r>
    <x v="140"/>
    <s v="2331"/>
    <s v="OD23A3710"/>
    <n v="4000"/>
    <x v="8"/>
    <n v="398000"/>
    <x v="30"/>
  </r>
  <r>
    <x v="140"/>
    <s v="2332"/>
    <s v="OD23A3710"/>
    <n v="4000"/>
    <x v="8"/>
    <n v="398000"/>
    <x v="56"/>
  </r>
  <r>
    <x v="140"/>
    <s v="2333"/>
    <s v="OD23A3710"/>
    <n v="4000"/>
    <x v="8"/>
    <n v="398000"/>
    <x v="49"/>
  </r>
  <r>
    <x v="140"/>
    <s v="2334"/>
    <s v="OR15R9360"/>
    <n v="18000"/>
    <x v="8"/>
    <n v="1791000"/>
    <x v="0"/>
  </r>
  <r>
    <x v="140"/>
    <s v="2335"/>
    <m/>
    <n v="49.63"/>
    <x v="7"/>
    <n v="5000"/>
    <x v="7"/>
  </r>
  <r>
    <x v="140"/>
    <s v="2336"/>
    <m/>
    <n v="82.39"/>
    <x v="7"/>
    <n v="8300"/>
    <x v="7"/>
  </r>
  <r>
    <x v="140"/>
    <s v="2337"/>
    <m/>
    <n v="15.6"/>
    <x v="7"/>
    <n v="1572"/>
    <x v="61"/>
  </r>
  <r>
    <x v="140"/>
    <s v="2338"/>
    <m/>
    <n v="234.96"/>
    <x v="7"/>
    <n v="23670"/>
    <x v="63"/>
  </r>
  <r>
    <x v="140"/>
    <s v="2339"/>
    <m/>
    <n v="1142.25"/>
    <x v="7"/>
    <n v="115069.9"/>
    <x v="21"/>
  </r>
  <r>
    <x v="140"/>
    <s v="2340"/>
    <s v="Transporting"/>
    <n v="2350.61"/>
    <x v="7"/>
    <n v="236800"/>
    <x v="8"/>
  </r>
  <r>
    <x v="140"/>
    <s v="2341"/>
    <s v="OD15AF5510"/>
    <n v="2000"/>
    <x v="9"/>
    <n v="200480"/>
    <x v="16"/>
  </r>
  <r>
    <x v="140"/>
    <s v="2342"/>
    <s v="OD15AF5510"/>
    <n v="1429.63"/>
    <x v="7"/>
    <n v="144020.93"/>
    <x v="15"/>
  </r>
  <r>
    <x v="140"/>
    <s v="2343"/>
    <s v="RJ25GA8386"/>
    <n v="204.69"/>
    <x v="7"/>
    <n v="20620.47"/>
    <x v="25"/>
  </r>
  <r>
    <x v="140"/>
    <s v="2344"/>
    <s v="OD23M0874"/>
    <n v="297.8"/>
    <x v="7"/>
    <n v="30000"/>
    <x v="66"/>
  </r>
  <r>
    <x v="140"/>
    <s v="2345"/>
    <s v="OD15U5910"/>
    <n v="103.09"/>
    <x v="7"/>
    <n v="10385.280000000001"/>
    <x v="5"/>
  </r>
  <r>
    <x v="140"/>
    <s v="2346"/>
    <s v="OD16D7087"/>
    <n v="27.8"/>
    <x v="7"/>
    <n v="2800"/>
    <x v="60"/>
  </r>
  <r>
    <x v="140"/>
    <s v="2347"/>
    <s v="OD16D7068"/>
    <n v="27.8"/>
    <x v="7"/>
    <n v="2800"/>
    <x v="60"/>
  </r>
  <r>
    <x v="140"/>
    <s v="2348"/>
    <s v="OD16K7170"/>
    <n v="89.34"/>
    <x v="7"/>
    <n v="9000"/>
    <x v="62"/>
  </r>
  <r>
    <x v="140"/>
    <s v="2349"/>
    <s v="OD16M0750"/>
    <n v="89.34"/>
    <x v="7"/>
    <n v="9000"/>
    <x v="62"/>
  </r>
  <r>
    <x v="140"/>
    <s v="2350"/>
    <s v="OD15Z1430"/>
    <n v="10"/>
    <x v="7"/>
    <n v="1007.4"/>
    <x v="38"/>
  </r>
  <r>
    <x v="140"/>
    <s v="2351"/>
    <s v="New Tractor"/>
    <n v="10"/>
    <x v="7"/>
    <n v="1007.4"/>
    <x v="38"/>
  </r>
  <r>
    <x v="140"/>
    <s v="2352"/>
    <s v="OD16E9647"/>
    <n v="27.8"/>
    <x v="7"/>
    <n v="2800"/>
    <x v="60"/>
  </r>
  <r>
    <x v="140"/>
    <s v="2353"/>
    <s v="OD16D6515"/>
    <n v="27.8"/>
    <x v="7"/>
    <n v="2800"/>
    <x v="60"/>
  </r>
  <r>
    <x v="141"/>
    <s v="2354"/>
    <s v="OD23Q4949"/>
    <n v="37.729999999999997"/>
    <x v="7"/>
    <n v="3800.92"/>
    <x v="19"/>
  </r>
  <r>
    <x v="141"/>
    <s v="2355"/>
    <s v="JH01FS6302"/>
    <n v="30"/>
    <x v="7"/>
    <n v="3022.2"/>
    <x v="5"/>
  </r>
  <r>
    <x v="141"/>
    <s v="2356"/>
    <s v="OD16K7132"/>
    <n v="200"/>
    <x v="7"/>
    <n v="20148"/>
    <x v="62"/>
  </r>
  <r>
    <x v="141"/>
    <s v="2357"/>
    <s v="OD23H9543"/>
    <n v="245.19"/>
    <x v="7"/>
    <n v="24700.44"/>
    <x v="25"/>
  </r>
  <r>
    <x v="141"/>
    <s v="2358"/>
    <s v="OD15AA5823"/>
    <n v="50"/>
    <x v="7"/>
    <n v="5037"/>
    <x v="38"/>
  </r>
  <r>
    <x v="141"/>
    <s v="2359"/>
    <s v="OD15N0455"/>
    <n v="86"/>
    <x v="7"/>
    <n v="8663.64"/>
    <x v="38"/>
  </r>
  <r>
    <x v="141"/>
    <s v="2360"/>
    <s v="OD15K2690"/>
    <n v="30"/>
    <x v="7"/>
    <n v="3022.2"/>
    <x v="38"/>
  </r>
  <r>
    <x v="141"/>
    <s v="2361"/>
    <s v="OD15K2690"/>
    <n v="50"/>
    <x v="7"/>
    <n v="5037"/>
    <x v="38"/>
  </r>
  <r>
    <x v="141"/>
    <s v="2362"/>
    <s v="OD16D7094"/>
    <n v="27.8"/>
    <x v="7"/>
    <n v="2800"/>
    <x v="60"/>
  </r>
  <r>
    <x v="141"/>
    <s v="2363"/>
    <s v="OD16D6515"/>
    <n v="27.8"/>
    <x v="7"/>
    <n v="2800"/>
    <x v="60"/>
  </r>
  <r>
    <x v="141"/>
    <s v="2364"/>
    <s v="OD16D7087"/>
    <n v="27.8"/>
    <x v="7"/>
    <n v="2800"/>
    <x v="60"/>
  </r>
  <r>
    <x v="141"/>
    <s v="2365"/>
    <s v="OD16D7068"/>
    <n v="27.8"/>
    <x v="7"/>
    <n v="2800"/>
    <x v="60"/>
  </r>
  <r>
    <x v="141"/>
    <s v="2366"/>
    <s v="OD16D7082"/>
    <n v="27.8"/>
    <x v="7"/>
    <n v="2800"/>
    <x v="60"/>
  </r>
  <r>
    <x v="141"/>
    <s v="2367"/>
    <s v="OD16D7089"/>
    <n v="27.8"/>
    <x v="7"/>
    <n v="2800"/>
    <x v="60"/>
  </r>
  <r>
    <x v="141"/>
    <s v="2368"/>
    <s v="OD16E9644"/>
    <n v="27.8"/>
    <x v="7"/>
    <n v="2800"/>
    <x v="60"/>
  </r>
  <r>
    <x v="141"/>
    <s v="2369"/>
    <s v="OD16E9519"/>
    <n v="27.8"/>
    <x v="7"/>
    <n v="2800"/>
    <x v="60"/>
  </r>
  <r>
    <x v="141"/>
    <s v="2370"/>
    <s v="OD16D7070"/>
    <n v="27.8"/>
    <x v="7"/>
    <n v="2800"/>
    <x v="60"/>
  </r>
  <r>
    <x v="141"/>
    <s v="2371"/>
    <s v="OD16D6574"/>
    <n v="27.8"/>
    <x v="7"/>
    <n v="2800"/>
    <x v="60"/>
  </r>
  <r>
    <x v="141"/>
    <s v="2372"/>
    <s v="OD16E9647"/>
    <n v="27.8"/>
    <x v="7"/>
    <n v="2800"/>
    <x v="60"/>
  </r>
  <r>
    <x v="141"/>
    <s v="2373"/>
    <m/>
    <n v="1095.18"/>
    <x v="7"/>
    <n v="110328.7"/>
    <x v="63"/>
  </r>
  <r>
    <x v="141"/>
    <s v="2374"/>
    <m/>
    <n v="9.93"/>
    <x v="7"/>
    <n v="1000"/>
    <x v="61"/>
  </r>
  <r>
    <x v="141"/>
    <s v="2375"/>
    <s v="OD15AF5510"/>
    <n v="1581.44"/>
    <x v="7"/>
    <n v="159314.26999999999"/>
    <x v="15"/>
  </r>
  <r>
    <x v="141"/>
    <s v="2376"/>
    <m/>
    <n v="233"/>
    <x v="7"/>
    <n v="23472.42"/>
    <x v="7"/>
  </r>
  <r>
    <x v="141"/>
    <s v="2377"/>
    <m/>
    <n v="911.48"/>
    <x v="7"/>
    <n v="91822.56"/>
    <x v="21"/>
  </r>
  <r>
    <x v="141"/>
    <s v="2378"/>
    <s v="Consumer"/>
    <n v="20"/>
    <x v="7"/>
    <n v="2014.8"/>
    <x v="8"/>
  </r>
  <r>
    <x v="141"/>
    <s v="2379"/>
    <s v="Transporting"/>
    <n v="1807.62"/>
    <x v="7"/>
    <n v="182100"/>
    <x v="8"/>
  </r>
  <r>
    <x v="142"/>
    <s v="2380"/>
    <s v="OD23A3710"/>
    <n v="12000"/>
    <x v="8"/>
    <n v="1194000"/>
    <x v="0"/>
  </r>
  <r>
    <x v="142"/>
    <s v="2381"/>
    <s v="OR15R1110"/>
    <n v="12000"/>
    <x v="10"/>
    <n v="1199880"/>
    <x v="67"/>
  </r>
  <r>
    <x v="142"/>
    <s v="2382"/>
    <s v="OD23A3710"/>
    <n v="12000"/>
    <x v="10"/>
    <n v="1199880"/>
    <x v="67"/>
  </r>
  <r>
    <x v="142"/>
    <s v="2383"/>
    <s v="OR15R5510"/>
    <n v="12000"/>
    <x v="8"/>
    <n v="1194000"/>
    <x v="24"/>
  </r>
  <r>
    <x v="142"/>
    <s v="2384"/>
    <s v="OR15R9360"/>
    <n v="18000"/>
    <x v="8"/>
    <n v="1791000"/>
    <x v="1"/>
  </r>
  <r>
    <x v="142"/>
    <s v="2385"/>
    <s v="Transporting"/>
    <n v="2386.34"/>
    <x v="7"/>
    <n v="240400"/>
    <x v="8"/>
  </r>
  <r>
    <x v="142"/>
    <s v="2386"/>
    <m/>
    <n v="1002.69"/>
    <x v="7"/>
    <n v="101011"/>
    <x v="21"/>
  </r>
  <r>
    <x v="142"/>
    <s v="2387"/>
    <s v="OD15AF5510"/>
    <n v="2000"/>
    <x v="9"/>
    <n v="200480"/>
    <x v="16"/>
  </r>
  <r>
    <x v="142"/>
    <s v="2388"/>
    <s v="OD15AF5510"/>
    <n v="2294.85"/>
    <x v="7"/>
    <n v="231183.19"/>
    <x v="15"/>
  </r>
  <r>
    <x v="142"/>
    <s v="2389"/>
    <m/>
    <n v="797"/>
    <x v="7"/>
    <n v="80289.78"/>
    <x v="7"/>
  </r>
  <r>
    <x v="142"/>
    <s v="2390"/>
    <m/>
    <n v="4.67"/>
    <x v="7"/>
    <n v="470"/>
    <x v="61"/>
  </r>
  <r>
    <x v="142"/>
    <s v="2391"/>
    <m/>
    <n v="218.81"/>
    <x v="7"/>
    <n v="22043"/>
    <x v="63"/>
  </r>
  <r>
    <x v="142"/>
    <s v="2392"/>
    <s v="OD23A8210"/>
    <n v="52.63"/>
    <x v="7"/>
    <n v="5301.94"/>
    <x v="2"/>
  </r>
  <r>
    <x v="142"/>
    <s v="2393"/>
    <s v="OD15Y4061"/>
    <n v="24.82"/>
    <x v="7"/>
    <n v="2500"/>
    <x v="38"/>
  </r>
  <r>
    <x v="142"/>
    <s v="2394"/>
    <s v="OD15AE7230"/>
    <n v="20"/>
    <x v="7"/>
    <n v="2014.8"/>
    <x v="38"/>
  </r>
  <r>
    <x v="142"/>
    <s v="2395"/>
    <s v="JH01FS6302"/>
    <n v="46.04"/>
    <x v="7"/>
    <n v="4638.0600000000004"/>
    <x v="5"/>
  </r>
  <r>
    <x v="142"/>
    <s v="2396"/>
    <s v="OD15AA4091"/>
    <n v="10"/>
    <x v="7"/>
    <n v="1007.4"/>
    <x v="5"/>
  </r>
  <r>
    <x v="142"/>
    <s v="2397"/>
    <s v="OD16L4114"/>
    <n v="200"/>
    <x v="7"/>
    <n v="20148"/>
    <x v="62"/>
  </r>
  <r>
    <x v="142"/>
    <s v="2398"/>
    <s v="OD16K7108"/>
    <n v="200"/>
    <x v="7"/>
    <n v="20148"/>
    <x v="62"/>
  </r>
  <r>
    <x v="142"/>
    <s v="2399"/>
    <s v="OD16L4158"/>
    <n v="178.68"/>
    <x v="7"/>
    <n v="18000"/>
    <x v="62"/>
  </r>
  <r>
    <x v="142"/>
    <s v="2400"/>
    <s v="OD16L4103"/>
    <n v="178.68"/>
    <x v="7"/>
    <n v="18000"/>
    <x v="62"/>
  </r>
  <r>
    <x v="142"/>
    <s v="2401"/>
    <s v="OD16L4151"/>
    <n v="178.68"/>
    <x v="7"/>
    <n v="18000"/>
    <x v="62"/>
  </r>
  <r>
    <x v="142"/>
    <s v="2402"/>
    <s v="OD16D7070"/>
    <n v="27.8"/>
    <x v="7"/>
    <n v="2800"/>
    <x v="60"/>
  </r>
  <r>
    <x v="142"/>
    <s v="2403"/>
    <s v="OD16D7069"/>
    <n v="27.8"/>
    <x v="7"/>
    <n v="2800"/>
    <x v="60"/>
  </r>
  <r>
    <x v="142"/>
    <s v="2404"/>
    <s v="OD16D7089"/>
    <n v="27.8"/>
    <x v="7"/>
    <n v="2800"/>
    <x v="60"/>
  </r>
  <r>
    <x v="142"/>
    <s v="2405"/>
    <s v="OD16E9519"/>
    <n v="27.8"/>
    <x v="7"/>
    <n v="2800"/>
    <x v="60"/>
  </r>
  <r>
    <x v="142"/>
    <s v="2406"/>
    <s v="OD23N9737"/>
    <n v="27.8"/>
    <x v="7"/>
    <n v="2800"/>
    <x v="60"/>
  </r>
  <r>
    <x v="142"/>
    <s v="2407"/>
    <s v="OD16E9647"/>
    <n v="27.8"/>
    <x v="7"/>
    <n v="2800"/>
    <x v="60"/>
  </r>
  <r>
    <x v="142"/>
    <s v="2408"/>
    <s v="OD16D6574"/>
    <n v="27.8"/>
    <x v="7"/>
    <n v="2800"/>
    <x v="60"/>
  </r>
  <r>
    <x v="142"/>
    <s v="2409"/>
    <s v="OD16E9642"/>
    <n v="27.8"/>
    <x v="7"/>
    <n v="2800"/>
    <x v="60"/>
  </r>
  <r>
    <x v="142"/>
    <s v="2410"/>
    <s v="OD23N9926"/>
    <n v="27.8"/>
    <x v="7"/>
    <n v="2800"/>
    <x v="60"/>
  </r>
  <r>
    <x v="142"/>
    <s v="2411"/>
    <s v="OD16E9644"/>
    <n v="27.8"/>
    <x v="7"/>
    <n v="2800"/>
    <x v="60"/>
  </r>
  <r>
    <x v="142"/>
    <s v="2412"/>
    <s v="OD16D6515"/>
    <n v="27.8"/>
    <x v="7"/>
    <n v="2800"/>
    <x v="60"/>
  </r>
  <r>
    <x v="142"/>
    <s v="2413"/>
    <s v="OD16E9647"/>
    <n v="27.8"/>
    <x v="7"/>
    <n v="2800"/>
    <x v="60"/>
  </r>
  <r>
    <x v="142"/>
    <s v="2414"/>
    <s v="OD23V1293"/>
    <n v="27.8"/>
    <x v="7"/>
    <n v="2800"/>
    <x v="60"/>
  </r>
  <r>
    <x v="142"/>
    <s v="2415"/>
    <s v="OD23P1018"/>
    <n v="27.8"/>
    <x v="7"/>
    <n v="2800"/>
    <x v="60"/>
  </r>
  <r>
    <x v="142"/>
    <s v="2416"/>
    <s v="OD23P1073"/>
    <n v="27.8"/>
    <x v="7"/>
    <n v="2800"/>
    <x v="60"/>
  </r>
  <r>
    <x v="142"/>
    <s v="2417"/>
    <s v="OD23V1292"/>
    <n v="27.8"/>
    <x v="7"/>
    <n v="2800"/>
    <x v="60"/>
  </r>
  <r>
    <x v="142"/>
    <s v="2418"/>
    <s v="OD23N9735"/>
    <n v="27.8"/>
    <x v="7"/>
    <n v="2800"/>
    <x v="60"/>
  </r>
  <r>
    <x v="142"/>
    <s v="2419"/>
    <s v="OD16D7082"/>
    <n v="27.8"/>
    <x v="7"/>
    <n v="2800"/>
    <x v="60"/>
  </r>
  <r>
    <x v="142"/>
    <s v="2420"/>
    <s v="OD23P1029"/>
    <n v="27.8"/>
    <x v="7"/>
    <n v="2800"/>
    <x v="60"/>
  </r>
  <r>
    <x v="142"/>
    <s v="2421"/>
    <s v="OD23N9937"/>
    <n v="27.8"/>
    <x v="7"/>
    <n v="2800"/>
    <x v="60"/>
  </r>
  <r>
    <x v="142"/>
    <s v="2422"/>
    <s v="OD23N9933"/>
    <n v="27.8"/>
    <x v="7"/>
    <n v="2800"/>
    <x v="60"/>
  </r>
  <r>
    <x v="142"/>
    <s v="2423"/>
    <s v="OD16E9647"/>
    <n v="27.8"/>
    <x v="7"/>
    <n v="2800"/>
    <x v="60"/>
  </r>
  <r>
    <x v="142"/>
    <s v="2424"/>
    <s v="OD23P1073"/>
    <n v="27.8"/>
    <x v="7"/>
    <n v="2800"/>
    <x v="60"/>
  </r>
  <r>
    <x v="142"/>
    <s v="2425"/>
    <s v="OD15AF5510"/>
    <n v="198.53"/>
    <x v="7"/>
    <n v="20000"/>
    <x v="64"/>
  </r>
  <r>
    <x v="143"/>
    <s v="2426"/>
    <s v="OD23Q4511"/>
    <n v="1200"/>
    <x v="7"/>
    <n v="120888"/>
    <x v="33"/>
  </r>
  <r>
    <x v="143"/>
    <s v="2427"/>
    <s v="OR15R1110"/>
    <n v="12000"/>
    <x v="8"/>
    <n v="1194000"/>
    <x v="1"/>
  </r>
  <r>
    <x v="143"/>
    <s v="2428"/>
    <m/>
    <n v="484.17"/>
    <x v="7"/>
    <n v="48775"/>
    <x v="63"/>
  </r>
  <r>
    <x v="143"/>
    <s v="2429"/>
    <m/>
    <n v="238.02"/>
    <x v="7"/>
    <n v="23978.12"/>
    <x v="7"/>
  </r>
  <r>
    <x v="143"/>
    <s v="2430"/>
    <m/>
    <n v="692.03"/>
    <x v="7"/>
    <n v="69715.34"/>
    <x v="21"/>
  </r>
  <r>
    <x v="143"/>
    <s v="2431"/>
    <s v="Transporting"/>
    <n v="2565.02"/>
    <x v="7"/>
    <n v="258400"/>
    <x v="8"/>
  </r>
  <r>
    <x v="143"/>
    <s v="2432"/>
    <s v="OD15AF5510"/>
    <n v="1074.81"/>
    <x v="7"/>
    <n v="108276.36"/>
    <x v="15"/>
  </r>
  <r>
    <x v="143"/>
    <s v="2433"/>
    <s v="OD23A3710"/>
    <n v="306.70999999999998"/>
    <x v="7"/>
    <n v="30897.96"/>
    <x v="3"/>
  </r>
  <r>
    <x v="143"/>
    <s v="2434"/>
    <s v="OD23U8210"/>
    <n v="200"/>
    <x v="7"/>
    <n v="20148"/>
    <x v="3"/>
  </r>
  <r>
    <x v="143"/>
    <s v="2435"/>
    <s v="MP66ZB9863"/>
    <n v="99.27"/>
    <x v="7"/>
    <n v="10000"/>
    <x v="64"/>
  </r>
  <r>
    <x v="143"/>
    <s v="2436"/>
    <s v="OD16L8463"/>
    <n v="200"/>
    <x v="7"/>
    <n v="20148"/>
    <x v="62"/>
  </r>
  <r>
    <x v="143"/>
    <s v="2437"/>
    <s v="OD16J8242"/>
    <n v="89.34"/>
    <x v="7"/>
    <n v="9000"/>
    <x v="29"/>
  </r>
  <r>
    <x v="143"/>
    <s v="2438"/>
    <s v="OD15K2690"/>
    <n v="50"/>
    <x v="7"/>
    <n v="5037"/>
    <x v="38"/>
  </r>
  <r>
    <x v="143"/>
    <s v="2439"/>
    <s v="OD15N0455"/>
    <n v="86.4"/>
    <x v="7"/>
    <n v="8703.93"/>
    <x v="38"/>
  </r>
  <r>
    <x v="143"/>
    <s v="2440"/>
    <s v="OD23U5910"/>
    <n v="100.64"/>
    <x v="7"/>
    <n v="10138.469999999999"/>
    <x v="5"/>
  </r>
  <r>
    <x v="143"/>
    <s v="2441"/>
    <s v="OD23V1293"/>
    <n v="27.8"/>
    <x v="7"/>
    <n v="2800"/>
    <x v="60"/>
  </r>
  <r>
    <x v="143"/>
    <s v="2442"/>
    <s v="OD23V1271"/>
    <n v="27.8"/>
    <x v="7"/>
    <n v="2800"/>
    <x v="60"/>
  </r>
  <r>
    <x v="143"/>
    <s v="2443"/>
    <s v="OD23V1268"/>
    <n v="27.8"/>
    <x v="7"/>
    <n v="2800"/>
    <x v="60"/>
  </r>
  <r>
    <x v="143"/>
    <s v="2444"/>
    <s v="OD23V1202"/>
    <n v="27.8"/>
    <x v="7"/>
    <n v="2800"/>
    <x v="60"/>
  </r>
  <r>
    <x v="143"/>
    <s v="2445"/>
    <s v="OD16D7094"/>
    <n v="27.8"/>
    <x v="7"/>
    <n v="2800"/>
    <x v="60"/>
  </r>
  <r>
    <x v="143"/>
    <s v="2446"/>
    <s v="OD23N9923"/>
    <n v="27.8"/>
    <x v="7"/>
    <n v="2800"/>
    <x v="60"/>
  </r>
  <r>
    <x v="143"/>
    <s v="2447"/>
    <s v="OD23N9737"/>
    <n v="27.8"/>
    <x v="7"/>
    <n v="2800"/>
    <x v="60"/>
  </r>
  <r>
    <x v="143"/>
    <s v="2448"/>
    <s v="OD23N9937"/>
    <n v="27.8"/>
    <x v="7"/>
    <n v="2800"/>
    <x v="60"/>
  </r>
  <r>
    <x v="143"/>
    <s v="2449"/>
    <s v="OD16E9642"/>
    <n v="27.8"/>
    <x v="7"/>
    <n v="2800"/>
    <x v="60"/>
  </r>
  <r>
    <x v="143"/>
    <s v="2450"/>
    <s v="OD23P1018"/>
    <n v="27.8"/>
    <x v="7"/>
    <n v="2800"/>
    <x v="60"/>
  </r>
  <r>
    <x v="143"/>
    <s v="2451"/>
    <s v="OD16D6574"/>
    <n v="27.8"/>
    <x v="7"/>
    <n v="2800"/>
    <x v="60"/>
  </r>
  <r>
    <x v="143"/>
    <s v="2452"/>
    <s v="OD16D7089"/>
    <n v="27.8"/>
    <x v="7"/>
    <n v="2800"/>
    <x v="60"/>
  </r>
  <r>
    <x v="143"/>
    <s v="2453"/>
    <s v="OD16E9519"/>
    <n v="27.8"/>
    <x v="7"/>
    <n v="2800"/>
    <x v="60"/>
  </r>
  <r>
    <x v="143"/>
    <s v="2454"/>
    <s v="OD16E9647"/>
    <n v="27.8"/>
    <x v="7"/>
    <n v="2800"/>
    <x v="60"/>
  </r>
  <r>
    <x v="143"/>
    <s v="2455"/>
    <s v="OD23N9735"/>
    <n v="27.8"/>
    <x v="7"/>
    <n v="2800"/>
    <x v="60"/>
  </r>
  <r>
    <x v="143"/>
    <s v="2456"/>
    <s v="OD23V1292"/>
    <n v="27.8"/>
    <x v="7"/>
    <n v="2800"/>
    <x v="60"/>
  </r>
  <r>
    <x v="143"/>
    <s v="2457"/>
    <s v="OD16D7094"/>
    <n v="27.8"/>
    <x v="7"/>
    <n v="2800"/>
    <x v="60"/>
  </r>
  <r>
    <x v="143"/>
    <s v="2458"/>
    <s v="OD16D6515"/>
    <n v="27.8"/>
    <x v="7"/>
    <n v="2800"/>
    <x v="60"/>
  </r>
  <r>
    <x v="143"/>
    <s v="2459"/>
    <s v="OD16E9644"/>
    <n v="27.8"/>
    <x v="7"/>
    <n v="2800"/>
    <x v="60"/>
  </r>
  <r>
    <x v="143"/>
    <s v="2460"/>
    <s v="OD16D7070"/>
    <n v="27.8"/>
    <x v="7"/>
    <n v="2800"/>
    <x v="60"/>
  </r>
  <r>
    <x v="143"/>
    <s v="2461"/>
    <s v="OD23V1202"/>
    <n v="27.8"/>
    <x v="7"/>
    <n v="2800"/>
    <x v="60"/>
  </r>
  <r>
    <x v="143"/>
    <s v="2462"/>
    <s v="OD23N9947"/>
    <n v="27.8"/>
    <x v="7"/>
    <n v="2800"/>
    <x v="60"/>
  </r>
  <r>
    <x v="143"/>
    <s v="2463"/>
    <s v="OD23P1087"/>
    <n v="27.8"/>
    <x v="7"/>
    <n v="2800"/>
    <x v="60"/>
  </r>
  <r>
    <x v="143"/>
    <s v="2464"/>
    <s v="OD23P1018"/>
    <n v="27.8"/>
    <x v="7"/>
    <n v="2800"/>
    <x v="60"/>
  </r>
  <r>
    <x v="143"/>
    <s v="2465"/>
    <s v="OD16E9642"/>
    <n v="27.8"/>
    <x v="7"/>
    <n v="2800"/>
    <x v="60"/>
  </r>
  <r>
    <x v="143"/>
    <s v="2466"/>
    <s v="OD16D7103"/>
    <n v="27.8"/>
    <x v="7"/>
    <n v="2800"/>
    <x v="60"/>
  </r>
  <r>
    <x v="143"/>
    <s v="2467"/>
    <s v="OD16D7082"/>
    <n v="27.8"/>
    <x v="7"/>
    <n v="2800"/>
    <x v="60"/>
  </r>
  <r>
    <x v="143"/>
    <s v="2468"/>
    <s v="OD23N9926"/>
    <n v="27.8"/>
    <x v="7"/>
    <n v="2800"/>
    <x v="60"/>
  </r>
  <r>
    <x v="143"/>
    <s v="2469"/>
    <s v="OD23P1073"/>
    <n v="27.8"/>
    <x v="7"/>
    <n v="2800"/>
    <x v="60"/>
  </r>
  <r>
    <x v="143"/>
    <s v="2470"/>
    <s v="OD23N9937"/>
    <n v="27.8"/>
    <x v="7"/>
    <n v="2800"/>
    <x v="60"/>
  </r>
  <r>
    <x v="143"/>
    <s v="2471"/>
    <s v="OD23N9737"/>
    <n v="27.8"/>
    <x v="7"/>
    <n v="2800"/>
    <x v="60"/>
  </r>
  <r>
    <x v="143"/>
    <s v="2472"/>
    <s v="OD23N9933"/>
    <n v="27.8"/>
    <x v="7"/>
    <n v="2800"/>
    <x v="60"/>
  </r>
  <r>
    <x v="143"/>
    <s v="2473"/>
    <s v="OD16D7087"/>
    <n v="27.8"/>
    <x v="7"/>
    <n v="2800"/>
    <x v="60"/>
  </r>
  <r>
    <x v="143"/>
    <s v="2474"/>
    <s v="OR15R9360"/>
    <n v="18000"/>
    <x v="10"/>
    <n v="1799820"/>
    <x v="67"/>
  </r>
  <r>
    <x v="144"/>
    <s v="2475"/>
    <s v="OR15R5510"/>
    <n v="12000"/>
    <x v="10"/>
    <n v="1199880"/>
    <x v="67"/>
  </r>
  <r>
    <x v="144"/>
    <s v="2476"/>
    <s v="OD23A3710"/>
    <n v="12000"/>
    <x v="10"/>
    <n v="1199880"/>
    <x v="67"/>
  </r>
  <r>
    <x v="144"/>
    <s v="2477"/>
    <s v="OR15R9360"/>
    <n v="18000"/>
    <x v="8"/>
    <n v="1791000"/>
    <x v="1"/>
  </r>
  <r>
    <x v="144"/>
    <s v="2478"/>
    <s v="OD23M0874"/>
    <n v="297.8"/>
    <x v="7"/>
    <n v="30000"/>
    <x v="66"/>
  </r>
  <r>
    <x v="144"/>
    <s v="2479"/>
    <s v="OD15AF5510"/>
    <n v="45.5"/>
    <x v="7"/>
    <n v="4583.67"/>
    <x v="3"/>
  </r>
  <r>
    <x v="144"/>
    <s v="2480"/>
    <s v="OD07T4372"/>
    <n v="340"/>
    <x v="7"/>
    <n v="34251.599999999999"/>
    <x v="25"/>
  </r>
  <r>
    <x v="144"/>
    <s v="2481"/>
    <s v="JH01FS6302"/>
    <n v="20"/>
    <x v="7"/>
    <n v="2014.8"/>
    <x v="5"/>
  </r>
  <r>
    <x v="144"/>
    <s v="2482"/>
    <s v="OD15Z1430"/>
    <n v="10"/>
    <x v="7"/>
    <n v="1007.4"/>
    <x v="38"/>
  </r>
  <r>
    <x v="144"/>
    <s v="2483"/>
    <s v="OD15Z1430"/>
    <n v="10"/>
    <x v="7"/>
    <n v="1007.4"/>
    <x v="38"/>
  </r>
  <r>
    <x v="144"/>
    <s v="2484"/>
    <s v="OD16E9644"/>
    <n v="27.8"/>
    <x v="7"/>
    <n v="2800"/>
    <x v="60"/>
  </r>
  <r>
    <x v="144"/>
    <s v="2485"/>
    <s v="OD16D6574"/>
    <n v="27.8"/>
    <x v="7"/>
    <n v="2800"/>
    <x v="60"/>
  </r>
  <r>
    <x v="144"/>
    <s v="2486"/>
    <s v="OD16D9822"/>
    <n v="27.8"/>
    <x v="7"/>
    <n v="2800"/>
    <x v="60"/>
  </r>
  <r>
    <x v="144"/>
    <s v="2487"/>
    <s v="OD23V1223"/>
    <n v="27.8"/>
    <x v="7"/>
    <n v="2800"/>
    <x v="60"/>
  </r>
  <r>
    <x v="144"/>
    <s v="2488"/>
    <s v="OD16D7094"/>
    <n v="27.8"/>
    <x v="7"/>
    <n v="2800"/>
    <x v="60"/>
  </r>
  <r>
    <x v="144"/>
    <s v="2489"/>
    <s v="OD16D7087"/>
    <n v="27.8"/>
    <x v="7"/>
    <n v="2800"/>
    <x v="60"/>
  </r>
  <r>
    <x v="144"/>
    <s v="2490"/>
    <s v="OD16D7089"/>
    <n v="27.8"/>
    <x v="7"/>
    <n v="2800"/>
    <x v="60"/>
  </r>
  <r>
    <x v="144"/>
    <s v="2491"/>
    <s v="OD23P1029"/>
    <n v="27.8"/>
    <x v="7"/>
    <n v="2800"/>
    <x v="60"/>
  </r>
  <r>
    <x v="144"/>
    <s v="2492"/>
    <s v="OD16E9519"/>
    <n v="27.8"/>
    <x v="7"/>
    <n v="2800"/>
    <x v="60"/>
  </r>
  <r>
    <x v="144"/>
    <s v="2493"/>
    <s v="OD23N9933"/>
    <n v="27.8"/>
    <x v="7"/>
    <n v="2800"/>
    <x v="60"/>
  </r>
  <r>
    <x v="144"/>
    <s v="2494"/>
    <s v="OD23N9737"/>
    <n v="27.8"/>
    <x v="7"/>
    <n v="2800"/>
    <x v="60"/>
  </r>
  <r>
    <x v="144"/>
    <s v="2495"/>
    <s v="OD23P1073"/>
    <n v="27.8"/>
    <x v="7"/>
    <n v="2800"/>
    <x v="60"/>
  </r>
  <r>
    <x v="144"/>
    <s v="2496"/>
    <s v="OD16E9647"/>
    <n v="27.8"/>
    <x v="7"/>
    <n v="2800"/>
    <x v="60"/>
  </r>
  <r>
    <x v="144"/>
    <s v="2497"/>
    <s v="OD16E9642"/>
    <n v="27.8"/>
    <x v="7"/>
    <n v="2800"/>
    <x v="60"/>
  </r>
  <r>
    <x v="144"/>
    <s v="2498"/>
    <s v="OD16D7103"/>
    <n v="27.8"/>
    <x v="7"/>
    <n v="2800"/>
    <x v="60"/>
  </r>
  <r>
    <x v="144"/>
    <s v="2499"/>
    <s v="OD23P1087"/>
    <n v="27.8"/>
    <x v="7"/>
    <n v="2800"/>
    <x v="60"/>
  </r>
  <r>
    <x v="144"/>
    <s v="2500"/>
    <s v="OD23N9937"/>
    <n v="27.8"/>
    <x v="7"/>
    <n v="2800"/>
    <x v="60"/>
  </r>
  <r>
    <x v="144"/>
    <s v="2501"/>
    <s v="OD23N9947"/>
    <n v="27.8"/>
    <x v="7"/>
    <n v="2800"/>
    <x v="60"/>
  </r>
  <r>
    <x v="144"/>
    <s v="2502"/>
    <s v="OD23P1018"/>
    <n v="27.8"/>
    <x v="7"/>
    <n v="2800"/>
    <x v="60"/>
  </r>
  <r>
    <x v="144"/>
    <s v="2503"/>
    <s v="OD23N9926"/>
    <n v="27.8"/>
    <x v="7"/>
    <n v="2800"/>
    <x v="60"/>
  </r>
  <r>
    <x v="144"/>
    <s v="2504"/>
    <s v="OD16E9647"/>
    <n v="27.8"/>
    <x v="7"/>
    <n v="2800"/>
    <x v="60"/>
  </r>
  <r>
    <x v="144"/>
    <s v="2505"/>
    <s v="OD16D7082"/>
    <n v="27.8"/>
    <x v="7"/>
    <n v="2800"/>
    <x v="60"/>
  </r>
  <r>
    <x v="144"/>
    <s v="2506"/>
    <s v="OD23V1223"/>
    <n v="27.8"/>
    <x v="7"/>
    <n v="2800"/>
    <x v="60"/>
  </r>
  <r>
    <x v="144"/>
    <s v="2507"/>
    <s v="OD23P1018"/>
    <n v="27.8"/>
    <x v="7"/>
    <n v="2800"/>
    <x v="60"/>
  </r>
  <r>
    <x v="144"/>
    <s v="2508"/>
    <s v="OD23V1293"/>
    <n v="27.8"/>
    <x v="7"/>
    <n v="2800"/>
    <x v="60"/>
  </r>
  <r>
    <x v="144"/>
    <s v="2509"/>
    <s v="OD23N9947"/>
    <n v="27.8"/>
    <x v="7"/>
    <n v="2800"/>
    <x v="60"/>
  </r>
  <r>
    <x v="144"/>
    <s v="2510"/>
    <s v="OD16D7094"/>
    <n v="27.8"/>
    <x v="7"/>
    <n v="2800"/>
    <x v="60"/>
  </r>
  <r>
    <x v="144"/>
    <s v="2511"/>
    <s v="OD23N9937"/>
    <n v="27.8"/>
    <x v="7"/>
    <n v="2800"/>
    <x v="60"/>
  </r>
  <r>
    <x v="144"/>
    <s v="2512"/>
    <s v="OD23V1268"/>
    <n v="27.8"/>
    <x v="7"/>
    <n v="2800"/>
    <x v="60"/>
  </r>
  <r>
    <x v="144"/>
    <s v="2513"/>
    <s v="OD23V1271"/>
    <n v="27.8"/>
    <x v="7"/>
    <n v="2800"/>
    <x v="60"/>
  </r>
  <r>
    <x v="144"/>
    <s v="2514"/>
    <s v="OD23N9737"/>
    <n v="27.8"/>
    <x v="7"/>
    <n v="2800"/>
    <x v="60"/>
  </r>
  <r>
    <x v="144"/>
    <s v="2515"/>
    <s v="OD16D7070"/>
    <n v="27.8"/>
    <x v="7"/>
    <n v="2800"/>
    <x v="60"/>
  </r>
  <r>
    <x v="144"/>
    <s v="2516"/>
    <s v="OD16D7089"/>
    <n v="27.8"/>
    <x v="7"/>
    <n v="2800"/>
    <x v="60"/>
  </r>
  <r>
    <x v="144"/>
    <s v="2517"/>
    <s v="OD16D7087"/>
    <n v="27.8"/>
    <x v="7"/>
    <n v="2800"/>
    <x v="60"/>
  </r>
  <r>
    <x v="144"/>
    <s v="2518"/>
    <s v="OD16D7068"/>
    <n v="27.8"/>
    <x v="7"/>
    <n v="2800"/>
    <x v="60"/>
  </r>
  <r>
    <x v="144"/>
    <s v="2519"/>
    <s v="OD23P1029"/>
    <n v="27.8"/>
    <x v="7"/>
    <n v="2800"/>
    <x v="60"/>
  </r>
  <r>
    <x v="144"/>
    <s v="2520"/>
    <s v="OD16D7069"/>
    <n v="27.8"/>
    <x v="7"/>
    <n v="2800"/>
    <x v="60"/>
  </r>
  <r>
    <x v="144"/>
    <s v="2521"/>
    <s v="OD16E9519"/>
    <n v="27.8"/>
    <x v="7"/>
    <n v="2800"/>
    <x v="60"/>
  </r>
  <r>
    <x v="144"/>
    <s v="2522"/>
    <s v="OD16D6515"/>
    <n v="27.8"/>
    <x v="7"/>
    <n v="2800"/>
    <x v="60"/>
  </r>
  <r>
    <x v="144"/>
    <s v="2523"/>
    <m/>
    <n v="272.08999999999997"/>
    <x v="7"/>
    <n v="27410"/>
    <x v="63"/>
  </r>
  <r>
    <x v="144"/>
    <s v="2524"/>
    <m/>
    <n v="5.18"/>
    <x v="7"/>
    <n v="522"/>
    <x v="61"/>
  </r>
  <r>
    <x v="144"/>
    <s v="2525"/>
    <m/>
    <n v="41.89"/>
    <x v="7"/>
    <n v="4220"/>
    <x v="7"/>
  </r>
  <r>
    <x v="144"/>
    <s v="2526"/>
    <m/>
    <n v="1504.86"/>
    <x v="7"/>
    <n v="151599.9"/>
    <x v="21"/>
  </r>
  <r>
    <x v="144"/>
    <s v="2527"/>
    <s v="Transporting"/>
    <n v="2034.94"/>
    <x v="7"/>
    <n v="205000"/>
    <x v="8"/>
  </r>
  <r>
    <x v="144"/>
    <s v="2528"/>
    <s v="OD15AF5510"/>
    <n v="198.53"/>
    <x v="7"/>
    <n v="20000"/>
    <x v="64"/>
  </r>
  <r>
    <x v="144"/>
    <s v="2529"/>
    <s v="OD15AF5510"/>
    <n v="985.97"/>
    <x v="7"/>
    <n v="99326.62"/>
    <x v="15"/>
  </r>
  <r>
    <x v="144"/>
    <s v="2530"/>
    <s v="OD15AF5510"/>
    <n v="2027.29"/>
    <x v="9"/>
    <n v="203215.55"/>
    <x v="16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  <r>
    <x v="145"/>
    <m/>
    <m/>
    <m/>
    <x v="11"/>
    <m/>
    <x v="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MS1"/>
    <s v="OD15AC5813"/>
    <n v="15"/>
    <n v="101.15"/>
    <n v="1517.25"/>
    <x v="0"/>
  </r>
  <r>
    <x v="1"/>
    <s v="MS2"/>
    <s v="OD15Z4831"/>
    <n v="29.8"/>
    <n v="101.15"/>
    <n v="3014.27"/>
    <x v="0"/>
  </r>
  <r>
    <x v="1"/>
    <s v="MS3"/>
    <s v="OD23T5838"/>
    <n v="27.69"/>
    <n v="101.15"/>
    <n v="2800.84"/>
    <x v="0"/>
  </r>
  <r>
    <x v="1"/>
    <s v="MS4"/>
    <s v="OD23M9485"/>
    <n v="37.36"/>
    <n v="101.15"/>
    <n v="3778.96"/>
    <x v="1"/>
  </r>
  <r>
    <x v="2"/>
    <s v="MS5"/>
    <s v="OD23M4614"/>
    <n v="200"/>
    <n v="101.15"/>
    <n v="20230"/>
    <x v="2"/>
  </r>
  <r>
    <x v="2"/>
    <s v="MS6"/>
    <s v="OD05AN7688"/>
    <n v="20"/>
    <n v="101.15"/>
    <n v="2023"/>
    <x v="3"/>
  </r>
  <r>
    <x v="2"/>
    <s v="MS7"/>
    <s v="OD23P9344"/>
    <n v="4.33"/>
    <n v="101.15"/>
    <n v="437.97"/>
    <x v="0"/>
  </r>
  <r>
    <x v="3"/>
    <s v="MS8"/>
    <s v="OD23N8956"/>
    <n v="2"/>
    <n v="101.15"/>
    <n v="202.3"/>
    <x v="0"/>
  </r>
  <r>
    <x v="3"/>
    <s v="MS9"/>
    <s v="JH09AW8179"/>
    <n v="3"/>
    <n v="101.15"/>
    <n v="303.45"/>
    <x v="4"/>
  </r>
  <r>
    <x v="4"/>
    <s v="MS10"/>
    <s v="AP03BE9123"/>
    <n v="20"/>
    <n v="101.15"/>
    <n v="2023"/>
    <x v="3"/>
  </r>
  <r>
    <x v="5"/>
    <s v="MS11"/>
    <s v="OD23M4545"/>
    <n v="20"/>
    <n v="101.15"/>
    <n v="2023"/>
    <x v="5"/>
  </r>
  <r>
    <x v="6"/>
    <s v="MS12"/>
    <s v="OD23K4545"/>
    <n v="3.96"/>
    <n v="101.15"/>
    <n v="400.55"/>
    <x v="5"/>
  </r>
  <r>
    <x v="6"/>
    <s v="MS13"/>
    <s v="OD23P0325"/>
    <n v="34.79"/>
    <n v="101.15"/>
    <n v="3519"/>
    <x v="1"/>
  </r>
  <r>
    <x v="6"/>
    <s v="MS14"/>
    <s v="OD15Z4831"/>
    <n v="14.14"/>
    <n v="101.15"/>
    <n v="1430.26"/>
    <x v="0"/>
  </r>
  <r>
    <x v="6"/>
    <s v="MS15"/>
    <s v="OD15AC5813"/>
    <n v="29.02"/>
    <n v="101.15"/>
    <n v="2935.37"/>
    <x v="0"/>
  </r>
  <r>
    <x v="6"/>
    <s v="MS16"/>
    <s v="OD05AN7688"/>
    <n v="20"/>
    <n v="101.15"/>
    <n v="2023"/>
    <x v="3"/>
  </r>
  <r>
    <x v="6"/>
    <s v="MS17"/>
    <s v="JH01FS6302"/>
    <n v="5"/>
    <n v="101.15"/>
    <n v="505.75"/>
    <x v="4"/>
  </r>
  <r>
    <x v="6"/>
    <s v="MS18"/>
    <s v="OD23T9966"/>
    <n v="30.01"/>
    <n v="101.15"/>
    <n v="3035.51"/>
    <x v="6"/>
  </r>
  <r>
    <x v="7"/>
    <s v="MS19"/>
    <s v="OD23T5838"/>
    <n v="10"/>
    <n v="101.15"/>
    <n v="1011.5"/>
    <x v="0"/>
  </r>
  <r>
    <x v="8"/>
    <s v="MS20"/>
    <s v="OD23T5838"/>
    <n v="15"/>
    <n v="101.15"/>
    <n v="1517.25"/>
    <x v="0"/>
  </r>
  <r>
    <x v="8"/>
    <s v="MS21"/>
    <s v="OD05AN7688"/>
    <n v="20"/>
    <n v="101.15"/>
    <n v="2023"/>
    <x v="3"/>
  </r>
  <r>
    <x v="8"/>
    <s v="MS22"/>
    <s v="OD23M9485"/>
    <n v="34.9"/>
    <n v="101.15"/>
    <n v="3530.13"/>
    <x v="1"/>
  </r>
  <r>
    <x v="9"/>
    <s v="MS23"/>
    <s v="JH15AK1307"/>
    <n v="35.4"/>
    <n v="101.15"/>
    <n v="3580.71"/>
    <x v="3"/>
  </r>
  <r>
    <x v="9"/>
    <s v="MS24"/>
    <s v="OR15K6024"/>
    <n v="1.98"/>
    <n v="101.15"/>
    <n v="200"/>
    <x v="7"/>
  </r>
  <r>
    <x v="10"/>
    <s v="MS25"/>
    <s v="OD05AN7688"/>
    <n v="20"/>
    <n v="101.15"/>
    <n v="2023"/>
    <x v="3"/>
  </r>
  <r>
    <x v="10"/>
    <s v="MS26"/>
    <s v="OD15Z4831"/>
    <n v="15"/>
    <n v="101.15"/>
    <n v="1517.25"/>
    <x v="0"/>
  </r>
  <r>
    <x v="10"/>
    <s v="MS27"/>
    <s v="OD23M4545"/>
    <n v="20"/>
    <n v="101.15"/>
    <n v="2023"/>
    <x v="5"/>
  </r>
  <r>
    <x v="11"/>
    <s v="MS28"/>
    <s v="OR15K6024"/>
    <n v="4.9400000000000004"/>
    <n v="101.15"/>
    <n v="500"/>
    <x v="7"/>
  </r>
  <r>
    <x v="11"/>
    <s v="MS29"/>
    <s v="OD23T1010"/>
    <n v="32"/>
    <n v="101.15"/>
    <n v="3236.8"/>
    <x v="8"/>
  </r>
  <r>
    <x v="11"/>
    <s v="MS30"/>
    <s v="OD15AC5813"/>
    <n v="10"/>
    <n v="101.15"/>
    <n v="1011.5"/>
    <x v="0"/>
  </r>
  <r>
    <x v="12"/>
    <s v="MS31"/>
    <s v="OD23U4012"/>
    <n v="26.2"/>
    <n v="101.15"/>
    <n v="2650.13"/>
    <x v="9"/>
  </r>
  <r>
    <x v="12"/>
    <s v="MS32"/>
    <s v="OD05AN7688"/>
    <n v="20"/>
    <n v="101.15"/>
    <n v="2023"/>
    <x v="3"/>
  </r>
  <r>
    <x v="12"/>
    <s v="MS33"/>
    <s v="OD23N8956"/>
    <n v="3"/>
    <n v="101.15"/>
    <n v="303.45"/>
    <x v="0"/>
  </r>
  <r>
    <x v="13"/>
    <s v="MS34"/>
    <s v="OD23P9344"/>
    <n v="3.86"/>
    <n v="101.15"/>
    <n v="390.43"/>
    <x v="0"/>
  </r>
  <r>
    <x v="13"/>
    <s v="MS35"/>
    <s v="OD23N1010"/>
    <n v="50"/>
    <n v="101.15"/>
    <n v="5057.5"/>
    <x v="8"/>
  </r>
  <r>
    <x v="13"/>
    <s v="MS36"/>
    <s v="OD23M9485"/>
    <n v="30.75"/>
    <n v="101.15"/>
    <n v="3110.36"/>
    <x v="1"/>
  </r>
  <r>
    <x v="14"/>
    <s v="MS37"/>
    <s v="OD23K4545"/>
    <n v="4.71"/>
    <n v="101.15"/>
    <n v="476.41"/>
    <x v="5"/>
  </r>
  <r>
    <x v="14"/>
    <s v="MS38"/>
    <s v="OD05BT4545"/>
    <n v="20"/>
    <n v="101.15"/>
    <n v="2023"/>
    <x v="5"/>
  </r>
  <r>
    <x v="14"/>
    <s v="MS39"/>
    <s v="OD05AN7688"/>
    <n v="20"/>
    <n v="101.15"/>
    <n v="2023"/>
    <x v="3"/>
  </r>
  <r>
    <x v="15"/>
    <s v="MS40"/>
    <s v="OD05BT4545"/>
    <n v="28.87"/>
    <n v="101.15"/>
    <n v="2920.2"/>
    <x v="5"/>
  </r>
  <r>
    <x v="16"/>
    <s v="MS41"/>
    <s v="OD23T1010"/>
    <n v="41"/>
    <n v="101.15"/>
    <n v="4147.1499999999996"/>
    <x v="8"/>
  </r>
  <r>
    <x v="17"/>
    <s v="MS42"/>
    <s v="OD05AP4113"/>
    <n v="50"/>
    <n v="101.15"/>
    <n v="5057.5"/>
    <x v="10"/>
  </r>
  <r>
    <x v="17"/>
    <s v="MS43"/>
    <s v="OD05AN7688"/>
    <n v="20"/>
    <n v="101.15"/>
    <n v="2023"/>
    <x v="3"/>
  </r>
  <r>
    <x v="18"/>
    <s v="MS44"/>
    <s v="OD23M9485"/>
    <n v="37.020000000000003"/>
    <n v="101.15"/>
    <n v="3744.57"/>
    <x v="1"/>
  </r>
  <r>
    <x v="18"/>
    <s v="MS45"/>
    <s v="OD23P0325"/>
    <n v="35.83"/>
    <n v="101.15"/>
    <n v="3624.2"/>
    <x v="1"/>
  </r>
  <r>
    <x v="19"/>
    <s v="MS46"/>
    <s v="JH15AK1307"/>
    <n v="36.409999999999997"/>
    <n v="101.15"/>
    <n v="3682.87"/>
    <x v="3"/>
  </r>
  <r>
    <x v="19"/>
    <s v="MS47"/>
    <s v="OD05BT4545"/>
    <n v="29.66"/>
    <n v="101.15"/>
    <n v="3000.1"/>
    <x v="5"/>
  </r>
  <r>
    <x v="20"/>
    <s v="MS48"/>
    <s v="OD19J7274"/>
    <n v="20"/>
    <n v="101.15"/>
    <n v="2023"/>
    <x v="3"/>
  </r>
  <r>
    <x v="20"/>
    <s v="MS49"/>
    <s v="OD23U4012"/>
    <n v="21.22"/>
    <n v="101.15"/>
    <n v="2146.4"/>
    <x v="9"/>
  </r>
  <r>
    <x v="21"/>
    <s v="MS50"/>
    <s v="OR15K6024"/>
    <n v="2.97"/>
    <n v="101.15"/>
    <n v="300"/>
    <x v="7"/>
  </r>
  <r>
    <x v="21"/>
    <s v="MS51"/>
    <s v="OD15AA4091"/>
    <n v="1"/>
    <n v="101.15"/>
    <n v="101.15"/>
    <x v="4"/>
  </r>
  <r>
    <x v="22"/>
    <s v="MS52"/>
    <s v="OD14Z4545"/>
    <n v="20"/>
    <n v="101.15"/>
    <n v="2023"/>
    <x v="5"/>
  </r>
  <r>
    <x v="22"/>
    <s v="MS53"/>
    <s v="OD23-7259"/>
    <n v="20"/>
    <n v="101.15"/>
    <n v="2023"/>
    <x v="3"/>
  </r>
  <r>
    <x v="22"/>
    <s v="MS54"/>
    <s v="OD15AC5813"/>
    <n v="10"/>
    <n v="101.15"/>
    <n v="1011.5"/>
    <x v="0"/>
  </r>
  <r>
    <x v="23"/>
    <s v="MS55"/>
    <s v="OD23M4614"/>
    <n v="200"/>
    <n v="101.15"/>
    <n v="20230"/>
    <x v="2"/>
  </r>
  <r>
    <x v="24"/>
    <s v="MS56"/>
    <s v="JH15AK1307"/>
    <n v="32.409999999999997"/>
    <n v="101.15"/>
    <n v="3278.27"/>
    <x v="3"/>
  </r>
  <r>
    <x v="24"/>
    <s v="MS57"/>
    <s v="OD05BT4545"/>
    <n v="20"/>
    <n v="101.15"/>
    <n v="2023"/>
    <x v="5"/>
  </r>
  <r>
    <x v="24"/>
    <s v="MS58"/>
    <s v="OD23F4242"/>
    <n v="11.77"/>
    <n v="101.15"/>
    <n v="1190.53"/>
    <x v="0"/>
  </r>
  <r>
    <x v="24"/>
    <s v="MS59"/>
    <s v="OD23Q2866"/>
    <n v="5"/>
    <n v="101.15"/>
    <n v="505.75"/>
    <x v="0"/>
  </r>
  <r>
    <x v="25"/>
    <s v="MS60"/>
    <s v="OD23T5838"/>
    <n v="26.72"/>
    <n v="101.15"/>
    <n v="2702.72"/>
    <x v="0"/>
  </r>
  <r>
    <x v="26"/>
    <s v="MS61"/>
    <s v="OD05AN7688"/>
    <n v="20"/>
    <n v="101.15"/>
    <n v="2023"/>
    <x v="3"/>
  </r>
  <r>
    <x v="26"/>
    <s v="MS62"/>
    <s v="OD23M9485"/>
    <n v="35"/>
    <n v="101.15"/>
    <n v="3540.25"/>
    <x v="1"/>
  </r>
  <r>
    <x v="26"/>
    <s v="MS63"/>
    <s v="OD23K4545"/>
    <n v="4.1399999999999997"/>
    <n v="101.15"/>
    <n v="418.76"/>
    <x v="5"/>
  </r>
  <r>
    <x v="26"/>
    <s v="MS64"/>
    <s v="OD15AC5813"/>
    <n v="10"/>
    <n v="101.15"/>
    <n v="1011.5"/>
    <x v="0"/>
  </r>
  <r>
    <x v="27"/>
    <s v="MS65"/>
    <s v="OD14Z4545"/>
    <n v="25"/>
    <n v="101.15"/>
    <n v="2528.75"/>
    <x v="5"/>
  </r>
  <r>
    <x v="28"/>
    <s v="MS66"/>
    <s v="OD23N1010"/>
    <n v="40"/>
    <n v="101.15"/>
    <n v="4046"/>
    <x v="8"/>
  </r>
  <r>
    <x v="28"/>
    <s v="MS67"/>
    <s v="JAR 500x10"/>
    <n v="49.43"/>
    <n v="101.15"/>
    <n v="5000"/>
    <x v="5"/>
  </r>
  <r>
    <x v="29"/>
    <s v="MS68"/>
    <s v="OD15Z4831"/>
    <n v="17.8"/>
    <n v="101.15"/>
    <n v="1800.47"/>
    <x v="0"/>
  </r>
  <r>
    <x v="29"/>
    <s v="MS69"/>
    <s v="OR23F4242"/>
    <n v="5"/>
    <n v="101.15"/>
    <n v="505.75"/>
    <x v="0"/>
  </r>
  <r>
    <x v="29"/>
    <s v="MS70"/>
    <s v="OD15AC5813"/>
    <n v="10"/>
    <n v="101.15"/>
    <n v="1011.5"/>
    <x v="0"/>
  </r>
  <r>
    <x v="29"/>
    <s v="MS71"/>
    <s v="JH15AK1307"/>
    <n v="36.78"/>
    <n v="101.15"/>
    <n v="3720.29"/>
    <x v="3"/>
  </r>
  <r>
    <x v="29"/>
    <s v="MS72"/>
    <s v="OD05AN7688"/>
    <n v="20"/>
    <n v="101.15"/>
    <n v="2023"/>
    <x v="3"/>
  </r>
  <r>
    <x v="30"/>
    <s v="MS73"/>
    <s v="OD23T5838"/>
    <n v="23.56"/>
    <n v="101.15"/>
    <n v="2383.09"/>
    <x v="0"/>
  </r>
  <r>
    <x v="30"/>
    <s v="MS74"/>
    <s v="OD05BT4545"/>
    <n v="20"/>
    <n v="101.15"/>
    <n v="2023"/>
    <x v="5"/>
  </r>
  <r>
    <x v="30"/>
    <s v="MS75"/>
    <s v="OR15K6024"/>
    <n v="2.97"/>
    <n v="101.15"/>
    <n v="300"/>
    <x v="7"/>
  </r>
  <r>
    <x v="31"/>
    <s v="MS76"/>
    <s v="OD23M4545"/>
    <n v="20"/>
    <n v="101.15"/>
    <n v="2023"/>
    <x v="5"/>
  </r>
  <r>
    <x v="31"/>
    <s v="MS77"/>
    <s v="OD05BT4545"/>
    <n v="29"/>
    <n v="101.15"/>
    <n v="2933.35"/>
    <x v="5"/>
  </r>
  <r>
    <x v="31"/>
    <s v="MS78"/>
    <s v="OD23P9344"/>
    <n v="5.2"/>
    <n v="101.15"/>
    <n v="525.98"/>
    <x v="0"/>
  </r>
  <r>
    <x v="31"/>
    <s v="MS79"/>
    <s v="OD15Z4831"/>
    <n v="18.39"/>
    <n v="101.15"/>
    <n v="1860.14"/>
    <x v="0"/>
  </r>
  <r>
    <x v="31"/>
    <s v="MS80"/>
    <s v="OD15AC5813"/>
    <n v="10"/>
    <n v="101.15"/>
    <n v="1011.5"/>
    <x v="0"/>
  </r>
  <r>
    <x v="32"/>
    <s v="MS81"/>
    <s v="OD15Y4061"/>
    <n v="6.92"/>
    <n v="101.15"/>
    <n v="700"/>
    <x v="11"/>
  </r>
  <r>
    <x v="32"/>
    <s v="MS82"/>
    <s v="OD23P0325"/>
    <n v="40"/>
    <n v="101.15"/>
    <n v="4046"/>
    <x v="1"/>
  </r>
  <r>
    <x v="33"/>
    <s v="MS83"/>
    <s v="OD23M9485"/>
    <n v="36.049999999999997"/>
    <n v="101.15"/>
    <n v="3646.45"/>
    <x v="1"/>
  </r>
  <r>
    <x v="33"/>
    <s v="MS84"/>
    <s v="OD15AC5813"/>
    <n v="10"/>
    <n v="101.15"/>
    <n v="1011.5"/>
    <x v="0"/>
  </r>
  <r>
    <x v="33"/>
    <s v="MS85"/>
    <s v="OD03AB4917"/>
    <n v="20"/>
    <n v="101.15"/>
    <n v="2023"/>
    <x v="3"/>
  </r>
  <r>
    <x v="33"/>
    <s v="MS86"/>
    <s v="OD15Y4061"/>
    <n v="2.97"/>
    <n v="101.15"/>
    <n v="300"/>
    <x v="11"/>
  </r>
  <r>
    <x v="33"/>
    <s v="MS87"/>
    <s v="OR15K6024"/>
    <n v="2.97"/>
    <n v="101.15"/>
    <n v="300"/>
    <x v="7"/>
  </r>
  <r>
    <x v="34"/>
    <s v="MS88"/>
    <s v="OD15AA4091"/>
    <n v="5"/>
    <n v="101.15"/>
    <n v="505.75"/>
    <x v="4"/>
  </r>
  <r>
    <x v="34"/>
    <s v="MS89"/>
    <s v="JH15AK1307"/>
    <n v="35.69"/>
    <n v="101.15"/>
    <n v="3610.04"/>
    <x v="3"/>
  </r>
  <r>
    <x v="35"/>
    <s v="MS90"/>
    <s v="OD23T1010"/>
    <n v="39.56"/>
    <n v="101.15"/>
    <n v="4001.49"/>
    <x v="8"/>
  </r>
  <r>
    <x v="35"/>
    <s v="MS91"/>
    <s v="OD15AC5813"/>
    <n v="10"/>
    <n v="101.15"/>
    <n v="1011.5"/>
    <x v="0"/>
  </r>
  <r>
    <x v="35"/>
    <s v="MS92"/>
    <s v="OD23K4545"/>
    <n v="4.71"/>
    <n v="101.15"/>
    <n v="476.42"/>
    <x v="5"/>
  </r>
  <r>
    <x v="35"/>
    <s v="MS93"/>
    <s v="OD05BT4545"/>
    <n v="40"/>
    <n v="101.15"/>
    <n v="4046"/>
    <x v="5"/>
  </r>
  <r>
    <x v="36"/>
    <s v="MS94"/>
    <s v="OD14Z4545"/>
    <n v="25"/>
    <n v="101.15"/>
    <n v="2528.75"/>
    <x v="5"/>
  </r>
  <r>
    <x v="36"/>
    <s v="MS95"/>
    <s v="JH09AW8179"/>
    <n v="3"/>
    <n v="101.15"/>
    <n v="303.45"/>
    <x v="4"/>
  </r>
  <r>
    <x v="36"/>
    <s v="MS96"/>
    <s v="AP28AK4448"/>
    <n v="20"/>
    <n v="101.15"/>
    <n v="2023"/>
    <x v="3"/>
  </r>
  <r>
    <x v="37"/>
    <s v="MS97"/>
    <s v="OD23T6336"/>
    <n v="25"/>
    <n v="101.15"/>
    <n v="2528.75"/>
    <x v="12"/>
  </r>
  <r>
    <x v="37"/>
    <s v="MS98"/>
    <s v="OR15K6024"/>
    <n v="2.97"/>
    <n v="101.15"/>
    <n v="300"/>
    <x v="7"/>
  </r>
  <r>
    <x v="38"/>
    <s v="MS99"/>
    <s v="OD15AC5831"/>
    <n v="15"/>
    <n v="101.15"/>
    <n v="1517.25"/>
    <x v="0"/>
  </r>
  <r>
    <x v="38"/>
    <s v="MS100"/>
    <s v="OD23N7728"/>
    <n v="10.48"/>
    <n v="101.15"/>
    <n v="1060.05"/>
    <x v="0"/>
  </r>
  <r>
    <x v="39"/>
    <s v="MS101"/>
    <s v="OD23M4614"/>
    <n v="100"/>
    <n v="101.15"/>
    <n v="10115"/>
    <x v="2"/>
  </r>
  <r>
    <x v="39"/>
    <s v="MS102"/>
    <s v="OD23U4012"/>
    <n v="19.78"/>
    <n v="101.15"/>
    <n v="2000"/>
    <x v="9"/>
  </r>
  <r>
    <x v="40"/>
    <s v="MS103"/>
    <s v="OD15Y4061"/>
    <n v="4.9400000000000004"/>
    <n v="101.15"/>
    <n v="500"/>
    <x v="11"/>
  </r>
  <r>
    <x v="41"/>
    <s v="MS104"/>
    <s v="OD15Z4831"/>
    <n v="29.92"/>
    <n v="104.36"/>
    <n v="3122.45"/>
    <x v="0"/>
  </r>
  <r>
    <x v="41"/>
    <s v="MS105"/>
    <s v="OD15AC5813"/>
    <n v="10"/>
    <n v="104.36"/>
    <n v="1043.5999999999999"/>
    <x v="0"/>
  </r>
  <r>
    <x v="41"/>
    <s v="MS106"/>
    <s v="JH15AK1307"/>
    <n v="32.89"/>
    <n v="104.36"/>
    <n v="3432.4"/>
    <x v="3"/>
  </r>
  <r>
    <x v="42"/>
    <s v="MS107"/>
    <s v="OD14Z4545"/>
    <n v="30"/>
    <n v="104.36"/>
    <n v="3130.8"/>
    <x v="5"/>
  </r>
  <r>
    <x v="42"/>
    <s v="MS108"/>
    <s v="OD05BT4545"/>
    <n v="19.86"/>
    <n v="104.36"/>
    <n v="2072.58"/>
    <x v="5"/>
  </r>
  <r>
    <x v="42"/>
    <s v="MS109"/>
    <s v="OD05AN7688"/>
    <n v="20"/>
    <n v="104.36"/>
    <n v="2087.1999999999998"/>
    <x v="3"/>
  </r>
  <r>
    <x v="43"/>
    <s v="MS110"/>
    <s v="OD23M4545"/>
    <n v="36.29"/>
    <n v="104.36"/>
    <n v="3787.22"/>
    <x v="5"/>
  </r>
  <r>
    <x v="43"/>
    <s v="MS111"/>
    <s v="OD23M9485"/>
    <n v="20"/>
    <n v="104.36"/>
    <n v="2087.1999999999998"/>
    <x v="1"/>
  </r>
  <r>
    <x v="44"/>
    <s v="MS112"/>
    <s v="OD15AA4091"/>
    <n v="5"/>
    <n v="105.3"/>
    <n v="526.5"/>
    <x v="4"/>
  </r>
  <r>
    <x v="44"/>
    <s v="MS113"/>
    <s v="OD23K4545"/>
    <n v="4.4800000000000004"/>
    <n v="105.3"/>
    <n v="471.74"/>
    <x v="5"/>
  </r>
  <r>
    <x v="44"/>
    <s v="MS114"/>
    <s v="CG04QX7299"/>
    <n v="37.99"/>
    <n v="105.3"/>
    <n v="4000"/>
    <x v="5"/>
  </r>
  <r>
    <x v="44"/>
    <s v="MS115"/>
    <s v="OD05BT4545"/>
    <n v="45"/>
    <n v="105.3"/>
    <n v="4738.5"/>
    <x v="5"/>
  </r>
  <r>
    <x v="44"/>
    <s v="MS116"/>
    <s v="OD15AC5813"/>
    <n v="10"/>
    <n v="105.3"/>
    <n v="1053"/>
    <x v="0"/>
  </r>
  <r>
    <x v="44"/>
    <s v="MS117"/>
    <s v="OD23T5838"/>
    <n v="10"/>
    <n v="105.3"/>
    <n v="1053"/>
    <x v="0"/>
  </r>
  <r>
    <x v="44"/>
    <s v="MS118"/>
    <s v="OR15K6024"/>
    <n v="2.85"/>
    <n v="105.3"/>
    <n v="300"/>
    <x v="7"/>
  </r>
  <r>
    <x v="44"/>
    <s v="MS119"/>
    <s v="OD23P0325"/>
    <n v="38.89"/>
    <n v="105.3"/>
    <n v="4095.11"/>
    <x v="1"/>
  </r>
  <r>
    <x v="44"/>
    <s v="MS120"/>
    <s v="OD15Y4061"/>
    <n v="4.75"/>
    <n v="105.3"/>
    <n v="500"/>
    <x v="11"/>
  </r>
  <r>
    <x v="45"/>
    <s v="MS121"/>
    <s v="OD15Z4831"/>
    <n v="33.86"/>
    <n v="105.3"/>
    <n v="3565.45"/>
    <x v="0"/>
  </r>
  <r>
    <x v="45"/>
    <s v="MS122"/>
    <s v="OD14AD5280"/>
    <n v="10"/>
    <n v="105.3"/>
    <n v="1053"/>
    <x v="13"/>
  </r>
  <r>
    <x v="46"/>
    <s v="MS123"/>
    <s v="OD23M4614"/>
    <n v="100"/>
    <n v="105.3"/>
    <n v="10530"/>
    <x v="2"/>
  </r>
  <r>
    <x v="46"/>
    <s v="MS124"/>
    <s v="OR15K6024"/>
    <n v="2.85"/>
    <n v="105.3"/>
    <n v="300"/>
    <x v="7"/>
  </r>
  <r>
    <x v="46"/>
    <s v="MS125"/>
    <s v="OD15Y4061"/>
    <n v="9.5"/>
    <n v="105.3"/>
    <n v="1000"/>
    <x v="11"/>
  </r>
  <r>
    <x v="46"/>
    <s v="MS126"/>
    <s v="OD14Z4545"/>
    <n v="18.989999999999998"/>
    <n v="105.3"/>
    <n v="2000"/>
    <x v="5"/>
  </r>
  <r>
    <x v="46"/>
    <s v="MS127"/>
    <s v="OD23N1010"/>
    <n v="40"/>
    <n v="105.3"/>
    <n v="4212"/>
    <x v="8"/>
  </r>
  <r>
    <x v="46"/>
    <s v="MS128"/>
    <s v="OD23T5838"/>
    <n v="10"/>
    <n v="105.3"/>
    <n v="1053"/>
    <x v="0"/>
  </r>
  <r>
    <x v="46"/>
    <s v="MS129"/>
    <s v="OD05AN7688"/>
    <n v="20"/>
    <n v="105.3"/>
    <n v="2106"/>
    <x v="3"/>
  </r>
  <r>
    <x v="47"/>
    <s v="MS130"/>
    <s v="OR15Q6155"/>
    <n v="4.75"/>
    <n v="105.3"/>
    <n v="500"/>
    <x v="11"/>
  </r>
  <r>
    <x v="47"/>
    <s v="MS131"/>
    <s v="OD15AC5813"/>
    <n v="10"/>
    <n v="105.3"/>
    <n v="1053"/>
    <x v="0"/>
  </r>
  <r>
    <x v="47"/>
    <s v="MS132"/>
    <s v="OD23N7728"/>
    <n v="5"/>
    <n v="105.3"/>
    <n v="526.5"/>
    <x v="0"/>
  </r>
  <r>
    <x v="47"/>
    <s v="MS133"/>
    <s v="JH15AK1307"/>
    <n v="35.86"/>
    <n v="105.3"/>
    <n v="3776.05"/>
    <x v="3"/>
  </r>
  <r>
    <x v="48"/>
    <s v="MS134"/>
    <s v="OD19J7247"/>
    <n v="20"/>
    <n v="106.22"/>
    <n v="2124.4"/>
    <x v="3"/>
  </r>
  <r>
    <x v="48"/>
    <s v="MS135"/>
    <s v=""/>
    <n v="5.63"/>
    <n v="106.22"/>
    <n v="598"/>
    <x v="14"/>
  </r>
  <r>
    <x v="49"/>
    <s v="MS136"/>
    <s v="OD23T5838"/>
    <n v="10"/>
    <n v="106.22"/>
    <n v="1062.2"/>
    <x v="0"/>
  </r>
  <r>
    <x v="49"/>
    <s v="MS137"/>
    <s v="OR15K6024"/>
    <n v="2.83"/>
    <n v="106.22"/>
    <n v="300"/>
    <x v="7"/>
  </r>
  <r>
    <x v="50"/>
    <s v="MS138"/>
    <s v="OD23Q2866"/>
    <n v="5"/>
    <n v="109.01"/>
    <n v="545.04999999999995"/>
    <x v="0"/>
  </r>
  <r>
    <x v="50"/>
    <s v="MS139"/>
    <s v="OD05BT4545"/>
    <n v="33.89"/>
    <n v="109.01"/>
    <n v="3694.34"/>
    <x v="5"/>
  </r>
  <r>
    <x v="51"/>
    <s v="MS140"/>
    <s v="CG05AP5678"/>
    <n v="39.01"/>
    <n v="109.01"/>
    <n v="4252.4799999999996"/>
    <x v="5"/>
  </r>
  <r>
    <x v="51"/>
    <s v="MS141"/>
    <s v="OD23M9485"/>
    <n v="28.12"/>
    <n v="109.01"/>
    <n v="3065.36"/>
    <x v="1"/>
  </r>
  <r>
    <x v="51"/>
    <s v="MS142"/>
    <s v="OD23P0325"/>
    <n v="39"/>
    <n v="109.01"/>
    <n v="4251.3900000000003"/>
    <x v="1"/>
  </r>
  <r>
    <x v="51"/>
    <s v="MS143"/>
    <s v="OD23T5838"/>
    <n v="28.53"/>
    <n v="109.01"/>
    <n v="3110.05"/>
    <x v="0"/>
  </r>
  <r>
    <x v="51"/>
    <s v="MS144"/>
    <s v="OD15Z4831"/>
    <n v="23"/>
    <n v="109.01"/>
    <n v="2507.23"/>
    <x v="0"/>
  </r>
  <r>
    <x v="51"/>
    <s v="MS145"/>
    <s v="JH15AK1307"/>
    <n v="36.06"/>
    <n v="109.01"/>
    <n v="3930.9"/>
    <x v="3"/>
  </r>
  <r>
    <x v="51"/>
    <s v="MS146"/>
    <s v="AP39AK4448"/>
    <n v="20"/>
    <n v="109.01"/>
    <n v="2180.1999999999998"/>
    <x v="3"/>
  </r>
  <r>
    <x v="52"/>
    <s v="MS147"/>
    <s v="OD23P4512"/>
    <n v="10"/>
    <n v="109.01"/>
    <n v="1090.0999999999999"/>
    <x v="0"/>
  </r>
  <r>
    <x v="52"/>
    <s v="MS148"/>
    <s v="OD15AC5813"/>
    <n v="10"/>
    <n v="109.01"/>
    <n v="1090.0999999999999"/>
    <x v="0"/>
  </r>
  <r>
    <x v="52"/>
    <s v="MS149"/>
    <s v="OD15Y4061"/>
    <n v="9.17"/>
    <n v="109.01"/>
    <n v="1000"/>
    <x v="11"/>
  </r>
  <r>
    <x v="52"/>
    <s v="MS150"/>
    <s v="OR15K6024"/>
    <n v="2.75"/>
    <n v="109.01"/>
    <n v="300"/>
    <x v="7"/>
  </r>
  <r>
    <x v="53"/>
    <s v="MS151"/>
    <s v="OR15K6024"/>
    <n v="2.75"/>
    <n v="109.01"/>
    <n v="300"/>
    <x v="7"/>
  </r>
  <r>
    <x v="54"/>
    <s v="MS152"/>
    <s v="OD05AP4113"/>
    <n v="50"/>
    <n v="109.01"/>
    <n v="5450.5"/>
    <x v="10"/>
  </r>
  <r>
    <x v="54"/>
    <s v="MS153"/>
    <s v="OD23K4545"/>
    <n v="4.22"/>
    <n v="109.01"/>
    <n v="460.02"/>
    <x v="5"/>
  </r>
  <r>
    <x v="54"/>
    <s v="MS154"/>
    <s v="OD14Z4545"/>
    <n v="36.33"/>
    <n v="109.01"/>
    <n v="3960.33"/>
    <x v="5"/>
  </r>
  <r>
    <x v="55"/>
    <s v="MS155"/>
    <s v="OD23M4614"/>
    <n v="100"/>
    <n v="109.01"/>
    <n v="10901"/>
    <x v="2"/>
  </r>
  <r>
    <x v="55"/>
    <s v="MS156"/>
    <s v="OR16B4812"/>
    <n v="20"/>
    <n v="109.01"/>
    <n v="2180.1999999999998"/>
    <x v="3"/>
  </r>
  <r>
    <x v="55"/>
    <s v="MS157"/>
    <s v="OD23P9344"/>
    <n v="4.95"/>
    <n v="109.01"/>
    <n v="539.59"/>
    <x v="0"/>
  </r>
  <r>
    <x v="55"/>
    <s v="MS158"/>
    <s v="OD15AC5813"/>
    <n v="10"/>
    <n v="109.01"/>
    <n v="1090.0999999999999"/>
    <x v="0"/>
  </r>
  <r>
    <x v="55"/>
    <s v="MS159"/>
    <s v="OD23U7053"/>
    <n v="5"/>
    <n v="109.01"/>
    <n v="545.04999999999995"/>
    <x v="0"/>
  </r>
  <r>
    <x v="56"/>
    <s v="MS160"/>
    <s v="OR15K6024"/>
    <n v="2.75"/>
    <n v="109.01"/>
    <n v="300"/>
    <x v="7"/>
  </r>
  <r>
    <x v="56"/>
    <s v="MS161"/>
    <s v="OD15Y4061"/>
    <n v="9.17"/>
    <n v="109.01"/>
    <n v="1000"/>
    <x v="11"/>
  </r>
  <r>
    <x v="56"/>
    <s v="MS162"/>
    <s v="JAR 500x11"/>
    <n v="50.46"/>
    <n v="109.01"/>
    <n v="5500"/>
    <x v="5"/>
  </r>
  <r>
    <x v="57"/>
    <s v="MS163"/>
    <s v="OR15Q6155"/>
    <n v="4.59"/>
    <n v="109.01"/>
    <n v="500"/>
    <x v="11"/>
  </r>
  <r>
    <x v="57"/>
    <s v="MS164"/>
    <s v="OD23P0325"/>
    <n v="38.82"/>
    <n v="109.01"/>
    <n v="4231.76"/>
    <x v="1"/>
  </r>
  <r>
    <x v="57"/>
    <s v="MS165"/>
    <s v="OD15AA4091"/>
    <n v="5"/>
    <n v="109.01"/>
    <n v="545.04999999999995"/>
    <x v="4"/>
  </r>
  <r>
    <x v="57"/>
    <s v="MS166"/>
    <m/>
    <n v="11.47"/>
    <n v="109.01"/>
    <n v="1249.98"/>
    <x v="14"/>
  </r>
  <r>
    <x v="58"/>
    <s v="MS167"/>
    <s v="OD05AN7688"/>
    <n v="20"/>
    <n v="109.01"/>
    <n v="2180.1999999999998"/>
    <x v="3"/>
  </r>
  <r>
    <x v="58"/>
    <s v="MS168"/>
    <s v="OR15K6024"/>
    <n v="2.75"/>
    <n v="109.01"/>
    <n v="300"/>
    <x v="7"/>
  </r>
  <r>
    <x v="59"/>
    <s v="MS169"/>
    <s v="OD23N1010"/>
    <n v="53"/>
    <n v="109.01"/>
    <n v="5777.53"/>
    <x v="8"/>
  </r>
  <r>
    <x v="59"/>
    <s v="MS170"/>
    <s v="OR15K6024"/>
    <n v="2.75"/>
    <n v="109.01"/>
    <n v="300"/>
    <x v="7"/>
  </r>
  <r>
    <x v="59"/>
    <s v="MS171"/>
    <s v="OD14AD5280"/>
    <n v="10"/>
    <n v="109.01"/>
    <n v="1090.0999999999999"/>
    <x v="13"/>
  </r>
  <r>
    <x v="60"/>
    <s v="MS172"/>
    <s v="JH15AK1307"/>
    <n v="35.92"/>
    <n v="109.01"/>
    <n v="3915.63"/>
    <x v="3"/>
  </r>
  <r>
    <x v="60"/>
    <s v="MS173"/>
    <s v="OD23T1010"/>
    <n v="40"/>
    <n v="109.01"/>
    <n v="4360.3999999999996"/>
    <x v="8"/>
  </r>
  <r>
    <x v="60"/>
    <s v="MS174"/>
    <s v="OR15Y4061"/>
    <n v="9.17"/>
    <n v="109.01"/>
    <n v="1000"/>
    <x v="11"/>
  </r>
  <r>
    <x v="61"/>
    <s v="MS175"/>
    <s v="OR15Q6155"/>
    <n v="1.84"/>
    <n v="109.01"/>
    <n v="200"/>
    <x v="11"/>
  </r>
  <r>
    <x v="61"/>
    <s v="MS176"/>
    <s v="OD15AC5813"/>
    <n v="10"/>
    <n v="109.01"/>
    <n v="1090.0999999999999"/>
    <x v="0"/>
  </r>
  <r>
    <x v="62"/>
    <s v="MS177"/>
    <s v="OD23B5943"/>
    <n v="2"/>
    <n v="109.01"/>
    <n v="218.02"/>
    <x v="0"/>
  </r>
  <r>
    <x v="62"/>
    <s v="MS178"/>
    <s v="OD23M4545"/>
    <n v="20"/>
    <n v="109.01"/>
    <n v="2180.1999999999998"/>
    <x v="5"/>
  </r>
  <r>
    <x v="62"/>
    <s v="MS179"/>
    <s v="OR15K6024"/>
    <n v="2.75"/>
    <n v="109.01"/>
    <n v="300"/>
    <x v="7"/>
  </r>
  <r>
    <x v="63"/>
    <s v="MS180"/>
    <s v="OD19J7247"/>
    <n v="8.7899999999999991"/>
    <n v="109.01"/>
    <n v="958.19"/>
    <x v="3"/>
  </r>
  <r>
    <x v="63"/>
    <s v="MS181"/>
    <s v="OD23M9485"/>
    <n v="36.520000000000003"/>
    <n v="109.01"/>
    <n v="3981.04"/>
    <x v="1"/>
  </r>
  <r>
    <x v="63"/>
    <s v="MS182"/>
    <s v="OD15Y4061"/>
    <n v="9.17"/>
    <n v="109.01"/>
    <n v="1000"/>
    <x v="11"/>
  </r>
  <r>
    <x v="64"/>
    <s v="MS183"/>
    <s v="OD23P0325"/>
    <n v="37.880000000000003"/>
    <n v="109.01"/>
    <n v="4129.29"/>
    <x v="1"/>
  </r>
  <r>
    <x v="64"/>
    <s v="MS184"/>
    <s v="OD15AC5813"/>
    <n v="15"/>
    <n v="109.01"/>
    <n v="1635.15"/>
    <x v="0"/>
  </r>
  <r>
    <x v="65"/>
    <s v="MS185"/>
    <s v="OD17V0336"/>
    <n v="3.39"/>
    <n v="109.01"/>
    <n v="369.54"/>
    <x v="0"/>
  </r>
  <r>
    <x v="65"/>
    <s v="MS186"/>
    <s v="OD23R2944"/>
    <n v="10.69"/>
    <n v="109.01"/>
    <n v="1165.31"/>
    <x v="0"/>
  </r>
  <r>
    <x v="65"/>
    <s v="MS187"/>
    <s v="OD23P9344"/>
    <n v="4.5"/>
    <n v="109.01"/>
    <n v="490.54"/>
    <x v="0"/>
  </r>
  <r>
    <x v="65"/>
    <s v="MS188"/>
    <s v="OD23K4545"/>
    <n v="4.5"/>
    <n v="109.01"/>
    <n v="490.54"/>
    <x v="5"/>
  </r>
  <r>
    <x v="65"/>
    <s v="MS189"/>
    <s v="OR15K6024"/>
    <n v="2.75"/>
    <n v="109.01"/>
    <n v="300"/>
    <x v="7"/>
  </r>
  <r>
    <x v="66"/>
    <s v="MS190"/>
    <s v="OD15Z4831"/>
    <n v="10"/>
    <n v="109.01"/>
    <n v="1090.0999999999999"/>
    <x v="0"/>
  </r>
  <r>
    <x v="67"/>
    <s v="MS191"/>
    <s v=""/>
    <n v="18.350000000000001"/>
    <n v="109.01"/>
    <n v="2000"/>
    <x v="14"/>
  </r>
  <r>
    <x v="67"/>
    <s v="MS192"/>
    <s v="OD15Y4061"/>
    <n v="9.17"/>
    <n v="109.01"/>
    <n v="1000"/>
    <x v="11"/>
  </r>
  <r>
    <x v="67"/>
    <s v="MS193"/>
    <s v="OR15K6024"/>
    <n v="2.75"/>
    <n v="109.01"/>
    <n v="300"/>
    <x v="7"/>
  </r>
  <r>
    <x v="67"/>
    <s v="MS194"/>
    <s v="OD23T0076"/>
    <n v="4"/>
    <n v="109.01"/>
    <n v="436.04"/>
    <x v="15"/>
  </r>
  <r>
    <x v="67"/>
    <s v="MS195"/>
    <s v="JH15AK1307"/>
    <n v="20"/>
    <n v="109.01"/>
    <n v="2180.1999999999998"/>
    <x v="3"/>
  </r>
  <r>
    <x v="68"/>
    <s v="MS196"/>
    <s v="OD19J7247"/>
    <n v="10"/>
    <n v="109.01"/>
    <n v="1090.0999999999999"/>
    <x v="3"/>
  </r>
  <r>
    <x v="68"/>
    <s v="MS197"/>
    <s v="OR23F4242"/>
    <n v="8"/>
    <n v="109.01"/>
    <n v="872.08"/>
    <x v="0"/>
  </r>
  <r>
    <x v="68"/>
    <s v="MS198"/>
    <s v="OD23P4512"/>
    <n v="10"/>
    <n v="109.01"/>
    <n v="1090.0999999999999"/>
    <x v="0"/>
  </r>
  <r>
    <x v="68"/>
    <s v="MS199"/>
    <s v="OD23M9485"/>
    <n v="27.42"/>
    <n v="109.01"/>
    <n v="2989.05"/>
    <x v="1"/>
  </r>
  <r>
    <x v="69"/>
    <s v="MS200"/>
    <s v="AP03BE9123"/>
    <n v="10.73"/>
    <n v="109.01"/>
    <n v="1169.67"/>
    <x v="3"/>
  </r>
  <r>
    <x v="69"/>
    <s v="MS201"/>
    <s v="OD14AD5280"/>
    <n v="11.34"/>
    <n v="109.01"/>
    <n v="1236.17"/>
    <x v="13"/>
  </r>
  <r>
    <x v="69"/>
    <s v="MS202"/>
    <s v="OD15AC5813"/>
    <n v="10"/>
    <n v="109.01"/>
    <n v="1090.0999999999999"/>
    <x v="0"/>
  </r>
  <r>
    <x v="70"/>
    <s v="MS203"/>
    <s v="OD23T1010"/>
    <n v="41"/>
    <n v="109.01"/>
    <n v="4469.41"/>
    <x v="8"/>
  </r>
  <r>
    <x v="70"/>
    <s v="MS204"/>
    <s v="OD15Z4831"/>
    <n v="10"/>
    <n v="109.01"/>
    <n v="1090.0999999999999"/>
    <x v="0"/>
  </r>
  <r>
    <x v="70"/>
    <s v="MS205"/>
    <s v="OD23P9344"/>
    <n v="5"/>
    <n v="109.01"/>
    <n v="545.04999999999995"/>
    <x v="0"/>
  </r>
  <r>
    <x v="71"/>
    <s v="MS206"/>
    <s v="OR15K6024"/>
    <n v="2.75"/>
    <n v="109.01"/>
    <n v="300"/>
    <x v="7"/>
  </r>
  <r>
    <x v="71"/>
    <s v="MS207"/>
    <s v="OR23B0533"/>
    <n v="1"/>
    <n v="109.01"/>
    <n v="109.01"/>
    <x v="15"/>
  </r>
  <r>
    <x v="71"/>
    <s v="MS208"/>
    <s v="OD23T0076"/>
    <n v="3.95"/>
    <n v="109.01"/>
    <n v="430.58"/>
    <x v="15"/>
  </r>
  <r>
    <x v="72"/>
    <s v="MS209"/>
    <s v="OR15F4242"/>
    <n v="6"/>
    <n v="109.01"/>
    <n v="654.05999999999995"/>
    <x v="0"/>
  </r>
  <r>
    <x v="72"/>
    <s v="MS210"/>
    <s v="OD23T5838"/>
    <n v="10"/>
    <n v="109.01"/>
    <n v="1090.0999999999999"/>
    <x v="0"/>
  </r>
  <r>
    <x v="73"/>
    <s v="MS211"/>
    <s v="OD23U6552"/>
    <n v="10"/>
    <n v="109.01"/>
    <n v="1090.0999999999999"/>
    <x v="0"/>
  </r>
  <r>
    <x v="73"/>
    <s v="MS212"/>
    <s v="OD23M9485"/>
    <n v="30"/>
    <n v="109.01"/>
    <n v="3270.3"/>
    <x v="1"/>
  </r>
  <r>
    <x v="73"/>
    <s v="MS213"/>
    <s v="OD23D8657"/>
    <n v="6.83"/>
    <n v="109.01"/>
    <n v="744.53"/>
    <x v="1"/>
  </r>
  <r>
    <x v="73"/>
    <s v="MS214"/>
    <s v="OD23E7267"/>
    <n v="11.01"/>
    <n v="109.01"/>
    <n v="1200.2"/>
    <x v="1"/>
  </r>
  <r>
    <x v="73"/>
    <s v="MS215"/>
    <s v="OD23P0325"/>
    <n v="30"/>
    <n v="109.01"/>
    <n v="3270.3"/>
    <x v="1"/>
  </r>
  <r>
    <x v="74"/>
    <s v="MS216"/>
    <s v="OD15Y4061"/>
    <n v="9.17"/>
    <n v="109.01"/>
    <n v="1000"/>
    <x v="11"/>
  </r>
  <r>
    <x v="74"/>
    <s v="MS217"/>
    <s v="OD23T5838"/>
    <n v="10"/>
    <n v="109.01"/>
    <n v="1090.0999999999999"/>
    <x v="0"/>
  </r>
  <r>
    <x v="74"/>
    <s v="MS218"/>
    <s v="OD23K4545"/>
    <n v="4.3"/>
    <n v="109.01"/>
    <n v="468.74"/>
    <x v="5"/>
  </r>
  <r>
    <x v="74"/>
    <s v="MS219"/>
    <s v="OR15K6024"/>
    <n v="2.75"/>
    <n v="109.01"/>
    <n v="300"/>
    <x v="7"/>
  </r>
  <r>
    <x v="75"/>
    <s v="MS220"/>
    <s v="OD23M4545"/>
    <n v="20"/>
    <n v="109.01"/>
    <n v="2180.1999999999998"/>
    <x v="5"/>
  </r>
  <r>
    <x v="76"/>
    <s v="MS221"/>
    <s v="OR15K6024"/>
    <n v="2.75"/>
    <n v="109.01"/>
    <n v="300"/>
    <x v="7"/>
  </r>
  <r>
    <x v="76"/>
    <s v="MS222"/>
    <s v="OD23P0325"/>
    <n v="36.78"/>
    <n v="109.01"/>
    <n v="4009.38"/>
    <x v="1"/>
  </r>
  <r>
    <x v="77"/>
    <s v="MS223"/>
    <s v="OD05AP4113"/>
    <n v="50"/>
    <n v="109.01"/>
    <n v="5450.5"/>
    <x v="10"/>
  </r>
  <r>
    <x v="77"/>
    <s v="MS224"/>
    <s v="OD05BY1039"/>
    <n v="50"/>
    <n v="109.01"/>
    <n v="5450.5"/>
    <x v="10"/>
  </r>
  <r>
    <x v="77"/>
    <s v="MS225"/>
    <s v="OD14AD5280"/>
    <n v="10"/>
    <n v="109.01"/>
    <n v="1090.0999999999999"/>
    <x v="13"/>
  </r>
  <r>
    <x v="78"/>
    <s v="MS226"/>
    <s v="AP03BE9123"/>
    <n v="10"/>
    <n v="109.01"/>
    <n v="1090.0999999999999"/>
    <x v="3"/>
  </r>
  <r>
    <x v="78"/>
    <s v="MS227"/>
    <s v="JH15AK1307"/>
    <n v="20"/>
    <n v="109.01"/>
    <n v="2180.1999999999998"/>
    <x v="3"/>
  </r>
  <r>
    <x v="78"/>
    <s v="MS228"/>
    <s v="OD15Y4061"/>
    <n v="2.75"/>
    <n v="109.01"/>
    <n v="300"/>
    <x v="11"/>
  </r>
  <r>
    <x v="79"/>
    <s v="MS229"/>
    <s v="AP03BE9123"/>
    <n v="10"/>
    <n v="109.01"/>
    <n v="1090.0999999999999"/>
    <x v="3"/>
  </r>
  <r>
    <x v="79"/>
    <s v="MS230"/>
    <s v="OD15Y4061"/>
    <n v="9.17"/>
    <n v="109.01"/>
    <n v="1000"/>
    <x v="11"/>
  </r>
  <r>
    <x v="80"/>
    <s v="MS231"/>
    <s v="JH09AW8179"/>
    <n v="8"/>
    <n v="109.01"/>
    <n v="872.08"/>
    <x v="4"/>
  </r>
  <r>
    <x v="80"/>
    <s v="MS232"/>
    <s v="OD23M9485"/>
    <n v="34.75"/>
    <n v="109.01"/>
    <n v="3788.09"/>
    <x v="1"/>
  </r>
  <r>
    <x v="81"/>
    <s v="MS233"/>
    <s v="AP03BE9123"/>
    <n v="10"/>
    <n v="109.01"/>
    <n v="1090.0999999999999"/>
    <x v="3"/>
  </r>
  <r>
    <x v="82"/>
    <s v="MS234"/>
    <s v="OR15K6024"/>
    <n v="2.75"/>
    <n v="109.01"/>
    <n v="300"/>
    <x v="7"/>
  </r>
  <r>
    <x v="83"/>
    <s v="MS235"/>
    <s v="JH15AK1307"/>
    <n v="20"/>
    <n v="109.01"/>
    <n v="2180.1999999999998"/>
    <x v="3"/>
  </r>
  <r>
    <x v="83"/>
    <s v="MS236"/>
    <s v="OD23K4545"/>
    <n v="4.13"/>
    <n v="109.01"/>
    <n v="450.21"/>
    <x v="5"/>
  </r>
  <r>
    <x v="84"/>
    <s v="MS237"/>
    <s v="JAR 500 x 8"/>
    <n v="36.700000000000003"/>
    <n v="109.01"/>
    <n v="4000"/>
    <x v="5"/>
  </r>
  <r>
    <x v="85"/>
    <s v="MS238"/>
    <s v="OR15K6024"/>
    <n v="2.75"/>
    <n v="109.01"/>
    <n v="300"/>
    <x v="7"/>
  </r>
  <r>
    <x v="85"/>
    <s v="MS239"/>
    <s v="OD23P0325"/>
    <n v="38.15"/>
    <n v="109.01"/>
    <n v="4158.7299999999996"/>
    <x v="1"/>
  </r>
  <r>
    <x v="85"/>
    <s v="MS240"/>
    <s v="OD23N1010"/>
    <n v="30"/>
    <n v="109.01"/>
    <n v="3270.3"/>
    <x v="8"/>
  </r>
  <r>
    <x v="85"/>
    <s v="MS241"/>
    <s v="OD15Y4061"/>
    <n v="9.18"/>
    <n v="109.01"/>
    <n v="1000"/>
    <x v="11"/>
  </r>
  <r>
    <x v="85"/>
    <s v="MS242"/>
    <s v=""/>
    <n v="39.9"/>
    <n v="109.01"/>
    <n v="4350"/>
    <x v="16"/>
  </r>
  <r>
    <x v="86"/>
    <s v="MS243"/>
    <s v=""/>
    <n v="38.68"/>
    <n v="109.01"/>
    <n v="4216"/>
    <x v="16"/>
  </r>
  <r>
    <x v="86"/>
    <s v="MS244"/>
    <s v="OD05BT4545"/>
    <n v="30"/>
    <n v="109.01"/>
    <n v="3270.3"/>
    <x v="5"/>
  </r>
  <r>
    <x v="86"/>
    <s v="MS245"/>
    <s v="OD23M9485"/>
    <n v="35.68"/>
    <n v="109.01"/>
    <n v="3889.47"/>
    <x v="1"/>
  </r>
  <r>
    <x v="87"/>
    <s v="MS246"/>
    <s v="JH15AK1307"/>
    <n v="36.43"/>
    <n v="109.01"/>
    <n v="3971.23"/>
    <x v="3"/>
  </r>
  <r>
    <x v="87"/>
    <s v="MS247"/>
    <m/>
    <n v="56.33"/>
    <n v="109.01"/>
    <n v="6140.26"/>
    <x v="16"/>
  </r>
  <r>
    <x v="88"/>
    <s v="MS248"/>
    <s v=""/>
    <n v="65.27"/>
    <n v="109.01"/>
    <n v="7115.05"/>
    <x v="16"/>
  </r>
  <r>
    <x v="88"/>
    <s v="MS249"/>
    <s v="OR15K6024"/>
    <n v="2.75"/>
    <n v="109.01"/>
    <n v="300"/>
    <x v="7"/>
  </r>
  <r>
    <x v="88"/>
    <s v="MS250"/>
    <s v=""/>
    <n v="353.31"/>
    <n v="109.01"/>
    <n v="38515"/>
    <x v="17"/>
  </r>
  <r>
    <x v="88"/>
    <s v="MS251"/>
    <s v=""/>
    <n v="2.02"/>
    <n v="109.01"/>
    <n v="220"/>
    <x v="17"/>
  </r>
  <r>
    <x v="88"/>
    <s v="MS252"/>
    <s v=""/>
    <n v="155.71"/>
    <n v="109.01"/>
    <n v="16974"/>
    <x v="17"/>
  </r>
  <r>
    <x v="89"/>
    <s v="MS253"/>
    <s v=""/>
    <n v="325.05"/>
    <n v="109.01"/>
    <n v="35434"/>
    <x v="17"/>
  </r>
  <r>
    <x v="89"/>
    <s v="MS254"/>
    <s v=""/>
    <n v="1.01"/>
    <n v="109.01"/>
    <n v="110"/>
    <x v="17"/>
  </r>
  <r>
    <x v="89"/>
    <s v="MS255"/>
    <s v=""/>
    <n v="96.47"/>
    <n v="109.01"/>
    <n v="10515.82"/>
    <x v="16"/>
  </r>
  <r>
    <x v="89"/>
    <s v="MS256"/>
    <s v="OD23M4545"/>
    <n v="5"/>
    <n v="109.01"/>
    <n v="545.04999999999995"/>
    <x v="5"/>
  </r>
  <r>
    <x v="90"/>
    <s v="MS257"/>
    <m/>
    <n v="21.1"/>
    <n v="109.01"/>
    <n v="2300"/>
    <x v="16"/>
  </r>
  <r>
    <x v="90"/>
    <s v="MS258"/>
    <m/>
    <n v="362.86"/>
    <n v="109.01"/>
    <n v="39555.25"/>
    <x v="17"/>
  </r>
  <r>
    <x v="90"/>
    <s v="MS259"/>
    <m/>
    <n v="3.21"/>
    <n v="109.01"/>
    <n v="350"/>
    <x v="17"/>
  </r>
  <r>
    <x v="90"/>
    <s v="MS260"/>
    <s v="OD23M4545"/>
    <n v="7"/>
    <n v="109.01"/>
    <n v="763.07"/>
    <x v="5"/>
  </r>
  <r>
    <x v="91"/>
    <s v="MS261"/>
    <s v="OD23K4545"/>
    <n v="4.29"/>
    <n v="109.01"/>
    <n v="467.65"/>
    <x v="5"/>
  </r>
  <r>
    <x v="91"/>
    <s v="MS262"/>
    <s v="OR15K6024"/>
    <n v="2.76"/>
    <n v="109.01"/>
    <n v="300"/>
    <x v="7"/>
  </r>
  <r>
    <x v="91"/>
    <s v="MS263"/>
    <m/>
    <n v="150.32"/>
    <n v="109.01"/>
    <n v="16385.89"/>
    <x v="16"/>
  </r>
  <r>
    <x v="91"/>
    <s v="MS264"/>
    <m/>
    <n v="493.3"/>
    <n v="109.01"/>
    <n v="53775.040000000001"/>
    <x v="17"/>
  </r>
  <r>
    <x v="91"/>
    <s v="MS265"/>
    <m/>
    <n v="5.69"/>
    <n v="109.01"/>
    <n v="620"/>
    <x v="17"/>
  </r>
  <r>
    <x v="92"/>
    <s v="MS266"/>
    <s v="OD23H1350"/>
    <n v="5"/>
    <n v="109.01"/>
    <n v="545.04999999999995"/>
    <x v="18"/>
  </r>
  <r>
    <x v="92"/>
    <s v="MS267"/>
    <s v="OR15K6024"/>
    <n v="0.92"/>
    <n v="109.01"/>
    <n v="100"/>
    <x v="7"/>
  </r>
  <r>
    <x v="92"/>
    <s v="MS268"/>
    <s v="OR15Q6155"/>
    <n v="6.42"/>
    <n v="109.01"/>
    <n v="700"/>
    <x v="11"/>
  </r>
  <r>
    <x v="92"/>
    <s v="MS269"/>
    <s v="OD23P0325"/>
    <n v="40.19"/>
    <n v="109.01"/>
    <n v="4381.1099999999997"/>
    <x v="1"/>
  </r>
  <r>
    <x v="92"/>
    <s v="MS270"/>
    <m/>
    <n v="42.57"/>
    <n v="109.01"/>
    <n v="4640.2"/>
    <x v="16"/>
  </r>
  <r>
    <x v="92"/>
    <s v="MS271"/>
    <m/>
    <n v="413.85"/>
    <n v="109.01"/>
    <n v="45114"/>
    <x v="17"/>
  </r>
  <r>
    <x v="92"/>
    <s v="MS272"/>
    <m/>
    <n v="36.79"/>
    <n v="109.01"/>
    <n v="4010"/>
    <x v="17"/>
  </r>
  <r>
    <x v="93"/>
    <s v="MS273"/>
    <s v=""/>
    <n v="366.79"/>
    <n v="109.01"/>
    <n v="39984.28"/>
    <x v="17"/>
  </r>
  <r>
    <x v="93"/>
    <s v="MS274"/>
    <s v=""/>
    <n v="34.380000000000003"/>
    <n v="109.01"/>
    <n v="3747"/>
    <x v="17"/>
  </r>
  <r>
    <x v="93"/>
    <s v="MS275"/>
    <s v=""/>
    <n v="43.19"/>
    <n v="109.01"/>
    <n v="4708"/>
    <x v="16"/>
  </r>
  <r>
    <x v="93"/>
    <s v="MS276"/>
    <s v="OR15K6024"/>
    <n v="0.92"/>
    <n v="109.01"/>
    <n v="100"/>
    <x v="7"/>
  </r>
  <r>
    <x v="93"/>
    <s v="MS277"/>
    <s v="OD15Y4061"/>
    <n v="9.18"/>
    <n v="109.01"/>
    <n v="1000"/>
    <x v="11"/>
  </r>
  <r>
    <x v="93"/>
    <s v="MS278"/>
    <s v="OD23N1010"/>
    <n v="54"/>
    <n v="109.01"/>
    <n v="5886.54"/>
    <x v="8"/>
  </r>
  <r>
    <x v="94"/>
    <s v="MS279"/>
    <s v="OR15K6024"/>
    <n v="2.75"/>
    <n v="109.01"/>
    <n v="300"/>
    <x v="7"/>
  </r>
  <r>
    <x v="94"/>
    <s v="MS280"/>
    <s v="JH09AW8179"/>
    <n v="7"/>
    <n v="109.01"/>
    <n v="763.07"/>
    <x v="4"/>
  </r>
  <r>
    <x v="94"/>
    <s v="MS281"/>
    <m/>
    <n v="56.66"/>
    <n v="109.01"/>
    <n v="6177.05"/>
    <x v="16"/>
  </r>
  <r>
    <x v="94"/>
    <s v="MS282"/>
    <m/>
    <n v="409.45"/>
    <n v="109.01"/>
    <n v="44634.05"/>
    <x v="17"/>
  </r>
  <r>
    <x v="94"/>
    <s v="MS283"/>
    <m/>
    <n v="29.82"/>
    <n v="109.01"/>
    <n v="3250"/>
    <x v="17"/>
  </r>
  <r>
    <x v="95"/>
    <s v="MS284"/>
    <s v=""/>
    <n v="64.27"/>
    <n v="109.01"/>
    <n v="7006.1"/>
    <x v="16"/>
  </r>
  <r>
    <x v="95"/>
    <s v="MS285"/>
    <s v=""/>
    <n v="439.19"/>
    <n v="109.01"/>
    <n v="47875.9"/>
    <x v="17"/>
  </r>
  <r>
    <x v="95"/>
    <s v="MS286"/>
    <m/>
    <n v="66.97"/>
    <n v="109.01"/>
    <n v="7300"/>
    <x v="17"/>
  </r>
  <r>
    <x v="96"/>
    <s v="MS287"/>
    <m/>
    <n v="451.44"/>
    <n v="109.01"/>
    <n v="49211.31"/>
    <x v="17"/>
  </r>
  <r>
    <x v="96"/>
    <s v="MS288"/>
    <m/>
    <n v="5.87"/>
    <n v="109.01"/>
    <n v="640"/>
    <x v="17"/>
  </r>
  <r>
    <x v="96"/>
    <s v="MS289"/>
    <m/>
    <n v="88.62"/>
    <n v="109.01"/>
    <n v="9660"/>
    <x v="16"/>
  </r>
  <r>
    <x v="96"/>
    <s v="MS290"/>
    <s v="OR15K6024"/>
    <n v="2.75"/>
    <n v="109.01"/>
    <n v="300"/>
    <x v="7"/>
  </r>
  <r>
    <x v="96"/>
    <s v="MS291"/>
    <s v="OD23 2995"/>
    <n v="10"/>
    <n v="109.01"/>
    <n v="1090.0999999999999"/>
    <x v="19"/>
  </r>
  <r>
    <x v="97"/>
    <s v="MS292"/>
    <m/>
    <n v="32.67"/>
    <n v="109.01"/>
    <n v="3561.2"/>
    <x v="16"/>
  </r>
  <r>
    <x v="97"/>
    <s v="MS293"/>
    <s v="OR15K6024"/>
    <n v="2.75"/>
    <n v="109.01"/>
    <n v="300"/>
    <x v="7"/>
  </r>
  <r>
    <x v="97"/>
    <s v="MS294"/>
    <s v="OD23M9485"/>
    <n v="32.82"/>
    <n v="109.01"/>
    <n v="3577.7"/>
    <x v="1"/>
  </r>
  <r>
    <x v="97"/>
    <s v="MS295"/>
    <m/>
    <n v="726.5"/>
    <n v="109.01"/>
    <n v="79195.53"/>
    <x v="17"/>
  </r>
  <r>
    <x v="98"/>
    <s v="MS296"/>
    <m/>
    <n v="291.82"/>
    <n v="109.01"/>
    <n v="31811.02"/>
    <x v="17"/>
  </r>
  <r>
    <x v="98"/>
    <s v="MS297"/>
    <m/>
    <n v="9.18"/>
    <n v="109.01"/>
    <n v="1000"/>
    <x v="17"/>
  </r>
  <r>
    <x v="98"/>
    <s v="MS298"/>
    <m/>
    <n v="142.96"/>
    <n v="109.01"/>
    <n v="15584.26"/>
    <x v="16"/>
  </r>
  <r>
    <x v="98"/>
    <s v="MS299"/>
    <s v="OD15Y4061"/>
    <n v="9.18"/>
    <n v="109.01"/>
    <n v="1000"/>
    <x v="11"/>
  </r>
  <r>
    <x v="98"/>
    <s v="MS300"/>
    <s v="OD23 2995"/>
    <n v="10"/>
    <n v="109.01"/>
    <n v="1090.0999999999999"/>
    <x v="19"/>
  </r>
  <r>
    <x v="98"/>
    <s v="MS301"/>
    <s v="OD23P0325"/>
    <n v="34.18"/>
    <n v="109.01"/>
    <n v="3725.96"/>
    <x v="1"/>
  </r>
  <r>
    <x v="98"/>
    <s v="MS302"/>
    <s v="OD23T1010"/>
    <n v="44.09"/>
    <n v="109.01"/>
    <n v="4806.25"/>
    <x v="8"/>
  </r>
  <r>
    <x v="99"/>
    <s v="MS303"/>
    <s v="OD23K4545"/>
    <n v="4.28"/>
    <n v="109.01"/>
    <n v="466.56"/>
    <x v="5"/>
  </r>
  <r>
    <x v="99"/>
    <s v="MS304"/>
    <m/>
    <n v="31.48"/>
    <n v="109.01"/>
    <n v="3431.2"/>
    <x v="16"/>
  </r>
  <r>
    <x v="99"/>
    <s v="MS305"/>
    <m/>
    <n v="366.65"/>
    <n v="109.01"/>
    <n v="39968.550000000003"/>
    <x v="17"/>
  </r>
  <r>
    <x v="100"/>
    <s v="MS306"/>
    <s v=""/>
    <n v="397.37"/>
    <n v="109.01"/>
    <n v="43317.05"/>
    <x v="17"/>
  </r>
  <r>
    <x v="100"/>
    <s v="MS307"/>
    <s v=""/>
    <n v="72.39"/>
    <n v="109.01"/>
    <n v="7890.77"/>
    <x v="16"/>
  </r>
  <r>
    <x v="101"/>
    <s v="MS308"/>
    <m/>
    <n v="10"/>
    <n v="109.01"/>
    <n v="1090.0999999999999"/>
    <x v="16"/>
  </r>
  <r>
    <x v="101"/>
    <s v="MS309"/>
    <m/>
    <n v="297.52"/>
    <n v="109.01"/>
    <n v="32433.13"/>
    <x v="17"/>
  </r>
  <r>
    <x v="101"/>
    <s v="MS310"/>
    <m/>
    <n v="4.7699999999999996"/>
    <n v="109.01"/>
    <n v="520"/>
    <x v="17"/>
  </r>
  <r>
    <x v="101"/>
    <s v="MS311"/>
    <s v="JH15AK1307"/>
    <n v="34.869999999999997"/>
    <n v="109.01"/>
    <n v="3801.17"/>
    <x v="3"/>
  </r>
  <r>
    <x v="101"/>
    <s v="MS312"/>
    <s v="OR15K6024"/>
    <n v="2.75"/>
    <n v="109.01"/>
    <n v="300"/>
    <x v="7"/>
  </r>
  <r>
    <x v="102"/>
    <s v="MS313"/>
    <m/>
    <n v="16.579999999999998"/>
    <n v="109.01"/>
    <n v="1807"/>
    <x v="17"/>
  </r>
  <r>
    <x v="102"/>
    <s v="MS314"/>
    <m/>
    <n v="370.18"/>
    <n v="109.01"/>
    <n v="40353.519999999997"/>
    <x v="17"/>
  </r>
  <r>
    <x v="102"/>
    <s v="MS315"/>
    <m/>
    <n v="45.92"/>
    <n v="109.01"/>
    <n v="5005.49"/>
    <x v="16"/>
  </r>
  <r>
    <x v="103"/>
    <s v="MS316"/>
    <s v="OD23M4614"/>
    <n v="200"/>
    <n v="109.01"/>
    <n v="21802"/>
    <x v="2"/>
  </r>
  <r>
    <x v="103"/>
    <s v="MS317"/>
    <s v="OR15K6024"/>
    <n v="2.75"/>
    <n v="109.01"/>
    <n v="300"/>
    <x v="7"/>
  </r>
  <r>
    <x v="103"/>
    <s v="MS318"/>
    <m/>
    <n v="51.52"/>
    <n v="109.01"/>
    <n v="5616.05"/>
    <x v="16"/>
  </r>
  <r>
    <x v="103"/>
    <s v="MS319"/>
    <m/>
    <n v="304.81"/>
    <n v="109.01"/>
    <n v="33227"/>
    <x v="17"/>
  </r>
  <r>
    <x v="104"/>
    <s v="MS320"/>
    <m/>
    <n v="348.49"/>
    <n v="109.01"/>
    <n v="37988.699999999997"/>
    <x v="17"/>
  </r>
  <r>
    <x v="104"/>
    <s v="MS321"/>
    <m/>
    <n v="47.41"/>
    <n v="109.01"/>
    <n v="5168.67"/>
    <x v="16"/>
  </r>
  <r>
    <x v="105"/>
    <s v="MS322"/>
    <m/>
    <n v="59.99"/>
    <n v="109.01"/>
    <n v="6540"/>
    <x v="16"/>
  </r>
  <r>
    <x v="105"/>
    <s v="MS323"/>
    <m/>
    <n v="277.55"/>
    <n v="109.01"/>
    <n v="30255.99"/>
    <x v="17"/>
  </r>
  <r>
    <x v="105"/>
    <s v="MS324"/>
    <s v="OD23U9014"/>
    <n v="41.75"/>
    <n v="109.01"/>
    <n v="4551.16"/>
    <x v="4"/>
  </r>
  <r>
    <x v="105"/>
    <s v="MS325"/>
    <s v="JH09AW8179"/>
    <n v="7"/>
    <n v="109.01"/>
    <n v="763.07"/>
    <x v="4"/>
  </r>
  <r>
    <x v="105"/>
    <s v="MS326"/>
    <m/>
    <n v="3.85"/>
    <n v="109.01"/>
    <n v="420"/>
    <x v="17"/>
  </r>
  <r>
    <x v="106"/>
    <s v="MS327"/>
    <m/>
    <n v="10.33"/>
    <n v="109.01"/>
    <n v="1126"/>
    <x v="17"/>
  </r>
  <r>
    <x v="106"/>
    <s v="MS328"/>
    <m/>
    <n v="265.45"/>
    <n v="109.01"/>
    <n v="28937"/>
    <x v="17"/>
  </r>
  <r>
    <x v="106"/>
    <s v="MS329"/>
    <m/>
    <n v="20.51"/>
    <n v="109.01"/>
    <n v="2235.15"/>
    <x v="16"/>
  </r>
  <r>
    <x v="106"/>
    <s v="MS330"/>
    <s v="OD23M9485"/>
    <n v="36.43"/>
    <n v="109.01"/>
    <n v="3971.23"/>
    <x v="1"/>
  </r>
  <r>
    <x v="107"/>
    <s v="MS331"/>
    <m/>
    <n v="478.55"/>
    <n v="109.01"/>
    <n v="52167"/>
    <x v="17"/>
  </r>
  <r>
    <x v="107"/>
    <s v="MS332"/>
    <m/>
    <n v="53.15"/>
    <n v="109.01"/>
    <n v="5794.1"/>
    <x v="16"/>
  </r>
  <r>
    <x v="107"/>
    <s v="MS333"/>
    <s v="OD23U9014"/>
    <n v="6"/>
    <n v="109.01"/>
    <n v="654.05999999999995"/>
    <x v="4"/>
  </r>
  <r>
    <x v="107"/>
    <s v="MS334"/>
    <s v="OD23K4545"/>
    <n v="4.22"/>
    <n v="109.01"/>
    <n v="460.02"/>
    <x v="5"/>
  </r>
  <r>
    <x v="107"/>
    <s v="MS335"/>
    <s v="OR15K6024"/>
    <n v="2.75"/>
    <n v="109.01"/>
    <n v="300"/>
    <x v="7"/>
  </r>
  <r>
    <x v="108"/>
    <s v="MS336"/>
    <m/>
    <n v="42.01"/>
    <n v="109.01"/>
    <n v="4580"/>
    <x v="16"/>
  </r>
  <r>
    <x v="108"/>
    <s v="MS337"/>
    <s v="OR15Q6155"/>
    <n v="4.59"/>
    <n v="109.01"/>
    <n v="500"/>
    <x v="11"/>
  </r>
  <r>
    <x v="108"/>
    <s v="MS338"/>
    <s v="JH10DF2111"/>
    <n v="54.64"/>
    <n v="109.01"/>
    <n v="5956.3"/>
    <x v="4"/>
  </r>
  <r>
    <x v="108"/>
    <s v="MS339"/>
    <m/>
    <n v="1.83"/>
    <n v="109.01"/>
    <n v="200"/>
    <x v="17"/>
  </r>
  <r>
    <x v="108"/>
    <s v="MS340"/>
    <m/>
    <n v="257.86"/>
    <n v="109.01"/>
    <n v="28109.71"/>
    <x v="17"/>
  </r>
  <r>
    <x v="109"/>
    <s v="MS341"/>
    <m/>
    <n v="203.9"/>
    <n v="109.01"/>
    <n v="22227.27"/>
    <x v="17"/>
  </r>
  <r>
    <x v="109"/>
    <s v="MS342"/>
    <m/>
    <n v="2.75"/>
    <n v="109.01"/>
    <n v="300"/>
    <x v="17"/>
  </r>
  <r>
    <x v="109"/>
    <s v="MS343"/>
    <m/>
    <n v="78.5"/>
    <n v="109.01"/>
    <n v="8557.7199999999993"/>
    <x v="16"/>
  </r>
  <r>
    <x v="109"/>
    <s v="MS344"/>
    <s v="OR15K6024"/>
    <n v="2.75"/>
    <n v="109.01"/>
    <n v="300"/>
    <x v="7"/>
  </r>
  <r>
    <x v="110"/>
    <s v="MS345"/>
    <s v="CG13AV0698"/>
    <n v="18.350000000000001"/>
    <n v="109.01"/>
    <n v="2000"/>
    <x v="20"/>
  </r>
  <r>
    <x v="110"/>
    <s v="MS346"/>
    <m/>
    <n v="109.3"/>
    <n v="109.01"/>
    <n v="11915"/>
    <x v="16"/>
  </r>
  <r>
    <x v="110"/>
    <s v="MS347"/>
    <m/>
    <n v="224.48"/>
    <n v="109.01"/>
    <n v="24471"/>
    <x v="17"/>
  </r>
  <r>
    <x v="110"/>
    <s v="MS348"/>
    <m/>
    <n v="6.97"/>
    <n v="109.01"/>
    <n v="760"/>
    <x v="17"/>
  </r>
  <r>
    <x v="111"/>
    <s v="MS349"/>
    <m/>
    <n v="301.27"/>
    <n v="109.01"/>
    <n v="32841.019999999997"/>
    <x v="17"/>
  </r>
  <r>
    <x v="111"/>
    <s v="MS350"/>
    <m/>
    <n v="28.47"/>
    <n v="109.01"/>
    <n v="3103.1"/>
    <x v="16"/>
  </r>
  <r>
    <x v="111"/>
    <s v="MS351"/>
    <s v="OD23P0325"/>
    <n v="39.590000000000003"/>
    <n v="109.01"/>
    <n v="4315.7"/>
    <x v="1"/>
  </r>
  <r>
    <x v="112"/>
    <s v="MS352"/>
    <s v="OR15Q6155"/>
    <n v="4.59"/>
    <n v="109.01"/>
    <n v="500"/>
    <x v="11"/>
  </r>
  <r>
    <x v="112"/>
    <s v="MS353"/>
    <m/>
    <n v="10.09"/>
    <n v="109.01"/>
    <n v="1100"/>
    <x v="16"/>
  </r>
  <r>
    <x v="112"/>
    <s v="MS354"/>
    <m/>
    <n v="2.02"/>
    <n v="109.01"/>
    <n v="220"/>
    <x v="17"/>
  </r>
  <r>
    <x v="112"/>
    <s v="MS355"/>
    <m/>
    <n v="306.42"/>
    <n v="109.01"/>
    <n v="33403.050000000003"/>
    <x v="17"/>
  </r>
  <r>
    <x v="113"/>
    <s v="MS356"/>
    <m/>
    <n v="122.95"/>
    <n v="109.01"/>
    <n v="13402.9"/>
    <x v="16"/>
  </r>
  <r>
    <x v="113"/>
    <s v="MS357"/>
    <m/>
    <n v="182.97"/>
    <n v="109.01"/>
    <n v="19946"/>
    <x v="17"/>
  </r>
  <r>
    <x v="113"/>
    <s v="MS358"/>
    <m/>
    <n v="4.95"/>
    <n v="109.01"/>
    <n v="540"/>
    <x v="17"/>
  </r>
  <r>
    <x v="114"/>
    <s v="MS359"/>
    <m/>
    <n v="0.55000000000000004"/>
    <n v="109.01"/>
    <n v="60"/>
    <x v="17"/>
  </r>
  <r>
    <x v="114"/>
    <s v="MS360"/>
    <m/>
    <n v="309.19"/>
    <n v="109.01"/>
    <n v="33704.6"/>
    <x v="17"/>
  </r>
  <r>
    <x v="114"/>
    <s v="MS361"/>
    <m/>
    <n v="12.53"/>
    <n v="109.01"/>
    <n v="1366.02"/>
    <x v="16"/>
  </r>
  <r>
    <x v="114"/>
    <s v="MS362"/>
    <s v="OR15K6024"/>
    <n v="2.75"/>
    <n v="109.01"/>
    <n v="300"/>
    <x v="7"/>
  </r>
  <r>
    <x v="114"/>
    <s v="MS363"/>
    <s v="OD23S5251"/>
    <n v="23.85"/>
    <n v="109.01"/>
    <n v="2600"/>
    <x v="4"/>
  </r>
  <r>
    <x v="115"/>
    <s v="MS364"/>
    <m/>
    <n v="55.91"/>
    <n v="109.01"/>
    <n v="6094.06"/>
    <x v="16"/>
  </r>
  <r>
    <x v="115"/>
    <s v="MS365"/>
    <m/>
    <n v="6.61"/>
    <n v="109.01"/>
    <n v="720"/>
    <x v="17"/>
  </r>
  <r>
    <x v="115"/>
    <s v="MS366"/>
    <m/>
    <n v="467.14"/>
    <n v="109.01"/>
    <n v="50922.85"/>
    <x v="17"/>
  </r>
  <r>
    <x v="115"/>
    <s v="MS367"/>
    <s v="OD23M9485"/>
    <n v="38.53"/>
    <n v="109.01"/>
    <n v="4200.1499999999996"/>
    <x v="1"/>
  </r>
  <r>
    <x v="115"/>
    <s v="MS368"/>
    <s v="OD23N1010"/>
    <n v="48"/>
    <n v="109.01"/>
    <n v="5232.4799999999996"/>
    <x v="8"/>
  </r>
  <r>
    <x v="115"/>
    <s v="MS369"/>
    <s v="OD23T1010"/>
    <n v="42"/>
    <n v="109.01"/>
    <n v="4578.42"/>
    <x v="8"/>
  </r>
  <r>
    <x v="115"/>
    <s v="MS370"/>
    <s v="JAR 500 x 4"/>
    <n v="18.350000000000001"/>
    <n v="109.01"/>
    <n v="2000"/>
    <x v="5"/>
  </r>
  <r>
    <x v="116"/>
    <s v="MS371"/>
    <s v="OD23 2995"/>
    <n v="10"/>
    <n v="109.01"/>
    <n v="1090.0999999999999"/>
    <x v="19"/>
  </r>
  <r>
    <x v="116"/>
    <s v="MS372"/>
    <s v="JH09AW8179"/>
    <n v="7"/>
    <n v="109.01"/>
    <n v="763.07"/>
    <x v="4"/>
  </r>
  <r>
    <x v="116"/>
    <s v="MS373"/>
    <s v="JH10DF2111"/>
    <n v="51.88"/>
    <n v="109.01"/>
    <n v="5655.43"/>
    <x v="4"/>
  </r>
  <r>
    <x v="116"/>
    <s v="MS374"/>
    <m/>
    <n v="92.56"/>
    <n v="109.01"/>
    <n v="10089.69"/>
    <x v="16"/>
  </r>
  <r>
    <x v="116"/>
    <s v="MS375"/>
    <m/>
    <n v="296.89999999999998"/>
    <n v="109.01"/>
    <n v="32365.25"/>
    <x v="17"/>
  </r>
  <r>
    <x v="116"/>
    <s v="MS376"/>
    <m/>
    <n v="9.6300000000000008"/>
    <n v="109.01"/>
    <n v="1050"/>
    <x v="17"/>
  </r>
  <r>
    <x v="117"/>
    <s v="MS377"/>
    <s v="OR15K6024"/>
    <n v="2.75"/>
    <n v="109.01"/>
    <n v="300"/>
    <x v="7"/>
  </r>
  <r>
    <x v="117"/>
    <s v="MS378"/>
    <m/>
    <n v="27.44"/>
    <n v="109.01"/>
    <n v="2990.87"/>
    <x v="16"/>
  </r>
  <r>
    <x v="117"/>
    <s v="MS379"/>
    <m/>
    <n v="3.16"/>
    <n v="109.01"/>
    <n v="345"/>
    <x v="17"/>
  </r>
  <r>
    <x v="117"/>
    <s v="MS380"/>
    <m/>
    <n v="580.55999999999995"/>
    <n v="109.01"/>
    <n v="63287"/>
    <x v="17"/>
  </r>
  <r>
    <x v="118"/>
    <s v="MS381"/>
    <m/>
    <n v="363.05"/>
    <n v="109.01"/>
    <n v="39576"/>
    <x v="17"/>
  </r>
  <r>
    <x v="118"/>
    <s v="MS382"/>
    <m/>
    <n v="4.59"/>
    <n v="109.01"/>
    <n v="500"/>
    <x v="17"/>
  </r>
  <r>
    <x v="118"/>
    <s v="MS383"/>
    <m/>
    <n v="35.08"/>
    <n v="109.01"/>
    <n v="3824.1"/>
    <x v="16"/>
  </r>
  <r>
    <x v="119"/>
    <s v="MS384"/>
    <m/>
    <n v="481.1"/>
    <n v="109.01"/>
    <n v="52444.9"/>
    <x v="17"/>
  </r>
  <r>
    <x v="119"/>
    <s v="MS385"/>
    <m/>
    <n v="4.13"/>
    <n v="109.01"/>
    <n v="450"/>
    <x v="17"/>
  </r>
  <r>
    <x v="119"/>
    <s v="MS386"/>
    <m/>
    <n v="55.68"/>
    <n v="109.01"/>
    <n v="6070"/>
    <x v="16"/>
  </r>
  <r>
    <x v="120"/>
    <s v="MS387"/>
    <s v="OD23M4614"/>
    <n v="200"/>
    <n v="109.01"/>
    <n v="21802"/>
    <x v="2"/>
  </r>
  <r>
    <x v="120"/>
    <s v="MS388"/>
    <s v="OD23M9485"/>
    <n v="32.090000000000003"/>
    <n v="109.01"/>
    <n v="3498.13"/>
    <x v="1"/>
  </r>
  <r>
    <x v="120"/>
    <s v="MS389"/>
    <m/>
    <n v="36.369999999999997"/>
    <n v="109.01"/>
    <n v="3965.1"/>
    <x v="16"/>
  </r>
  <r>
    <x v="120"/>
    <s v="MS390"/>
    <m/>
    <n v="13.3"/>
    <n v="109.01"/>
    <n v="1450"/>
    <x v="17"/>
  </r>
  <r>
    <x v="120"/>
    <s v="MS391"/>
    <m/>
    <n v="345.09"/>
    <n v="109.01"/>
    <n v="37617.75"/>
    <x v="17"/>
  </r>
  <r>
    <x v="121"/>
    <s v="MS392"/>
    <m/>
    <n v="350.33"/>
    <n v="109.01"/>
    <n v="38189"/>
    <x v="17"/>
  </r>
  <r>
    <x v="121"/>
    <s v="MS393"/>
    <m/>
    <n v="2.85"/>
    <n v="109.01"/>
    <n v="310"/>
    <x v="17"/>
  </r>
  <r>
    <x v="121"/>
    <s v="MS394"/>
    <m/>
    <n v="52.75"/>
    <n v="109.01"/>
    <n v="5750"/>
    <x v="16"/>
  </r>
  <r>
    <x v="121"/>
    <s v="MS395"/>
    <s v="OD23P0325"/>
    <n v="38.92"/>
    <n v="109.01"/>
    <n v="4242.66"/>
    <x v="1"/>
  </r>
  <r>
    <x v="122"/>
    <s v="MS396"/>
    <s v="OR15K6024"/>
    <n v="2.75"/>
    <n v="109.01"/>
    <n v="300"/>
    <x v="7"/>
  </r>
  <r>
    <x v="122"/>
    <s v="MS397"/>
    <m/>
    <n v="39.979999999999997"/>
    <n v="109.01"/>
    <n v="4358"/>
    <x v="16"/>
  </r>
  <r>
    <x v="122"/>
    <s v="MS398"/>
    <m/>
    <n v="433.11"/>
    <n v="109.01"/>
    <n v="47213.08"/>
    <x v="17"/>
  </r>
  <r>
    <x v="123"/>
    <s v="MS399"/>
    <m/>
    <n v="308.92"/>
    <n v="109.01"/>
    <n v="33675"/>
    <x v="17"/>
  </r>
  <r>
    <x v="123"/>
    <s v="MS400"/>
    <m/>
    <n v="8.35"/>
    <n v="109.01"/>
    <n v="910"/>
    <x v="17"/>
  </r>
  <r>
    <x v="123"/>
    <s v="MS401"/>
    <m/>
    <n v="94.36"/>
    <n v="109.01"/>
    <n v="10286.1"/>
    <x v="16"/>
  </r>
  <r>
    <x v="124"/>
    <s v="MS402"/>
    <m/>
    <n v="22"/>
    <n v="109.01"/>
    <n v="2397.87"/>
    <x v="16"/>
  </r>
  <r>
    <x v="124"/>
    <s v="MS403"/>
    <m/>
    <n v="5.41"/>
    <n v="109.01"/>
    <n v="590"/>
    <x v="17"/>
  </r>
  <r>
    <x v="124"/>
    <s v="MS404"/>
    <m/>
    <n v="450.6"/>
    <n v="109.01"/>
    <n v="49119.8"/>
    <x v="17"/>
  </r>
  <r>
    <x v="125"/>
    <s v="MS405"/>
    <s v="OD23B2366"/>
    <n v="2.76"/>
    <n v="109.01"/>
    <n v="300"/>
    <x v="7"/>
  </r>
  <r>
    <x v="125"/>
    <s v="MS406"/>
    <m/>
    <n v="26.22"/>
    <n v="109.01"/>
    <n v="2857.87"/>
    <x v="16"/>
  </r>
  <r>
    <x v="125"/>
    <s v="MS407"/>
    <m/>
    <n v="413.72"/>
    <n v="109.01"/>
    <n v="45100"/>
    <x v="17"/>
  </r>
  <r>
    <x v="126"/>
    <s v="MS408"/>
    <s v="OR15Q6155"/>
    <n v="4.59"/>
    <n v="109.01"/>
    <n v="500"/>
    <x v="11"/>
  </r>
  <r>
    <x v="126"/>
    <s v="MS409"/>
    <s v="OD07D8443"/>
    <n v="6"/>
    <n v="109.01"/>
    <n v="654.05999999999995"/>
    <x v="4"/>
  </r>
  <r>
    <x v="126"/>
    <s v="MS410"/>
    <s v="OR15K6024"/>
    <n v="2.76"/>
    <n v="109.01"/>
    <n v="300"/>
    <x v="7"/>
  </r>
  <r>
    <x v="126"/>
    <s v="MS411"/>
    <m/>
    <n v="14.98"/>
    <n v="109.01"/>
    <n v="1632.61"/>
    <x v="16"/>
  </r>
  <r>
    <x v="126"/>
    <s v="MS412"/>
    <m/>
    <n v="412.62"/>
    <n v="109.01"/>
    <n v="44979.79"/>
    <x v="17"/>
  </r>
  <r>
    <x v="126"/>
    <s v="MS413"/>
    <m/>
    <n v="25.26"/>
    <n v="109.01"/>
    <n v="2753"/>
    <x v="17"/>
  </r>
  <r>
    <x v="127"/>
    <s v="MS414"/>
    <m/>
    <n v="345.26"/>
    <n v="109.01"/>
    <n v="37637"/>
    <x v="17"/>
  </r>
  <r>
    <x v="127"/>
    <s v="MS415"/>
    <m/>
    <n v="70.42"/>
    <n v="109.01"/>
    <n v="7676.1"/>
    <x v="16"/>
  </r>
  <r>
    <x v="128"/>
    <s v="MS416"/>
    <s v="OD23M9485"/>
    <n v="37.43"/>
    <n v="109.01"/>
    <n v="4080.24"/>
    <x v="1"/>
  </r>
  <r>
    <x v="128"/>
    <s v="MS417"/>
    <m/>
    <n v="220.17"/>
    <n v="109.01"/>
    <n v="24001"/>
    <x v="17"/>
  </r>
  <r>
    <x v="128"/>
    <s v="MS418"/>
    <m/>
    <n v="2.02"/>
    <n v="109.01"/>
    <n v="220"/>
    <x v="17"/>
  </r>
  <r>
    <x v="128"/>
    <s v="MS419"/>
    <s v=""/>
    <n v="25.23"/>
    <n v="109.01"/>
    <n v="2750"/>
    <x v="16"/>
  </r>
  <r>
    <x v="129"/>
    <s v="MS420"/>
    <s v=""/>
    <n v="120.56"/>
    <n v="109.01"/>
    <n v="13141.85"/>
    <x v="16"/>
  </r>
  <r>
    <x v="129"/>
    <s v="MS421"/>
    <m/>
    <n v="373.36"/>
    <n v="109.01"/>
    <n v="40699.75"/>
    <x v="17"/>
  </r>
  <r>
    <x v="130"/>
    <s v="MS422"/>
    <m/>
    <n v="436.86"/>
    <n v="109.01"/>
    <n v="47621.99"/>
    <x v="17"/>
  </r>
  <r>
    <x v="130"/>
    <s v="MS423"/>
    <m/>
    <n v="13.03"/>
    <n v="109.01"/>
    <n v="1420"/>
    <x v="16"/>
  </r>
  <r>
    <x v="130"/>
    <s v="MS424"/>
    <s v="OR15K6024"/>
    <n v="2.75"/>
    <n v="109.01"/>
    <n v="300"/>
    <x v="7"/>
  </r>
  <r>
    <x v="131"/>
    <s v="MS425"/>
    <s v="OR15Q6155"/>
    <n v="4.59"/>
    <n v="109.01"/>
    <n v="500"/>
    <x v="11"/>
  </r>
  <r>
    <x v="131"/>
    <s v="MS426"/>
    <m/>
    <n v="100.8"/>
    <n v="109.01"/>
    <n v="10987.82"/>
    <x v="16"/>
  </r>
  <r>
    <x v="131"/>
    <s v="MS427"/>
    <m/>
    <n v="279.3"/>
    <n v="109.01"/>
    <n v="30446.87"/>
    <x v="17"/>
  </r>
  <r>
    <x v="131"/>
    <s v="MS428"/>
    <m/>
    <n v="5.41"/>
    <n v="109.01"/>
    <n v="590"/>
    <x v="17"/>
  </r>
  <r>
    <x v="132"/>
    <s v="MS429"/>
    <m/>
    <n v="375.94"/>
    <n v="109.01"/>
    <n v="40980.800000000003"/>
    <x v="17"/>
  </r>
  <r>
    <x v="132"/>
    <s v="MS430"/>
    <m/>
    <n v="54.73"/>
    <n v="109.01"/>
    <n v="5966"/>
    <x v="16"/>
  </r>
  <r>
    <x v="132"/>
    <s v="MS431"/>
    <s v="OD23P0325"/>
    <n v="40.74"/>
    <n v="109.01"/>
    <n v="4441.0600000000004"/>
    <x v="1"/>
  </r>
  <r>
    <x v="133"/>
    <s v="MS432"/>
    <m/>
    <n v="30.27"/>
    <n v="109.01"/>
    <n v="3300"/>
    <x v="16"/>
  </r>
  <r>
    <x v="133"/>
    <s v="MS433"/>
    <m/>
    <n v="13.76"/>
    <n v="109.01"/>
    <n v="1500"/>
    <x v="17"/>
  </r>
  <r>
    <x v="133"/>
    <s v="MS434"/>
    <m/>
    <n v="252.64"/>
    <n v="109.01"/>
    <n v="27540.7"/>
    <x v="17"/>
  </r>
  <r>
    <x v="134"/>
    <s v="MS435"/>
    <s v="OR15K6024"/>
    <n v="2.75"/>
    <n v="109.01"/>
    <n v="300"/>
    <x v="7"/>
  </r>
  <r>
    <x v="134"/>
    <s v="MS436"/>
    <m/>
    <n v="33.299999999999997"/>
    <n v="109.01"/>
    <n v="3630"/>
    <x v="16"/>
  </r>
  <r>
    <x v="134"/>
    <s v="MS437"/>
    <m/>
    <n v="330.2"/>
    <n v="109.01"/>
    <n v="35994.99"/>
    <x v="17"/>
  </r>
  <r>
    <x v="134"/>
    <s v="MS438"/>
    <m/>
    <n v="3.51"/>
    <n v="109.01"/>
    <n v="383"/>
    <x v="17"/>
  </r>
  <r>
    <x v="135"/>
    <s v="MS439"/>
    <m/>
    <n v="4.59"/>
    <n v="109.01"/>
    <n v="500"/>
    <x v="17"/>
  </r>
  <r>
    <x v="135"/>
    <s v="MS440"/>
    <m/>
    <n v="331.41"/>
    <n v="109.01"/>
    <n v="36127.199999999997"/>
    <x v="17"/>
  </r>
  <r>
    <x v="135"/>
    <s v="MS441"/>
    <m/>
    <n v="79.11"/>
    <n v="109.01"/>
    <n v="8623.82"/>
    <x v="16"/>
  </r>
  <r>
    <x v="136"/>
    <s v="MS442"/>
    <m/>
    <n v="128.46"/>
    <n v="109.01"/>
    <n v="14003.95"/>
    <x v="16"/>
  </r>
  <r>
    <x v="136"/>
    <s v="MS443"/>
    <m/>
    <n v="284.08"/>
    <n v="109.01"/>
    <n v="30967.99"/>
    <x v="17"/>
  </r>
  <r>
    <x v="136"/>
    <s v="MS444"/>
    <s v="OD23M9485"/>
    <n v="36.39"/>
    <n v="109.01"/>
    <n v="3966.87"/>
    <x v="1"/>
  </r>
  <r>
    <x v="136"/>
    <s v="MS445"/>
    <s v="JH10DF2111"/>
    <n v="20"/>
    <n v="109.01"/>
    <n v="2180.1999999999998"/>
    <x v="4"/>
  </r>
  <r>
    <x v="137"/>
    <s v="MS446"/>
    <s v="OR15Q6155"/>
    <n v="4.59"/>
    <n v="109.01"/>
    <n v="500"/>
    <x v="11"/>
  </r>
  <r>
    <x v="137"/>
    <s v="MS447"/>
    <s v="OD14AD5280"/>
    <n v="11.01"/>
    <n v="109.01"/>
    <n v="1200.2"/>
    <x v="13"/>
  </r>
  <r>
    <x v="137"/>
    <s v="MS448"/>
    <m/>
    <n v="4.13"/>
    <n v="109.01"/>
    <n v="450"/>
    <x v="17"/>
  </r>
  <r>
    <x v="137"/>
    <s v="MS449"/>
    <m/>
    <n v="133.5"/>
    <n v="109.01"/>
    <n v="14552.79"/>
    <x v="17"/>
  </r>
  <r>
    <x v="137"/>
    <s v="MS450"/>
    <m/>
    <n v="71.02"/>
    <n v="109.01"/>
    <n v="7742"/>
    <x v="16"/>
  </r>
  <r>
    <x v="138"/>
    <s v="MS451"/>
    <s v="OR15K6024"/>
    <n v="2.75"/>
    <n v="109.01"/>
    <n v="300"/>
    <x v="7"/>
  </r>
  <r>
    <x v="138"/>
    <s v="MS452"/>
    <m/>
    <n v="121.32"/>
    <n v="109.01"/>
    <n v="13224.85"/>
    <x v="16"/>
  </r>
  <r>
    <x v="138"/>
    <s v="MS453"/>
    <m/>
    <n v="552.21"/>
    <n v="109.01"/>
    <n v="60196"/>
    <x v="17"/>
  </r>
  <r>
    <x v="139"/>
    <s v="MS454"/>
    <m/>
    <n v="427.3"/>
    <n v="109.01"/>
    <n v="46579.99"/>
    <x v="17"/>
  </r>
  <r>
    <x v="139"/>
    <s v="MS455"/>
    <m/>
    <n v="2.75"/>
    <n v="109.01"/>
    <n v="300"/>
    <x v="17"/>
  </r>
  <r>
    <x v="139"/>
    <s v="MS456"/>
    <m/>
    <n v="93.16"/>
    <n v="109.01"/>
    <n v="10155.84"/>
    <x v="16"/>
  </r>
  <r>
    <x v="140"/>
    <s v="MS457"/>
    <m/>
    <n v="43.04"/>
    <n v="109.01"/>
    <n v="4692"/>
    <x v="16"/>
  </r>
  <r>
    <x v="140"/>
    <s v="MS458"/>
    <m/>
    <n v="371.76"/>
    <n v="109.01"/>
    <n v="40526"/>
    <x v="17"/>
  </r>
  <r>
    <x v="140"/>
    <s v="MS459"/>
    <s v="JH10DF2111"/>
    <n v="25"/>
    <n v="109.01"/>
    <n v="2725.25"/>
    <x v="4"/>
  </r>
  <r>
    <x v="140"/>
    <s v="MS460"/>
    <s v="OD23T1010"/>
    <n v="38.64"/>
    <n v="109.01"/>
    <n v="4212.1400000000003"/>
    <x v="8"/>
  </r>
  <r>
    <x v="141"/>
    <s v="MS461"/>
    <s v="JH09AW8179"/>
    <n v="5"/>
    <n v="109.01"/>
    <n v="545.04999999999995"/>
    <x v="4"/>
  </r>
  <r>
    <x v="141"/>
    <s v="MS462"/>
    <s v="OD23P0325"/>
    <n v="39.78"/>
    <n v="109.01"/>
    <n v="4336.41"/>
    <x v="1"/>
  </r>
  <r>
    <x v="141"/>
    <s v="MS463"/>
    <s v="OD15Y4061"/>
    <n v="9.17"/>
    <n v="109.01"/>
    <n v="1000"/>
    <x v="11"/>
  </r>
  <r>
    <x v="141"/>
    <s v="MS464"/>
    <s v="OR15K6024"/>
    <n v="2.75"/>
    <n v="109.01"/>
    <n v="300"/>
    <x v="7"/>
  </r>
  <r>
    <x v="141"/>
    <s v="MS465"/>
    <m/>
    <n v="7.8"/>
    <n v="109.01"/>
    <n v="850"/>
    <x v="17"/>
  </r>
  <r>
    <x v="141"/>
    <s v="MS466"/>
    <m/>
    <n v="263.16000000000003"/>
    <n v="109.01"/>
    <n v="28687"/>
    <x v="17"/>
  </r>
  <r>
    <x v="141"/>
    <s v="MS467"/>
    <m/>
    <n v="82.66"/>
    <n v="109.01"/>
    <n v="9011"/>
    <x v="16"/>
  </r>
  <r>
    <x v="142"/>
    <s v="MS468"/>
    <m/>
    <n v="47.61"/>
    <n v="109.01"/>
    <n v="5190"/>
    <x v="16"/>
  </r>
  <r>
    <x v="142"/>
    <s v="MS469"/>
    <m/>
    <n v="352.67"/>
    <n v="109.01"/>
    <n v="38444.019999999997"/>
    <x v="17"/>
  </r>
  <r>
    <x v="142"/>
    <s v="MS470"/>
    <m/>
    <n v="51.37"/>
    <n v="109.01"/>
    <n v="5600"/>
    <x v="17"/>
  </r>
  <r>
    <x v="143"/>
    <s v="MS471"/>
    <m/>
    <n v="260.75"/>
    <n v="109.01"/>
    <n v="28424"/>
    <x v="17"/>
  </r>
  <r>
    <x v="143"/>
    <s v="MS472"/>
    <m/>
    <n v="27.98"/>
    <n v="109.01"/>
    <n v="3050.1"/>
    <x v="16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  <r>
    <x v="144"/>
    <m/>
    <m/>
    <m/>
    <m/>
    <m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DC0340-E71F-0041-AEB5-E913750915F2}" name="PivotTable3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HSD Daily Sales Summary">
  <location ref="A3:C1637" firstHeaderRow="0" firstDataRow="1" firstDataCol="1" rowPageCount="1" colPageCount="1"/>
  <pivotFields count="7">
    <pivotField axis="axisRow" showAll="0" sortType="descending">
      <items count="878"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m="1" x="14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m="1" x="147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512"/>
        <item m="1" x="511"/>
        <item m="1" x="510"/>
        <item m="1" x="509"/>
        <item m="1" x="508"/>
        <item m="1" x="507"/>
        <item m="1" x="506"/>
        <item m="1" x="505"/>
        <item m="1" x="504"/>
        <item m="1" x="503"/>
        <item m="1" x="502"/>
        <item m="1" x="501"/>
        <item m="1" x="500"/>
        <item m="1" x="499"/>
        <item m="1" x="498"/>
        <item m="1" x="497"/>
        <item m="1" x="496"/>
        <item m="1" x="495"/>
        <item m="1" x="494"/>
        <item m="1" x="493"/>
        <item m="1" x="492"/>
        <item m="1" x="491"/>
        <item m="1" x="490"/>
        <item m="1" x="489"/>
        <item m="1" x="488"/>
        <item m="1" x="487"/>
        <item m="1" x="486"/>
        <item m="1" x="485"/>
        <item m="1" x="484"/>
        <item m="1" x="483"/>
        <item m="1" x="482"/>
        <item m="1" x="481"/>
        <item m="1" x="480"/>
        <item m="1" x="479"/>
        <item m="1" x="478"/>
        <item m="1" x="477"/>
        <item m="1" x="476"/>
        <item m="1" x="475"/>
        <item m="1" x="474"/>
        <item m="1" x="473"/>
        <item m="1" x="472"/>
        <item m="1" x="471"/>
        <item m="1" x="470"/>
        <item m="1" x="469"/>
        <item m="1" x="468"/>
        <item m="1" x="467"/>
        <item m="1" x="466"/>
        <item m="1" x="465"/>
        <item m="1" x="464"/>
        <item m="1" x="463"/>
        <item m="1" x="462"/>
        <item m="1" x="461"/>
        <item m="1" x="460"/>
        <item m="1" x="459"/>
        <item m="1" x="458"/>
        <item m="1" x="457"/>
        <item m="1" x="456"/>
        <item m="1" x="455"/>
        <item m="1" x="454"/>
        <item m="1" x="453"/>
        <item m="1" x="452"/>
        <item m="1" x="451"/>
        <item m="1" x="450"/>
        <item m="1" x="449"/>
        <item m="1" x="448"/>
        <item m="1" x="447"/>
        <item m="1" x="446"/>
        <item m="1" x="445"/>
        <item m="1" x="444"/>
        <item m="1" x="443"/>
        <item m="1" x="442"/>
        <item m="1" x="441"/>
        <item m="1" x="440"/>
        <item m="1" x="439"/>
        <item m="1" x="438"/>
        <item m="1" x="437"/>
        <item m="1" x="436"/>
        <item m="1" x="435"/>
        <item m="1" x="434"/>
        <item m="1" x="433"/>
        <item m="1" x="432"/>
        <item m="1" x="431"/>
        <item m="1" x="430"/>
        <item m="1" x="429"/>
        <item m="1" x="428"/>
        <item m="1" x="427"/>
        <item m="1" x="426"/>
        <item m="1" x="425"/>
        <item m="1" x="424"/>
        <item m="1" x="423"/>
        <item m="1" x="422"/>
        <item m="1" x="421"/>
        <item m="1" x="420"/>
        <item m="1" x="419"/>
        <item m="1" x="418"/>
        <item m="1" x="417"/>
        <item m="1" x="416"/>
        <item m="1" x="415"/>
        <item m="1" x="414"/>
        <item m="1" x="413"/>
        <item m="1" x="412"/>
        <item m="1" x="411"/>
        <item m="1" x="410"/>
        <item m="1" x="409"/>
        <item m="1" x="408"/>
        <item m="1" x="407"/>
        <item m="1" x="406"/>
        <item m="1" x="405"/>
        <item m="1" x="404"/>
        <item m="1" x="403"/>
        <item m="1" x="402"/>
        <item m="1" x="401"/>
        <item m="1" x="400"/>
        <item m="1" x="399"/>
        <item m="1" x="398"/>
        <item m="1" x="397"/>
        <item m="1" x="396"/>
        <item m="1" x="395"/>
        <item m="1" x="394"/>
        <item m="1" x="393"/>
        <item m="1" x="392"/>
        <item m="1" x="391"/>
        <item m="1" x="390"/>
        <item m="1" x="389"/>
        <item m="1" x="388"/>
        <item m="1" x="387"/>
        <item m="1" x="386"/>
        <item m="1" x="385"/>
        <item m="1" x="384"/>
        <item m="1" x="383"/>
        <item m="1" x="382"/>
        <item m="1" x="381"/>
        <item m="1" x="380"/>
        <item m="1" x="379"/>
        <item m="1" x="378"/>
        <item m="1" x="377"/>
        <item m="1" x="376"/>
        <item m="1" x="375"/>
        <item m="1" x="374"/>
        <item m="1" x="373"/>
        <item m="1" x="372"/>
        <item m="1" x="371"/>
        <item m="1" x="370"/>
        <item m="1" x="369"/>
        <item m="1" x="368"/>
        <item m="1" x="367"/>
        <item m="1" x="366"/>
        <item m="1" x="365"/>
        <item m="1" x="364"/>
        <item m="1" x="363"/>
        <item m="1" x="362"/>
        <item m="1" x="361"/>
        <item m="1" x="360"/>
        <item m="1" x="359"/>
        <item m="1" x="358"/>
        <item m="1" x="357"/>
        <item m="1" x="356"/>
        <item m="1" x="355"/>
        <item m="1" x="354"/>
        <item m="1" x="353"/>
        <item m="1" x="352"/>
        <item m="1" x="351"/>
        <item m="1" x="350"/>
        <item m="1" x="349"/>
        <item m="1" x="348"/>
        <item m="1" x="347"/>
        <item m="1" x="346"/>
        <item m="1" x="345"/>
        <item m="1" x="344"/>
        <item m="1" x="343"/>
        <item m="1" x="342"/>
        <item m="1" x="341"/>
        <item m="1" x="340"/>
        <item m="1" x="339"/>
        <item m="1" x="338"/>
        <item m="1" x="337"/>
        <item m="1" x="336"/>
        <item m="1" x="335"/>
        <item m="1" x="334"/>
        <item m="1" x="333"/>
        <item m="1" x="332"/>
        <item m="1" x="331"/>
        <item m="1" x="330"/>
        <item m="1" x="329"/>
        <item m="1" x="328"/>
        <item m="1" x="327"/>
        <item m="1" x="326"/>
        <item m="1" x="325"/>
        <item m="1" x="324"/>
        <item m="1" x="323"/>
        <item m="1" x="322"/>
        <item m="1" x="321"/>
        <item m="1" x="320"/>
        <item m="1" x="319"/>
        <item m="1" x="318"/>
        <item m="1" x="317"/>
        <item m="1" x="316"/>
        <item m="1" x="315"/>
        <item m="1" x="314"/>
        <item m="1" x="313"/>
        <item m="1" x="312"/>
        <item m="1" x="311"/>
        <item m="1" x="310"/>
        <item m="1" x="309"/>
        <item m="1" x="308"/>
        <item m="1" x="307"/>
        <item m="1" x="306"/>
        <item m="1" x="305"/>
        <item m="1" x="304"/>
        <item m="1" x="303"/>
        <item m="1" x="302"/>
        <item m="1" x="301"/>
        <item m="1" x="300"/>
        <item m="1" x="299"/>
        <item m="1" x="298"/>
        <item m="1" x="297"/>
        <item m="1" x="296"/>
        <item m="1" x="295"/>
        <item m="1" x="294"/>
        <item m="1" x="293"/>
        <item m="1" x="292"/>
        <item m="1" x="291"/>
        <item m="1" x="290"/>
        <item m="1" x="289"/>
        <item m="1" x="288"/>
        <item m="1" x="287"/>
        <item m="1" x="286"/>
        <item m="1" x="285"/>
        <item m="1" x="284"/>
        <item m="1" x="283"/>
        <item m="1" x="282"/>
        <item m="1" x="281"/>
        <item m="1" x="280"/>
        <item m="1" x="279"/>
        <item m="1" x="278"/>
        <item m="1" x="277"/>
        <item m="1" x="276"/>
        <item m="1" x="275"/>
        <item m="1" x="274"/>
        <item m="1" x="273"/>
        <item m="1" x="272"/>
        <item m="1" x="271"/>
        <item m="1" x="270"/>
        <item m="1" x="269"/>
        <item m="1" x="268"/>
        <item m="1" x="267"/>
        <item m="1" x="266"/>
        <item m="1" x="265"/>
        <item m="1" x="264"/>
        <item m="1" x="263"/>
        <item m="1" x="262"/>
        <item m="1" x="261"/>
        <item m="1" x="260"/>
        <item m="1" x="259"/>
        <item m="1" x="258"/>
        <item m="1" x="257"/>
        <item m="1" x="256"/>
        <item m="1" x="255"/>
        <item m="1" x="254"/>
        <item m="1" x="253"/>
        <item m="1" x="252"/>
        <item m="1" x="251"/>
        <item m="1" x="250"/>
        <item m="1" x="249"/>
        <item m="1" x="248"/>
        <item m="1" x="247"/>
        <item m="1" x="246"/>
        <item m="1" x="245"/>
        <item m="1" x="244"/>
        <item m="1" x="243"/>
        <item m="1" x="242"/>
        <item m="1" x="241"/>
        <item m="1" x="240"/>
        <item m="1" x="239"/>
        <item m="1" x="238"/>
        <item m="1" x="237"/>
        <item m="1" x="236"/>
        <item m="1" x="235"/>
        <item m="1" x="234"/>
        <item m="1" x="233"/>
        <item m="1" x="232"/>
        <item m="1" x="231"/>
        <item m="1" x="230"/>
        <item m="1" x="229"/>
        <item m="1" x="228"/>
        <item m="1" x="227"/>
        <item m="1" x="226"/>
        <item m="1" x="225"/>
        <item m="1" x="224"/>
        <item m="1" x="223"/>
        <item m="1" x="222"/>
        <item m="1" x="221"/>
        <item m="1" x="220"/>
        <item m="1" x="219"/>
        <item m="1" x="218"/>
        <item m="1" x="217"/>
        <item m="1" x="216"/>
        <item m="1" x="215"/>
        <item m="1" x="214"/>
        <item m="1" x="213"/>
        <item m="1" x="212"/>
        <item m="1" x="211"/>
        <item m="1" x="210"/>
        <item m="1" x="209"/>
        <item m="1" x="208"/>
        <item m="1" x="207"/>
        <item m="1" x="206"/>
        <item m="1" x="205"/>
        <item m="1" x="204"/>
        <item m="1" x="203"/>
        <item m="1" x="202"/>
        <item m="1" x="201"/>
        <item m="1" x="200"/>
        <item m="1" x="199"/>
        <item m="1" x="198"/>
        <item m="1" x="197"/>
        <item m="1" x="196"/>
        <item m="1" x="195"/>
        <item m="1" x="194"/>
        <item m="1" x="193"/>
        <item m="1" x="192"/>
        <item m="1" x="191"/>
        <item m="1" x="190"/>
        <item m="1" x="189"/>
        <item m="1" x="188"/>
        <item m="1" x="187"/>
        <item m="1" x="186"/>
        <item m="1" x="185"/>
        <item m="1" x="184"/>
        <item m="1" x="183"/>
        <item m="1" x="182"/>
        <item m="1" x="181"/>
        <item m="1" x="180"/>
        <item m="1" x="179"/>
        <item m="1" x="178"/>
        <item m="1" x="177"/>
        <item m="1" x="176"/>
        <item m="1" x="175"/>
        <item m="1" x="174"/>
        <item m="1" x="173"/>
        <item m="1" x="172"/>
        <item m="1" x="171"/>
        <item m="1" x="170"/>
        <item m="1" x="169"/>
        <item m="1" x="168"/>
        <item m="1" x="167"/>
        <item m="1" x="166"/>
        <item m="1" x="165"/>
        <item m="1" x="164"/>
        <item m="1" x="163"/>
        <item m="1" x="162"/>
        <item m="1" x="161"/>
        <item m="1" x="160"/>
        <item m="1" x="159"/>
        <item m="1" x="158"/>
        <item m="1" x="157"/>
        <item m="1" x="156"/>
        <item m="1" x="155"/>
        <item m="1" x="154"/>
        <item m="1" x="153"/>
        <item m="1" x="152"/>
        <item m="1" x="151"/>
        <item m="1" x="150"/>
        <item m="1" x="149"/>
        <item m="1" x="148"/>
        <item m="1" x="876"/>
        <item m="1" x="875"/>
        <item m="1" x="874"/>
        <item m="1" x="873"/>
        <item m="1" x="872"/>
        <item m="1" x="871"/>
        <item m="1" x="870"/>
        <item m="1" x="869"/>
        <item m="1" x="868"/>
        <item m="1" x="867"/>
        <item m="1" x="866"/>
        <item m="1" x="865"/>
        <item m="1" x="864"/>
        <item m="1" x="863"/>
        <item m="1" x="862"/>
        <item m="1" x="861"/>
        <item m="1" x="860"/>
        <item m="1" x="859"/>
        <item m="1" x="858"/>
        <item m="1" x="857"/>
        <item m="1" x="856"/>
        <item m="1" x="855"/>
        <item m="1" x="854"/>
        <item m="1" x="853"/>
        <item m="1" x="852"/>
        <item m="1" x="851"/>
        <item m="1" x="850"/>
        <item m="1" x="849"/>
        <item m="1" x="848"/>
        <item m="1" x="847"/>
        <item m="1" x="846"/>
        <item m="1" x="845"/>
        <item m="1" x="844"/>
        <item m="1" x="843"/>
        <item m="1" x="842"/>
        <item m="1" x="841"/>
        <item m="1" x="840"/>
        <item m="1" x="839"/>
        <item m="1" x="838"/>
        <item m="1" x="837"/>
        <item m="1" x="836"/>
        <item m="1" x="835"/>
        <item m="1" x="834"/>
        <item m="1" x="833"/>
        <item m="1" x="832"/>
        <item m="1" x="831"/>
        <item m="1" x="830"/>
        <item m="1" x="829"/>
        <item m="1" x="828"/>
        <item m="1" x="827"/>
        <item m="1" x="826"/>
        <item m="1" x="825"/>
        <item m="1" x="824"/>
        <item m="1" x="823"/>
        <item m="1" x="822"/>
        <item m="1" x="821"/>
        <item m="1" x="820"/>
        <item m="1" x="819"/>
        <item m="1" x="818"/>
        <item m="1" x="817"/>
        <item m="1" x="816"/>
        <item m="1" x="815"/>
        <item m="1" x="814"/>
        <item m="1" x="813"/>
        <item m="1" x="812"/>
        <item m="1" x="811"/>
        <item m="1" x="810"/>
        <item m="1" x="809"/>
        <item m="1" x="808"/>
        <item m="1" x="807"/>
        <item m="1" x="806"/>
        <item m="1" x="805"/>
        <item m="1" x="804"/>
        <item m="1" x="803"/>
        <item m="1" x="802"/>
        <item m="1" x="801"/>
        <item m="1" x="744"/>
        <item m="1" x="800"/>
        <item m="1" x="799"/>
        <item m="1" x="798"/>
        <item m="1" x="797"/>
        <item m="1" x="796"/>
        <item m="1" x="795"/>
        <item m="1" x="794"/>
        <item m="1" x="793"/>
        <item m="1" x="792"/>
        <item m="1" x="791"/>
        <item m="1" x="790"/>
        <item m="1" x="789"/>
        <item m="1" x="788"/>
        <item m="1" x="787"/>
        <item m="1" x="786"/>
        <item m="1" x="785"/>
        <item m="1" x="784"/>
        <item m="1" x="783"/>
        <item m="1" x="782"/>
        <item m="1" x="781"/>
        <item m="1" x="743"/>
        <item m="1" x="780"/>
        <item m="1" x="779"/>
        <item m="1" x="778"/>
        <item m="1" x="777"/>
        <item m="1" x="776"/>
        <item m="1" x="775"/>
        <item m="1" x="774"/>
        <item m="1" x="773"/>
        <item m="1" x="772"/>
        <item m="1" x="771"/>
        <item m="1" x="770"/>
        <item m="1" x="769"/>
        <item m="1" x="768"/>
        <item m="1" x="767"/>
        <item m="1" x="766"/>
        <item m="1" x="765"/>
        <item m="1" x="764"/>
        <item m="1" x="763"/>
        <item m="1" x="762"/>
        <item m="1" x="742"/>
        <item m="1" x="761"/>
        <item m="1" x="760"/>
        <item m="1" x="759"/>
        <item m="1" x="758"/>
        <item m="1" x="757"/>
        <item m="1" x="756"/>
        <item m="1" x="755"/>
        <item m="1" x="754"/>
        <item m="1" x="753"/>
        <item m="1" x="752"/>
        <item m="1" x="751"/>
        <item m="1" x="750"/>
        <item m="1" x="749"/>
        <item m="1" x="748"/>
        <item m="1" x="747"/>
        <item m="1" x="741"/>
        <item m="1" x="746"/>
        <item m="1" x="740"/>
        <item m="1" x="745"/>
        <item m="1" x="739"/>
        <item m="1" x="738"/>
        <item m="1" x="737"/>
        <item m="1" x="736"/>
        <item m="1" x="735"/>
        <item m="1" x="734"/>
        <item m="1" x="733"/>
        <item m="1" x="732"/>
        <item m="1" x="731"/>
        <item m="1" x="730"/>
        <item m="1" x="729"/>
        <item m="1" x="728"/>
        <item m="1" x="727"/>
        <item m="1" x="726"/>
        <item m="1" x="725"/>
        <item m="1" x="724"/>
        <item m="1" x="723"/>
        <item m="1" x="722"/>
        <item m="1" x="721"/>
        <item m="1" x="720"/>
        <item m="1" x="719"/>
        <item m="1" x="718"/>
        <item m="1" x="717"/>
        <item m="1" x="716"/>
        <item m="1" x="715"/>
        <item m="1" x="714"/>
        <item m="1" x="713"/>
        <item m="1" x="712"/>
        <item m="1" x="711"/>
        <item m="1" x="710"/>
        <item m="1" x="709"/>
        <item m="1" x="708"/>
        <item m="1" x="707"/>
        <item m="1" x="706"/>
        <item m="1" x="705"/>
        <item m="1" x="704"/>
        <item m="1" x="703"/>
        <item m="1" x="702"/>
        <item m="1" x="701"/>
        <item m="1" x="700"/>
        <item m="1" x="699"/>
        <item m="1" x="698"/>
        <item m="1" x="697"/>
        <item m="1" x="696"/>
        <item m="1" x="695"/>
        <item m="1" x="694"/>
        <item m="1" x="693"/>
        <item m="1" x="692"/>
        <item m="1" x="691"/>
        <item m="1" x="690"/>
        <item m="1" x="689"/>
        <item m="1" x="688"/>
        <item m="1" x="687"/>
        <item m="1" x="686"/>
        <item m="1" x="685"/>
        <item m="1" x="684"/>
        <item m="1" x="683"/>
        <item m="1" x="682"/>
        <item m="1" x="681"/>
        <item m="1" x="680"/>
        <item m="1" x="679"/>
        <item m="1" x="678"/>
        <item m="1" x="677"/>
        <item m="1" x="676"/>
        <item m="1" x="675"/>
        <item m="1" x="674"/>
        <item m="1" x="673"/>
        <item m="1" x="672"/>
        <item m="1" x="671"/>
        <item m="1" x="670"/>
        <item m="1" x="669"/>
        <item m="1" x="668"/>
        <item m="1" x="667"/>
        <item m="1" x="666"/>
        <item m="1" x="665"/>
        <item m="1" x="664"/>
        <item m="1" x="663"/>
        <item m="1" x="662"/>
        <item m="1" x="661"/>
        <item m="1" x="660"/>
        <item m="1" x="659"/>
        <item m="1" x="658"/>
        <item m="1" x="657"/>
        <item m="1" x="656"/>
        <item m="1" x="655"/>
        <item m="1" x="654"/>
        <item m="1" x="653"/>
        <item m="1" x="652"/>
        <item m="1" x="651"/>
        <item m="1" x="650"/>
        <item m="1" x="649"/>
        <item m="1" x="648"/>
        <item m="1" x="647"/>
        <item m="1" x="646"/>
        <item m="1" x="645"/>
        <item m="1" x="644"/>
        <item m="1" x="643"/>
        <item m="1" x="642"/>
        <item m="1" x="641"/>
        <item m="1" x="640"/>
        <item m="1" x="639"/>
        <item m="1" x="638"/>
        <item m="1" x="637"/>
        <item m="1" x="636"/>
        <item m="1" x="635"/>
        <item m="1" x="634"/>
        <item m="1" x="633"/>
        <item m="1" x="632"/>
        <item m="1" x="631"/>
        <item m="1" x="630"/>
        <item m="1" x="629"/>
        <item m="1" x="628"/>
        <item m="1" x="627"/>
        <item m="1" x="626"/>
        <item m="1" x="625"/>
        <item m="1" x="624"/>
        <item m="1" x="623"/>
        <item m="1" x="622"/>
        <item m="1" x="621"/>
        <item m="1" x="620"/>
        <item m="1" x="619"/>
        <item m="1" x="618"/>
        <item m="1" x="617"/>
        <item m="1" x="616"/>
        <item m="1" x="615"/>
        <item m="1" x="614"/>
        <item m="1" x="613"/>
        <item m="1" x="612"/>
        <item m="1" x="611"/>
        <item m="1" x="610"/>
        <item m="1" x="609"/>
        <item m="1" x="608"/>
        <item m="1" x="607"/>
        <item m="1" x="606"/>
        <item m="1" x="605"/>
        <item m="1" x="604"/>
        <item m="1" x="603"/>
        <item m="1" x="602"/>
        <item m="1" x="601"/>
        <item m="1" x="600"/>
        <item m="1" x="599"/>
        <item m="1" x="598"/>
        <item m="1" x="597"/>
        <item m="1" x="596"/>
        <item m="1" x="595"/>
        <item m="1" x="594"/>
        <item m="1" x="593"/>
        <item m="1" x="592"/>
        <item m="1" x="591"/>
        <item m="1" x="590"/>
        <item m="1" x="589"/>
        <item m="1" x="588"/>
        <item m="1" x="587"/>
        <item m="1" x="586"/>
        <item m="1" x="585"/>
        <item m="1" x="584"/>
        <item m="1" x="583"/>
        <item m="1" x="582"/>
        <item m="1" x="581"/>
        <item m="1" x="580"/>
        <item m="1" x="579"/>
        <item m="1" x="578"/>
        <item m="1" x="577"/>
        <item m="1" x="576"/>
        <item m="1" x="575"/>
        <item m="1" x="574"/>
        <item m="1" x="573"/>
        <item m="1" x="572"/>
        <item m="1" x="571"/>
        <item m="1" x="570"/>
        <item m="1" x="569"/>
        <item m="1" x="568"/>
        <item m="1" x="567"/>
        <item m="1" x="566"/>
        <item m="1" x="565"/>
        <item m="1" x="564"/>
        <item m="1" x="563"/>
        <item m="1" x="562"/>
        <item m="1" x="561"/>
        <item m="1" x="560"/>
        <item m="1" x="559"/>
        <item m="1" x="558"/>
        <item m="1" x="557"/>
        <item m="1" x="556"/>
        <item m="1" x="555"/>
        <item m="1" x="554"/>
        <item m="1" x="553"/>
        <item m="1" x="552"/>
        <item m="1" x="551"/>
        <item m="1" x="550"/>
        <item m="1" x="549"/>
        <item m="1" x="548"/>
        <item m="1" x="547"/>
        <item m="1" x="546"/>
        <item m="1" x="545"/>
        <item m="1" x="544"/>
        <item m="1" x="543"/>
        <item m="1" x="542"/>
        <item m="1" x="541"/>
        <item m="1" x="540"/>
        <item m="1" x="539"/>
        <item m="1" x="538"/>
        <item m="1" x="537"/>
        <item m="1" x="536"/>
        <item m="1" x="535"/>
        <item m="1" x="534"/>
        <item m="1" x="533"/>
        <item m="1" x="532"/>
        <item m="1" x="531"/>
        <item m="1" x="530"/>
        <item m="1" x="529"/>
        <item m="1" x="528"/>
        <item m="1" x="527"/>
        <item m="1" x="526"/>
        <item m="1" x="525"/>
        <item m="1" x="524"/>
        <item m="1" x="523"/>
        <item m="1" x="522"/>
        <item m="1" x="521"/>
        <item m="1" x="520"/>
        <item m="1" x="519"/>
        <item m="1" x="518"/>
        <item m="1" x="517"/>
        <item m="1" x="516"/>
        <item m="1" x="515"/>
        <item m="1" x="514"/>
        <item m="1" x="513"/>
        <item t="default"/>
      </items>
    </pivotField>
    <pivotField showAll="0"/>
    <pivotField showAll="0"/>
    <pivotField dataField="1" showAll="0"/>
    <pivotField axis="axisPage" showAll="0">
      <items count="22">
        <item m="1" x="18"/>
        <item m="1" x="16"/>
        <item m="1" x="17"/>
        <item x="11"/>
        <item m="1" x="19"/>
        <item m="1" x="20"/>
        <item x="1"/>
        <item x="2"/>
        <item m="1" x="12"/>
        <item m="1" x="13"/>
        <item m="1" x="14"/>
        <item x="0"/>
        <item m="1" x="15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axis="axisRow" showAll="0">
      <items count="158">
        <item m="1" x="103"/>
        <item m="1" x="133"/>
        <item m="1" x="150"/>
        <item m="1" x="131"/>
        <item m="1" x="144"/>
        <item m="1" x="124"/>
        <item m="1" x="137"/>
        <item m="1" x="136"/>
        <item m="1" x="128"/>
        <item m="1" x="143"/>
        <item m="1" x="142"/>
        <item m="1" x="120"/>
        <item m="1" x="145"/>
        <item m="1" x="125"/>
        <item m="1" x="146"/>
        <item m="1" x="123"/>
        <item m="1" x="149"/>
        <item m="1" x="147"/>
        <item m="1" x="78"/>
        <item m="1" x="148"/>
        <item m="1" x="119"/>
        <item m="1" x="132"/>
        <item m="1" x="127"/>
        <item m="1" x="151"/>
        <item m="1" x="141"/>
        <item m="1" x="135"/>
        <item m="1" x="130"/>
        <item m="1" x="139"/>
        <item m="1" x="140"/>
        <item m="1" x="152"/>
        <item m="1" x="107"/>
        <item m="1" x="129"/>
        <item m="1" x="72"/>
        <item m="1" x="122"/>
        <item m="1" x="156"/>
        <item m="1" x="121"/>
        <item m="1" x="93"/>
        <item m="1" x="126"/>
        <item m="1" x="134"/>
        <item m="1" x="138"/>
        <item x="2"/>
        <item x="3"/>
        <item x="68"/>
        <item m="1" x="113"/>
        <item m="1" x="153"/>
        <item m="1" x="154"/>
        <item m="1" x="155"/>
        <item m="1" x="89"/>
        <item m="1" x="90"/>
        <item x="36"/>
        <item m="1" x="76"/>
        <item x="65"/>
        <item m="1" x="91"/>
        <item m="1" x="92"/>
        <item x="18"/>
        <item x="24"/>
        <item x="7"/>
        <item x="5"/>
        <item m="1" x="94"/>
        <item m="1" x="95"/>
        <item x="23"/>
        <item m="1" x="96"/>
        <item x="43"/>
        <item m="1" x="97"/>
        <item m="1" x="98"/>
        <item m="1" x="99"/>
        <item m="1" x="84"/>
        <item m="1" x="75"/>
        <item x="4"/>
        <item m="1" x="100"/>
        <item m="1" x="101"/>
        <item m="1" x="102"/>
        <item m="1" x="104"/>
        <item m="1" x="105"/>
        <item m="1" x="106"/>
        <item m="1" x="108"/>
        <item m="1" x="109"/>
        <item x="12"/>
        <item m="1" x="110"/>
        <item m="1" x="111"/>
        <item m="1" x="112"/>
        <item m="1" x="117"/>
        <item m="1" x="114"/>
        <item m="1" x="118"/>
        <item x="40"/>
        <item x="29"/>
        <item x="53"/>
        <item x="21"/>
        <item x="8"/>
        <item x="15"/>
        <item x="22"/>
        <item x="13"/>
        <item m="1" x="115"/>
        <item m="1" x="116"/>
        <item x="6"/>
        <item x="9"/>
        <item m="1" x="71"/>
        <item x="26"/>
        <item x="17"/>
        <item m="1" x="73"/>
        <item m="1" x="74"/>
        <item x="19"/>
        <item x="27"/>
        <item x="33"/>
        <item x="52"/>
        <item m="1" x="69"/>
        <item x="20"/>
        <item x="28"/>
        <item m="1" x="83"/>
        <item x="25"/>
        <item m="1" x="77"/>
        <item m="1" x="79"/>
        <item m="1" x="88"/>
        <item x="47"/>
        <item x="48"/>
        <item m="1" x="80"/>
        <item m="1" x="81"/>
        <item m="1" x="82"/>
        <item x="0"/>
        <item m="1" x="85"/>
        <item x="32"/>
        <item x="10"/>
        <item x="57"/>
        <item m="1" x="86"/>
        <item x="1"/>
        <item x="55"/>
        <item x="56"/>
        <item x="37"/>
        <item x="16"/>
        <item x="30"/>
        <item x="49"/>
        <item m="1" x="87"/>
        <item x="11"/>
        <item x="14"/>
        <item x="31"/>
        <item x="35"/>
        <item x="38"/>
        <item x="39"/>
        <item x="41"/>
        <item m="1" x="70"/>
        <item x="44"/>
        <item x="45"/>
        <item x="34"/>
        <item x="46"/>
        <item x="42"/>
        <item x="50"/>
        <item x="51"/>
        <item x="54"/>
        <item x="58"/>
        <item x="59"/>
        <item x="60"/>
        <item x="61"/>
        <item x="63"/>
        <item x="62"/>
        <item x="64"/>
        <item x="66"/>
        <item x="67"/>
        <item t="default"/>
      </items>
    </pivotField>
  </pivotFields>
  <rowFields count="2">
    <field x="0"/>
    <field x="6"/>
  </rowFields>
  <rowItems count="1634">
    <i>
      <x/>
    </i>
    <i r="1">
      <x v="42"/>
    </i>
    <i>
      <x v="1"/>
    </i>
    <i r="1">
      <x v="41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24"/>
    </i>
    <i r="1">
      <x v="128"/>
    </i>
    <i r="1">
      <x v="136"/>
    </i>
    <i r="1">
      <x v="150"/>
    </i>
    <i r="1">
      <x v="151"/>
    </i>
    <i r="1">
      <x v="152"/>
    </i>
    <i r="1">
      <x v="154"/>
    </i>
    <i r="1">
      <x v="155"/>
    </i>
    <i r="1">
      <x v="156"/>
    </i>
    <i>
      <x v="2"/>
    </i>
    <i r="1">
      <x v="41"/>
    </i>
    <i r="1">
      <x v="56"/>
    </i>
    <i r="1">
      <x v="57"/>
    </i>
    <i r="1">
      <x v="85"/>
    </i>
    <i r="1">
      <x v="87"/>
    </i>
    <i r="1">
      <x v="88"/>
    </i>
    <i r="1">
      <x v="89"/>
    </i>
    <i r="1">
      <x v="103"/>
    </i>
    <i r="1">
      <x v="124"/>
    </i>
    <i r="1">
      <x v="136"/>
    </i>
    <i r="1">
      <x v="150"/>
    </i>
    <i r="1">
      <x v="152"/>
    </i>
    <i r="1">
      <x v="153"/>
    </i>
    <i r="1">
      <x v="154"/>
    </i>
    <i r="1">
      <x v="156"/>
    </i>
    <i>
      <x v="3"/>
    </i>
    <i r="1">
      <x v="40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18"/>
    </i>
    <i r="1">
      <x v="124"/>
    </i>
    <i r="1">
      <x v="128"/>
    </i>
    <i r="1">
      <x v="136"/>
    </i>
    <i r="1">
      <x v="150"/>
    </i>
    <i r="1">
      <x v="151"/>
    </i>
    <i r="1">
      <x v="152"/>
    </i>
    <i r="1">
      <x v="153"/>
    </i>
    <i r="1">
      <x v="154"/>
    </i>
    <i r="1">
      <x v="156"/>
    </i>
    <i>
      <x v="4"/>
    </i>
    <i r="1">
      <x v="56"/>
    </i>
    <i r="1">
      <x v="57"/>
    </i>
    <i r="1">
      <x v="87"/>
    </i>
    <i r="1">
      <x v="88"/>
    </i>
    <i r="1">
      <x v="89"/>
    </i>
    <i r="1">
      <x v="101"/>
    </i>
    <i r="1">
      <x v="109"/>
    </i>
    <i r="1">
      <x v="136"/>
    </i>
    <i r="1">
      <x v="150"/>
    </i>
    <i r="1">
      <x v="151"/>
    </i>
    <i r="1">
      <x v="152"/>
    </i>
    <i r="1">
      <x v="153"/>
    </i>
    <i>
      <x v="5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18"/>
    </i>
    <i r="1">
      <x v="126"/>
    </i>
    <i r="1">
      <x v="128"/>
    </i>
    <i r="1">
      <x v="129"/>
    </i>
    <i r="1">
      <x v="130"/>
    </i>
    <i r="1">
      <x v="136"/>
    </i>
    <i r="1">
      <x v="150"/>
    </i>
    <i r="1">
      <x v="151"/>
    </i>
    <i r="1">
      <x v="152"/>
    </i>
    <i r="1">
      <x v="153"/>
    </i>
    <i r="1">
      <x v="155"/>
    </i>
    <i>
      <x v="6"/>
    </i>
    <i r="1">
      <x v="57"/>
    </i>
    <i r="1">
      <x v="85"/>
    </i>
    <i r="1">
      <x v="87"/>
    </i>
    <i r="1">
      <x v="88"/>
    </i>
    <i r="1">
      <x v="89"/>
    </i>
    <i r="1">
      <x v="124"/>
    </i>
    <i r="1">
      <x v="136"/>
    </i>
    <i r="1">
      <x v="151"/>
    </i>
    <i r="1">
      <x v="152"/>
    </i>
    <i r="1">
      <x v="153"/>
    </i>
    <i r="1">
      <x v="154"/>
    </i>
    <i>
      <x v="7"/>
    </i>
    <i r="1">
      <x v="41"/>
    </i>
    <i r="1">
      <x v="57"/>
    </i>
    <i r="1">
      <x v="85"/>
    </i>
    <i r="1">
      <x v="87"/>
    </i>
    <i r="1">
      <x v="88"/>
    </i>
    <i r="1">
      <x v="89"/>
    </i>
    <i r="1">
      <x v="109"/>
    </i>
    <i r="1">
      <x v="124"/>
    </i>
    <i r="1">
      <x v="128"/>
    </i>
    <i r="1">
      <x v="151"/>
    </i>
    <i r="1">
      <x v="152"/>
    </i>
    <i r="1">
      <x v="153"/>
    </i>
    <i r="1">
      <x v="156"/>
    </i>
    <i>
      <x v="8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36"/>
    </i>
    <i r="1">
      <x v="152"/>
    </i>
    <i r="1">
      <x v="153"/>
    </i>
    <i r="1">
      <x v="156"/>
    </i>
    <i>
      <x v="9"/>
    </i>
    <i r="1">
      <x v="57"/>
    </i>
    <i r="1">
      <x v="87"/>
    </i>
    <i r="1">
      <x v="88"/>
    </i>
    <i r="1">
      <x v="89"/>
    </i>
    <i r="1">
      <x v="128"/>
    </i>
    <i r="1">
      <x v="151"/>
    </i>
    <i r="1">
      <x v="152"/>
    </i>
    <i r="1">
      <x v="153"/>
    </i>
    <i r="1">
      <x v="155"/>
    </i>
    <i>
      <x v="10"/>
    </i>
    <i r="1">
      <x v="87"/>
    </i>
    <i r="1">
      <x v="88"/>
    </i>
    <i r="1">
      <x v="89"/>
    </i>
    <i r="1">
      <x v="97"/>
    </i>
    <i r="1">
      <x v="109"/>
    </i>
    <i r="1">
      <x v="151"/>
    </i>
    <i r="1">
      <x v="152"/>
    </i>
    <i r="1">
      <x v="153"/>
    </i>
    <i>
      <x v="11"/>
    </i>
    <i r="1">
      <x v="41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18"/>
    </i>
    <i r="1">
      <x v="128"/>
    </i>
    <i r="1">
      <x v="151"/>
    </i>
    <i r="1">
      <x v="152"/>
    </i>
    <i r="1">
      <x v="155"/>
    </i>
    <i>
      <x v="12"/>
    </i>
    <i r="1">
      <x v="56"/>
    </i>
    <i r="1">
      <x v="87"/>
    </i>
    <i r="1">
      <x v="88"/>
    </i>
    <i r="1">
      <x v="89"/>
    </i>
    <i r="1">
      <x v="124"/>
    </i>
    <i r="1">
      <x v="138"/>
    </i>
    <i r="1">
      <x v="145"/>
    </i>
    <i r="1">
      <x v="151"/>
    </i>
    <i r="1">
      <x v="152"/>
    </i>
    <i r="1">
      <x v="153"/>
    </i>
    <i r="1">
      <x v="155"/>
    </i>
    <i>
      <x v="13"/>
    </i>
    <i r="1">
      <x v="41"/>
    </i>
    <i r="1">
      <x v="55"/>
    </i>
    <i r="1">
      <x v="57"/>
    </i>
    <i r="1">
      <x v="87"/>
    </i>
    <i r="1">
      <x v="88"/>
    </i>
    <i r="1">
      <x v="89"/>
    </i>
    <i r="1">
      <x v="128"/>
    </i>
    <i r="1">
      <x v="136"/>
    </i>
    <i r="1">
      <x v="151"/>
    </i>
    <i r="1">
      <x v="152"/>
    </i>
    <i r="1">
      <x v="153"/>
    </i>
    <i r="1">
      <x v="155"/>
    </i>
    <i>
      <x v="14"/>
    </i>
    <i r="1">
      <x v="56"/>
    </i>
    <i r="1">
      <x v="57"/>
    </i>
    <i r="1">
      <x v="87"/>
    </i>
    <i r="1">
      <x v="88"/>
    </i>
    <i r="1">
      <x v="89"/>
    </i>
    <i r="1">
      <x v="150"/>
    </i>
    <i r="1">
      <x v="151"/>
    </i>
    <i r="1">
      <x v="152"/>
    </i>
    <i r="1">
      <x v="153"/>
    </i>
    <i>
      <x v="15"/>
    </i>
    <i r="1">
      <x v="40"/>
    </i>
    <i r="1">
      <x v="56"/>
    </i>
    <i r="1">
      <x v="87"/>
    </i>
    <i r="1">
      <x v="88"/>
    </i>
    <i r="1">
      <x v="89"/>
    </i>
    <i r="1">
      <x v="98"/>
    </i>
    <i r="1">
      <x v="128"/>
    </i>
    <i r="1">
      <x v="145"/>
    </i>
    <i r="1">
      <x v="147"/>
    </i>
    <i r="1">
      <x v="150"/>
    </i>
    <i r="1">
      <x v="151"/>
    </i>
    <i r="1">
      <x v="152"/>
    </i>
    <i r="1">
      <x v="153"/>
    </i>
    <i>
      <x v="16"/>
    </i>
    <i r="1">
      <x v="41"/>
    </i>
    <i r="1">
      <x v="57"/>
    </i>
    <i r="1">
      <x v="87"/>
    </i>
    <i r="1">
      <x v="88"/>
    </i>
    <i r="1">
      <x v="89"/>
    </i>
    <i r="1">
      <x v="136"/>
    </i>
    <i r="1">
      <x v="150"/>
    </i>
    <i r="1">
      <x v="151"/>
    </i>
    <i r="1">
      <x v="152"/>
    </i>
    <i>
      <x v="17"/>
    </i>
    <i r="1">
      <x v="55"/>
    </i>
    <i r="1">
      <x v="57"/>
    </i>
    <i r="1">
      <x v="87"/>
    </i>
    <i r="1">
      <x v="88"/>
    </i>
    <i r="1">
      <x v="89"/>
    </i>
    <i r="1">
      <x v="106"/>
    </i>
    <i r="1">
      <x v="118"/>
    </i>
    <i r="1">
      <x v="121"/>
    </i>
    <i r="1">
      <x v="128"/>
    </i>
    <i r="1">
      <x v="136"/>
    </i>
    <i r="1">
      <x v="150"/>
    </i>
    <i r="1">
      <x v="151"/>
    </i>
    <i r="1">
      <x v="152"/>
    </i>
    <i r="1">
      <x v="154"/>
    </i>
    <i r="1">
      <x v="155"/>
    </i>
    <i>
      <x v="18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18"/>
    </i>
    <i r="1">
      <x v="128"/>
    </i>
    <i r="1">
      <x v="136"/>
    </i>
    <i r="1">
      <x v="138"/>
    </i>
    <i r="1">
      <x v="150"/>
    </i>
    <i r="1">
      <x v="151"/>
    </i>
    <i r="1">
      <x v="152"/>
    </i>
    <i r="1">
      <x v="154"/>
    </i>
    <i>
      <x v="19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36"/>
    </i>
    <i r="1">
      <x v="138"/>
    </i>
    <i r="1">
      <x v="145"/>
    </i>
    <i r="1">
      <x v="150"/>
    </i>
    <i r="1">
      <x v="151"/>
    </i>
    <i r="1">
      <x v="152"/>
    </i>
    <i r="1">
      <x v="154"/>
    </i>
    <i>
      <x v="20"/>
    </i>
    <i r="1">
      <x v="56"/>
    </i>
    <i r="1">
      <x v="87"/>
    </i>
    <i r="1">
      <x v="88"/>
    </i>
    <i r="1">
      <x v="89"/>
    </i>
    <i r="1">
      <x v="128"/>
    </i>
    <i r="1">
      <x v="150"/>
    </i>
    <i r="1">
      <x v="151"/>
    </i>
    <i r="1">
      <x v="152"/>
    </i>
    <i r="1">
      <x v="154"/>
    </i>
    <i r="1">
      <x v="155"/>
    </i>
    <i>
      <x v="21"/>
    </i>
    <i r="1">
      <x v="55"/>
    </i>
    <i r="1">
      <x v="87"/>
    </i>
    <i r="1">
      <x v="88"/>
    </i>
    <i r="1">
      <x v="89"/>
    </i>
    <i r="1">
      <x v="97"/>
    </i>
    <i r="1">
      <x v="109"/>
    </i>
    <i r="1">
      <x v="124"/>
    </i>
    <i r="1">
      <x v="136"/>
    </i>
    <i r="1">
      <x v="150"/>
    </i>
    <i r="1">
      <x v="154"/>
    </i>
    <i r="1">
      <x v="155"/>
    </i>
    <i>
      <x v="22"/>
    </i>
    <i r="1">
      <x v="41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18"/>
    </i>
    <i r="1">
      <x v="128"/>
    </i>
    <i r="1">
      <x v="150"/>
    </i>
    <i r="1">
      <x v="152"/>
    </i>
    <i>
      <x v="23"/>
    </i>
    <i r="1">
      <x v="41"/>
    </i>
    <i r="1">
      <x v="56"/>
    </i>
    <i r="1">
      <x v="57"/>
    </i>
    <i r="1">
      <x v="85"/>
    </i>
    <i r="1">
      <x v="87"/>
    </i>
    <i r="1">
      <x v="88"/>
    </i>
    <i r="1">
      <x v="89"/>
    </i>
    <i r="1">
      <x v="109"/>
    </i>
    <i r="1">
      <x v="136"/>
    </i>
    <i r="1">
      <x v="138"/>
    </i>
    <i r="1">
      <x v="152"/>
    </i>
    <i r="1">
      <x v="154"/>
    </i>
    <i>
      <x v="24"/>
    </i>
    <i r="1">
      <x v="56"/>
    </i>
    <i r="1">
      <x v="77"/>
    </i>
    <i r="1">
      <x v="84"/>
    </i>
    <i r="1">
      <x v="85"/>
    </i>
    <i r="1">
      <x v="87"/>
    </i>
    <i r="1">
      <x v="88"/>
    </i>
    <i r="1">
      <x v="89"/>
    </i>
    <i r="1">
      <x v="128"/>
    </i>
    <i r="1">
      <x v="129"/>
    </i>
    <i r="1">
      <x v="130"/>
    </i>
    <i r="1">
      <x v="136"/>
    </i>
    <i r="1">
      <x v="145"/>
    </i>
    <i r="1">
      <x v="147"/>
    </i>
    <i r="1">
      <x v="152"/>
    </i>
    <i r="1">
      <x v="154"/>
    </i>
    <i r="1">
      <x v="155"/>
    </i>
    <i>
      <x v="25"/>
    </i>
    <i r="1">
      <x v="40"/>
    </i>
    <i r="1">
      <x v="57"/>
    </i>
    <i r="1">
      <x v="85"/>
    </i>
    <i r="1">
      <x v="87"/>
    </i>
    <i r="1">
      <x v="88"/>
    </i>
    <i r="1">
      <x v="89"/>
    </i>
    <i r="1">
      <x v="118"/>
    </i>
    <i r="1">
      <x v="124"/>
    </i>
    <i r="1">
      <x v="136"/>
    </i>
    <i r="1">
      <x v="138"/>
    </i>
    <i r="1">
      <x v="151"/>
    </i>
    <i r="1">
      <x v="152"/>
    </i>
    <i r="1">
      <x v="154"/>
    </i>
    <i r="1">
      <x v="155"/>
    </i>
    <i>
      <x v="26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3"/>
    </i>
    <i r="1">
      <x v="124"/>
    </i>
    <i r="1">
      <x v="128"/>
    </i>
    <i r="1">
      <x v="145"/>
    </i>
    <i r="1">
      <x v="151"/>
    </i>
    <i r="1">
      <x v="152"/>
    </i>
    <i r="1">
      <x v="154"/>
    </i>
    <i r="1">
      <x v="155"/>
    </i>
    <i>
      <x v="27"/>
    </i>
    <i r="1">
      <x v="56"/>
    </i>
    <i r="1">
      <x v="85"/>
    </i>
    <i r="1">
      <x v="87"/>
    </i>
    <i r="1">
      <x v="88"/>
    </i>
    <i r="1">
      <x v="89"/>
    </i>
    <i r="1">
      <x v="109"/>
    </i>
    <i r="1">
      <x v="136"/>
    </i>
    <i r="1">
      <x v="151"/>
    </i>
    <i r="1">
      <x v="152"/>
    </i>
    <i r="1">
      <x v="154"/>
    </i>
    <i r="1">
      <x v="155"/>
    </i>
    <i>
      <x v="28"/>
    </i>
    <i r="1">
      <x v="57"/>
    </i>
    <i r="1">
      <x v="85"/>
    </i>
    <i r="1">
      <x v="87"/>
    </i>
    <i r="1">
      <x v="88"/>
    </i>
    <i r="1">
      <x v="89"/>
    </i>
    <i r="1">
      <x v="121"/>
    </i>
    <i r="1">
      <x v="128"/>
    </i>
    <i r="1">
      <x v="151"/>
    </i>
    <i r="1">
      <x v="152"/>
    </i>
    <i r="1">
      <x v="153"/>
    </i>
    <i r="1">
      <x v="155"/>
    </i>
    <i>
      <x v="29"/>
    </i>
    <i r="1">
      <x v="85"/>
    </i>
    <i r="1">
      <x v="87"/>
    </i>
    <i r="1">
      <x v="88"/>
    </i>
    <i r="1">
      <x v="89"/>
    </i>
    <i r="1">
      <x v="118"/>
    </i>
    <i r="1">
      <x v="124"/>
    </i>
    <i r="1">
      <x v="128"/>
    </i>
    <i r="1">
      <x v="138"/>
    </i>
    <i r="1">
      <x v="147"/>
    </i>
    <i r="1">
      <x v="151"/>
    </i>
    <i r="1">
      <x v="152"/>
    </i>
    <i r="1">
      <x v="154"/>
    </i>
    <i r="1">
      <x v="155"/>
    </i>
    <i>
      <x v="30"/>
    </i>
    <i r="1">
      <x v="55"/>
    </i>
    <i r="1">
      <x v="57"/>
    </i>
    <i r="1">
      <x v="85"/>
    </i>
    <i r="1">
      <x v="87"/>
    </i>
    <i r="1">
      <x v="88"/>
    </i>
    <i r="1">
      <x v="89"/>
    </i>
    <i r="1">
      <x v="97"/>
    </i>
    <i r="1">
      <x v="121"/>
    </i>
    <i r="1">
      <x v="152"/>
    </i>
    <i r="1">
      <x v="153"/>
    </i>
    <i r="1">
      <x v="154"/>
    </i>
    <i>
      <x v="31"/>
    </i>
    <i r="1">
      <x v="41"/>
    </i>
    <i r="1">
      <x v="57"/>
    </i>
    <i r="1">
      <x v="85"/>
    </i>
    <i r="1">
      <x v="87"/>
    </i>
    <i r="1">
      <x v="88"/>
    </i>
    <i r="1">
      <x v="89"/>
    </i>
    <i r="1">
      <x v="118"/>
    </i>
    <i r="1">
      <x v="121"/>
    </i>
    <i r="1">
      <x v="128"/>
    </i>
    <i r="1">
      <x v="138"/>
    </i>
    <i r="1">
      <x v="152"/>
    </i>
    <i r="1">
      <x v="153"/>
    </i>
    <i r="1">
      <x v="154"/>
    </i>
    <i r="1">
      <x v="155"/>
    </i>
    <i>
      <x v="32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97"/>
    </i>
    <i r="1">
      <x v="145"/>
    </i>
    <i r="1">
      <x v="151"/>
    </i>
    <i r="1">
      <x v="152"/>
    </i>
    <i r="1">
      <x v="154"/>
    </i>
    <i>
      <x v="33"/>
    </i>
    <i r="1">
      <x v="57"/>
    </i>
    <i r="1">
      <x v="87"/>
    </i>
    <i r="1">
      <x v="88"/>
    </i>
    <i r="1">
      <x v="89"/>
    </i>
    <i r="1">
      <x v="97"/>
    </i>
    <i r="1">
      <x v="118"/>
    </i>
    <i r="1">
      <x v="128"/>
    </i>
    <i r="1">
      <x v="136"/>
    </i>
    <i r="1">
      <x v="152"/>
    </i>
    <i r="1">
      <x v="154"/>
    </i>
    <i>
      <x v="34"/>
    </i>
    <i r="1">
      <x v="56"/>
    </i>
    <i r="1">
      <x v="87"/>
    </i>
    <i r="1">
      <x v="89"/>
    </i>
    <i r="1">
      <x v="98"/>
    </i>
    <i r="1">
      <x v="118"/>
    </i>
    <i r="1">
      <x v="121"/>
    </i>
    <i r="1">
      <x v="124"/>
    </i>
    <i r="1">
      <x v="138"/>
    </i>
    <i r="1">
      <x v="152"/>
    </i>
    <i r="1">
      <x v="153"/>
    </i>
    <i r="1">
      <x v="154"/>
    </i>
    <i r="1">
      <x v="155"/>
    </i>
    <i>
      <x v="35"/>
    </i>
    <i r="1">
      <x v="41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21"/>
    </i>
    <i r="1">
      <x v="128"/>
    </i>
    <i r="1">
      <x v="147"/>
    </i>
    <i r="1">
      <x v="151"/>
    </i>
    <i r="1">
      <x v="152"/>
    </i>
    <i r="1">
      <x v="153"/>
    </i>
    <i r="1">
      <x v="154"/>
    </i>
    <i r="1">
      <x v="155"/>
    </i>
    <i>
      <x v="36"/>
    </i>
    <i r="1">
      <x v="40"/>
    </i>
    <i r="1">
      <x v="49"/>
    </i>
    <i r="1">
      <x v="60"/>
    </i>
    <i r="1">
      <x v="87"/>
    </i>
    <i r="1">
      <x v="88"/>
    </i>
    <i r="1">
      <x v="89"/>
    </i>
    <i r="1">
      <x v="121"/>
    </i>
    <i r="1">
      <x v="128"/>
    </i>
    <i r="1">
      <x v="136"/>
    </i>
    <i r="1">
      <x v="138"/>
    </i>
    <i r="1">
      <x v="151"/>
    </i>
    <i r="1">
      <x v="152"/>
    </i>
    <i r="1">
      <x v="153"/>
    </i>
    <i r="1">
      <x v="154"/>
    </i>
    <i>
      <x v="37"/>
    </i>
    <i r="1">
      <x v="49"/>
    </i>
    <i r="1">
      <x v="55"/>
    </i>
    <i r="1">
      <x v="57"/>
    </i>
    <i r="1">
      <x v="87"/>
    </i>
    <i r="1">
      <x v="88"/>
    </i>
    <i r="1">
      <x v="89"/>
    </i>
    <i r="1">
      <x v="109"/>
    </i>
    <i r="1">
      <x v="124"/>
    </i>
    <i r="1">
      <x v="138"/>
    </i>
    <i r="1">
      <x v="152"/>
    </i>
    <i r="1">
      <x v="153"/>
    </i>
    <i r="1">
      <x v="154"/>
    </i>
    <i>
      <x v="38"/>
    </i>
    <i r="1">
      <x v="41"/>
    </i>
    <i r="1">
      <x v="49"/>
    </i>
    <i r="1">
      <x v="57"/>
    </i>
    <i r="1">
      <x v="85"/>
    </i>
    <i r="1">
      <x v="87"/>
    </i>
    <i r="1">
      <x v="88"/>
    </i>
    <i r="1">
      <x v="89"/>
    </i>
    <i r="1">
      <x v="109"/>
    </i>
    <i r="1">
      <x v="121"/>
    </i>
    <i r="1">
      <x v="136"/>
    </i>
    <i r="1">
      <x v="145"/>
    </i>
    <i r="1">
      <x v="152"/>
    </i>
    <i r="1">
      <x v="153"/>
    </i>
    <i r="1">
      <x v="154"/>
    </i>
    <i>
      <x v="39"/>
    </i>
    <i r="1">
      <x v="41"/>
    </i>
    <i r="1">
      <x v="85"/>
    </i>
    <i r="1">
      <x v="87"/>
    </i>
    <i r="1">
      <x v="88"/>
    </i>
    <i r="1">
      <x v="89"/>
    </i>
    <i r="1">
      <x v="118"/>
    </i>
    <i r="1">
      <x v="121"/>
    </i>
    <i r="1">
      <x v="124"/>
    </i>
    <i r="1">
      <x v="136"/>
    </i>
    <i r="1">
      <x v="145"/>
    </i>
    <i r="1">
      <x v="151"/>
    </i>
    <i r="1">
      <x v="152"/>
    </i>
    <i r="1">
      <x v="153"/>
    </i>
    <i r="1">
      <x v="154"/>
    </i>
    <i>
      <x v="40"/>
    </i>
    <i r="1">
      <x v="49"/>
    </i>
    <i r="1">
      <x v="55"/>
    </i>
    <i r="1">
      <x v="57"/>
    </i>
    <i r="1">
      <x v="87"/>
    </i>
    <i r="1">
      <x v="88"/>
    </i>
    <i r="1">
      <x v="89"/>
    </i>
    <i r="1">
      <x v="97"/>
    </i>
    <i r="1">
      <x v="109"/>
    </i>
    <i r="1">
      <x v="121"/>
    </i>
    <i r="1">
      <x v="128"/>
    </i>
    <i r="1">
      <x v="136"/>
    </i>
    <i r="1">
      <x v="138"/>
    </i>
    <i r="1">
      <x v="151"/>
    </i>
    <i r="1">
      <x v="152"/>
    </i>
    <i r="1">
      <x v="153"/>
    </i>
    <i>
      <x v="41"/>
    </i>
    <i r="1">
      <x v="49"/>
    </i>
    <i r="1">
      <x v="56"/>
    </i>
    <i r="1">
      <x v="57"/>
    </i>
    <i r="1">
      <x v="87"/>
    </i>
    <i r="1">
      <x v="88"/>
    </i>
    <i r="1">
      <x v="89"/>
    </i>
    <i r="1">
      <x v="109"/>
    </i>
    <i r="1">
      <x v="136"/>
    </i>
    <i r="1">
      <x v="147"/>
    </i>
    <i r="1">
      <x v="151"/>
    </i>
    <i r="1">
      <x v="152"/>
    </i>
    <i r="1">
      <x v="153"/>
    </i>
    <i r="1">
      <x v="154"/>
    </i>
    <i>
      <x v="42"/>
    </i>
    <i r="1">
      <x v="49"/>
    </i>
    <i r="1">
      <x v="56"/>
    </i>
    <i r="1">
      <x v="87"/>
    </i>
    <i r="1">
      <x v="88"/>
    </i>
    <i r="1">
      <x v="89"/>
    </i>
    <i r="1">
      <x v="118"/>
    </i>
    <i r="1">
      <x v="121"/>
    </i>
    <i r="1">
      <x v="128"/>
    </i>
    <i r="1">
      <x v="135"/>
    </i>
    <i r="1">
      <x v="136"/>
    </i>
    <i r="1">
      <x v="151"/>
    </i>
    <i r="1">
      <x v="152"/>
    </i>
    <i r="1">
      <x v="153"/>
    </i>
    <i>
      <x v="43"/>
    </i>
    <i r="1">
      <x v="40"/>
    </i>
    <i r="1">
      <x v="49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03"/>
    </i>
    <i r="1">
      <x v="109"/>
    </i>
    <i r="1">
      <x v="118"/>
    </i>
    <i r="1">
      <x v="121"/>
    </i>
    <i r="1">
      <x v="128"/>
    </i>
    <i r="1">
      <x v="136"/>
    </i>
    <i r="1">
      <x v="138"/>
    </i>
    <i r="1">
      <x v="151"/>
    </i>
    <i r="1">
      <x v="152"/>
    </i>
    <i r="1">
      <x v="153"/>
    </i>
    <i>
      <x v="44"/>
    </i>
    <i r="1">
      <x v="85"/>
    </i>
    <i r="1">
      <x v="87"/>
    </i>
    <i r="1">
      <x v="88"/>
    </i>
    <i r="1">
      <x v="89"/>
    </i>
    <i r="1">
      <x v="136"/>
    </i>
    <i r="1">
      <x v="152"/>
    </i>
    <i r="1">
      <x v="153"/>
    </i>
    <i r="1">
      <x v="154"/>
    </i>
    <i>
      <x v="45"/>
    </i>
    <i r="1">
      <x v="41"/>
    </i>
    <i r="1">
      <x v="49"/>
    </i>
    <i r="1">
      <x v="55"/>
    </i>
    <i r="1">
      <x v="56"/>
    </i>
    <i r="1">
      <x v="57"/>
    </i>
    <i r="1">
      <x v="87"/>
    </i>
    <i r="1">
      <x v="88"/>
    </i>
    <i r="1">
      <x v="89"/>
    </i>
    <i r="1">
      <x v="136"/>
    </i>
    <i r="1">
      <x v="151"/>
    </i>
    <i r="1">
      <x v="152"/>
    </i>
    <i r="1">
      <x v="153"/>
    </i>
    <i r="1">
      <x v="154"/>
    </i>
    <i>
      <x v="46"/>
    </i>
    <i r="1">
      <x v="57"/>
    </i>
    <i r="1">
      <x v="87"/>
    </i>
    <i r="1">
      <x v="88"/>
    </i>
    <i r="1">
      <x v="89"/>
    </i>
    <i r="1">
      <x v="118"/>
    </i>
    <i r="1">
      <x v="121"/>
    </i>
    <i r="1">
      <x v="128"/>
    </i>
    <i r="1">
      <x v="138"/>
    </i>
    <i r="1">
      <x v="151"/>
    </i>
    <i r="1">
      <x v="152"/>
    </i>
    <i r="1">
      <x v="153"/>
    </i>
    <i r="1">
      <x v="154"/>
    </i>
    <i>
      <x v="47"/>
    </i>
    <i r="1">
      <x v="55"/>
    </i>
    <i r="1">
      <x v="85"/>
    </i>
    <i r="1">
      <x v="87"/>
    </i>
    <i r="1">
      <x v="88"/>
    </i>
    <i r="1">
      <x v="89"/>
    </i>
    <i r="1">
      <x v="118"/>
    </i>
    <i r="1">
      <x v="121"/>
    </i>
    <i r="1">
      <x v="128"/>
    </i>
    <i r="1">
      <x v="136"/>
    </i>
    <i r="1">
      <x v="151"/>
    </i>
    <i r="1">
      <x v="152"/>
    </i>
    <i r="1">
      <x v="153"/>
    </i>
    <i r="1">
      <x v="154"/>
    </i>
    <i>
      <x v="48"/>
    </i>
    <i r="1">
      <x v="57"/>
    </i>
    <i r="1">
      <x v="85"/>
    </i>
    <i r="1">
      <x v="87"/>
    </i>
    <i r="1">
      <x v="88"/>
    </i>
    <i r="1">
      <x v="89"/>
    </i>
    <i r="1">
      <x v="97"/>
    </i>
    <i r="1">
      <x v="101"/>
    </i>
    <i r="1">
      <x v="121"/>
    </i>
    <i r="1">
      <x v="128"/>
    </i>
    <i r="1">
      <x v="152"/>
    </i>
    <i r="1">
      <x v="154"/>
    </i>
    <i>
      <x v="49"/>
    </i>
    <i r="1">
      <x v="57"/>
    </i>
    <i r="1">
      <x v="87"/>
    </i>
    <i r="1">
      <x v="88"/>
    </i>
    <i r="1">
      <x v="89"/>
    </i>
    <i r="1">
      <x v="128"/>
    </i>
    <i r="1">
      <x v="136"/>
    </i>
    <i r="1">
      <x v="145"/>
    </i>
    <i r="1">
      <x v="151"/>
    </i>
    <i r="1">
      <x v="152"/>
    </i>
    <i r="1">
      <x v="153"/>
    </i>
    <i r="1">
      <x v="154"/>
    </i>
    <i>
      <x v="50"/>
    </i>
    <i r="1">
      <x v="41"/>
    </i>
    <i r="1">
      <x v="51"/>
    </i>
    <i r="1">
      <x v="55"/>
    </i>
    <i r="1">
      <x v="87"/>
    </i>
    <i r="1">
      <x v="88"/>
    </i>
    <i r="1">
      <x v="89"/>
    </i>
    <i r="1">
      <x v="107"/>
    </i>
    <i r="1">
      <x v="147"/>
    </i>
    <i r="1">
      <x v="151"/>
    </i>
    <i r="1">
      <x v="152"/>
    </i>
    <i r="1">
      <x v="153"/>
    </i>
    <i>
      <x v="51"/>
    </i>
    <i r="1">
      <x v="41"/>
    </i>
    <i r="1">
      <x v="55"/>
    </i>
    <i r="1">
      <x v="57"/>
    </i>
    <i r="1">
      <x v="87"/>
    </i>
    <i r="1">
      <x v="88"/>
    </i>
    <i r="1">
      <x v="89"/>
    </i>
    <i r="1">
      <x v="107"/>
    </i>
    <i r="1">
      <x v="109"/>
    </i>
    <i r="1">
      <x v="118"/>
    </i>
    <i r="1">
      <x v="128"/>
    </i>
    <i r="1">
      <x v="136"/>
    </i>
    <i r="1">
      <x v="138"/>
    </i>
    <i r="1">
      <x v="151"/>
    </i>
    <i r="1">
      <x v="152"/>
    </i>
    <i r="1">
      <x v="153"/>
    </i>
    <i r="1">
      <x v="154"/>
    </i>
    <i>
      <x v="52"/>
    </i>
    <i r="1">
      <x v="51"/>
    </i>
    <i r="1">
      <x v="77"/>
    </i>
    <i r="1">
      <x v="87"/>
    </i>
    <i r="1">
      <x v="88"/>
    </i>
    <i r="1">
      <x v="89"/>
    </i>
    <i r="1">
      <x v="107"/>
    </i>
    <i r="1">
      <x v="145"/>
    </i>
    <i r="1">
      <x v="151"/>
    </i>
    <i r="1">
      <x v="152"/>
    </i>
    <i r="1">
      <x v="153"/>
    </i>
    <i r="1">
      <x v="154"/>
    </i>
    <i>
      <x v="53"/>
    </i>
    <i r="1">
      <x v="57"/>
    </i>
    <i r="1">
      <x v="87"/>
    </i>
    <i r="1">
      <x v="88"/>
    </i>
    <i r="1">
      <x v="89"/>
    </i>
    <i r="1">
      <x v="109"/>
    </i>
    <i r="1">
      <x v="128"/>
    </i>
    <i r="1">
      <x v="136"/>
    </i>
    <i r="1">
      <x v="150"/>
    </i>
    <i r="1">
      <x v="151"/>
    </i>
    <i r="1">
      <x v="152"/>
    </i>
    <i>
      <x v="54"/>
    </i>
    <i r="1">
      <x v="40"/>
    </i>
    <i r="1">
      <x v="55"/>
    </i>
    <i r="1">
      <x v="87"/>
    </i>
    <i r="1">
      <x v="88"/>
    </i>
    <i r="1">
      <x v="89"/>
    </i>
    <i r="1">
      <x v="150"/>
    </i>
    <i r="1">
      <x v="151"/>
    </i>
    <i r="1">
      <x v="152"/>
    </i>
    <i r="1">
      <x v="153"/>
    </i>
    <i>
      <x v="55"/>
    </i>
    <i r="1">
      <x v="87"/>
    </i>
    <i r="1">
      <x v="88"/>
    </i>
    <i r="1">
      <x v="89"/>
    </i>
    <i r="1">
      <x v="107"/>
    </i>
    <i r="1">
      <x v="136"/>
    </i>
    <i r="1">
      <x v="147"/>
    </i>
    <i r="1">
      <x v="150"/>
    </i>
    <i r="1">
      <x v="151"/>
    </i>
    <i r="1">
      <x v="152"/>
    </i>
    <i r="1">
      <x v="153"/>
    </i>
    <i>
      <x v="56"/>
    </i>
    <i r="1">
      <x v="87"/>
    </i>
    <i r="1">
      <x v="88"/>
    </i>
    <i r="1">
      <x v="89"/>
    </i>
    <i r="1">
      <x v="97"/>
    </i>
    <i r="1">
      <x v="107"/>
    </i>
    <i r="1">
      <x v="128"/>
    </i>
    <i r="1">
      <x v="150"/>
    </i>
    <i r="1">
      <x v="152"/>
    </i>
    <i>
      <x v="57"/>
    </i>
    <i r="1">
      <x v="85"/>
    </i>
    <i r="1">
      <x v="87"/>
    </i>
    <i r="1">
      <x v="88"/>
    </i>
    <i r="1">
      <x v="89"/>
    </i>
    <i r="1">
      <x v="124"/>
    </i>
    <i r="1">
      <x v="128"/>
    </i>
    <i r="1">
      <x v="136"/>
    </i>
    <i r="1">
      <x v="153"/>
    </i>
    <i>
      <x v="58"/>
    </i>
    <i r="1">
      <x v="41"/>
    </i>
    <i r="1">
      <x v="55"/>
    </i>
    <i r="1">
      <x v="87"/>
    </i>
    <i r="1">
      <x v="88"/>
    </i>
    <i r="1">
      <x v="89"/>
    </i>
    <i r="1">
      <x v="107"/>
    </i>
    <i r="1">
      <x v="136"/>
    </i>
    <i r="1">
      <x v="145"/>
    </i>
    <i r="1">
      <x v="151"/>
    </i>
    <i r="1">
      <x v="153"/>
    </i>
    <i>
      <x v="59"/>
    </i>
    <i r="1">
      <x v="41"/>
    </i>
    <i r="1">
      <x v="56"/>
    </i>
    <i r="1">
      <x v="84"/>
    </i>
    <i r="1">
      <x v="87"/>
    </i>
    <i r="1">
      <x v="88"/>
    </i>
    <i r="1">
      <x v="89"/>
    </i>
    <i r="1">
      <x v="98"/>
    </i>
    <i r="1">
      <x v="107"/>
    </i>
    <i r="1">
      <x v="121"/>
    </i>
    <i r="1">
      <x v="126"/>
    </i>
    <i r="1">
      <x v="128"/>
    </i>
    <i r="1">
      <x v="129"/>
    </i>
    <i r="1">
      <x v="136"/>
    </i>
    <i r="1">
      <x v="151"/>
    </i>
    <i>
      <x v="60"/>
    </i>
    <i r="1">
      <x v="87"/>
    </i>
    <i r="1">
      <x v="88"/>
    </i>
    <i r="1">
      <x v="109"/>
    </i>
    <i r="1">
      <x v="121"/>
    </i>
    <i r="1">
      <x v="145"/>
    </i>
    <i>
      <x v="61"/>
    </i>
    <i r="1">
      <x v="55"/>
    </i>
    <i r="1">
      <x v="87"/>
    </i>
    <i r="1">
      <x v="88"/>
    </i>
    <i r="1">
      <x v="128"/>
    </i>
    <i r="1">
      <x v="136"/>
    </i>
    <i r="1">
      <x v="147"/>
    </i>
    <i r="1">
      <x v="148"/>
    </i>
    <i>
      <x v="62"/>
    </i>
    <i r="1">
      <x v="87"/>
    </i>
    <i r="1">
      <x v="88"/>
    </i>
    <i r="1">
      <x v="107"/>
    </i>
    <i r="1">
      <x v="136"/>
    </i>
    <i r="1">
      <x v="138"/>
    </i>
    <i r="1">
      <x v="148"/>
    </i>
    <i>
      <x v="63"/>
    </i>
    <i r="1">
      <x v="57"/>
    </i>
    <i r="1">
      <x v="87"/>
    </i>
    <i r="1">
      <x v="88"/>
    </i>
    <i r="1">
      <x v="97"/>
    </i>
    <i r="1">
      <x v="107"/>
    </i>
    <i r="1">
      <x v="109"/>
    </i>
    <i r="1">
      <x v="121"/>
    </i>
    <i r="1">
      <x v="128"/>
    </i>
    <i r="1">
      <x v="136"/>
    </i>
    <i r="1">
      <x v="148"/>
    </i>
    <i r="1">
      <x v="150"/>
    </i>
    <i>
      <x v="64"/>
    </i>
    <i r="1">
      <x v="55"/>
    </i>
    <i r="1">
      <x v="56"/>
    </i>
    <i r="1">
      <x v="57"/>
    </i>
    <i r="1">
      <x v="87"/>
    </i>
    <i r="1">
      <x v="88"/>
    </i>
    <i r="1">
      <x v="97"/>
    </i>
    <i r="1">
      <x v="109"/>
    </i>
    <i r="1">
      <x v="121"/>
    </i>
    <i r="1">
      <x v="138"/>
    </i>
    <i r="1">
      <x v="147"/>
    </i>
    <i r="1">
      <x v="148"/>
    </i>
    <i r="1">
      <x v="150"/>
    </i>
    <i>
      <x v="65"/>
    </i>
    <i r="1">
      <x v="40"/>
    </i>
    <i r="1">
      <x v="57"/>
    </i>
    <i r="1">
      <x v="85"/>
    </i>
    <i r="1">
      <x v="87"/>
    </i>
    <i r="1">
      <x v="88"/>
    </i>
    <i r="1">
      <x v="109"/>
    </i>
    <i r="1">
      <x v="121"/>
    </i>
    <i r="1">
      <x v="128"/>
    </i>
    <i r="1">
      <x v="136"/>
    </i>
    <i r="1">
      <x v="148"/>
    </i>
    <i r="1">
      <x v="150"/>
    </i>
    <i>
      <x v="66"/>
    </i>
    <i r="1">
      <x v="41"/>
    </i>
    <i r="1">
      <x v="57"/>
    </i>
    <i r="1">
      <x v="85"/>
    </i>
    <i r="1">
      <x v="87"/>
    </i>
    <i r="1">
      <x v="88"/>
    </i>
    <i r="1">
      <x v="136"/>
    </i>
    <i r="1">
      <x v="138"/>
    </i>
    <i r="1">
      <x v="145"/>
    </i>
    <i r="1">
      <x v="148"/>
    </i>
    <i r="1">
      <x v="150"/>
    </i>
    <i>
      <x v="67"/>
    </i>
    <i r="1">
      <x v="57"/>
    </i>
    <i r="1">
      <x v="60"/>
    </i>
    <i r="1">
      <x v="87"/>
    </i>
    <i r="1">
      <x v="88"/>
    </i>
    <i r="1">
      <x v="107"/>
    </i>
    <i r="1">
      <x v="121"/>
    </i>
    <i r="1">
      <x v="128"/>
    </i>
    <i r="1">
      <x v="136"/>
    </i>
    <i r="1">
      <x v="138"/>
    </i>
    <i r="1">
      <x v="145"/>
    </i>
    <i r="1">
      <x v="148"/>
    </i>
    <i r="1">
      <x v="149"/>
    </i>
    <i r="1">
      <x v="150"/>
    </i>
    <i>
      <x v="68"/>
    </i>
    <i r="1">
      <x v="85"/>
    </i>
    <i r="1">
      <x v="87"/>
    </i>
    <i r="1">
      <x v="88"/>
    </i>
    <i r="1">
      <x v="148"/>
    </i>
    <i r="1">
      <x v="149"/>
    </i>
    <i>
      <x v="69"/>
    </i>
    <i r="1">
      <x v="56"/>
    </i>
    <i r="1">
      <x v="57"/>
    </i>
    <i r="1">
      <x v="87"/>
    </i>
    <i r="1">
      <x v="88"/>
    </i>
    <i r="1">
      <x v="97"/>
    </i>
    <i r="1">
      <x v="109"/>
    </i>
    <i r="1">
      <x v="148"/>
    </i>
    <i>
      <x v="70"/>
    </i>
    <i r="1">
      <x v="57"/>
    </i>
    <i r="1">
      <x v="85"/>
    </i>
    <i r="1">
      <x v="87"/>
    </i>
    <i r="1">
      <x v="88"/>
    </i>
    <i r="1">
      <x v="103"/>
    </i>
    <i r="1">
      <x v="128"/>
    </i>
    <i r="1">
      <x v="136"/>
    </i>
    <i r="1">
      <x v="148"/>
    </i>
    <i>
      <x v="71"/>
    </i>
    <i r="1">
      <x v="87"/>
    </i>
    <i r="1">
      <x v="88"/>
    </i>
    <i r="1">
      <x v="101"/>
    </i>
    <i r="1">
      <x v="136"/>
    </i>
    <i r="1">
      <x v="138"/>
    </i>
    <i r="1">
      <x v="148"/>
    </i>
    <i>
      <x v="72"/>
    </i>
    <i r="1">
      <x v="40"/>
    </i>
    <i r="1">
      <x v="68"/>
    </i>
    <i r="1">
      <x v="87"/>
    </i>
    <i r="1">
      <x v="128"/>
    </i>
    <i r="1">
      <x v="136"/>
    </i>
    <i r="1">
      <x v="148"/>
    </i>
    <i>
      <x v="73"/>
    </i>
    <i r="1">
      <x v="49"/>
    </i>
    <i r="1">
      <x v="57"/>
    </i>
    <i r="1">
      <x v="68"/>
    </i>
    <i r="1">
      <x v="85"/>
    </i>
    <i r="1">
      <x v="87"/>
    </i>
    <i r="1">
      <x v="107"/>
    </i>
    <i r="1">
      <x v="136"/>
    </i>
    <i r="1">
      <x v="148"/>
    </i>
    <i>
      <x v="74"/>
    </i>
    <i r="1">
      <x v="40"/>
    </i>
    <i r="1">
      <x v="85"/>
    </i>
    <i r="1">
      <x v="87"/>
    </i>
    <i r="1">
      <x v="88"/>
    </i>
    <i r="1">
      <x v="107"/>
    </i>
    <i r="1">
      <x v="128"/>
    </i>
    <i r="1">
      <x v="136"/>
    </i>
    <i r="1">
      <x v="148"/>
    </i>
    <i>
      <x v="75"/>
    </i>
    <i r="1">
      <x v="56"/>
    </i>
    <i r="1">
      <x v="57"/>
    </i>
    <i r="1">
      <x v="85"/>
    </i>
    <i r="1">
      <x v="87"/>
    </i>
    <i r="1">
      <x v="88"/>
    </i>
    <i r="1">
      <x v="106"/>
    </i>
    <i r="1">
      <x v="107"/>
    </i>
    <i r="1">
      <x v="121"/>
    </i>
    <i>
      <x v="76"/>
    </i>
    <i r="1">
      <x v="49"/>
    </i>
    <i r="1">
      <x v="56"/>
    </i>
    <i r="1">
      <x v="85"/>
    </i>
    <i r="1">
      <x v="87"/>
    </i>
    <i r="1">
      <x v="88"/>
    </i>
    <i r="1">
      <x v="101"/>
    </i>
    <i r="1">
      <x v="107"/>
    </i>
    <i r="1">
      <x v="121"/>
    </i>
    <i r="1">
      <x v="122"/>
    </i>
    <i r="1">
      <x v="126"/>
    </i>
    <i r="1">
      <x v="127"/>
    </i>
    <i r="1">
      <x v="136"/>
    </i>
    <i r="1">
      <x v="138"/>
    </i>
    <i>
      <x v="77"/>
    </i>
    <i r="1">
      <x v="56"/>
    </i>
    <i r="1">
      <x v="57"/>
    </i>
    <i r="1">
      <x v="68"/>
    </i>
    <i r="1">
      <x v="87"/>
    </i>
    <i r="1">
      <x v="88"/>
    </i>
    <i r="1">
      <x v="95"/>
    </i>
    <i r="1">
      <x v="107"/>
    </i>
    <i>
      <x v="78"/>
    </i>
    <i r="1">
      <x v="49"/>
    </i>
    <i r="1">
      <x v="56"/>
    </i>
    <i r="1">
      <x v="68"/>
    </i>
    <i r="1">
      <x v="87"/>
    </i>
    <i r="1">
      <x v="88"/>
    </i>
    <i r="1">
      <x v="95"/>
    </i>
    <i r="1">
      <x v="107"/>
    </i>
    <i r="1">
      <x v="125"/>
    </i>
    <i r="1">
      <x v="128"/>
    </i>
    <i r="1">
      <x v="136"/>
    </i>
    <i r="1">
      <x v="138"/>
    </i>
    <i r="1">
      <x v="147"/>
    </i>
    <i>
      <x v="79"/>
    </i>
    <i r="1">
      <x v="57"/>
    </i>
    <i r="1">
      <x v="68"/>
    </i>
    <i r="1">
      <x v="87"/>
    </i>
    <i r="1">
      <x v="88"/>
    </i>
    <i r="1">
      <x v="95"/>
    </i>
    <i r="1">
      <x v="107"/>
    </i>
    <i r="1">
      <x v="121"/>
    </i>
    <i r="1">
      <x v="128"/>
    </i>
    <i r="1">
      <x v="138"/>
    </i>
    <i>
      <x v="80"/>
    </i>
    <i r="1">
      <x v="56"/>
    </i>
    <i r="1">
      <x v="86"/>
    </i>
    <i r="1">
      <x v="87"/>
    </i>
    <i r="1">
      <x v="88"/>
    </i>
    <i r="1">
      <x v="95"/>
    </i>
    <i r="1">
      <x v="102"/>
    </i>
    <i r="1">
      <x v="104"/>
    </i>
    <i r="1">
      <x v="109"/>
    </i>
    <i r="1">
      <x v="136"/>
    </i>
    <i r="1">
      <x v="138"/>
    </i>
    <i r="1">
      <x v="142"/>
    </i>
    <i>
      <x v="81"/>
    </i>
    <i r="1">
      <x v="41"/>
    </i>
    <i r="1">
      <x v="56"/>
    </i>
    <i r="1">
      <x v="68"/>
    </i>
    <i r="1">
      <x v="87"/>
    </i>
    <i r="1">
      <x v="88"/>
    </i>
    <i r="1">
      <x v="95"/>
    </i>
    <i r="1">
      <x v="107"/>
    </i>
    <i r="1">
      <x v="109"/>
    </i>
    <i r="1">
      <x v="121"/>
    </i>
    <i r="1">
      <x v="128"/>
    </i>
    <i r="1">
      <x v="132"/>
    </i>
    <i r="1">
      <x v="138"/>
    </i>
    <i r="1">
      <x v="142"/>
    </i>
    <i>
      <x v="82"/>
    </i>
    <i r="1">
      <x v="56"/>
    </i>
    <i r="1">
      <x v="57"/>
    </i>
    <i r="1">
      <x v="87"/>
    </i>
    <i r="1">
      <x v="88"/>
    </i>
    <i r="1">
      <x v="90"/>
    </i>
    <i r="1">
      <x v="95"/>
    </i>
    <i r="1">
      <x v="107"/>
    </i>
    <i r="1">
      <x v="128"/>
    </i>
    <i r="1">
      <x v="136"/>
    </i>
    <i r="1">
      <x v="138"/>
    </i>
    <i>
      <x v="83"/>
    </i>
    <i r="1">
      <x v="68"/>
    </i>
    <i r="1">
      <x v="85"/>
    </i>
    <i r="1">
      <x v="87"/>
    </i>
    <i r="1">
      <x v="88"/>
    </i>
    <i r="1">
      <x v="95"/>
    </i>
    <i r="1">
      <x v="107"/>
    </i>
    <i>
      <x v="84"/>
    </i>
    <i r="1">
      <x v="40"/>
    </i>
    <i r="1">
      <x v="87"/>
    </i>
    <i r="1">
      <x v="88"/>
    </i>
    <i r="1">
      <x v="95"/>
    </i>
    <i r="1">
      <x v="97"/>
    </i>
    <i r="1">
      <x v="107"/>
    </i>
    <i r="1">
      <x v="121"/>
    </i>
    <i r="1">
      <x v="136"/>
    </i>
    <i r="1">
      <x v="138"/>
    </i>
    <i>
      <x v="85"/>
    </i>
    <i r="1">
      <x v="56"/>
    </i>
    <i r="1">
      <x v="57"/>
    </i>
    <i r="1">
      <x v="87"/>
    </i>
    <i r="1">
      <x v="88"/>
    </i>
    <i r="1">
      <x v="95"/>
    </i>
    <i r="1">
      <x v="118"/>
    </i>
    <i r="1">
      <x v="128"/>
    </i>
    <i r="1">
      <x v="136"/>
    </i>
    <i r="1">
      <x v="138"/>
    </i>
    <i>
      <x v="86"/>
    </i>
    <i r="1">
      <x v="57"/>
    </i>
    <i r="1">
      <x v="62"/>
    </i>
    <i r="1">
      <x v="87"/>
    </i>
    <i r="1">
      <x v="88"/>
    </i>
    <i r="1">
      <x v="95"/>
    </i>
    <i r="1">
      <x v="109"/>
    </i>
    <i r="1">
      <x v="121"/>
    </i>
    <i r="1">
      <x v="136"/>
    </i>
    <i r="1">
      <x v="138"/>
    </i>
    <i>
      <x v="87"/>
    </i>
    <i r="1">
      <x v="40"/>
    </i>
    <i r="1">
      <x v="55"/>
    </i>
    <i r="1">
      <x v="85"/>
    </i>
    <i r="1">
      <x v="87"/>
    </i>
    <i r="1">
      <x v="88"/>
    </i>
    <i r="1">
      <x v="95"/>
    </i>
    <i r="1">
      <x v="98"/>
    </i>
    <i r="1">
      <x v="106"/>
    </i>
    <i r="1">
      <x v="107"/>
    </i>
    <i r="1">
      <x v="120"/>
    </i>
    <i r="1">
      <x v="121"/>
    </i>
    <i r="1">
      <x v="128"/>
    </i>
    <i r="1">
      <x v="138"/>
    </i>
    <i>
      <x v="88"/>
    </i>
    <i r="1">
      <x v="57"/>
    </i>
    <i r="1">
      <x v="87"/>
    </i>
    <i r="1">
      <x v="88"/>
    </i>
    <i r="1">
      <x v="121"/>
    </i>
    <i>
      <x v="89"/>
    </i>
    <i r="1">
      <x v="49"/>
    </i>
    <i r="1">
      <x v="55"/>
    </i>
    <i r="1">
      <x v="56"/>
    </i>
    <i r="1">
      <x v="57"/>
    </i>
    <i r="1">
      <x v="68"/>
    </i>
    <i r="1">
      <x v="87"/>
    </i>
    <i r="1">
      <x v="88"/>
    </i>
    <i r="1">
      <x v="107"/>
    </i>
    <i r="1">
      <x v="118"/>
    </i>
    <i r="1">
      <x v="136"/>
    </i>
    <i>
      <x v="91"/>
    </i>
    <i r="1">
      <x v="41"/>
    </i>
    <i r="1">
      <x v="55"/>
    </i>
    <i r="1">
      <x v="57"/>
    </i>
    <i r="1">
      <x v="68"/>
    </i>
    <i r="1">
      <x v="88"/>
    </i>
    <i r="1">
      <x v="107"/>
    </i>
    <i r="1">
      <x v="121"/>
    </i>
    <i r="1">
      <x v="128"/>
    </i>
    <i r="1">
      <x v="138"/>
    </i>
    <i>
      <x v="92"/>
    </i>
    <i r="1">
      <x v="49"/>
    </i>
    <i r="1">
      <x v="55"/>
    </i>
    <i r="1">
      <x v="57"/>
    </i>
    <i r="1">
      <x v="60"/>
    </i>
    <i r="1">
      <x v="77"/>
    </i>
    <i r="1">
      <x v="84"/>
    </i>
    <i r="1">
      <x v="85"/>
    </i>
    <i r="1">
      <x v="87"/>
    </i>
    <i r="1">
      <x v="88"/>
    </i>
    <i r="1">
      <x v="91"/>
    </i>
    <i r="1">
      <x v="103"/>
    </i>
    <i r="1">
      <x v="136"/>
    </i>
    <i>
      <x v="93"/>
    </i>
    <i r="1">
      <x v="56"/>
    </i>
    <i r="1">
      <x v="87"/>
    </i>
    <i r="1">
      <x v="88"/>
    </i>
    <i r="1">
      <x v="101"/>
    </i>
    <i r="1">
      <x v="128"/>
    </i>
    <i r="1">
      <x v="146"/>
    </i>
    <i>
      <x v="94"/>
    </i>
    <i r="1">
      <x v="55"/>
    </i>
    <i r="1">
      <x v="56"/>
    </i>
    <i r="1">
      <x v="57"/>
    </i>
    <i r="1">
      <x v="68"/>
    </i>
    <i r="1">
      <x v="87"/>
    </i>
    <i r="1">
      <x v="88"/>
    </i>
    <i r="1">
      <x v="118"/>
    </i>
    <i r="1">
      <x v="121"/>
    </i>
    <i r="1">
      <x v="136"/>
    </i>
    <i r="1">
      <x v="138"/>
    </i>
    <i>
      <x v="95"/>
    </i>
    <i r="1">
      <x v="55"/>
    </i>
    <i r="1">
      <x v="56"/>
    </i>
    <i r="1">
      <x v="85"/>
    </i>
    <i r="1">
      <x v="88"/>
    </i>
    <i r="1">
      <x v="109"/>
    </i>
    <i r="1">
      <x v="128"/>
    </i>
    <i r="1">
      <x v="145"/>
    </i>
    <i>
      <x v="96"/>
    </i>
    <i r="1">
      <x v="41"/>
    </i>
    <i r="1">
      <x v="55"/>
    </i>
    <i r="1">
      <x v="56"/>
    </i>
    <i r="1">
      <x v="57"/>
    </i>
    <i r="1">
      <x v="77"/>
    </i>
    <i r="1">
      <x v="88"/>
    </i>
    <i r="1">
      <x v="118"/>
    </i>
    <i r="1">
      <x v="121"/>
    </i>
    <i r="1">
      <x v="136"/>
    </i>
    <i>
      <x v="97"/>
    </i>
    <i r="1">
      <x v="49"/>
    </i>
    <i r="1">
      <x v="56"/>
    </i>
    <i r="1">
      <x v="88"/>
    </i>
    <i r="1">
      <x v="109"/>
    </i>
    <i r="1">
      <x v="138"/>
    </i>
    <i>
      <x v="98"/>
    </i>
    <i r="1">
      <x v="55"/>
    </i>
    <i r="1">
      <x v="56"/>
    </i>
    <i r="1">
      <x v="57"/>
    </i>
    <i r="1">
      <x v="68"/>
    </i>
    <i r="1">
      <x v="85"/>
    </i>
    <i r="1">
      <x v="88"/>
    </i>
    <i r="1">
      <x v="107"/>
    </i>
    <i r="1">
      <x v="109"/>
    </i>
    <i r="1">
      <x v="114"/>
    </i>
    <i r="1">
      <x v="121"/>
    </i>
    <i r="1">
      <x v="128"/>
    </i>
    <i r="1">
      <x v="136"/>
    </i>
    <i r="1">
      <x v="145"/>
    </i>
    <i>
      <x v="99"/>
    </i>
    <i r="1">
      <x v="49"/>
    </i>
    <i r="1">
      <x v="56"/>
    </i>
    <i r="1">
      <x v="57"/>
    </i>
    <i r="1">
      <x v="85"/>
    </i>
    <i r="1">
      <x v="88"/>
    </i>
    <i r="1">
      <x v="109"/>
    </i>
    <i r="1">
      <x v="114"/>
    </i>
    <i r="1">
      <x v="118"/>
    </i>
    <i r="1">
      <x v="121"/>
    </i>
    <i r="1">
      <x v="130"/>
    </i>
    <i r="1">
      <x v="136"/>
    </i>
    <i>
      <x v="100"/>
    </i>
    <i r="1">
      <x v="56"/>
    </i>
    <i r="1">
      <x v="62"/>
    </i>
    <i r="1">
      <x v="68"/>
    </i>
    <i r="1">
      <x v="85"/>
    </i>
    <i r="1">
      <x v="88"/>
    </i>
    <i r="1">
      <x v="118"/>
    </i>
    <i r="1">
      <x v="121"/>
    </i>
    <i r="1">
      <x v="128"/>
    </i>
    <i>
      <x v="101"/>
    </i>
    <i r="1">
      <x v="55"/>
    </i>
    <i r="1">
      <x v="56"/>
    </i>
    <i r="1">
      <x v="85"/>
    </i>
    <i r="1">
      <x v="88"/>
    </i>
    <i r="1">
      <x v="97"/>
    </i>
    <i r="1">
      <x v="98"/>
    </i>
    <i r="1">
      <x v="107"/>
    </i>
    <i r="1">
      <x v="109"/>
    </i>
    <i r="1">
      <x v="114"/>
    </i>
    <i r="1">
      <x v="121"/>
    </i>
    <i r="1">
      <x v="135"/>
    </i>
    <i r="1">
      <x v="136"/>
    </i>
    <i r="1">
      <x v="143"/>
    </i>
    <i>
      <x v="102"/>
    </i>
    <i r="1">
      <x v="40"/>
    </i>
    <i r="1">
      <x v="49"/>
    </i>
    <i r="1">
      <x v="56"/>
    </i>
    <i r="1">
      <x v="57"/>
    </i>
    <i r="1">
      <x v="88"/>
    </i>
    <i r="1">
      <x v="107"/>
    </i>
    <i r="1">
      <x v="136"/>
    </i>
    <i r="1">
      <x v="138"/>
    </i>
    <i r="1">
      <x v="142"/>
    </i>
    <i>
      <x v="103"/>
    </i>
    <i r="1">
      <x v="55"/>
    </i>
    <i r="1">
      <x v="56"/>
    </i>
    <i r="1">
      <x v="57"/>
    </i>
    <i r="1">
      <x v="85"/>
    </i>
    <i r="1">
      <x v="87"/>
    </i>
    <i r="1">
      <x v="88"/>
    </i>
    <i r="1">
      <x v="107"/>
    </i>
    <i r="1">
      <x v="109"/>
    </i>
    <i r="1">
      <x v="113"/>
    </i>
    <i r="1">
      <x v="121"/>
    </i>
    <i r="1">
      <x v="129"/>
    </i>
    <i r="1">
      <x v="136"/>
    </i>
    <i r="1">
      <x v="140"/>
    </i>
    <i r="1">
      <x v="143"/>
    </i>
    <i>
      <x v="104"/>
    </i>
    <i r="1">
      <x v="49"/>
    </i>
    <i>
      <x v="105"/>
    </i>
    <i r="1">
      <x v="56"/>
    </i>
    <i r="1">
      <x v="62"/>
    </i>
    <i r="1">
      <x v="88"/>
    </i>
    <i r="1">
      <x v="118"/>
    </i>
    <i r="1">
      <x v="128"/>
    </i>
    <i r="1">
      <x v="129"/>
    </i>
    <i r="1">
      <x v="136"/>
    </i>
    <i r="1">
      <x v="140"/>
    </i>
    <i r="1">
      <x v="141"/>
    </i>
    <i r="1">
      <x v="142"/>
    </i>
    <i>
      <x v="106"/>
    </i>
    <i r="1">
      <x v="56"/>
    </i>
    <i r="1">
      <x v="87"/>
    </i>
    <i r="1">
      <x v="88"/>
    </i>
    <i r="1">
      <x v="91"/>
    </i>
    <i r="1">
      <x v="103"/>
    </i>
    <i r="1">
      <x v="107"/>
    </i>
    <i r="1">
      <x v="136"/>
    </i>
    <i r="1">
      <x v="138"/>
    </i>
    <i r="1">
      <x v="144"/>
    </i>
    <i>
      <x v="107"/>
    </i>
    <i r="1">
      <x v="56"/>
    </i>
    <i r="1">
      <x v="57"/>
    </i>
    <i r="1">
      <x v="68"/>
    </i>
    <i r="1">
      <x v="87"/>
    </i>
    <i r="1">
      <x v="88"/>
    </i>
    <i r="1">
      <x v="97"/>
    </i>
    <i r="1">
      <x v="121"/>
    </i>
    <i r="1">
      <x v="136"/>
    </i>
    <i>
      <x v="108"/>
    </i>
    <i r="1">
      <x v="41"/>
    </i>
    <i r="1">
      <x v="56"/>
    </i>
    <i r="1">
      <x v="57"/>
    </i>
    <i r="1">
      <x v="68"/>
    </i>
    <i r="1">
      <x v="84"/>
    </i>
    <i r="1">
      <x v="85"/>
    </i>
    <i r="1">
      <x v="87"/>
    </i>
    <i r="1">
      <x v="88"/>
    </i>
    <i r="1">
      <x v="91"/>
    </i>
    <i r="1">
      <x v="109"/>
    </i>
    <i r="1">
      <x v="121"/>
    </i>
    <i r="1">
      <x v="128"/>
    </i>
    <i>
      <x v="109"/>
    </i>
    <i r="1">
      <x v="55"/>
    </i>
    <i r="1">
      <x v="56"/>
    </i>
    <i r="1">
      <x v="68"/>
    </i>
    <i r="1">
      <x v="85"/>
    </i>
    <i r="1">
      <x v="88"/>
    </i>
    <i r="1">
      <x v="118"/>
    </i>
    <i r="1">
      <x v="137"/>
    </i>
    <i r="1">
      <x v="142"/>
    </i>
    <i>
      <x v="110"/>
    </i>
    <i r="1">
      <x v="40"/>
    </i>
    <i r="1">
      <x v="56"/>
    </i>
    <i r="1">
      <x v="85"/>
    </i>
    <i r="1">
      <x v="88"/>
    </i>
    <i r="1">
      <x v="136"/>
    </i>
    <i r="1">
      <x v="142"/>
    </i>
    <i>
      <x v="111"/>
    </i>
    <i r="1">
      <x v="56"/>
    </i>
    <i r="1">
      <x v="57"/>
    </i>
    <i r="1">
      <x v="68"/>
    </i>
    <i r="1">
      <x v="88"/>
    </i>
    <i r="1">
      <x v="121"/>
    </i>
    <i r="1">
      <x v="128"/>
    </i>
    <i r="1">
      <x v="136"/>
    </i>
    <i r="1">
      <x v="142"/>
    </i>
    <i>
      <x v="112"/>
    </i>
    <i r="1">
      <x v="97"/>
    </i>
    <i>
      <x v="113"/>
    </i>
    <i r="1">
      <x v="55"/>
    </i>
    <i r="1">
      <x v="88"/>
    </i>
    <i r="1">
      <x v="121"/>
    </i>
    <i>
      <x v="114"/>
    </i>
    <i r="1">
      <x v="55"/>
    </i>
    <i r="1">
      <x v="57"/>
    </i>
    <i r="1">
      <x v="77"/>
    </i>
    <i r="1">
      <x v="85"/>
    </i>
    <i r="1">
      <x v="88"/>
    </i>
    <i r="1">
      <x v="97"/>
    </i>
    <i r="1">
      <x v="107"/>
    </i>
    <i r="1">
      <x v="118"/>
    </i>
    <i r="1">
      <x v="127"/>
    </i>
    <i r="1">
      <x v="134"/>
    </i>
    <i r="1">
      <x v="136"/>
    </i>
    <i r="1">
      <x v="142"/>
    </i>
    <i>
      <x v="115"/>
    </i>
    <i r="1">
      <x v="55"/>
    </i>
    <i r="1">
      <x v="56"/>
    </i>
    <i r="1">
      <x v="57"/>
    </i>
    <i r="1">
      <x v="77"/>
    </i>
    <i r="1">
      <x v="85"/>
    </i>
    <i r="1">
      <x v="87"/>
    </i>
    <i r="1">
      <x v="88"/>
    </i>
    <i r="1">
      <x v="118"/>
    </i>
    <i r="1">
      <x v="121"/>
    </i>
    <i r="1">
      <x v="128"/>
    </i>
    <i r="1">
      <x v="136"/>
    </i>
    <i>
      <x v="116"/>
    </i>
    <i r="1">
      <x v="57"/>
    </i>
    <i r="1">
      <x v="87"/>
    </i>
    <i r="1">
      <x v="88"/>
    </i>
    <i r="1">
      <x v="107"/>
    </i>
    <i r="1">
      <x v="118"/>
    </i>
    <i r="1">
      <x v="121"/>
    </i>
    <i r="1">
      <x v="136"/>
    </i>
    <i r="1">
      <x v="142"/>
    </i>
    <i>
      <x v="117"/>
    </i>
    <i r="1">
      <x v="40"/>
    </i>
    <i r="1">
      <x v="41"/>
    </i>
    <i r="1">
      <x v="55"/>
    </i>
    <i r="1">
      <x v="56"/>
    </i>
    <i r="1">
      <x v="57"/>
    </i>
    <i r="1">
      <x v="68"/>
    </i>
    <i r="1">
      <x v="85"/>
    </i>
    <i r="1">
      <x v="87"/>
    </i>
    <i r="1">
      <x v="88"/>
    </i>
    <i r="1">
      <x v="128"/>
    </i>
    <i>
      <x v="118"/>
    </i>
    <i r="1">
      <x v="56"/>
    </i>
    <i r="1">
      <x v="57"/>
    </i>
    <i r="1">
      <x v="68"/>
    </i>
    <i r="1">
      <x v="85"/>
    </i>
    <i r="1">
      <x v="87"/>
    </i>
    <i r="1">
      <x v="88"/>
    </i>
    <i r="1">
      <x v="97"/>
    </i>
    <i r="1">
      <x v="118"/>
    </i>
    <i r="1">
      <x v="121"/>
    </i>
    <i r="1">
      <x v="136"/>
    </i>
    <i>
      <x v="119"/>
    </i>
    <i r="1">
      <x v="55"/>
    </i>
    <i r="1">
      <x v="56"/>
    </i>
    <i r="1">
      <x v="57"/>
    </i>
    <i r="1">
      <x v="60"/>
    </i>
    <i r="1">
      <x v="85"/>
    </i>
    <i r="1">
      <x v="87"/>
    </i>
    <i r="1">
      <x v="88"/>
    </i>
    <i r="1">
      <x v="109"/>
    </i>
    <i>
      <x v="120"/>
    </i>
    <i r="1">
      <x v="55"/>
    </i>
    <i r="1">
      <x v="57"/>
    </i>
    <i r="1">
      <x v="85"/>
    </i>
    <i r="1">
      <x v="87"/>
    </i>
    <i r="1">
      <x v="88"/>
    </i>
    <i r="1">
      <x v="89"/>
    </i>
    <i r="1">
      <x v="98"/>
    </i>
    <i r="1">
      <x v="121"/>
    </i>
    <i r="1">
      <x v="128"/>
    </i>
    <i r="1">
      <x v="129"/>
    </i>
    <i r="1">
      <x v="134"/>
    </i>
    <i>
      <x v="121"/>
    </i>
    <i r="1">
      <x v="40"/>
    </i>
    <i r="1">
      <x v="55"/>
    </i>
    <i r="1">
      <x v="56"/>
    </i>
    <i r="1">
      <x v="68"/>
    </i>
    <i r="1">
      <x v="88"/>
    </i>
    <i r="1">
      <x v="121"/>
    </i>
    <i r="1">
      <x v="128"/>
    </i>
    <i>
      <x v="122"/>
    </i>
    <i r="1">
      <x v="40"/>
    </i>
    <i r="1">
      <x v="49"/>
    </i>
    <i r="1">
      <x v="55"/>
    </i>
    <i r="1">
      <x v="56"/>
    </i>
    <i r="1">
      <x v="57"/>
    </i>
    <i r="1">
      <x v="88"/>
    </i>
    <i r="1">
      <x v="97"/>
    </i>
    <i r="1">
      <x v="107"/>
    </i>
    <i r="1">
      <x v="121"/>
    </i>
    <i>
      <x v="123"/>
    </i>
    <i r="1">
      <x v="57"/>
    </i>
    <i r="1">
      <x v="88"/>
    </i>
    <i r="1">
      <x v="89"/>
    </i>
    <i r="1">
      <x v="118"/>
    </i>
    <i>
      <x v="125"/>
    </i>
    <i r="1">
      <x v="49"/>
    </i>
    <i r="1">
      <x v="56"/>
    </i>
    <i r="1">
      <x v="88"/>
    </i>
    <i r="1">
      <x v="95"/>
    </i>
    <i r="1">
      <x v="121"/>
    </i>
    <i>
      <x v="126"/>
    </i>
    <i r="1">
      <x v="41"/>
    </i>
    <i r="1">
      <x v="55"/>
    </i>
    <i r="1">
      <x v="56"/>
    </i>
    <i r="1">
      <x v="88"/>
    </i>
    <i r="1">
      <x v="89"/>
    </i>
    <i r="1">
      <x v="95"/>
    </i>
    <i r="1">
      <x v="118"/>
    </i>
    <i r="1">
      <x v="121"/>
    </i>
    <i r="1">
      <x v="128"/>
    </i>
    <i>
      <x v="127"/>
    </i>
    <i r="1">
      <x v="41"/>
    </i>
    <i r="1">
      <x v="56"/>
    </i>
    <i r="1">
      <x v="57"/>
    </i>
    <i r="1">
      <x v="87"/>
    </i>
    <i r="1">
      <x v="88"/>
    </i>
    <i r="1">
      <x v="89"/>
    </i>
    <i r="1">
      <x v="95"/>
    </i>
    <i r="1">
      <x v="101"/>
    </i>
    <i r="1">
      <x v="118"/>
    </i>
    <i r="1">
      <x v="121"/>
    </i>
    <i r="1">
      <x v="127"/>
    </i>
    <i>
      <x v="128"/>
    </i>
    <i r="1">
      <x v="55"/>
    </i>
    <i r="1">
      <x v="88"/>
    </i>
    <i r="1">
      <x v="91"/>
    </i>
    <i r="1">
      <x v="95"/>
    </i>
    <i r="1">
      <x v="106"/>
    </i>
    <i r="1">
      <x v="107"/>
    </i>
    <i r="1">
      <x v="118"/>
    </i>
    <i r="1">
      <x v="121"/>
    </i>
    <i>
      <x v="129"/>
    </i>
    <i r="1">
      <x v="41"/>
    </i>
    <i r="1">
      <x v="49"/>
    </i>
    <i r="1">
      <x v="57"/>
    </i>
    <i r="1">
      <x v="88"/>
    </i>
    <i r="1">
      <x v="94"/>
    </i>
    <i r="1">
      <x v="95"/>
    </i>
    <i r="1">
      <x v="118"/>
    </i>
    <i r="1">
      <x v="121"/>
    </i>
    <i r="1">
      <x v="128"/>
    </i>
    <i>
      <x v="130"/>
    </i>
    <i r="1">
      <x v="57"/>
    </i>
    <i r="1">
      <x v="88"/>
    </i>
    <i r="1">
      <x v="91"/>
    </i>
    <i r="1">
      <x v="95"/>
    </i>
    <i r="1">
      <x v="101"/>
    </i>
    <i r="1">
      <x v="121"/>
    </i>
    <i>
      <x v="131"/>
    </i>
    <i r="1">
      <x v="40"/>
    </i>
    <i r="1">
      <x v="41"/>
    </i>
    <i r="1">
      <x v="55"/>
    </i>
    <i r="1">
      <x v="56"/>
    </i>
    <i r="1">
      <x v="57"/>
    </i>
    <i r="1">
      <x v="60"/>
    </i>
    <i r="1">
      <x v="85"/>
    </i>
    <i r="1">
      <x v="88"/>
    </i>
    <i r="1">
      <x v="91"/>
    </i>
    <i r="1">
      <x v="94"/>
    </i>
    <i r="1">
      <x v="95"/>
    </i>
    <i r="1">
      <x v="107"/>
    </i>
    <i r="1">
      <x v="128"/>
    </i>
    <i r="1">
      <x v="135"/>
    </i>
    <i>
      <x v="132"/>
    </i>
    <i r="1">
      <x v="55"/>
    </i>
    <i r="1">
      <x v="56"/>
    </i>
    <i r="1">
      <x v="88"/>
    </i>
    <i r="1">
      <x v="90"/>
    </i>
    <i r="1">
      <x v="94"/>
    </i>
    <i r="1">
      <x v="95"/>
    </i>
    <i r="1">
      <x v="103"/>
    </i>
    <i r="1">
      <x v="107"/>
    </i>
    <i r="1">
      <x v="118"/>
    </i>
    <i r="1">
      <x v="121"/>
    </i>
    <i r="1">
      <x v="142"/>
    </i>
    <i>
      <x v="133"/>
    </i>
    <i r="1">
      <x v="55"/>
    </i>
    <i r="1">
      <x v="56"/>
    </i>
    <i r="1">
      <x v="57"/>
    </i>
    <i r="1">
      <x v="68"/>
    </i>
    <i r="1">
      <x v="85"/>
    </i>
    <i r="1">
      <x v="87"/>
    </i>
    <i r="1">
      <x v="88"/>
    </i>
    <i r="1">
      <x v="91"/>
    </i>
    <i r="1">
      <x v="94"/>
    </i>
    <i r="1">
      <x v="95"/>
    </i>
    <i r="1">
      <x v="118"/>
    </i>
    <i r="1">
      <x v="121"/>
    </i>
    <i r="1">
      <x v="128"/>
    </i>
    <i>
      <x v="134"/>
    </i>
    <i r="1">
      <x v="57"/>
    </i>
    <i r="1">
      <x v="87"/>
    </i>
    <i r="1">
      <x v="88"/>
    </i>
    <i r="1">
      <x v="106"/>
    </i>
    <i r="1">
      <x v="107"/>
    </i>
    <i>
      <x v="135"/>
    </i>
    <i r="1">
      <x v="41"/>
    </i>
    <i r="1">
      <x v="56"/>
    </i>
    <i r="1">
      <x v="57"/>
    </i>
    <i r="1">
      <x v="88"/>
    </i>
    <i r="1">
      <x v="120"/>
    </i>
    <i>
      <x v="136"/>
    </i>
    <i r="1">
      <x v="41"/>
    </i>
    <i r="1">
      <x v="55"/>
    </i>
    <i r="1">
      <x v="56"/>
    </i>
    <i r="1">
      <x v="57"/>
    </i>
    <i r="1">
      <x v="85"/>
    </i>
    <i r="1">
      <x v="87"/>
    </i>
    <i r="1">
      <x v="88"/>
    </i>
    <i r="1">
      <x v="94"/>
    </i>
    <i r="1">
      <x v="95"/>
    </i>
    <i r="1">
      <x v="121"/>
    </i>
    <i r="1">
      <x v="134"/>
    </i>
    <i>
      <x v="137"/>
    </i>
    <i r="1">
      <x v="41"/>
    </i>
    <i r="1">
      <x v="87"/>
    </i>
    <i r="1">
      <x v="88"/>
    </i>
    <i r="1">
      <x v="91"/>
    </i>
    <i r="1">
      <x v="94"/>
    </i>
    <i r="1">
      <x v="95"/>
    </i>
    <i r="1">
      <x v="107"/>
    </i>
    <i r="1">
      <x v="118"/>
    </i>
    <i r="1">
      <x v="121"/>
    </i>
    <i r="1">
      <x v="124"/>
    </i>
    <i r="1">
      <x v="128"/>
    </i>
    <i r="1">
      <x v="129"/>
    </i>
    <i>
      <x v="138"/>
    </i>
    <i r="1">
      <x v="57"/>
    </i>
    <i r="1">
      <x v="88"/>
    </i>
    <i r="1">
      <x v="90"/>
    </i>
    <i r="1">
      <x v="91"/>
    </i>
    <i r="1">
      <x v="94"/>
    </i>
    <i r="1">
      <x v="118"/>
    </i>
    <i r="1">
      <x v="121"/>
    </i>
    <i>
      <x v="139"/>
    </i>
    <i r="1">
      <x v="55"/>
    </i>
    <i r="1">
      <x v="57"/>
    </i>
    <i r="1">
      <x v="85"/>
    </i>
    <i r="1">
      <x v="87"/>
    </i>
    <i r="1">
      <x v="88"/>
    </i>
    <i r="1">
      <x v="94"/>
    </i>
    <i r="1">
      <x v="102"/>
    </i>
    <i r="1">
      <x v="107"/>
    </i>
    <i r="1">
      <x v="118"/>
    </i>
    <i r="1">
      <x v="121"/>
    </i>
    <i r="1">
      <x v="128"/>
    </i>
    <i>
      <x v="140"/>
    </i>
    <i r="1">
      <x v="55"/>
    </i>
    <i r="1">
      <x v="88"/>
    </i>
    <i r="1">
      <x v="94"/>
    </i>
    <i r="1">
      <x v="97"/>
    </i>
    <i r="1">
      <x v="101"/>
    </i>
    <i r="1">
      <x v="118"/>
    </i>
    <i r="1">
      <x v="121"/>
    </i>
    <i>
      <x v="141"/>
    </i>
    <i r="1">
      <x v="40"/>
    </i>
    <i r="1">
      <x v="55"/>
    </i>
    <i r="1">
      <x v="57"/>
    </i>
    <i r="1">
      <x v="87"/>
    </i>
    <i r="1">
      <x v="88"/>
    </i>
    <i r="1">
      <x v="91"/>
    </i>
    <i r="1">
      <x v="94"/>
    </i>
    <i r="1">
      <x v="109"/>
    </i>
    <i r="1">
      <x v="118"/>
    </i>
    <i r="1">
      <x v="121"/>
    </i>
    <i>
      <x v="142"/>
    </i>
    <i r="1">
      <x v="41"/>
    </i>
    <i r="1">
      <x v="57"/>
    </i>
    <i r="1">
      <x v="60"/>
    </i>
    <i r="1">
      <x v="87"/>
    </i>
    <i r="1">
      <x v="88"/>
    </i>
    <i r="1">
      <x v="91"/>
    </i>
    <i r="1">
      <x v="94"/>
    </i>
    <i r="1">
      <x v="118"/>
    </i>
    <i r="1">
      <x v="121"/>
    </i>
    <i r="1">
      <x v="124"/>
    </i>
    <i>
      <x v="143"/>
    </i>
    <i r="1">
      <x v="56"/>
    </i>
    <i r="1">
      <x v="87"/>
    </i>
    <i r="1">
      <x v="88"/>
    </i>
    <i r="1">
      <x v="94"/>
    </i>
    <i r="1">
      <x v="121"/>
    </i>
    <i r="1">
      <x v="128"/>
    </i>
    <i>
      <x v="144"/>
    </i>
    <i r="1">
      <x v="68"/>
    </i>
    <i r="1">
      <x v="87"/>
    </i>
    <i r="1">
      <x v="88"/>
    </i>
    <i r="1">
      <x v="90"/>
    </i>
    <i r="1">
      <x v="91"/>
    </i>
    <i r="1">
      <x v="118"/>
    </i>
    <i r="1">
      <x v="121"/>
    </i>
    <i>
      <x v="145"/>
    </i>
    <i r="1">
      <x v="54"/>
    </i>
    <i r="1">
      <x v="57"/>
    </i>
    <i r="1">
      <x v="68"/>
    </i>
    <i r="1">
      <x v="88"/>
    </i>
    <i r="1">
      <x v="94"/>
    </i>
    <i r="1">
      <x v="95"/>
    </i>
    <i r="1">
      <x v="98"/>
    </i>
    <i r="1">
      <x v="101"/>
    </i>
    <i r="1">
      <x v="106"/>
    </i>
    <i r="1">
      <x v="121"/>
    </i>
    <i r="1">
      <x v="124"/>
    </i>
    <i r="1">
      <x v="133"/>
    </i>
    <i>
      <x v="146"/>
    </i>
    <i r="1">
      <x v="56"/>
    </i>
    <i r="1">
      <x v="57"/>
    </i>
    <i r="1">
      <x v="77"/>
    </i>
    <i r="1">
      <x v="88"/>
    </i>
    <i r="1">
      <x v="89"/>
    </i>
    <i r="1">
      <x v="91"/>
    </i>
    <i r="1">
      <x v="94"/>
    </i>
    <i r="1">
      <x v="95"/>
    </i>
    <i r="1">
      <x v="118"/>
    </i>
    <i r="1">
      <x v="121"/>
    </i>
    <i r="1">
      <x v="124"/>
    </i>
    <i r="1">
      <x v="128"/>
    </i>
    <i r="1">
      <x v="132"/>
    </i>
    <i r="1">
      <x v="133"/>
    </i>
    <i>
      <x v="147"/>
    </i>
    <i r="1">
      <x v="40"/>
    </i>
    <i r="1">
      <x v="41"/>
    </i>
    <i r="1">
      <x v="56"/>
    </i>
    <i r="1">
      <x v="57"/>
    </i>
    <i r="1">
      <x v="68"/>
    </i>
    <i r="1">
      <x v="88"/>
    </i>
    <i r="1">
      <x v="94"/>
    </i>
    <i r="1">
      <x v="95"/>
    </i>
    <i r="1">
      <x v="118"/>
    </i>
    <i r="1">
      <x v="121"/>
    </i>
    <i r="1">
      <x v="124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um of Amount" fld="5" baseField="0" baseItem="0"/>
    <dataField name="Sum of Quantity" fld="3" baseField="0" baseItem="0"/>
  </dataFields>
  <formats count="1211">
    <format dxfId="1644">
      <pivotArea type="all" dataOnly="0" outline="0" fieldPosition="0"/>
    </format>
    <format dxfId="1643">
      <pivotArea outline="0" collapsedLevelsAreSubtotals="1" fieldPosition="0"/>
    </format>
    <format dxfId="1642">
      <pivotArea field="0" type="button" dataOnly="0" labelOnly="1" outline="0" axis="axisRow" fieldPosition="0"/>
    </format>
    <format dxfId="1641">
      <pivotArea dataOnly="0" labelOnly="1" fieldPosition="0">
        <references count="1">
          <reference field="0" count="50">
            <x v="0"/>
            <x v="746"/>
            <x v="747"/>
            <x v="748"/>
            <x v="749"/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</reference>
        </references>
      </pivotArea>
    </format>
    <format dxfId="1640">
      <pivotArea dataOnly="0" labelOnly="1" fieldPosition="0">
        <references count="1">
          <reference field="0" count="50">
            <x v="795"/>
            <x v="796"/>
            <x v="797"/>
            <x v="798"/>
            <x v="799"/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</reference>
        </references>
      </pivotArea>
    </format>
    <format dxfId="1639">
      <pivotArea dataOnly="0" labelOnly="1" fieldPosition="0">
        <references count="1">
          <reference field="0" count="31"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</reference>
        </references>
      </pivotArea>
    </format>
    <format dxfId="1638">
      <pivotArea dataOnly="0" labelOnly="1" grandRow="1" outline="0" fieldPosition="0"/>
    </format>
    <format dxfId="1637">
      <pivotArea dataOnly="0" labelOnly="1" fieldPosition="0">
        <references count="2">
          <reference field="0" count="1" selected="0">
            <x v="0"/>
          </reference>
          <reference field="6" count="1">
            <x v="42"/>
          </reference>
        </references>
      </pivotArea>
    </format>
    <format dxfId="1636">
      <pivotArea dataOnly="0" labelOnly="1" fieldPosition="0">
        <references count="2">
          <reference field="0" count="1" selected="0">
            <x v="746"/>
          </reference>
          <reference field="6" count="11">
            <x v="2"/>
            <x v="3"/>
            <x v="8"/>
            <x v="9"/>
            <x v="13"/>
            <x v="24"/>
            <x v="31"/>
            <x v="35"/>
            <x v="36"/>
            <x v="37"/>
            <x v="40"/>
          </reference>
        </references>
      </pivotArea>
    </format>
    <format dxfId="1635">
      <pivotArea dataOnly="0" labelOnly="1" fieldPosition="0">
        <references count="2">
          <reference field="0" count="1" selected="0">
            <x v="74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634">
      <pivotArea dataOnly="0" labelOnly="1" fieldPosition="0">
        <references count="2">
          <reference field="0" count="1" selected="0">
            <x v="748"/>
          </reference>
          <reference field="6" count="6">
            <x v="13"/>
            <x v="29"/>
            <x v="31"/>
            <x v="32"/>
            <x v="35"/>
            <x v="36"/>
          </reference>
        </references>
      </pivotArea>
    </format>
    <format dxfId="1633">
      <pivotArea dataOnly="0" labelOnly="1" fieldPosition="0">
        <references count="2">
          <reference field="0" count="1" selected="0">
            <x v="749"/>
          </reference>
          <reference field="6" count="5">
            <x v="8"/>
            <x v="28"/>
            <x v="31"/>
            <x v="35"/>
            <x v="37"/>
          </reference>
        </references>
      </pivotArea>
    </format>
    <format dxfId="1632">
      <pivotArea dataOnly="0" labelOnly="1" fieldPosition="0">
        <references count="2">
          <reference field="0" count="1" selected="0">
            <x v="750"/>
          </reference>
          <reference field="6" count="9">
            <x v="2"/>
            <x v="8"/>
            <x v="13"/>
            <x v="15"/>
            <x v="17"/>
            <x v="35"/>
            <x v="36"/>
            <x v="37"/>
            <x v="38"/>
          </reference>
        </references>
      </pivotArea>
    </format>
    <format dxfId="1631">
      <pivotArea dataOnly="0" labelOnly="1" fieldPosition="0">
        <references count="2">
          <reference field="0" count="1" selected="0">
            <x v="751"/>
          </reference>
          <reference field="6" count="7">
            <x v="8"/>
            <x v="13"/>
            <x v="31"/>
            <x v="35"/>
            <x v="36"/>
            <x v="37"/>
            <x v="40"/>
          </reference>
        </references>
      </pivotArea>
    </format>
    <format dxfId="1630">
      <pivotArea dataOnly="0" labelOnly="1" fieldPosition="0">
        <references count="2">
          <reference field="0" count="1" selected="0">
            <x v="752"/>
          </reference>
          <reference field="6" count="11">
            <x v="2"/>
            <x v="5"/>
            <x v="8"/>
            <x v="13"/>
            <x v="28"/>
            <x v="31"/>
            <x v="32"/>
            <x v="34"/>
            <x v="35"/>
            <x v="36"/>
            <x v="37"/>
          </reference>
        </references>
      </pivotArea>
    </format>
    <format dxfId="1629">
      <pivotArea dataOnly="0" labelOnly="1" fieldPosition="0">
        <references count="2">
          <reference field="0" count="1" selected="0">
            <x v="753"/>
          </reference>
          <reference field="6" count="7">
            <x v="8"/>
            <x v="13"/>
            <x v="15"/>
            <x v="31"/>
            <x v="35"/>
            <x v="36"/>
            <x v="37"/>
          </reference>
        </references>
      </pivotArea>
    </format>
    <format dxfId="1628">
      <pivotArea dataOnly="0" labelOnly="1" fieldPosition="0">
        <references count="2">
          <reference field="0" count="1" selected="0">
            <x v="754"/>
          </reference>
          <reference field="6" count="8">
            <x v="8"/>
            <x v="12"/>
            <x v="13"/>
            <x v="15"/>
            <x v="17"/>
            <x v="24"/>
            <x v="35"/>
            <x v="36"/>
          </reference>
        </references>
      </pivotArea>
    </format>
    <format dxfId="1627">
      <pivotArea dataOnly="0" labelOnly="1" fieldPosition="0">
        <references count="2">
          <reference field="0" count="1" selected="0">
            <x v="755"/>
          </reference>
          <reference field="6" count="10">
            <x v="2"/>
            <x v="8"/>
            <x v="13"/>
            <x v="17"/>
            <x v="24"/>
            <x v="28"/>
            <x v="31"/>
            <x v="36"/>
            <x v="37"/>
            <x v="40"/>
          </reference>
        </references>
      </pivotArea>
    </format>
    <format dxfId="1626">
      <pivotArea dataOnly="0" labelOnly="1" fieldPosition="0">
        <references count="2">
          <reference field="0" count="1" selected="0">
            <x v="756"/>
          </reference>
          <reference field="6" count="6">
            <x v="8"/>
            <x v="12"/>
            <x v="17"/>
            <x v="31"/>
            <x v="35"/>
            <x v="36"/>
          </reference>
        </references>
      </pivotArea>
    </format>
    <format dxfId="1625">
      <pivotArea dataOnly="0" labelOnly="1" fieldPosition="0">
        <references count="2">
          <reference field="0" count="1" selected="0">
            <x v="757"/>
          </reference>
          <reference field="6" count="9">
            <x v="8"/>
            <x v="13"/>
            <x v="15"/>
            <x v="16"/>
            <x v="32"/>
            <x v="35"/>
            <x v="36"/>
            <x v="37"/>
            <x v="40"/>
          </reference>
        </references>
      </pivotArea>
    </format>
    <format dxfId="1624">
      <pivotArea dataOnly="0" labelOnly="1" fieldPosition="0">
        <references count="2">
          <reference field="0" count="1" selected="0">
            <x v="758"/>
          </reference>
          <reference field="6" count="9">
            <x v="3"/>
            <x v="5"/>
            <x v="13"/>
            <x v="15"/>
            <x v="31"/>
            <x v="34"/>
            <x v="35"/>
            <x v="36"/>
            <x v="37"/>
          </reference>
        </references>
      </pivotArea>
    </format>
    <format dxfId="1623">
      <pivotArea dataOnly="0" labelOnly="1" fieldPosition="0">
        <references count="2">
          <reference field="0" count="1" selected="0">
            <x v="759"/>
          </reference>
          <reference field="6" count="11">
            <x v="2"/>
            <x v="8"/>
            <x v="13"/>
            <x v="14"/>
            <x v="20"/>
            <x v="28"/>
            <x v="31"/>
            <x v="32"/>
            <x v="36"/>
            <x v="37"/>
            <x v="40"/>
          </reference>
        </references>
      </pivotArea>
    </format>
    <format dxfId="1622">
      <pivotArea dataOnly="0" labelOnly="1" fieldPosition="0">
        <references count="2">
          <reference field="0" count="1" selected="0">
            <x v="760"/>
          </reference>
          <reference field="6" count="8">
            <x v="8"/>
            <x v="13"/>
            <x v="15"/>
            <x v="28"/>
            <x v="30"/>
            <x v="31"/>
            <x v="36"/>
            <x v="37"/>
          </reference>
        </references>
      </pivotArea>
    </format>
    <format dxfId="1621">
      <pivotArea dataOnly="0" labelOnly="1" fieldPosition="0">
        <references count="2">
          <reference field="0" count="1" selected="0">
            <x v="761"/>
          </reference>
          <reference field="6" count="9">
            <x v="2"/>
            <x v="8"/>
            <x v="13"/>
            <x v="17"/>
            <x v="28"/>
            <x v="30"/>
            <x v="31"/>
            <x v="36"/>
            <x v="37"/>
          </reference>
        </references>
      </pivotArea>
    </format>
    <format dxfId="1620">
      <pivotArea dataOnly="0" labelOnly="1" fieldPosition="0">
        <references count="2">
          <reference field="0" count="1" selected="0">
            <x v="762"/>
          </reference>
          <reference field="6" count="6">
            <x v="2"/>
            <x v="8"/>
            <x v="13"/>
            <x v="28"/>
            <x v="36"/>
            <x v="37"/>
          </reference>
        </references>
      </pivotArea>
    </format>
    <format dxfId="1619">
      <pivotArea dataOnly="0" labelOnly="1" fieldPosition="0">
        <references count="2">
          <reference field="0" count="1" selected="0">
            <x v="763"/>
          </reference>
          <reference field="6" count="6">
            <x v="2"/>
            <x v="13"/>
            <x v="15"/>
            <x v="28"/>
            <x v="35"/>
            <x v="36"/>
          </reference>
        </references>
      </pivotArea>
    </format>
    <format dxfId="1618">
      <pivotArea dataOnly="0" labelOnly="1" fieldPosition="0">
        <references count="2">
          <reference field="0" count="1" selected="0">
            <x v="764"/>
          </reference>
          <reference field="6" count="7">
            <x v="8"/>
            <x v="28"/>
            <x v="31"/>
            <x v="35"/>
            <x v="36"/>
            <x v="37"/>
            <x v="38"/>
          </reference>
        </references>
      </pivotArea>
    </format>
    <format dxfId="1617">
      <pivotArea dataOnly="0" labelOnly="1" fieldPosition="0">
        <references count="2">
          <reference field="0" count="1" selected="0">
            <x v="765"/>
          </reference>
          <reference field="6" count="6">
            <x v="8"/>
            <x v="13"/>
            <x v="28"/>
            <x v="35"/>
            <x v="36"/>
            <x v="40"/>
          </reference>
        </references>
      </pivotArea>
    </format>
    <format dxfId="1616">
      <pivotArea dataOnly="0" labelOnly="1" fieldPosition="0">
        <references count="2">
          <reference field="0" count="1" selected="0">
            <x v="766"/>
          </reference>
          <reference field="6" count="9">
            <x v="8"/>
            <x v="12"/>
            <x v="13"/>
            <x v="15"/>
            <x v="16"/>
            <x v="28"/>
            <x v="31"/>
            <x v="35"/>
            <x v="36"/>
          </reference>
        </references>
      </pivotArea>
    </format>
    <format dxfId="1615">
      <pivotArea dataOnly="0" labelOnly="1" fieldPosition="0">
        <references count="2">
          <reference field="0" count="1" selected="0">
            <x v="767"/>
          </reference>
          <reference field="6" count="5">
            <x v="8"/>
            <x v="13"/>
            <x v="28"/>
            <x v="36"/>
            <x v="37"/>
          </reference>
        </references>
      </pivotArea>
    </format>
    <format dxfId="1614">
      <pivotArea dataOnly="0" labelOnly="1" fieldPosition="0">
        <references count="2">
          <reference field="0" count="1" selected="0">
            <x v="768"/>
          </reference>
          <reference field="6" count="7">
            <x v="2"/>
            <x v="8"/>
            <x v="13"/>
            <x v="28"/>
            <x v="32"/>
            <x v="36"/>
            <x v="37"/>
          </reference>
        </references>
      </pivotArea>
    </format>
    <format dxfId="1613">
      <pivotArea dataOnly="0" labelOnly="1" fieldPosition="0">
        <references count="2">
          <reference field="0" count="1" selected="0">
            <x v="769"/>
          </reference>
          <reference field="6" count="8">
            <x v="4"/>
            <x v="8"/>
            <x v="10"/>
            <x v="13"/>
            <x v="15"/>
            <x v="28"/>
            <x v="36"/>
            <x v="37"/>
          </reference>
        </references>
      </pivotArea>
    </format>
    <format dxfId="1612">
      <pivotArea dataOnly="0" labelOnly="1" fieldPosition="0">
        <references count="2">
          <reference field="0" count="1" selected="0">
            <x v="770"/>
          </reference>
          <reference field="6" count="8">
            <x v="8"/>
            <x v="10"/>
            <x v="13"/>
            <x v="15"/>
            <x v="36"/>
            <x v="37"/>
            <x v="39"/>
            <x v="40"/>
          </reference>
        </references>
      </pivotArea>
    </format>
    <format dxfId="1611">
      <pivotArea dataOnly="0" labelOnly="1" fieldPosition="0">
        <references count="2">
          <reference field="0" count="1" selected="0">
            <x v="771"/>
          </reference>
          <reference field="6" count="10">
            <x v="2"/>
            <x v="8"/>
            <x v="13"/>
            <x v="15"/>
            <x v="17"/>
            <x v="18"/>
            <x v="24"/>
            <x v="31"/>
            <x v="36"/>
            <x v="37"/>
          </reference>
        </references>
      </pivotArea>
    </format>
    <format dxfId="1610">
      <pivotArea dataOnly="0" labelOnly="1" fieldPosition="0">
        <references count="2">
          <reference field="0" count="1" selected="0">
            <x v="772"/>
          </reference>
          <reference field="6" count="7">
            <x v="8"/>
            <x v="13"/>
            <x v="15"/>
            <x v="28"/>
            <x v="31"/>
            <x v="36"/>
            <x v="37"/>
          </reference>
        </references>
      </pivotArea>
    </format>
    <format dxfId="1609">
      <pivotArea dataOnly="0" labelOnly="1" fieldPosition="0">
        <references count="2">
          <reference field="0" count="1" selected="0">
            <x v="773"/>
          </reference>
          <reference field="6" count="6">
            <x v="2"/>
            <x v="8"/>
            <x v="15"/>
            <x v="28"/>
            <x v="36"/>
            <x v="37"/>
          </reference>
        </references>
      </pivotArea>
    </format>
    <format dxfId="1608">
      <pivotArea dataOnly="0" labelOnly="1" fieldPosition="0">
        <references count="2">
          <reference field="0" count="1" selected="0">
            <x v="774"/>
          </reference>
          <reference field="6" count="10">
            <x v="2"/>
            <x v="5"/>
            <x v="8"/>
            <x v="9"/>
            <x v="28"/>
            <x v="31"/>
            <x v="32"/>
            <x v="36"/>
            <x v="37"/>
            <x v="39"/>
          </reference>
        </references>
      </pivotArea>
    </format>
    <format dxfId="1607">
      <pivotArea dataOnly="0" labelOnly="1" fieldPosition="0">
        <references count="2">
          <reference field="0" count="1" selected="0">
            <x v="775"/>
          </reference>
          <reference field="6" count="9">
            <x v="1"/>
            <x v="2"/>
            <x v="8"/>
            <x v="15"/>
            <x v="17"/>
            <x v="31"/>
            <x v="35"/>
            <x v="36"/>
            <x v="37"/>
          </reference>
        </references>
      </pivotArea>
    </format>
    <format dxfId="1606">
      <pivotArea dataOnly="0" labelOnly="1" fieldPosition="0">
        <references count="2">
          <reference field="0" count="1" selected="0">
            <x v="776"/>
          </reference>
          <reference field="6" count="8">
            <x v="8"/>
            <x v="9"/>
            <x v="12"/>
            <x v="13"/>
            <x v="15"/>
            <x v="35"/>
            <x v="36"/>
            <x v="37"/>
          </reference>
        </references>
      </pivotArea>
    </format>
    <format dxfId="1605">
      <pivotArea dataOnly="0" labelOnly="1" fieldPosition="0">
        <references count="2">
          <reference field="0" count="1" selected="0">
            <x v="777"/>
          </reference>
          <reference field="6" count="6">
            <x v="10"/>
            <x v="13"/>
            <x v="31"/>
            <x v="36"/>
            <x v="37"/>
            <x v="40"/>
          </reference>
        </references>
      </pivotArea>
    </format>
    <format dxfId="1604">
      <pivotArea dataOnly="0" labelOnly="1" fieldPosition="0">
        <references count="2">
          <reference field="0" count="1" selected="0">
            <x v="778"/>
          </reference>
          <reference field="6" count="5">
            <x v="5"/>
            <x v="8"/>
            <x v="28"/>
            <x v="31"/>
            <x v="37"/>
          </reference>
        </references>
      </pivotArea>
    </format>
    <format dxfId="1603">
      <pivotArea dataOnly="0" labelOnly="1" fieldPosition="0">
        <references count="2">
          <reference field="0" count="1" selected="0">
            <x v="779"/>
          </reference>
          <reference field="6" count="7">
            <x v="5"/>
            <x v="13"/>
            <x v="15"/>
            <x v="32"/>
            <x v="35"/>
            <x v="36"/>
            <x v="37"/>
          </reference>
        </references>
      </pivotArea>
    </format>
    <format dxfId="1602">
      <pivotArea dataOnly="0" labelOnly="1" fieldPosition="0">
        <references count="2">
          <reference field="0" count="1" selected="0">
            <x v="780"/>
          </reference>
          <reference field="6" count="9">
            <x v="2"/>
            <x v="5"/>
            <x v="13"/>
            <x v="28"/>
            <x v="30"/>
            <x v="31"/>
            <x v="35"/>
            <x v="36"/>
            <x v="37"/>
          </reference>
        </references>
      </pivotArea>
    </format>
    <format dxfId="1601">
      <pivotArea dataOnly="0" labelOnly="1" fieldPosition="0">
        <references count="2">
          <reference field="0" count="1" selected="0">
            <x v="781"/>
          </reference>
          <reference field="6" count="10">
            <x v="2"/>
            <x v="8"/>
            <x v="13"/>
            <x v="15"/>
            <x v="28"/>
            <x v="31"/>
            <x v="34"/>
            <x v="35"/>
            <x v="36"/>
            <x v="37"/>
          </reference>
        </references>
      </pivotArea>
    </format>
    <format dxfId="1600">
      <pivotArea dataOnly="0" labelOnly="1" fieldPosition="0">
        <references count="2">
          <reference field="0" count="1" selected="0">
            <x v="782"/>
          </reference>
          <reference field="6" count="8">
            <x v="5"/>
            <x v="8"/>
            <x v="13"/>
            <x v="28"/>
            <x v="34"/>
            <x v="36"/>
            <x v="37"/>
            <x v="38"/>
          </reference>
        </references>
      </pivotArea>
    </format>
    <format dxfId="1599">
      <pivotArea dataOnly="0" labelOnly="1" fieldPosition="0">
        <references count="2">
          <reference field="0" count="1" selected="0">
            <x v="783"/>
          </reference>
          <reference field="6" count="8">
            <x v="2"/>
            <x v="5"/>
            <x v="8"/>
            <x v="13"/>
            <x v="32"/>
            <x v="36"/>
            <x v="37"/>
            <x v="41"/>
          </reference>
        </references>
      </pivotArea>
    </format>
    <format dxfId="1598">
      <pivotArea dataOnly="0" labelOnly="1" fieldPosition="0">
        <references count="2">
          <reference field="0" count="1" selected="0">
            <x v="784"/>
          </reference>
          <reference field="6" count="12">
            <x v="2"/>
            <x v="3"/>
            <x v="5"/>
            <x v="8"/>
            <x v="9"/>
            <x v="12"/>
            <x v="13"/>
            <x v="15"/>
            <x v="28"/>
            <x v="31"/>
            <x v="36"/>
            <x v="37"/>
          </reference>
        </references>
      </pivotArea>
    </format>
    <format dxfId="1597">
      <pivotArea dataOnly="0" labelOnly="1" fieldPosition="0">
        <references count="2">
          <reference field="0" count="1" selected="0">
            <x v="785"/>
          </reference>
          <reference field="6" count="11">
            <x v="5"/>
            <x v="8"/>
            <x v="10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596">
      <pivotArea dataOnly="0" labelOnly="1" fieldPosition="0">
        <references count="2">
          <reference field="0" count="1" selected="0">
            <x v="786"/>
          </reference>
          <reference field="6" count="8">
            <x v="5"/>
            <x v="8"/>
            <x v="13"/>
            <x v="15"/>
            <x v="28"/>
            <x v="35"/>
            <x v="36"/>
            <x v="37"/>
          </reference>
        </references>
      </pivotArea>
    </format>
    <format dxfId="1595">
      <pivotArea dataOnly="0" labelOnly="1" fieldPosition="0">
        <references count="2">
          <reference field="0" count="1" selected="0">
            <x v="787"/>
          </reference>
          <reference field="6" count="6">
            <x v="8"/>
            <x v="13"/>
            <x v="28"/>
            <x v="35"/>
            <x v="36"/>
            <x v="39"/>
          </reference>
        </references>
      </pivotArea>
    </format>
    <format dxfId="1594">
      <pivotArea dataOnly="0" labelOnly="1" fieldPosition="0">
        <references count="2">
          <reference field="0" count="1" selected="0">
            <x v="788"/>
          </reference>
          <reference field="6" count="10">
            <x v="8"/>
            <x v="13"/>
            <x v="15"/>
            <x v="23"/>
            <x v="27"/>
            <x v="28"/>
            <x v="31"/>
            <x v="35"/>
            <x v="36"/>
            <x v="37"/>
          </reference>
        </references>
      </pivotArea>
    </format>
    <format dxfId="1593">
      <pivotArea dataOnly="0" labelOnly="1" fieldPosition="0">
        <references count="2">
          <reference field="0" count="1" selected="0">
            <x v="789"/>
          </reference>
          <reference field="6" count="12">
            <x v="0"/>
            <x v="2"/>
            <x v="5"/>
            <x v="8"/>
            <x v="13"/>
            <x v="15"/>
            <x v="31"/>
            <x v="34"/>
            <x v="35"/>
            <x v="36"/>
            <x v="37"/>
            <x v="40"/>
          </reference>
        </references>
      </pivotArea>
    </format>
    <format dxfId="1592">
      <pivotArea dataOnly="0" labelOnly="1" fieldPosition="0">
        <references count="2">
          <reference field="0" count="1" selected="0">
            <x v="790"/>
          </reference>
          <reference field="6" count="10">
            <x v="5"/>
            <x v="8"/>
            <x v="13"/>
            <x v="14"/>
            <x v="15"/>
            <x v="28"/>
            <x v="32"/>
            <x v="35"/>
            <x v="36"/>
            <x v="37"/>
          </reference>
        </references>
      </pivotArea>
    </format>
    <format dxfId="1591">
      <pivotArea dataOnly="0" labelOnly="1" fieldPosition="0">
        <references count="2">
          <reference field="0" count="1" selected="0">
            <x v="791"/>
          </reference>
          <reference field="6" count="10">
            <x v="3"/>
            <x v="4"/>
            <x v="8"/>
            <x v="13"/>
            <x v="28"/>
            <x v="31"/>
            <x v="35"/>
            <x v="36"/>
            <x v="37"/>
            <x v="40"/>
          </reference>
        </references>
      </pivotArea>
    </format>
    <format dxfId="1590">
      <pivotArea dataOnly="0" labelOnly="1" fieldPosition="0">
        <references count="2">
          <reference field="0" count="1" selected="0">
            <x v="792"/>
          </reference>
          <reference field="6" count="6">
            <x v="13"/>
            <x v="20"/>
            <x v="28"/>
            <x v="35"/>
            <x v="36"/>
            <x v="37"/>
          </reference>
        </references>
      </pivotArea>
    </format>
    <format dxfId="1589">
      <pivotArea dataOnly="0" labelOnly="1" fieldPosition="0">
        <references count="2">
          <reference field="0" count="1" selected="0">
            <x v="793"/>
          </reference>
          <reference field="6" count="7">
            <x v="8"/>
            <x v="13"/>
            <x v="28"/>
            <x v="31"/>
            <x v="35"/>
            <x v="36"/>
            <x v="37"/>
          </reference>
        </references>
      </pivotArea>
    </format>
    <format dxfId="1588">
      <pivotArea dataOnly="0" labelOnly="1" fieldPosition="0">
        <references count="2">
          <reference field="0" count="1" selected="0">
            <x v="794"/>
          </reference>
          <reference field="6" count="9">
            <x v="8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587">
      <pivotArea dataOnly="0" labelOnly="1" fieldPosition="0">
        <references count="2">
          <reference field="0" count="1" selected="0">
            <x v="795"/>
          </reference>
          <reference field="6" count="11">
            <x v="2"/>
            <x v="3"/>
            <x v="8"/>
            <x v="12"/>
            <x v="13"/>
            <x v="15"/>
            <x v="28"/>
            <x v="32"/>
            <x v="35"/>
            <x v="36"/>
            <x v="37"/>
          </reference>
        </references>
      </pivotArea>
    </format>
    <format dxfId="1586">
      <pivotArea dataOnly="0" labelOnly="1" fieldPosition="0">
        <references count="2">
          <reference field="0" count="1" selected="0">
            <x v="796"/>
          </reference>
          <reference field="6" count="10">
            <x v="2"/>
            <x v="4"/>
            <x v="8"/>
            <x v="10"/>
            <x v="13"/>
            <x v="17"/>
            <x v="32"/>
            <x v="35"/>
            <x v="36"/>
            <x v="40"/>
          </reference>
        </references>
      </pivotArea>
    </format>
    <format dxfId="1585">
      <pivotArea dataOnly="0" labelOnly="1" fieldPosition="0">
        <references count="2">
          <reference field="0" count="1" selected="0">
            <x v="797"/>
          </reference>
          <reference field="6" count="8">
            <x v="5"/>
            <x v="8"/>
            <x v="12"/>
            <x v="13"/>
            <x v="15"/>
            <x v="35"/>
            <x v="36"/>
            <x v="37"/>
          </reference>
        </references>
      </pivotArea>
    </format>
    <format dxfId="1584">
      <pivotArea dataOnly="0" labelOnly="1" fieldPosition="0">
        <references count="2">
          <reference field="0" count="1" selected="0">
            <x v="798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583">
      <pivotArea dataOnly="0" labelOnly="1" fieldPosition="0">
        <references count="2">
          <reference field="0" count="1" selected="0">
            <x v="799"/>
          </reference>
          <reference field="6" count="8">
            <x v="8"/>
            <x v="13"/>
            <x v="15"/>
            <x v="28"/>
            <x v="32"/>
            <x v="35"/>
            <x v="36"/>
            <x v="37"/>
          </reference>
        </references>
      </pivotArea>
    </format>
    <format dxfId="1582">
      <pivotArea dataOnly="0" labelOnly="1" fieldPosition="0">
        <references count="2">
          <reference field="0" count="1" selected="0">
            <x v="800"/>
          </reference>
          <reference field="6" count="6">
            <x v="8"/>
            <x v="10"/>
            <x v="13"/>
            <x v="35"/>
            <x v="36"/>
            <x v="37"/>
          </reference>
        </references>
      </pivotArea>
    </format>
    <format dxfId="1581">
      <pivotArea dataOnly="0" labelOnly="1" fieldPosition="0">
        <references count="2">
          <reference field="0" count="1" selected="0">
            <x v="801"/>
          </reference>
          <reference field="6" count="7">
            <x v="8"/>
            <x v="13"/>
            <x v="15"/>
            <x v="28"/>
            <x v="35"/>
            <x v="36"/>
            <x v="39"/>
          </reference>
        </references>
      </pivotArea>
    </format>
    <format dxfId="1580">
      <pivotArea dataOnly="0" labelOnly="1" fieldPosition="0">
        <references count="2">
          <reference field="0" count="1" selected="0">
            <x v="802"/>
          </reference>
          <reference field="6" count="7">
            <x v="8"/>
            <x v="13"/>
            <x v="15"/>
            <x v="24"/>
            <x v="35"/>
            <x v="36"/>
            <x v="37"/>
          </reference>
        </references>
      </pivotArea>
    </format>
    <format dxfId="1579">
      <pivotArea dataOnly="0" labelOnly="1" fieldPosition="0">
        <references count="2">
          <reference field="0" count="1" selected="0">
            <x v="803"/>
          </reference>
          <reference field="6" count="11">
            <x v="8"/>
            <x v="11"/>
            <x v="13"/>
            <x v="15"/>
            <x v="19"/>
            <x v="28"/>
            <x v="31"/>
            <x v="35"/>
            <x v="36"/>
            <x v="37"/>
            <x v="40"/>
          </reference>
        </references>
      </pivotArea>
    </format>
    <format dxfId="1578">
      <pivotArea dataOnly="0" labelOnly="1" fieldPosition="0">
        <references count="2">
          <reference field="0" count="1" selected="0">
            <x v="804"/>
          </reference>
          <reference field="6" count="8">
            <x v="8"/>
            <x v="13"/>
            <x v="15"/>
            <x v="24"/>
            <x v="32"/>
            <x v="35"/>
            <x v="36"/>
            <x v="37"/>
          </reference>
        </references>
      </pivotArea>
    </format>
    <format dxfId="1577">
      <pivotArea dataOnly="0" labelOnly="1" fieldPosition="0">
        <references count="2">
          <reference field="0" count="1" selected="0">
            <x v="805"/>
          </reference>
          <reference field="6" count="10">
            <x v="1"/>
            <x v="8"/>
            <x v="13"/>
            <x v="15"/>
            <x v="17"/>
            <x v="20"/>
            <x v="31"/>
            <x v="35"/>
            <x v="36"/>
            <x v="37"/>
          </reference>
        </references>
      </pivotArea>
    </format>
    <format dxfId="1576">
      <pivotArea dataOnly="0" labelOnly="1" fieldPosition="0">
        <references count="2">
          <reference field="0" count="1" selected="0">
            <x v="806"/>
          </reference>
          <reference field="6" count="11">
            <x v="0"/>
            <x v="2"/>
            <x v="3"/>
            <x v="8"/>
            <x v="13"/>
            <x v="17"/>
            <x v="28"/>
            <x v="31"/>
            <x v="35"/>
            <x v="36"/>
            <x v="39"/>
          </reference>
        </references>
      </pivotArea>
    </format>
    <format dxfId="1575">
      <pivotArea dataOnly="0" labelOnly="1" fieldPosition="0">
        <references count="2">
          <reference field="0" count="1" selected="0">
            <x v="80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574">
      <pivotArea dataOnly="0" labelOnly="1" fieldPosition="0">
        <references count="2">
          <reference field="0" count="1" selected="0">
            <x v="808"/>
          </reference>
          <reference field="6" count="5">
            <x v="8"/>
            <x v="13"/>
            <x v="15"/>
            <x v="35"/>
            <x v="36"/>
          </reference>
        </references>
      </pivotArea>
    </format>
    <format dxfId="1573">
      <pivotArea dataOnly="0" labelOnly="1" fieldPosition="0">
        <references count="2">
          <reference field="0" count="1" selected="0">
            <x v="809"/>
          </reference>
          <reference field="6" count="6">
            <x v="8"/>
            <x v="28"/>
            <x v="31"/>
            <x v="35"/>
            <x v="36"/>
            <x v="37"/>
          </reference>
        </references>
      </pivotArea>
    </format>
    <format dxfId="1572">
      <pivotArea dataOnly="0" labelOnly="1" fieldPosition="0">
        <references count="2">
          <reference field="0" count="1" selected="0">
            <x v="810"/>
          </reference>
          <reference field="6" count="6">
            <x v="13"/>
            <x v="15"/>
            <x v="31"/>
            <x v="35"/>
            <x v="36"/>
            <x v="37"/>
          </reference>
        </references>
      </pivotArea>
    </format>
    <format dxfId="1571">
      <pivotArea dataOnly="0" labelOnly="1" fieldPosition="0">
        <references count="2">
          <reference field="0" count="1" selected="0">
            <x v="811"/>
          </reference>
          <reference field="6" count="8">
            <x v="4"/>
            <x v="8"/>
            <x v="13"/>
            <x v="31"/>
            <x v="32"/>
            <x v="35"/>
            <x v="36"/>
            <x v="37"/>
          </reference>
        </references>
      </pivotArea>
    </format>
    <format dxfId="1570">
      <pivotArea dataOnly="0" labelOnly="1" fieldPosition="0">
        <references count="2">
          <reference field="0" count="1" selected="0">
            <x v="812"/>
          </reference>
          <reference field="6" count="8">
            <x v="2"/>
            <x v="8"/>
            <x v="10"/>
            <x v="12"/>
            <x v="28"/>
            <x v="31"/>
            <x v="35"/>
            <x v="36"/>
          </reference>
        </references>
      </pivotArea>
    </format>
    <format dxfId="1569">
      <pivotArea dataOnly="0" labelOnly="1" fieldPosition="0">
        <references count="2">
          <reference field="0" count="1" selected="0">
            <x v="813"/>
          </reference>
          <reference field="6" count="10">
            <x v="3"/>
            <x v="5"/>
            <x v="8"/>
            <x v="13"/>
            <x v="15"/>
            <x v="35"/>
            <x v="36"/>
            <x v="37"/>
            <x v="40"/>
            <x v="41"/>
          </reference>
        </references>
      </pivotArea>
    </format>
    <format dxfId="1568">
      <pivotArea dataOnly="0" labelOnly="1" fieldPosition="0">
        <references count="2">
          <reference field="0" count="1" selected="0">
            <x v="814"/>
          </reference>
          <reference field="6" count="10">
            <x v="8"/>
            <x v="12"/>
            <x v="13"/>
            <x v="15"/>
            <x v="28"/>
            <x v="31"/>
            <x v="35"/>
            <x v="36"/>
            <x v="37"/>
            <x v="40"/>
          </reference>
        </references>
      </pivotArea>
    </format>
    <format dxfId="1567">
      <pivotArea dataOnly="0" labelOnly="1" fieldPosition="0">
        <references count="2">
          <reference field="0" count="1" selected="0">
            <x v="815"/>
          </reference>
          <reference field="6" count="12">
            <x v="2"/>
            <x v="8"/>
            <x v="10"/>
            <x v="13"/>
            <x v="15"/>
            <x v="17"/>
            <x v="31"/>
            <x v="35"/>
            <x v="36"/>
            <x v="37"/>
            <x v="39"/>
            <x v="40"/>
          </reference>
        </references>
      </pivotArea>
    </format>
    <format dxfId="1566">
      <pivotArea dataOnly="0" labelOnly="1" fieldPosition="0">
        <references count="2">
          <reference field="0" count="1" selected="0">
            <x v="816"/>
          </reference>
          <reference field="6" count="9">
            <x v="8"/>
            <x v="13"/>
            <x v="32"/>
            <x v="33"/>
            <x v="35"/>
            <x v="36"/>
            <x v="37"/>
            <x v="39"/>
            <x v="40"/>
          </reference>
        </references>
      </pivotArea>
    </format>
    <format dxfId="1565">
      <pivotArea dataOnly="0" labelOnly="1" fieldPosition="0">
        <references count="2">
          <reference field="0" count="1" selected="0">
            <x v="817"/>
          </reference>
          <reference field="6" count="11">
            <x v="2"/>
            <x v="8"/>
            <x v="10"/>
            <x v="11"/>
            <x v="13"/>
            <x v="17"/>
            <x v="18"/>
            <x v="28"/>
            <x v="35"/>
            <x v="36"/>
            <x v="37"/>
          </reference>
        </references>
      </pivotArea>
    </format>
    <format dxfId="1564">
      <pivotArea dataOnly="0" labelOnly="1" fieldPosition="0">
        <references count="2">
          <reference field="0" count="1" selected="0">
            <x v="818"/>
          </reference>
          <reference field="6" count="9">
            <x v="4"/>
            <x v="8"/>
            <x v="13"/>
            <x v="15"/>
            <x v="28"/>
            <x v="31"/>
            <x v="35"/>
            <x v="36"/>
            <x v="37"/>
          </reference>
        </references>
      </pivotArea>
    </format>
    <format dxfId="1563">
      <pivotArea dataOnly="0" labelOnly="1" fieldPosition="0">
        <references count="2">
          <reference field="0" count="1" selected="0">
            <x v="819"/>
          </reference>
          <reference field="6" count="10">
            <x v="13"/>
            <x v="14"/>
            <x v="20"/>
            <x v="27"/>
            <x v="28"/>
            <x v="31"/>
            <x v="33"/>
            <x v="35"/>
            <x v="36"/>
            <x v="37"/>
          </reference>
        </references>
      </pivotArea>
    </format>
    <format dxfId="1562">
      <pivotArea dataOnly="0" labelOnly="1" fieldPosition="0">
        <references count="2">
          <reference field="0" count="1" selected="0">
            <x v="820"/>
          </reference>
          <reference field="6" count="13">
            <x v="2"/>
            <x v="8"/>
            <x v="10"/>
            <x v="11"/>
            <x v="12"/>
            <x v="13"/>
            <x v="15"/>
            <x v="20"/>
            <x v="28"/>
            <x v="31"/>
            <x v="35"/>
            <x v="36"/>
            <x v="40"/>
          </reference>
        </references>
      </pivotArea>
    </format>
    <format dxfId="1561">
      <pivotArea dataOnly="0" labelOnly="1" fieldPosition="0">
        <references count="2">
          <reference field="0" count="1" selected="0">
            <x v="821"/>
          </reference>
          <reference field="6" count="7">
            <x v="13"/>
            <x v="15"/>
            <x v="31"/>
            <x v="32"/>
            <x v="35"/>
            <x v="36"/>
            <x v="37"/>
          </reference>
        </references>
      </pivotArea>
    </format>
    <format dxfId="1560">
      <pivotArea dataOnly="0" labelOnly="1" fieldPosition="0">
        <references count="2">
          <reference field="0" count="1" selected="0">
            <x v="822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559">
      <pivotArea dataOnly="0" labelOnly="1" fieldPosition="0">
        <references count="2">
          <reference field="0" count="1" selected="0">
            <x v="823"/>
          </reference>
          <reference field="6" count="14">
            <x v="5"/>
            <x v="8"/>
            <x v="10"/>
            <x v="12"/>
            <x v="13"/>
            <x v="15"/>
            <x v="16"/>
            <x v="17"/>
            <x v="28"/>
            <x v="31"/>
            <x v="35"/>
            <x v="36"/>
            <x v="37"/>
            <x v="40"/>
          </reference>
        </references>
      </pivotArea>
    </format>
    <format dxfId="1558">
      <pivotArea dataOnly="0" labelOnly="1" fieldPosition="0">
        <references count="2">
          <reference field="0" count="1" selected="0">
            <x v="824"/>
          </reference>
          <reference field="6" count="10">
            <x v="4"/>
            <x v="8"/>
            <x v="13"/>
            <x v="15"/>
            <x v="24"/>
            <x v="25"/>
            <x v="28"/>
            <x v="31"/>
            <x v="35"/>
            <x v="36"/>
          </reference>
        </references>
      </pivotArea>
    </format>
    <format dxfId="1557">
      <pivotArea dataOnly="0" labelOnly="1" fieldPosition="0">
        <references count="2">
          <reference field="0" count="1" selected="0">
            <x v="825"/>
          </reference>
          <reference field="6" count="10">
            <x v="5"/>
            <x v="8"/>
            <x v="12"/>
            <x v="13"/>
            <x v="15"/>
            <x v="25"/>
            <x v="28"/>
            <x v="35"/>
            <x v="36"/>
            <x v="37"/>
          </reference>
        </references>
      </pivotArea>
    </format>
    <format dxfId="1556">
      <pivotArea dataOnly="0" labelOnly="1" fieldPosition="0">
        <references count="2">
          <reference field="0" count="1" selected="0">
            <x v="826"/>
          </reference>
          <reference field="6" count="10">
            <x v="0"/>
            <x v="7"/>
            <x v="8"/>
            <x v="13"/>
            <x v="28"/>
            <x v="31"/>
            <x v="32"/>
            <x v="35"/>
            <x v="36"/>
            <x v="38"/>
          </reference>
        </references>
      </pivotArea>
    </format>
    <format dxfId="1555">
      <pivotArea dataOnly="0" labelOnly="1" fieldPosition="0">
        <references count="2">
          <reference field="0" count="1" selected="0">
            <x v="827"/>
          </reference>
          <reference field="6" count="6">
            <x v="8"/>
            <x v="13"/>
            <x v="27"/>
            <x v="31"/>
            <x v="36"/>
            <x v="37"/>
          </reference>
        </references>
      </pivotArea>
    </format>
    <format dxfId="1554">
      <pivotArea dataOnly="0" labelOnly="1" fieldPosition="0">
        <references count="2">
          <reference field="0" count="1" selected="0">
            <x v="828"/>
          </reference>
          <reference field="6" count="6">
            <x v="5"/>
            <x v="8"/>
            <x v="13"/>
            <x v="22"/>
            <x v="31"/>
            <x v="36"/>
          </reference>
        </references>
      </pivotArea>
    </format>
    <format dxfId="1553">
      <pivotArea dataOnly="0" labelOnly="1" fieldPosition="0">
        <references count="2">
          <reference field="0" count="1" selected="0">
            <x v="829"/>
          </reference>
          <reference field="6" count="9">
            <x v="3"/>
            <x v="7"/>
            <x v="8"/>
            <x v="13"/>
            <x v="15"/>
            <x v="31"/>
            <x v="36"/>
            <x v="37"/>
            <x v="39"/>
          </reference>
        </references>
      </pivotArea>
    </format>
    <format dxfId="1552">
      <pivotArea dataOnly="0" labelOnly="1" fieldPosition="0">
        <references count="2">
          <reference field="0" count="1" selected="0">
            <x v="830"/>
          </reference>
          <reference field="6" count="8">
            <x v="5"/>
            <x v="8"/>
            <x v="11"/>
            <x v="13"/>
            <x v="28"/>
            <x v="31"/>
            <x v="36"/>
            <x v="37"/>
          </reference>
        </references>
      </pivotArea>
    </format>
    <format dxfId="1551">
      <pivotArea dataOnly="0" labelOnly="1" fieldPosition="0">
        <references count="2">
          <reference field="0" count="1" selected="0">
            <x v="831"/>
          </reference>
          <reference field="6" count="8">
            <x v="8"/>
            <x v="13"/>
            <x v="15"/>
            <x v="17"/>
            <x v="28"/>
            <x v="36"/>
            <x v="37"/>
            <x v="40"/>
          </reference>
        </references>
      </pivotArea>
    </format>
    <format dxfId="1550">
      <pivotArea dataOnly="0" labelOnly="1" fieldPosition="0">
        <references count="2">
          <reference field="0" count="1" selected="0">
            <x v="832"/>
          </reference>
          <reference field="6" count="11">
            <x v="8"/>
            <x v="13"/>
            <x v="15"/>
            <x v="27"/>
            <x v="28"/>
            <x v="31"/>
            <x v="32"/>
            <x v="35"/>
            <x v="36"/>
            <x v="37"/>
            <x v="39"/>
          </reference>
        </references>
      </pivotArea>
    </format>
    <format dxfId="1549">
      <pivotArea dataOnly="0" labelOnly="1" fieldPosition="0">
        <references count="2">
          <reference field="0" count="1" selected="0">
            <x v="833"/>
          </reference>
          <reference field="6" count="7">
            <x v="13"/>
            <x v="22"/>
            <x v="28"/>
            <x v="36"/>
            <x v="37"/>
            <x v="39"/>
            <x v="40"/>
          </reference>
        </references>
      </pivotArea>
    </format>
    <format dxfId="1548">
      <pivotArea dataOnly="0" labelOnly="1" fieldPosition="0">
        <references count="2">
          <reference field="0" count="1" selected="0">
            <x v="834"/>
          </reference>
          <reference field="6" count="10">
            <x v="5"/>
            <x v="8"/>
            <x v="11"/>
            <x v="13"/>
            <x v="15"/>
            <x v="28"/>
            <x v="31"/>
            <x v="36"/>
            <x v="37"/>
            <x v="39"/>
          </reference>
        </references>
      </pivotArea>
    </format>
    <format dxfId="1547">
      <pivotArea dataOnly="0" labelOnly="1" fieldPosition="0">
        <references count="2">
          <reference field="0" count="1" selected="0">
            <x v="835"/>
          </reference>
          <reference field="6" count="8">
            <x v="1"/>
            <x v="13"/>
            <x v="21"/>
            <x v="28"/>
            <x v="31"/>
            <x v="36"/>
            <x v="37"/>
            <x v="40"/>
          </reference>
        </references>
      </pivotArea>
    </format>
    <format dxfId="1546">
      <pivotArea dataOnly="0" labelOnly="1" fieldPosition="0">
        <references count="2">
          <reference field="0" count="1" selected="0">
            <x v="836"/>
          </reference>
          <reference field="6" count="13">
            <x v="8"/>
            <x v="11"/>
            <x v="13"/>
            <x v="15"/>
            <x v="19"/>
            <x v="22"/>
            <x v="25"/>
            <x v="28"/>
            <x v="32"/>
            <x v="35"/>
            <x v="36"/>
            <x v="39"/>
            <x v="40"/>
          </reference>
        </references>
      </pivotArea>
    </format>
    <format dxfId="1545">
      <pivotArea dataOnly="0" labelOnly="1" fieldPosition="0">
        <references count="2">
          <reference field="0" count="1" selected="0">
            <x v="837"/>
          </reference>
          <reference field="6" count="10">
            <x v="8"/>
            <x v="13"/>
            <x v="15"/>
            <x v="17"/>
            <x v="20"/>
            <x v="28"/>
            <x v="31"/>
            <x v="35"/>
            <x v="36"/>
            <x v="37"/>
          </reference>
        </references>
      </pivotArea>
    </format>
    <format dxfId="1544">
      <pivotArea dataOnly="0" labelOnly="1" fieldPosition="0">
        <references count="2">
          <reference field="0" count="1" selected="0">
            <x v="838"/>
          </reference>
          <reference field="6" count="8">
            <x v="8"/>
            <x v="13"/>
            <x v="19"/>
            <x v="31"/>
            <x v="33"/>
            <x v="35"/>
            <x v="36"/>
            <x v="37"/>
          </reference>
        </references>
      </pivotArea>
    </format>
    <format dxfId="1543">
      <pivotArea dataOnly="0" labelOnly="1" fieldPosition="0">
        <references count="2">
          <reference field="0" count="1" selected="0">
            <x v="839"/>
          </reference>
          <reference field="6" count="9">
            <x v="5"/>
            <x v="13"/>
            <x v="15"/>
            <x v="20"/>
            <x v="28"/>
            <x v="32"/>
            <x v="33"/>
            <x v="36"/>
            <x v="37"/>
          </reference>
        </references>
      </pivotArea>
    </format>
    <format dxfId="1542">
      <pivotArea dataOnly="0" labelOnly="1" fieldPosition="0">
        <references count="2">
          <reference field="0" count="1" selected="0">
            <x v="840"/>
          </reference>
          <reference field="6" count="10">
            <x v="8"/>
            <x v="13"/>
            <x v="17"/>
            <x v="24"/>
            <x v="28"/>
            <x v="31"/>
            <x v="32"/>
            <x v="35"/>
            <x v="36"/>
            <x v="37"/>
          </reference>
        </references>
      </pivotArea>
    </format>
    <format dxfId="1541">
      <pivotArea dataOnly="0" labelOnly="1" fieldPosition="0">
        <references count="2">
          <reference field="0" count="1" selected="0">
            <x v="841"/>
          </reference>
          <reference field="6" count="8">
            <x v="8"/>
            <x v="13"/>
            <x v="22"/>
            <x v="28"/>
            <x v="35"/>
            <x v="36"/>
            <x v="37"/>
            <x v="41"/>
          </reference>
        </references>
      </pivotArea>
    </format>
    <format dxfId="1540">
      <pivotArea dataOnly="0" labelOnly="1" fieldPosition="0">
        <references count="2">
          <reference field="0" count="1" selected="0">
            <x v="842"/>
          </reference>
          <reference field="6" count="5">
            <x v="13"/>
            <x v="31"/>
            <x v="35"/>
            <x v="36"/>
            <x v="40"/>
          </reference>
        </references>
      </pivotArea>
    </format>
    <format dxfId="1539">
      <pivotArea dataOnly="0" labelOnly="1" fieldPosition="0">
        <references count="2">
          <reference field="0" count="1" selected="0">
            <x v="843"/>
          </reference>
          <reference field="6" count="8">
            <x v="8"/>
            <x v="13"/>
            <x v="22"/>
            <x v="28"/>
            <x v="31"/>
            <x v="35"/>
            <x v="36"/>
            <x v="37"/>
          </reference>
        </references>
      </pivotArea>
    </format>
    <format dxfId="1538">
      <pivotArea dataOnly="0" labelOnly="1" fieldPosition="0">
        <references count="2">
          <reference field="0" count="1" selected="0">
            <x v="844"/>
          </reference>
          <reference field="6" count="8">
            <x v="3"/>
            <x v="8"/>
            <x v="13"/>
            <x v="24"/>
            <x v="35"/>
            <x v="36"/>
            <x v="37"/>
            <x v="38"/>
          </reference>
        </references>
      </pivotArea>
    </format>
    <format dxfId="1537">
      <pivotArea dataOnly="0" labelOnly="1" fieldPosition="0">
        <references count="2">
          <reference field="0" count="1" selected="0">
            <x v="845"/>
          </reference>
          <reference field="6" count="9">
            <x v="12"/>
            <x v="13"/>
            <x v="15"/>
            <x v="28"/>
            <x v="31"/>
            <x v="32"/>
            <x v="35"/>
            <x v="36"/>
            <x v="37"/>
          </reference>
        </references>
      </pivotArea>
    </format>
    <format dxfId="1536">
      <pivotArea dataOnly="0" labelOnly="1" fieldPosition="0">
        <references count="2">
          <reference field="0" count="1" selected="0">
            <x v="846"/>
          </reference>
          <reference field="6" count="7">
            <x v="3"/>
            <x v="8"/>
            <x v="13"/>
            <x v="15"/>
            <x v="31"/>
            <x v="35"/>
            <x v="36"/>
          </reference>
        </references>
      </pivotArea>
    </format>
    <format dxfId="1535">
      <pivotArea dataOnly="0" labelOnly="1" fieldPosition="0">
        <references count="2">
          <reference field="0" count="1" selected="0">
            <x v="847"/>
          </reference>
          <reference field="6" count="10">
            <x v="3"/>
            <x v="5"/>
            <x v="8"/>
            <x v="13"/>
            <x v="22"/>
            <x v="30"/>
            <x v="35"/>
            <x v="36"/>
            <x v="37"/>
            <x v="40"/>
          </reference>
        </references>
      </pivotArea>
    </format>
    <format dxfId="1534">
      <pivotArea dataOnly="0" labelOnly="1" fieldPosition="0">
        <references count="2">
          <reference field="0" count="1" selected="0">
            <x v="848"/>
          </reference>
          <reference field="6" count="8">
            <x v="13"/>
            <x v="15"/>
            <x v="21"/>
            <x v="28"/>
            <x v="31"/>
            <x v="35"/>
            <x v="36"/>
            <x v="37"/>
          </reference>
        </references>
      </pivotArea>
    </format>
    <format dxfId="1533">
      <pivotArea dataOnly="0" labelOnly="1" fieldPosition="0">
        <references count="2">
          <reference field="0" count="1" selected="0">
            <x v="849"/>
          </reference>
          <reference field="6" count="9">
            <x v="5"/>
            <x v="8"/>
            <x v="13"/>
            <x v="14"/>
            <x v="15"/>
            <x v="24"/>
            <x v="35"/>
            <x v="36"/>
            <x v="37"/>
          </reference>
        </references>
      </pivotArea>
    </format>
    <format dxfId="1532">
      <pivotArea dataOnly="0" labelOnly="1" fieldPosition="0">
        <references count="2">
          <reference field="0" count="1" selected="0">
            <x v="850"/>
          </reference>
          <reference field="6" count="10">
            <x v="5"/>
            <x v="8"/>
            <x v="12"/>
            <x v="13"/>
            <x v="28"/>
            <x v="32"/>
            <x v="35"/>
            <x v="36"/>
            <x v="37"/>
            <x v="40"/>
          </reference>
        </references>
      </pivotArea>
    </format>
    <format dxfId="1531">
      <pivotArea dataOnly="0" labelOnly="1" fieldPosition="0">
        <references count="2">
          <reference field="0" count="1" selected="0">
            <x v="851"/>
          </reference>
          <reference field="6" count="10">
            <x v="0"/>
            <x v="4"/>
            <x v="5"/>
            <x v="8"/>
            <x v="13"/>
            <x v="28"/>
            <x v="31"/>
            <x v="35"/>
            <x v="36"/>
            <x v="37"/>
          </reference>
        </references>
      </pivotArea>
    </format>
    <format dxfId="1530">
      <pivotArea dataOnly="0" labelOnly="1" fieldPosition="0">
        <references count="2">
          <reference field="0" count="1" selected="0">
            <x v="852"/>
          </reference>
          <reference field="6" count="10">
            <x v="5"/>
            <x v="8"/>
            <x v="9"/>
            <x v="13"/>
            <x v="22"/>
            <x v="28"/>
            <x v="31"/>
            <x v="35"/>
            <x v="36"/>
            <x v="37"/>
          </reference>
        </references>
      </pivotArea>
    </format>
    <format dxfId="1529">
      <pivotArea dataOnly="0" labelOnly="1" fieldPosition="0">
        <references count="2">
          <reference field="0" count="1" selected="0">
            <x v="853"/>
          </reference>
          <reference field="6" count="8">
            <x v="8"/>
            <x v="10"/>
            <x v="13"/>
            <x v="24"/>
            <x v="28"/>
            <x v="35"/>
            <x v="36"/>
            <x v="37"/>
          </reference>
        </references>
      </pivotArea>
    </format>
    <format dxfId="1528">
      <pivotArea dataOnly="0" labelOnly="1" fieldPosition="0">
        <references count="2">
          <reference field="0" count="1" selected="0">
            <x v="854"/>
          </reference>
          <reference field="6" count="6">
            <x v="5"/>
            <x v="13"/>
            <x v="31"/>
            <x v="35"/>
            <x v="36"/>
            <x v="37"/>
          </reference>
        </references>
      </pivotArea>
    </format>
    <format dxfId="1527">
      <pivotArea dataOnly="0" labelOnly="1" fieldPosition="0">
        <references count="2">
          <reference field="0" count="1" selected="0">
            <x v="855"/>
          </reference>
          <reference field="6" count="6">
            <x v="13"/>
            <x v="15"/>
            <x v="28"/>
            <x v="31"/>
            <x v="35"/>
            <x v="36"/>
          </reference>
        </references>
      </pivotArea>
    </format>
    <format dxfId="1526">
      <pivotArea dataOnly="0" labelOnly="1" fieldPosition="0">
        <references count="2">
          <reference field="0" count="1" selected="0">
            <x v="856"/>
          </reference>
          <reference field="6" count="9">
            <x v="5"/>
            <x v="13"/>
            <x v="27"/>
            <x v="31"/>
            <x v="32"/>
            <x v="35"/>
            <x v="36"/>
            <x v="37"/>
            <x v="40"/>
          </reference>
        </references>
      </pivotArea>
    </format>
    <format dxfId="1525">
      <pivotArea dataOnly="0" labelOnly="1" fieldPosition="0">
        <references count="2">
          <reference field="0" count="1" selected="0">
            <x v="857"/>
          </reference>
          <reference field="6" count="8">
            <x v="3"/>
            <x v="8"/>
            <x v="13"/>
            <x v="22"/>
            <x v="31"/>
            <x v="35"/>
            <x v="36"/>
            <x v="37"/>
          </reference>
        </references>
      </pivotArea>
    </format>
    <format dxfId="1524">
      <pivotArea dataOnly="0" labelOnly="1" fieldPosition="0">
        <references count="2">
          <reference field="0" count="1" selected="0">
            <x v="858"/>
          </reference>
          <reference field="6" count="9">
            <x v="5"/>
            <x v="7"/>
            <x v="8"/>
            <x v="13"/>
            <x v="15"/>
            <x v="21"/>
            <x v="35"/>
            <x v="36"/>
            <x v="39"/>
          </reference>
        </references>
      </pivotArea>
    </format>
    <format dxfId="1523">
      <pivotArea dataOnly="0" labelOnly="1" fieldPosition="0">
        <references count="2">
          <reference field="0" count="1" selected="0">
            <x v="859"/>
          </reference>
          <reference field="6" count="8">
            <x v="5"/>
            <x v="6"/>
            <x v="7"/>
            <x v="8"/>
            <x v="13"/>
            <x v="15"/>
            <x v="35"/>
            <x v="37"/>
          </reference>
        </references>
      </pivotArea>
    </format>
    <format dxfId="1522">
      <pivotArea dataOnly="0" labelOnly="1" fieldPosition="0">
        <references count="2">
          <reference field="0" count="1" selected="0">
            <x v="860"/>
          </reference>
          <reference field="6" count="7">
            <x v="5"/>
            <x v="8"/>
            <x v="22"/>
            <x v="33"/>
            <x v="35"/>
            <x v="36"/>
            <x v="37"/>
          </reference>
        </references>
      </pivotArea>
    </format>
    <format dxfId="1521">
      <pivotArea dataOnly="0" labelOnly="1" fieldPosition="0">
        <references count="2">
          <reference field="0" count="1" selected="0">
            <x v="861"/>
          </reference>
          <reference field="6" count="6">
            <x v="8"/>
            <x v="13"/>
            <x v="32"/>
            <x v="35"/>
            <x v="36"/>
            <x v="37"/>
          </reference>
        </references>
      </pivotArea>
    </format>
    <format dxfId="1520">
      <pivotArea dataOnly="0" labelOnly="1" fieldPosition="0">
        <references count="2">
          <reference field="0" count="1" selected="0">
            <x v="862"/>
          </reference>
          <reference field="6" count="7">
            <x v="5"/>
            <x v="8"/>
            <x v="13"/>
            <x v="25"/>
            <x v="31"/>
            <x v="35"/>
            <x v="36"/>
          </reference>
        </references>
      </pivotArea>
    </format>
    <format dxfId="1519">
      <pivotArea dataOnly="0" labelOnly="1" fieldPosition="0">
        <references count="2">
          <reference field="0" count="1" selected="0">
            <x v="863"/>
          </reference>
          <reference field="6" count="7">
            <x v="8"/>
            <x v="13"/>
            <x v="31"/>
            <x v="35"/>
            <x v="36"/>
            <x v="37"/>
            <x v="38"/>
          </reference>
        </references>
      </pivotArea>
    </format>
    <format dxfId="1518">
      <pivotArea dataOnly="0" labelOnly="1" fieldPosition="0">
        <references count="2">
          <reference field="0" count="1" selected="0">
            <x v="864"/>
          </reference>
          <reference field="6" count="7">
            <x v="5"/>
            <x v="8"/>
            <x v="15"/>
            <x v="22"/>
            <x v="35"/>
            <x v="36"/>
            <x v="37"/>
          </reference>
        </references>
      </pivotArea>
    </format>
    <format dxfId="1517">
      <pivotArea dataOnly="0" labelOnly="1" fieldPosition="0">
        <references count="2">
          <reference field="0" count="1" selected="0">
            <x v="865"/>
          </reference>
          <reference field="6" count="8">
            <x v="1"/>
            <x v="5"/>
            <x v="8"/>
            <x v="13"/>
            <x v="31"/>
            <x v="35"/>
            <x v="36"/>
            <x v="37"/>
          </reference>
        </references>
      </pivotArea>
    </format>
    <format dxfId="1516">
      <pivotArea dataOnly="0" labelOnly="1" fieldPosition="0">
        <references count="2">
          <reference field="0" count="1" selected="0">
            <x v="866"/>
          </reference>
          <reference field="6" count="7">
            <x v="13"/>
            <x v="15"/>
            <x v="22"/>
            <x v="31"/>
            <x v="35"/>
            <x v="36"/>
            <x v="40"/>
          </reference>
        </references>
      </pivotArea>
    </format>
    <format dxfId="1515">
      <pivotArea dataOnly="0" labelOnly="1" fieldPosition="0">
        <references count="2">
          <reference field="0" count="1" selected="0">
            <x v="867"/>
          </reference>
          <reference field="6" count="6">
            <x v="3"/>
            <x v="8"/>
            <x v="13"/>
            <x v="32"/>
            <x v="35"/>
            <x v="36"/>
          </reference>
        </references>
      </pivotArea>
    </format>
    <format dxfId="1514">
      <pivotArea dataOnly="0" labelOnly="1" fieldPosition="0">
        <references count="2">
          <reference field="0" count="1" selected="0">
            <x v="868"/>
          </reference>
          <reference field="6" count="5">
            <x v="13"/>
            <x v="15"/>
            <x v="31"/>
            <x v="35"/>
            <x v="36"/>
          </reference>
        </references>
      </pivotArea>
    </format>
    <format dxfId="1513">
      <pivotArea dataOnly="0" labelOnly="1" fieldPosition="0">
        <references count="2">
          <reference field="0" count="1" selected="0">
            <x v="869"/>
          </reference>
          <reference field="6" count="6">
            <x v="13"/>
            <x v="22"/>
            <x v="35"/>
            <x v="36"/>
            <x v="37"/>
            <x v="40"/>
          </reference>
        </references>
      </pivotArea>
    </format>
    <format dxfId="1512">
      <pivotArea dataOnly="0" labelOnly="1" fieldPosition="0">
        <references count="2">
          <reference field="0" count="1" selected="0">
            <x v="870"/>
          </reference>
          <reference field="6" count="9">
            <x v="3"/>
            <x v="5"/>
            <x v="8"/>
            <x v="13"/>
            <x v="31"/>
            <x v="35"/>
            <x v="36"/>
            <x v="37"/>
            <x v="40"/>
          </reference>
        </references>
      </pivotArea>
    </format>
    <format dxfId="1511">
      <pivotArea dataOnly="0" labelOnly="1" fieldPosition="0">
        <references count="2">
          <reference field="0" count="1" selected="0">
            <x v="871"/>
          </reference>
          <reference field="6" count="7">
            <x v="5"/>
            <x v="8"/>
            <x v="13"/>
            <x v="31"/>
            <x v="35"/>
            <x v="36"/>
            <x v="37"/>
          </reference>
        </references>
      </pivotArea>
    </format>
    <format dxfId="1510">
      <pivotArea dataOnly="0" labelOnly="1" fieldPosition="0">
        <references count="2">
          <reference field="0" count="1" selected="0">
            <x v="872"/>
          </reference>
          <reference field="6" count="10">
            <x v="3"/>
            <x v="8"/>
            <x v="13"/>
            <x v="21"/>
            <x v="22"/>
            <x v="31"/>
            <x v="32"/>
            <x v="35"/>
            <x v="36"/>
            <x v="37"/>
          </reference>
        </references>
      </pivotArea>
    </format>
    <format dxfId="1509">
      <pivotArea dataOnly="0" labelOnly="1" fieldPosition="0">
        <references count="2">
          <reference field="0" count="1" selected="0">
            <x v="873"/>
          </reference>
          <reference field="6" count="7">
            <x v="8"/>
            <x v="13"/>
            <x v="31"/>
            <x v="33"/>
            <x v="35"/>
            <x v="36"/>
            <x v="37"/>
          </reference>
        </references>
      </pivotArea>
    </format>
    <format dxfId="1508">
      <pivotArea dataOnly="0" labelOnly="1" fieldPosition="0">
        <references count="2">
          <reference field="0" count="1" selected="0">
            <x v="874"/>
          </reference>
          <reference field="6" count="6">
            <x v="8"/>
            <x v="26"/>
            <x v="31"/>
            <x v="35"/>
            <x v="36"/>
            <x v="37"/>
          </reference>
        </references>
      </pivotArea>
    </format>
    <format dxfId="1507">
      <pivotArea dataOnly="0" labelOnly="1" fieldPosition="0">
        <references count="2">
          <reference field="0" count="1" selected="0">
            <x v="875"/>
          </reference>
          <reference field="6" count="12">
            <x v="5"/>
            <x v="8"/>
            <x v="11"/>
            <x v="13"/>
            <x v="15"/>
            <x v="20"/>
            <x v="22"/>
            <x v="31"/>
            <x v="33"/>
            <x v="35"/>
            <x v="36"/>
            <x v="37"/>
          </reference>
        </references>
      </pivotArea>
    </format>
    <format dxfId="15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05">
      <pivotArea type="all" dataOnly="0" outline="0" fieldPosition="0"/>
    </format>
    <format dxfId="1504">
      <pivotArea outline="0" collapsedLevelsAreSubtotals="1" fieldPosition="0"/>
    </format>
    <format dxfId="1503">
      <pivotArea field="0" type="button" dataOnly="0" labelOnly="1" outline="0" axis="axisRow" fieldPosition="0"/>
    </format>
    <format dxfId="1502">
      <pivotArea dataOnly="0" labelOnly="1" fieldPosition="0">
        <references count="1">
          <reference field="0" count="50">
            <x v="0"/>
            <x v="746"/>
            <x v="747"/>
            <x v="748"/>
            <x v="749"/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</reference>
        </references>
      </pivotArea>
    </format>
    <format dxfId="1501">
      <pivotArea dataOnly="0" labelOnly="1" fieldPosition="0">
        <references count="1">
          <reference field="0" count="50">
            <x v="795"/>
            <x v="796"/>
            <x v="797"/>
            <x v="798"/>
            <x v="799"/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</reference>
        </references>
      </pivotArea>
    </format>
    <format dxfId="1500">
      <pivotArea dataOnly="0" labelOnly="1" fieldPosition="0">
        <references count="1">
          <reference field="0" count="31"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</reference>
        </references>
      </pivotArea>
    </format>
    <format dxfId="1499">
      <pivotArea dataOnly="0" labelOnly="1" grandRow="1" outline="0" fieldPosition="0"/>
    </format>
    <format dxfId="1498">
      <pivotArea dataOnly="0" labelOnly="1" fieldPosition="0">
        <references count="2">
          <reference field="0" count="1" selected="0">
            <x v="0"/>
          </reference>
          <reference field="6" count="1">
            <x v="42"/>
          </reference>
        </references>
      </pivotArea>
    </format>
    <format dxfId="1497">
      <pivotArea dataOnly="0" labelOnly="1" fieldPosition="0">
        <references count="2">
          <reference field="0" count="1" selected="0">
            <x v="746"/>
          </reference>
          <reference field="6" count="11">
            <x v="2"/>
            <x v="3"/>
            <x v="8"/>
            <x v="9"/>
            <x v="13"/>
            <x v="24"/>
            <x v="31"/>
            <x v="35"/>
            <x v="36"/>
            <x v="37"/>
            <x v="40"/>
          </reference>
        </references>
      </pivotArea>
    </format>
    <format dxfId="1496">
      <pivotArea dataOnly="0" labelOnly="1" fieldPosition="0">
        <references count="2">
          <reference field="0" count="1" selected="0">
            <x v="74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495">
      <pivotArea dataOnly="0" labelOnly="1" fieldPosition="0">
        <references count="2">
          <reference field="0" count="1" selected="0">
            <x v="748"/>
          </reference>
          <reference field="6" count="6">
            <x v="13"/>
            <x v="29"/>
            <x v="31"/>
            <x v="32"/>
            <x v="35"/>
            <x v="36"/>
          </reference>
        </references>
      </pivotArea>
    </format>
    <format dxfId="1494">
      <pivotArea dataOnly="0" labelOnly="1" fieldPosition="0">
        <references count="2">
          <reference field="0" count="1" selected="0">
            <x v="749"/>
          </reference>
          <reference field="6" count="5">
            <x v="8"/>
            <x v="28"/>
            <x v="31"/>
            <x v="35"/>
            <x v="37"/>
          </reference>
        </references>
      </pivotArea>
    </format>
    <format dxfId="1493">
      <pivotArea dataOnly="0" labelOnly="1" fieldPosition="0">
        <references count="2">
          <reference field="0" count="1" selected="0">
            <x v="750"/>
          </reference>
          <reference field="6" count="9">
            <x v="2"/>
            <x v="8"/>
            <x v="13"/>
            <x v="15"/>
            <x v="17"/>
            <x v="35"/>
            <x v="36"/>
            <x v="37"/>
            <x v="38"/>
          </reference>
        </references>
      </pivotArea>
    </format>
    <format dxfId="1492">
      <pivotArea dataOnly="0" labelOnly="1" fieldPosition="0">
        <references count="2">
          <reference field="0" count="1" selected="0">
            <x v="751"/>
          </reference>
          <reference field="6" count="7">
            <x v="8"/>
            <x v="13"/>
            <x v="31"/>
            <x v="35"/>
            <x v="36"/>
            <x v="37"/>
            <x v="40"/>
          </reference>
        </references>
      </pivotArea>
    </format>
    <format dxfId="1491">
      <pivotArea dataOnly="0" labelOnly="1" fieldPosition="0">
        <references count="2">
          <reference field="0" count="1" selected="0">
            <x v="752"/>
          </reference>
          <reference field="6" count="11">
            <x v="2"/>
            <x v="5"/>
            <x v="8"/>
            <x v="13"/>
            <x v="28"/>
            <x v="31"/>
            <x v="32"/>
            <x v="34"/>
            <x v="35"/>
            <x v="36"/>
            <x v="37"/>
          </reference>
        </references>
      </pivotArea>
    </format>
    <format dxfId="1490">
      <pivotArea dataOnly="0" labelOnly="1" fieldPosition="0">
        <references count="2">
          <reference field="0" count="1" selected="0">
            <x v="753"/>
          </reference>
          <reference field="6" count="7">
            <x v="8"/>
            <x v="13"/>
            <x v="15"/>
            <x v="31"/>
            <x v="35"/>
            <x v="36"/>
            <x v="37"/>
          </reference>
        </references>
      </pivotArea>
    </format>
    <format dxfId="1489">
      <pivotArea dataOnly="0" labelOnly="1" fieldPosition="0">
        <references count="2">
          <reference field="0" count="1" selected="0">
            <x v="754"/>
          </reference>
          <reference field="6" count="8">
            <x v="8"/>
            <x v="12"/>
            <x v="13"/>
            <x v="15"/>
            <x v="17"/>
            <x v="24"/>
            <x v="35"/>
            <x v="36"/>
          </reference>
        </references>
      </pivotArea>
    </format>
    <format dxfId="1488">
      <pivotArea dataOnly="0" labelOnly="1" fieldPosition="0">
        <references count="2">
          <reference field="0" count="1" selected="0">
            <x v="755"/>
          </reference>
          <reference field="6" count="10">
            <x v="2"/>
            <x v="8"/>
            <x v="13"/>
            <x v="17"/>
            <x v="24"/>
            <x v="28"/>
            <x v="31"/>
            <x v="36"/>
            <x v="37"/>
            <x v="40"/>
          </reference>
        </references>
      </pivotArea>
    </format>
    <format dxfId="1487">
      <pivotArea dataOnly="0" labelOnly="1" fieldPosition="0">
        <references count="2">
          <reference field="0" count="1" selected="0">
            <x v="756"/>
          </reference>
          <reference field="6" count="6">
            <x v="8"/>
            <x v="12"/>
            <x v="17"/>
            <x v="31"/>
            <x v="35"/>
            <x v="36"/>
          </reference>
        </references>
      </pivotArea>
    </format>
    <format dxfId="1486">
      <pivotArea dataOnly="0" labelOnly="1" fieldPosition="0">
        <references count="2">
          <reference field="0" count="1" selected="0">
            <x v="757"/>
          </reference>
          <reference field="6" count="9">
            <x v="8"/>
            <x v="13"/>
            <x v="15"/>
            <x v="16"/>
            <x v="32"/>
            <x v="35"/>
            <x v="36"/>
            <x v="37"/>
            <x v="40"/>
          </reference>
        </references>
      </pivotArea>
    </format>
    <format dxfId="1485">
      <pivotArea dataOnly="0" labelOnly="1" fieldPosition="0">
        <references count="2">
          <reference field="0" count="1" selected="0">
            <x v="758"/>
          </reference>
          <reference field="6" count="9">
            <x v="3"/>
            <x v="5"/>
            <x v="13"/>
            <x v="15"/>
            <x v="31"/>
            <x v="34"/>
            <x v="35"/>
            <x v="36"/>
            <x v="37"/>
          </reference>
        </references>
      </pivotArea>
    </format>
    <format dxfId="1484">
      <pivotArea dataOnly="0" labelOnly="1" fieldPosition="0">
        <references count="2">
          <reference field="0" count="1" selected="0">
            <x v="759"/>
          </reference>
          <reference field="6" count="11">
            <x v="2"/>
            <x v="8"/>
            <x v="13"/>
            <x v="14"/>
            <x v="20"/>
            <x v="28"/>
            <x v="31"/>
            <x v="32"/>
            <x v="36"/>
            <x v="37"/>
            <x v="40"/>
          </reference>
        </references>
      </pivotArea>
    </format>
    <format dxfId="1483">
      <pivotArea dataOnly="0" labelOnly="1" fieldPosition="0">
        <references count="2">
          <reference field="0" count="1" selected="0">
            <x v="760"/>
          </reference>
          <reference field="6" count="8">
            <x v="8"/>
            <x v="13"/>
            <x v="15"/>
            <x v="28"/>
            <x v="30"/>
            <x v="31"/>
            <x v="36"/>
            <x v="37"/>
          </reference>
        </references>
      </pivotArea>
    </format>
    <format dxfId="1482">
      <pivotArea dataOnly="0" labelOnly="1" fieldPosition="0">
        <references count="2">
          <reference field="0" count="1" selected="0">
            <x v="761"/>
          </reference>
          <reference field="6" count="9">
            <x v="2"/>
            <x v="8"/>
            <x v="13"/>
            <x v="17"/>
            <x v="28"/>
            <x v="30"/>
            <x v="31"/>
            <x v="36"/>
            <x v="37"/>
          </reference>
        </references>
      </pivotArea>
    </format>
    <format dxfId="1481">
      <pivotArea dataOnly="0" labelOnly="1" fieldPosition="0">
        <references count="2">
          <reference field="0" count="1" selected="0">
            <x v="762"/>
          </reference>
          <reference field="6" count="6">
            <x v="2"/>
            <x v="8"/>
            <x v="13"/>
            <x v="28"/>
            <x v="36"/>
            <x v="37"/>
          </reference>
        </references>
      </pivotArea>
    </format>
    <format dxfId="1480">
      <pivotArea dataOnly="0" labelOnly="1" fieldPosition="0">
        <references count="2">
          <reference field="0" count="1" selected="0">
            <x v="763"/>
          </reference>
          <reference field="6" count="6">
            <x v="2"/>
            <x v="13"/>
            <x v="15"/>
            <x v="28"/>
            <x v="35"/>
            <x v="36"/>
          </reference>
        </references>
      </pivotArea>
    </format>
    <format dxfId="1479">
      <pivotArea dataOnly="0" labelOnly="1" fieldPosition="0">
        <references count="2">
          <reference field="0" count="1" selected="0">
            <x v="764"/>
          </reference>
          <reference field="6" count="7">
            <x v="8"/>
            <x v="28"/>
            <x v="31"/>
            <x v="35"/>
            <x v="36"/>
            <x v="37"/>
            <x v="38"/>
          </reference>
        </references>
      </pivotArea>
    </format>
    <format dxfId="1478">
      <pivotArea dataOnly="0" labelOnly="1" fieldPosition="0">
        <references count="2">
          <reference field="0" count="1" selected="0">
            <x v="765"/>
          </reference>
          <reference field="6" count="6">
            <x v="8"/>
            <x v="13"/>
            <x v="28"/>
            <x v="35"/>
            <x v="36"/>
            <x v="40"/>
          </reference>
        </references>
      </pivotArea>
    </format>
    <format dxfId="1477">
      <pivotArea dataOnly="0" labelOnly="1" fieldPosition="0">
        <references count="2">
          <reference field="0" count="1" selected="0">
            <x v="766"/>
          </reference>
          <reference field="6" count="9">
            <x v="8"/>
            <x v="12"/>
            <x v="13"/>
            <x v="15"/>
            <x v="16"/>
            <x v="28"/>
            <x v="31"/>
            <x v="35"/>
            <x v="36"/>
          </reference>
        </references>
      </pivotArea>
    </format>
    <format dxfId="1476">
      <pivotArea dataOnly="0" labelOnly="1" fieldPosition="0">
        <references count="2">
          <reference field="0" count="1" selected="0">
            <x v="767"/>
          </reference>
          <reference field="6" count="5">
            <x v="8"/>
            <x v="13"/>
            <x v="28"/>
            <x v="36"/>
            <x v="37"/>
          </reference>
        </references>
      </pivotArea>
    </format>
    <format dxfId="1475">
      <pivotArea dataOnly="0" labelOnly="1" fieldPosition="0">
        <references count="2">
          <reference field="0" count="1" selected="0">
            <x v="768"/>
          </reference>
          <reference field="6" count="7">
            <x v="2"/>
            <x v="8"/>
            <x v="13"/>
            <x v="28"/>
            <x v="32"/>
            <x v="36"/>
            <x v="37"/>
          </reference>
        </references>
      </pivotArea>
    </format>
    <format dxfId="1474">
      <pivotArea dataOnly="0" labelOnly="1" fieldPosition="0">
        <references count="2">
          <reference field="0" count="1" selected="0">
            <x v="769"/>
          </reference>
          <reference field="6" count="8">
            <x v="4"/>
            <x v="8"/>
            <x v="10"/>
            <x v="13"/>
            <x v="15"/>
            <x v="28"/>
            <x v="36"/>
            <x v="37"/>
          </reference>
        </references>
      </pivotArea>
    </format>
    <format dxfId="1473">
      <pivotArea dataOnly="0" labelOnly="1" fieldPosition="0">
        <references count="2">
          <reference field="0" count="1" selected="0">
            <x v="770"/>
          </reference>
          <reference field="6" count="8">
            <x v="8"/>
            <x v="10"/>
            <x v="13"/>
            <x v="15"/>
            <x v="36"/>
            <x v="37"/>
            <x v="39"/>
            <x v="40"/>
          </reference>
        </references>
      </pivotArea>
    </format>
    <format dxfId="1472">
      <pivotArea dataOnly="0" labelOnly="1" fieldPosition="0">
        <references count="2">
          <reference field="0" count="1" selected="0">
            <x v="771"/>
          </reference>
          <reference field="6" count="10">
            <x v="2"/>
            <x v="8"/>
            <x v="13"/>
            <x v="15"/>
            <x v="17"/>
            <x v="18"/>
            <x v="24"/>
            <x v="31"/>
            <x v="36"/>
            <x v="37"/>
          </reference>
        </references>
      </pivotArea>
    </format>
    <format dxfId="1471">
      <pivotArea dataOnly="0" labelOnly="1" fieldPosition="0">
        <references count="2">
          <reference field="0" count="1" selected="0">
            <x v="772"/>
          </reference>
          <reference field="6" count="7">
            <x v="8"/>
            <x v="13"/>
            <x v="15"/>
            <x v="28"/>
            <x v="31"/>
            <x v="36"/>
            <x v="37"/>
          </reference>
        </references>
      </pivotArea>
    </format>
    <format dxfId="1470">
      <pivotArea dataOnly="0" labelOnly="1" fieldPosition="0">
        <references count="2">
          <reference field="0" count="1" selected="0">
            <x v="773"/>
          </reference>
          <reference field="6" count="6">
            <x v="2"/>
            <x v="8"/>
            <x v="15"/>
            <x v="28"/>
            <x v="36"/>
            <x v="37"/>
          </reference>
        </references>
      </pivotArea>
    </format>
    <format dxfId="1469">
      <pivotArea dataOnly="0" labelOnly="1" fieldPosition="0">
        <references count="2">
          <reference field="0" count="1" selected="0">
            <x v="774"/>
          </reference>
          <reference field="6" count="10">
            <x v="2"/>
            <x v="5"/>
            <x v="8"/>
            <x v="9"/>
            <x v="28"/>
            <x v="31"/>
            <x v="32"/>
            <x v="36"/>
            <x v="37"/>
            <x v="39"/>
          </reference>
        </references>
      </pivotArea>
    </format>
    <format dxfId="1468">
      <pivotArea dataOnly="0" labelOnly="1" fieldPosition="0">
        <references count="2">
          <reference field="0" count="1" selected="0">
            <x v="775"/>
          </reference>
          <reference field="6" count="9">
            <x v="1"/>
            <x v="2"/>
            <x v="8"/>
            <x v="15"/>
            <x v="17"/>
            <x v="31"/>
            <x v="35"/>
            <x v="36"/>
            <x v="37"/>
          </reference>
        </references>
      </pivotArea>
    </format>
    <format dxfId="1467">
      <pivotArea dataOnly="0" labelOnly="1" fieldPosition="0">
        <references count="2">
          <reference field="0" count="1" selected="0">
            <x v="776"/>
          </reference>
          <reference field="6" count="8">
            <x v="8"/>
            <x v="9"/>
            <x v="12"/>
            <x v="13"/>
            <x v="15"/>
            <x v="35"/>
            <x v="36"/>
            <x v="37"/>
          </reference>
        </references>
      </pivotArea>
    </format>
    <format dxfId="1466">
      <pivotArea dataOnly="0" labelOnly="1" fieldPosition="0">
        <references count="2">
          <reference field="0" count="1" selected="0">
            <x v="777"/>
          </reference>
          <reference field="6" count="6">
            <x v="10"/>
            <x v="13"/>
            <x v="31"/>
            <x v="36"/>
            <x v="37"/>
            <x v="40"/>
          </reference>
        </references>
      </pivotArea>
    </format>
    <format dxfId="1465">
      <pivotArea dataOnly="0" labelOnly="1" fieldPosition="0">
        <references count="2">
          <reference field="0" count="1" selected="0">
            <x v="778"/>
          </reference>
          <reference field="6" count="5">
            <x v="5"/>
            <x v="8"/>
            <x v="28"/>
            <x v="31"/>
            <x v="37"/>
          </reference>
        </references>
      </pivotArea>
    </format>
    <format dxfId="1464">
      <pivotArea dataOnly="0" labelOnly="1" fieldPosition="0">
        <references count="2">
          <reference field="0" count="1" selected="0">
            <x v="779"/>
          </reference>
          <reference field="6" count="7">
            <x v="5"/>
            <x v="13"/>
            <x v="15"/>
            <x v="32"/>
            <x v="35"/>
            <x v="36"/>
            <x v="37"/>
          </reference>
        </references>
      </pivotArea>
    </format>
    <format dxfId="1463">
      <pivotArea dataOnly="0" labelOnly="1" fieldPosition="0">
        <references count="2">
          <reference field="0" count="1" selected="0">
            <x v="780"/>
          </reference>
          <reference field="6" count="9">
            <x v="2"/>
            <x v="5"/>
            <x v="13"/>
            <x v="28"/>
            <x v="30"/>
            <x v="31"/>
            <x v="35"/>
            <x v="36"/>
            <x v="37"/>
          </reference>
        </references>
      </pivotArea>
    </format>
    <format dxfId="1462">
      <pivotArea dataOnly="0" labelOnly="1" fieldPosition="0">
        <references count="2">
          <reference field="0" count="1" selected="0">
            <x v="781"/>
          </reference>
          <reference field="6" count="10">
            <x v="2"/>
            <x v="8"/>
            <x v="13"/>
            <x v="15"/>
            <x v="28"/>
            <x v="31"/>
            <x v="34"/>
            <x v="35"/>
            <x v="36"/>
            <x v="37"/>
          </reference>
        </references>
      </pivotArea>
    </format>
    <format dxfId="1461">
      <pivotArea dataOnly="0" labelOnly="1" fieldPosition="0">
        <references count="2">
          <reference field="0" count="1" selected="0">
            <x v="782"/>
          </reference>
          <reference field="6" count="8">
            <x v="5"/>
            <x v="8"/>
            <x v="13"/>
            <x v="28"/>
            <x v="34"/>
            <x v="36"/>
            <x v="37"/>
            <x v="38"/>
          </reference>
        </references>
      </pivotArea>
    </format>
    <format dxfId="1460">
      <pivotArea dataOnly="0" labelOnly="1" fieldPosition="0">
        <references count="2">
          <reference field="0" count="1" selected="0">
            <x v="783"/>
          </reference>
          <reference field="6" count="8">
            <x v="2"/>
            <x v="5"/>
            <x v="8"/>
            <x v="13"/>
            <x v="32"/>
            <x v="36"/>
            <x v="37"/>
            <x v="41"/>
          </reference>
        </references>
      </pivotArea>
    </format>
    <format dxfId="1459">
      <pivotArea dataOnly="0" labelOnly="1" fieldPosition="0">
        <references count="2">
          <reference field="0" count="1" selected="0">
            <x v="784"/>
          </reference>
          <reference field="6" count="12">
            <x v="2"/>
            <x v="3"/>
            <x v="5"/>
            <x v="8"/>
            <x v="9"/>
            <x v="12"/>
            <x v="13"/>
            <x v="15"/>
            <x v="28"/>
            <x v="31"/>
            <x v="36"/>
            <x v="37"/>
          </reference>
        </references>
      </pivotArea>
    </format>
    <format dxfId="1458">
      <pivotArea dataOnly="0" labelOnly="1" fieldPosition="0">
        <references count="2">
          <reference field="0" count="1" selected="0">
            <x v="785"/>
          </reference>
          <reference field="6" count="11">
            <x v="5"/>
            <x v="8"/>
            <x v="10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457">
      <pivotArea dataOnly="0" labelOnly="1" fieldPosition="0">
        <references count="2">
          <reference field="0" count="1" selected="0">
            <x v="786"/>
          </reference>
          <reference field="6" count="8">
            <x v="5"/>
            <x v="8"/>
            <x v="13"/>
            <x v="15"/>
            <x v="28"/>
            <x v="35"/>
            <x v="36"/>
            <x v="37"/>
          </reference>
        </references>
      </pivotArea>
    </format>
    <format dxfId="1456">
      <pivotArea dataOnly="0" labelOnly="1" fieldPosition="0">
        <references count="2">
          <reference field="0" count="1" selected="0">
            <x v="787"/>
          </reference>
          <reference field="6" count="6">
            <x v="8"/>
            <x v="13"/>
            <x v="28"/>
            <x v="35"/>
            <x v="36"/>
            <x v="39"/>
          </reference>
        </references>
      </pivotArea>
    </format>
    <format dxfId="1455">
      <pivotArea dataOnly="0" labelOnly="1" fieldPosition="0">
        <references count="2">
          <reference field="0" count="1" selected="0">
            <x v="788"/>
          </reference>
          <reference field="6" count="10">
            <x v="8"/>
            <x v="13"/>
            <x v="15"/>
            <x v="23"/>
            <x v="27"/>
            <x v="28"/>
            <x v="31"/>
            <x v="35"/>
            <x v="36"/>
            <x v="37"/>
          </reference>
        </references>
      </pivotArea>
    </format>
    <format dxfId="1454">
      <pivotArea dataOnly="0" labelOnly="1" fieldPosition="0">
        <references count="2">
          <reference field="0" count="1" selected="0">
            <x v="789"/>
          </reference>
          <reference field="6" count="12">
            <x v="0"/>
            <x v="2"/>
            <x v="5"/>
            <x v="8"/>
            <x v="13"/>
            <x v="15"/>
            <x v="31"/>
            <x v="34"/>
            <x v="35"/>
            <x v="36"/>
            <x v="37"/>
            <x v="40"/>
          </reference>
        </references>
      </pivotArea>
    </format>
    <format dxfId="1453">
      <pivotArea dataOnly="0" labelOnly="1" fieldPosition="0">
        <references count="2">
          <reference field="0" count="1" selected="0">
            <x v="790"/>
          </reference>
          <reference field="6" count="10">
            <x v="5"/>
            <x v="8"/>
            <x v="13"/>
            <x v="14"/>
            <x v="15"/>
            <x v="28"/>
            <x v="32"/>
            <x v="35"/>
            <x v="36"/>
            <x v="37"/>
          </reference>
        </references>
      </pivotArea>
    </format>
    <format dxfId="1452">
      <pivotArea dataOnly="0" labelOnly="1" fieldPosition="0">
        <references count="2">
          <reference field="0" count="1" selected="0">
            <x v="791"/>
          </reference>
          <reference field="6" count="10">
            <x v="3"/>
            <x v="4"/>
            <x v="8"/>
            <x v="13"/>
            <x v="28"/>
            <x v="31"/>
            <x v="35"/>
            <x v="36"/>
            <x v="37"/>
            <x v="40"/>
          </reference>
        </references>
      </pivotArea>
    </format>
    <format dxfId="1451">
      <pivotArea dataOnly="0" labelOnly="1" fieldPosition="0">
        <references count="2">
          <reference field="0" count="1" selected="0">
            <x v="792"/>
          </reference>
          <reference field="6" count="6">
            <x v="13"/>
            <x v="20"/>
            <x v="28"/>
            <x v="35"/>
            <x v="36"/>
            <x v="37"/>
          </reference>
        </references>
      </pivotArea>
    </format>
    <format dxfId="1450">
      <pivotArea dataOnly="0" labelOnly="1" fieldPosition="0">
        <references count="2">
          <reference field="0" count="1" selected="0">
            <x v="793"/>
          </reference>
          <reference field="6" count="7">
            <x v="8"/>
            <x v="13"/>
            <x v="28"/>
            <x v="31"/>
            <x v="35"/>
            <x v="36"/>
            <x v="37"/>
          </reference>
        </references>
      </pivotArea>
    </format>
    <format dxfId="1449">
      <pivotArea dataOnly="0" labelOnly="1" fieldPosition="0">
        <references count="2">
          <reference field="0" count="1" selected="0">
            <x v="794"/>
          </reference>
          <reference field="6" count="9">
            <x v="8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448">
      <pivotArea dataOnly="0" labelOnly="1" fieldPosition="0">
        <references count="2">
          <reference field="0" count="1" selected="0">
            <x v="795"/>
          </reference>
          <reference field="6" count="11">
            <x v="2"/>
            <x v="3"/>
            <x v="8"/>
            <x v="12"/>
            <x v="13"/>
            <x v="15"/>
            <x v="28"/>
            <x v="32"/>
            <x v="35"/>
            <x v="36"/>
            <x v="37"/>
          </reference>
        </references>
      </pivotArea>
    </format>
    <format dxfId="1447">
      <pivotArea dataOnly="0" labelOnly="1" fieldPosition="0">
        <references count="2">
          <reference field="0" count="1" selected="0">
            <x v="796"/>
          </reference>
          <reference field="6" count="10">
            <x v="2"/>
            <x v="4"/>
            <x v="8"/>
            <x v="10"/>
            <x v="13"/>
            <x v="17"/>
            <x v="32"/>
            <x v="35"/>
            <x v="36"/>
            <x v="40"/>
          </reference>
        </references>
      </pivotArea>
    </format>
    <format dxfId="1446">
      <pivotArea dataOnly="0" labelOnly="1" fieldPosition="0">
        <references count="2">
          <reference field="0" count="1" selected="0">
            <x v="797"/>
          </reference>
          <reference field="6" count="8">
            <x v="5"/>
            <x v="8"/>
            <x v="12"/>
            <x v="13"/>
            <x v="15"/>
            <x v="35"/>
            <x v="36"/>
            <x v="37"/>
          </reference>
        </references>
      </pivotArea>
    </format>
    <format dxfId="1445">
      <pivotArea dataOnly="0" labelOnly="1" fieldPosition="0">
        <references count="2">
          <reference field="0" count="1" selected="0">
            <x v="798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444">
      <pivotArea dataOnly="0" labelOnly="1" fieldPosition="0">
        <references count="2">
          <reference field="0" count="1" selected="0">
            <x v="799"/>
          </reference>
          <reference field="6" count="8">
            <x v="8"/>
            <x v="13"/>
            <x v="15"/>
            <x v="28"/>
            <x v="32"/>
            <x v="35"/>
            <x v="36"/>
            <x v="37"/>
          </reference>
        </references>
      </pivotArea>
    </format>
    <format dxfId="1443">
      <pivotArea dataOnly="0" labelOnly="1" fieldPosition="0">
        <references count="2">
          <reference field="0" count="1" selected="0">
            <x v="800"/>
          </reference>
          <reference field="6" count="6">
            <x v="8"/>
            <x v="10"/>
            <x v="13"/>
            <x v="35"/>
            <x v="36"/>
            <x v="37"/>
          </reference>
        </references>
      </pivotArea>
    </format>
    <format dxfId="1442">
      <pivotArea dataOnly="0" labelOnly="1" fieldPosition="0">
        <references count="2">
          <reference field="0" count="1" selected="0">
            <x v="801"/>
          </reference>
          <reference field="6" count="7">
            <x v="8"/>
            <x v="13"/>
            <x v="15"/>
            <x v="28"/>
            <x v="35"/>
            <x v="36"/>
            <x v="39"/>
          </reference>
        </references>
      </pivotArea>
    </format>
    <format dxfId="1441">
      <pivotArea dataOnly="0" labelOnly="1" fieldPosition="0">
        <references count="2">
          <reference field="0" count="1" selected="0">
            <x v="802"/>
          </reference>
          <reference field="6" count="7">
            <x v="8"/>
            <x v="13"/>
            <x v="15"/>
            <x v="24"/>
            <x v="35"/>
            <x v="36"/>
            <x v="37"/>
          </reference>
        </references>
      </pivotArea>
    </format>
    <format dxfId="1440">
      <pivotArea dataOnly="0" labelOnly="1" fieldPosition="0">
        <references count="2">
          <reference field="0" count="1" selected="0">
            <x v="803"/>
          </reference>
          <reference field="6" count="11">
            <x v="8"/>
            <x v="11"/>
            <x v="13"/>
            <x v="15"/>
            <x v="19"/>
            <x v="28"/>
            <x v="31"/>
            <x v="35"/>
            <x v="36"/>
            <x v="37"/>
            <x v="40"/>
          </reference>
        </references>
      </pivotArea>
    </format>
    <format dxfId="1439">
      <pivotArea dataOnly="0" labelOnly="1" fieldPosition="0">
        <references count="2">
          <reference field="0" count="1" selected="0">
            <x v="804"/>
          </reference>
          <reference field="6" count="8">
            <x v="8"/>
            <x v="13"/>
            <x v="15"/>
            <x v="24"/>
            <x v="32"/>
            <x v="35"/>
            <x v="36"/>
            <x v="37"/>
          </reference>
        </references>
      </pivotArea>
    </format>
    <format dxfId="1438">
      <pivotArea dataOnly="0" labelOnly="1" fieldPosition="0">
        <references count="2">
          <reference field="0" count="1" selected="0">
            <x v="805"/>
          </reference>
          <reference field="6" count="10">
            <x v="1"/>
            <x v="8"/>
            <x v="13"/>
            <x v="15"/>
            <x v="17"/>
            <x v="20"/>
            <x v="31"/>
            <x v="35"/>
            <x v="36"/>
            <x v="37"/>
          </reference>
        </references>
      </pivotArea>
    </format>
    <format dxfId="1437">
      <pivotArea dataOnly="0" labelOnly="1" fieldPosition="0">
        <references count="2">
          <reference field="0" count="1" selected="0">
            <x v="806"/>
          </reference>
          <reference field="6" count="11">
            <x v="0"/>
            <x v="2"/>
            <x v="3"/>
            <x v="8"/>
            <x v="13"/>
            <x v="17"/>
            <x v="28"/>
            <x v="31"/>
            <x v="35"/>
            <x v="36"/>
            <x v="39"/>
          </reference>
        </references>
      </pivotArea>
    </format>
    <format dxfId="1436">
      <pivotArea dataOnly="0" labelOnly="1" fieldPosition="0">
        <references count="2">
          <reference field="0" count="1" selected="0">
            <x v="80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435">
      <pivotArea dataOnly="0" labelOnly="1" fieldPosition="0">
        <references count="2">
          <reference field="0" count="1" selected="0">
            <x v="808"/>
          </reference>
          <reference field="6" count="5">
            <x v="8"/>
            <x v="13"/>
            <x v="15"/>
            <x v="35"/>
            <x v="36"/>
          </reference>
        </references>
      </pivotArea>
    </format>
    <format dxfId="1434">
      <pivotArea dataOnly="0" labelOnly="1" fieldPosition="0">
        <references count="2">
          <reference field="0" count="1" selected="0">
            <x v="809"/>
          </reference>
          <reference field="6" count="6">
            <x v="8"/>
            <x v="28"/>
            <x v="31"/>
            <x v="35"/>
            <x v="36"/>
            <x v="37"/>
          </reference>
        </references>
      </pivotArea>
    </format>
    <format dxfId="1433">
      <pivotArea dataOnly="0" labelOnly="1" fieldPosition="0">
        <references count="2">
          <reference field="0" count="1" selected="0">
            <x v="810"/>
          </reference>
          <reference field="6" count="6">
            <x v="13"/>
            <x v="15"/>
            <x v="31"/>
            <x v="35"/>
            <x v="36"/>
            <x v="37"/>
          </reference>
        </references>
      </pivotArea>
    </format>
    <format dxfId="1432">
      <pivotArea dataOnly="0" labelOnly="1" fieldPosition="0">
        <references count="2">
          <reference field="0" count="1" selected="0">
            <x v="811"/>
          </reference>
          <reference field="6" count="8">
            <x v="4"/>
            <x v="8"/>
            <x v="13"/>
            <x v="31"/>
            <x v="32"/>
            <x v="35"/>
            <x v="36"/>
            <x v="37"/>
          </reference>
        </references>
      </pivotArea>
    </format>
    <format dxfId="1431">
      <pivotArea dataOnly="0" labelOnly="1" fieldPosition="0">
        <references count="2">
          <reference field="0" count="1" selected="0">
            <x v="812"/>
          </reference>
          <reference field="6" count="8">
            <x v="2"/>
            <x v="8"/>
            <x v="10"/>
            <x v="12"/>
            <x v="28"/>
            <x v="31"/>
            <x v="35"/>
            <x v="36"/>
          </reference>
        </references>
      </pivotArea>
    </format>
    <format dxfId="1430">
      <pivotArea dataOnly="0" labelOnly="1" fieldPosition="0">
        <references count="2">
          <reference field="0" count="1" selected="0">
            <x v="813"/>
          </reference>
          <reference field="6" count="10">
            <x v="3"/>
            <x v="5"/>
            <x v="8"/>
            <x v="13"/>
            <x v="15"/>
            <x v="35"/>
            <x v="36"/>
            <x v="37"/>
            <x v="40"/>
            <x v="41"/>
          </reference>
        </references>
      </pivotArea>
    </format>
    <format dxfId="1429">
      <pivotArea dataOnly="0" labelOnly="1" fieldPosition="0">
        <references count="2">
          <reference field="0" count="1" selected="0">
            <x v="814"/>
          </reference>
          <reference field="6" count="10">
            <x v="8"/>
            <x v="12"/>
            <x v="13"/>
            <x v="15"/>
            <x v="28"/>
            <x v="31"/>
            <x v="35"/>
            <x v="36"/>
            <x v="37"/>
            <x v="40"/>
          </reference>
        </references>
      </pivotArea>
    </format>
    <format dxfId="1428">
      <pivotArea dataOnly="0" labelOnly="1" fieldPosition="0">
        <references count="2">
          <reference field="0" count="1" selected="0">
            <x v="815"/>
          </reference>
          <reference field="6" count="12">
            <x v="2"/>
            <x v="8"/>
            <x v="10"/>
            <x v="13"/>
            <x v="15"/>
            <x v="17"/>
            <x v="31"/>
            <x v="35"/>
            <x v="36"/>
            <x v="37"/>
            <x v="39"/>
            <x v="40"/>
          </reference>
        </references>
      </pivotArea>
    </format>
    <format dxfId="1427">
      <pivotArea dataOnly="0" labelOnly="1" fieldPosition="0">
        <references count="2">
          <reference field="0" count="1" selected="0">
            <x v="816"/>
          </reference>
          <reference field="6" count="9">
            <x v="8"/>
            <x v="13"/>
            <x v="32"/>
            <x v="33"/>
            <x v="35"/>
            <x v="36"/>
            <x v="37"/>
            <x v="39"/>
            <x v="40"/>
          </reference>
        </references>
      </pivotArea>
    </format>
    <format dxfId="1426">
      <pivotArea dataOnly="0" labelOnly="1" fieldPosition="0">
        <references count="2">
          <reference field="0" count="1" selected="0">
            <x v="817"/>
          </reference>
          <reference field="6" count="11">
            <x v="2"/>
            <x v="8"/>
            <x v="10"/>
            <x v="11"/>
            <x v="13"/>
            <x v="17"/>
            <x v="18"/>
            <x v="28"/>
            <x v="35"/>
            <x v="36"/>
            <x v="37"/>
          </reference>
        </references>
      </pivotArea>
    </format>
    <format dxfId="1425">
      <pivotArea dataOnly="0" labelOnly="1" fieldPosition="0">
        <references count="2">
          <reference field="0" count="1" selected="0">
            <x v="818"/>
          </reference>
          <reference field="6" count="9">
            <x v="4"/>
            <x v="8"/>
            <x v="13"/>
            <x v="15"/>
            <x v="28"/>
            <x v="31"/>
            <x v="35"/>
            <x v="36"/>
            <x v="37"/>
          </reference>
        </references>
      </pivotArea>
    </format>
    <format dxfId="1424">
      <pivotArea dataOnly="0" labelOnly="1" fieldPosition="0">
        <references count="2">
          <reference field="0" count="1" selected="0">
            <x v="819"/>
          </reference>
          <reference field="6" count="10">
            <x v="13"/>
            <x v="14"/>
            <x v="20"/>
            <x v="27"/>
            <x v="28"/>
            <x v="31"/>
            <x v="33"/>
            <x v="35"/>
            <x v="36"/>
            <x v="37"/>
          </reference>
        </references>
      </pivotArea>
    </format>
    <format dxfId="1423">
      <pivotArea dataOnly="0" labelOnly="1" fieldPosition="0">
        <references count="2">
          <reference field="0" count="1" selected="0">
            <x v="820"/>
          </reference>
          <reference field="6" count="13">
            <x v="2"/>
            <x v="8"/>
            <x v="10"/>
            <x v="11"/>
            <x v="12"/>
            <x v="13"/>
            <x v="15"/>
            <x v="20"/>
            <x v="28"/>
            <x v="31"/>
            <x v="35"/>
            <x v="36"/>
            <x v="40"/>
          </reference>
        </references>
      </pivotArea>
    </format>
    <format dxfId="1422">
      <pivotArea dataOnly="0" labelOnly="1" fieldPosition="0">
        <references count="2">
          <reference field="0" count="1" selected="0">
            <x v="821"/>
          </reference>
          <reference field="6" count="7">
            <x v="13"/>
            <x v="15"/>
            <x v="31"/>
            <x v="32"/>
            <x v="35"/>
            <x v="36"/>
            <x v="37"/>
          </reference>
        </references>
      </pivotArea>
    </format>
    <format dxfId="1421">
      <pivotArea dataOnly="0" labelOnly="1" fieldPosition="0">
        <references count="2">
          <reference field="0" count="1" selected="0">
            <x v="822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420">
      <pivotArea dataOnly="0" labelOnly="1" fieldPosition="0">
        <references count="2">
          <reference field="0" count="1" selected="0">
            <x v="823"/>
          </reference>
          <reference field="6" count="14">
            <x v="5"/>
            <x v="8"/>
            <x v="10"/>
            <x v="12"/>
            <x v="13"/>
            <x v="15"/>
            <x v="16"/>
            <x v="17"/>
            <x v="28"/>
            <x v="31"/>
            <x v="35"/>
            <x v="36"/>
            <x v="37"/>
            <x v="40"/>
          </reference>
        </references>
      </pivotArea>
    </format>
    <format dxfId="1419">
      <pivotArea dataOnly="0" labelOnly="1" fieldPosition="0">
        <references count="2">
          <reference field="0" count="1" selected="0">
            <x v="824"/>
          </reference>
          <reference field="6" count="10">
            <x v="4"/>
            <x v="8"/>
            <x v="13"/>
            <x v="15"/>
            <x v="24"/>
            <x v="25"/>
            <x v="28"/>
            <x v="31"/>
            <x v="35"/>
            <x v="36"/>
          </reference>
        </references>
      </pivotArea>
    </format>
    <format dxfId="1418">
      <pivotArea dataOnly="0" labelOnly="1" fieldPosition="0">
        <references count="2">
          <reference field="0" count="1" selected="0">
            <x v="825"/>
          </reference>
          <reference field="6" count="10">
            <x v="5"/>
            <x v="8"/>
            <x v="12"/>
            <x v="13"/>
            <x v="15"/>
            <x v="25"/>
            <x v="28"/>
            <x v="35"/>
            <x v="36"/>
            <x v="37"/>
          </reference>
        </references>
      </pivotArea>
    </format>
    <format dxfId="1417">
      <pivotArea dataOnly="0" labelOnly="1" fieldPosition="0">
        <references count="2">
          <reference field="0" count="1" selected="0">
            <x v="826"/>
          </reference>
          <reference field="6" count="10">
            <x v="0"/>
            <x v="7"/>
            <x v="8"/>
            <x v="13"/>
            <x v="28"/>
            <x v="31"/>
            <x v="32"/>
            <x v="35"/>
            <x v="36"/>
            <x v="38"/>
          </reference>
        </references>
      </pivotArea>
    </format>
    <format dxfId="1416">
      <pivotArea dataOnly="0" labelOnly="1" fieldPosition="0">
        <references count="2">
          <reference field="0" count="1" selected="0">
            <x v="827"/>
          </reference>
          <reference field="6" count="6">
            <x v="8"/>
            <x v="13"/>
            <x v="27"/>
            <x v="31"/>
            <x v="36"/>
            <x v="37"/>
          </reference>
        </references>
      </pivotArea>
    </format>
    <format dxfId="1415">
      <pivotArea dataOnly="0" labelOnly="1" fieldPosition="0">
        <references count="2">
          <reference field="0" count="1" selected="0">
            <x v="828"/>
          </reference>
          <reference field="6" count="6">
            <x v="5"/>
            <x v="8"/>
            <x v="13"/>
            <x v="22"/>
            <x v="31"/>
            <x v="36"/>
          </reference>
        </references>
      </pivotArea>
    </format>
    <format dxfId="1414">
      <pivotArea dataOnly="0" labelOnly="1" fieldPosition="0">
        <references count="2">
          <reference field="0" count="1" selected="0">
            <x v="829"/>
          </reference>
          <reference field="6" count="9">
            <x v="3"/>
            <x v="7"/>
            <x v="8"/>
            <x v="13"/>
            <x v="15"/>
            <x v="31"/>
            <x v="36"/>
            <x v="37"/>
            <x v="39"/>
          </reference>
        </references>
      </pivotArea>
    </format>
    <format dxfId="1413">
      <pivotArea dataOnly="0" labelOnly="1" fieldPosition="0">
        <references count="2">
          <reference field="0" count="1" selected="0">
            <x v="830"/>
          </reference>
          <reference field="6" count="8">
            <x v="5"/>
            <x v="8"/>
            <x v="11"/>
            <x v="13"/>
            <x v="28"/>
            <x v="31"/>
            <x v="36"/>
            <x v="37"/>
          </reference>
        </references>
      </pivotArea>
    </format>
    <format dxfId="1412">
      <pivotArea dataOnly="0" labelOnly="1" fieldPosition="0">
        <references count="2">
          <reference field="0" count="1" selected="0">
            <x v="831"/>
          </reference>
          <reference field="6" count="8">
            <x v="8"/>
            <x v="13"/>
            <x v="15"/>
            <x v="17"/>
            <x v="28"/>
            <x v="36"/>
            <x v="37"/>
            <x v="40"/>
          </reference>
        </references>
      </pivotArea>
    </format>
    <format dxfId="1411">
      <pivotArea dataOnly="0" labelOnly="1" fieldPosition="0">
        <references count="2">
          <reference field="0" count="1" selected="0">
            <x v="832"/>
          </reference>
          <reference field="6" count="11">
            <x v="8"/>
            <x v="13"/>
            <x v="15"/>
            <x v="27"/>
            <x v="28"/>
            <x v="31"/>
            <x v="32"/>
            <x v="35"/>
            <x v="36"/>
            <x v="37"/>
            <x v="39"/>
          </reference>
        </references>
      </pivotArea>
    </format>
    <format dxfId="1410">
      <pivotArea dataOnly="0" labelOnly="1" fieldPosition="0">
        <references count="2">
          <reference field="0" count="1" selected="0">
            <x v="833"/>
          </reference>
          <reference field="6" count="7">
            <x v="13"/>
            <x v="22"/>
            <x v="28"/>
            <x v="36"/>
            <x v="37"/>
            <x v="39"/>
            <x v="40"/>
          </reference>
        </references>
      </pivotArea>
    </format>
    <format dxfId="1409">
      <pivotArea dataOnly="0" labelOnly="1" fieldPosition="0">
        <references count="2">
          <reference field="0" count="1" selected="0">
            <x v="834"/>
          </reference>
          <reference field="6" count="10">
            <x v="5"/>
            <x v="8"/>
            <x v="11"/>
            <x v="13"/>
            <x v="15"/>
            <x v="28"/>
            <x v="31"/>
            <x v="36"/>
            <x v="37"/>
            <x v="39"/>
          </reference>
        </references>
      </pivotArea>
    </format>
    <format dxfId="1408">
      <pivotArea dataOnly="0" labelOnly="1" fieldPosition="0">
        <references count="2">
          <reference field="0" count="1" selected="0">
            <x v="835"/>
          </reference>
          <reference field="6" count="8">
            <x v="1"/>
            <x v="13"/>
            <x v="21"/>
            <x v="28"/>
            <x v="31"/>
            <x v="36"/>
            <x v="37"/>
            <x v="40"/>
          </reference>
        </references>
      </pivotArea>
    </format>
    <format dxfId="1407">
      <pivotArea dataOnly="0" labelOnly="1" fieldPosition="0">
        <references count="2">
          <reference field="0" count="1" selected="0">
            <x v="836"/>
          </reference>
          <reference field="6" count="13">
            <x v="8"/>
            <x v="11"/>
            <x v="13"/>
            <x v="15"/>
            <x v="19"/>
            <x v="22"/>
            <x v="25"/>
            <x v="28"/>
            <x v="32"/>
            <x v="35"/>
            <x v="36"/>
            <x v="39"/>
            <x v="40"/>
          </reference>
        </references>
      </pivotArea>
    </format>
    <format dxfId="1406">
      <pivotArea dataOnly="0" labelOnly="1" fieldPosition="0">
        <references count="2">
          <reference field="0" count="1" selected="0">
            <x v="837"/>
          </reference>
          <reference field="6" count="10">
            <x v="8"/>
            <x v="13"/>
            <x v="15"/>
            <x v="17"/>
            <x v="20"/>
            <x v="28"/>
            <x v="31"/>
            <x v="35"/>
            <x v="36"/>
            <x v="37"/>
          </reference>
        </references>
      </pivotArea>
    </format>
    <format dxfId="1405">
      <pivotArea dataOnly="0" labelOnly="1" fieldPosition="0">
        <references count="2">
          <reference field="0" count="1" selected="0">
            <x v="838"/>
          </reference>
          <reference field="6" count="8">
            <x v="8"/>
            <x v="13"/>
            <x v="19"/>
            <x v="31"/>
            <x v="33"/>
            <x v="35"/>
            <x v="36"/>
            <x v="37"/>
          </reference>
        </references>
      </pivotArea>
    </format>
    <format dxfId="1404">
      <pivotArea dataOnly="0" labelOnly="1" fieldPosition="0">
        <references count="2">
          <reference field="0" count="1" selected="0">
            <x v="839"/>
          </reference>
          <reference field="6" count="9">
            <x v="5"/>
            <x v="13"/>
            <x v="15"/>
            <x v="20"/>
            <x v="28"/>
            <x v="32"/>
            <x v="33"/>
            <x v="36"/>
            <x v="37"/>
          </reference>
        </references>
      </pivotArea>
    </format>
    <format dxfId="1403">
      <pivotArea dataOnly="0" labelOnly="1" fieldPosition="0">
        <references count="2">
          <reference field="0" count="1" selected="0">
            <x v="840"/>
          </reference>
          <reference field="6" count="10">
            <x v="8"/>
            <x v="13"/>
            <x v="17"/>
            <x v="24"/>
            <x v="28"/>
            <x v="31"/>
            <x v="32"/>
            <x v="35"/>
            <x v="36"/>
            <x v="37"/>
          </reference>
        </references>
      </pivotArea>
    </format>
    <format dxfId="1402">
      <pivotArea dataOnly="0" labelOnly="1" fieldPosition="0">
        <references count="2">
          <reference field="0" count="1" selected="0">
            <x v="841"/>
          </reference>
          <reference field="6" count="8">
            <x v="8"/>
            <x v="13"/>
            <x v="22"/>
            <x v="28"/>
            <x v="35"/>
            <x v="36"/>
            <x v="37"/>
            <x v="41"/>
          </reference>
        </references>
      </pivotArea>
    </format>
    <format dxfId="1401">
      <pivotArea dataOnly="0" labelOnly="1" fieldPosition="0">
        <references count="2">
          <reference field="0" count="1" selected="0">
            <x v="842"/>
          </reference>
          <reference field="6" count="5">
            <x v="13"/>
            <x v="31"/>
            <x v="35"/>
            <x v="36"/>
            <x v="40"/>
          </reference>
        </references>
      </pivotArea>
    </format>
    <format dxfId="1400">
      <pivotArea dataOnly="0" labelOnly="1" fieldPosition="0">
        <references count="2">
          <reference field="0" count="1" selected="0">
            <x v="843"/>
          </reference>
          <reference field="6" count="8">
            <x v="8"/>
            <x v="13"/>
            <x v="22"/>
            <x v="28"/>
            <x v="31"/>
            <x v="35"/>
            <x v="36"/>
            <x v="37"/>
          </reference>
        </references>
      </pivotArea>
    </format>
    <format dxfId="1399">
      <pivotArea dataOnly="0" labelOnly="1" fieldPosition="0">
        <references count="2">
          <reference field="0" count="1" selected="0">
            <x v="844"/>
          </reference>
          <reference field="6" count="8">
            <x v="3"/>
            <x v="8"/>
            <x v="13"/>
            <x v="24"/>
            <x v="35"/>
            <x v="36"/>
            <x v="37"/>
            <x v="38"/>
          </reference>
        </references>
      </pivotArea>
    </format>
    <format dxfId="1398">
      <pivotArea dataOnly="0" labelOnly="1" fieldPosition="0">
        <references count="2">
          <reference field="0" count="1" selected="0">
            <x v="845"/>
          </reference>
          <reference field="6" count="9">
            <x v="12"/>
            <x v="13"/>
            <x v="15"/>
            <x v="28"/>
            <x v="31"/>
            <x v="32"/>
            <x v="35"/>
            <x v="36"/>
            <x v="37"/>
          </reference>
        </references>
      </pivotArea>
    </format>
    <format dxfId="1397">
      <pivotArea dataOnly="0" labelOnly="1" fieldPosition="0">
        <references count="2">
          <reference field="0" count="1" selected="0">
            <x v="846"/>
          </reference>
          <reference field="6" count="7">
            <x v="3"/>
            <x v="8"/>
            <x v="13"/>
            <x v="15"/>
            <x v="31"/>
            <x v="35"/>
            <x v="36"/>
          </reference>
        </references>
      </pivotArea>
    </format>
    <format dxfId="1396">
      <pivotArea dataOnly="0" labelOnly="1" fieldPosition="0">
        <references count="2">
          <reference field="0" count="1" selected="0">
            <x v="847"/>
          </reference>
          <reference field="6" count="10">
            <x v="3"/>
            <x v="5"/>
            <x v="8"/>
            <x v="13"/>
            <x v="22"/>
            <x v="30"/>
            <x v="35"/>
            <x v="36"/>
            <x v="37"/>
            <x v="40"/>
          </reference>
        </references>
      </pivotArea>
    </format>
    <format dxfId="1395">
      <pivotArea dataOnly="0" labelOnly="1" fieldPosition="0">
        <references count="2">
          <reference field="0" count="1" selected="0">
            <x v="848"/>
          </reference>
          <reference field="6" count="8">
            <x v="13"/>
            <x v="15"/>
            <x v="21"/>
            <x v="28"/>
            <x v="31"/>
            <x v="35"/>
            <x v="36"/>
            <x v="37"/>
          </reference>
        </references>
      </pivotArea>
    </format>
    <format dxfId="1394">
      <pivotArea dataOnly="0" labelOnly="1" fieldPosition="0">
        <references count="2">
          <reference field="0" count="1" selected="0">
            <x v="849"/>
          </reference>
          <reference field="6" count="9">
            <x v="5"/>
            <x v="8"/>
            <x v="13"/>
            <x v="14"/>
            <x v="15"/>
            <x v="24"/>
            <x v="35"/>
            <x v="36"/>
            <x v="37"/>
          </reference>
        </references>
      </pivotArea>
    </format>
    <format dxfId="1393">
      <pivotArea dataOnly="0" labelOnly="1" fieldPosition="0">
        <references count="2">
          <reference field="0" count="1" selected="0">
            <x v="850"/>
          </reference>
          <reference field="6" count="10">
            <x v="5"/>
            <x v="8"/>
            <x v="12"/>
            <x v="13"/>
            <x v="28"/>
            <x v="32"/>
            <x v="35"/>
            <x v="36"/>
            <x v="37"/>
            <x v="40"/>
          </reference>
        </references>
      </pivotArea>
    </format>
    <format dxfId="1392">
      <pivotArea dataOnly="0" labelOnly="1" fieldPosition="0">
        <references count="2">
          <reference field="0" count="1" selected="0">
            <x v="851"/>
          </reference>
          <reference field="6" count="10">
            <x v="0"/>
            <x v="4"/>
            <x v="5"/>
            <x v="8"/>
            <x v="13"/>
            <x v="28"/>
            <x v="31"/>
            <x v="35"/>
            <x v="36"/>
            <x v="37"/>
          </reference>
        </references>
      </pivotArea>
    </format>
    <format dxfId="1391">
      <pivotArea dataOnly="0" labelOnly="1" fieldPosition="0">
        <references count="2">
          <reference field="0" count="1" selected="0">
            <x v="852"/>
          </reference>
          <reference field="6" count="10">
            <x v="5"/>
            <x v="8"/>
            <x v="9"/>
            <x v="13"/>
            <x v="22"/>
            <x v="28"/>
            <x v="31"/>
            <x v="35"/>
            <x v="36"/>
            <x v="37"/>
          </reference>
        </references>
      </pivotArea>
    </format>
    <format dxfId="1390">
      <pivotArea dataOnly="0" labelOnly="1" fieldPosition="0">
        <references count="2">
          <reference field="0" count="1" selected="0">
            <x v="853"/>
          </reference>
          <reference field="6" count="8">
            <x v="8"/>
            <x v="10"/>
            <x v="13"/>
            <x v="24"/>
            <x v="28"/>
            <x v="35"/>
            <x v="36"/>
            <x v="37"/>
          </reference>
        </references>
      </pivotArea>
    </format>
    <format dxfId="1389">
      <pivotArea dataOnly="0" labelOnly="1" fieldPosition="0">
        <references count="2">
          <reference field="0" count="1" selected="0">
            <x v="854"/>
          </reference>
          <reference field="6" count="6">
            <x v="5"/>
            <x v="13"/>
            <x v="31"/>
            <x v="35"/>
            <x v="36"/>
            <x v="37"/>
          </reference>
        </references>
      </pivotArea>
    </format>
    <format dxfId="1388">
      <pivotArea dataOnly="0" labelOnly="1" fieldPosition="0">
        <references count="2">
          <reference field="0" count="1" selected="0">
            <x v="855"/>
          </reference>
          <reference field="6" count="6">
            <x v="13"/>
            <x v="15"/>
            <x v="28"/>
            <x v="31"/>
            <x v="35"/>
            <x v="36"/>
          </reference>
        </references>
      </pivotArea>
    </format>
    <format dxfId="1387">
      <pivotArea dataOnly="0" labelOnly="1" fieldPosition="0">
        <references count="2">
          <reference field="0" count="1" selected="0">
            <x v="856"/>
          </reference>
          <reference field="6" count="9">
            <x v="5"/>
            <x v="13"/>
            <x v="27"/>
            <x v="31"/>
            <x v="32"/>
            <x v="35"/>
            <x v="36"/>
            <x v="37"/>
            <x v="40"/>
          </reference>
        </references>
      </pivotArea>
    </format>
    <format dxfId="1386">
      <pivotArea dataOnly="0" labelOnly="1" fieldPosition="0">
        <references count="2">
          <reference field="0" count="1" selected="0">
            <x v="857"/>
          </reference>
          <reference field="6" count="8">
            <x v="3"/>
            <x v="8"/>
            <x v="13"/>
            <x v="22"/>
            <x v="31"/>
            <x v="35"/>
            <x v="36"/>
            <x v="37"/>
          </reference>
        </references>
      </pivotArea>
    </format>
    <format dxfId="1385">
      <pivotArea dataOnly="0" labelOnly="1" fieldPosition="0">
        <references count="2">
          <reference field="0" count="1" selected="0">
            <x v="858"/>
          </reference>
          <reference field="6" count="9">
            <x v="5"/>
            <x v="7"/>
            <x v="8"/>
            <x v="13"/>
            <x v="15"/>
            <x v="21"/>
            <x v="35"/>
            <x v="36"/>
            <x v="39"/>
          </reference>
        </references>
      </pivotArea>
    </format>
    <format dxfId="1384">
      <pivotArea dataOnly="0" labelOnly="1" fieldPosition="0">
        <references count="2">
          <reference field="0" count="1" selected="0">
            <x v="859"/>
          </reference>
          <reference field="6" count="8">
            <x v="5"/>
            <x v="6"/>
            <x v="7"/>
            <x v="8"/>
            <x v="13"/>
            <x v="15"/>
            <x v="35"/>
            <x v="37"/>
          </reference>
        </references>
      </pivotArea>
    </format>
    <format dxfId="1383">
      <pivotArea dataOnly="0" labelOnly="1" fieldPosition="0">
        <references count="2">
          <reference field="0" count="1" selected="0">
            <x v="860"/>
          </reference>
          <reference field="6" count="7">
            <x v="5"/>
            <x v="8"/>
            <x v="22"/>
            <x v="33"/>
            <x v="35"/>
            <x v="36"/>
            <x v="37"/>
          </reference>
        </references>
      </pivotArea>
    </format>
    <format dxfId="1382">
      <pivotArea dataOnly="0" labelOnly="1" fieldPosition="0">
        <references count="2">
          <reference field="0" count="1" selected="0">
            <x v="861"/>
          </reference>
          <reference field="6" count="6">
            <x v="8"/>
            <x v="13"/>
            <x v="32"/>
            <x v="35"/>
            <x v="36"/>
            <x v="37"/>
          </reference>
        </references>
      </pivotArea>
    </format>
    <format dxfId="1381">
      <pivotArea dataOnly="0" labelOnly="1" fieldPosition="0">
        <references count="2">
          <reference field="0" count="1" selected="0">
            <x v="862"/>
          </reference>
          <reference field="6" count="7">
            <x v="5"/>
            <x v="8"/>
            <x v="13"/>
            <x v="25"/>
            <x v="31"/>
            <x v="35"/>
            <x v="36"/>
          </reference>
        </references>
      </pivotArea>
    </format>
    <format dxfId="1380">
      <pivotArea dataOnly="0" labelOnly="1" fieldPosition="0">
        <references count="2">
          <reference field="0" count="1" selected="0">
            <x v="863"/>
          </reference>
          <reference field="6" count="7">
            <x v="8"/>
            <x v="13"/>
            <x v="31"/>
            <x v="35"/>
            <x v="36"/>
            <x v="37"/>
            <x v="38"/>
          </reference>
        </references>
      </pivotArea>
    </format>
    <format dxfId="1379">
      <pivotArea dataOnly="0" labelOnly="1" fieldPosition="0">
        <references count="2">
          <reference field="0" count="1" selected="0">
            <x v="864"/>
          </reference>
          <reference field="6" count="7">
            <x v="5"/>
            <x v="8"/>
            <x v="15"/>
            <x v="22"/>
            <x v="35"/>
            <x v="36"/>
            <x v="37"/>
          </reference>
        </references>
      </pivotArea>
    </format>
    <format dxfId="1378">
      <pivotArea dataOnly="0" labelOnly="1" fieldPosition="0">
        <references count="2">
          <reference field="0" count="1" selected="0">
            <x v="865"/>
          </reference>
          <reference field="6" count="8">
            <x v="1"/>
            <x v="5"/>
            <x v="8"/>
            <x v="13"/>
            <x v="31"/>
            <x v="35"/>
            <x v="36"/>
            <x v="37"/>
          </reference>
        </references>
      </pivotArea>
    </format>
    <format dxfId="1377">
      <pivotArea dataOnly="0" labelOnly="1" fieldPosition="0">
        <references count="2">
          <reference field="0" count="1" selected="0">
            <x v="866"/>
          </reference>
          <reference field="6" count="7">
            <x v="13"/>
            <x v="15"/>
            <x v="22"/>
            <x v="31"/>
            <x v="35"/>
            <x v="36"/>
            <x v="40"/>
          </reference>
        </references>
      </pivotArea>
    </format>
    <format dxfId="1376">
      <pivotArea dataOnly="0" labelOnly="1" fieldPosition="0">
        <references count="2">
          <reference field="0" count="1" selected="0">
            <x v="867"/>
          </reference>
          <reference field="6" count="6">
            <x v="3"/>
            <x v="8"/>
            <x v="13"/>
            <x v="32"/>
            <x v="35"/>
            <x v="36"/>
          </reference>
        </references>
      </pivotArea>
    </format>
    <format dxfId="1375">
      <pivotArea dataOnly="0" labelOnly="1" fieldPosition="0">
        <references count="2">
          <reference field="0" count="1" selected="0">
            <x v="868"/>
          </reference>
          <reference field="6" count="5">
            <x v="13"/>
            <x v="15"/>
            <x v="31"/>
            <x v="35"/>
            <x v="36"/>
          </reference>
        </references>
      </pivotArea>
    </format>
    <format dxfId="1374">
      <pivotArea dataOnly="0" labelOnly="1" fieldPosition="0">
        <references count="2">
          <reference field="0" count="1" selected="0">
            <x v="869"/>
          </reference>
          <reference field="6" count="6">
            <x v="13"/>
            <x v="22"/>
            <x v="35"/>
            <x v="36"/>
            <x v="37"/>
            <x v="40"/>
          </reference>
        </references>
      </pivotArea>
    </format>
    <format dxfId="1373">
      <pivotArea dataOnly="0" labelOnly="1" fieldPosition="0">
        <references count="2">
          <reference field="0" count="1" selected="0">
            <x v="870"/>
          </reference>
          <reference field="6" count="9">
            <x v="3"/>
            <x v="5"/>
            <x v="8"/>
            <x v="13"/>
            <x v="31"/>
            <x v="35"/>
            <x v="36"/>
            <x v="37"/>
            <x v="40"/>
          </reference>
        </references>
      </pivotArea>
    </format>
    <format dxfId="1372">
      <pivotArea dataOnly="0" labelOnly="1" fieldPosition="0">
        <references count="2">
          <reference field="0" count="1" selected="0">
            <x v="871"/>
          </reference>
          <reference field="6" count="7">
            <x v="5"/>
            <x v="8"/>
            <x v="13"/>
            <x v="31"/>
            <x v="35"/>
            <x v="36"/>
            <x v="37"/>
          </reference>
        </references>
      </pivotArea>
    </format>
    <format dxfId="1371">
      <pivotArea dataOnly="0" labelOnly="1" fieldPosition="0">
        <references count="2">
          <reference field="0" count="1" selected="0">
            <x v="872"/>
          </reference>
          <reference field="6" count="10">
            <x v="3"/>
            <x v="8"/>
            <x v="13"/>
            <x v="21"/>
            <x v="22"/>
            <x v="31"/>
            <x v="32"/>
            <x v="35"/>
            <x v="36"/>
            <x v="37"/>
          </reference>
        </references>
      </pivotArea>
    </format>
    <format dxfId="1370">
      <pivotArea dataOnly="0" labelOnly="1" fieldPosition="0">
        <references count="2">
          <reference field="0" count="1" selected="0">
            <x v="873"/>
          </reference>
          <reference field="6" count="7">
            <x v="8"/>
            <x v="13"/>
            <x v="31"/>
            <x v="33"/>
            <x v="35"/>
            <x v="36"/>
            <x v="37"/>
          </reference>
        </references>
      </pivotArea>
    </format>
    <format dxfId="1369">
      <pivotArea dataOnly="0" labelOnly="1" fieldPosition="0">
        <references count="2">
          <reference field="0" count="1" selected="0">
            <x v="874"/>
          </reference>
          <reference field="6" count="6">
            <x v="8"/>
            <x v="26"/>
            <x v="31"/>
            <x v="35"/>
            <x v="36"/>
            <x v="37"/>
          </reference>
        </references>
      </pivotArea>
    </format>
    <format dxfId="1368">
      <pivotArea dataOnly="0" labelOnly="1" fieldPosition="0">
        <references count="2">
          <reference field="0" count="1" selected="0">
            <x v="875"/>
          </reference>
          <reference field="6" count="12">
            <x v="5"/>
            <x v="8"/>
            <x v="11"/>
            <x v="13"/>
            <x v="15"/>
            <x v="20"/>
            <x v="22"/>
            <x v="31"/>
            <x v="33"/>
            <x v="35"/>
            <x v="36"/>
            <x v="37"/>
          </reference>
        </references>
      </pivotArea>
    </format>
    <format dxfId="13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66">
      <pivotArea field="0" type="button" dataOnly="0" labelOnly="1" outline="0" axis="axisRow" fieldPosition="0"/>
    </format>
    <format dxfId="13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64">
      <pivotArea type="all" dataOnly="0" outline="0" fieldPosition="0"/>
    </format>
    <format dxfId="1363">
      <pivotArea outline="0" collapsedLevelsAreSubtotals="1" fieldPosition="0"/>
    </format>
    <format dxfId="1362">
      <pivotArea field="0" type="button" dataOnly="0" labelOnly="1" outline="0" axis="axisRow" fieldPosition="0"/>
    </format>
    <format dxfId="1361">
      <pivotArea dataOnly="0" labelOnly="1" fieldPosition="0">
        <references count="1">
          <reference field="0" count="50">
            <x v="0"/>
            <x v="746"/>
            <x v="747"/>
            <x v="748"/>
            <x v="749"/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</reference>
        </references>
      </pivotArea>
    </format>
    <format dxfId="1360">
      <pivotArea dataOnly="0" labelOnly="1" fieldPosition="0">
        <references count="1">
          <reference field="0" count="50">
            <x v="795"/>
            <x v="796"/>
            <x v="797"/>
            <x v="798"/>
            <x v="799"/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</reference>
        </references>
      </pivotArea>
    </format>
    <format dxfId="1359">
      <pivotArea dataOnly="0" labelOnly="1" fieldPosition="0">
        <references count="1">
          <reference field="0" count="31"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</reference>
        </references>
      </pivotArea>
    </format>
    <format dxfId="1358">
      <pivotArea dataOnly="0" labelOnly="1" grandRow="1" outline="0" fieldPosition="0"/>
    </format>
    <format dxfId="1357">
      <pivotArea dataOnly="0" labelOnly="1" fieldPosition="0">
        <references count="2">
          <reference field="0" count="1" selected="0">
            <x v="0"/>
          </reference>
          <reference field="6" count="1">
            <x v="42"/>
          </reference>
        </references>
      </pivotArea>
    </format>
    <format dxfId="1356">
      <pivotArea dataOnly="0" labelOnly="1" fieldPosition="0">
        <references count="2">
          <reference field="0" count="1" selected="0">
            <x v="746"/>
          </reference>
          <reference field="6" count="11">
            <x v="2"/>
            <x v="3"/>
            <x v="8"/>
            <x v="9"/>
            <x v="13"/>
            <x v="24"/>
            <x v="31"/>
            <x v="35"/>
            <x v="36"/>
            <x v="37"/>
            <x v="40"/>
          </reference>
        </references>
      </pivotArea>
    </format>
    <format dxfId="1355">
      <pivotArea dataOnly="0" labelOnly="1" fieldPosition="0">
        <references count="2">
          <reference field="0" count="1" selected="0">
            <x v="74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354">
      <pivotArea dataOnly="0" labelOnly="1" fieldPosition="0">
        <references count="2">
          <reference field="0" count="1" selected="0">
            <x v="748"/>
          </reference>
          <reference field="6" count="6">
            <x v="13"/>
            <x v="29"/>
            <x v="31"/>
            <x v="32"/>
            <x v="35"/>
            <x v="36"/>
          </reference>
        </references>
      </pivotArea>
    </format>
    <format dxfId="1353">
      <pivotArea dataOnly="0" labelOnly="1" fieldPosition="0">
        <references count="2">
          <reference field="0" count="1" selected="0">
            <x v="749"/>
          </reference>
          <reference field="6" count="5">
            <x v="8"/>
            <x v="28"/>
            <x v="31"/>
            <x v="35"/>
            <x v="37"/>
          </reference>
        </references>
      </pivotArea>
    </format>
    <format dxfId="1352">
      <pivotArea dataOnly="0" labelOnly="1" fieldPosition="0">
        <references count="2">
          <reference field="0" count="1" selected="0">
            <x v="750"/>
          </reference>
          <reference field="6" count="9">
            <x v="2"/>
            <x v="8"/>
            <x v="13"/>
            <x v="15"/>
            <x v="17"/>
            <x v="35"/>
            <x v="36"/>
            <x v="37"/>
            <x v="38"/>
          </reference>
        </references>
      </pivotArea>
    </format>
    <format dxfId="1351">
      <pivotArea dataOnly="0" labelOnly="1" fieldPosition="0">
        <references count="2">
          <reference field="0" count="1" selected="0">
            <x v="751"/>
          </reference>
          <reference field="6" count="7">
            <x v="8"/>
            <x v="13"/>
            <x v="31"/>
            <x v="35"/>
            <x v="36"/>
            <x v="37"/>
            <x v="40"/>
          </reference>
        </references>
      </pivotArea>
    </format>
    <format dxfId="1350">
      <pivotArea dataOnly="0" labelOnly="1" fieldPosition="0">
        <references count="2">
          <reference field="0" count="1" selected="0">
            <x v="752"/>
          </reference>
          <reference field="6" count="11">
            <x v="2"/>
            <x v="5"/>
            <x v="8"/>
            <x v="13"/>
            <x v="28"/>
            <x v="31"/>
            <x v="32"/>
            <x v="34"/>
            <x v="35"/>
            <x v="36"/>
            <x v="37"/>
          </reference>
        </references>
      </pivotArea>
    </format>
    <format dxfId="1349">
      <pivotArea dataOnly="0" labelOnly="1" fieldPosition="0">
        <references count="2">
          <reference field="0" count="1" selected="0">
            <x v="753"/>
          </reference>
          <reference field="6" count="7">
            <x v="8"/>
            <x v="13"/>
            <x v="15"/>
            <x v="31"/>
            <x v="35"/>
            <x v="36"/>
            <x v="37"/>
          </reference>
        </references>
      </pivotArea>
    </format>
    <format dxfId="1348">
      <pivotArea dataOnly="0" labelOnly="1" fieldPosition="0">
        <references count="2">
          <reference field="0" count="1" selected="0">
            <x v="754"/>
          </reference>
          <reference field="6" count="8">
            <x v="8"/>
            <x v="12"/>
            <x v="13"/>
            <x v="15"/>
            <x v="17"/>
            <x v="24"/>
            <x v="35"/>
            <x v="36"/>
          </reference>
        </references>
      </pivotArea>
    </format>
    <format dxfId="1347">
      <pivotArea dataOnly="0" labelOnly="1" fieldPosition="0">
        <references count="2">
          <reference field="0" count="1" selected="0">
            <x v="755"/>
          </reference>
          <reference field="6" count="10">
            <x v="2"/>
            <x v="8"/>
            <x v="13"/>
            <x v="17"/>
            <x v="24"/>
            <x v="28"/>
            <x v="31"/>
            <x v="36"/>
            <x v="37"/>
            <x v="40"/>
          </reference>
        </references>
      </pivotArea>
    </format>
    <format dxfId="1346">
      <pivotArea dataOnly="0" labelOnly="1" fieldPosition="0">
        <references count="2">
          <reference field="0" count="1" selected="0">
            <x v="756"/>
          </reference>
          <reference field="6" count="6">
            <x v="8"/>
            <x v="12"/>
            <x v="17"/>
            <x v="31"/>
            <x v="35"/>
            <x v="36"/>
          </reference>
        </references>
      </pivotArea>
    </format>
    <format dxfId="1345">
      <pivotArea dataOnly="0" labelOnly="1" fieldPosition="0">
        <references count="2">
          <reference field="0" count="1" selected="0">
            <x v="757"/>
          </reference>
          <reference field="6" count="9">
            <x v="8"/>
            <x v="13"/>
            <x v="15"/>
            <x v="16"/>
            <x v="32"/>
            <x v="35"/>
            <x v="36"/>
            <x v="37"/>
            <x v="40"/>
          </reference>
        </references>
      </pivotArea>
    </format>
    <format dxfId="1344">
      <pivotArea dataOnly="0" labelOnly="1" fieldPosition="0">
        <references count="2">
          <reference field="0" count="1" selected="0">
            <x v="758"/>
          </reference>
          <reference field="6" count="9">
            <x v="3"/>
            <x v="5"/>
            <x v="13"/>
            <x v="15"/>
            <x v="31"/>
            <x v="34"/>
            <x v="35"/>
            <x v="36"/>
            <x v="37"/>
          </reference>
        </references>
      </pivotArea>
    </format>
    <format dxfId="1343">
      <pivotArea dataOnly="0" labelOnly="1" fieldPosition="0">
        <references count="2">
          <reference field="0" count="1" selected="0">
            <x v="759"/>
          </reference>
          <reference field="6" count="11">
            <x v="2"/>
            <x v="8"/>
            <x v="13"/>
            <x v="14"/>
            <x v="20"/>
            <x v="28"/>
            <x v="31"/>
            <x v="32"/>
            <x v="36"/>
            <x v="37"/>
            <x v="40"/>
          </reference>
        </references>
      </pivotArea>
    </format>
    <format dxfId="1342">
      <pivotArea dataOnly="0" labelOnly="1" fieldPosition="0">
        <references count="2">
          <reference field="0" count="1" selected="0">
            <x v="760"/>
          </reference>
          <reference field="6" count="8">
            <x v="8"/>
            <x v="13"/>
            <x v="15"/>
            <x v="28"/>
            <x v="30"/>
            <x v="31"/>
            <x v="36"/>
            <x v="37"/>
          </reference>
        </references>
      </pivotArea>
    </format>
    <format dxfId="1341">
      <pivotArea dataOnly="0" labelOnly="1" fieldPosition="0">
        <references count="2">
          <reference field="0" count="1" selected="0">
            <x v="761"/>
          </reference>
          <reference field="6" count="9">
            <x v="2"/>
            <x v="8"/>
            <x v="13"/>
            <x v="17"/>
            <x v="28"/>
            <x v="30"/>
            <x v="31"/>
            <x v="36"/>
            <x v="37"/>
          </reference>
        </references>
      </pivotArea>
    </format>
    <format dxfId="1340">
      <pivotArea dataOnly="0" labelOnly="1" fieldPosition="0">
        <references count="2">
          <reference field="0" count="1" selected="0">
            <x v="762"/>
          </reference>
          <reference field="6" count="6">
            <x v="2"/>
            <x v="8"/>
            <x v="13"/>
            <x v="28"/>
            <x v="36"/>
            <x v="37"/>
          </reference>
        </references>
      </pivotArea>
    </format>
    <format dxfId="1339">
      <pivotArea dataOnly="0" labelOnly="1" fieldPosition="0">
        <references count="2">
          <reference field="0" count="1" selected="0">
            <x v="763"/>
          </reference>
          <reference field="6" count="6">
            <x v="2"/>
            <x v="13"/>
            <x v="15"/>
            <x v="28"/>
            <x v="35"/>
            <x v="36"/>
          </reference>
        </references>
      </pivotArea>
    </format>
    <format dxfId="1338">
      <pivotArea dataOnly="0" labelOnly="1" fieldPosition="0">
        <references count="2">
          <reference field="0" count="1" selected="0">
            <x v="764"/>
          </reference>
          <reference field="6" count="7">
            <x v="8"/>
            <x v="28"/>
            <x v="31"/>
            <x v="35"/>
            <x v="36"/>
            <x v="37"/>
            <x v="38"/>
          </reference>
        </references>
      </pivotArea>
    </format>
    <format dxfId="1337">
      <pivotArea dataOnly="0" labelOnly="1" fieldPosition="0">
        <references count="2">
          <reference field="0" count="1" selected="0">
            <x v="765"/>
          </reference>
          <reference field="6" count="6">
            <x v="8"/>
            <x v="13"/>
            <x v="28"/>
            <x v="35"/>
            <x v="36"/>
            <x v="40"/>
          </reference>
        </references>
      </pivotArea>
    </format>
    <format dxfId="1336">
      <pivotArea dataOnly="0" labelOnly="1" fieldPosition="0">
        <references count="2">
          <reference field="0" count="1" selected="0">
            <x v="766"/>
          </reference>
          <reference field="6" count="9">
            <x v="8"/>
            <x v="12"/>
            <x v="13"/>
            <x v="15"/>
            <x v="16"/>
            <x v="28"/>
            <x v="31"/>
            <x v="35"/>
            <x v="36"/>
          </reference>
        </references>
      </pivotArea>
    </format>
    <format dxfId="1335">
      <pivotArea dataOnly="0" labelOnly="1" fieldPosition="0">
        <references count="2">
          <reference field="0" count="1" selected="0">
            <x v="767"/>
          </reference>
          <reference field="6" count="5">
            <x v="8"/>
            <x v="13"/>
            <x v="28"/>
            <x v="36"/>
            <x v="37"/>
          </reference>
        </references>
      </pivotArea>
    </format>
    <format dxfId="1334">
      <pivotArea dataOnly="0" labelOnly="1" fieldPosition="0">
        <references count="2">
          <reference field="0" count="1" selected="0">
            <x v="768"/>
          </reference>
          <reference field="6" count="7">
            <x v="2"/>
            <x v="8"/>
            <x v="13"/>
            <x v="28"/>
            <x v="32"/>
            <x v="36"/>
            <x v="37"/>
          </reference>
        </references>
      </pivotArea>
    </format>
    <format dxfId="1333">
      <pivotArea dataOnly="0" labelOnly="1" fieldPosition="0">
        <references count="2">
          <reference field="0" count="1" selected="0">
            <x v="769"/>
          </reference>
          <reference field="6" count="8">
            <x v="4"/>
            <x v="8"/>
            <x v="10"/>
            <x v="13"/>
            <x v="15"/>
            <x v="28"/>
            <x v="36"/>
            <x v="37"/>
          </reference>
        </references>
      </pivotArea>
    </format>
    <format dxfId="1332">
      <pivotArea dataOnly="0" labelOnly="1" fieldPosition="0">
        <references count="2">
          <reference field="0" count="1" selected="0">
            <x v="770"/>
          </reference>
          <reference field="6" count="8">
            <x v="8"/>
            <x v="10"/>
            <x v="13"/>
            <x v="15"/>
            <x v="36"/>
            <x v="37"/>
            <x v="39"/>
            <x v="40"/>
          </reference>
        </references>
      </pivotArea>
    </format>
    <format dxfId="1331">
      <pivotArea dataOnly="0" labelOnly="1" fieldPosition="0">
        <references count="2">
          <reference field="0" count="1" selected="0">
            <x v="771"/>
          </reference>
          <reference field="6" count="10">
            <x v="2"/>
            <x v="8"/>
            <x v="13"/>
            <x v="15"/>
            <x v="17"/>
            <x v="18"/>
            <x v="24"/>
            <x v="31"/>
            <x v="36"/>
            <x v="37"/>
          </reference>
        </references>
      </pivotArea>
    </format>
    <format dxfId="1330">
      <pivotArea dataOnly="0" labelOnly="1" fieldPosition="0">
        <references count="2">
          <reference field="0" count="1" selected="0">
            <x v="772"/>
          </reference>
          <reference field="6" count="7">
            <x v="8"/>
            <x v="13"/>
            <x v="15"/>
            <x v="28"/>
            <x v="31"/>
            <x v="36"/>
            <x v="37"/>
          </reference>
        </references>
      </pivotArea>
    </format>
    <format dxfId="1329">
      <pivotArea dataOnly="0" labelOnly="1" fieldPosition="0">
        <references count="2">
          <reference field="0" count="1" selected="0">
            <x v="773"/>
          </reference>
          <reference field="6" count="6">
            <x v="2"/>
            <x v="8"/>
            <x v="15"/>
            <x v="28"/>
            <x v="36"/>
            <x v="37"/>
          </reference>
        </references>
      </pivotArea>
    </format>
    <format dxfId="1328">
      <pivotArea dataOnly="0" labelOnly="1" fieldPosition="0">
        <references count="2">
          <reference field="0" count="1" selected="0">
            <x v="774"/>
          </reference>
          <reference field="6" count="10">
            <x v="2"/>
            <x v="5"/>
            <x v="8"/>
            <x v="9"/>
            <x v="28"/>
            <x v="31"/>
            <x v="32"/>
            <x v="36"/>
            <x v="37"/>
            <x v="39"/>
          </reference>
        </references>
      </pivotArea>
    </format>
    <format dxfId="1327">
      <pivotArea dataOnly="0" labelOnly="1" fieldPosition="0">
        <references count="2">
          <reference field="0" count="1" selected="0">
            <x v="775"/>
          </reference>
          <reference field="6" count="9">
            <x v="1"/>
            <x v="2"/>
            <x v="8"/>
            <x v="15"/>
            <x v="17"/>
            <x v="31"/>
            <x v="35"/>
            <x v="36"/>
            <x v="37"/>
          </reference>
        </references>
      </pivotArea>
    </format>
    <format dxfId="1326">
      <pivotArea dataOnly="0" labelOnly="1" fieldPosition="0">
        <references count="2">
          <reference field="0" count="1" selected="0">
            <x v="776"/>
          </reference>
          <reference field="6" count="8">
            <x v="8"/>
            <x v="9"/>
            <x v="12"/>
            <x v="13"/>
            <x v="15"/>
            <x v="35"/>
            <x v="36"/>
            <x v="37"/>
          </reference>
        </references>
      </pivotArea>
    </format>
    <format dxfId="1325">
      <pivotArea dataOnly="0" labelOnly="1" fieldPosition="0">
        <references count="2">
          <reference field="0" count="1" selected="0">
            <x v="777"/>
          </reference>
          <reference field="6" count="6">
            <x v="10"/>
            <x v="13"/>
            <x v="31"/>
            <x v="36"/>
            <x v="37"/>
            <x v="40"/>
          </reference>
        </references>
      </pivotArea>
    </format>
    <format dxfId="1324">
      <pivotArea dataOnly="0" labelOnly="1" fieldPosition="0">
        <references count="2">
          <reference field="0" count="1" selected="0">
            <x v="778"/>
          </reference>
          <reference field="6" count="5">
            <x v="5"/>
            <x v="8"/>
            <x v="28"/>
            <x v="31"/>
            <x v="37"/>
          </reference>
        </references>
      </pivotArea>
    </format>
    <format dxfId="1323">
      <pivotArea dataOnly="0" labelOnly="1" fieldPosition="0">
        <references count="2">
          <reference field="0" count="1" selected="0">
            <x v="779"/>
          </reference>
          <reference field="6" count="7">
            <x v="5"/>
            <x v="13"/>
            <x v="15"/>
            <x v="32"/>
            <x v="35"/>
            <x v="36"/>
            <x v="37"/>
          </reference>
        </references>
      </pivotArea>
    </format>
    <format dxfId="1322">
      <pivotArea dataOnly="0" labelOnly="1" fieldPosition="0">
        <references count="2">
          <reference field="0" count="1" selected="0">
            <x v="780"/>
          </reference>
          <reference field="6" count="9">
            <x v="2"/>
            <x v="5"/>
            <x v="13"/>
            <x v="28"/>
            <x v="30"/>
            <x v="31"/>
            <x v="35"/>
            <x v="36"/>
            <x v="37"/>
          </reference>
        </references>
      </pivotArea>
    </format>
    <format dxfId="1321">
      <pivotArea dataOnly="0" labelOnly="1" fieldPosition="0">
        <references count="2">
          <reference field="0" count="1" selected="0">
            <x v="781"/>
          </reference>
          <reference field="6" count="10">
            <x v="2"/>
            <x v="8"/>
            <x v="13"/>
            <x v="15"/>
            <x v="28"/>
            <x v="31"/>
            <x v="34"/>
            <x v="35"/>
            <x v="36"/>
            <x v="37"/>
          </reference>
        </references>
      </pivotArea>
    </format>
    <format dxfId="1320">
      <pivotArea dataOnly="0" labelOnly="1" fieldPosition="0">
        <references count="2">
          <reference field="0" count="1" selected="0">
            <x v="782"/>
          </reference>
          <reference field="6" count="8">
            <x v="5"/>
            <x v="8"/>
            <x v="13"/>
            <x v="28"/>
            <x v="34"/>
            <x v="36"/>
            <x v="37"/>
            <x v="38"/>
          </reference>
        </references>
      </pivotArea>
    </format>
    <format dxfId="1319">
      <pivotArea dataOnly="0" labelOnly="1" fieldPosition="0">
        <references count="2">
          <reference field="0" count="1" selected="0">
            <x v="783"/>
          </reference>
          <reference field="6" count="8">
            <x v="2"/>
            <x v="5"/>
            <x v="8"/>
            <x v="13"/>
            <x v="32"/>
            <x v="36"/>
            <x v="37"/>
            <x v="41"/>
          </reference>
        </references>
      </pivotArea>
    </format>
    <format dxfId="1318">
      <pivotArea dataOnly="0" labelOnly="1" fieldPosition="0">
        <references count="2">
          <reference field="0" count="1" selected="0">
            <x v="784"/>
          </reference>
          <reference field="6" count="12">
            <x v="2"/>
            <x v="3"/>
            <x v="5"/>
            <x v="8"/>
            <x v="9"/>
            <x v="12"/>
            <x v="13"/>
            <x v="15"/>
            <x v="28"/>
            <x v="31"/>
            <x v="36"/>
            <x v="37"/>
          </reference>
        </references>
      </pivotArea>
    </format>
    <format dxfId="1317">
      <pivotArea dataOnly="0" labelOnly="1" fieldPosition="0">
        <references count="2">
          <reference field="0" count="1" selected="0">
            <x v="785"/>
          </reference>
          <reference field="6" count="11">
            <x v="5"/>
            <x v="8"/>
            <x v="10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316">
      <pivotArea dataOnly="0" labelOnly="1" fieldPosition="0">
        <references count="2">
          <reference field="0" count="1" selected="0">
            <x v="786"/>
          </reference>
          <reference field="6" count="8">
            <x v="5"/>
            <x v="8"/>
            <x v="13"/>
            <x v="15"/>
            <x v="28"/>
            <x v="35"/>
            <x v="36"/>
            <x v="37"/>
          </reference>
        </references>
      </pivotArea>
    </format>
    <format dxfId="1315">
      <pivotArea dataOnly="0" labelOnly="1" fieldPosition="0">
        <references count="2">
          <reference field="0" count="1" selected="0">
            <x v="787"/>
          </reference>
          <reference field="6" count="6">
            <x v="8"/>
            <x v="13"/>
            <x v="28"/>
            <x v="35"/>
            <x v="36"/>
            <x v="39"/>
          </reference>
        </references>
      </pivotArea>
    </format>
    <format dxfId="1314">
      <pivotArea dataOnly="0" labelOnly="1" fieldPosition="0">
        <references count="2">
          <reference field="0" count="1" selected="0">
            <x v="788"/>
          </reference>
          <reference field="6" count="10">
            <x v="8"/>
            <x v="13"/>
            <x v="15"/>
            <x v="23"/>
            <x v="27"/>
            <x v="28"/>
            <x v="31"/>
            <x v="35"/>
            <x v="36"/>
            <x v="37"/>
          </reference>
        </references>
      </pivotArea>
    </format>
    <format dxfId="1313">
      <pivotArea dataOnly="0" labelOnly="1" fieldPosition="0">
        <references count="2">
          <reference field="0" count="1" selected="0">
            <x v="789"/>
          </reference>
          <reference field="6" count="12">
            <x v="0"/>
            <x v="2"/>
            <x v="5"/>
            <x v="8"/>
            <x v="13"/>
            <x v="15"/>
            <x v="31"/>
            <x v="34"/>
            <x v="35"/>
            <x v="36"/>
            <x v="37"/>
            <x v="40"/>
          </reference>
        </references>
      </pivotArea>
    </format>
    <format dxfId="1312">
      <pivotArea dataOnly="0" labelOnly="1" fieldPosition="0">
        <references count="2">
          <reference field="0" count="1" selected="0">
            <x v="790"/>
          </reference>
          <reference field="6" count="10">
            <x v="5"/>
            <x v="8"/>
            <x v="13"/>
            <x v="14"/>
            <x v="15"/>
            <x v="28"/>
            <x v="32"/>
            <x v="35"/>
            <x v="36"/>
            <x v="37"/>
          </reference>
        </references>
      </pivotArea>
    </format>
    <format dxfId="1311">
      <pivotArea dataOnly="0" labelOnly="1" fieldPosition="0">
        <references count="2">
          <reference field="0" count="1" selected="0">
            <x v="791"/>
          </reference>
          <reference field="6" count="10">
            <x v="3"/>
            <x v="4"/>
            <x v="8"/>
            <x v="13"/>
            <x v="28"/>
            <x v="31"/>
            <x v="35"/>
            <x v="36"/>
            <x v="37"/>
            <x v="40"/>
          </reference>
        </references>
      </pivotArea>
    </format>
    <format dxfId="1310">
      <pivotArea dataOnly="0" labelOnly="1" fieldPosition="0">
        <references count="2">
          <reference field="0" count="1" selected="0">
            <x v="792"/>
          </reference>
          <reference field="6" count="6">
            <x v="13"/>
            <x v="20"/>
            <x v="28"/>
            <x v="35"/>
            <x v="36"/>
            <x v="37"/>
          </reference>
        </references>
      </pivotArea>
    </format>
    <format dxfId="1309">
      <pivotArea dataOnly="0" labelOnly="1" fieldPosition="0">
        <references count="2">
          <reference field="0" count="1" selected="0">
            <x v="793"/>
          </reference>
          <reference field="6" count="7">
            <x v="8"/>
            <x v="13"/>
            <x v="28"/>
            <x v="31"/>
            <x v="35"/>
            <x v="36"/>
            <x v="37"/>
          </reference>
        </references>
      </pivotArea>
    </format>
    <format dxfId="1308">
      <pivotArea dataOnly="0" labelOnly="1" fieldPosition="0">
        <references count="2">
          <reference field="0" count="1" selected="0">
            <x v="794"/>
          </reference>
          <reference field="6" count="9">
            <x v="8"/>
            <x v="13"/>
            <x v="15"/>
            <x v="31"/>
            <x v="35"/>
            <x v="36"/>
            <x v="37"/>
            <x v="39"/>
            <x v="40"/>
          </reference>
        </references>
      </pivotArea>
    </format>
    <format dxfId="1307">
      <pivotArea dataOnly="0" labelOnly="1" fieldPosition="0">
        <references count="2">
          <reference field="0" count="1" selected="0">
            <x v="795"/>
          </reference>
          <reference field="6" count="11">
            <x v="2"/>
            <x v="3"/>
            <x v="8"/>
            <x v="12"/>
            <x v="13"/>
            <x v="15"/>
            <x v="28"/>
            <x v="32"/>
            <x v="35"/>
            <x v="36"/>
            <x v="37"/>
          </reference>
        </references>
      </pivotArea>
    </format>
    <format dxfId="1306">
      <pivotArea dataOnly="0" labelOnly="1" fieldPosition="0">
        <references count="2">
          <reference field="0" count="1" selected="0">
            <x v="796"/>
          </reference>
          <reference field="6" count="10">
            <x v="2"/>
            <x v="4"/>
            <x v="8"/>
            <x v="10"/>
            <x v="13"/>
            <x v="17"/>
            <x v="32"/>
            <x v="35"/>
            <x v="36"/>
            <x v="40"/>
          </reference>
        </references>
      </pivotArea>
    </format>
    <format dxfId="1305">
      <pivotArea dataOnly="0" labelOnly="1" fieldPosition="0">
        <references count="2">
          <reference field="0" count="1" selected="0">
            <x v="797"/>
          </reference>
          <reference field="6" count="8">
            <x v="5"/>
            <x v="8"/>
            <x v="12"/>
            <x v="13"/>
            <x v="15"/>
            <x v="35"/>
            <x v="36"/>
            <x v="37"/>
          </reference>
        </references>
      </pivotArea>
    </format>
    <format dxfId="1304">
      <pivotArea dataOnly="0" labelOnly="1" fieldPosition="0">
        <references count="2">
          <reference field="0" count="1" selected="0">
            <x v="798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303">
      <pivotArea dataOnly="0" labelOnly="1" fieldPosition="0">
        <references count="2">
          <reference field="0" count="1" selected="0">
            <x v="799"/>
          </reference>
          <reference field="6" count="8">
            <x v="8"/>
            <x v="13"/>
            <x v="15"/>
            <x v="28"/>
            <x v="32"/>
            <x v="35"/>
            <x v="36"/>
            <x v="37"/>
          </reference>
        </references>
      </pivotArea>
    </format>
    <format dxfId="1302">
      <pivotArea dataOnly="0" labelOnly="1" fieldPosition="0">
        <references count="2">
          <reference field="0" count="1" selected="0">
            <x v="800"/>
          </reference>
          <reference field="6" count="6">
            <x v="8"/>
            <x v="10"/>
            <x v="13"/>
            <x v="35"/>
            <x v="36"/>
            <x v="37"/>
          </reference>
        </references>
      </pivotArea>
    </format>
    <format dxfId="1301">
      <pivotArea dataOnly="0" labelOnly="1" fieldPosition="0">
        <references count="2">
          <reference field="0" count="1" selected="0">
            <x v="801"/>
          </reference>
          <reference field="6" count="7">
            <x v="8"/>
            <x v="13"/>
            <x v="15"/>
            <x v="28"/>
            <x v="35"/>
            <x v="36"/>
            <x v="39"/>
          </reference>
        </references>
      </pivotArea>
    </format>
    <format dxfId="1300">
      <pivotArea dataOnly="0" labelOnly="1" fieldPosition="0">
        <references count="2">
          <reference field="0" count="1" selected="0">
            <x v="802"/>
          </reference>
          <reference field="6" count="7">
            <x v="8"/>
            <x v="13"/>
            <x v="15"/>
            <x v="24"/>
            <x v="35"/>
            <x v="36"/>
            <x v="37"/>
          </reference>
        </references>
      </pivotArea>
    </format>
    <format dxfId="1299">
      <pivotArea dataOnly="0" labelOnly="1" fieldPosition="0">
        <references count="2">
          <reference field="0" count="1" selected="0">
            <x v="803"/>
          </reference>
          <reference field="6" count="11">
            <x v="8"/>
            <x v="11"/>
            <x v="13"/>
            <x v="15"/>
            <x v="19"/>
            <x v="28"/>
            <x v="31"/>
            <x v="35"/>
            <x v="36"/>
            <x v="37"/>
            <x v="40"/>
          </reference>
        </references>
      </pivotArea>
    </format>
    <format dxfId="1298">
      <pivotArea dataOnly="0" labelOnly="1" fieldPosition="0">
        <references count="2">
          <reference field="0" count="1" selected="0">
            <x v="804"/>
          </reference>
          <reference field="6" count="8">
            <x v="8"/>
            <x v="13"/>
            <x v="15"/>
            <x v="24"/>
            <x v="32"/>
            <x v="35"/>
            <x v="36"/>
            <x v="37"/>
          </reference>
        </references>
      </pivotArea>
    </format>
    <format dxfId="1297">
      <pivotArea dataOnly="0" labelOnly="1" fieldPosition="0">
        <references count="2">
          <reference field="0" count="1" selected="0">
            <x v="805"/>
          </reference>
          <reference field="6" count="10">
            <x v="1"/>
            <x v="8"/>
            <x v="13"/>
            <x v="15"/>
            <x v="17"/>
            <x v="20"/>
            <x v="31"/>
            <x v="35"/>
            <x v="36"/>
            <x v="37"/>
          </reference>
        </references>
      </pivotArea>
    </format>
    <format dxfId="1296">
      <pivotArea dataOnly="0" labelOnly="1" fieldPosition="0">
        <references count="2">
          <reference field="0" count="1" selected="0">
            <x v="806"/>
          </reference>
          <reference field="6" count="11">
            <x v="0"/>
            <x v="2"/>
            <x v="3"/>
            <x v="8"/>
            <x v="13"/>
            <x v="17"/>
            <x v="28"/>
            <x v="31"/>
            <x v="35"/>
            <x v="36"/>
            <x v="39"/>
          </reference>
        </references>
      </pivotArea>
    </format>
    <format dxfId="1295">
      <pivotArea dataOnly="0" labelOnly="1" fieldPosition="0">
        <references count="2">
          <reference field="0" count="1" selected="0">
            <x v="807"/>
          </reference>
          <reference field="6" count="5">
            <x v="13"/>
            <x v="15"/>
            <x v="35"/>
            <x v="36"/>
            <x v="37"/>
          </reference>
        </references>
      </pivotArea>
    </format>
    <format dxfId="1294">
      <pivotArea dataOnly="0" labelOnly="1" fieldPosition="0">
        <references count="2">
          <reference field="0" count="1" selected="0">
            <x v="808"/>
          </reference>
          <reference field="6" count="5">
            <x v="8"/>
            <x v="13"/>
            <x v="15"/>
            <x v="35"/>
            <x v="36"/>
          </reference>
        </references>
      </pivotArea>
    </format>
    <format dxfId="1293">
      <pivotArea dataOnly="0" labelOnly="1" fieldPosition="0">
        <references count="2">
          <reference field="0" count="1" selected="0">
            <x v="809"/>
          </reference>
          <reference field="6" count="6">
            <x v="8"/>
            <x v="28"/>
            <x v="31"/>
            <x v="35"/>
            <x v="36"/>
            <x v="37"/>
          </reference>
        </references>
      </pivotArea>
    </format>
    <format dxfId="1292">
      <pivotArea dataOnly="0" labelOnly="1" fieldPosition="0">
        <references count="2">
          <reference field="0" count="1" selected="0">
            <x v="810"/>
          </reference>
          <reference field="6" count="6">
            <x v="13"/>
            <x v="15"/>
            <x v="31"/>
            <x v="35"/>
            <x v="36"/>
            <x v="37"/>
          </reference>
        </references>
      </pivotArea>
    </format>
    <format dxfId="1291">
      <pivotArea dataOnly="0" labelOnly="1" fieldPosition="0">
        <references count="2">
          <reference field="0" count="1" selected="0">
            <x v="811"/>
          </reference>
          <reference field="6" count="8">
            <x v="4"/>
            <x v="8"/>
            <x v="13"/>
            <x v="31"/>
            <x v="32"/>
            <x v="35"/>
            <x v="36"/>
            <x v="37"/>
          </reference>
        </references>
      </pivotArea>
    </format>
    <format dxfId="1290">
      <pivotArea dataOnly="0" labelOnly="1" fieldPosition="0">
        <references count="2">
          <reference field="0" count="1" selected="0">
            <x v="812"/>
          </reference>
          <reference field="6" count="8">
            <x v="2"/>
            <x v="8"/>
            <x v="10"/>
            <x v="12"/>
            <x v="28"/>
            <x v="31"/>
            <x v="35"/>
            <x v="36"/>
          </reference>
        </references>
      </pivotArea>
    </format>
    <format dxfId="1289">
      <pivotArea dataOnly="0" labelOnly="1" fieldPosition="0">
        <references count="2">
          <reference field="0" count="1" selected="0">
            <x v="813"/>
          </reference>
          <reference field="6" count="10">
            <x v="3"/>
            <x v="5"/>
            <x v="8"/>
            <x v="13"/>
            <x v="15"/>
            <x v="35"/>
            <x v="36"/>
            <x v="37"/>
            <x v="40"/>
            <x v="41"/>
          </reference>
        </references>
      </pivotArea>
    </format>
    <format dxfId="1288">
      <pivotArea dataOnly="0" labelOnly="1" fieldPosition="0">
        <references count="2">
          <reference field="0" count="1" selected="0">
            <x v="814"/>
          </reference>
          <reference field="6" count="10">
            <x v="8"/>
            <x v="12"/>
            <x v="13"/>
            <x v="15"/>
            <x v="28"/>
            <x v="31"/>
            <x v="35"/>
            <x v="36"/>
            <x v="37"/>
            <x v="40"/>
          </reference>
        </references>
      </pivotArea>
    </format>
    <format dxfId="1287">
      <pivotArea dataOnly="0" labelOnly="1" fieldPosition="0">
        <references count="2">
          <reference field="0" count="1" selected="0">
            <x v="815"/>
          </reference>
          <reference field="6" count="12">
            <x v="2"/>
            <x v="8"/>
            <x v="10"/>
            <x v="13"/>
            <x v="15"/>
            <x v="17"/>
            <x v="31"/>
            <x v="35"/>
            <x v="36"/>
            <x v="37"/>
            <x v="39"/>
            <x v="40"/>
          </reference>
        </references>
      </pivotArea>
    </format>
    <format dxfId="1286">
      <pivotArea dataOnly="0" labelOnly="1" fieldPosition="0">
        <references count="2">
          <reference field="0" count="1" selected="0">
            <x v="816"/>
          </reference>
          <reference field="6" count="9">
            <x v="8"/>
            <x v="13"/>
            <x v="32"/>
            <x v="33"/>
            <x v="35"/>
            <x v="36"/>
            <x v="37"/>
            <x v="39"/>
            <x v="40"/>
          </reference>
        </references>
      </pivotArea>
    </format>
    <format dxfId="1285">
      <pivotArea dataOnly="0" labelOnly="1" fieldPosition="0">
        <references count="2">
          <reference field="0" count="1" selected="0">
            <x v="817"/>
          </reference>
          <reference field="6" count="11">
            <x v="2"/>
            <x v="8"/>
            <x v="10"/>
            <x v="11"/>
            <x v="13"/>
            <x v="17"/>
            <x v="18"/>
            <x v="28"/>
            <x v="35"/>
            <x v="36"/>
            <x v="37"/>
          </reference>
        </references>
      </pivotArea>
    </format>
    <format dxfId="1284">
      <pivotArea dataOnly="0" labelOnly="1" fieldPosition="0">
        <references count="2">
          <reference field="0" count="1" selected="0">
            <x v="818"/>
          </reference>
          <reference field="6" count="9">
            <x v="4"/>
            <x v="8"/>
            <x v="13"/>
            <x v="15"/>
            <x v="28"/>
            <x v="31"/>
            <x v="35"/>
            <x v="36"/>
            <x v="37"/>
          </reference>
        </references>
      </pivotArea>
    </format>
    <format dxfId="1283">
      <pivotArea dataOnly="0" labelOnly="1" fieldPosition="0">
        <references count="2">
          <reference field="0" count="1" selected="0">
            <x v="819"/>
          </reference>
          <reference field="6" count="10">
            <x v="13"/>
            <x v="14"/>
            <x v="20"/>
            <x v="27"/>
            <x v="28"/>
            <x v="31"/>
            <x v="33"/>
            <x v="35"/>
            <x v="36"/>
            <x v="37"/>
          </reference>
        </references>
      </pivotArea>
    </format>
    <format dxfId="1282">
      <pivotArea dataOnly="0" labelOnly="1" fieldPosition="0">
        <references count="2">
          <reference field="0" count="1" selected="0">
            <x v="820"/>
          </reference>
          <reference field="6" count="13">
            <x v="2"/>
            <x v="8"/>
            <x v="10"/>
            <x v="11"/>
            <x v="12"/>
            <x v="13"/>
            <x v="15"/>
            <x v="20"/>
            <x v="28"/>
            <x v="31"/>
            <x v="35"/>
            <x v="36"/>
            <x v="40"/>
          </reference>
        </references>
      </pivotArea>
    </format>
    <format dxfId="1281">
      <pivotArea dataOnly="0" labelOnly="1" fieldPosition="0">
        <references count="2">
          <reference field="0" count="1" selected="0">
            <x v="821"/>
          </reference>
          <reference field="6" count="7">
            <x v="13"/>
            <x v="15"/>
            <x v="31"/>
            <x v="32"/>
            <x v="35"/>
            <x v="36"/>
            <x v="37"/>
          </reference>
        </references>
      </pivotArea>
    </format>
    <format dxfId="1280">
      <pivotArea dataOnly="0" labelOnly="1" fieldPosition="0">
        <references count="2">
          <reference field="0" count="1" selected="0">
            <x v="822"/>
          </reference>
          <reference field="6" count="6">
            <x v="8"/>
            <x v="13"/>
            <x v="28"/>
            <x v="35"/>
            <x v="36"/>
            <x v="37"/>
          </reference>
        </references>
      </pivotArea>
    </format>
    <format dxfId="1279">
      <pivotArea dataOnly="0" labelOnly="1" fieldPosition="0">
        <references count="2">
          <reference field="0" count="1" selected="0">
            <x v="823"/>
          </reference>
          <reference field="6" count="14">
            <x v="5"/>
            <x v="8"/>
            <x v="10"/>
            <x v="12"/>
            <x v="13"/>
            <x v="15"/>
            <x v="16"/>
            <x v="17"/>
            <x v="28"/>
            <x v="31"/>
            <x v="35"/>
            <x v="36"/>
            <x v="37"/>
            <x v="40"/>
          </reference>
        </references>
      </pivotArea>
    </format>
    <format dxfId="1278">
      <pivotArea dataOnly="0" labelOnly="1" fieldPosition="0">
        <references count="2">
          <reference field="0" count="1" selected="0">
            <x v="824"/>
          </reference>
          <reference field="6" count="10">
            <x v="4"/>
            <x v="8"/>
            <x v="13"/>
            <x v="15"/>
            <x v="24"/>
            <x v="25"/>
            <x v="28"/>
            <x v="31"/>
            <x v="35"/>
            <x v="36"/>
          </reference>
        </references>
      </pivotArea>
    </format>
    <format dxfId="1277">
      <pivotArea dataOnly="0" labelOnly="1" fieldPosition="0">
        <references count="2">
          <reference field="0" count="1" selected="0">
            <x v="825"/>
          </reference>
          <reference field="6" count="10">
            <x v="5"/>
            <x v="8"/>
            <x v="12"/>
            <x v="13"/>
            <x v="15"/>
            <x v="25"/>
            <x v="28"/>
            <x v="35"/>
            <x v="36"/>
            <x v="37"/>
          </reference>
        </references>
      </pivotArea>
    </format>
    <format dxfId="1276">
      <pivotArea dataOnly="0" labelOnly="1" fieldPosition="0">
        <references count="2">
          <reference field="0" count="1" selected="0">
            <x v="826"/>
          </reference>
          <reference field="6" count="10">
            <x v="0"/>
            <x v="7"/>
            <x v="8"/>
            <x v="13"/>
            <x v="28"/>
            <x v="31"/>
            <x v="32"/>
            <x v="35"/>
            <x v="36"/>
            <x v="38"/>
          </reference>
        </references>
      </pivotArea>
    </format>
    <format dxfId="1275">
      <pivotArea dataOnly="0" labelOnly="1" fieldPosition="0">
        <references count="2">
          <reference field="0" count="1" selected="0">
            <x v="827"/>
          </reference>
          <reference field="6" count="6">
            <x v="8"/>
            <x v="13"/>
            <x v="27"/>
            <x v="31"/>
            <x v="36"/>
            <x v="37"/>
          </reference>
        </references>
      </pivotArea>
    </format>
    <format dxfId="1274">
      <pivotArea dataOnly="0" labelOnly="1" fieldPosition="0">
        <references count="2">
          <reference field="0" count="1" selected="0">
            <x v="828"/>
          </reference>
          <reference field="6" count="6">
            <x v="5"/>
            <x v="8"/>
            <x v="13"/>
            <x v="22"/>
            <x v="31"/>
            <x v="36"/>
          </reference>
        </references>
      </pivotArea>
    </format>
    <format dxfId="1273">
      <pivotArea dataOnly="0" labelOnly="1" fieldPosition="0">
        <references count="2">
          <reference field="0" count="1" selected="0">
            <x v="829"/>
          </reference>
          <reference field="6" count="9">
            <x v="3"/>
            <x v="7"/>
            <x v="8"/>
            <x v="13"/>
            <x v="15"/>
            <x v="31"/>
            <x v="36"/>
            <x v="37"/>
            <x v="39"/>
          </reference>
        </references>
      </pivotArea>
    </format>
    <format dxfId="1272">
      <pivotArea dataOnly="0" labelOnly="1" fieldPosition="0">
        <references count="2">
          <reference field="0" count="1" selected="0">
            <x v="830"/>
          </reference>
          <reference field="6" count="8">
            <x v="5"/>
            <x v="8"/>
            <x v="11"/>
            <x v="13"/>
            <x v="28"/>
            <x v="31"/>
            <x v="36"/>
            <x v="37"/>
          </reference>
        </references>
      </pivotArea>
    </format>
    <format dxfId="1271">
      <pivotArea dataOnly="0" labelOnly="1" fieldPosition="0">
        <references count="2">
          <reference field="0" count="1" selected="0">
            <x v="831"/>
          </reference>
          <reference field="6" count="8">
            <x v="8"/>
            <x v="13"/>
            <x v="15"/>
            <x v="17"/>
            <x v="28"/>
            <x v="36"/>
            <x v="37"/>
            <x v="40"/>
          </reference>
        </references>
      </pivotArea>
    </format>
    <format dxfId="1270">
      <pivotArea dataOnly="0" labelOnly="1" fieldPosition="0">
        <references count="2">
          <reference field="0" count="1" selected="0">
            <x v="832"/>
          </reference>
          <reference field="6" count="11">
            <x v="8"/>
            <x v="13"/>
            <x v="15"/>
            <x v="27"/>
            <x v="28"/>
            <x v="31"/>
            <x v="32"/>
            <x v="35"/>
            <x v="36"/>
            <x v="37"/>
            <x v="39"/>
          </reference>
        </references>
      </pivotArea>
    </format>
    <format dxfId="1269">
      <pivotArea dataOnly="0" labelOnly="1" fieldPosition="0">
        <references count="2">
          <reference field="0" count="1" selected="0">
            <x v="833"/>
          </reference>
          <reference field="6" count="7">
            <x v="13"/>
            <x v="22"/>
            <x v="28"/>
            <x v="36"/>
            <x v="37"/>
            <x v="39"/>
            <x v="40"/>
          </reference>
        </references>
      </pivotArea>
    </format>
    <format dxfId="1268">
      <pivotArea dataOnly="0" labelOnly="1" fieldPosition="0">
        <references count="2">
          <reference field="0" count="1" selected="0">
            <x v="834"/>
          </reference>
          <reference field="6" count="10">
            <x v="5"/>
            <x v="8"/>
            <x v="11"/>
            <x v="13"/>
            <x v="15"/>
            <x v="28"/>
            <x v="31"/>
            <x v="36"/>
            <x v="37"/>
            <x v="39"/>
          </reference>
        </references>
      </pivotArea>
    </format>
    <format dxfId="1267">
      <pivotArea dataOnly="0" labelOnly="1" fieldPosition="0">
        <references count="2">
          <reference field="0" count="1" selected="0">
            <x v="835"/>
          </reference>
          <reference field="6" count="8">
            <x v="1"/>
            <x v="13"/>
            <x v="21"/>
            <x v="28"/>
            <x v="31"/>
            <x v="36"/>
            <x v="37"/>
            <x v="40"/>
          </reference>
        </references>
      </pivotArea>
    </format>
    <format dxfId="1266">
      <pivotArea dataOnly="0" labelOnly="1" fieldPosition="0">
        <references count="2">
          <reference field="0" count="1" selected="0">
            <x v="836"/>
          </reference>
          <reference field="6" count="13">
            <x v="8"/>
            <x v="11"/>
            <x v="13"/>
            <x v="15"/>
            <x v="19"/>
            <x v="22"/>
            <x v="25"/>
            <x v="28"/>
            <x v="32"/>
            <x v="35"/>
            <x v="36"/>
            <x v="39"/>
            <x v="40"/>
          </reference>
        </references>
      </pivotArea>
    </format>
    <format dxfId="1265">
      <pivotArea dataOnly="0" labelOnly="1" fieldPosition="0">
        <references count="2">
          <reference field="0" count="1" selected="0">
            <x v="837"/>
          </reference>
          <reference field="6" count="10">
            <x v="8"/>
            <x v="13"/>
            <x v="15"/>
            <x v="17"/>
            <x v="20"/>
            <x v="28"/>
            <x v="31"/>
            <x v="35"/>
            <x v="36"/>
            <x v="37"/>
          </reference>
        </references>
      </pivotArea>
    </format>
    <format dxfId="1264">
      <pivotArea dataOnly="0" labelOnly="1" fieldPosition="0">
        <references count="2">
          <reference field="0" count="1" selected="0">
            <x v="838"/>
          </reference>
          <reference field="6" count="8">
            <x v="8"/>
            <x v="13"/>
            <x v="19"/>
            <x v="31"/>
            <x v="33"/>
            <x v="35"/>
            <x v="36"/>
            <x v="37"/>
          </reference>
        </references>
      </pivotArea>
    </format>
    <format dxfId="1263">
      <pivotArea dataOnly="0" labelOnly="1" fieldPosition="0">
        <references count="2">
          <reference field="0" count="1" selected="0">
            <x v="839"/>
          </reference>
          <reference field="6" count="9">
            <x v="5"/>
            <x v="13"/>
            <x v="15"/>
            <x v="20"/>
            <x v="28"/>
            <x v="32"/>
            <x v="33"/>
            <x v="36"/>
            <x v="37"/>
          </reference>
        </references>
      </pivotArea>
    </format>
    <format dxfId="1262">
      <pivotArea dataOnly="0" labelOnly="1" fieldPosition="0">
        <references count="2">
          <reference field="0" count="1" selected="0">
            <x v="840"/>
          </reference>
          <reference field="6" count="10">
            <x v="8"/>
            <x v="13"/>
            <x v="17"/>
            <x v="24"/>
            <x v="28"/>
            <x v="31"/>
            <x v="32"/>
            <x v="35"/>
            <x v="36"/>
            <x v="37"/>
          </reference>
        </references>
      </pivotArea>
    </format>
    <format dxfId="1261">
      <pivotArea dataOnly="0" labelOnly="1" fieldPosition="0">
        <references count="2">
          <reference field="0" count="1" selected="0">
            <x v="841"/>
          </reference>
          <reference field="6" count="8">
            <x v="8"/>
            <x v="13"/>
            <x v="22"/>
            <x v="28"/>
            <x v="35"/>
            <x v="36"/>
            <x v="37"/>
            <x v="41"/>
          </reference>
        </references>
      </pivotArea>
    </format>
    <format dxfId="1260">
      <pivotArea dataOnly="0" labelOnly="1" fieldPosition="0">
        <references count="2">
          <reference field="0" count="1" selected="0">
            <x v="842"/>
          </reference>
          <reference field="6" count="5">
            <x v="13"/>
            <x v="31"/>
            <x v="35"/>
            <x v="36"/>
            <x v="40"/>
          </reference>
        </references>
      </pivotArea>
    </format>
    <format dxfId="1259">
      <pivotArea dataOnly="0" labelOnly="1" fieldPosition="0">
        <references count="2">
          <reference field="0" count="1" selected="0">
            <x v="843"/>
          </reference>
          <reference field="6" count="8">
            <x v="8"/>
            <x v="13"/>
            <x v="22"/>
            <x v="28"/>
            <x v="31"/>
            <x v="35"/>
            <x v="36"/>
            <x v="37"/>
          </reference>
        </references>
      </pivotArea>
    </format>
    <format dxfId="1258">
      <pivotArea dataOnly="0" labelOnly="1" fieldPosition="0">
        <references count="2">
          <reference field="0" count="1" selected="0">
            <x v="844"/>
          </reference>
          <reference field="6" count="8">
            <x v="3"/>
            <x v="8"/>
            <x v="13"/>
            <x v="24"/>
            <x v="35"/>
            <x v="36"/>
            <x v="37"/>
            <x v="38"/>
          </reference>
        </references>
      </pivotArea>
    </format>
    <format dxfId="1257">
      <pivotArea dataOnly="0" labelOnly="1" fieldPosition="0">
        <references count="2">
          <reference field="0" count="1" selected="0">
            <x v="845"/>
          </reference>
          <reference field="6" count="9">
            <x v="12"/>
            <x v="13"/>
            <x v="15"/>
            <x v="28"/>
            <x v="31"/>
            <x v="32"/>
            <x v="35"/>
            <x v="36"/>
            <x v="37"/>
          </reference>
        </references>
      </pivotArea>
    </format>
    <format dxfId="1256">
      <pivotArea dataOnly="0" labelOnly="1" fieldPosition="0">
        <references count="2">
          <reference field="0" count="1" selected="0">
            <x v="846"/>
          </reference>
          <reference field="6" count="7">
            <x v="3"/>
            <x v="8"/>
            <x v="13"/>
            <x v="15"/>
            <x v="31"/>
            <x v="35"/>
            <x v="36"/>
          </reference>
        </references>
      </pivotArea>
    </format>
    <format dxfId="1255">
      <pivotArea dataOnly="0" labelOnly="1" fieldPosition="0">
        <references count="2">
          <reference field="0" count="1" selected="0">
            <x v="847"/>
          </reference>
          <reference field="6" count="10">
            <x v="3"/>
            <x v="5"/>
            <x v="8"/>
            <x v="13"/>
            <x v="22"/>
            <x v="30"/>
            <x v="35"/>
            <x v="36"/>
            <x v="37"/>
            <x v="40"/>
          </reference>
        </references>
      </pivotArea>
    </format>
    <format dxfId="1254">
      <pivotArea dataOnly="0" labelOnly="1" fieldPosition="0">
        <references count="2">
          <reference field="0" count="1" selected="0">
            <x v="848"/>
          </reference>
          <reference field="6" count="8">
            <x v="13"/>
            <x v="15"/>
            <x v="21"/>
            <x v="28"/>
            <x v="31"/>
            <x v="35"/>
            <x v="36"/>
            <x v="37"/>
          </reference>
        </references>
      </pivotArea>
    </format>
    <format dxfId="1253">
      <pivotArea dataOnly="0" labelOnly="1" fieldPosition="0">
        <references count="2">
          <reference field="0" count="1" selected="0">
            <x v="849"/>
          </reference>
          <reference field="6" count="9">
            <x v="5"/>
            <x v="8"/>
            <x v="13"/>
            <x v="14"/>
            <x v="15"/>
            <x v="24"/>
            <x v="35"/>
            <x v="36"/>
            <x v="37"/>
          </reference>
        </references>
      </pivotArea>
    </format>
    <format dxfId="1252">
      <pivotArea dataOnly="0" labelOnly="1" fieldPosition="0">
        <references count="2">
          <reference field="0" count="1" selected="0">
            <x v="850"/>
          </reference>
          <reference field="6" count="10">
            <x v="5"/>
            <x v="8"/>
            <x v="12"/>
            <x v="13"/>
            <x v="28"/>
            <x v="32"/>
            <x v="35"/>
            <x v="36"/>
            <x v="37"/>
            <x v="40"/>
          </reference>
        </references>
      </pivotArea>
    </format>
    <format dxfId="1251">
      <pivotArea dataOnly="0" labelOnly="1" fieldPosition="0">
        <references count="2">
          <reference field="0" count="1" selected="0">
            <x v="851"/>
          </reference>
          <reference field="6" count="10">
            <x v="0"/>
            <x v="4"/>
            <x v="5"/>
            <x v="8"/>
            <x v="13"/>
            <x v="28"/>
            <x v="31"/>
            <x v="35"/>
            <x v="36"/>
            <x v="37"/>
          </reference>
        </references>
      </pivotArea>
    </format>
    <format dxfId="1250">
      <pivotArea dataOnly="0" labelOnly="1" fieldPosition="0">
        <references count="2">
          <reference field="0" count="1" selected="0">
            <x v="852"/>
          </reference>
          <reference field="6" count="10">
            <x v="5"/>
            <x v="8"/>
            <x v="9"/>
            <x v="13"/>
            <x v="22"/>
            <x v="28"/>
            <x v="31"/>
            <x v="35"/>
            <x v="36"/>
            <x v="37"/>
          </reference>
        </references>
      </pivotArea>
    </format>
    <format dxfId="1249">
      <pivotArea dataOnly="0" labelOnly="1" fieldPosition="0">
        <references count="2">
          <reference field="0" count="1" selected="0">
            <x v="853"/>
          </reference>
          <reference field="6" count="8">
            <x v="8"/>
            <x v="10"/>
            <x v="13"/>
            <x v="24"/>
            <x v="28"/>
            <x v="35"/>
            <x v="36"/>
            <x v="37"/>
          </reference>
        </references>
      </pivotArea>
    </format>
    <format dxfId="1248">
      <pivotArea dataOnly="0" labelOnly="1" fieldPosition="0">
        <references count="2">
          <reference field="0" count="1" selected="0">
            <x v="854"/>
          </reference>
          <reference field="6" count="6">
            <x v="5"/>
            <x v="13"/>
            <x v="31"/>
            <x v="35"/>
            <x v="36"/>
            <x v="37"/>
          </reference>
        </references>
      </pivotArea>
    </format>
    <format dxfId="1247">
      <pivotArea dataOnly="0" labelOnly="1" fieldPosition="0">
        <references count="2">
          <reference field="0" count="1" selected="0">
            <x v="855"/>
          </reference>
          <reference field="6" count="6">
            <x v="13"/>
            <x v="15"/>
            <x v="28"/>
            <x v="31"/>
            <x v="35"/>
            <x v="36"/>
          </reference>
        </references>
      </pivotArea>
    </format>
    <format dxfId="1246">
      <pivotArea dataOnly="0" labelOnly="1" fieldPosition="0">
        <references count="2">
          <reference field="0" count="1" selected="0">
            <x v="856"/>
          </reference>
          <reference field="6" count="9">
            <x v="5"/>
            <x v="13"/>
            <x v="27"/>
            <x v="31"/>
            <x v="32"/>
            <x v="35"/>
            <x v="36"/>
            <x v="37"/>
            <x v="40"/>
          </reference>
        </references>
      </pivotArea>
    </format>
    <format dxfId="1245">
      <pivotArea dataOnly="0" labelOnly="1" fieldPosition="0">
        <references count="2">
          <reference field="0" count="1" selected="0">
            <x v="857"/>
          </reference>
          <reference field="6" count="8">
            <x v="3"/>
            <x v="8"/>
            <x v="13"/>
            <x v="22"/>
            <x v="31"/>
            <x v="35"/>
            <x v="36"/>
            <x v="37"/>
          </reference>
        </references>
      </pivotArea>
    </format>
    <format dxfId="1244">
      <pivotArea dataOnly="0" labelOnly="1" fieldPosition="0">
        <references count="2">
          <reference field="0" count="1" selected="0">
            <x v="858"/>
          </reference>
          <reference field="6" count="9">
            <x v="5"/>
            <x v="7"/>
            <x v="8"/>
            <x v="13"/>
            <x v="15"/>
            <x v="21"/>
            <x v="35"/>
            <x v="36"/>
            <x v="39"/>
          </reference>
        </references>
      </pivotArea>
    </format>
    <format dxfId="1243">
      <pivotArea dataOnly="0" labelOnly="1" fieldPosition="0">
        <references count="2">
          <reference field="0" count="1" selected="0">
            <x v="859"/>
          </reference>
          <reference field="6" count="8">
            <x v="5"/>
            <x v="6"/>
            <x v="7"/>
            <x v="8"/>
            <x v="13"/>
            <x v="15"/>
            <x v="35"/>
            <x v="37"/>
          </reference>
        </references>
      </pivotArea>
    </format>
    <format dxfId="1242">
      <pivotArea dataOnly="0" labelOnly="1" fieldPosition="0">
        <references count="2">
          <reference field="0" count="1" selected="0">
            <x v="860"/>
          </reference>
          <reference field="6" count="7">
            <x v="5"/>
            <x v="8"/>
            <x v="22"/>
            <x v="33"/>
            <x v="35"/>
            <x v="36"/>
            <x v="37"/>
          </reference>
        </references>
      </pivotArea>
    </format>
    <format dxfId="1241">
      <pivotArea dataOnly="0" labelOnly="1" fieldPosition="0">
        <references count="2">
          <reference field="0" count="1" selected="0">
            <x v="861"/>
          </reference>
          <reference field="6" count="6">
            <x v="8"/>
            <x v="13"/>
            <x v="32"/>
            <x v="35"/>
            <x v="36"/>
            <x v="37"/>
          </reference>
        </references>
      </pivotArea>
    </format>
    <format dxfId="1240">
      <pivotArea dataOnly="0" labelOnly="1" fieldPosition="0">
        <references count="2">
          <reference field="0" count="1" selected="0">
            <x v="862"/>
          </reference>
          <reference field="6" count="7">
            <x v="5"/>
            <x v="8"/>
            <x v="13"/>
            <x v="25"/>
            <x v="31"/>
            <x v="35"/>
            <x v="36"/>
          </reference>
        </references>
      </pivotArea>
    </format>
    <format dxfId="1239">
      <pivotArea dataOnly="0" labelOnly="1" fieldPosition="0">
        <references count="2">
          <reference field="0" count="1" selected="0">
            <x v="863"/>
          </reference>
          <reference field="6" count="7">
            <x v="8"/>
            <x v="13"/>
            <x v="31"/>
            <x v="35"/>
            <x v="36"/>
            <x v="37"/>
            <x v="38"/>
          </reference>
        </references>
      </pivotArea>
    </format>
    <format dxfId="1238">
      <pivotArea dataOnly="0" labelOnly="1" fieldPosition="0">
        <references count="2">
          <reference field="0" count="1" selected="0">
            <x v="864"/>
          </reference>
          <reference field="6" count="7">
            <x v="5"/>
            <x v="8"/>
            <x v="15"/>
            <x v="22"/>
            <x v="35"/>
            <x v="36"/>
            <x v="37"/>
          </reference>
        </references>
      </pivotArea>
    </format>
    <format dxfId="1237">
      <pivotArea dataOnly="0" labelOnly="1" fieldPosition="0">
        <references count="2">
          <reference field="0" count="1" selected="0">
            <x v="865"/>
          </reference>
          <reference field="6" count="8">
            <x v="1"/>
            <x v="5"/>
            <x v="8"/>
            <x v="13"/>
            <x v="31"/>
            <x v="35"/>
            <x v="36"/>
            <x v="37"/>
          </reference>
        </references>
      </pivotArea>
    </format>
    <format dxfId="1236">
      <pivotArea dataOnly="0" labelOnly="1" fieldPosition="0">
        <references count="2">
          <reference field="0" count="1" selected="0">
            <x v="866"/>
          </reference>
          <reference field="6" count="7">
            <x v="13"/>
            <x v="15"/>
            <x v="22"/>
            <x v="31"/>
            <x v="35"/>
            <x v="36"/>
            <x v="40"/>
          </reference>
        </references>
      </pivotArea>
    </format>
    <format dxfId="1235">
      <pivotArea dataOnly="0" labelOnly="1" fieldPosition="0">
        <references count="2">
          <reference field="0" count="1" selected="0">
            <x v="867"/>
          </reference>
          <reference field="6" count="6">
            <x v="3"/>
            <x v="8"/>
            <x v="13"/>
            <x v="32"/>
            <x v="35"/>
            <x v="36"/>
          </reference>
        </references>
      </pivotArea>
    </format>
    <format dxfId="1234">
      <pivotArea dataOnly="0" labelOnly="1" fieldPosition="0">
        <references count="2">
          <reference field="0" count="1" selected="0">
            <x v="868"/>
          </reference>
          <reference field="6" count="5">
            <x v="13"/>
            <x v="15"/>
            <x v="31"/>
            <x v="35"/>
            <x v="36"/>
          </reference>
        </references>
      </pivotArea>
    </format>
    <format dxfId="1233">
      <pivotArea dataOnly="0" labelOnly="1" fieldPosition="0">
        <references count="2">
          <reference field="0" count="1" selected="0">
            <x v="869"/>
          </reference>
          <reference field="6" count="6">
            <x v="13"/>
            <x v="22"/>
            <x v="35"/>
            <x v="36"/>
            <x v="37"/>
            <x v="40"/>
          </reference>
        </references>
      </pivotArea>
    </format>
    <format dxfId="1232">
      <pivotArea dataOnly="0" labelOnly="1" fieldPosition="0">
        <references count="2">
          <reference field="0" count="1" selected="0">
            <x v="870"/>
          </reference>
          <reference field="6" count="9">
            <x v="3"/>
            <x v="5"/>
            <x v="8"/>
            <x v="13"/>
            <x v="31"/>
            <x v="35"/>
            <x v="36"/>
            <x v="37"/>
            <x v="40"/>
          </reference>
        </references>
      </pivotArea>
    </format>
    <format dxfId="1231">
      <pivotArea dataOnly="0" labelOnly="1" fieldPosition="0">
        <references count="2">
          <reference field="0" count="1" selected="0">
            <x v="871"/>
          </reference>
          <reference field="6" count="7">
            <x v="5"/>
            <x v="8"/>
            <x v="13"/>
            <x v="31"/>
            <x v="35"/>
            <x v="36"/>
            <x v="37"/>
          </reference>
        </references>
      </pivotArea>
    </format>
    <format dxfId="1230">
      <pivotArea dataOnly="0" labelOnly="1" fieldPosition="0">
        <references count="2">
          <reference field="0" count="1" selected="0">
            <x v="872"/>
          </reference>
          <reference field="6" count="10">
            <x v="3"/>
            <x v="8"/>
            <x v="13"/>
            <x v="21"/>
            <x v="22"/>
            <x v="31"/>
            <x v="32"/>
            <x v="35"/>
            <x v="36"/>
            <x v="37"/>
          </reference>
        </references>
      </pivotArea>
    </format>
    <format dxfId="1229">
      <pivotArea dataOnly="0" labelOnly="1" fieldPosition="0">
        <references count="2">
          <reference field="0" count="1" selected="0">
            <x v="873"/>
          </reference>
          <reference field="6" count="7">
            <x v="8"/>
            <x v="13"/>
            <x v="31"/>
            <x v="33"/>
            <x v="35"/>
            <x v="36"/>
            <x v="37"/>
          </reference>
        </references>
      </pivotArea>
    </format>
    <format dxfId="1228">
      <pivotArea dataOnly="0" labelOnly="1" fieldPosition="0">
        <references count="2">
          <reference field="0" count="1" selected="0">
            <x v="874"/>
          </reference>
          <reference field="6" count="6">
            <x v="8"/>
            <x v="26"/>
            <x v="31"/>
            <x v="35"/>
            <x v="36"/>
            <x v="37"/>
          </reference>
        </references>
      </pivotArea>
    </format>
    <format dxfId="1227">
      <pivotArea dataOnly="0" labelOnly="1" fieldPosition="0">
        <references count="2">
          <reference field="0" count="1" selected="0">
            <x v="875"/>
          </reference>
          <reference field="6" count="12">
            <x v="5"/>
            <x v="8"/>
            <x v="11"/>
            <x v="13"/>
            <x v="15"/>
            <x v="20"/>
            <x v="22"/>
            <x v="31"/>
            <x v="33"/>
            <x v="35"/>
            <x v="36"/>
            <x v="37"/>
          </reference>
        </references>
      </pivotArea>
    </format>
    <format dxfId="12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5">
      <pivotArea field="0" type="button" dataOnly="0" labelOnly="1" outline="0" axis="axisRow" fieldPosition="0"/>
    </format>
    <format dxfId="12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23">
      <pivotArea collapsedLevelsAreSubtotals="1" fieldPosition="0">
        <references count="1">
          <reference field="0" count="1">
            <x v="745"/>
          </reference>
        </references>
      </pivotArea>
    </format>
    <format dxfId="1222">
      <pivotArea collapsedLevelsAreSubtotals="1" fieldPosition="0">
        <references count="1">
          <reference field="0" count="1">
            <x v="744"/>
          </reference>
        </references>
      </pivotArea>
    </format>
    <format dxfId="1221">
      <pivotArea collapsedLevelsAreSubtotals="1" fieldPosition="0">
        <references count="1">
          <reference field="0" count="1">
            <x v="743"/>
          </reference>
        </references>
      </pivotArea>
    </format>
    <format dxfId="1220">
      <pivotArea collapsedLevelsAreSubtotals="1" fieldPosition="0">
        <references count="1">
          <reference field="0" count="1">
            <x v="742"/>
          </reference>
        </references>
      </pivotArea>
    </format>
    <format dxfId="1219">
      <pivotArea collapsedLevelsAreSubtotals="1" fieldPosition="0">
        <references count="1">
          <reference field="0" count="1">
            <x v="741"/>
          </reference>
        </references>
      </pivotArea>
    </format>
    <format dxfId="1218">
      <pivotArea collapsedLevelsAreSubtotals="1" fieldPosition="0">
        <references count="1">
          <reference field="0" count="1">
            <x v="740"/>
          </reference>
        </references>
      </pivotArea>
    </format>
    <format dxfId="1217">
      <pivotArea collapsedLevelsAreSubtotals="1" fieldPosition="0">
        <references count="1">
          <reference field="0" count="1">
            <x v="739"/>
          </reference>
        </references>
      </pivotArea>
    </format>
    <format dxfId="1216">
      <pivotArea dataOnly="0" labelOnly="1" fieldPosition="0">
        <references count="1">
          <reference field="0" count="0"/>
        </references>
      </pivotArea>
    </format>
    <format dxfId="1215">
      <pivotArea collapsedLevelsAreSubtotals="1" fieldPosition="0">
        <references count="1">
          <reference field="0" count="1">
            <x v="737"/>
          </reference>
        </references>
      </pivotArea>
    </format>
    <format dxfId="1214">
      <pivotArea collapsedLevelsAreSubtotals="1" fieldPosition="0">
        <references count="1">
          <reference field="0" count="1">
            <x v="738"/>
          </reference>
        </references>
      </pivotArea>
    </format>
    <format dxfId="1213">
      <pivotArea collapsedLevelsAreSubtotals="1" fieldPosition="0">
        <references count="1">
          <reference field="0" count="1">
            <x v="736"/>
          </reference>
        </references>
      </pivotArea>
    </format>
    <format dxfId="1212">
      <pivotArea collapsedLevelsAreSubtotals="1" fieldPosition="0">
        <references count="1">
          <reference field="0" count="1">
            <x v="735"/>
          </reference>
        </references>
      </pivotArea>
    </format>
    <format dxfId="1211">
      <pivotArea collapsedLevelsAreSubtotals="1" fieldPosition="0">
        <references count="1">
          <reference field="0" count="1">
            <x v="734"/>
          </reference>
        </references>
      </pivotArea>
    </format>
    <format dxfId="1210">
      <pivotArea collapsedLevelsAreSubtotals="1" fieldPosition="0">
        <references count="1">
          <reference field="0" count="1">
            <x v="733"/>
          </reference>
        </references>
      </pivotArea>
    </format>
    <format dxfId="1209">
      <pivotArea collapsedLevelsAreSubtotals="1" fieldPosition="0">
        <references count="1">
          <reference field="0" count="1">
            <x v="732"/>
          </reference>
        </references>
      </pivotArea>
    </format>
    <format dxfId="1208">
      <pivotArea collapsedLevelsAreSubtotals="1" fieldPosition="0">
        <references count="1">
          <reference field="0" count="1">
            <x v="731"/>
          </reference>
        </references>
      </pivotArea>
    </format>
    <format dxfId="1207">
      <pivotArea collapsedLevelsAreSubtotals="1" fieldPosition="0">
        <references count="1">
          <reference field="0" count="1">
            <x v="730"/>
          </reference>
        </references>
      </pivotArea>
    </format>
    <format dxfId="1206">
      <pivotArea collapsedLevelsAreSubtotals="1" fieldPosition="0">
        <references count="1">
          <reference field="0" count="1">
            <x v="729"/>
          </reference>
        </references>
      </pivotArea>
    </format>
    <format dxfId="1205">
      <pivotArea collapsedLevelsAreSubtotals="1" fieldPosition="0">
        <references count="1">
          <reference field="0" count="1">
            <x v="728"/>
          </reference>
        </references>
      </pivotArea>
    </format>
    <format dxfId="1204">
      <pivotArea collapsedLevelsAreSubtotals="1" fieldPosition="0">
        <references count="1">
          <reference field="0" count="1">
            <x v="727"/>
          </reference>
        </references>
      </pivotArea>
    </format>
    <format dxfId="1203">
      <pivotArea collapsedLevelsAreSubtotals="1" fieldPosition="0">
        <references count="1">
          <reference field="0" count="1">
            <x v="726"/>
          </reference>
        </references>
      </pivotArea>
    </format>
    <format dxfId="1202">
      <pivotArea collapsedLevelsAreSubtotals="1" fieldPosition="0">
        <references count="1">
          <reference field="0" count="1">
            <x v="725"/>
          </reference>
        </references>
      </pivotArea>
    </format>
    <format dxfId="1201">
      <pivotArea collapsedLevelsAreSubtotals="1" fieldPosition="0">
        <references count="1">
          <reference field="0" count="1">
            <x v="724"/>
          </reference>
        </references>
      </pivotArea>
    </format>
    <format dxfId="1200">
      <pivotArea collapsedLevelsAreSubtotals="1" fieldPosition="0">
        <references count="1">
          <reference field="0" count="1">
            <x v="723"/>
          </reference>
        </references>
      </pivotArea>
    </format>
    <format dxfId="1199">
      <pivotArea collapsedLevelsAreSubtotals="1" fieldPosition="0">
        <references count="1">
          <reference field="0" count="1">
            <x v="722"/>
          </reference>
        </references>
      </pivotArea>
    </format>
    <format dxfId="1198">
      <pivotArea collapsedLevelsAreSubtotals="1" fieldPosition="0">
        <references count="1">
          <reference field="0" count="1">
            <x v="721"/>
          </reference>
        </references>
      </pivotArea>
    </format>
    <format dxfId="1197">
      <pivotArea collapsedLevelsAreSubtotals="1" fieldPosition="0">
        <references count="1">
          <reference field="0" count="1">
            <x v="720"/>
          </reference>
        </references>
      </pivotArea>
    </format>
    <format dxfId="1196">
      <pivotArea collapsedLevelsAreSubtotals="1" fieldPosition="0">
        <references count="1">
          <reference field="0" count="1">
            <x v="719"/>
          </reference>
        </references>
      </pivotArea>
    </format>
    <format dxfId="1195">
      <pivotArea collapsedLevelsAreSubtotals="1" fieldPosition="0">
        <references count="1">
          <reference field="0" count="1">
            <x v="718"/>
          </reference>
        </references>
      </pivotArea>
    </format>
    <format dxfId="1194">
      <pivotArea collapsedLevelsAreSubtotals="1" fieldPosition="0">
        <references count="1">
          <reference field="0" count="1">
            <x v="717"/>
          </reference>
        </references>
      </pivotArea>
    </format>
    <format dxfId="1193">
      <pivotArea collapsedLevelsAreSubtotals="1" fieldPosition="0">
        <references count="1">
          <reference field="0" count="1">
            <x v="716"/>
          </reference>
        </references>
      </pivotArea>
    </format>
    <format dxfId="1192">
      <pivotArea collapsedLevelsAreSubtotals="1" fieldPosition="0">
        <references count="1">
          <reference field="0" count="1">
            <x v="715"/>
          </reference>
        </references>
      </pivotArea>
    </format>
    <format dxfId="1191">
      <pivotArea collapsedLevelsAreSubtotals="1" fieldPosition="0">
        <references count="1">
          <reference field="0" count="1">
            <x v="714"/>
          </reference>
        </references>
      </pivotArea>
    </format>
    <format dxfId="1190">
      <pivotArea collapsedLevelsAreSubtotals="1" fieldPosition="0">
        <references count="1">
          <reference field="0" count="1">
            <x v="713"/>
          </reference>
        </references>
      </pivotArea>
    </format>
    <format dxfId="1189">
      <pivotArea collapsedLevelsAreSubtotals="1" fieldPosition="0">
        <references count="1">
          <reference field="0" count="1">
            <x v="712"/>
          </reference>
        </references>
      </pivotArea>
    </format>
    <format dxfId="1188">
      <pivotArea collapsedLevelsAreSubtotals="1" fieldPosition="0">
        <references count="1">
          <reference field="0" count="1">
            <x v="711"/>
          </reference>
        </references>
      </pivotArea>
    </format>
    <format dxfId="1187">
      <pivotArea collapsedLevelsAreSubtotals="1" fieldPosition="0">
        <references count="1">
          <reference field="0" count="1">
            <x v="710"/>
          </reference>
        </references>
      </pivotArea>
    </format>
    <format dxfId="1186">
      <pivotArea collapsedLevelsAreSubtotals="1" fieldPosition="0">
        <references count="1">
          <reference field="0" count="1">
            <x v="709"/>
          </reference>
        </references>
      </pivotArea>
    </format>
    <format dxfId="1185">
      <pivotArea collapsedLevelsAreSubtotals="1" fieldPosition="0">
        <references count="1">
          <reference field="0" count="1">
            <x v="708"/>
          </reference>
        </references>
      </pivotArea>
    </format>
    <format dxfId="1184">
      <pivotArea collapsedLevelsAreSubtotals="1" fieldPosition="0">
        <references count="1">
          <reference field="0" count="1">
            <x v="707"/>
          </reference>
        </references>
      </pivotArea>
    </format>
    <format dxfId="1183">
      <pivotArea collapsedLevelsAreSubtotals="1" fieldPosition="0">
        <references count="1">
          <reference field="0" count="1">
            <x v="706"/>
          </reference>
        </references>
      </pivotArea>
    </format>
    <format dxfId="1182">
      <pivotArea collapsedLevelsAreSubtotals="1" fieldPosition="0">
        <references count="1">
          <reference field="0" count="1">
            <x v="0"/>
          </reference>
        </references>
      </pivotArea>
    </format>
    <format dxfId="1181">
      <pivotArea collapsedLevelsAreSubtotals="1" fieldPosition="0">
        <references count="1">
          <reference field="0" count="1">
            <x v="705"/>
          </reference>
        </references>
      </pivotArea>
    </format>
    <format dxfId="1180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1179">
      <pivotArea collapsedLevelsAreSubtotals="1" fieldPosition="0">
        <references count="1">
          <reference field="0" count="1">
            <x v="704"/>
          </reference>
        </references>
      </pivotArea>
    </format>
    <format dxfId="1178">
      <pivotArea collapsedLevelsAreSubtotals="1" fieldPosition="0">
        <references count="1">
          <reference field="0" count="1">
            <x v="703"/>
          </reference>
        </references>
      </pivotArea>
    </format>
    <format dxfId="1177">
      <pivotArea collapsedLevelsAreSubtotals="1" fieldPosition="0">
        <references count="1">
          <reference field="0" count="1">
            <x v="702"/>
          </reference>
        </references>
      </pivotArea>
    </format>
    <format dxfId="1176">
      <pivotArea collapsedLevelsAreSubtotals="1" fieldPosition="0">
        <references count="1">
          <reference field="0" count="1">
            <x v="701"/>
          </reference>
        </references>
      </pivotArea>
    </format>
    <format dxfId="1175">
      <pivotArea collapsedLevelsAreSubtotals="1" fieldPosition="0">
        <references count="1">
          <reference field="0" count="1">
            <x v="700"/>
          </reference>
        </references>
      </pivotArea>
    </format>
    <format dxfId="1174">
      <pivotArea collapsedLevelsAreSubtotals="1" fieldPosition="0">
        <references count="1">
          <reference field="0" count="1">
            <x v="699"/>
          </reference>
        </references>
      </pivotArea>
    </format>
    <format dxfId="1173">
      <pivotArea collapsedLevelsAreSubtotals="1" fieldPosition="0">
        <references count="1">
          <reference field="0" count="1">
            <x v="698"/>
          </reference>
        </references>
      </pivotArea>
    </format>
    <format dxfId="1172">
      <pivotArea collapsedLevelsAreSubtotals="1" fieldPosition="0">
        <references count="1">
          <reference field="0" count="1">
            <x v="697"/>
          </reference>
        </references>
      </pivotArea>
    </format>
    <format dxfId="1171">
      <pivotArea collapsedLevelsAreSubtotals="1" fieldPosition="0">
        <references count="1">
          <reference field="0" count="1">
            <x v="696"/>
          </reference>
        </references>
      </pivotArea>
    </format>
    <format dxfId="1170">
      <pivotArea collapsedLevelsAreSubtotals="1" fieldPosition="0">
        <references count="1">
          <reference field="0" count="1">
            <x v="695"/>
          </reference>
        </references>
      </pivotArea>
    </format>
    <format dxfId="1169">
      <pivotArea collapsedLevelsAreSubtotals="1" fieldPosition="0">
        <references count="1">
          <reference field="0" count="1">
            <x v="694"/>
          </reference>
        </references>
      </pivotArea>
    </format>
    <format dxfId="1168">
      <pivotArea collapsedLevelsAreSubtotals="1" fieldPosition="0">
        <references count="1">
          <reference field="0" count="1">
            <x v="693"/>
          </reference>
        </references>
      </pivotArea>
    </format>
    <format dxfId="1167">
      <pivotArea collapsedLevelsAreSubtotals="1" fieldPosition="0">
        <references count="1">
          <reference field="0" count="1">
            <x v="692"/>
          </reference>
        </references>
      </pivotArea>
    </format>
    <format dxfId="1166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1165">
      <pivotArea collapsedLevelsAreSubtotals="1" fieldPosition="0">
        <references count="1">
          <reference field="0" count="1">
            <x v="691"/>
          </reference>
        </references>
      </pivotArea>
    </format>
    <format dxfId="1164">
      <pivotArea collapsedLevelsAreSubtotals="1" fieldPosition="0">
        <references count="1">
          <reference field="0" count="1">
            <x v="690"/>
          </reference>
        </references>
      </pivotArea>
    </format>
    <format dxfId="1163">
      <pivotArea collapsedLevelsAreSubtotals="1" fieldPosition="0">
        <references count="1">
          <reference field="0" count="1">
            <x v="689"/>
          </reference>
        </references>
      </pivotArea>
    </format>
    <format dxfId="1162">
      <pivotArea collapsedLevelsAreSubtotals="1" fieldPosition="0">
        <references count="1">
          <reference field="0" count="1">
            <x v="688"/>
          </reference>
        </references>
      </pivotArea>
    </format>
    <format dxfId="1161">
      <pivotArea collapsedLevelsAreSubtotals="1" fieldPosition="0">
        <references count="1">
          <reference field="0" count="1">
            <x v="687"/>
          </reference>
        </references>
      </pivotArea>
    </format>
    <format dxfId="1160">
      <pivotArea collapsedLevelsAreSubtotals="1" fieldPosition="0">
        <references count="1">
          <reference field="0" count="1">
            <x v="686"/>
          </reference>
        </references>
      </pivotArea>
    </format>
    <format dxfId="1159">
      <pivotArea collapsedLevelsAreSubtotals="1" fieldPosition="0">
        <references count="1">
          <reference field="0" count="1">
            <x v="685"/>
          </reference>
        </references>
      </pivotArea>
    </format>
    <format dxfId="1158">
      <pivotArea collapsedLevelsAreSubtotals="1" fieldPosition="0">
        <references count="1">
          <reference field="0" count="1">
            <x v="684"/>
          </reference>
        </references>
      </pivotArea>
    </format>
    <format dxfId="1157">
      <pivotArea collapsedLevelsAreSubtotals="1" fieldPosition="0">
        <references count="1">
          <reference field="0" count="1">
            <x v="683"/>
          </reference>
        </references>
      </pivotArea>
    </format>
    <format dxfId="1156">
      <pivotArea collapsedLevelsAreSubtotals="1" fieldPosition="0">
        <references count="1">
          <reference field="0" count="1">
            <x v="682"/>
          </reference>
        </references>
      </pivotArea>
    </format>
    <format dxfId="1155">
      <pivotArea collapsedLevelsAreSubtotals="1" fieldPosition="0">
        <references count="1">
          <reference field="0" count="1">
            <x v="681"/>
          </reference>
        </references>
      </pivotArea>
    </format>
    <format dxfId="1154">
      <pivotArea collapsedLevelsAreSubtotals="1" fieldPosition="0">
        <references count="1">
          <reference field="0" count="1">
            <x v="680"/>
          </reference>
        </references>
      </pivotArea>
    </format>
    <format dxfId="1153">
      <pivotArea collapsedLevelsAreSubtotals="1" fieldPosition="0">
        <references count="1">
          <reference field="0" count="1">
            <x v="679"/>
          </reference>
        </references>
      </pivotArea>
    </format>
    <format dxfId="1152">
      <pivotArea collapsedLevelsAreSubtotals="1" fieldPosition="0">
        <references count="1">
          <reference field="0" count="1">
            <x v="678"/>
          </reference>
        </references>
      </pivotArea>
    </format>
    <format dxfId="1151">
      <pivotArea collapsedLevelsAreSubtotals="1" fieldPosition="0">
        <references count="1">
          <reference field="0" count="1">
            <x v="677"/>
          </reference>
        </references>
      </pivotArea>
    </format>
    <format dxfId="1150">
      <pivotArea collapsedLevelsAreSubtotals="1" fieldPosition="0">
        <references count="1">
          <reference field="0" count="1">
            <x v="676"/>
          </reference>
        </references>
      </pivotArea>
    </format>
    <format dxfId="1149">
      <pivotArea collapsedLevelsAreSubtotals="1" fieldPosition="0">
        <references count="1">
          <reference field="0" count="1">
            <x v="675"/>
          </reference>
        </references>
      </pivotArea>
    </format>
    <format dxfId="1148">
      <pivotArea collapsedLevelsAreSubtotals="1" fieldPosition="0">
        <references count="1">
          <reference field="0" count="1">
            <x v="674"/>
          </reference>
        </references>
      </pivotArea>
    </format>
    <format dxfId="1147">
      <pivotArea collapsedLevelsAreSubtotals="1" fieldPosition="0">
        <references count="1">
          <reference field="0" count="1">
            <x v="673"/>
          </reference>
        </references>
      </pivotArea>
    </format>
    <format dxfId="1146">
      <pivotArea collapsedLevelsAreSubtotals="1" fieldPosition="0">
        <references count="1">
          <reference field="0" count="1">
            <x v="672"/>
          </reference>
        </references>
      </pivotArea>
    </format>
    <format dxfId="1145">
      <pivotArea collapsedLevelsAreSubtotals="1" fieldPosition="0">
        <references count="1">
          <reference field="0" count="1">
            <x v="671"/>
          </reference>
        </references>
      </pivotArea>
    </format>
    <format dxfId="1144">
      <pivotArea collapsedLevelsAreSubtotals="1" fieldPosition="0">
        <references count="1">
          <reference field="0" count="1">
            <x v="670"/>
          </reference>
        </references>
      </pivotArea>
    </format>
    <format dxfId="1143">
      <pivotArea collapsedLevelsAreSubtotals="1" fieldPosition="0">
        <references count="1">
          <reference field="0" count="1">
            <x v="669"/>
          </reference>
        </references>
      </pivotArea>
    </format>
    <format dxfId="1142">
      <pivotArea collapsedLevelsAreSubtotals="1" fieldPosition="0">
        <references count="1">
          <reference field="0" count="1">
            <x v="668"/>
          </reference>
        </references>
      </pivotArea>
    </format>
    <format dxfId="1141">
      <pivotArea collapsedLevelsAreSubtotals="1" fieldPosition="0">
        <references count="1">
          <reference field="0" count="1">
            <x v="668"/>
          </reference>
        </references>
      </pivotArea>
    </format>
    <format dxfId="1140">
      <pivotArea collapsedLevelsAreSubtotals="1" fieldPosition="0">
        <references count="1">
          <reference field="0" count="1">
            <x v="667"/>
          </reference>
        </references>
      </pivotArea>
    </format>
    <format dxfId="1139">
      <pivotArea collapsedLevelsAreSubtotals="1" fieldPosition="0">
        <references count="1">
          <reference field="0" count="1">
            <x v="666"/>
          </reference>
        </references>
      </pivotArea>
    </format>
    <format dxfId="1138">
      <pivotArea collapsedLevelsAreSubtotals="1" fieldPosition="0">
        <references count="1">
          <reference field="0" count="1">
            <x v="665"/>
          </reference>
        </references>
      </pivotArea>
    </format>
    <format dxfId="1137">
      <pivotArea collapsedLevelsAreSubtotals="1" fieldPosition="0">
        <references count="1">
          <reference field="0" count="1">
            <x v="664"/>
          </reference>
        </references>
      </pivotArea>
    </format>
    <format dxfId="1136">
      <pivotArea collapsedLevelsAreSubtotals="1" fieldPosition="0">
        <references count="1">
          <reference field="0" count="1">
            <x v="663"/>
          </reference>
        </references>
      </pivotArea>
    </format>
    <format dxfId="1135">
      <pivotArea collapsedLevelsAreSubtotals="1" fieldPosition="0">
        <references count="1">
          <reference field="0" count="1">
            <x v="662"/>
          </reference>
        </references>
      </pivotArea>
    </format>
    <format dxfId="1134">
      <pivotArea collapsedLevelsAreSubtotals="1" fieldPosition="0">
        <references count="1">
          <reference field="0" count="1">
            <x v="661"/>
          </reference>
        </references>
      </pivotArea>
    </format>
    <format dxfId="1133">
      <pivotArea collapsedLevelsAreSubtotals="1" fieldPosition="0">
        <references count="1">
          <reference field="0" count="1">
            <x v="660"/>
          </reference>
        </references>
      </pivotArea>
    </format>
    <format dxfId="1132">
      <pivotArea collapsedLevelsAreSubtotals="1" fieldPosition="0">
        <references count="1">
          <reference field="0" count="1">
            <x v="659"/>
          </reference>
        </references>
      </pivotArea>
    </format>
    <format dxfId="1131">
      <pivotArea collapsedLevelsAreSubtotals="1" fieldPosition="0">
        <references count="1">
          <reference field="0" count="1">
            <x v="658"/>
          </reference>
        </references>
      </pivotArea>
    </format>
    <format dxfId="1130">
      <pivotArea collapsedLevelsAreSubtotals="1" fieldPosition="0">
        <references count="1">
          <reference field="0" count="1">
            <x v="657"/>
          </reference>
        </references>
      </pivotArea>
    </format>
    <format dxfId="1129">
      <pivotArea collapsedLevelsAreSubtotals="1" fieldPosition="0">
        <references count="1">
          <reference field="0" count="1">
            <x v="656"/>
          </reference>
        </references>
      </pivotArea>
    </format>
    <format dxfId="1128">
      <pivotArea collapsedLevelsAreSubtotals="1" fieldPosition="0">
        <references count="1">
          <reference field="0" count="1">
            <x v="655"/>
          </reference>
        </references>
      </pivotArea>
    </format>
    <format dxfId="1127">
      <pivotArea collapsedLevelsAreSubtotals="1" fieldPosition="0">
        <references count="1">
          <reference field="0" count="1">
            <x v="654"/>
          </reference>
        </references>
      </pivotArea>
    </format>
    <format dxfId="1126">
      <pivotArea collapsedLevelsAreSubtotals="1" fieldPosition="0">
        <references count="1">
          <reference field="0" count="1">
            <x v="653"/>
          </reference>
        </references>
      </pivotArea>
    </format>
    <format dxfId="1125">
      <pivotArea collapsedLevelsAreSubtotals="1" fieldPosition="0">
        <references count="1">
          <reference field="0" count="1">
            <x v="652"/>
          </reference>
        </references>
      </pivotArea>
    </format>
    <format dxfId="1124">
      <pivotArea collapsedLevelsAreSubtotals="1" fieldPosition="0">
        <references count="1">
          <reference field="0" count="1">
            <x v="651"/>
          </reference>
        </references>
      </pivotArea>
    </format>
    <format dxfId="1123">
      <pivotArea collapsedLevelsAreSubtotals="1" fieldPosition="0">
        <references count="1">
          <reference field="0" count="1">
            <x v="650"/>
          </reference>
        </references>
      </pivotArea>
    </format>
    <format dxfId="1122">
      <pivotArea collapsedLevelsAreSubtotals="1" fieldPosition="0">
        <references count="1">
          <reference field="0" count="1">
            <x v="649"/>
          </reference>
        </references>
      </pivotArea>
    </format>
    <format dxfId="1121">
      <pivotArea collapsedLevelsAreSubtotals="1" fieldPosition="0">
        <references count="1">
          <reference field="0" count="1">
            <x v="648"/>
          </reference>
        </references>
      </pivotArea>
    </format>
    <format dxfId="1120">
      <pivotArea collapsedLevelsAreSubtotals="1" fieldPosition="0">
        <references count="1">
          <reference field="0" count="1">
            <x v="647"/>
          </reference>
        </references>
      </pivotArea>
    </format>
    <format dxfId="1119">
      <pivotArea collapsedLevelsAreSubtotals="1" fieldPosition="0">
        <references count="1">
          <reference field="0" count="1">
            <x v="646"/>
          </reference>
        </references>
      </pivotArea>
    </format>
    <format dxfId="1118">
      <pivotArea collapsedLevelsAreSubtotals="1" fieldPosition="0">
        <references count="1">
          <reference field="0" count="1">
            <x v="645"/>
          </reference>
        </references>
      </pivotArea>
    </format>
    <format dxfId="1117">
      <pivotArea collapsedLevelsAreSubtotals="1" fieldPosition="0">
        <references count="1">
          <reference field="0" count="1">
            <x v="644"/>
          </reference>
        </references>
      </pivotArea>
    </format>
    <format dxfId="1116">
      <pivotArea collapsedLevelsAreSubtotals="1" fieldPosition="0">
        <references count="1">
          <reference field="0" count="1">
            <x v="643"/>
          </reference>
        </references>
      </pivotArea>
    </format>
    <format dxfId="1115">
      <pivotArea collapsedLevelsAreSubtotals="1" fieldPosition="0">
        <references count="1">
          <reference field="0" count="1">
            <x v="642"/>
          </reference>
        </references>
      </pivotArea>
    </format>
    <format dxfId="1114">
      <pivotArea collapsedLevelsAreSubtotals="1" fieldPosition="0">
        <references count="1">
          <reference field="0" count="1">
            <x v="641"/>
          </reference>
        </references>
      </pivotArea>
    </format>
    <format dxfId="1113">
      <pivotArea collapsedLevelsAreSubtotals="1" fieldPosition="0">
        <references count="1">
          <reference field="0" count="1">
            <x v="640"/>
          </reference>
        </references>
      </pivotArea>
    </format>
    <format dxfId="1112">
      <pivotArea collapsedLevelsAreSubtotals="1" fieldPosition="0">
        <references count="1">
          <reference field="0" count="1">
            <x v="639"/>
          </reference>
        </references>
      </pivotArea>
    </format>
    <format dxfId="1111">
      <pivotArea collapsedLevelsAreSubtotals="1" fieldPosition="0">
        <references count="1">
          <reference field="0" count="1">
            <x v="636"/>
          </reference>
        </references>
      </pivotArea>
    </format>
    <format dxfId="1110">
      <pivotArea collapsedLevelsAreSubtotals="1" fieldPosition="0">
        <references count="2">
          <reference field="4294967294" count="1" selected="0">
            <x v="0"/>
          </reference>
          <reference field="0" count="1">
            <x v="637"/>
          </reference>
        </references>
      </pivotArea>
    </format>
    <format dxfId="1109">
      <pivotArea collapsedLevelsAreSubtotals="1" fieldPosition="0">
        <references count="2">
          <reference field="4294967294" count="1" selected="0">
            <x v="1"/>
          </reference>
          <reference field="0" count="1">
            <x v="637"/>
          </reference>
        </references>
      </pivotArea>
    </format>
    <format dxfId="1108">
      <pivotArea collapsedLevelsAreSubtotals="1" fieldPosition="0">
        <references count="2">
          <reference field="4294967294" count="1" selected="0">
            <x v="0"/>
          </reference>
          <reference field="0" count="1">
            <x v="638"/>
          </reference>
        </references>
      </pivotArea>
    </format>
    <format dxfId="1107">
      <pivotArea collapsedLevelsAreSubtotals="1" fieldPosition="0">
        <references count="2">
          <reference field="4294967294" count="1" selected="0">
            <x v="1"/>
          </reference>
          <reference field="0" count="1">
            <x v="638"/>
          </reference>
        </references>
      </pivotArea>
    </format>
    <format dxfId="1106">
      <pivotArea collapsedLevelsAreSubtotals="1" fieldPosition="0">
        <references count="1">
          <reference field="0" count="1">
            <x v="635"/>
          </reference>
        </references>
      </pivotArea>
    </format>
    <format dxfId="1105">
      <pivotArea collapsedLevelsAreSubtotals="1" fieldPosition="0">
        <references count="1">
          <reference field="0" count="1">
            <x v="634"/>
          </reference>
        </references>
      </pivotArea>
    </format>
    <format dxfId="1104">
      <pivotArea collapsedLevelsAreSubtotals="1" fieldPosition="0">
        <references count="1">
          <reference field="0" count="1">
            <x v="633"/>
          </reference>
        </references>
      </pivotArea>
    </format>
    <format dxfId="1103">
      <pivotArea collapsedLevelsAreSubtotals="1" fieldPosition="0">
        <references count="1">
          <reference field="0" count="1">
            <x v="632"/>
          </reference>
        </references>
      </pivotArea>
    </format>
    <format dxfId="1102">
      <pivotArea collapsedLevelsAreSubtotals="1" fieldPosition="0">
        <references count="1">
          <reference field="0" count="1">
            <x v="631"/>
          </reference>
        </references>
      </pivotArea>
    </format>
    <format dxfId="1101">
      <pivotArea collapsedLevelsAreSubtotals="1" fieldPosition="0">
        <references count="1">
          <reference field="0" count="1">
            <x v="630"/>
          </reference>
        </references>
      </pivotArea>
    </format>
    <format dxfId="1100">
      <pivotArea collapsedLevelsAreSubtotals="1" fieldPosition="0">
        <references count="1">
          <reference field="0" count="1">
            <x v="629"/>
          </reference>
        </references>
      </pivotArea>
    </format>
    <format dxfId="1099">
      <pivotArea collapsedLevelsAreSubtotals="1" fieldPosition="0">
        <references count="1">
          <reference field="0" count="1">
            <x v="628"/>
          </reference>
        </references>
      </pivotArea>
    </format>
    <format dxfId="1098">
      <pivotArea collapsedLevelsAreSubtotals="1" fieldPosition="0">
        <references count="1">
          <reference field="0" count="1">
            <x v="627"/>
          </reference>
        </references>
      </pivotArea>
    </format>
    <format dxfId="1097">
      <pivotArea collapsedLevelsAreSubtotals="1" fieldPosition="0">
        <references count="1">
          <reference field="0" count="1">
            <x v="626"/>
          </reference>
        </references>
      </pivotArea>
    </format>
    <format dxfId="1096">
      <pivotArea collapsedLevelsAreSubtotals="1" fieldPosition="0">
        <references count="1">
          <reference field="0" count="1">
            <x v="625"/>
          </reference>
        </references>
      </pivotArea>
    </format>
    <format dxfId="1095">
      <pivotArea collapsedLevelsAreSubtotals="1" fieldPosition="0">
        <references count="1">
          <reference field="0" count="1">
            <x v="624"/>
          </reference>
        </references>
      </pivotArea>
    </format>
    <format dxfId="1094">
      <pivotArea collapsedLevelsAreSubtotals="1" fieldPosition="0">
        <references count="1">
          <reference field="0" count="1">
            <x v="623"/>
          </reference>
        </references>
      </pivotArea>
    </format>
    <format dxfId="1093">
      <pivotArea collapsedLevelsAreSubtotals="1" fieldPosition="0">
        <references count="1">
          <reference field="0" count="1">
            <x v="622"/>
          </reference>
        </references>
      </pivotArea>
    </format>
    <format dxfId="1092">
      <pivotArea collapsedLevelsAreSubtotals="1" fieldPosition="0">
        <references count="1">
          <reference field="0" count="1">
            <x v="621"/>
          </reference>
        </references>
      </pivotArea>
    </format>
    <format dxfId="1091">
      <pivotArea collapsedLevelsAreSubtotals="1" fieldPosition="0">
        <references count="1">
          <reference field="0" count="1">
            <x v="620"/>
          </reference>
        </references>
      </pivotArea>
    </format>
    <format dxfId="1090">
      <pivotArea collapsedLevelsAreSubtotals="1" fieldPosition="0">
        <references count="1">
          <reference field="0" count="1">
            <x v="619"/>
          </reference>
        </references>
      </pivotArea>
    </format>
    <format dxfId="1089">
      <pivotArea collapsedLevelsAreSubtotals="1" fieldPosition="0">
        <references count="1">
          <reference field="0" count="1">
            <x v="618"/>
          </reference>
        </references>
      </pivotArea>
    </format>
    <format dxfId="1088">
      <pivotArea collapsedLevelsAreSubtotals="1" fieldPosition="0">
        <references count="1">
          <reference field="0" count="1">
            <x v="617"/>
          </reference>
        </references>
      </pivotArea>
    </format>
    <format dxfId="1087">
      <pivotArea collapsedLevelsAreSubtotals="1" fieldPosition="0">
        <references count="1">
          <reference field="0" count="1">
            <x v="616"/>
          </reference>
        </references>
      </pivotArea>
    </format>
    <format dxfId="1086">
      <pivotArea collapsedLevelsAreSubtotals="1" fieldPosition="0">
        <references count="1">
          <reference field="0" count="1">
            <x v="615"/>
          </reference>
        </references>
      </pivotArea>
    </format>
    <format dxfId="1085">
      <pivotArea collapsedLevelsAreSubtotals="1" fieldPosition="0">
        <references count="1">
          <reference field="0" count="1">
            <x v="614"/>
          </reference>
        </references>
      </pivotArea>
    </format>
    <format dxfId="1084">
      <pivotArea collapsedLevelsAreSubtotals="1" fieldPosition="0">
        <references count="1">
          <reference field="0" count="1">
            <x v="613"/>
          </reference>
        </references>
      </pivotArea>
    </format>
    <format dxfId="1083">
      <pivotArea collapsedLevelsAreSubtotals="1" fieldPosition="0">
        <references count="1">
          <reference field="0" count="1">
            <x v="612"/>
          </reference>
        </references>
      </pivotArea>
    </format>
    <format dxfId="1082">
      <pivotArea collapsedLevelsAreSubtotals="1" fieldPosition="0">
        <references count="1">
          <reference field="0" count="1">
            <x v="611"/>
          </reference>
        </references>
      </pivotArea>
    </format>
    <format dxfId="1081">
      <pivotArea collapsedLevelsAreSubtotals="1" fieldPosition="0">
        <references count="1">
          <reference field="0" count="1">
            <x v="610"/>
          </reference>
        </references>
      </pivotArea>
    </format>
    <format dxfId="1080">
      <pivotArea collapsedLevelsAreSubtotals="1" fieldPosition="0">
        <references count="1">
          <reference field="0" count="1">
            <x v="609"/>
          </reference>
        </references>
      </pivotArea>
    </format>
    <format dxfId="1079">
      <pivotArea collapsedLevelsAreSubtotals="1" fieldPosition="0">
        <references count="1">
          <reference field="0" count="1">
            <x v="608"/>
          </reference>
        </references>
      </pivotArea>
    </format>
    <format dxfId="1078">
      <pivotArea collapsedLevelsAreSubtotals="1" fieldPosition="0">
        <references count="1">
          <reference field="0" count="1">
            <x v="607"/>
          </reference>
        </references>
      </pivotArea>
    </format>
    <format dxfId="1077">
      <pivotArea collapsedLevelsAreSubtotals="1" fieldPosition="0">
        <references count="1">
          <reference field="0" count="1">
            <x v="605"/>
          </reference>
        </references>
      </pivotArea>
    </format>
    <format dxfId="1076">
      <pivotArea collapsedLevelsAreSubtotals="1" fieldPosition="0">
        <references count="2">
          <reference field="4294967294" count="1" selected="0">
            <x v="0"/>
          </reference>
          <reference field="0" count="1">
            <x v="606"/>
          </reference>
        </references>
      </pivotArea>
    </format>
    <format dxfId="1075">
      <pivotArea collapsedLevelsAreSubtotals="1" fieldPosition="0">
        <references count="2">
          <reference field="4294967294" count="1" selected="0">
            <x v="1"/>
          </reference>
          <reference field="0" count="1">
            <x v="606"/>
          </reference>
        </references>
      </pivotArea>
    </format>
    <format dxfId="1074">
      <pivotArea collapsedLevelsAreSubtotals="1" fieldPosition="0">
        <references count="1">
          <reference field="0" count="1">
            <x v="604"/>
          </reference>
        </references>
      </pivotArea>
    </format>
    <format dxfId="1073">
      <pivotArea collapsedLevelsAreSubtotals="1" fieldPosition="0">
        <references count="1">
          <reference field="0" count="1">
            <x v="603"/>
          </reference>
        </references>
      </pivotArea>
    </format>
    <format dxfId="1072">
      <pivotArea collapsedLevelsAreSubtotals="1" fieldPosition="0">
        <references count="1">
          <reference field="0" count="1">
            <x v="602"/>
          </reference>
        </references>
      </pivotArea>
    </format>
    <format dxfId="1071">
      <pivotArea collapsedLevelsAreSubtotals="1" fieldPosition="0">
        <references count="1">
          <reference field="0" count="1">
            <x v="601"/>
          </reference>
        </references>
      </pivotArea>
    </format>
    <format dxfId="1070">
      <pivotArea collapsedLevelsAreSubtotals="1" fieldPosition="0">
        <references count="1">
          <reference field="0" count="1">
            <x v="600"/>
          </reference>
        </references>
      </pivotArea>
    </format>
    <format dxfId="1069">
      <pivotArea collapsedLevelsAreSubtotals="1" fieldPosition="0">
        <references count="1">
          <reference field="0" count="1">
            <x v="599"/>
          </reference>
        </references>
      </pivotArea>
    </format>
    <format dxfId="1068">
      <pivotArea collapsedLevelsAreSubtotals="1" fieldPosition="0">
        <references count="1">
          <reference field="0" count="1">
            <x v="598"/>
          </reference>
        </references>
      </pivotArea>
    </format>
    <format dxfId="1067">
      <pivotArea collapsedLevelsAreSubtotals="1" fieldPosition="0">
        <references count="1">
          <reference field="0" count="1">
            <x v="597"/>
          </reference>
        </references>
      </pivotArea>
    </format>
    <format dxfId="1066">
      <pivotArea collapsedLevelsAreSubtotals="1" fieldPosition="0">
        <references count="1">
          <reference field="0" count="1">
            <x v="596"/>
          </reference>
        </references>
      </pivotArea>
    </format>
    <format dxfId="1065">
      <pivotArea collapsedLevelsAreSubtotals="1" fieldPosition="0">
        <references count="1">
          <reference field="0" count="1">
            <x v="595"/>
          </reference>
        </references>
      </pivotArea>
    </format>
    <format dxfId="1064">
      <pivotArea collapsedLevelsAreSubtotals="1" fieldPosition="0">
        <references count="1">
          <reference field="0" count="1">
            <x v="594"/>
          </reference>
        </references>
      </pivotArea>
    </format>
    <format dxfId="1063">
      <pivotArea collapsedLevelsAreSubtotals="1" fieldPosition="0">
        <references count="1">
          <reference field="0" count="1">
            <x v="593"/>
          </reference>
        </references>
      </pivotArea>
    </format>
    <format dxfId="1062">
      <pivotArea collapsedLevelsAreSubtotals="1" fieldPosition="0">
        <references count="1">
          <reference field="0" count="1">
            <x v="592"/>
          </reference>
        </references>
      </pivotArea>
    </format>
    <format dxfId="1061">
      <pivotArea collapsedLevelsAreSubtotals="1" fieldPosition="0">
        <references count="1">
          <reference field="0" count="1">
            <x v="591"/>
          </reference>
        </references>
      </pivotArea>
    </format>
    <format dxfId="1060">
      <pivotArea collapsedLevelsAreSubtotals="1" fieldPosition="0">
        <references count="1">
          <reference field="0" count="1">
            <x v="590"/>
          </reference>
        </references>
      </pivotArea>
    </format>
    <format dxfId="1059">
      <pivotArea collapsedLevelsAreSubtotals="1" fieldPosition="0">
        <references count="1">
          <reference field="0" count="1">
            <x v="589"/>
          </reference>
        </references>
      </pivotArea>
    </format>
    <format dxfId="1058">
      <pivotArea collapsedLevelsAreSubtotals="1" fieldPosition="0">
        <references count="1">
          <reference field="0" count="1">
            <x v="588"/>
          </reference>
        </references>
      </pivotArea>
    </format>
    <format dxfId="1057">
      <pivotArea collapsedLevelsAreSubtotals="1" fieldPosition="0">
        <references count="1">
          <reference field="0" count="1">
            <x v="587"/>
          </reference>
        </references>
      </pivotArea>
    </format>
    <format dxfId="1056">
      <pivotArea collapsedLevelsAreSubtotals="1" fieldPosition="0">
        <references count="1">
          <reference field="0" count="1">
            <x v="586"/>
          </reference>
        </references>
      </pivotArea>
    </format>
    <format dxfId="1055">
      <pivotArea collapsedLevelsAreSubtotals="1" fieldPosition="0">
        <references count="1">
          <reference field="0" count="1">
            <x v="585"/>
          </reference>
        </references>
      </pivotArea>
    </format>
    <format dxfId="1054">
      <pivotArea collapsedLevelsAreSubtotals="1" fieldPosition="0">
        <references count="1">
          <reference field="0" count="1">
            <x v="584"/>
          </reference>
        </references>
      </pivotArea>
    </format>
    <format dxfId="1053">
      <pivotArea collapsedLevelsAreSubtotals="1" fieldPosition="0">
        <references count="1">
          <reference field="0" count="1">
            <x v="583"/>
          </reference>
        </references>
      </pivotArea>
    </format>
    <format dxfId="1052">
      <pivotArea collapsedLevelsAreSubtotals="1" fieldPosition="0">
        <references count="1">
          <reference field="0" count="1">
            <x v="582"/>
          </reference>
        </references>
      </pivotArea>
    </format>
    <format dxfId="1051">
      <pivotArea collapsedLevelsAreSubtotals="1" fieldPosition="0">
        <references count="1">
          <reference field="0" count="1">
            <x v="581"/>
          </reference>
        </references>
      </pivotArea>
    </format>
    <format dxfId="1050">
      <pivotArea collapsedLevelsAreSubtotals="1" fieldPosition="0">
        <references count="1">
          <reference field="0" count="1">
            <x v="580"/>
          </reference>
        </references>
      </pivotArea>
    </format>
    <format dxfId="1049">
      <pivotArea collapsedLevelsAreSubtotals="1" fieldPosition="0">
        <references count="1">
          <reference field="0" count="1">
            <x v="579"/>
          </reference>
        </references>
      </pivotArea>
    </format>
    <format dxfId="1048">
      <pivotArea collapsedLevelsAreSubtotals="1" fieldPosition="0">
        <references count="1">
          <reference field="0" count="1">
            <x v="578"/>
          </reference>
        </references>
      </pivotArea>
    </format>
    <format dxfId="1047">
      <pivotArea collapsedLevelsAreSubtotals="1" fieldPosition="0">
        <references count="1">
          <reference field="0" count="1">
            <x v="577"/>
          </reference>
        </references>
      </pivotArea>
    </format>
    <format dxfId="1046">
      <pivotArea collapsedLevelsAreSubtotals="1" fieldPosition="0">
        <references count="1">
          <reference field="0" count="1">
            <x v="576"/>
          </reference>
        </references>
      </pivotArea>
    </format>
    <format dxfId="1045">
      <pivotArea collapsedLevelsAreSubtotals="1" fieldPosition="0">
        <references count="1">
          <reference field="0" count="1">
            <x v="575"/>
          </reference>
        </references>
      </pivotArea>
    </format>
    <format dxfId="1044">
      <pivotArea collapsedLevelsAreSubtotals="1" fieldPosition="0">
        <references count="1">
          <reference field="0" count="1">
            <x v="574"/>
          </reference>
        </references>
      </pivotArea>
    </format>
    <format dxfId="1043">
      <pivotArea collapsedLevelsAreSubtotals="1" fieldPosition="0">
        <references count="1">
          <reference field="0" count="1">
            <x v="573"/>
          </reference>
        </references>
      </pivotArea>
    </format>
    <format dxfId="1042">
      <pivotArea collapsedLevelsAreSubtotals="1" fieldPosition="0">
        <references count="1">
          <reference field="0" count="1">
            <x v="572"/>
          </reference>
        </references>
      </pivotArea>
    </format>
    <format dxfId="1041">
      <pivotArea collapsedLevelsAreSubtotals="1" fieldPosition="0">
        <references count="1">
          <reference field="0" count="1">
            <x v="571"/>
          </reference>
        </references>
      </pivotArea>
    </format>
    <format dxfId="1040">
      <pivotArea collapsedLevelsAreSubtotals="1" fieldPosition="0">
        <references count="1">
          <reference field="0" count="1">
            <x v="570"/>
          </reference>
        </references>
      </pivotArea>
    </format>
    <format dxfId="1039">
      <pivotArea collapsedLevelsAreSubtotals="1" fieldPosition="0">
        <references count="1">
          <reference field="0" count="1">
            <x v="569"/>
          </reference>
        </references>
      </pivotArea>
    </format>
    <format dxfId="1038">
      <pivotArea collapsedLevelsAreSubtotals="1" fieldPosition="0">
        <references count="1">
          <reference field="0" count="1">
            <x v="568"/>
          </reference>
        </references>
      </pivotArea>
    </format>
    <format dxfId="1037">
      <pivotArea collapsedLevelsAreSubtotals="1" fieldPosition="0">
        <references count="1">
          <reference field="0" count="1">
            <x v="567"/>
          </reference>
        </references>
      </pivotArea>
    </format>
    <format dxfId="1036">
      <pivotArea collapsedLevelsAreSubtotals="1" fieldPosition="0">
        <references count="1">
          <reference field="0" count="1">
            <x v="566"/>
          </reference>
        </references>
      </pivotArea>
    </format>
    <format dxfId="1035">
      <pivotArea collapsedLevelsAreSubtotals="1" fieldPosition="0">
        <references count="1">
          <reference field="0" count="1">
            <x v="565"/>
          </reference>
        </references>
      </pivotArea>
    </format>
    <format dxfId="1034">
      <pivotArea collapsedLevelsAreSubtotals="1" fieldPosition="0">
        <references count="1">
          <reference field="0" count="1">
            <x v="564"/>
          </reference>
        </references>
      </pivotArea>
    </format>
    <format dxfId="1033">
      <pivotArea collapsedLevelsAreSubtotals="1" fieldPosition="0">
        <references count="1">
          <reference field="0" count="1">
            <x v="563"/>
          </reference>
        </references>
      </pivotArea>
    </format>
    <format dxfId="1032">
      <pivotArea collapsedLevelsAreSubtotals="1" fieldPosition="0">
        <references count="1">
          <reference field="0" count="1">
            <x v="562"/>
          </reference>
        </references>
      </pivotArea>
    </format>
    <format dxfId="1031">
      <pivotArea collapsedLevelsAreSubtotals="1" fieldPosition="0">
        <references count="1">
          <reference field="0" count="1">
            <x v="561"/>
          </reference>
        </references>
      </pivotArea>
    </format>
    <format dxfId="1030">
      <pivotArea collapsedLevelsAreSubtotals="1" fieldPosition="0">
        <references count="1">
          <reference field="0" count="1">
            <x v="560"/>
          </reference>
        </references>
      </pivotArea>
    </format>
    <format dxfId="1029">
      <pivotArea collapsedLevelsAreSubtotals="1" fieldPosition="0">
        <references count="1">
          <reference field="0" count="1">
            <x v="559"/>
          </reference>
        </references>
      </pivotArea>
    </format>
    <format dxfId="1028">
      <pivotArea collapsedLevelsAreSubtotals="1" fieldPosition="0">
        <references count="1">
          <reference field="0" count="1">
            <x v="558"/>
          </reference>
        </references>
      </pivotArea>
    </format>
    <format dxfId="1027">
      <pivotArea collapsedLevelsAreSubtotals="1" fieldPosition="0">
        <references count="1">
          <reference field="0" count="1">
            <x v="557"/>
          </reference>
        </references>
      </pivotArea>
    </format>
    <format dxfId="1026">
      <pivotArea collapsedLevelsAreSubtotals="1" fieldPosition="0">
        <references count="1">
          <reference field="0" count="1">
            <x v="556"/>
          </reference>
        </references>
      </pivotArea>
    </format>
    <format dxfId="1025">
      <pivotArea collapsedLevelsAreSubtotals="1" fieldPosition="0">
        <references count="1">
          <reference field="0" count="1">
            <x v="555"/>
          </reference>
        </references>
      </pivotArea>
    </format>
    <format dxfId="1024">
      <pivotArea collapsedLevelsAreSubtotals="1" fieldPosition="0">
        <references count="1">
          <reference field="0" count="1">
            <x v="554"/>
          </reference>
        </references>
      </pivotArea>
    </format>
    <format dxfId="1023">
      <pivotArea collapsedLevelsAreSubtotals="1" fieldPosition="0">
        <references count="1">
          <reference field="0" count="1">
            <x v="553"/>
          </reference>
        </references>
      </pivotArea>
    </format>
    <format dxfId="1022">
      <pivotArea collapsedLevelsAreSubtotals="1" fieldPosition="0">
        <references count="1">
          <reference field="0" count="1">
            <x v="552"/>
          </reference>
        </references>
      </pivotArea>
    </format>
    <format dxfId="1021">
      <pivotArea collapsedLevelsAreSubtotals="1" fieldPosition="0">
        <references count="1">
          <reference field="0" count="1">
            <x v="551"/>
          </reference>
        </references>
      </pivotArea>
    </format>
    <format dxfId="1020">
      <pivotArea collapsedLevelsAreSubtotals="1" fieldPosition="0">
        <references count="1">
          <reference field="0" count="1">
            <x v="550"/>
          </reference>
        </references>
      </pivotArea>
    </format>
    <format dxfId="1019">
      <pivotArea collapsedLevelsAreSubtotals="1" fieldPosition="0">
        <references count="1">
          <reference field="0" count="1">
            <x v="549"/>
          </reference>
        </references>
      </pivotArea>
    </format>
    <format dxfId="1018">
      <pivotArea collapsedLevelsAreSubtotals="1" fieldPosition="0">
        <references count="1">
          <reference field="0" count="1">
            <x v="548"/>
          </reference>
        </references>
      </pivotArea>
    </format>
    <format dxfId="1017">
      <pivotArea collapsedLevelsAreSubtotals="1" fieldPosition="0">
        <references count="1">
          <reference field="0" count="1">
            <x v="547"/>
          </reference>
        </references>
      </pivotArea>
    </format>
    <format dxfId="1016">
      <pivotArea collapsedLevelsAreSubtotals="1" fieldPosition="0">
        <references count="1">
          <reference field="0" count="1">
            <x v="546"/>
          </reference>
        </references>
      </pivotArea>
    </format>
    <format dxfId="1015">
      <pivotArea collapsedLevelsAreSubtotals="1" fieldPosition="0">
        <references count="1">
          <reference field="0" count="1">
            <x v="545"/>
          </reference>
        </references>
      </pivotArea>
    </format>
    <format dxfId="1014">
      <pivotArea collapsedLevelsAreSubtotals="1" fieldPosition="0">
        <references count="1">
          <reference field="0" count="1">
            <x v="544"/>
          </reference>
        </references>
      </pivotArea>
    </format>
    <format dxfId="1013">
      <pivotArea collapsedLevelsAreSubtotals="1" fieldPosition="0">
        <references count="1">
          <reference field="0" count="1">
            <x v="543"/>
          </reference>
        </references>
      </pivotArea>
    </format>
    <format dxfId="1012">
      <pivotArea collapsedLevelsAreSubtotals="1" fieldPosition="0">
        <references count="1">
          <reference field="0" count="1">
            <x v="542"/>
          </reference>
        </references>
      </pivotArea>
    </format>
    <format dxfId="1011">
      <pivotArea collapsedLevelsAreSubtotals="1" fieldPosition="0">
        <references count="1">
          <reference field="0" count="1">
            <x v="541"/>
          </reference>
        </references>
      </pivotArea>
    </format>
    <format dxfId="1010">
      <pivotArea collapsedLevelsAreSubtotals="1" fieldPosition="0">
        <references count="1">
          <reference field="0" count="1">
            <x v="540"/>
          </reference>
        </references>
      </pivotArea>
    </format>
    <format dxfId="1009">
      <pivotArea collapsedLevelsAreSubtotals="1" fieldPosition="0">
        <references count="1">
          <reference field="0" count="1">
            <x v="539"/>
          </reference>
        </references>
      </pivotArea>
    </format>
    <format dxfId="1008">
      <pivotArea collapsedLevelsAreSubtotals="1" fieldPosition="0">
        <references count="1">
          <reference field="0" count="1">
            <x v="538"/>
          </reference>
        </references>
      </pivotArea>
    </format>
    <format dxfId="1007">
      <pivotArea collapsedLevelsAreSubtotals="1" fieldPosition="0">
        <references count="1">
          <reference field="0" count="1">
            <x v="537"/>
          </reference>
        </references>
      </pivotArea>
    </format>
    <format dxfId="1006">
      <pivotArea collapsedLevelsAreSubtotals="1" fieldPosition="0">
        <references count="1">
          <reference field="0" count="1">
            <x v="536"/>
          </reference>
        </references>
      </pivotArea>
    </format>
    <format dxfId="1005">
      <pivotArea collapsedLevelsAreSubtotals="1" fieldPosition="0">
        <references count="1">
          <reference field="0" count="1">
            <x v="535"/>
          </reference>
        </references>
      </pivotArea>
    </format>
    <format dxfId="1004">
      <pivotArea collapsedLevelsAreSubtotals="1" fieldPosition="0">
        <references count="1">
          <reference field="0" count="1">
            <x v="534"/>
          </reference>
        </references>
      </pivotArea>
    </format>
    <format dxfId="1003">
      <pivotArea collapsedLevelsAreSubtotals="1" fieldPosition="0">
        <references count="1">
          <reference field="0" count="1">
            <x v="533"/>
          </reference>
        </references>
      </pivotArea>
    </format>
    <format dxfId="1002">
      <pivotArea collapsedLevelsAreSubtotals="1" fieldPosition="0">
        <references count="1">
          <reference field="0" count="1">
            <x v="532"/>
          </reference>
        </references>
      </pivotArea>
    </format>
    <format dxfId="1001">
      <pivotArea collapsedLevelsAreSubtotals="1" fieldPosition="0">
        <references count="1">
          <reference field="0" count="1">
            <x v="531"/>
          </reference>
        </references>
      </pivotArea>
    </format>
    <format dxfId="1000">
      <pivotArea collapsedLevelsAreSubtotals="1" fieldPosition="0">
        <references count="1">
          <reference field="0" count="1">
            <x v="530"/>
          </reference>
        </references>
      </pivotArea>
    </format>
    <format dxfId="999">
      <pivotArea collapsedLevelsAreSubtotals="1" fieldPosition="0">
        <references count="1">
          <reference field="0" count="1">
            <x v="529"/>
          </reference>
        </references>
      </pivotArea>
    </format>
    <format dxfId="998">
      <pivotArea collapsedLevelsAreSubtotals="1" fieldPosition="0">
        <references count="1">
          <reference field="0" count="1">
            <x v="528"/>
          </reference>
        </references>
      </pivotArea>
    </format>
    <format dxfId="997">
      <pivotArea collapsedLevelsAreSubtotals="1" fieldPosition="0">
        <references count="2">
          <reference field="0" count="1" selected="0">
            <x v="0"/>
          </reference>
          <reference field="6" count="1">
            <x v="42"/>
          </reference>
        </references>
      </pivotArea>
    </format>
    <format dxfId="996">
      <pivotArea collapsedLevelsAreSubtotals="1" fieldPosition="0">
        <references count="1">
          <reference field="0" count="1">
            <x v="527"/>
          </reference>
        </references>
      </pivotArea>
    </format>
    <format dxfId="99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6" count="1">
            <x v="42"/>
          </reference>
        </references>
      </pivotArea>
    </format>
    <format dxfId="994">
      <pivotArea collapsedLevelsAreSubtotals="1" fieldPosition="0">
        <references count="1">
          <reference field="0" count="1">
            <x v="526"/>
          </reference>
        </references>
      </pivotArea>
    </format>
    <format dxfId="993">
      <pivotArea collapsedLevelsAreSubtotals="1" fieldPosition="0">
        <references count="1">
          <reference field="0" count="1">
            <x v="525"/>
          </reference>
        </references>
      </pivotArea>
    </format>
    <format dxfId="992">
      <pivotArea collapsedLevelsAreSubtotals="1" fieldPosition="0">
        <references count="1">
          <reference field="0" count="1">
            <x v="524"/>
          </reference>
        </references>
      </pivotArea>
    </format>
    <format dxfId="991">
      <pivotArea collapsedLevelsAreSubtotals="1" fieldPosition="0">
        <references count="1">
          <reference field="0" count="1">
            <x v="523"/>
          </reference>
        </references>
      </pivotArea>
    </format>
    <format dxfId="990">
      <pivotArea collapsedLevelsAreSubtotals="1" fieldPosition="0">
        <references count="1">
          <reference field="0" count="1">
            <x v="522"/>
          </reference>
        </references>
      </pivotArea>
    </format>
    <format dxfId="989">
      <pivotArea collapsedLevelsAreSubtotals="1" fieldPosition="0">
        <references count="1">
          <reference field="0" count="1">
            <x v="521"/>
          </reference>
        </references>
      </pivotArea>
    </format>
    <format dxfId="988">
      <pivotArea collapsedLevelsAreSubtotals="1" fieldPosition="0">
        <references count="1">
          <reference field="0" count="1">
            <x v="520"/>
          </reference>
        </references>
      </pivotArea>
    </format>
    <format dxfId="987">
      <pivotArea collapsedLevelsAreSubtotals="1" fieldPosition="0">
        <references count="1">
          <reference field="0" count="1">
            <x v="519"/>
          </reference>
        </references>
      </pivotArea>
    </format>
    <format dxfId="986">
      <pivotArea collapsedLevelsAreSubtotals="1" fieldPosition="0">
        <references count="1">
          <reference field="0" count="1">
            <x v="518"/>
          </reference>
        </references>
      </pivotArea>
    </format>
    <format dxfId="985">
      <pivotArea collapsedLevelsAreSubtotals="1" fieldPosition="0">
        <references count="1">
          <reference field="0" count="1">
            <x v="517"/>
          </reference>
        </references>
      </pivotArea>
    </format>
    <format dxfId="984">
      <pivotArea collapsedLevelsAreSubtotals="1" fieldPosition="0">
        <references count="1">
          <reference field="0" count="1">
            <x v="516"/>
          </reference>
        </references>
      </pivotArea>
    </format>
    <format dxfId="983">
      <pivotArea collapsedLevelsAreSubtotals="1" fieldPosition="0">
        <references count="1">
          <reference field="0" count="1">
            <x v="515"/>
          </reference>
        </references>
      </pivotArea>
    </format>
    <format dxfId="982">
      <pivotArea collapsedLevelsAreSubtotals="1" fieldPosition="0">
        <references count="1">
          <reference field="0" count="1">
            <x v="514"/>
          </reference>
        </references>
      </pivotArea>
    </format>
    <format dxfId="981">
      <pivotArea collapsedLevelsAreSubtotals="1" fieldPosition="0">
        <references count="1">
          <reference field="0" count="1">
            <x v="513"/>
          </reference>
        </references>
      </pivotArea>
    </format>
    <format dxfId="980">
      <pivotArea collapsedLevelsAreSubtotals="1" fieldPosition="0">
        <references count="1">
          <reference field="0" count="1">
            <x v="512"/>
          </reference>
        </references>
      </pivotArea>
    </format>
    <format dxfId="979">
      <pivotArea collapsedLevelsAreSubtotals="1" fieldPosition="0">
        <references count="1">
          <reference field="0" count="1">
            <x v="511"/>
          </reference>
        </references>
      </pivotArea>
    </format>
    <format dxfId="978">
      <pivotArea collapsedLevelsAreSubtotals="1" fieldPosition="0">
        <references count="1">
          <reference field="0" count="1">
            <x v="510"/>
          </reference>
        </references>
      </pivotArea>
    </format>
    <format dxfId="977">
      <pivotArea collapsedLevelsAreSubtotals="1" fieldPosition="0">
        <references count="1">
          <reference field="0" count="1">
            <x v="509"/>
          </reference>
        </references>
      </pivotArea>
    </format>
    <format dxfId="976">
      <pivotArea collapsedLevelsAreSubtotals="1" fieldPosition="0">
        <references count="1">
          <reference field="0" count="1">
            <x v="508"/>
          </reference>
        </references>
      </pivotArea>
    </format>
    <format dxfId="975">
      <pivotArea collapsedLevelsAreSubtotals="1" fieldPosition="0">
        <references count="1">
          <reference field="0" count="1">
            <x v="507"/>
          </reference>
        </references>
      </pivotArea>
    </format>
    <format dxfId="974">
      <pivotArea collapsedLevelsAreSubtotals="1" fieldPosition="0">
        <references count="1">
          <reference field="0" count="1">
            <x v="506"/>
          </reference>
        </references>
      </pivotArea>
    </format>
    <format dxfId="973">
      <pivotArea collapsedLevelsAreSubtotals="1" fieldPosition="0">
        <references count="1">
          <reference field="0" count="1">
            <x v="505"/>
          </reference>
        </references>
      </pivotArea>
    </format>
    <format dxfId="972">
      <pivotArea collapsedLevelsAreSubtotals="1" fieldPosition="0">
        <references count="1">
          <reference field="0" count="1">
            <x v="504"/>
          </reference>
        </references>
      </pivotArea>
    </format>
    <format dxfId="971">
      <pivotArea collapsedLevelsAreSubtotals="1" fieldPosition="0">
        <references count="1">
          <reference field="0" count="1">
            <x v="503"/>
          </reference>
        </references>
      </pivotArea>
    </format>
    <format dxfId="970">
      <pivotArea collapsedLevelsAreSubtotals="1" fieldPosition="0">
        <references count="1">
          <reference field="0" count="1">
            <x v="502"/>
          </reference>
        </references>
      </pivotArea>
    </format>
    <format dxfId="969">
      <pivotArea collapsedLevelsAreSubtotals="1" fieldPosition="0">
        <references count="1">
          <reference field="0" count="1">
            <x v="501"/>
          </reference>
        </references>
      </pivotArea>
    </format>
    <format dxfId="968">
      <pivotArea collapsedLevelsAreSubtotals="1" fieldPosition="0">
        <references count="1">
          <reference field="0" count="1">
            <x v="500"/>
          </reference>
        </references>
      </pivotArea>
    </format>
    <format dxfId="967">
      <pivotArea collapsedLevelsAreSubtotals="1" fieldPosition="0">
        <references count="1">
          <reference field="0" count="1">
            <x v="499"/>
          </reference>
        </references>
      </pivotArea>
    </format>
    <format dxfId="966">
      <pivotArea collapsedLevelsAreSubtotals="1" fieldPosition="0">
        <references count="1">
          <reference field="0" count="1">
            <x v="498"/>
          </reference>
        </references>
      </pivotArea>
    </format>
    <format dxfId="965">
      <pivotArea collapsedLevelsAreSubtotals="1" fieldPosition="0">
        <references count="1">
          <reference field="0" count="1">
            <x v="497"/>
          </reference>
        </references>
      </pivotArea>
    </format>
    <format dxfId="964">
      <pivotArea collapsedLevelsAreSubtotals="1" fieldPosition="0">
        <references count="1">
          <reference field="0" count="1">
            <x v="496"/>
          </reference>
        </references>
      </pivotArea>
    </format>
    <format dxfId="963">
      <pivotArea collapsedLevelsAreSubtotals="1" fieldPosition="0">
        <references count="1">
          <reference field="0" count="1">
            <x v="495"/>
          </reference>
        </references>
      </pivotArea>
    </format>
    <format dxfId="962">
      <pivotArea collapsedLevelsAreSubtotals="1" fieldPosition="0">
        <references count="1">
          <reference field="0" count="1">
            <x v="494"/>
          </reference>
        </references>
      </pivotArea>
    </format>
    <format dxfId="961">
      <pivotArea collapsedLevelsAreSubtotals="1" fieldPosition="0">
        <references count="1">
          <reference field="0" count="1">
            <x v="493"/>
          </reference>
        </references>
      </pivotArea>
    </format>
    <format dxfId="960">
      <pivotArea collapsedLevelsAreSubtotals="1" fieldPosition="0">
        <references count="1">
          <reference field="0" count="1">
            <x v="492"/>
          </reference>
        </references>
      </pivotArea>
    </format>
    <format dxfId="959">
      <pivotArea collapsedLevelsAreSubtotals="1" fieldPosition="0">
        <references count="1">
          <reference field="0" count="1">
            <x v="491"/>
          </reference>
        </references>
      </pivotArea>
    </format>
    <format dxfId="958">
      <pivotArea collapsedLevelsAreSubtotals="1" fieldPosition="0">
        <references count="1">
          <reference field="0" count="1">
            <x v="490"/>
          </reference>
        </references>
      </pivotArea>
    </format>
    <format dxfId="957">
      <pivotArea collapsedLevelsAreSubtotals="1" fieldPosition="0">
        <references count="1">
          <reference field="0" count="1">
            <x v="489"/>
          </reference>
        </references>
      </pivotArea>
    </format>
    <format dxfId="956">
      <pivotArea collapsedLevelsAreSubtotals="1" fieldPosition="0">
        <references count="1">
          <reference field="0" count="1">
            <x v="488"/>
          </reference>
        </references>
      </pivotArea>
    </format>
    <format dxfId="955">
      <pivotArea collapsedLevelsAreSubtotals="1" fieldPosition="0">
        <references count="1">
          <reference field="0" count="1">
            <x v="487"/>
          </reference>
        </references>
      </pivotArea>
    </format>
    <format dxfId="954">
      <pivotArea collapsedLevelsAreSubtotals="1" fieldPosition="0">
        <references count="1">
          <reference field="0" count="1">
            <x v="486"/>
          </reference>
        </references>
      </pivotArea>
    </format>
    <format dxfId="953">
      <pivotArea collapsedLevelsAreSubtotals="1" fieldPosition="0">
        <references count="1">
          <reference field="0" count="1">
            <x v="485"/>
          </reference>
        </references>
      </pivotArea>
    </format>
    <format dxfId="952">
      <pivotArea collapsedLevelsAreSubtotals="1" fieldPosition="0">
        <references count="1">
          <reference field="0" count="1">
            <x v="484"/>
          </reference>
        </references>
      </pivotArea>
    </format>
    <format dxfId="951">
      <pivotArea collapsedLevelsAreSubtotals="1" fieldPosition="0">
        <references count="1">
          <reference field="0" count="1">
            <x v="482"/>
          </reference>
        </references>
      </pivotArea>
    </format>
    <format dxfId="950">
      <pivotArea collapsedLevelsAreSubtotals="1" fieldPosition="0">
        <references count="1">
          <reference field="0" count="1">
            <x v="483"/>
          </reference>
        </references>
      </pivotArea>
    </format>
    <format dxfId="949">
      <pivotArea collapsedLevelsAreSubtotals="1" fieldPosition="0">
        <references count="1">
          <reference field="0" count="1">
            <x v="481"/>
          </reference>
        </references>
      </pivotArea>
    </format>
    <format dxfId="948">
      <pivotArea collapsedLevelsAreSubtotals="1" fieldPosition="0">
        <references count="1">
          <reference field="0" count="1">
            <x v="480"/>
          </reference>
        </references>
      </pivotArea>
    </format>
    <format dxfId="947">
      <pivotArea collapsedLevelsAreSubtotals="1" fieldPosition="0">
        <references count="1">
          <reference field="0" count="1">
            <x v="479"/>
          </reference>
        </references>
      </pivotArea>
    </format>
    <format dxfId="946">
      <pivotArea collapsedLevelsAreSubtotals="1" fieldPosition="0">
        <references count="1">
          <reference field="0" count="1">
            <x v="478"/>
          </reference>
        </references>
      </pivotArea>
    </format>
    <format dxfId="945">
      <pivotArea collapsedLevelsAreSubtotals="1" fieldPosition="0">
        <references count="1">
          <reference field="0" count="1">
            <x v="477"/>
          </reference>
        </references>
      </pivotArea>
    </format>
    <format dxfId="944">
      <pivotArea collapsedLevelsAreSubtotals="1" fieldPosition="0">
        <references count="1">
          <reference field="0" count="1">
            <x v="476"/>
          </reference>
        </references>
      </pivotArea>
    </format>
    <format dxfId="943">
      <pivotArea collapsedLevelsAreSubtotals="1" fieldPosition="0">
        <references count="1">
          <reference field="0" count="1">
            <x v="475"/>
          </reference>
        </references>
      </pivotArea>
    </format>
    <format dxfId="942">
      <pivotArea collapsedLevelsAreSubtotals="1" fieldPosition="0">
        <references count="1">
          <reference field="0" count="1">
            <x v="474"/>
          </reference>
        </references>
      </pivotArea>
    </format>
    <format dxfId="941">
      <pivotArea collapsedLevelsAreSubtotals="1" fieldPosition="0">
        <references count="1">
          <reference field="0" count="1">
            <x v="473"/>
          </reference>
        </references>
      </pivotArea>
    </format>
    <format dxfId="940">
      <pivotArea collapsedLevelsAreSubtotals="1" fieldPosition="0">
        <references count="1">
          <reference field="0" count="1">
            <x v="472"/>
          </reference>
        </references>
      </pivotArea>
    </format>
    <format dxfId="939">
      <pivotArea collapsedLevelsAreSubtotals="1" fieldPosition="0">
        <references count="1">
          <reference field="0" count="1">
            <x v="471"/>
          </reference>
        </references>
      </pivotArea>
    </format>
    <format dxfId="938">
      <pivotArea collapsedLevelsAreSubtotals="1" fieldPosition="0">
        <references count="1">
          <reference field="0" count="1">
            <x v="470"/>
          </reference>
        </references>
      </pivotArea>
    </format>
    <format dxfId="937">
      <pivotArea collapsedLevelsAreSubtotals="1" fieldPosition="0">
        <references count="1">
          <reference field="0" count="1">
            <x v="469"/>
          </reference>
        </references>
      </pivotArea>
    </format>
    <format dxfId="936">
      <pivotArea collapsedLevelsAreSubtotals="1" fieldPosition="0">
        <references count="2">
          <reference field="4294967294" count="1" selected="0">
            <x v="0"/>
          </reference>
          <reference field="0" count="1">
            <x v="468"/>
          </reference>
        </references>
      </pivotArea>
    </format>
    <format dxfId="935">
      <pivotArea collapsedLevelsAreSubtotals="1" fieldPosition="0">
        <references count="2">
          <reference field="4294967294" count="1" selected="0">
            <x v="1"/>
          </reference>
          <reference field="0" count="1">
            <x v="468"/>
          </reference>
        </references>
      </pivotArea>
    </format>
    <format dxfId="934">
      <pivotArea collapsedLevelsAreSubtotals="1" fieldPosition="0">
        <references count="1">
          <reference field="0" count="1">
            <x v="467"/>
          </reference>
        </references>
      </pivotArea>
    </format>
    <format dxfId="933">
      <pivotArea collapsedLevelsAreSubtotals="1" fieldPosition="0">
        <references count="1">
          <reference field="0" count="1">
            <x v="466"/>
          </reference>
        </references>
      </pivotArea>
    </format>
    <format dxfId="932">
      <pivotArea collapsedLevelsAreSubtotals="1" fieldPosition="0">
        <references count="1">
          <reference field="0" count="1">
            <x v="465"/>
          </reference>
        </references>
      </pivotArea>
    </format>
    <format dxfId="931">
      <pivotArea collapsedLevelsAreSubtotals="1" fieldPosition="0">
        <references count="1">
          <reference field="0" count="1">
            <x v="464"/>
          </reference>
        </references>
      </pivotArea>
    </format>
    <format dxfId="930">
      <pivotArea collapsedLevelsAreSubtotals="1" fieldPosition="0">
        <references count="1">
          <reference field="0" count="1">
            <x v="463"/>
          </reference>
        </references>
      </pivotArea>
    </format>
    <format dxfId="929">
      <pivotArea collapsedLevelsAreSubtotals="1" fieldPosition="0">
        <references count="2">
          <reference field="4294967294" count="1" selected="0">
            <x v="0"/>
          </reference>
          <reference field="0" count="1">
            <x v="462"/>
          </reference>
        </references>
      </pivotArea>
    </format>
    <format dxfId="928">
      <pivotArea collapsedLevelsAreSubtotals="1" fieldPosition="0">
        <references count="2">
          <reference field="4294967294" count="1" selected="0">
            <x v="1"/>
          </reference>
          <reference field="0" count="1">
            <x v="462"/>
          </reference>
        </references>
      </pivotArea>
    </format>
    <format dxfId="927">
      <pivotArea collapsedLevelsAreSubtotals="1" fieldPosition="0">
        <references count="1">
          <reference field="0" count="1">
            <x v="461"/>
          </reference>
        </references>
      </pivotArea>
    </format>
    <format dxfId="926">
      <pivotArea collapsedLevelsAreSubtotals="1" fieldPosition="0">
        <references count="1">
          <reference field="0" count="1">
            <x v="460"/>
          </reference>
        </references>
      </pivotArea>
    </format>
    <format dxfId="925">
      <pivotArea collapsedLevelsAreSubtotals="1" fieldPosition="0">
        <references count="1">
          <reference field="0" count="1">
            <x v="459"/>
          </reference>
        </references>
      </pivotArea>
    </format>
    <format dxfId="924">
      <pivotArea collapsedLevelsAreSubtotals="1" fieldPosition="0">
        <references count="1">
          <reference field="0" count="1">
            <x v="458"/>
          </reference>
        </references>
      </pivotArea>
    </format>
    <format dxfId="923">
      <pivotArea collapsedLevelsAreSubtotals="1" fieldPosition="0">
        <references count="1">
          <reference field="0" count="1">
            <x v="457"/>
          </reference>
        </references>
      </pivotArea>
    </format>
    <format dxfId="922">
      <pivotArea collapsedLevelsAreSubtotals="1" fieldPosition="0">
        <references count="1">
          <reference field="0" count="1">
            <x v="456"/>
          </reference>
        </references>
      </pivotArea>
    </format>
    <format dxfId="921">
      <pivotArea collapsedLevelsAreSubtotals="1" fieldPosition="0">
        <references count="1">
          <reference field="0" count="1">
            <x v="455"/>
          </reference>
        </references>
      </pivotArea>
    </format>
    <format dxfId="920">
      <pivotArea collapsedLevelsAreSubtotals="1" fieldPosition="0">
        <references count="1">
          <reference field="0" count="1">
            <x v="454"/>
          </reference>
        </references>
      </pivotArea>
    </format>
    <format dxfId="919">
      <pivotArea collapsedLevelsAreSubtotals="1" fieldPosition="0">
        <references count="1">
          <reference field="0" count="1">
            <x v="453"/>
          </reference>
        </references>
      </pivotArea>
    </format>
    <format dxfId="918">
      <pivotArea collapsedLevelsAreSubtotals="1" fieldPosition="0">
        <references count="1">
          <reference field="0" count="1">
            <x v="452"/>
          </reference>
        </references>
      </pivotArea>
    </format>
    <format dxfId="917">
      <pivotArea collapsedLevelsAreSubtotals="1" fieldPosition="0">
        <references count="1">
          <reference field="0" count="1">
            <x v="451"/>
          </reference>
        </references>
      </pivotArea>
    </format>
    <format dxfId="916">
      <pivotArea collapsedLevelsAreSubtotals="1" fieldPosition="0">
        <references count="1">
          <reference field="0" count="1">
            <x v="450"/>
          </reference>
        </references>
      </pivotArea>
    </format>
    <format dxfId="915">
      <pivotArea collapsedLevelsAreSubtotals="1" fieldPosition="0">
        <references count="1">
          <reference field="0" count="1">
            <x v="449"/>
          </reference>
        </references>
      </pivotArea>
    </format>
    <format dxfId="914">
      <pivotArea collapsedLevelsAreSubtotals="1" fieldPosition="0">
        <references count="1">
          <reference field="0" count="1">
            <x v="448"/>
          </reference>
        </references>
      </pivotArea>
    </format>
    <format dxfId="913">
      <pivotArea collapsedLevelsAreSubtotals="1" fieldPosition="0">
        <references count="1">
          <reference field="0" count="1">
            <x v="447"/>
          </reference>
        </references>
      </pivotArea>
    </format>
    <format dxfId="912">
      <pivotArea collapsedLevelsAreSubtotals="1" fieldPosition="0">
        <references count="1">
          <reference field="0" count="1">
            <x v="446"/>
          </reference>
        </references>
      </pivotArea>
    </format>
    <format dxfId="911">
      <pivotArea collapsedLevelsAreSubtotals="1" fieldPosition="0">
        <references count="1">
          <reference field="0" count="1">
            <x v="445"/>
          </reference>
        </references>
      </pivotArea>
    </format>
    <format dxfId="910">
      <pivotArea collapsedLevelsAreSubtotals="1" fieldPosition="0">
        <references count="1">
          <reference field="0" count="1">
            <x v="444"/>
          </reference>
        </references>
      </pivotArea>
    </format>
    <format dxfId="909">
      <pivotArea collapsedLevelsAreSubtotals="1" fieldPosition="0">
        <references count="1">
          <reference field="0" count="1">
            <x v="443"/>
          </reference>
        </references>
      </pivotArea>
    </format>
    <format dxfId="908">
      <pivotArea collapsedLevelsAreSubtotals="1" fieldPosition="0">
        <references count="1">
          <reference field="0" count="1">
            <x v="442"/>
          </reference>
        </references>
      </pivotArea>
    </format>
    <format dxfId="907">
      <pivotArea collapsedLevelsAreSubtotals="1" fieldPosition="0">
        <references count="1">
          <reference field="0" count="1">
            <x v="441"/>
          </reference>
        </references>
      </pivotArea>
    </format>
    <format dxfId="906">
      <pivotArea collapsedLevelsAreSubtotals="1" fieldPosition="0">
        <references count="1">
          <reference field="0" count="1">
            <x v="440"/>
          </reference>
        </references>
      </pivotArea>
    </format>
    <format dxfId="905">
      <pivotArea collapsedLevelsAreSubtotals="1" fieldPosition="0">
        <references count="1">
          <reference field="0" count="1">
            <x v="439"/>
          </reference>
        </references>
      </pivotArea>
    </format>
    <format dxfId="904">
      <pivotArea collapsedLevelsAreSubtotals="1" fieldPosition="0">
        <references count="1">
          <reference field="0" count="1">
            <x v="438"/>
          </reference>
        </references>
      </pivotArea>
    </format>
    <format dxfId="903">
      <pivotArea collapsedLevelsAreSubtotals="1" fieldPosition="0">
        <references count="1">
          <reference field="0" count="1">
            <x v="437"/>
          </reference>
        </references>
      </pivotArea>
    </format>
    <format dxfId="902">
      <pivotArea collapsedLevelsAreSubtotals="1" fieldPosition="0">
        <references count="1">
          <reference field="0" count="1">
            <x v="436"/>
          </reference>
        </references>
      </pivotArea>
    </format>
    <format dxfId="901">
      <pivotArea collapsedLevelsAreSubtotals="1" fieldPosition="0">
        <references count="1">
          <reference field="0" count="1">
            <x v="435"/>
          </reference>
        </references>
      </pivotArea>
    </format>
    <format dxfId="900">
      <pivotArea collapsedLevelsAreSubtotals="1" fieldPosition="0">
        <references count="1">
          <reference field="0" count="1">
            <x v="434"/>
          </reference>
        </references>
      </pivotArea>
    </format>
    <format dxfId="899">
      <pivotArea collapsedLevelsAreSubtotals="1" fieldPosition="0">
        <references count="1">
          <reference field="0" count="1">
            <x v="433"/>
          </reference>
        </references>
      </pivotArea>
    </format>
    <format dxfId="898">
      <pivotArea collapsedLevelsAreSubtotals="1" fieldPosition="0">
        <references count="1">
          <reference field="0" count="1">
            <x v="432"/>
          </reference>
        </references>
      </pivotArea>
    </format>
    <format dxfId="897">
      <pivotArea collapsedLevelsAreSubtotals="1" fieldPosition="0">
        <references count="1">
          <reference field="0" count="1">
            <x v="431"/>
          </reference>
        </references>
      </pivotArea>
    </format>
    <format dxfId="896">
      <pivotArea collapsedLevelsAreSubtotals="1" fieldPosition="0">
        <references count="1">
          <reference field="0" count="1">
            <x v="430"/>
          </reference>
        </references>
      </pivotArea>
    </format>
    <format dxfId="895">
      <pivotArea collapsedLevelsAreSubtotals="1" fieldPosition="0">
        <references count="1">
          <reference field="0" count="1">
            <x v="429"/>
          </reference>
        </references>
      </pivotArea>
    </format>
    <format dxfId="894">
      <pivotArea collapsedLevelsAreSubtotals="1" fieldPosition="0">
        <references count="1">
          <reference field="0" count="1">
            <x v="428"/>
          </reference>
        </references>
      </pivotArea>
    </format>
    <format dxfId="893">
      <pivotArea collapsedLevelsAreSubtotals="1" fieldPosition="0">
        <references count="1">
          <reference field="0" count="1">
            <x v="427"/>
          </reference>
        </references>
      </pivotArea>
    </format>
    <format dxfId="892">
      <pivotArea collapsedLevelsAreSubtotals="1" fieldPosition="0">
        <references count="1">
          <reference field="0" count="1">
            <x v="426"/>
          </reference>
        </references>
      </pivotArea>
    </format>
    <format dxfId="891">
      <pivotArea collapsedLevelsAreSubtotals="1" fieldPosition="0">
        <references count="1">
          <reference field="0" count="1">
            <x v="425"/>
          </reference>
        </references>
      </pivotArea>
    </format>
    <format dxfId="890">
      <pivotArea collapsedLevelsAreSubtotals="1" fieldPosition="0">
        <references count="1">
          <reference field="0" count="1">
            <x v="424"/>
          </reference>
        </references>
      </pivotArea>
    </format>
    <format dxfId="889">
      <pivotArea collapsedLevelsAreSubtotals="1" fieldPosition="0">
        <references count="1">
          <reference field="0" count="1">
            <x v="423"/>
          </reference>
        </references>
      </pivotArea>
    </format>
    <format dxfId="888">
      <pivotArea collapsedLevelsAreSubtotals="1" fieldPosition="0">
        <references count="1">
          <reference field="0" count="1">
            <x v="422"/>
          </reference>
        </references>
      </pivotArea>
    </format>
    <format dxfId="887">
      <pivotArea collapsedLevelsAreSubtotals="1" fieldPosition="0">
        <references count="1">
          <reference field="0" count="1">
            <x v="421"/>
          </reference>
        </references>
      </pivotArea>
    </format>
    <format dxfId="886">
      <pivotArea collapsedLevelsAreSubtotals="1" fieldPosition="0">
        <references count="1">
          <reference field="0" count="1">
            <x v="420"/>
          </reference>
        </references>
      </pivotArea>
    </format>
    <format dxfId="885">
      <pivotArea collapsedLevelsAreSubtotals="1" fieldPosition="0">
        <references count="1">
          <reference field="0" count="1">
            <x v="419"/>
          </reference>
        </references>
      </pivotArea>
    </format>
    <format dxfId="884">
      <pivotArea collapsedLevelsAreSubtotals="1" fieldPosition="0">
        <references count="1">
          <reference field="0" count="1">
            <x v="418"/>
          </reference>
        </references>
      </pivotArea>
    </format>
    <format dxfId="883">
      <pivotArea collapsedLevelsAreSubtotals="1" fieldPosition="0">
        <references count="1">
          <reference field="0" count="1">
            <x v="417"/>
          </reference>
        </references>
      </pivotArea>
    </format>
    <format dxfId="882">
      <pivotArea collapsedLevelsAreSubtotals="1" fieldPosition="0">
        <references count="1">
          <reference field="0" count="1">
            <x v="416"/>
          </reference>
        </references>
      </pivotArea>
    </format>
    <format dxfId="881">
      <pivotArea collapsedLevelsAreSubtotals="1" fieldPosition="0">
        <references count="1">
          <reference field="0" count="1">
            <x v="415"/>
          </reference>
        </references>
      </pivotArea>
    </format>
    <format dxfId="880">
      <pivotArea collapsedLevelsAreSubtotals="1" fieldPosition="0">
        <references count="1">
          <reference field="0" count="1">
            <x v="414"/>
          </reference>
        </references>
      </pivotArea>
    </format>
    <format dxfId="879">
      <pivotArea collapsedLevelsAreSubtotals="1" fieldPosition="0">
        <references count="1">
          <reference field="0" count="1">
            <x v="413"/>
          </reference>
        </references>
      </pivotArea>
    </format>
    <format dxfId="878">
      <pivotArea collapsedLevelsAreSubtotals="1" fieldPosition="0">
        <references count="1">
          <reference field="0" count="1">
            <x v="412"/>
          </reference>
        </references>
      </pivotArea>
    </format>
    <format dxfId="877">
      <pivotArea collapsedLevelsAreSubtotals="1" fieldPosition="0">
        <references count="1">
          <reference field="0" count="1">
            <x v="411"/>
          </reference>
        </references>
      </pivotArea>
    </format>
    <format dxfId="876">
      <pivotArea collapsedLevelsAreSubtotals="1" fieldPosition="0">
        <references count="1">
          <reference field="0" count="1">
            <x v="410"/>
          </reference>
        </references>
      </pivotArea>
    </format>
    <format dxfId="875">
      <pivotArea collapsedLevelsAreSubtotals="1" fieldPosition="0">
        <references count="1">
          <reference field="0" count="1">
            <x v="409"/>
          </reference>
        </references>
      </pivotArea>
    </format>
    <format dxfId="874">
      <pivotArea collapsedLevelsAreSubtotals="1" fieldPosition="0">
        <references count="1">
          <reference field="0" count="1">
            <x v="408"/>
          </reference>
        </references>
      </pivotArea>
    </format>
    <format dxfId="873">
      <pivotArea collapsedLevelsAreSubtotals="1" fieldPosition="0">
        <references count="1">
          <reference field="0" count="1">
            <x v="407"/>
          </reference>
        </references>
      </pivotArea>
    </format>
    <format dxfId="872">
      <pivotArea collapsedLevelsAreSubtotals="1" fieldPosition="0">
        <references count="1">
          <reference field="0" count="1">
            <x v="406"/>
          </reference>
        </references>
      </pivotArea>
    </format>
    <format dxfId="871">
      <pivotArea collapsedLevelsAreSubtotals="1" fieldPosition="0">
        <references count="1">
          <reference field="0" count="1">
            <x v="405"/>
          </reference>
        </references>
      </pivotArea>
    </format>
    <format dxfId="870">
      <pivotArea collapsedLevelsAreSubtotals="1" fieldPosition="0">
        <references count="1">
          <reference field="0" count="1">
            <x v="404"/>
          </reference>
        </references>
      </pivotArea>
    </format>
    <format dxfId="869">
      <pivotArea collapsedLevelsAreSubtotals="1" fieldPosition="0">
        <references count="1">
          <reference field="0" count="1">
            <x v="403"/>
          </reference>
        </references>
      </pivotArea>
    </format>
    <format dxfId="868">
      <pivotArea collapsedLevelsAreSubtotals="1" fieldPosition="0">
        <references count="1">
          <reference field="0" count="1">
            <x v="402"/>
          </reference>
        </references>
      </pivotArea>
    </format>
    <format dxfId="867">
      <pivotArea collapsedLevelsAreSubtotals="1" fieldPosition="0">
        <references count="1">
          <reference field="0" count="1">
            <x v="401"/>
          </reference>
        </references>
      </pivotArea>
    </format>
    <format dxfId="866">
      <pivotArea collapsedLevelsAreSubtotals="1" fieldPosition="0">
        <references count="1">
          <reference field="0" count="1">
            <x v="400"/>
          </reference>
        </references>
      </pivotArea>
    </format>
    <format dxfId="865">
      <pivotArea collapsedLevelsAreSubtotals="1" fieldPosition="0">
        <references count="1">
          <reference field="0" count="1">
            <x v="399"/>
          </reference>
        </references>
      </pivotArea>
    </format>
    <format dxfId="864">
      <pivotArea collapsedLevelsAreSubtotals="1" fieldPosition="0">
        <references count="1">
          <reference field="0" count="1">
            <x v="398"/>
          </reference>
        </references>
      </pivotArea>
    </format>
    <format dxfId="863">
      <pivotArea collapsedLevelsAreSubtotals="1" fieldPosition="0">
        <references count="1">
          <reference field="0" count="1">
            <x v="397"/>
          </reference>
        </references>
      </pivotArea>
    </format>
    <format dxfId="862">
      <pivotArea collapsedLevelsAreSubtotals="1" fieldPosition="0">
        <references count="1">
          <reference field="0" count="1">
            <x v="396"/>
          </reference>
        </references>
      </pivotArea>
    </format>
    <format dxfId="861">
      <pivotArea collapsedLevelsAreSubtotals="1" fieldPosition="0">
        <references count="1">
          <reference field="0" count="1">
            <x v="395"/>
          </reference>
        </references>
      </pivotArea>
    </format>
    <format dxfId="860">
      <pivotArea collapsedLevelsAreSubtotals="1" fieldPosition="0">
        <references count="1">
          <reference field="0" count="1">
            <x v="394"/>
          </reference>
        </references>
      </pivotArea>
    </format>
    <format dxfId="859">
      <pivotArea collapsedLevelsAreSubtotals="1" fieldPosition="0">
        <references count="1">
          <reference field="0" count="1">
            <x v="393"/>
          </reference>
        </references>
      </pivotArea>
    </format>
    <format dxfId="858">
      <pivotArea collapsedLevelsAreSubtotals="1" fieldPosition="0">
        <references count="1">
          <reference field="0" count="1">
            <x v="392"/>
          </reference>
        </references>
      </pivotArea>
    </format>
    <format dxfId="857">
      <pivotArea collapsedLevelsAreSubtotals="1" fieldPosition="0">
        <references count="1">
          <reference field="0" count="1">
            <x v="391"/>
          </reference>
        </references>
      </pivotArea>
    </format>
    <format dxfId="856">
      <pivotArea collapsedLevelsAreSubtotals="1" fieldPosition="0">
        <references count="1">
          <reference field="0" count="1">
            <x v="390"/>
          </reference>
        </references>
      </pivotArea>
    </format>
    <format dxfId="855">
      <pivotArea collapsedLevelsAreSubtotals="1" fieldPosition="0">
        <references count="1">
          <reference field="0" count="1">
            <x v="389"/>
          </reference>
        </references>
      </pivotArea>
    </format>
    <format dxfId="854">
      <pivotArea collapsedLevelsAreSubtotals="1" fieldPosition="0">
        <references count="1">
          <reference field="0" count="1">
            <x v="388"/>
          </reference>
        </references>
      </pivotArea>
    </format>
    <format dxfId="853">
      <pivotArea collapsedLevelsAreSubtotals="1" fieldPosition="0">
        <references count="1">
          <reference field="0" count="1">
            <x v="387"/>
          </reference>
        </references>
      </pivotArea>
    </format>
    <format dxfId="852">
      <pivotArea collapsedLevelsAreSubtotals="1" fieldPosition="0">
        <references count="1">
          <reference field="0" count="1">
            <x v="386"/>
          </reference>
        </references>
      </pivotArea>
    </format>
    <format dxfId="851">
      <pivotArea collapsedLevelsAreSubtotals="1" fieldPosition="0">
        <references count="1">
          <reference field="0" count="1">
            <x v="385"/>
          </reference>
        </references>
      </pivotArea>
    </format>
    <format dxfId="850">
      <pivotArea collapsedLevelsAreSubtotals="1" fieldPosition="0">
        <references count="1">
          <reference field="0" count="1">
            <x v="384"/>
          </reference>
        </references>
      </pivotArea>
    </format>
    <format dxfId="849">
      <pivotArea collapsedLevelsAreSubtotals="1" fieldPosition="0">
        <references count="1">
          <reference field="0" count="1">
            <x v="383"/>
          </reference>
        </references>
      </pivotArea>
    </format>
    <format dxfId="848">
      <pivotArea collapsedLevelsAreSubtotals="1" fieldPosition="0">
        <references count="1">
          <reference field="0" count="1">
            <x v="382"/>
          </reference>
        </references>
      </pivotArea>
    </format>
    <format dxfId="847">
      <pivotArea collapsedLevelsAreSubtotals="1" fieldPosition="0">
        <references count="1">
          <reference field="0" count="1">
            <x v="381"/>
          </reference>
        </references>
      </pivotArea>
    </format>
    <format dxfId="846">
      <pivotArea collapsedLevelsAreSubtotals="1" fieldPosition="0">
        <references count="1">
          <reference field="0" count="1">
            <x v="380"/>
          </reference>
        </references>
      </pivotArea>
    </format>
    <format dxfId="845">
      <pivotArea collapsedLevelsAreSubtotals="1" fieldPosition="0">
        <references count="1">
          <reference field="0" count="1">
            <x v="379"/>
          </reference>
        </references>
      </pivotArea>
    </format>
    <format dxfId="844">
      <pivotArea collapsedLevelsAreSubtotals="1" fieldPosition="0">
        <references count="1">
          <reference field="0" count="1">
            <x v="378"/>
          </reference>
        </references>
      </pivotArea>
    </format>
    <format dxfId="843">
      <pivotArea collapsedLevelsAreSubtotals="1" fieldPosition="0">
        <references count="1">
          <reference field="0" count="1">
            <x v="377"/>
          </reference>
        </references>
      </pivotArea>
    </format>
    <format dxfId="842">
      <pivotArea collapsedLevelsAreSubtotals="1" fieldPosition="0">
        <references count="1">
          <reference field="0" count="1">
            <x v="376"/>
          </reference>
        </references>
      </pivotArea>
    </format>
    <format dxfId="841">
      <pivotArea collapsedLevelsAreSubtotals="1" fieldPosition="0">
        <references count="1">
          <reference field="0" count="1">
            <x v="375"/>
          </reference>
        </references>
      </pivotArea>
    </format>
    <format dxfId="840">
      <pivotArea collapsedLevelsAreSubtotals="1" fieldPosition="0">
        <references count="1">
          <reference field="0" count="1">
            <x v="374"/>
          </reference>
        </references>
      </pivotArea>
    </format>
    <format dxfId="839">
      <pivotArea collapsedLevelsAreSubtotals="1" fieldPosition="0">
        <references count="1">
          <reference field="0" count="1">
            <x v="373"/>
          </reference>
        </references>
      </pivotArea>
    </format>
    <format dxfId="838">
      <pivotArea collapsedLevelsAreSubtotals="1" fieldPosition="0">
        <references count="1">
          <reference field="0" count="1">
            <x v="372"/>
          </reference>
        </references>
      </pivotArea>
    </format>
    <format dxfId="837">
      <pivotArea collapsedLevelsAreSubtotals="1" fieldPosition="0">
        <references count="1">
          <reference field="0" count="1">
            <x v="371"/>
          </reference>
        </references>
      </pivotArea>
    </format>
    <format dxfId="836">
      <pivotArea collapsedLevelsAreSubtotals="1" fieldPosition="0">
        <references count="1">
          <reference field="0" count="1">
            <x v="370"/>
          </reference>
        </references>
      </pivotArea>
    </format>
    <format dxfId="835">
      <pivotArea collapsedLevelsAreSubtotals="1" fieldPosition="0">
        <references count="1">
          <reference field="0" count="1">
            <x v="369"/>
          </reference>
        </references>
      </pivotArea>
    </format>
    <format dxfId="834">
      <pivotArea collapsedLevelsAreSubtotals="1" fieldPosition="0">
        <references count="1">
          <reference field="0" count="1">
            <x v="368"/>
          </reference>
        </references>
      </pivotArea>
    </format>
    <format dxfId="833">
      <pivotArea collapsedLevelsAreSubtotals="1" fieldPosition="0">
        <references count="1">
          <reference field="0" count="1">
            <x v="367"/>
          </reference>
        </references>
      </pivotArea>
    </format>
    <format dxfId="832">
      <pivotArea collapsedLevelsAreSubtotals="1" fieldPosition="0">
        <references count="1">
          <reference field="0" count="1">
            <x v="366"/>
          </reference>
        </references>
      </pivotArea>
    </format>
    <format dxfId="831">
      <pivotArea collapsedLevelsAreSubtotals="1" fieldPosition="0">
        <references count="1">
          <reference field="0" count="1">
            <x v="365"/>
          </reference>
        </references>
      </pivotArea>
    </format>
    <format dxfId="830">
      <pivotArea collapsedLevelsAreSubtotals="1" fieldPosition="0">
        <references count="1">
          <reference field="0" count="1">
            <x v="364"/>
          </reference>
        </references>
      </pivotArea>
    </format>
    <format dxfId="829">
      <pivotArea collapsedLevelsAreSubtotals="1" fieldPosition="0">
        <references count="1">
          <reference field="0" count="1">
            <x v="363"/>
          </reference>
        </references>
      </pivotArea>
    </format>
    <format dxfId="828">
      <pivotArea collapsedLevelsAreSubtotals="1" fieldPosition="0">
        <references count="1">
          <reference field="0" count="1">
            <x v="362"/>
          </reference>
        </references>
      </pivotArea>
    </format>
    <format dxfId="827">
      <pivotArea collapsedLevelsAreSubtotals="1" fieldPosition="0">
        <references count="1">
          <reference field="0" count="1">
            <x v="361"/>
          </reference>
        </references>
      </pivotArea>
    </format>
    <format dxfId="826">
      <pivotArea collapsedLevelsAreSubtotals="1" fieldPosition="0">
        <references count="1">
          <reference field="0" count="1">
            <x v="360"/>
          </reference>
        </references>
      </pivotArea>
    </format>
    <format dxfId="825">
      <pivotArea collapsedLevelsAreSubtotals="1" fieldPosition="0">
        <references count="1">
          <reference field="0" count="1">
            <x v="359"/>
          </reference>
        </references>
      </pivotArea>
    </format>
    <format dxfId="824">
      <pivotArea collapsedLevelsAreSubtotals="1" fieldPosition="0">
        <references count="1">
          <reference field="0" count="1">
            <x v="358"/>
          </reference>
        </references>
      </pivotArea>
    </format>
    <format dxfId="823">
      <pivotArea collapsedLevelsAreSubtotals="1" fieldPosition="0">
        <references count="1">
          <reference field="0" count="1">
            <x v="357"/>
          </reference>
        </references>
      </pivotArea>
    </format>
    <format dxfId="822">
      <pivotArea collapsedLevelsAreSubtotals="1" fieldPosition="0">
        <references count="1">
          <reference field="0" count="1">
            <x v="356"/>
          </reference>
        </references>
      </pivotArea>
    </format>
    <format dxfId="821">
      <pivotArea collapsedLevelsAreSubtotals="1" fieldPosition="0">
        <references count="1">
          <reference field="0" count="1">
            <x v="355"/>
          </reference>
        </references>
      </pivotArea>
    </format>
    <format dxfId="820">
      <pivotArea collapsedLevelsAreSubtotals="1" fieldPosition="0">
        <references count="1">
          <reference field="0" count="1">
            <x v="354"/>
          </reference>
        </references>
      </pivotArea>
    </format>
    <format dxfId="819">
      <pivotArea collapsedLevelsAreSubtotals="1" fieldPosition="0">
        <references count="1">
          <reference field="0" count="1">
            <x v="353"/>
          </reference>
        </references>
      </pivotArea>
    </format>
    <format dxfId="818">
      <pivotArea collapsedLevelsAreSubtotals="1" fieldPosition="0">
        <references count="1">
          <reference field="0" count="1">
            <x v="352"/>
          </reference>
        </references>
      </pivotArea>
    </format>
    <format dxfId="817">
      <pivotArea collapsedLevelsAreSubtotals="1" fieldPosition="0">
        <references count="1">
          <reference field="0" count="1">
            <x v="351"/>
          </reference>
        </references>
      </pivotArea>
    </format>
    <format dxfId="816">
      <pivotArea collapsedLevelsAreSubtotals="1" fieldPosition="0">
        <references count="1">
          <reference field="0" count="1">
            <x v="350"/>
          </reference>
        </references>
      </pivotArea>
    </format>
    <format dxfId="815">
      <pivotArea collapsedLevelsAreSubtotals="1" fieldPosition="0">
        <references count="1">
          <reference field="0" count="1">
            <x v="349"/>
          </reference>
        </references>
      </pivotArea>
    </format>
    <format dxfId="814">
      <pivotArea collapsedLevelsAreSubtotals="1" fieldPosition="0">
        <references count="1">
          <reference field="0" count="1">
            <x v="348"/>
          </reference>
        </references>
      </pivotArea>
    </format>
    <format dxfId="813">
      <pivotArea collapsedLevelsAreSubtotals="1" fieldPosition="0">
        <references count="1">
          <reference field="0" count="1">
            <x v="347"/>
          </reference>
        </references>
      </pivotArea>
    </format>
    <format dxfId="812">
      <pivotArea collapsedLevelsAreSubtotals="1" fieldPosition="0">
        <references count="1">
          <reference field="0" count="1">
            <x v="346"/>
          </reference>
        </references>
      </pivotArea>
    </format>
    <format dxfId="811">
      <pivotArea collapsedLevelsAreSubtotals="1" fieldPosition="0">
        <references count="1">
          <reference field="0" count="1">
            <x v="345"/>
          </reference>
        </references>
      </pivotArea>
    </format>
    <format dxfId="810">
      <pivotArea collapsedLevelsAreSubtotals="1" fieldPosition="0">
        <references count="1">
          <reference field="0" count="1">
            <x v="344"/>
          </reference>
        </references>
      </pivotArea>
    </format>
    <format dxfId="809">
      <pivotArea collapsedLevelsAreSubtotals="1" fieldPosition="0">
        <references count="1">
          <reference field="0" count="1">
            <x v="343"/>
          </reference>
        </references>
      </pivotArea>
    </format>
    <format dxfId="808">
      <pivotArea collapsedLevelsAreSubtotals="1" fieldPosition="0">
        <references count="1">
          <reference field="0" count="1">
            <x v="342"/>
          </reference>
        </references>
      </pivotArea>
    </format>
    <format dxfId="807">
      <pivotArea collapsedLevelsAreSubtotals="1" fieldPosition="0">
        <references count="1">
          <reference field="0" count="1">
            <x v="341"/>
          </reference>
        </references>
      </pivotArea>
    </format>
    <format dxfId="806">
      <pivotArea collapsedLevelsAreSubtotals="1" fieldPosition="0">
        <references count="1">
          <reference field="0" count="1">
            <x v="340"/>
          </reference>
        </references>
      </pivotArea>
    </format>
    <format dxfId="805">
      <pivotArea collapsedLevelsAreSubtotals="1" fieldPosition="0">
        <references count="1">
          <reference field="0" count="1">
            <x v="339"/>
          </reference>
        </references>
      </pivotArea>
    </format>
    <format dxfId="804">
      <pivotArea collapsedLevelsAreSubtotals="1" fieldPosition="0">
        <references count="1">
          <reference field="0" count="1">
            <x v="338"/>
          </reference>
        </references>
      </pivotArea>
    </format>
    <format dxfId="803">
      <pivotArea collapsedLevelsAreSubtotals="1" fieldPosition="0">
        <references count="1">
          <reference field="0" count="1">
            <x v="337"/>
          </reference>
        </references>
      </pivotArea>
    </format>
    <format dxfId="802">
      <pivotArea collapsedLevelsAreSubtotals="1" fieldPosition="0">
        <references count="1">
          <reference field="0" count="1">
            <x v="336"/>
          </reference>
        </references>
      </pivotArea>
    </format>
    <format dxfId="801">
      <pivotArea collapsedLevelsAreSubtotals="1" fieldPosition="0">
        <references count="1">
          <reference field="0" count="1">
            <x v="335"/>
          </reference>
        </references>
      </pivotArea>
    </format>
    <format dxfId="800">
      <pivotArea collapsedLevelsAreSubtotals="1" fieldPosition="0">
        <references count="1">
          <reference field="0" count="1">
            <x v="334"/>
          </reference>
        </references>
      </pivotArea>
    </format>
    <format dxfId="799">
      <pivotArea collapsedLevelsAreSubtotals="1" fieldPosition="0">
        <references count="1">
          <reference field="0" count="1">
            <x v="333"/>
          </reference>
        </references>
      </pivotArea>
    </format>
    <format dxfId="798">
      <pivotArea collapsedLevelsAreSubtotals="1" fieldPosition="0">
        <references count="1">
          <reference field="0" count="1">
            <x v="332"/>
          </reference>
        </references>
      </pivotArea>
    </format>
    <format dxfId="797">
      <pivotArea collapsedLevelsAreSubtotals="1" fieldPosition="0">
        <references count="1">
          <reference field="0" count="1">
            <x v="331"/>
          </reference>
        </references>
      </pivotArea>
    </format>
    <format dxfId="796">
      <pivotArea collapsedLevelsAreSubtotals="1" fieldPosition="0">
        <references count="1">
          <reference field="0" count="1">
            <x v="330"/>
          </reference>
        </references>
      </pivotArea>
    </format>
    <format dxfId="795">
      <pivotArea collapsedLevelsAreSubtotals="1" fieldPosition="0">
        <references count="1">
          <reference field="0" count="1">
            <x v="329"/>
          </reference>
        </references>
      </pivotArea>
    </format>
    <format dxfId="794">
      <pivotArea collapsedLevelsAreSubtotals="1" fieldPosition="0">
        <references count="1">
          <reference field="0" count="1">
            <x v="328"/>
          </reference>
        </references>
      </pivotArea>
    </format>
    <format dxfId="793">
      <pivotArea collapsedLevelsAreSubtotals="1" fieldPosition="0">
        <references count="1">
          <reference field="0" count="1">
            <x v="327"/>
          </reference>
        </references>
      </pivotArea>
    </format>
    <format dxfId="792">
      <pivotArea collapsedLevelsAreSubtotals="1" fieldPosition="0">
        <references count="1">
          <reference field="0" count="1">
            <x v="326"/>
          </reference>
        </references>
      </pivotArea>
    </format>
    <format dxfId="791">
      <pivotArea collapsedLevelsAreSubtotals="1" fieldPosition="0">
        <references count="1">
          <reference field="0" count="1">
            <x v="325"/>
          </reference>
        </references>
      </pivotArea>
    </format>
    <format dxfId="790">
      <pivotArea collapsedLevelsAreSubtotals="1" fieldPosition="0">
        <references count="1">
          <reference field="0" count="1">
            <x v="324"/>
          </reference>
        </references>
      </pivotArea>
    </format>
    <format dxfId="789">
      <pivotArea collapsedLevelsAreSubtotals="1" fieldPosition="0">
        <references count="1">
          <reference field="0" count="1">
            <x v="323"/>
          </reference>
        </references>
      </pivotArea>
    </format>
    <format dxfId="788">
      <pivotArea collapsedLevelsAreSubtotals="1" fieldPosition="0">
        <references count="1">
          <reference field="0" count="1">
            <x v="322"/>
          </reference>
        </references>
      </pivotArea>
    </format>
    <format dxfId="787">
      <pivotArea collapsedLevelsAreSubtotals="1" fieldPosition="0">
        <references count="1">
          <reference field="0" count="1">
            <x v="321"/>
          </reference>
        </references>
      </pivotArea>
    </format>
    <format dxfId="786">
      <pivotArea collapsedLevelsAreSubtotals="1" fieldPosition="0">
        <references count="1">
          <reference field="0" count="1">
            <x v="320"/>
          </reference>
        </references>
      </pivotArea>
    </format>
    <format dxfId="785">
      <pivotArea collapsedLevelsAreSubtotals="1" fieldPosition="0">
        <references count="1">
          <reference field="0" count="1">
            <x v="319"/>
          </reference>
        </references>
      </pivotArea>
    </format>
    <format dxfId="784">
      <pivotArea collapsedLevelsAreSubtotals="1" fieldPosition="0">
        <references count="1">
          <reference field="0" count="1">
            <x v="318"/>
          </reference>
        </references>
      </pivotArea>
    </format>
    <format dxfId="783">
      <pivotArea collapsedLevelsAreSubtotals="1" fieldPosition="0">
        <references count="1">
          <reference field="0" count="1">
            <x v="317"/>
          </reference>
        </references>
      </pivotArea>
    </format>
    <format dxfId="782">
      <pivotArea collapsedLevelsAreSubtotals="1" fieldPosition="0">
        <references count="1">
          <reference field="0" count="1">
            <x v="316"/>
          </reference>
        </references>
      </pivotArea>
    </format>
    <format dxfId="781">
      <pivotArea collapsedLevelsAreSubtotals="1" fieldPosition="0">
        <references count="1">
          <reference field="0" count="1">
            <x v="315"/>
          </reference>
        </references>
      </pivotArea>
    </format>
    <format dxfId="780">
      <pivotArea collapsedLevelsAreSubtotals="1" fieldPosition="0">
        <references count="1">
          <reference field="0" count="1">
            <x v="314"/>
          </reference>
        </references>
      </pivotArea>
    </format>
    <format dxfId="779">
      <pivotArea collapsedLevelsAreSubtotals="1" fieldPosition="0">
        <references count="1">
          <reference field="0" count="1">
            <x v="313"/>
          </reference>
        </references>
      </pivotArea>
    </format>
    <format dxfId="778">
      <pivotArea collapsedLevelsAreSubtotals="1" fieldPosition="0">
        <references count="1">
          <reference field="0" count="1">
            <x v="312"/>
          </reference>
        </references>
      </pivotArea>
    </format>
    <format dxfId="777">
      <pivotArea collapsedLevelsAreSubtotals="1" fieldPosition="0">
        <references count="1">
          <reference field="0" count="1">
            <x v="311"/>
          </reference>
        </references>
      </pivotArea>
    </format>
    <format dxfId="776">
      <pivotArea collapsedLevelsAreSubtotals="1" fieldPosition="0">
        <references count="1">
          <reference field="0" count="1">
            <x v="310"/>
          </reference>
        </references>
      </pivotArea>
    </format>
    <format dxfId="775">
      <pivotArea collapsedLevelsAreSubtotals="1" fieldPosition="0">
        <references count="1">
          <reference field="0" count="1">
            <x v="309"/>
          </reference>
        </references>
      </pivotArea>
    </format>
    <format dxfId="774">
      <pivotArea collapsedLevelsAreSubtotals="1" fieldPosition="0">
        <references count="1">
          <reference field="0" count="1">
            <x v="308"/>
          </reference>
        </references>
      </pivotArea>
    </format>
    <format dxfId="773">
      <pivotArea collapsedLevelsAreSubtotals="1" fieldPosition="0">
        <references count="1">
          <reference field="0" count="1">
            <x v="307"/>
          </reference>
        </references>
      </pivotArea>
    </format>
    <format dxfId="772">
      <pivotArea collapsedLevelsAreSubtotals="1" fieldPosition="0">
        <references count="1">
          <reference field="0" count="1">
            <x v="306"/>
          </reference>
        </references>
      </pivotArea>
    </format>
    <format dxfId="771">
      <pivotArea collapsedLevelsAreSubtotals="1" fieldPosition="0">
        <references count="1">
          <reference field="0" count="1">
            <x v="305"/>
          </reference>
        </references>
      </pivotArea>
    </format>
    <format dxfId="770">
      <pivotArea collapsedLevelsAreSubtotals="1" fieldPosition="0">
        <references count="1">
          <reference field="0" count="1">
            <x v="304"/>
          </reference>
        </references>
      </pivotArea>
    </format>
    <format dxfId="769">
      <pivotArea collapsedLevelsAreSubtotals="1" fieldPosition="0">
        <references count="1">
          <reference field="0" count="1">
            <x v="303"/>
          </reference>
        </references>
      </pivotArea>
    </format>
    <format dxfId="768">
      <pivotArea collapsedLevelsAreSubtotals="1" fieldPosition="0">
        <references count="1">
          <reference field="0" count="1">
            <x v="302"/>
          </reference>
        </references>
      </pivotArea>
    </format>
    <format dxfId="767">
      <pivotArea collapsedLevelsAreSubtotals="1" fieldPosition="0">
        <references count="1">
          <reference field="0" count="1">
            <x v="301"/>
          </reference>
        </references>
      </pivotArea>
    </format>
    <format dxfId="766">
      <pivotArea collapsedLevelsAreSubtotals="1" fieldPosition="0">
        <references count="1">
          <reference field="0" count="1">
            <x v="300"/>
          </reference>
        </references>
      </pivotArea>
    </format>
    <format dxfId="765">
      <pivotArea collapsedLevelsAreSubtotals="1" fieldPosition="0">
        <references count="1">
          <reference field="0" count="1">
            <x v="299"/>
          </reference>
        </references>
      </pivotArea>
    </format>
    <format dxfId="764">
      <pivotArea collapsedLevelsAreSubtotals="1" fieldPosition="0">
        <references count="1">
          <reference field="0" count="1">
            <x v="298"/>
          </reference>
        </references>
      </pivotArea>
    </format>
    <format dxfId="763">
      <pivotArea collapsedLevelsAreSubtotals="1" fieldPosition="0">
        <references count="1">
          <reference field="0" count="1">
            <x v="297"/>
          </reference>
        </references>
      </pivotArea>
    </format>
    <format dxfId="762">
      <pivotArea collapsedLevelsAreSubtotals="1" fieldPosition="0">
        <references count="1">
          <reference field="0" count="1">
            <x v="296"/>
          </reference>
        </references>
      </pivotArea>
    </format>
    <format dxfId="761">
      <pivotArea collapsedLevelsAreSubtotals="1" fieldPosition="0">
        <references count="1">
          <reference field="0" count="1">
            <x v="295"/>
          </reference>
        </references>
      </pivotArea>
    </format>
    <format dxfId="760">
      <pivotArea collapsedLevelsAreSubtotals="1" fieldPosition="0">
        <references count="1">
          <reference field="0" count="1">
            <x v="294"/>
          </reference>
        </references>
      </pivotArea>
    </format>
    <format dxfId="759">
      <pivotArea collapsedLevelsAreSubtotals="1" fieldPosition="0">
        <references count="1">
          <reference field="0" count="1">
            <x v="293"/>
          </reference>
        </references>
      </pivotArea>
    </format>
    <format dxfId="758">
      <pivotArea collapsedLevelsAreSubtotals="1" fieldPosition="0">
        <references count="1">
          <reference field="0" count="1">
            <x v="292"/>
          </reference>
        </references>
      </pivotArea>
    </format>
    <format dxfId="757">
      <pivotArea collapsedLevelsAreSubtotals="1" fieldPosition="0">
        <references count="1">
          <reference field="0" count="1">
            <x v="291"/>
          </reference>
        </references>
      </pivotArea>
    </format>
    <format dxfId="756">
      <pivotArea collapsedLevelsAreSubtotals="1" fieldPosition="0">
        <references count="1">
          <reference field="0" count="1">
            <x v="290"/>
          </reference>
        </references>
      </pivotArea>
    </format>
    <format dxfId="755">
      <pivotArea collapsedLevelsAreSubtotals="1" fieldPosition="0">
        <references count="1">
          <reference field="0" count="1">
            <x v="289"/>
          </reference>
        </references>
      </pivotArea>
    </format>
    <format dxfId="754">
      <pivotArea collapsedLevelsAreSubtotals="1" fieldPosition="0">
        <references count="1">
          <reference field="0" count="1">
            <x v="288"/>
          </reference>
        </references>
      </pivotArea>
    </format>
    <format dxfId="753">
      <pivotArea collapsedLevelsAreSubtotals="1" fieldPosition="0">
        <references count="1">
          <reference field="0" count="1">
            <x v="287"/>
          </reference>
        </references>
      </pivotArea>
    </format>
    <format dxfId="752">
      <pivotArea collapsedLevelsAreSubtotals="1" fieldPosition="0">
        <references count="1">
          <reference field="0" count="1">
            <x v="286"/>
          </reference>
        </references>
      </pivotArea>
    </format>
    <format dxfId="751">
      <pivotArea collapsedLevelsAreSubtotals="1" fieldPosition="0">
        <references count="1">
          <reference field="0" count="1">
            <x v="285"/>
          </reference>
        </references>
      </pivotArea>
    </format>
    <format dxfId="750">
      <pivotArea collapsedLevelsAreSubtotals="1" fieldPosition="0">
        <references count="1">
          <reference field="0" count="1">
            <x v="284"/>
          </reference>
        </references>
      </pivotArea>
    </format>
    <format dxfId="749">
      <pivotArea collapsedLevelsAreSubtotals="1" fieldPosition="0">
        <references count="1">
          <reference field="0" count="1">
            <x v="283"/>
          </reference>
        </references>
      </pivotArea>
    </format>
    <format dxfId="748">
      <pivotArea collapsedLevelsAreSubtotals="1" fieldPosition="0">
        <references count="1">
          <reference field="0" count="1">
            <x v="282"/>
          </reference>
        </references>
      </pivotArea>
    </format>
    <format dxfId="747">
      <pivotArea collapsedLevelsAreSubtotals="1" fieldPosition="0">
        <references count="1">
          <reference field="0" count="1">
            <x v="281"/>
          </reference>
        </references>
      </pivotArea>
    </format>
    <format dxfId="746">
      <pivotArea collapsedLevelsAreSubtotals="1" fieldPosition="0">
        <references count="1">
          <reference field="0" count="1">
            <x v="280"/>
          </reference>
        </references>
      </pivotArea>
    </format>
    <format dxfId="745">
      <pivotArea collapsedLevelsAreSubtotals="1" fieldPosition="0">
        <references count="1">
          <reference field="0" count="1">
            <x v="279"/>
          </reference>
        </references>
      </pivotArea>
    </format>
    <format dxfId="744">
      <pivotArea collapsedLevelsAreSubtotals="1" fieldPosition="0">
        <references count="1">
          <reference field="0" count="1">
            <x v="278"/>
          </reference>
        </references>
      </pivotArea>
    </format>
    <format dxfId="743">
      <pivotArea collapsedLevelsAreSubtotals="1" fieldPosition="0">
        <references count="1">
          <reference field="0" count="1">
            <x v="277"/>
          </reference>
        </references>
      </pivotArea>
    </format>
    <format dxfId="742">
      <pivotArea collapsedLevelsAreSubtotals="1" fieldPosition="0">
        <references count="1">
          <reference field="0" count="1">
            <x v="276"/>
          </reference>
        </references>
      </pivotArea>
    </format>
    <format dxfId="741">
      <pivotArea collapsedLevelsAreSubtotals="1" fieldPosition="0">
        <references count="1">
          <reference field="0" count="1">
            <x v="275"/>
          </reference>
        </references>
      </pivotArea>
    </format>
    <format dxfId="740">
      <pivotArea collapsedLevelsAreSubtotals="1" fieldPosition="0">
        <references count="1">
          <reference field="0" count="1">
            <x v="274"/>
          </reference>
        </references>
      </pivotArea>
    </format>
    <format dxfId="739">
      <pivotArea collapsedLevelsAreSubtotals="1" fieldPosition="0">
        <references count="1">
          <reference field="0" count="1">
            <x v="273"/>
          </reference>
        </references>
      </pivotArea>
    </format>
    <format dxfId="738">
      <pivotArea collapsedLevelsAreSubtotals="1" fieldPosition="0">
        <references count="1">
          <reference field="0" count="1">
            <x v="272"/>
          </reference>
        </references>
      </pivotArea>
    </format>
    <format dxfId="737">
      <pivotArea collapsedLevelsAreSubtotals="1" fieldPosition="0">
        <references count="1">
          <reference field="0" count="1">
            <x v="271"/>
          </reference>
        </references>
      </pivotArea>
    </format>
    <format dxfId="736">
      <pivotArea collapsedLevelsAreSubtotals="1" fieldPosition="0">
        <references count="1">
          <reference field="0" count="1">
            <x v="270"/>
          </reference>
        </references>
      </pivotArea>
    </format>
    <format dxfId="735">
      <pivotArea collapsedLevelsAreSubtotals="1" fieldPosition="0">
        <references count="1">
          <reference field="0" count="1">
            <x v="269"/>
          </reference>
        </references>
      </pivotArea>
    </format>
    <format dxfId="734">
      <pivotArea collapsedLevelsAreSubtotals="1" fieldPosition="0">
        <references count="1">
          <reference field="0" count="1">
            <x v="268"/>
          </reference>
        </references>
      </pivotArea>
    </format>
    <format dxfId="733">
      <pivotArea collapsedLevelsAreSubtotals="1" fieldPosition="0">
        <references count="1">
          <reference field="0" count="1">
            <x v="267"/>
          </reference>
        </references>
      </pivotArea>
    </format>
    <format dxfId="732">
      <pivotArea collapsedLevelsAreSubtotals="1" fieldPosition="0">
        <references count="1">
          <reference field="0" count="1">
            <x v="266"/>
          </reference>
        </references>
      </pivotArea>
    </format>
    <format dxfId="731">
      <pivotArea collapsedLevelsAreSubtotals="1" fieldPosition="0">
        <references count="1">
          <reference field="0" count="1">
            <x v="265"/>
          </reference>
        </references>
      </pivotArea>
    </format>
    <format dxfId="730">
      <pivotArea collapsedLevelsAreSubtotals="1" fieldPosition="0">
        <references count="1">
          <reference field="0" count="1">
            <x v="264"/>
          </reference>
        </references>
      </pivotArea>
    </format>
    <format dxfId="729">
      <pivotArea collapsedLevelsAreSubtotals="1" fieldPosition="0">
        <references count="1">
          <reference field="0" count="1">
            <x v="263"/>
          </reference>
        </references>
      </pivotArea>
    </format>
    <format dxfId="728">
      <pivotArea collapsedLevelsAreSubtotals="1" fieldPosition="0">
        <references count="1">
          <reference field="0" count="1">
            <x v="262"/>
          </reference>
        </references>
      </pivotArea>
    </format>
    <format dxfId="727">
      <pivotArea collapsedLevelsAreSubtotals="1" fieldPosition="0">
        <references count="1">
          <reference field="0" count="1">
            <x v="261"/>
          </reference>
        </references>
      </pivotArea>
    </format>
    <format dxfId="726">
      <pivotArea collapsedLevelsAreSubtotals="1" fieldPosition="0">
        <references count="1">
          <reference field="0" count="1">
            <x v="260"/>
          </reference>
        </references>
      </pivotArea>
    </format>
    <format dxfId="725">
      <pivotArea collapsedLevelsAreSubtotals="1" fieldPosition="0">
        <references count="1">
          <reference field="0" count="1">
            <x v="259"/>
          </reference>
        </references>
      </pivotArea>
    </format>
    <format dxfId="724">
      <pivotArea collapsedLevelsAreSubtotals="1" fieldPosition="0">
        <references count="1">
          <reference field="0" count="1">
            <x v="258"/>
          </reference>
        </references>
      </pivotArea>
    </format>
    <format dxfId="723">
      <pivotArea collapsedLevelsAreSubtotals="1" fieldPosition="0">
        <references count="1">
          <reference field="0" count="1">
            <x v="257"/>
          </reference>
        </references>
      </pivotArea>
    </format>
    <format dxfId="722">
      <pivotArea collapsedLevelsAreSubtotals="1" fieldPosition="0">
        <references count="1">
          <reference field="0" count="1">
            <x v="256"/>
          </reference>
        </references>
      </pivotArea>
    </format>
    <format dxfId="721">
      <pivotArea collapsedLevelsAreSubtotals="1" fieldPosition="0">
        <references count="1">
          <reference field="0" count="1">
            <x v="255"/>
          </reference>
        </references>
      </pivotArea>
    </format>
    <format dxfId="720">
      <pivotArea collapsedLevelsAreSubtotals="1" fieldPosition="0">
        <references count="1">
          <reference field="0" count="1">
            <x v="254"/>
          </reference>
        </references>
      </pivotArea>
    </format>
    <format dxfId="719">
      <pivotArea collapsedLevelsAreSubtotals="1" fieldPosition="0">
        <references count="1">
          <reference field="0" count="1">
            <x v="253"/>
          </reference>
        </references>
      </pivotArea>
    </format>
    <format dxfId="718">
      <pivotArea collapsedLevelsAreSubtotals="1" fieldPosition="0">
        <references count="1">
          <reference field="0" count="1">
            <x v="252"/>
          </reference>
        </references>
      </pivotArea>
    </format>
    <format dxfId="717">
      <pivotArea collapsedLevelsAreSubtotals="1" fieldPosition="0">
        <references count="1">
          <reference field="0" count="1">
            <x v="251"/>
          </reference>
        </references>
      </pivotArea>
    </format>
    <format dxfId="716">
      <pivotArea collapsedLevelsAreSubtotals="1" fieldPosition="0">
        <references count="1">
          <reference field="0" count="1">
            <x v="250"/>
          </reference>
        </references>
      </pivotArea>
    </format>
    <format dxfId="715">
      <pivotArea collapsedLevelsAreSubtotals="1" fieldPosition="0">
        <references count="1">
          <reference field="0" count="1">
            <x v="249"/>
          </reference>
        </references>
      </pivotArea>
    </format>
    <format dxfId="714">
      <pivotArea collapsedLevelsAreSubtotals="1" fieldPosition="0">
        <references count="1">
          <reference field="0" count="1">
            <x v="248"/>
          </reference>
        </references>
      </pivotArea>
    </format>
    <format dxfId="713">
      <pivotArea collapsedLevelsAreSubtotals="1" fieldPosition="0">
        <references count="1">
          <reference field="0" count="1">
            <x v="247"/>
          </reference>
        </references>
      </pivotArea>
    </format>
    <format dxfId="712">
      <pivotArea collapsedLevelsAreSubtotals="1" fieldPosition="0">
        <references count="1">
          <reference field="0" count="1">
            <x v="246"/>
          </reference>
        </references>
      </pivotArea>
    </format>
    <format dxfId="711">
      <pivotArea collapsedLevelsAreSubtotals="1" fieldPosition="0">
        <references count="1">
          <reference field="0" count="1">
            <x v="245"/>
          </reference>
        </references>
      </pivotArea>
    </format>
    <format dxfId="710">
      <pivotArea collapsedLevelsAreSubtotals="1" fieldPosition="0">
        <references count="1">
          <reference field="0" count="1">
            <x v="244"/>
          </reference>
        </references>
      </pivotArea>
    </format>
    <format dxfId="709">
      <pivotArea collapsedLevelsAreSubtotals="1" fieldPosition="0">
        <references count="1">
          <reference field="0" count="1">
            <x v="243"/>
          </reference>
        </references>
      </pivotArea>
    </format>
    <format dxfId="708">
      <pivotArea collapsedLevelsAreSubtotals="1" fieldPosition="0">
        <references count="1">
          <reference field="0" count="1">
            <x v="242"/>
          </reference>
        </references>
      </pivotArea>
    </format>
    <format dxfId="707">
      <pivotArea collapsedLevelsAreSubtotals="1" fieldPosition="0">
        <references count="1">
          <reference field="0" count="1">
            <x v="241"/>
          </reference>
        </references>
      </pivotArea>
    </format>
    <format dxfId="706">
      <pivotArea collapsedLevelsAreSubtotals="1" fieldPosition="0">
        <references count="1">
          <reference field="0" count="1">
            <x v="240"/>
          </reference>
        </references>
      </pivotArea>
    </format>
    <format dxfId="705">
      <pivotArea collapsedLevelsAreSubtotals="1" fieldPosition="0">
        <references count="1">
          <reference field="0" count="1">
            <x v="239"/>
          </reference>
        </references>
      </pivotArea>
    </format>
    <format dxfId="704">
      <pivotArea collapsedLevelsAreSubtotals="1" fieldPosition="0">
        <references count="1">
          <reference field="0" count="1">
            <x v="238"/>
          </reference>
        </references>
      </pivotArea>
    </format>
    <format dxfId="703">
      <pivotArea collapsedLevelsAreSubtotals="1" fieldPosition="0">
        <references count="1">
          <reference field="0" count="1">
            <x v="237"/>
          </reference>
        </references>
      </pivotArea>
    </format>
    <format dxfId="702">
      <pivotArea collapsedLevelsAreSubtotals="1" fieldPosition="0">
        <references count="1">
          <reference field="0" count="1">
            <x v="236"/>
          </reference>
        </references>
      </pivotArea>
    </format>
    <format dxfId="701">
      <pivotArea collapsedLevelsAreSubtotals="1" fieldPosition="0">
        <references count="1">
          <reference field="0" count="1">
            <x v="235"/>
          </reference>
        </references>
      </pivotArea>
    </format>
    <format dxfId="700">
      <pivotArea collapsedLevelsAreSubtotals="1" fieldPosition="0">
        <references count="1">
          <reference field="0" count="1">
            <x v="234"/>
          </reference>
        </references>
      </pivotArea>
    </format>
    <format dxfId="699">
      <pivotArea collapsedLevelsAreSubtotals="1" fieldPosition="0">
        <references count="1">
          <reference field="0" count="1">
            <x v="233"/>
          </reference>
        </references>
      </pivotArea>
    </format>
    <format dxfId="698">
      <pivotArea collapsedLevelsAreSubtotals="1" fieldPosition="0">
        <references count="1">
          <reference field="0" count="1">
            <x v="232"/>
          </reference>
        </references>
      </pivotArea>
    </format>
    <format dxfId="697">
      <pivotArea collapsedLevelsAreSubtotals="1" fieldPosition="0">
        <references count="1">
          <reference field="0" count="1">
            <x v="231"/>
          </reference>
        </references>
      </pivotArea>
    </format>
    <format dxfId="696">
      <pivotArea collapsedLevelsAreSubtotals="1" fieldPosition="0">
        <references count="1">
          <reference field="0" count="1">
            <x v="230"/>
          </reference>
        </references>
      </pivotArea>
    </format>
    <format dxfId="695">
      <pivotArea collapsedLevelsAreSubtotals="1" fieldPosition="0">
        <references count="1">
          <reference field="0" count="1">
            <x v="229"/>
          </reference>
        </references>
      </pivotArea>
    </format>
    <format dxfId="694">
      <pivotArea collapsedLevelsAreSubtotals="1" fieldPosition="0">
        <references count="1">
          <reference field="0" count="1">
            <x v="228"/>
          </reference>
        </references>
      </pivotArea>
    </format>
    <format dxfId="693">
      <pivotArea collapsedLevelsAreSubtotals="1" fieldPosition="0">
        <references count="1">
          <reference field="0" count="1">
            <x v="227"/>
          </reference>
        </references>
      </pivotArea>
    </format>
    <format dxfId="692">
      <pivotArea collapsedLevelsAreSubtotals="1" fieldPosition="0">
        <references count="1">
          <reference field="0" count="1">
            <x v="226"/>
          </reference>
        </references>
      </pivotArea>
    </format>
    <format dxfId="691">
      <pivotArea collapsedLevelsAreSubtotals="1" fieldPosition="0">
        <references count="1">
          <reference field="0" count="1">
            <x v="225"/>
          </reference>
        </references>
      </pivotArea>
    </format>
    <format dxfId="690">
      <pivotArea collapsedLevelsAreSubtotals="1" fieldPosition="0">
        <references count="1">
          <reference field="0" count="1">
            <x v="224"/>
          </reference>
        </references>
      </pivotArea>
    </format>
    <format dxfId="689">
      <pivotArea collapsedLevelsAreSubtotals="1" fieldPosition="0">
        <references count="1">
          <reference field="0" count="1">
            <x v="223"/>
          </reference>
        </references>
      </pivotArea>
    </format>
    <format dxfId="688">
      <pivotArea collapsedLevelsAreSubtotals="1" fieldPosition="0">
        <references count="1">
          <reference field="0" count="1">
            <x v="222"/>
          </reference>
        </references>
      </pivotArea>
    </format>
    <format dxfId="687">
      <pivotArea collapsedLevelsAreSubtotals="1" fieldPosition="0">
        <references count="1">
          <reference field="0" count="1">
            <x v="221"/>
          </reference>
        </references>
      </pivotArea>
    </format>
    <format dxfId="686">
      <pivotArea collapsedLevelsAreSubtotals="1" fieldPosition="0">
        <references count="1">
          <reference field="0" count="1">
            <x v="220"/>
          </reference>
        </references>
      </pivotArea>
    </format>
    <format dxfId="685">
      <pivotArea collapsedLevelsAreSubtotals="1" fieldPosition="0">
        <references count="1">
          <reference field="0" count="1">
            <x v="219"/>
          </reference>
        </references>
      </pivotArea>
    </format>
    <format dxfId="684">
      <pivotArea collapsedLevelsAreSubtotals="1" fieldPosition="0">
        <references count="1">
          <reference field="0" count="1">
            <x v="218"/>
          </reference>
        </references>
      </pivotArea>
    </format>
    <format dxfId="683">
      <pivotArea collapsedLevelsAreSubtotals="1" fieldPosition="0">
        <references count="1">
          <reference field="0" count="1">
            <x v="217"/>
          </reference>
        </references>
      </pivotArea>
    </format>
    <format dxfId="682">
      <pivotArea collapsedLevelsAreSubtotals="1" fieldPosition="0">
        <references count="1">
          <reference field="0" count="1">
            <x v="216"/>
          </reference>
        </references>
      </pivotArea>
    </format>
    <format dxfId="681">
      <pivotArea collapsedLevelsAreSubtotals="1" fieldPosition="0">
        <references count="1">
          <reference field="0" count="1">
            <x v="215"/>
          </reference>
        </references>
      </pivotArea>
    </format>
    <format dxfId="680">
      <pivotArea collapsedLevelsAreSubtotals="1" fieldPosition="0">
        <references count="1">
          <reference field="0" count="1">
            <x v="214"/>
          </reference>
        </references>
      </pivotArea>
    </format>
    <format dxfId="679">
      <pivotArea collapsedLevelsAreSubtotals="1" fieldPosition="0">
        <references count="1">
          <reference field="0" count="1">
            <x v="213"/>
          </reference>
        </references>
      </pivotArea>
    </format>
    <format dxfId="678">
      <pivotArea collapsedLevelsAreSubtotals="1" fieldPosition="0">
        <references count="1">
          <reference field="0" count="1">
            <x v="212"/>
          </reference>
        </references>
      </pivotArea>
    </format>
    <format dxfId="677">
      <pivotArea collapsedLevelsAreSubtotals="1" fieldPosition="0">
        <references count="1">
          <reference field="0" count="1">
            <x v="211"/>
          </reference>
        </references>
      </pivotArea>
    </format>
    <format dxfId="676">
      <pivotArea collapsedLevelsAreSubtotals="1" fieldPosition="0">
        <references count="1">
          <reference field="0" count="1">
            <x v="210"/>
          </reference>
        </references>
      </pivotArea>
    </format>
    <format dxfId="675">
      <pivotArea collapsedLevelsAreSubtotals="1" fieldPosition="0">
        <references count="1">
          <reference field="0" count="1">
            <x v="209"/>
          </reference>
        </references>
      </pivotArea>
    </format>
    <format dxfId="674">
      <pivotArea collapsedLevelsAreSubtotals="1" fieldPosition="0">
        <references count="1">
          <reference field="0" count="1">
            <x v="208"/>
          </reference>
        </references>
      </pivotArea>
    </format>
    <format dxfId="673">
      <pivotArea collapsedLevelsAreSubtotals="1" fieldPosition="0">
        <references count="1">
          <reference field="0" count="1">
            <x v="207"/>
          </reference>
        </references>
      </pivotArea>
    </format>
    <format dxfId="672">
      <pivotArea collapsedLevelsAreSubtotals="1" fieldPosition="0">
        <references count="1">
          <reference field="0" count="1">
            <x v="206"/>
          </reference>
        </references>
      </pivotArea>
    </format>
    <format dxfId="671">
      <pivotArea collapsedLevelsAreSubtotals="1" fieldPosition="0">
        <references count="1">
          <reference field="0" count="1">
            <x v="205"/>
          </reference>
        </references>
      </pivotArea>
    </format>
    <format dxfId="670">
      <pivotArea collapsedLevelsAreSubtotals="1" fieldPosition="0">
        <references count="1">
          <reference field="0" count="1">
            <x v="204"/>
          </reference>
        </references>
      </pivotArea>
    </format>
    <format dxfId="669">
      <pivotArea collapsedLevelsAreSubtotals="1" fieldPosition="0">
        <references count="1">
          <reference field="0" count="1">
            <x v="203"/>
          </reference>
        </references>
      </pivotArea>
    </format>
    <format dxfId="668">
      <pivotArea collapsedLevelsAreSubtotals="1" fieldPosition="0">
        <references count="1">
          <reference field="0" count="1">
            <x v="202"/>
          </reference>
        </references>
      </pivotArea>
    </format>
    <format dxfId="667">
      <pivotArea collapsedLevelsAreSubtotals="1" fieldPosition="0">
        <references count="1">
          <reference field="0" count="1">
            <x v="201"/>
          </reference>
        </references>
      </pivotArea>
    </format>
    <format dxfId="666">
      <pivotArea collapsedLevelsAreSubtotals="1" fieldPosition="0">
        <references count="1">
          <reference field="0" count="1">
            <x v="200"/>
          </reference>
        </references>
      </pivotArea>
    </format>
    <format dxfId="665">
      <pivotArea collapsedLevelsAreSubtotals="1" fieldPosition="0">
        <references count="1">
          <reference field="0" count="1">
            <x v="199"/>
          </reference>
        </references>
      </pivotArea>
    </format>
    <format dxfId="664">
      <pivotArea collapsedLevelsAreSubtotals="1" fieldPosition="0">
        <references count="1">
          <reference field="0" count="1">
            <x v="198"/>
          </reference>
        </references>
      </pivotArea>
    </format>
    <format dxfId="663">
      <pivotArea collapsedLevelsAreSubtotals="1" fieldPosition="0">
        <references count="1">
          <reference field="0" count="1">
            <x v="197"/>
          </reference>
        </references>
      </pivotArea>
    </format>
    <format dxfId="662">
      <pivotArea collapsedLevelsAreSubtotals="1" fieldPosition="0">
        <references count="1">
          <reference field="0" count="1">
            <x v="196"/>
          </reference>
        </references>
      </pivotArea>
    </format>
    <format dxfId="661">
      <pivotArea collapsedLevelsAreSubtotals="1" fieldPosition="0">
        <references count="1">
          <reference field="0" count="1">
            <x v="195"/>
          </reference>
        </references>
      </pivotArea>
    </format>
    <format dxfId="660">
      <pivotArea collapsedLevelsAreSubtotals="1" fieldPosition="0">
        <references count="1">
          <reference field="0" count="1">
            <x v="194"/>
          </reference>
        </references>
      </pivotArea>
    </format>
    <format dxfId="659">
      <pivotArea collapsedLevelsAreSubtotals="1" fieldPosition="0">
        <references count="1">
          <reference field="0" count="1">
            <x v="193"/>
          </reference>
        </references>
      </pivotArea>
    </format>
    <format dxfId="658">
      <pivotArea collapsedLevelsAreSubtotals="1" fieldPosition="0">
        <references count="1">
          <reference field="0" count="1">
            <x v="192"/>
          </reference>
        </references>
      </pivotArea>
    </format>
    <format dxfId="657">
      <pivotArea collapsedLevelsAreSubtotals="1" fieldPosition="0">
        <references count="1">
          <reference field="0" count="1">
            <x v="191"/>
          </reference>
        </references>
      </pivotArea>
    </format>
    <format dxfId="656">
      <pivotArea collapsedLevelsAreSubtotals="1" fieldPosition="0">
        <references count="1">
          <reference field="0" count="1">
            <x v="190"/>
          </reference>
        </references>
      </pivotArea>
    </format>
    <format dxfId="655">
      <pivotArea collapsedLevelsAreSubtotals="1" fieldPosition="0">
        <references count="1">
          <reference field="0" count="1">
            <x v="189"/>
          </reference>
        </references>
      </pivotArea>
    </format>
    <format dxfId="654">
      <pivotArea collapsedLevelsAreSubtotals="1" fieldPosition="0">
        <references count="1">
          <reference field="0" count="1">
            <x v="188"/>
          </reference>
        </references>
      </pivotArea>
    </format>
    <format dxfId="653">
      <pivotArea collapsedLevelsAreSubtotals="1" fieldPosition="0">
        <references count="1">
          <reference field="0" count="1">
            <x v="187"/>
          </reference>
        </references>
      </pivotArea>
    </format>
    <format dxfId="652">
      <pivotArea collapsedLevelsAreSubtotals="1" fieldPosition="0">
        <references count="1">
          <reference field="0" count="1">
            <x v="186"/>
          </reference>
        </references>
      </pivotArea>
    </format>
    <format dxfId="651">
      <pivotArea collapsedLevelsAreSubtotals="1" fieldPosition="0">
        <references count="1">
          <reference field="0" count="1">
            <x v="185"/>
          </reference>
        </references>
      </pivotArea>
    </format>
    <format dxfId="650">
      <pivotArea collapsedLevelsAreSubtotals="1" fieldPosition="0">
        <references count="1">
          <reference field="0" count="1">
            <x v="184"/>
          </reference>
        </references>
      </pivotArea>
    </format>
    <format dxfId="649">
      <pivotArea collapsedLevelsAreSubtotals="1" fieldPosition="0">
        <references count="1">
          <reference field="0" count="1">
            <x v="183"/>
          </reference>
        </references>
      </pivotArea>
    </format>
    <format dxfId="648">
      <pivotArea collapsedLevelsAreSubtotals="1" fieldPosition="0">
        <references count="1">
          <reference field="0" count="1">
            <x v="182"/>
          </reference>
        </references>
      </pivotArea>
    </format>
    <format dxfId="647">
      <pivotArea collapsedLevelsAreSubtotals="1" fieldPosition="0">
        <references count="1">
          <reference field="0" count="1">
            <x v="181"/>
          </reference>
        </references>
      </pivotArea>
    </format>
    <format dxfId="646">
      <pivotArea collapsedLevelsAreSubtotals="1" fieldPosition="0">
        <references count="1">
          <reference field="0" count="1">
            <x v="180"/>
          </reference>
        </references>
      </pivotArea>
    </format>
    <format dxfId="645">
      <pivotArea collapsedLevelsAreSubtotals="1" fieldPosition="0">
        <references count="1">
          <reference field="0" count="1">
            <x v="179"/>
          </reference>
        </references>
      </pivotArea>
    </format>
    <format dxfId="644">
      <pivotArea collapsedLevelsAreSubtotals="1" fieldPosition="0">
        <references count="1">
          <reference field="0" count="1">
            <x v="178"/>
          </reference>
        </references>
      </pivotArea>
    </format>
    <format dxfId="643">
      <pivotArea collapsedLevelsAreSubtotals="1" fieldPosition="0">
        <references count="1">
          <reference field="0" count="1">
            <x v="177"/>
          </reference>
        </references>
      </pivotArea>
    </format>
    <format dxfId="642">
      <pivotArea collapsedLevelsAreSubtotals="1" fieldPosition="0">
        <references count="1">
          <reference field="0" count="1">
            <x v="176"/>
          </reference>
        </references>
      </pivotArea>
    </format>
    <format dxfId="641">
      <pivotArea collapsedLevelsAreSubtotals="1" fieldPosition="0">
        <references count="1">
          <reference field="0" count="1">
            <x v="175"/>
          </reference>
        </references>
      </pivotArea>
    </format>
    <format dxfId="640">
      <pivotArea collapsedLevelsAreSubtotals="1" fieldPosition="0">
        <references count="1">
          <reference field="0" count="1">
            <x v="174"/>
          </reference>
        </references>
      </pivotArea>
    </format>
    <format dxfId="639">
      <pivotArea collapsedLevelsAreSubtotals="1" fieldPosition="0">
        <references count="1">
          <reference field="0" count="1">
            <x v="173"/>
          </reference>
        </references>
      </pivotArea>
    </format>
    <format dxfId="638">
      <pivotArea collapsedLevelsAreSubtotals="1" fieldPosition="0">
        <references count="1">
          <reference field="0" count="1">
            <x v="172"/>
          </reference>
        </references>
      </pivotArea>
    </format>
    <format dxfId="637">
      <pivotArea collapsedLevelsAreSubtotals="1" fieldPosition="0">
        <references count="1">
          <reference field="0" count="1">
            <x v="171"/>
          </reference>
        </references>
      </pivotArea>
    </format>
    <format dxfId="636">
      <pivotArea collapsedLevelsAreSubtotals="1" fieldPosition="0">
        <references count="1">
          <reference field="0" count="1">
            <x v="170"/>
          </reference>
        </references>
      </pivotArea>
    </format>
    <format dxfId="635">
      <pivotArea collapsedLevelsAreSubtotals="1" fieldPosition="0">
        <references count="1">
          <reference field="0" count="1">
            <x v="169"/>
          </reference>
        </references>
      </pivotArea>
    </format>
    <format dxfId="634">
      <pivotArea collapsedLevelsAreSubtotals="1" fieldPosition="0">
        <references count="1">
          <reference field="0" count="1">
            <x v="168"/>
          </reference>
        </references>
      </pivotArea>
    </format>
    <format dxfId="633">
      <pivotArea collapsedLevelsAreSubtotals="1" fieldPosition="0">
        <references count="1">
          <reference field="0" count="1">
            <x v="167"/>
          </reference>
        </references>
      </pivotArea>
    </format>
    <format dxfId="632">
      <pivotArea collapsedLevelsAreSubtotals="1" fieldPosition="0">
        <references count="1">
          <reference field="0" count="1">
            <x v="166"/>
          </reference>
        </references>
      </pivotArea>
    </format>
    <format dxfId="631">
      <pivotArea collapsedLevelsAreSubtotals="1" fieldPosition="0">
        <references count="1">
          <reference field="0" count="1">
            <x v="165"/>
          </reference>
        </references>
      </pivotArea>
    </format>
    <format dxfId="630">
      <pivotArea collapsedLevelsAreSubtotals="1" fieldPosition="0">
        <references count="1">
          <reference field="0" count="1">
            <x v="164"/>
          </reference>
        </references>
      </pivotArea>
    </format>
    <format dxfId="629">
      <pivotArea collapsedLevelsAreSubtotals="1" fieldPosition="0">
        <references count="1">
          <reference field="0" count="1">
            <x v="163"/>
          </reference>
        </references>
      </pivotArea>
    </format>
    <format dxfId="628">
      <pivotArea collapsedLevelsAreSubtotals="1" fieldPosition="0">
        <references count="1">
          <reference field="0" count="1">
            <x v="162"/>
          </reference>
        </references>
      </pivotArea>
    </format>
    <format dxfId="627">
      <pivotArea collapsedLevelsAreSubtotals="1" fieldPosition="0">
        <references count="1">
          <reference field="0" count="1">
            <x v="161"/>
          </reference>
        </references>
      </pivotArea>
    </format>
    <format dxfId="626">
      <pivotArea collapsedLevelsAreSubtotals="1" fieldPosition="0">
        <references count="1">
          <reference field="0" count="1">
            <x v="160"/>
          </reference>
        </references>
      </pivotArea>
    </format>
    <format dxfId="625">
      <pivotArea collapsedLevelsAreSubtotals="1" fieldPosition="0">
        <references count="1">
          <reference field="0" count="1">
            <x v="159"/>
          </reference>
        </references>
      </pivotArea>
    </format>
    <format dxfId="624">
      <pivotArea collapsedLevelsAreSubtotals="1" fieldPosition="0">
        <references count="1">
          <reference field="0" count="1">
            <x v="158"/>
          </reference>
        </references>
      </pivotArea>
    </format>
    <format dxfId="623">
      <pivotArea collapsedLevelsAreSubtotals="1" fieldPosition="0">
        <references count="1">
          <reference field="0" count="1">
            <x v="157"/>
          </reference>
        </references>
      </pivotArea>
    </format>
    <format dxfId="622">
      <pivotArea collapsedLevelsAreSubtotals="1" fieldPosition="0">
        <references count="1">
          <reference field="0" count="1">
            <x v="156"/>
          </reference>
        </references>
      </pivotArea>
    </format>
    <format dxfId="621">
      <pivotArea collapsedLevelsAreSubtotals="1" fieldPosition="0">
        <references count="1">
          <reference field="0" count="1">
            <x v="155"/>
          </reference>
        </references>
      </pivotArea>
    </format>
    <format dxfId="620">
      <pivotArea collapsedLevelsAreSubtotals="1" fieldPosition="0">
        <references count="1">
          <reference field="0" count="1">
            <x v="154"/>
          </reference>
        </references>
      </pivotArea>
    </format>
    <format dxfId="619">
      <pivotArea collapsedLevelsAreSubtotals="1" fieldPosition="0">
        <references count="1">
          <reference field="0" count="1">
            <x v="153"/>
          </reference>
        </references>
      </pivotArea>
    </format>
    <format dxfId="618">
      <pivotArea collapsedLevelsAreSubtotals="1" fieldPosition="0">
        <references count="1">
          <reference field="0" count="1">
            <x v="152"/>
          </reference>
        </references>
      </pivotArea>
    </format>
    <format dxfId="617">
      <pivotArea collapsedLevelsAreSubtotals="1" fieldPosition="0">
        <references count="1">
          <reference field="0" count="1">
            <x v="151"/>
          </reference>
        </references>
      </pivotArea>
    </format>
    <format dxfId="616">
      <pivotArea collapsedLevelsAreSubtotals="1" fieldPosition="0">
        <references count="1">
          <reference field="0" count="1">
            <x v="150"/>
          </reference>
        </references>
      </pivotArea>
    </format>
    <format dxfId="615">
      <pivotArea collapsedLevelsAreSubtotals="1" fieldPosition="0">
        <references count="1">
          <reference field="0" count="1">
            <x v="149"/>
          </reference>
        </references>
      </pivotArea>
    </format>
    <format dxfId="614">
      <pivotArea collapsedLevelsAreSubtotals="1" fieldPosition="0">
        <references count="1">
          <reference field="0" count="1">
            <x v="148"/>
          </reference>
        </references>
      </pivotArea>
    </format>
    <format dxfId="613">
      <pivotArea collapsedLevelsAreSubtotals="1" fieldPosition="0">
        <references count="1">
          <reference field="0" count="1">
            <x v="147"/>
          </reference>
        </references>
      </pivotArea>
    </format>
    <format dxfId="612">
      <pivotArea collapsedLevelsAreSubtotals="1" fieldPosition="0">
        <references count="1">
          <reference field="0" count="1">
            <x v="146"/>
          </reference>
        </references>
      </pivotArea>
    </format>
    <format dxfId="611">
      <pivotArea collapsedLevelsAreSubtotals="1" fieldPosition="0">
        <references count="1">
          <reference field="0" count="1">
            <x v="145"/>
          </reference>
        </references>
      </pivotArea>
    </format>
    <format dxfId="610">
      <pivotArea collapsedLevelsAreSubtotals="1" fieldPosition="0">
        <references count="1">
          <reference field="0" count="1">
            <x v="144"/>
          </reference>
        </references>
      </pivotArea>
    </format>
    <format dxfId="609">
      <pivotArea collapsedLevelsAreSubtotals="1" fieldPosition="0">
        <references count="1">
          <reference field="0" count="1">
            <x v="143"/>
          </reference>
        </references>
      </pivotArea>
    </format>
    <format dxfId="608">
      <pivotArea collapsedLevelsAreSubtotals="1" fieldPosition="0">
        <references count="1">
          <reference field="0" count="1">
            <x v="142"/>
          </reference>
        </references>
      </pivotArea>
    </format>
    <format dxfId="607">
      <pivotArea collapsedLevelsAreSubtotals="1" fieldPosition="0">
        <references count="1">
          <reference field="0" count="1">
            <x v="141"/>
          </reference>
        </references>
      </pivotArea>
    </format>
    <format dxfId="606">
      <pivotArea collapsedLevelsAreSubtotals="1" fieldPosition="0">
        <references count="1">
          <reference field="0" count="1">
            <x v="140"/>
          </reference>
        </references>
      </pivotArea>
    </format>
    <format dxfId="605">
      <pivotArea collapsedLevelsAreSubtotals="1" fieldPosition="0">
        <references count="1">
          <reference field="0" count="1">
            <x v="139"/>
          </reference>
        </references>
      </pivotArea>
    </format>
    <format dxfId="604">
      <pivotArea collapsedLevelsAreSubtotals="1" fieldPosition="0">
        <references count="1">
          <reference field="0" count="1">
            <x v="138"/>
          </reference>
        </references>
      </pivotArea>
    </format>
    <format dxfId="603">
      <pivotArea collapsedLevelsAreSubtotals="1" fieldPosition="0">
        <references count="1">
          <reference field="0" count="1">
            <x v="137"/>
          </reference>
        </references>
      </pivotArea>
    </format>
    <format dxfId="602">
      <pivotArea collapsedLevelsAreSubtotals="1" fieldPosition="0">
        <references count="1">
          <reference field="0" count="1">
            <x v="136"/>
          </reference>
        </references>
      </pivotArea>
    </format>
    <format dxfId="601">
      <pivotArea collapsedLevelsAreSubtotals="1" fieldPosition="0">
        <references count="1">
          <reference field="0" count="1">
            <x v="135"/>
          </reference>
        </references>
      </pivotArea>
    </format>
    <format dxfId="600">
      <pivotArea collapsedLevelsAreSubtotals="1" fieldPosition="0">
        <references count="1">
          <reference field="0" count="1">
            <x v="134"/>
          </reference>
        </references>
      </pivotArea>
    </format>
    <format dxfId="599">
      <pivotArea collapsedLevelsAreSubtotals="1" fieldPosition="0">
        <references count="1">
          <reference field="0" count="1">
            <x v="133"/>
          </reference>
        </references>
      </pivotArea>
    </format>
    <format dxfId="598">
      <pivotArea collapsedLevelsAreSubtotals="1" fieldPosition="0">
        <references count="1">
          <reference field="0" count="1">
            <x v="132"/>
          </reference>
        </references>
      </pivotArea>
    </format>
    <format dxfId="597">
      <pivotArea collapsedLevelsAreSubtotals="1" fieldPosition="0">
        <references count="1">
          <reference field="0" count="1">
            <x v="131"/>
          </reference>
        </references>
      </pivotArea>
    </format>
    <format dxfId="596">
      <pivotArea collapsedLevelsAreSubtotals="1" fieldPosition="0">
        <references count="1">
          <reference field="0" count="1">
            <x v="130"/>
          </reference>
        </references>
      </pivotArea>
    </format>
    <format dxfId="595">
      <pivotArea collapsedLevelsAreSubtotals="1" fieldPosition="0">
        <references count="1">
          <reference field="0" count="1">
            <x v="129"/>
          </reference>
        </references>
      </pivotArea>
    </format>
    <format dxfId="594">
      <pivotArea collapsedLevelsAreSubtotals="1" fieldPosition="0">
        <references count="1">
          <reference field="0" count="1">
            <x v="128"/>
          </reference>
        </references>
      </pivotArea>
    </format>
    <format dxfId="593">
      <pivotArea collapsedLevelsAreSubtotals="1" fieldPosition="0">
        <references count="1">
          <reference field="0" count="1">
            <x v="127"/>
          </reference>
        </references>
      </pivotArea>
    </format>
    <format dxfId="592">
      <pivotArea collapsedLevelsAreSubtotals="1" fieldPosition="0">
        <references count="1">
          <reference field="0" count="1">
            <x v="126"/>
          </reference>
        </references>
      </pivotArea>
    </format>
    <format dxfId="591">
      <pivotArea collapsedLevelsAreSubtotals="1" fieldPosition="0">
        <references count="1">
          <reference field="0" count="1">
            <x v="125"/>
          </reference>
        </references>
      </pivotArea>
    </format>
    <format dxfId="590">
      <pivotArea collapsedLevelsAreSubtotals="1" fieldPosition="0">
        <references count="1">
          <reference field="0" count="1">
            <x v="124"/>
          </reference>
        </references>
      </pivotArea>
    </format>
    <format dxfId="589">
      <pivotArea collapsedLevelsAreSubtotals="1" fieldPosition="0">
        <references count="1">
          <reference field="0" count="1">
            <x v="122"/>
          </reference>
        </references>
      </pivotArea>
    </format>
    <format dxfId="588">
      <pivotArea collapsedLevelsAreSubtotals="1" fieldPosition="0">
        <references count="1">
          <reference field="0" count="1">
            <x v="123"/>
          </reference>
        </references>
      </pivotArea>
    </format>
    <format dxfId="587">
      <pivotArea collapsedLevelsAreSubtotals="1" fieldPosition="0">
        <references count="1">
          <reference field="0" count="1">
            <x v="121"/>
          </reference>
        </references>
      </pivotArea>
    </format>
    <format dxfId="586">
      <pivotArea collapsedLevelsAreSubtotals="1" fieldPosition="0">
        <references count="1">
          <reference field="0" count="1">
            <x v="120"/>
          </reference>
        </references>
      </pivotArea>
    </format>
    <format dxfId="585">
      <pivotArea collapsedLevelsAreSubtotals="1" fieldPosition="0">
        <references count="1">
          <reference field="0" count="1">
            <x v="119"/>
          </reference>
        </references>
      </pivotArea>
    </format>
    <format dxfId="584">
      <pivotArea collapsedLevelsAreSubtotals="1" fieldPosition="0">
        <references count="1">
          <reference field="0" count="1">
            <x v="118"/>
          </reference>
        </references>
      </pivotArea>
    </format>
    <format dxfId="583">
      <pivotArea collapsedLevelsAreSubtotals="1" fieldPosition="0">
        <references count="1">
          <reference field="0" count="1">
            <x v="117"/>
          </reference>
        </references>
      </pivotArea>
    </format>
    <format dxfId="582">
      <pivotArea collapsedLevelsAreSubtotals="1" fieldPosition="0">
        <references count="1">
          <reference field="0" count="1">
            <x v="116"/>
          </reference>
        </references>
      </pivotArea>
    </format>
    <format dxfId="581">
      <pivotArea collapsedLevelsAreSubtotals="1" fieldPosition="0">
        <references count="1">
          <reference field="0" count="1">
            <x v="115"/>
          </reference>
        </references>
      </pivotArea>
    </format>
    <format dxfId="580">
      <pivotArea collapsedLevelsAreSubtotals="1" fieldPosition="0">
        <references count="1">
          <reference field="0" count="1">
            <x v="114"/>
          </reference>
        </references>
      </pivotArea>
    </format>
    <format dxfId="579">
      <pivotArea collapsedLevelsAreSubtotals="1" fieldPosition="0">
        <references count="1">
          <reference field="0" count="1">
            <x v="113"/>
          </reference>
        </references>
      </pivotArea>
    </format>
    <format dxfId="578">
      <pivotArea collapsedLevelsAreSubtotals="1" fieldPosition="0">
        <references count="1">
          <reference field="0" count="1">
            <x v="112"/>
          </reference>
        </references>
      </pivotArea>
    </format>
    <format dxfId="577">
      <pivotArea collapsedLevelsAreSubtotals="1" fieldPosition="0">
        <references count="1">
          <reference field="0" count="1">
            <x v="111"/>
          </reference>
        </references>
      </pivotArea>
    </format>
    <format dxfId="576">
      <pivotArea collapsedLevelsAreSubtotals="1" fieldPosition="0">
        <references count="1">
          <reference field="0" count="1">
            <x v="110"/>
          </reference>
        </references>
      </pivotArea>
    </format>
    <format dxfId="575">
      <pivotArea collapsedLevelsAreSubtotals="1" fieldPosition="0">
        <references count="1">
          <reference field="0" count="1">
            <x v="109"/>
          </reference>
        </references>
      </pivotArea>
    </format>
    <format dxfId="574">
      <pivotArea collapsedLevelsAreSubtotals="1" fieldPosition="0">
        <references count="1">
          <reference field="0" count="1">
            <x v="108"/>
          </reference>
        </references>
      </pivotArea>
    </format>
    <format dxfId="573">
      <pivotArea collapsedLevelsAreSubtotals="1" fieldPosition="0">
        <references count="1">
          <reference field="0" count="1">
            <x v="107"/>
          </reference>
        </references>
      </pivotArea>
    </format>
    <format dxfId="572">
      <pivotArea dataOnly="0" labelOnly="1" fieldPosition="0">
        <references count="1">
          <reference field="0" count="1">
            <x v="107"/>
          </reference>
        </references>
      </pivotArea>
    </format>
    <format dxfId="571">
      <pivotArea collapsedLevelsAreSubtotals="1" fieldPosition="0">
        <references count="1">
          <reference field="0" count="1">
            <x v="106"/>
          </reference>
        </references>
      </pivotArea>
    </format>
    <format dxfId="570">
      <pivotArea collapsedLevelsAreSubtotals="1" fieldPosition="0">
        <references count="1">
          <reference field="0" count="1">
            <x v="105"/>
          </reference>
        </references>
      </pivotArea>
    </format>
    <format dxfId="569">
      <pivotArea collapsedLevelsAreSubtotals="1" fieldPosition="0">
        <references count="1">
          <reference field="0" count="1">
            <x v="104"/>
          </reference>
        </references>
      </pivotArea>
    </format>
    <format dxfId="568">
      <pivotArea collapsedLevelsAreSubtotals="1" fieldPosition="0">
        <references count="1">
          <reference field="0" count="1">
            <x v="103"/>
          </reference>
        </references>
      </pivotArea>
    </format>
    <format dxfId="567">
      <pivotArea collapsedLevelsAreSubtotals="1" fieldPosition="0">
        <references count="1">
          <reference field="0" count="1">
            <x v="102"/>
          </reference>
        </references>
      </pivotArea>
    </format>
    <format dxfId="566">
      <pivotArea collapsedLevelsAreSubtotals="1" fieldPosition="0">
        <references count="1">
          <reference field="0" count="1">
            <x v="101"/>
          </reference>
        </references>
      </pivotArea>
    </format>
    <format dxfId="565">
      <pivotArea collapsedLevelsAreSubtotals="1" fieldPosition="0">
        <references count="1">
          <reference field="0" count="1">
            <x v="100"/>
          </reference>
        </references>
      </pivotArea>
    </format>
    <format dxfId="564">
      <pivotArea collapsedLevelsAreSubtotals="1" fieldPosition="0">
        <references count="1">
          <reference field="0" count="1">
            <x v="99"/>
          </reference>
        </references>
      </pivotArea>
    </format>
    <format dxfId="563">
      <pivotArea collapsedLevelsAreSubtotals="1" fieldPosition="0">
        <references count="1">
          <reference field="0" count="1">
            <x v="98"/>
          </reference>
        </references>
      </pivotArea>
    </format>
    <format dxfId="562">
      <pivotArea collapsedLevelsAreSubtotals="1" fieldPosition="0">
        <references count="1">
          <reference field="0" count="1">
            <x v="97"/>
          </reference>
        </references>
      </pivotArea>
    </format>
    <format dxfId="561">
      <pivotArea collapsedLevelsAreSubtotals="1" fieldPosition="0">
        <references count="1">
          <reference field="0" count="1">
            <x v="96"/>
          </reference>
        </references>
      </pivotArea>
    </format>
    <format dxfId="560">
      <pivotArea collapsedLevelsAreSubtotals="1" fieldPosition="0">
        <references count="1">
          <reference field="0" count="1">
            <x v="95"/>
          </reference>
        </references>
      </pivotArea>
    </format>
    <format dxfId="559">
      <pivotArea collapsedLevelsAreSubtotals="1" fieldPosition="0">
        <references count="1">
          <reference field="0" count="1">
            <x v="94"/>
          </reference>
        </references>
      </pivotArea>
    </format>
    <format dxfId="558">
      <pivotArea collapsedLevelsAreSubtotals="1" fieldPosition="0">
        <references count="1">
          <reference field="0" count="1">
            <x v="93"/>
          </reference>
        </references>
      </pivotArea>
    </format>
    <format dxfId="557">
      <pivotArea collapsedLevelsAreSubtotals="1" fieldPosition="0">
        <references count="1">
          <reference field="0" count="1">
            <x v="92"/>
          </reference>
        </references>
      </pivotArea>
    </format>
    <format dxfId="556">
      <pivotArea collapsedLevelsAreSubtotals="1" fieldPosition="0">
        <references count="1">
          <reference field="0" count="1">
            <x v="91"/>
          </reference>
        </references>
      </pivotArea>
    </format>
    <format dxfId="555">
      <pivotArea collapsedLevelsAreSubtotals="1" fieldPosition="0">
        <references count="1">
          <reference field="0" count="1">
            <x v="89"/>
          </reference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field="0" type="button" dataOnly="0" labelOnly="1" outline="0" axis="axisRow" fieldPosition="0"/>
    </format>
    <format dxfId="551">
      <pivotArea dataOnly="0" labelOnly="1" fieldPosition="0">
        <references count="1">
          <reference field="0" count="50">
            <x v="0"/>
            <x v="89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</reference>
        </references>
      </pivotArea>
    </format>
    <format dxfId="550">
      <pivotArea dataOnly="0" labelOnly="1" fieldPosition="0">
        <references count="1">
          <reference field="0" count="8">
            <x v="140"/>
            <x v="141"/>
            <x v="142"/>
            <x v="143"/>
            <x v="144"/>
            <x v="145"/>
            <x v="146"/>
            <x v="147"/>
          </reference>
        </references>
      </pivotArea>
    </format>
    <format dxfId="549">
      <pivotArea dataOnly="0" labelOnly="1" grandRow="1" outline="0" fieldPosition="0"/>
    </format>
    <format dxfId="548">
      <pivotArea dataOnly="0" labelOnly="1" fieldPosition="0">
        <references count="2">
          <reference field="0" count="1" selected="0">
            <x v="0"/>
          </reference>
          <reference field="6" count="1">
            <x v="42"/>
          </reference>
        </references>
      </pivotArea>
    </format>
    <format dxfId="547">
      <pivotArea dataOnly="0" labelOnly="1" fieldPosition="0">
        <references count="2">
          <reference field="0" count="1" selected="0">
            <x v="89"/>
          </reference>
          <reference field="6" count="10">
            <x v="49"/>
            <x v="55"/>
            <x v="56"/>
            <x v="57"/>
            <x v="68"/>
            <x v="87"/>
            <x v="88"/>
            <x v="107"/>
            <x v="118"/>
            <x v="136"/>
          </reference>
        </references>
      </pivotArea>
    </format>
    <format dxfId="546">
      <pivotArea dataOnly="0" labelOnly="1" fieldPosition="0">
        <references count="2">
          <reference field="0" count="1" selected="0">
            <x v="91"/>
          </reference>
          <reference field="6" count="9">
            <x v="41"/>
            <x v="55"/>
            <x v="57"/>
            <x v="68"/>
            <x v="88"/>
            <x v="107"/>
            <x v="121"/>
            <x v="128"/>
            <x v="138"/>
          </reference>
        </references>
      </pivotArea>
    </format>
    <format dxfId="545">
      <pivotArea dataOnly="0" labelOnly="1" fieldPosition="0">
        <references count="2">
          <reference field="0" count="1" selected="0">
            <x v="92"/>
          </reference>
          <reference field="6" count="12">
            <x v="49"/>
            <x v="55"/>
            <x v="57"/>
            <x v="60"/>
            <x v="77"/>
            <x v="84"/>
            <x v="85"/>
            <x v="87"/>
            <x v="88"/>
            <x v="91"/>
            <x v="103"/>
            <x v="136"/>
          </reference>
        </references>
      </pivotArea>
    </format>
    <format dxfId="544">
      <pivotArea dataOnly="0" labelOnly="1" fieldPosition="0">
        <references count="2">
          <reference field="0" count="1" selected="0">
            <x v="93"/>
          </reference>
          <reference field="6" count="6">
            <x v="56"/>
            <x v="87"/>
            <x v="88"/>
            <x v="101"/>
            <x v="128"/>
            <x v="146"/>
          </reference>
        </references>
      </pivotArea>
    </format>
    <format dxfId="543">
      <pivotArea dataOnly="0" labelOnly="1" fieldPosition="0">
        <references count="2">
          <reference field="0" count="1" selected="0">
            <x v="94"/>
          </reference>
          <reference field="6" count="10">
            <x v="55"/>
            <x v="56"/>
            <x v="57"/>
            <x v="68"/>
            <x v="87"/>
            <x v="88"/>
            <x v="118"/>
            <x v="121"/>
            <x v="136"/>
            <x v="138"/>
          </reference>
        </references>
      </pivotArea>
    </format>
    <format dxfId="542">
      <pivotArea dataOnly="0" labelOnly="1" fieldPosition="0">
        <references count="2">
          <reference field="0" count="1" selected="0">
            <x v="95"/>
          </reference>
          <reference field="6" count="7">
            <x v="55"/>
            <x v="56"/>
            <x v="85"/>
            <x v="88"/>
            <x v="109"/>
            <x v="128"/>
            <x v="145"/>
          </reference>
        </references>
      </pivotArea>
    </format>
    <format dxfId="541">
      <pivotArea dataOnly="0" labelOnly="1" fieldPosition="0">
        <references count="2">
          <reference field="0" count="1" selected="0">
            <x v="96"/>
          </reference>
          <reference field="6" count="9">
            <x v="41"/>
            <x v="55"/>
            <x v="56"/>
            <x v="57"/>
            <x v="77"/>
            <x v="88"/>
            <x v="118"/>
            <x v="121"/>
            <x v="136"/>
          </reference>
        </references>
      </pivotArea>
    </format>
    <format dxfId="540">
      <pivotArea dataOnly="0" labelOnly="1" fieldPosition="0">
        <references count="2">
          <reference field="0" count="1" selected="0">
            <x v="97"/>
          </reference>
          <reference field="6" count="5">
            <x v="49"/>
            <x v="56"/>
            <x v="88"/>
            <x v="109"/>
            <x v="138"/>
          </reference>
        </references>
      </pivotArea>
    </format>
    <format dxfId="539">
      <pivotArea dataOnly="0" labelOnly="1" fieldPosition="0">
        <references count="2">
          <reference field="0" count="1" selected="0">
            <x v="98"/>
          </reference>
          <reference field="6" count="13">
            <x v="55"/>
            <x v="56"/>
            <x v="57"/>
            <x v="68"/>
            <x v="85"/>
            <x v="88"/>
            <x v="107"/>
            <x v="109"/>
            <x v="114"/>
            <x v="121"/>
            <x v="128"/>
            <x v="136"/>
            <x v="145"/>
          </reference>
        </references>
      </pivotArea>
    </format>
    <format dxfId="538">
      <pivotArea dataOnly="0" labelOnly="1" fieldPosition="0">
        <references count="2">
          <reference field="0" count="1" selected="0">
            <x v="99"/>
          </reference>
          <reference field="6" count="11">
            <x v="49"/>
            <x v="56"/>
            <x v="57"/>
            <x v="85"/>
            <x v="88"/>
            <x v="109"/>
            <x v="114"/>
            <x v="118"/>
            <x v="121"/>
            <x v="130"/>
            <x v="136"/>
          </reference>
        </references>
      </pivotArea>
    </format>
    <format dxfId="537">
      <pivotArea dataOnly="0" labelOnly="1" fieldPosition="0">
        <references count="2">
          <reference field="0" count="1" selected="0">
            <x v="100"/>
          </reference>
          <reference field="6" count="8">
            <x v="56"/>
            <x v="62"/>
            <x v="68"/>
            <x v="85"/>
            <x v="88"/>
            <x v="118"/>
            <x v="121"/>
            <x v="128"/>
          </reference>
        </references>
      </pivotArea>
    </format>
    <format dxfId="536">
      <pivotArea dataOnly="0" labelOnly="1" fieldPosition="0">
        <references count="2">
          <reference field="0" count="1" selected="0">
            <x v="101"/>
          </reference>
          <reference field="6" count="13">
            <x v="55"/>
            <x v="56"/>
            <x v="85"/>
            <x v="88"/>
            <x v="97"/>
            <x v="98"/>
            <x v="107"/>
            <x v="109"/>
            <x v="114"/>
            <x v="121"/>
            <x v="135"/>
            <x v="136"/>
            <x v="143"/>
          </reference>
        </references>
      </pivotArea>
    </format>
    <format dxfId="535">
      <pivotArea dataOnly="0" labelOnly="1" fieldPosition="0">
        <references count="2">
          <reference field="0" count="1" selected="0">
            <x v="102"/>
          </reference>
          <reference field="6" count="9">
            <x v="40"/>
            <x v="49"/>
            <x v="56"/>
            <x v="57"/>
            <x v="88"/>
            <x v="107"/>
            <x v="136"/>
            <x v="138"/>
            <x v="142"/>
          </reference>
        </references>
      </pivotArea>
    </format>
    <format dxfId="534">
      <pivotArea dataOnly="0" labelOnly="1" fieldPosition="0">
        <references count="2">
          <reference field="0" count="1" selected="0">
            <x v="103"/>
          </reference>
          <reference field="6" count="14">
            <x v="55"/>
            <x v="56"/>
            <x v="57"/>
            <x v="85"/>
            <x v="87"/>
            <x v="88"/>
            <x v="107"/>
            <x v="109"/>
            <x v="113"/>
            <x v="121"/>
            <x v="129"/>
            <x v="136"/>
            <x v="140"/>
            <x v="143"/>
          </reference>
        </references>
      </pivotArea>
    </format>
    <format dxfId="533">
      <pivotArea dataOnly="0" labelOnly="1" fieldPosition="0">
        <references count="2">
          <reference field="0" count="1" selected="0">
            <x v="104"/>
          </reference>
          <reference field="6" count="1">
            <x v="49"/>
          </reference>
        </references>
      </pivotArea>
    </format>
    <format dxfId="532">
      <pivotArea dataOnly="0" labelOnly="1" fieldPosition="0">
        <references count="2">
          <reference field="0" count="1" selected="0">
            <x v="105"/>
          </reference>
          <reference field="6" count="10">
            <x v="56"/>
            <x v="62"/>
            <x v="88"/>
            <x v="118"/>
            <x v="128"/>
            <x v="129"/>
            <x v="136"/>
            <x v="140"/>
            <x v="141"/>
            <x v="142"/>
          </reference>
        </references>
      </pivotArea>
    </format>
    <format dxfId="531">
      <pivotArea dataOnly="0" labelOnly="1" fieldPosition="0">
        <references count="2">
          <reference field="0" count="1" selected="0">
            <x v="106"/>
          </reference>
          <reference field="6" count="9">
            <x v="56"/>
            <x v="87"/>
            <x v="88"/>
            <x v="91"/>
            <x v="103"/>
            <x v="107"/>
            <x v="136"/>
            <x v="138"/>
            <x v="144"/>
          </reference>
        </references>
      </pivotArea>
    </format>
    <format dxfId="530">
      <pivotArea dataOnly="0" labelOnly="1" fieldPosition="0">
        <references count="2">
          <reference field="0" count="1" selected="0">
            <x v="107"/>
          </reference>
          <reference field="6" count="8">
            <x v="56"/>
            <x v="57"/>
            <x v="68"/>
            <x v="87"/>
            <x v="88"/>
            <x v="97"/>
            <x v="121"/>
            <x v="136"/>
          </reference>
        </references>
      </pivotArea>
    </format>
    <format dxfId="529">
      <pivotArea dataOnly="0" labelOnly="1" fieldPosition="0">
        <references count="2">
          <reference field="0" count="1" selected="0">
            <x v="108"/>
          </reference>
          <reference field="6" count="12">
            <x v="41"/>
            <x v="56"/>
            <x v="57"/>
            <x v="68"/>
            <x v="84"/>
            <x v="85"/>
            <x v="87"/>
            <x v="88"/>
            <x v="91"/>
            <x v="109"/>
            <x v="121"/>
            <x v="128"/>
          </reference>
        </references>
      </pivotArea>
    </format>
    <format dxfId="528">
      <pivotArea dataOnly="0" labelOnly="1" fieldPosition="0">
        <references count="2">
          <reference field="0" count="1" selected="0">
            <x v="109"/>
          </reference>
          <reference field="6" count="8">
            <x v="55"/>
            <x v="56"/>
            <x v="68"/>
            <x v="85"/>
            <x v="88"/>
            <x v="118"/>
            <x v="137"/>
            <x v="142"/>
          </reference>
        </references>
      </pivotArea>
    </format>
    <format dxfId="527">
      <pivotArea dataOnly="0" labelOnly="1" fieldPosition="0">
        <references count="2">
          <reference field="0" count="1" selected="0">
            <x v="110"/>
          </reference>
          <reference field="6" count="6">
            <x v="40"/>
            <x v="56"/>
            <x v="85"/>
            <x v="88"/>
            <x v="136"/>
            <x v="142"/>
          </reference>
        </references>
      </pivotArea>
    </format>
    <format dxfId="526">
      <pivotArea dataOnly="0" labelOnly="1" fieldPosition="0">
        <references count="2">
          <reference field="0" count="1" selected="0">
            <x v="111"/>
          </reference>
          <reference field="6" count="8">
            <x v="56"/>
            <x v="57"/>
            <x v="68"/>
            <x v="88"/>
            <x v="121"/>
            <x v="128"/>
            <x v="136"/>
            <x v="142"/>
          </reference>
        </references>
      </pivotArea>
    </format>
    <format dxfId="525">
      <pivotArea dataOnly="0" labelOnly="1" fieldPosition="0">
        <references count="2">
          <reference field="0" count="1" selected="0">
            <x v="112"/>
          </reference>
          <reference field="6" count="1">
            <x v="97"/>
          </reference>
        </references>
      </pivotArea>
    </format>
    <format dxfId="524">
      <pivotArea dataOnly="0" labelOnly="1" fieldPosition="0">
        <references count="2">
          <reference field="0" count="1" selected="0">
            <x v="113"/>
          </reference>
          <reference field="6" count="3">
            <x v="55"/>
            <x v="88"/>
            <x v="121"/>
          </reference>
        </references>
      </pivotArea>
    </format>
    <format dxfId="523">
      <pivotArea dataOnly="0" labelOnly="1" fieldPosition="0">
        <references count="2">
          <reference field="0" count="1" selected="0">
            <x v="114"/>
          </reference>
          <reference field="6" count="12">
            <x v="55"/>
            <x v="57"/>
            <x v="77"/>
            <x v="85"/>
            <x v="88"/>
            <x v="97"/>
            <x v="107"/>
            <x v="118"/>
            <x v="127"/>
            <x v="134"/>
            <x v="136"/>
            <x v="142"/>
          </reference>
        </references>
      </pivotArea>
    </format>
    <format dxfId="522">
      <pivotArea dataOnly="0" labelOnly="1" fieldPosition="0">
        <references count="2">
          <reference field="0" count="1" selected="0">
            <x v="115"/>
          </reference>
          <reference field="6" count="11">
            <x v="55"/>
            <x v="56"/>
            <x v="57"/>
            <x v="77"/>
            <x v="85"/>
            <x v="87"/>
            <x v="88"/>
            <x v="118"/>
            <x v="121"/>
            <x v="128"/>
            <x v="136"/>
          </reference>
        </references>
      </pivotArea>
    </format>
    <format dxfId="521">
      <pivotArea dataOnly="0" labelOnly="1" fieldPosition="0">
        <references count="2">
          <reference field="0" count="1" selected="0">
            <x v="116"/>
          </reference>
          <reference field="6" count="8">
            <x v="57"/>
            <x v="87"/>
            <x v="88"/>
            <x v="107"/>
            <x v="118"/>
            <x v="121"/>
            <x v="136"/>
            <x v="142"/>
          </reference>
        </references>
      </pivotArea>
    </format>
    <format dxfId="520">
      <pivotArea dataOnly="0" labelOnly="1" fieldPosition="0">
        <references count="2">
          <reference field="0" count="1" selected="0">
            <x v="117"/>
          </reference>
          <reference field="6" count="10">
            <x v="40"/>
            <x v="41"/>
            <x v="55"/>
            <x v="56"/>
            <x v="57"/>
            <x v="68"/>
            <x v="85"/>
            <x v="87"/>
            <x v="88"/>
            <x v="128"/>
          </reference>
        </references>
      </pivotArea>
    </format>
    <format dxfId="519">
      <pivotArea dataOnly="0" labelOnly="1" fieldPosition="0">
        <references count="2">
          <reference field="0" count="1" selected="0">
            <x v="118"/>
          </reference>
          <reference field="6" count="10">
            <x v="56"/>
            <x v="57"/>
            <x v="68"/>
            <x v="85"/>
            <x v="87"/>
            <x v="88"/>
            <x v="97"/>
            <x v="118"/>
            <x v="121"/>
            <x v="136"/>
          </reference>
        </references>
      </pivotArea>
    </format>
    <format dxfId="518">
      <pivotArea dataOnly="0" labelOnly="1" fieldPosition="0">
        <references count="2">
          <reference field="0" count="1" selected="0">
            <x v="119"/>
          </reference>
          <reference field="6" count="8">
            <x v="55"/>
            <x v="56"/>
            <x v="57"/>
            <x v="60"/>
            <x v="85"/>
            <x v="87"/>
            <x v="88"/>
            <x v="109"/>
          </reference>
        </references>
      </pivotArea>
    </format>
    <format dxfId="517">
      <pivotArea dataOnly="0" labelOnly="1" fieldPosition="0">
        <references count="2">
          <reference field="0" count="1" selected="0">
            <x v="120"/>
          </reference>
          <reference field="6" count="11">
            <x v="55"/>
            <x v="57"/>
            <x v="85"/>
            <x v="87"/>
            <x v="88"/>
            <x v="89"/>
            <x v="98"/>
            <x v="121"/>
            <x v="128"/>
            <x v="129"/>
            <x v="134"/>
          </reference>
        </references>
      </pivotArea>
    </format>
    <format dxfId="516">
      <pivotArea dataOnly="0" labelOnly="1" fieldPosition="0">
        <references count="2">
          <reference field="0" count="1" selected="0">
            <x v="121"/>
          </reference>
          <reference field="6" count="7">
            <x v="40"/>
            <x v="55"/>
            <x v="56"/>
            <x v="68"/>
            <x v="88"/>
            <x v="121"/>
            <x v="128"/>
          </reference>
        </references>
      </pivotArea>
    </format>
    <format dxfId="515">
      <pivotArea dataOnly="0" labelOnly="1" fieldPosition="0">
        <references count="2">
          <reference field="0" count="1" selected="0">
            <x v="122"/>
          </reference>
          <reference field="6" count="9">
            <x v="40"/>
            <x v="49"/>
            <x v="55"/>
            <x v="56"/>
            <x v="57"/>
            <x v="88"/>
            <x v="97"/>
            <x v="107"/>
            <x v="121"/>
          </reference>
        </references>
      </pivotArea>
    </format>
    <format dxfId="514">
      <pivotArea dataOnly="0" labelOnly="1" fieldPosition="0">
        <references count="2">
          <reference field="0" count="1" selected="0">
            <x v="123"/>
          </reference>
          <reference field="6" count="4">
            <x v="57"/>
            <x v="88"/>
            <x v="89"/>
            <x v="118"/>
          </reference>
        </references>
      </pivotArea>
    </format>
    <format dxfId="513">
      <pivotArea dataOnly="0" labelOnly="1" fieldPosition="0">
        <references count="2">
          <reference field="0" count="1" selected="0">
            <x v="125"/>
          </reference>
          <reference field="6" count="5">
            <x v="49"/>
            <x v="56"/>
            <x v="88"/>
            <x v="95"/>
            <x v="121"/>
          </reference>
        </references>
      </pivotArea>
    </format>
    <format dxfId="512">
      <pivotArea dataOnly="0" labelOnly="1" fieldPosition="0">
        <references count="2">
          <reference field="0" count="1" selected="0">
            <x v="126"/>
          </reference>
          <reference field="6" count="9">
            <x v="41"/>
            <x v="55"/>
            <x v="56"/>
            <x v="88"/>
            <x v="89"/>
            <x v="95"/>
            <x v="118"/>
            <x v="121"/>
            <x v="128"/>
          </reference>
        </references>
      </pivotArea>
    </format>
    <format dxfId="511">
      <pivotArea dataOnly="0" labelOnly="1" fieldPosition="0">
        <references count="2">
          <reference field="0" count="1" selected="0">
            <x v="127"/>
          </reference>
          <reference field="6" count="11">
            <x v="41"/>
            <x v="56"/>
            <x v="57"/>
            <x v="87"/>
            <x v="88"/>
            <x v="89"/>
            <x v="95"/>
            <x v="101"/>
            <x v="118"/>
            <x v="121"/>
            <x v="127"/>
          </reference>
        </references>
      </pivotArea>
    </format>
    <format dxfId="510">
      <pivotArea dataOnly="0" labelOnly="1" fieldPosition="0">
        <references count="2">
          <reference field="0" count="1" selected="0">
            <x v="128"/>
          </reference>
          <reference field="6" count="8">
            <x v="55"/>
            <x v="88"/>
            <x v="91"/>
            <x v="95"/>
            <x v="106"/>
            <x v="107"/>
            <x v="118"/>
            <x v="121"/>
          </reference>
        </references>
      </pivotArea>
    </format>
    <format dxfId="509">
      <pivotArea dataOnly="0" labelOnly="1" fieldPosition="0">
        <references count="2">
          <reference field="0" count="1" selected="0">
            <x v="129"/>
          </reference>
          <reference field="6" count="9">
            <x v="41"/>
            <x v="49"/>
            <x v="57"/>
            <x v="88"/>
            <x v="94"/>
            <x v="95"/>
            <x v="118"/>
            <x v="121"/>
            <x v="128"/>
          </reference>
        </references>
      </pivotArea>
    </format>
    <format dxfId="508">
      <pivotArea dataOnly="0" labelOnly="1" fieldPosition="0">
        <references count="2">
          <reference field="0" count="1" selected="0">
            <x v="130"/>
          </reference>
          <reference field="6" count="6">
            <x v="57"/>
            <x v="88"/>
            <x v="91"/>
            <x v="95"/>
            <x v="101"/>
            <x v="121"/>
          </reference>
        </references>
      </pivotArea>
    </format>
    <format dxfId="507">
      <pivotArea dataOnly="0" labelOnly="1" fieldPosition="0">
        <references count="2">
          <reference field="0" count="1" selected="0">
            <x v="131"/>
          </reference>
          <reference field="6" count="14">
            <x v="40"/>
            <x v="41"/>
            <x v="55"/>
            <x v="56"/>
            <x v="57"/>
            <x v="60"/>
            <x v="85"/>
            <x v="88"/>
            <x v="91"/>
            <x v="94"/>
            <x v="95"/>
            <x v="107"/>
            <x v="128"/>
            <x v="135"/>
          </reference>
        </references>
      </pivotArea>
    </format>
    <format dxfId="506">
      <pivotArea dataOnly="0" labelOnly="1" fieldPosition="0">
        <references count="2">
          <reference field="0" count="1" selected="0">
            <x v="132"/>
          </reference>
          <reference field="6" count="11">
            <x v="55"/>
            <x v="56"/>
            <x v="88"/>
            <x v="90"/>
            <x v="94"/>
            <x v="95"/>
            <x v="103"/>
            <x v="107"/>
            <x v="118"/>
            <x v="121"/>
            <x v="142"/>
          </reference>
        </references>
      </pivotArea>
    </format>
    <format dxfId="505">
      <pivotArea dataOnly="0" labelOnly="1" fieldPosition="0">
        <references count="2">
          <reference field="0" count="1" selected="0">
            <x v="133"/>
          </reference>
          <reference field="6" count="13">
            <x v="55"/>
            <x v="56"/>
            <x v="57"/>
            <x v="68"/>
            <x v="85"/>
            <x v="87"/>
            <x v="88"/>
            <x v="91"/>
            <x v="94"/>
            <x v="95"/>
            <x v="118"/>
            <x v="121"/>
            <x v="128"/>
          </reference>
        </references>
      </pivotArea>
    </format>
    <format dxfId="504">
      <pivotArea dataOnly="0" labelOnly="1" fieldPosition="0">
        <references count="2">
          <reference field="0" count="1" selected="0">
            <x v="134"/>
          </reference>
          <reference field="6" count="5">
            <x v="57"/>
            <x v="87"/>
            <x v="88"/>
            <x v="106"/>
            <x v="107"/>
          </reference>
        </references>
      </pivotArea>
    </format>
    <format dxfId="503">
      <pivotArea dataOnly="0" labelOnly="1" fieldPosition="0">
        <references count="2">
          <reference field="0" count="1" selected="0">
            <x v="135"/>
          </reference>
          <reference field="6" count="5">
            <x v="41"/>
            <x v="56"/>
            <x v="57"/>
            <x v="88"/>
            <x v="120"/>
          </reference>
        </references>
      </pivotArea>
    </format>
    <format dxfId="502">
      <pivotArea dataOnly="0" labelOnly="1" fieldPosition="0">
        <references count="2">
          <reference field="0" count="1" selected="0">
            <x v="136"/>
          </reference>
          <reference field="6" count="11">
            <x v="41"/>
            <x v="55"/>
            <x v="56"/>
            <x v="57"/>
            <x v="85"/>
            <x v="87"/>
            <x v="88"/>
            <x v="94"/>
            <x v="95"/>
            <x v="121"/>
            <x v="134"/>
          </reference>
        </references>
      </pivotArea>
    </format>
    <format dxfId="501">
      <pivotArea dataOnly="0" labelOnly="1" fieldPosition="0">
        <references count="2">
          <reference field="0" count="1" selected="0">
            <x v="137"/>
          </reference>
          <reference field="6" count="12">
            <x v="41"/>
            <x v="87"/>
            <x v="88"/>
            <x v="91"/>
            <x v="94"/>
            <x v="95"/>
            <x v="107"/>
            <x v="118"/>
            <x v="121"/>
            <x v="124"/>
            <x v="128"/>
            <x v="129"/>
          </reference>
        </references>
      </pivotArea>
    </format>
    <format dxfId="500">
      <pivotArea dataOnly="0" labelOnly="1" fieldPosition="0">
        <references count="2">
          <reference field="0" count="1" selected="0">
            <x v="138"/>
          </reference>
          <reference field="6" count="7">
            <x v="57"/>
            <x v="88"/>
            <x v="90"/>
            <x v="91"/>
            <x v="94"/>
            <x v="118"/>
            <x v="121"/>
          </reference>
        </references>
      </pivotArea>
    </format>
    <format dxfId="499">
      <pivotArea dataOnly="0" labelOnly="1" fieldPosition="0">
        <references count="2">
          <reference field="0" count="1" selected="0">
            <x v="139"/>
          </reference>
          <reference field="6" count="11">
            <x v="55"/>
            <x v="57"/>
            <x v="85"/>
            <x v="87"/>
            <x v="88"/>
            <x v="94"/>
            <x v="102"/>
            <x v="107"/>
            <x v="118"/>
            <x v="121"/>
            <x v="128"/>
          </reference>
        </references>
      </pivotArea>
    </format>
    <format dxfId="498">
      <pivotArea dataOnly="0" labelOnly="1" fieldPosition="0">
        <references count="2">
          <reference field="0" count="1" selected="0">
            <x v="140"/>
          </reference>
          <reference field="6" count="7">
            <x v="55"/>
            <x v="88"/>
            <x v="94"/>
            <x v="97"/>
            <x v="101"/>
            <x v="118"/>
            <x v="121"/>
          </reference>
        </references>
      </pivotArea>
    </format>
    <format dxfId="497">
      <pivotArea dataOnly="0" labelOnly="1" fieldPosition="0">
        <references count="2">
          <reference field="0" count="1" selected="0">
            <x v="141"/>
          </reference>
          <reference field="6" count="10">
            <x v="40"/>
            <x v="55"/>
            <x v="57"/>
            <x v="87"/>
            <x v="88"/>
            <x v="91"/>
            <x v="94"/>
            <x v="109"/>
            <x v="118"/>
            <x v="121"/>
          </reference>
        </references>
      </pivotArea>
    </format>
    <format dxfId="496">
      <pivotArea dataOnly="0" labelOnly="1" fieldPosition="0">
        <references count="2">
          <reference field="0" count="1" selected="0">
            <x v="142"/>
          </reference>
          <reference field="6" count="10">
            <x v="41"/>
            <x v="57"/>
            <x v="60"/>
            <x v="87"/>
            <x v="88"/>
            <x v="91"/>
            <x v="94"/>
            <x v="118"/>
            <x v="121"/>
            <x v="124"/>
          </reference>
        </references>
      </pivotArea>
    </format>
    <format dxfId="495">
      <pivotArea dataOnly="0" labelOnly="1" fieldPosition="0">
        <references count="2">
          <reference field="0" count="1" selected="0">
            <x v="143"/>
          </reference>
          <reference field="6" count="6">
            <x v="56"/>
            <x v="87"/>
            <x v="88"/>
            <x v="94"/>
            <x v="121"/>
            <x v="128"/>
          </reference>
        </references>
      </pivotArea>
    </format>
    <format dxfId="494">
      <pivotArea dataOnly="0" labelOnly="1" fieldPosition="0">
        <references count="2">
          <reference field="0" count="1" selected="0">
            <x v="144"/>
          </reference>
          <reference field="6" count="7">
            <x v="68"/>
            <x v="87"/>
            <x v="88"/>
            <x v="90"/>
            <x v="91"/>
            <x v="118"/>
            <x v="121"/>
          </reference>
        </references>
      </pivotArea>
    </format>
    <format dxfId="493">
      <pivotArea dataOnly="0" labelOnly="1" fieldPosition="0">
        <references count="2">
          <reference field="0" count="1" selected="0">
            <x v="145"/>
          </reference>
          <reference field="6" count="12">
            <x v="54"/>
            <x v="57"/>
            <x v="68"/>
            <x v="88"/>
            <x v="94"/>
            <x v="95"/>
            <x v="98"/>
            <x v="101"/>
            <x v="106"/>
            <x v="121"/>
            <x v="124"/>
            <x v="133"/>
          </reference>
        </references>
      </pivotArea>
    </format>
    <format dxfId="492">
      <pivotArea dataOnly="0" labelOnly="1" fieldPosition="0">
        <references count="2">
          <reference field="0" count="1" selected="0">
            <x v="146"/>
          </reference>
          <reference field="6" count="14">
            <x v="56"/>
            <x v="57"/>
            <x v="77"/>
            <x v="88"/>
            <x v="89"/>
            <x v="91"/>
            <x v="94"/>
            <x v="95"/>
            <x v="118"/>
            <x v="121"/>
            <x v="124"/>
            <x v="128"/>
            <x v="132"/>
            <x v="133"/>
          </reference>
        </references>
      </pivotArea>
    </format>
    <format dxfId="491">
      <pivotArea dataOnly="0" labelOnly="1" fieldPosition="0">
        <references count="2">
          <reference field="0" count="1" selected="0">
            <x v="147"/>
          </reference>
          <reference field="6" count="11">
            <x v="40"/>
            <x v="41"/>
            <x v="56"/>
            <x v="57"/>
            <x v="68"/>
            <x v="88"/>
            <x v="94"/>
            <x v="95"/>
            <x v="118"/>
            <x v="121"/>
            <x v="124"/>
          </reference>
        </references>
      </pivotArea>
    </format>
    <format dxfId="4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89">
      <pivotArea collapsedLevelsAreSubtotals="1" fieldPosition="0">
        <references count="1">
          <reference field="0" count="1">
            <x v="88"/>
          </reference>
        </references>
      </pivotArea>
    </format>
    <format dxfId="488">
      <pivotArea collapsedLevelsAreSubtotals="1" fieldPosition="0">
        <references count="1">
          <reference field="0" count="1">
            <x v="87"/>
          </reference>
        </references>
      </pivotArea>
    </format>
    <format dxfId="487">
      <pivotArea collapsedLevelsAreSubtotals="1" fieldPosition="0">
        <references count="1">
          <reference field="0" count="1">
            <x v="86"/>
          </reference>
        </references>
      </pivotArea>
    </format>
    <format dxfId="486">
      <pivotArea collapsedLevelsAreSubtotals="1" fieldPosition="0">
        <references count="1">
          <reference field="0" count="1">
            <x v="85"/>
          </reference>
        </references>
      </pivotArea>
    </format>
    <format dxfId="485">
      <pivotArea collapsedLevelsAreSubtotals="1" fieldPosition="0">
        <references count="1">
          <reference field="0" count="1">
            <x v="84"/>
          </reference>
        </references>
      </pivotArea>
    </format>
    <format dxfId="484">
      <pivotArea collapsedLevelsAreSubtotals="1" fieldPosition="0">
        <references count="1">
          <reference field="0" count="1">
            <x v="83"/>
          </reference>
        </references>
      </pivotArea>
    </format>
    <format dxfId="483">
      <pivotArea collapsedLevelsAreSubtotals="1" fieldPosition="0">
        <references count="1">
          <reference field="0" count="1">
            <x v="82"/>
          </reference>
        </references>
      </pivotArea>
    </format>
    <format dxfId="482">
      <pivotArea collapsedLevelsAreSubtotals="1" fieldPosition="0">
        <references count="1">
          <reference field="0" count="1">
            <x v="81"/>
          </reference>
        </references>
      </pivotArea>
    </format>
    <format dxfId="481">
      <pivotArea collapsedLevelsAreSubtotals="1" fieldPosition="0">
        <references count="1">
          <reference field="0" count="1">
            <x v="80"/>
          </reference>
        </references>
      </pivotArea>
    </format>
    <format dxfId="480">
      <pivotArea collapsedLevelsAreSubtotals="1" fieldPosition="0">
        <references count="1">
          <reference field="0" count="1">
            <x v="79"/>
          </reference>
        </references>
      </pivotArea>
    </format>
    <format dxfId="479">
      <pivotArea collapsedLevelsAreSubtotals="1" fieldPosition="0">
        <references count="1">
          <reference field="0" count="1">
            <x v="78"/>
          </reference>
        </references>
      </pivotArea>
    </format>
    <format dxfId="478">
      <pivotArea collapsedLevelsAreSubtotals="1" fieldPosition="0">
        <references count="1">
          <reference field="0" count="1">
            <x v="77"/>
          </reference>
        </references>
      </pivotArea>
    </format>
    <format dxfId="477">
      <pivotArea collapsedLevelsAreSubtotals="1" fieldPosition="0">
        <references count="1">
          <reference field="0" count="1">
            <x v="76"/>
          </reference>
        </references>
      </pivotArea>
    </format>
    <format dxfId="476">
      <pivotArea collapsedLevelsAreSubtotals="1" fieldPosition="0">
        <references count="1">
          <reference field="0" count="1">
            <x v="75"/>
          </reference>
        </references>
      </pivotArea>
    </format>
    <format dxfId="475">
      <pivotArea collapsedLevelsAreSubtotals="1" fieldPosition="0">
        <references count="1">
          <reference field="0" count="1">
            <x v="74"/>
          </reference>
        </references>
      </pivotArea>
    </format>
    <format dxfId="474">
      <pivotArea collapsedLevelsAreSubtotals="1" fieldPosition="0">
        <references count="1">
          <reference field="0" count="1">
            <x v="73"/>
          </reference>
        </references>
      </pivotArea>
    </format>
    <format dxfId="473">
      <pivotArea collapsedLevelsAreSubtotals="1" fieldPosition="0">
        <references count="1">
          <reference field="0" count="1">
            <x v="72"/>
          </reference>
        </references>
      </pivotArea>
    </format>
    <format dxfId="472">
      <pivotArea collapsedLevelsAreSubtotals="1" fieldPosition="0">
        <references count="1">
          <reference field="0" count="1">
            <x v="71"/>
          </reference>
        </references>
      </pivotArea>
    </format>
    <format dxfId="471">
      <pivotArea collapsedLevelsAreSubtotals="1" fieldPosition="0">
        <references count="1">
          <reference field="0" count="1">
            <x v="70"/>
          </reference>
        </references>
      </pivotArea>
    </format>
    <format dxfId="470">
      <pivotArea collapsedLevelsAreSubtotals="1" fieldPosition="0">
        <references count="1">
          <reference field="0" count="1">
            <x v="69"/>
          </reference>
        </references>
      </pivotArea>
    </format>
    <format dxfId="469">
      <pivotArea collapsedLevelsAreSubtotals="1" fieldPosition="0">
        <references count="1">
          <reference field="0" count="1">
            <x v="68"/>
          </reference>
        </references>
      </pivotArea>
    </format>
    <format dxfId="468">
      <pivotArea collapsedLevelsAreSubtotals="1" fieldPosition="0">
        <references count="1">
          <reference field="0" count="1">
            <x v="67"/>
          </reference>
        </references>
      </pivotArea>
    </format>
    <format dxfId="467">
      <pivotArea collapsedLevelsAreSubtotals="1" fieldPosition="0">
        <references count="1">
          <reference field="0" count="1">
            <x v="66"/>
          </reference>
        </references>
      </pivotArea>
    </format>
    <format dxfId="466">
      <pivotArea collapsedLevelsAreSubtotals="1" fieldPosition="0">
        <references count="1">
          <reference field="0" count="1">
            <x v="65"/>
          </reference>
        </references>
      </pivotArea>
    </format>
    <format dxfId="465">
      <pivotArea collapsedLevelsAreSubtotals="1" fieldPosition="0">
        <references count="1">
          <reference field="0" count="1">
            <x v="64"/>
          </reference>
        </references>
      </pivotArea>
    </format>
    <format dxfId="464">
      <pivotArea collapsedLevelsAreSubtotals="1" fieldPosition="0">
        <references count="1">
          <reference field="0" count="1">
            <x v="63"/>
          </reference>
        </references>
      </pivotArea>
    </format>
    <format dxfId="463">
      <pivotArea collapsedLevelsAreSubtotals="1" fieldPosition="0">
        <references count="1">
          <reference field="0" count="1">
            <x v="62"/>
          </reference>
        </references>
      </pivotArea>
    </format>
    <format dxfId="462">
      <pivotArea collapsedLevelsAreSubtotals="1" fieldPosition="0">
        <references count="1">
          <reference field="0" count="1">
            <x v="61"/>
          </reference>
        </references>
      </pivotArea>
    </format>
    <format dxfId="461">
      <pivotArea collapsedLevelsAreSubtotals="1" fieldPosition="0">
        <references count="1">
          <reference field="0" count="1">
            <x v="60"/>
          </reference>
        </references>
      </pivotArea>
    </format>
    <format dxfId="460">
      <pivotArea collapsedLevelsAreSubtotals="1" fieldPosition="0">
        <references count="1">
          <reference field="0" count="1">
            <x v="59"/>
          </reference>
        </references>
      </pivotArea>
    </format>
    <format dxfId="459">
      <pivotArea collapsedLevelsAreSubtotals="1" fieldPosition="0">
        <references count="1">
          <reference field="0" count="1">
            <x v="58"/>
          </reference>
        </references>
      </pivotArea>
    </format>
    <format dxfId="458">
      <pivotArea collapsedLevelsAreSubtotals="1" fieldPosition="0">
        <references count="1">
          <reference field="0" count="1">
            <x v="57"/>
          </reference>
        </references>
      </pivotArea>
    </format>
    <format dxfId="457">
      <pivotArea collapsedLevelsAreSubtotals="1" fieldPosition="0">
        <references count="1">
          <reference field="0" count="1">
            <x v="56"/>
          </reference>
        </references>
      </pivotArea>
    </format>
    <format dxfId="456">
      <pivotArea collapsedLevelsAreSubtotals="1" fieldPosition="0">
        <references count="1">
          <reference field="0" count="1">
            <x v="55"/>
          </reference>
        </references>
      </pivotArea>
    </format>
    <format dxfId="455">
      <pivotArea collapsedLevelsAreSubtotals="1" fieldPosition="0">
        <references count="1">
          <reference field="0" count="1">
            <x v="54"/>
          </reference>
        </references>
      </pivotArea>
    </format>
    <format dxfId="454">
      <pivotArea collapsedLevelsAreSubtotals="1" fieldPosition="0">
        <references count="1">
          <reference field="0" count="1">
            <x v="53"/>
          </reference>
        </references>
      </pivotArea>
    </format>
    <format dxfId="453">
      <pivotArea collapsedLevelsAreSubtotals="1" fieldPosition="0">
        <references count="1">
          <reference field="0" count="1">
            <x v="52"/>
          </reference>
        </references>
      </pivotArea>
    </format>
    <format dxfId="452">
      <pivotArea collapsedLevelsAreSubtotals="1" fieldPosition="0">
        <references count="1">
          <reference field="0" count="1">
            <x v="51"/>
          </reference>
        </references>
      </pivotArea>
    </format>
    <format dxfId="451">
      <pivotArea collapsedLevelsAreSubtotals="1" fieldPosition="0">
        <references count="1">
          <reference field="0" count="1">
            <x v="50"/>
          </reference>
        </references>
      </pivotArea>
    </format>
    <format dxfId="450">
      <pivotArea collapsedLevelsAreSubtotals="1" fieldPosition="0">
        <references count="1">
          <reference field="0" count="1">
            <x v="49"/>
          </reference>
        </references>
      </pivotArea>
    </format>
    <format dxfId="449">
      <pivotArea collapsedLevelsAreSubtotals="1" fieldPosition="0">
        <references count="1">
          <reference field="0" count="1">
            <x v="48"/>
          </reference>
        </references>
      </pivotArea>
    </format>
    <format dxfId="448">
      <pivotArea collapsedLevelsAreSubtotals="1" fieldPosition="0">
        <references count="1">
          <reference field="0" count="1">
            <x v="47"/>
          </reference>
        </references>
      </pivotArea>
    </format>
    <format dxfId="447">
      <pivotArea collapsedLevelsAreSubtotals="1" fieldPosition="0">
        <references count="1">
          <reference field="0" count="1">
            <x v="46"/>
          </reference>
        </references>
      </pivotArea>
    </format>
    <format dxfId="446">
      <pivotArea dataOnly="0" labelOnly="1" fieldPosition="0">
        <references count="1">
          <reference field="0" count="1">
            <x v="46"/>
          </reference>
        </references>
      </pivotArea>
    </format>
    <format dxfId="445">
      <pivotArea collapsedLevelsAreSubtotals="1" fieldPosition="0">
        <references count="1">
          <reference field="0" count="1">
            <x v="45"/>
          </reference>
        </references>
      </pivotArea>
    </format>
    <format dxfId="444">
      <pivotArea collapsedLevelsAreSubtotals="1" fieldPosition="0">
        <references count="1">
          <reference field="0" count="1">
            <x v="44"/>
          </reference>
        </references>
      </pivotArea>
    </format>
    <format dxfId="443">
      <pivotArea collapsedLevelsAreSubtotals="1" fieldPosition="0">
        <references count="1">
          <reference field="0" count="1">
            <x v="43"/>
          </reference>
        </references>
      </pivotArea>
    </format>
    <format dxfId="442">
      <pivotArea collapsedLevelsAreSubtotals="1" fieldPosition="0">
        <references count="1">
          <reference field="0" count="1">
            <x v="42"/>
          </reference>
        </references>
      </pivotArea>
    </format>
    <format dxfId="441">
      <pivotArea collapsedLevelsAreSubtotals="1" fieldPosition="0">
        <references count="1">
          <reference field="0" count="1">
            <x v="41"/>
          </reference>
        </references>
      </pivotArea>
    </format>
    <format dxfId="440">
      <pivotArea collapsedLevelsAreSubtotals="1" fieldPosition="0">
        <references count="1">
          <reference field="0" count="1">
            <x v="40"/>
          </reference>
        </references>
      </pivotArea>
    </format>
    <format dxfId="439">
      <pivotArea collapsedLevelsAreSubtotals="1" fieldPosition="0">
        <references count="1">
          <reference field="0" count="1">
            <x v="39"/>
          </reference>
        </references>
      </pivotArea>
    </format>
    <format dxfId="438">
      <pivotArea collapsedLevelsAreSubtotals="1" fieldPosition="0">
        <references count="1">
          <reference field="0" count="1">
            <x v="38"/>
          </reference>
        </references>
      </pivotArea>
    </format>
    <format dxfId="437">
      <pivotArea collapsedLevelsAreSubtotals="1" fieldPosition="0">
        <references count="1">
          <reference field="0" count="1">
            <x v="37"/>
          </reference>
        </references>
      </pivotArea>
    </format>
    <format dxfId="436">
      <pivotArea collapsedLevelsAreSubtotals="1" fieldPosition="0">
        <references count="1">
          <reference field="0" count="1">
            <x v="34"/>
          </reference>
        </references>
      </pivotArea>
    </format>
    <format dxfId="435">
      <pivotArea collapsedLevelsAreSubtotals="1" fieldPosition="0">
        <references count="1">
          <reference field="0" count="1">
            <x v="35"/>
          </reference>
        </references>
      </pivotArea>
    </format>
    <format dxfId="434">
      <pivotArea collapsedLevelsAreSubtotals="1" fieldPosition="0">
        <references count="1">
          <reference field="0" count="1">
            <x v="3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56B0A-DE6B-0D45-AB37-5AD88DBADC09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MS Daily Sales Summary">
  <location ref="A1:C540" firstHeaderRow="0" firstDataRow="1" firstDataCol="1"/>
  <pivotFields count="7">
    <pivotField axis="axisRow" showAll="0" sortType="descending">
      <items count="146"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showAll="0"/>
    <pivotField dataField="1" showAll="0"/>
    <pivotField axis="axisRow" showAll="0">
      <items count="23">
        <item x="8"/>
        <item x="21"/>
        <item x="14"/>
        <item x="5"/>
        <item x="0"/>
        <item x="15"/>
        <item x="4"/>
        <item x="1"/>
        <item x="2"/>
        <item x="19"/>
        <item x="6"/>
        <item x="10"/>
        <item x="9"/>
        <item x="3"/>
        <item x="7"/>
        <item x="11"/>
        <item x="12"/>
        <item x="13"/>
        <item x="16"/>
        <item x="17"/>
        <item x="18"/>
        <item x="20"/>
        <item t="default"/>
      </items>
    </pivotField>
  </pivotFields>
  <rowFields count="2">
    <field x="0"/>
    <field x="6"/>
  </rowFields>
  <rowItems count="539">
    <i>
      <x/>
    </i>
    <i r="1">
      <x v="1"/>
    </i>
    <i>
      <x v="1"/>
    </i>
    <i r="1">
      <x v="18"/>
    </i>
    <i r="1">
      <x v="19"/>
    </i>
    <i>
      <x v="2"/>
    </i>
    <i r="1">
      <x v="18"/>
    </i>
    <i r="1">
      <x v="19"/>
    </i>
    <i>
      <x v="3"/>
    </i>
    <i r="1">
      <x v="6"/>
    </i>
    <i r="1">
      <x v="7"/>
    </i>
    <i r="1">
      <x v="14"/>
    </i>
    <i r="1">
      <x v="15"/>
    </i>
    <i r="1">
      <x v="18"/>
    </i>
    <i r="1">
      <x v="19"/>
    </i>
    <i>
      <x v="4"/>
    </i>
    <i r="1">
      <x/>
    </i>
    <i r="1">
      <x v="6"/>
    </i>
    <i r="1">
      <x v="18"/>
    </i>
    <i r="1">
      <x v="19"/>
    </i>
    <i>
      <x v="5"/>
    </i>
    <i r="1">
      <x v="18"/>
    </i>
    <i r="1">
      <x v="19"/>
    </i>
    <i>
      <x v="6"/>
    </i>
    <i r="1">
      <x v="14"/>
    </i>
    <i r="1">
      <x v="18"/>
    </i>
    <i r="1">
      <x v="19"/>
    </i>
    <i>
      <x v="7"/>
    </i>
    <i r="1">
      <x v="15"/>
    </i>
    <i r="1">
      <x v="17"/>
    </i>
    <i r="1">
      <x v="18"/>
    </i>
    <i r="1">
      <x v="19"/>
    </i>
    <i>
      <x v="8"/>
    </i>
    <i r="1">
      <x v="6"/>
    </i>
    <i r="1">
      <x v="7"/>
    </i>
    <i r="1">
      <x v="18"/>
    </i>
    <i r="1">
      <x v="19"/>
    </i>
    <i>
      <x v="9"/>
    </i>
    <i r="1">
      <x v="18"/>
    </i>
    <i r="1">
      <x v="19"/>
    </i>
    <i>
      <x v="10"/>
    </i>
    <i r="1">
      <x v="14"/>
    </i>
    <i r="1">
      <x v="18"/>
    </i>
    <i r="1">
      <x v="19"/>
    </i>
    <i>
      <x v="11"/>
    </i>
    <i r="1">
      <x v="18"/>
    </i>
    <i r="1">
      <x v="19"/>
    </i>
    <i>
      <x v="12"/>
    </i>
    <i r="1">
      <x v="7"/>
    </i>
    <i r="1">
      <x v="18"/>
    </i>
    <i r="1">
      <x v="19"/>
    </i>
    <i>
      <x v="13"/>
    </i>
    <i r="1">
      <x v="15"/>
    </i>
    <i r="1">
      <x v="18"/>
    </i>
    <i r="1">
      <x v="19"/>
    </i>
    <i>
      <x v="14"/>
    </i>
    <i r="1">
      <x v="14"/>
    </i>
    <i r="1">
      <x v="18"/>
    </i>
    <i r="1">
      <x v="19"/>
    </i>
    <i>
      <x v="15"/>
    </i>
    <i r="1">
      <x v="18"/>
    </i>
    <i r="1">
      <x v="19"/>
    </i>
    <i>
      <x v="16"/>
    </i>
    <i r="1">
      <x v="7"/>
    </i>
    <i r="1">
      <x v="18"/>
    </i>
    <i r="1">
      <x v="19"/>
    </i>
    <i>
      <x v="17"/>
    </i>
    <i r="1">
      <x v="18"/>
    </i>
    <i r="1">
      <x v="19"/>
    </i>
    <i>
      <x v="18"/>
    </i>
    <i r="1">
      <x v="6"/>
    </i>
    <i r="1">
      <x v="14"/>
    </i>
    <i r="1">
      <x v="15"/>
    </i>
    <i r="1">
      <x v="18"/>
    </i>
    <i r="1">
      <x v="19"/>
    </i>
    <i>
      <x v="19"/>
    </i>
    <i r="1">
      <x v="14"/>
    </i>
    <i r="1">
      <x v="18"/>
    </i>
    <i r="1">
      <x v="19"/>
    </i>
    <i>
      <x v="20"/>
    </i>
    <i r="1">
      <x v="18"/>
    </i>
    <i r="1">
      <x v="19"/>
    </i>
    <i>
      <x v="21"/>
    </i>
    <i r="1">
      <x v="18"/>
    </i>
    <i r="1">
      <x v="19"/>
    </i>
    <i>
      <x v="22"/>
    </i>
    <i r="1">
      <x v="14"/>
    </i>
    <i r="1">
      <x v="18"/>
    </i>
    <i r="1">
      <x v="19"/>
    </i>
    <i>
      <x v="23"/>
    </i>
    <i r="1">
      <x v="7"/>
    </i>
    <i r="1">
      <x v="18"/>
    </i>
    <i r="1">
      <x v="19"/>
    </i>
    <i>
      <x v="24"/>
    </i>
    <i r="1">
      <x v="7"/>
    </i>
    <i r="1">
      <x v="8"/>
    </i>
    <i r="1">
      <x v="18"/>
    </i>
    <i r="1">
      <x v="19"/>
    </i>
    <i>
      <x v="25"/>
    </i>
    <i r="1">
      <x v="18"/>
    </i>
    <i r="1">
      <x v="19"/>
    </i>
    <i>
      <x v="26"/>
    </i>
    <i r="1">
      <x v="18"/>
    </i>
    <i r="1">
      <x v="19"/>
    </i>
    <i>
      <x v="27"/>
    </i>
    <i r="1">
      <x v="14"/>
    </i>
    <i r="1">
      <x v="18"/>
    </i>
    <i r="1">
      <x v="19"/>
    </i>
    <i>
      <x v="28"/>
    </i>
    <i r="1">
      <x v="6"/>
    </i>
    <i r="1">
      <x v="9"/>
    </i>
    <i r="1">
      <x v="18"/>
    </i>
    <i r="1">
      <x v="19"/>
    </i>
    <i>
      <x v="29"/>
    </i>
    <i r="1">
      <x/>
    </i>
    <i r="1">
      <x v="3"/>
    </i>
    <i r="1">
      <x v="7"/>
    </i>
    <i r="1">
      <x v="18"/>
    </i>
    <i r="1">
      <x v="19"/>
    </i>
    <i>
      <x v="30"/>
    </i>
    <i r="1">
      <x v="6"/>
    </i>
    <i r="1">
      <x v="14"/>
    </i>
    <i r="1">
      <x v="18"/>
    </i>
    <i r="1">
      <x v="19"/>
    </i>
    <i>
      <x v="31"/>
    </i>
    <i r="1">
      <x v="18"/>
    </i>
    <i r="1">
      <x v="19"/>
    </i>
    <i>
      <x v="32"/>
    </i>
    <i r="1">
      <x v="15"/>
    </i>
    <i r="1">
      <x v="18"/>
    </i>
    <i r="1">
      <x v="19"/>
    </i>
    <i>
      <x v="33"/>
    </i>
    <i r="1">
      <x v="7"/>
    </i>
    <i r="1">
      <x v="18"/>
    </i>
    <i r="1">
      <x v="19"/>
    </i>
    <i>
      <x v="34"/>
    </i>
    <i r="1">
      <x v="18"/>
    </i>
    <i r="1">
      <x v="19"/>
    </i>
    <i r="1">
      <x v="21"/>
    </i>
    <i>
      <x v="35"/>
    </i>
    <i r="1">
      <x v="14"/>
    </i>
    <i r="1">
      <x v="18"/>
    </i>
    <i r="1">
      <x v="19"/>
    </i>
    <i>
      <x v="36"/>
    </i>
    <i r="1">
      <x v="6"/>
    </i>
    <i r="1">
      <x v="15"/>
    </i>
    <i r="1">
      <x v="18"/>
    </i>
    <i r="1">
      <x v="19"/>
    </i>
    <i>
      <x v="37"/>
    </i>
    <i r="1">
      <x v="3"/>
    </i>
    <i r="1">
      <x v="6"/>
    </i>
    <i r="1">
      <x v="14"/>
    </i>
    <i r="1">
      <x v="18"/>
    </i>
    <i r="1">
      <x v="19"/>
    </i>
    <i>
      <x v="38"/>
    </i>
    <i r="1">
      <x v="7"/>
    </i>
    <i r="1">
      <x v="18"/>
    </i>
    <i r="1">
      <x v="19"/>
    </i>
    <i>
      <x v="39"/>
    </i>
    <i r="1">
      <x v="6"/>
    </i>
    <i r="1">
      <x v="18"/>
    </i>
    <i r="1">
      <x v="19"/>
    </i>
    <i>
      <x v="40"/>
    </i>
    <i r="1">
      <x v="18"/>
    </i>
    <i r="1">
      <x v="19"/>
    </i>
    <i>
      <x v="41"/>
    </i>
    <i r="1">
      <x v="8"/>
    </i>
    <i r="1">
      <x v="14"/>
    </i>
    <i r="1">
      <x v="18"/>
    </i>
    <i r="1">
      <x v="19"/>
    </i>
    <i>
      <x v="42"/>
    </i>
    <i r="1">
      <x v="18"/>
    </i>
    <i r="1">
      <x v="19"/>
    </i>
    <i>
      <x v="43"/>
    </i>
    <i r="1">
      <x v="13"/>
    </i>
    <i r="1">
      <x v="14"/>
    </i>
    <i r="1">
      <x v="18"/>
    </i>
    <i r="1">
      <x v="19"/>
    </i>
    <i>
      <x v="44"/>
    </i>
    <i r="1">
      <x v="18"/>
    </i>
    <i r="1">
      <x v="19"/>
    </i>
    <i>
      <x v="45"/>
    </i>
    <i r="1">
      <x v="3"/>
    </i>
    <i r="1">
      <x v="18"/>
    </i>
    <i r="1">
      <x v="19"/>
    </i>
    <i>
      <x v="46"/>
    </i>
    <i r="1">
      <x/>
    </i>
    <i r="1">
      <x v="7"/>
    </i>
    <i r="1">
      <x v="9"/>
    </i>
    <i r="1">
      <x v="15"/>
    </i>
    <i r="1">
      <x v="18"/>
    </i>
    <i r="1">
      <x v="19"/>
    </i>
    <i>
      <x v="47"/>
    </i>
    <i r="1">
      <x v="7"/>
    </i>
    <i r="1">
      <x v="14"/>
    </i>
    <i r="1">
      <x v="18"/>
    </i>
    <i r="1">
      <x v="19"/>
    </i>
    <i>
      <x v="48"/>
    </i>
    <i r="1">
      <x v="9"/>
    </i>
    <i r="1">
      <x v="14"/>
    </i>
    <i r="1">
      <x v="18"/>
    </i>
    <i r="1">
      <x v="19"/>
    </i>
    <i>
      <x v="49"/>
    </i>
    <i r="1">
      <x v="18"/>
    </i>
    <i r="1">
      <x v="19"/>
    </i>
    <i>
      <x v="50"/>
    </i>
    <i r="1">
      <x v="6"/>
    </i>
    <i r="1">
      <x v="14"/>
    </i>
    <i r="1">
      <x v="18"/>
    </i>
    <i r="1">
      <x v="19"/>
    </i>
    <i>
      <x v="51"/>
    </i>
    <i r="1">
      <x/>
    </i>
    <i r="1">
      <x v="14"/>
    </i>
    <i r="1">
      <x v="15"/>
    </i>
    <i r="1">
      <x v="18"/>
    </i>
    <i r="1">
      <x v="19"/>
    </i>
    <i>
      <x v="52"/>
    </i>
    <i r="1">
      <x v="7"/>
    </i>
    <i r="1">
      <x v="14"/>
    </i>
    <i r="1">
      <x v="15"/>
    </i>
    <i r="1">
      <x v="18"/>
    </i>
    <i r="1">
      <x v="19"/>
    </i>
    <i r="1">
      <x v="20"/>
    </i>
    <i>
      <x v="53"/>
    </i>
    <i r="1">
      <x v="3"/>
    </i>
    <i r="1">
      <x v="14"/>
    </i>
    <i r="1">
      <x v="18"/>
    </i>
    <i r="1">
      <x v="19"/>
    </i>
    <i>
      <x v="54"/>
    </i>
    <i r="1">
      <x v="3"/>
    </i>
    <i r="1">
      <x v="18"/>
    </i>
    <i r="1">
      <x v="19"/>
    </i>
    <i>
      <x v="55"/>
    </i>
    <i r="1">
      <x v="3"/>
    </i>
    <i r="1">
      <x v="18"/>
    </i>
    <i r="1">
      <x v="19"/>
    </i>
    <i>
      <x v="56"/>
    </i>
    <i r="1">
      <x v="14"/>
    </i>
    <i r="1">
      <x v="18"/>
    </i>
    <i r="1">
      <x v="19"/>
    </i>
    <i>
      <x v="57"/>
    </i>
    <i r="1">
      <x v="13"/>
    </i>
    <i r="1">
      <x v="18"/>
    </i>
    <i>
      <x v="58"/>
    </i>
    <i r="1">
      <x v="3"/>
    </i>
    <i r="1">
      <x v="7"/>
    </i>
    <i r="1">
      <x v="18"/>
    </i>
    <i>
      <x v="59"/>
    </i>
    <i r="1">
      <x/>
    </i>
    <i r="1">
      <x v="7"/>
    </i>
    <i r="1">
      <x v="14"/>
    </i>
    <i r="1">
      <x v="15"/>
    </i>
    <i r="1">
      <x v="18"/>
    </i>
    <i>
      <x v="60"/>
    </i>
    <i r="1">
      <x v="3"/>
    </i>
    <i>
      <x v="61"/>
    </i>
    <i r="1">
      <x v="3"/>
    </i>
    <i r="1">
      <x v="13"/>
    </i>
    <i>
      <x v="62"/>
    </i>
    <i r="1">
      <x v="14"/>
    </i>
    <i>
      <x v="63"/>
    </i>
    <i r="1">
      <x v="13"/>
    </i>
    <i>
      <x v="64"/>
    </i>
    <i r="1">
      <x v="6"/>
    </i>
    <i r="1">
      <x v="7"/>
    </i>
    <i>
      <x v="65"/>
    </i>
    <i r="1">
      <x v="13"/>
    </i>
    <i r="1">
      <x v="15"/>
    </i>
    <i>
      <x v="66"/>
    </i>
    <i r="1">
      <x v="13"/>
    </i>
    <i r="1">
      <x v="15"/>
    </i>
    <i>
      <x v="67"/>
    </i>
    <i r="1">
      <x v="11"/>
    </i>
    <i r="1">
      <x v="17"/>
    </i>
    <i>
      <x v="68"/>
    </i>
    <i r="1">
      <x v="7"/>
    </i>
    <i r="1">
      <x v="14"/>
    </i>
    <i>
      <x v="69"/>
    </i>
    <i r="1">
      <x v="3"/>
    </i>
    <i>
      <x v="70"/>
    </i>
    <i r="1">
      <x v="3"/>
    </i>
    <i r="1">
      <x v="4"/>
    </i>
    <i r="1">
      <x v="14"/>
    </i>
    <i r="1">
      <x v="15"/>
    </i>
    <i>
      <x v="71"/>
    </i>
    <i r="1">
      <x v="4"/>
    </i>
    <i r="1">
      <x v="7"/>
    </i>
    <i>
      <x v="72"/>
    </i>
    <i r="1">
      <x v="4"/>
    </i>
    <i>
      <x v="73"/>
    </i>
    <i r="1">
      <x v="5"/>
    </i>
    <i r="1">
      <x v="14"/>
    </i>
    <i>
      <x v="74"/>
    </i>
    <i r="1">
      <x/>
    </i>
    <i r="1">
      <x v="4"/>
    </i>
    <i>
      <x v="75"/>
    </i>
    <i r="1">
      <x v="4"/>
    </i>
    <i r="1">
      <x v="13"/>
    </i>
    <i r="1">
      <x v="17"/>
    </i>
    <i>
      <x v="76"/>
    </i>
    <i r="1">
      <x v="4"/>
    </i>
    <i r="1">
      <x v="7"/>
    </i>
    <i r="1">
      <x v="13"/>
    </i>
    <i>
      <x v="77"/>
    </i>
    <i r="1">
      <x v="2"/>
    </i>
    <i r="1">
      <x v="5"/>
    </i>
    <i r="1">
      <x v="13"/>
    </i>
    <i r="1">
      <x v="14"/>
    </i>
    <i r="1">
      <x v="15"/>
    </i>
    <i>
      <x v="78"/>
    </i>
    <i r="1">
      <x v="4"/>
    </i>
    <i>
      <x v="79"/>
    </i>
    <i r="1">
      <x v="3"/>
    </i>
    <i r="1">
      <x v="4"/>
    </i>
    <i r="1">
      <x v="14"/>
    </i>
    <i>
      <x v="80"/>
    </i>
    <i r="1">
      <x v="4"/>
    </i>
    <i r="1">
      <x v="7"/>
    </i>
    <i>
      <x v="81"/>
    </i>
    <i r="1">
      <x v="7"/>
    </i>
    <i r="1">
      <x v="13"/>
    </i>
    <i r="1">
      <x v="15"/>
    </i>
    <i>
      <x v="82"/>
    </i>
    <i r="1">
      <x v="3"/>
    </i>
    <i r="1">
      <x v="4"/>
    </i>
    <i r="1">
      <x v="14"/>
    </i>
    <i>
      <x v="83"/>
    </i>
    <i r="1">
      <x v="4"/>
    </i>
    <i r="1">
      <x v="15"/>
    </i>
    <i>
      <x v="84"/>
    </i>
    <i r="1">
      <x/>
    </i>
    <i r="1">
      <x v="13"/>
    </i>
    <i r="1">
      <x v="15"/>
    </i>
    <i>
      <x v="85"/>
    </i>
    <i r="1">
      <x/>
    </i>
    <i r="1">
      <x v="14"/>
    </i>
    <i r="1">
      <x v="17"/>
    </i>
    <i>
      <x v="86"/>
    </i>
    <i r="1">
      <x v="13"/>
    </i>
    <i r="1">
      <x v="14"/>
    </i>
    <i>
      <x v="87"/>
    </i>
    <i r="1">
      <x v="2"/>
    </i>
    <i r="1">
      <x v="6"/>
    </i>
    <i r="1">
      <x v="7"/>
    </i>
    <i r="1">
      <x v="15"/>
    </i>
    <i>
      <x v="88"/>
    </i>
    <i r="1">
      <x v="3"/>
    </i>
    <i r="1">
      <x v="14"/>
    </i>
    <i r="1">
      <x v="15"/>
    </i>
    <i>
      <x v="89"/>
    </i>
    <i r="1">
      <x v="4"/>
    </i>
    <i r="1">
      <x v="8"/>
    </i>
    <i r="1">
      <x v="13"/>
    </i>
    <i>
      <x v="90"/>
    </i>
    <i r="1">
      <x v="3"/>
    </i>
    <i r="1">
      <x v="11"/>
    </i>
    <i>
      <x v="91"/>
    </i>
    <i r="1">
      <x v="14"/>
    </i>
    <i>
      <x v="92"/>
    </i>
    <i r="1">
      <x v="4"/>
    </i>
    <i r="1">
      <x v="14"/>
    </i>
    <i r="1">
      <x v="15"/>
    </i>
    <i>
      <x v="93"/>
    </i>
    <i r="1">
      <x v="3"/>
    </i>
    <i r="1">
      <x v="4"/>
    </i>
    <i r="1">
      <x v="7"/>
    </i>
    <i r="1">
      <x v="13"/>
    </i>
    <i>
      <x v="94"/>
    </i>
    <i r="1">
      <x v="3"/>
    </i>
    <i r="1">
      <x v="4"/>
    </i>
    <i>
      <x v="95"/>
    </i>
    <i r="1">
      <x v="4"/>
    </i>
    <i r="1">
      <x v="14"/>
    </i>
    <i>
      <x v="96"/>
    </i>
    <i r="1">
      <x v="2"/>
    </i>
    <i r="1">
      <x v="13"/>
    </i>
    <i>
      <x v="97"/>
    </i>
    <i r="1">
      <x v="4"/>
    </i>
    <i r="1">
      <x v="13"/>
    </i>
    <i r="1">
      <x v="15"/>
    </i>
    <i>
      <x v="98"/>
    </i>
    <i r="1">
      <x/>
    </i>
    <i r="1">
      <x v="3"/>
    </i>
    <i r="1">
      <x v="4"/>
    </i>
    <i r="1">
      <x v="8"/>
    </i>
    <i r="1">
      <x v="13"/>
    </i>
    <i r="1">
      <x v="14"/>
    </i>
    <i r="1">
      <x v="15"/>
    </i>
    <i>
      <x v="99"/>
    </i>
    <i r="1">
      <x v="4"/>
    </i>
    <i r="1">
      <x v="17"/>
    </i>
    <i>
      <x v="100"/>
    </i>
    <i r="1">
      <x v="3"/>
    </i>
    <i r="1">
      <x v="4"/>
    </i>
    <i r="1">
      <x v="6"/>
    </i>
    <i r="1">
      <x v="7"/>
    </i>
    <i r="1">
      <x v="14"/>
    </i>
    <i r="1">
      <x v="15"/>
    </i>
    <i>
      <x v="101"/>
    </i>
    <i r="1">
      <x v="3"/>
    </i>
    <i r="1">
      <x v="7"/>
    </i>
    <i>
      <x v="102"/>
    </i>
    <i r="1">
      <x v="3"/>
    </i>
    <i r="1">
      <x v="13"/>
    </i>
    <i>
      <x v="103"/>
    </i>
    <i r="1">
      <x v="4"/>
    </i>
    <i r="1">
      <x v="13"/>
    </i>
    <i>
      <x v="104"/>
    </i>
    <i r="1">
      <x v="15"/>
    </i>
    <i>
      <x v="105"/>
    </i>
    <i r="1">
      <x v="8"/>
    </i>
    <i r="1">
      <x v="12"/>
    </i>
    <i>
      <x v="106"/>
    </i>
    <i r="1">
      <x v="4"/>
    </i>
    <i>
      <x v="107"/>
    </i>
    <i r="1">
      <x v="14"/>
    </i>
    <i r="1">
      <x v="16"/>
    </i>
    <i>
      <x v="108"/>
    </i>
    <i r="1">
      <x v="3"/>
    </i>
    <i r="1">
      <x v="6"/>
    </i>
    <i r="1">
      <x v="13"/>
    </i>
    <i>
      <x v="109"/>
    </i>
    <i r="1">
      <x/>
    </i>
    <i r="1">
      <x v="3"/>
    </i>
    <i r="1">
      <x v="4"/>
    </i>
    <i>
      <x v="110"/>
    </i>
    <i r="1">
      <x v="6"/>
    </i>
    <i r="1">
      <x v="13"/>
    </i>
    <i>
      <x v="111"/>
    </i>
    <i r="1">
      <x v="4"/>
    </i>
    <i r="1">
      <x v="7"/>
    </i>
    <i r="1">
      <x v="13"/>
    </i>
    <i r="1">
      <x v="14"/>
    </i>
    <i r="1">
      <x v="15"/>
    </i>
    <i>
      <x v="112"/>
    </i>
    <i r="1">
      <x v="7"/>
    </i>
    <i r="1">
      <x v="15"/>
    </i>
    <i>
      <x v="113"/>
    </i>
    <i r="1">
      <x v="3"/>
    </i>
    <i r="1">
      <x v="4"/>
    </i>
    <i>
      <x v="114"/>
    </i>
    <i r="1">
      <x v="3"/>
    </i>
    <i r="1">
      <x v="4"/>
    </i>
    <i r="1">
      <x v="14"/>
    </i>
    <i>
      <x v="115"/>
    </i>
    <i r="1">
      <x v="4"/>
    </i>
    <i r="1">
      <x v="13"/>
    </i>
    <i>
      <x v="116"/>
    </i>
    <i r="1">
      <x/>
    </i>
    <i r="1">
      <x v="3"/>
    </i>
    <i>
      <x v="117"/>
    </i>
    <i r="1">
      <x v="3"/>
    </i>
    <i>
      <x v="118"/>
    </i>
    <i r="1">
      <x v="3"/>
    </i>
    <i r="1">
      <x v="4"/>
    </i>
    <i r="1">
      <x v="7"/>
    </i>
    <i r="1">
      <x v="13"/>
    </i>
    <i>
      <x v="119"/>
    </i>
    <i r="1">
      <x v="4"/>
    </i>
    <i>
      <x v="120"/>
    </i>
    <i r="1">
      <x v="3"/>
    </i>
    <i r="1">
      <x v="4"/>
    </i>
    <i r="1">
      <x v="13"/>
    </i>
    <i>
      <x v="121"/>
    </i>
    <i r="1">
      <x v="8"/>
    </i>
    <i>
      <x v="122"/>
    </i>
    <i r="1">
      <x v="3"/>
    </i>
    <i r="1">
      <x v="4"/>
    </i>
    <i r="1">
      <x v="13"/>
    </i>
    <i>
      <x v="123"/>
    </i>
    <i r="1">
      <x v="6"/>
    </i>
    <i r="1">
      <x v="14"/>
    </i>
    <i>
      <x v="124"/>
    </i>
    <i r="1">
      <x v="12"/>
    </i>
    <i r="1">
      <x v="13"/>
    </i>
    <i>
      <x v="125"/>
    </i>
    <i r="1">
      <x v="3"/>
    </i>
    <i r="1">
      <x v="13"/>
    </i>
    <i>
      <x v="126"/>
    </i>
    <i r="1">
      <x v="7"/>
    </i>
    <i>
      <x v="127"/>
    </i>
    <i r="1">
      <x v="11"/>
    </i>
    <i r="1">
      <x v="13"/>
    </i>
    <i>
      <x v="128"/>
    </i>
    <i r="1">
      <x/>
    </i>
    <i>
      <x v="129"/>
    </i>
    <i r="1">
      <x v="3"/>
    </i>
    <i>
      <x v="130"/>
    </i>
    <i r="1">
      <x v="3"/>
    </i>
    <i r="1">
      <x v="13"/>
    </i>
    <i>
      <x v="131"/>
    </i>
    <i r="1">
      <x/>
    </i>
    <i r="1">
      <x v="4"/>
    </i>
    <i r="1">
      <x v="7"/>
    </i>
    <i>
      <x v="132"/>
    </i>
    <i r="1">
      <x v="4"/>
    </i>
    <i r="1">
      <x v="12"/>
    </i>
    <i r="1">
      <x v="13"/>
    </i>
    <i>
      <x v="133"/>
    </i>
    <i r="1">
      <x/>
    </i>
    <i r="1">
      <x v="4"/>
    </i>
    <i r="1">
      <x v="14"/>
    </i>
    <i>
      <x v="134"/>
    </i>
    <i r="1">
      <x v="3"/>
    </i>
    <i r="1">
      <x v="4"/>
    </i>
    <i r="1">
      <x v="13"/>
    </i>
    <i>
      <x v="135"/>
    </i>
    <i r="1">
      <x v="13"/>
    </i>
    <i r="1">
      <x v="14"/>
    </i>
    <i>
      <x v="136"/>
    </i>
    <i r="1">
      <x v="4"/>
    </i>
    <i r="1">
      <x v="7"/>
    </i>
    <i r="1">
      <x v="13"/>
    </i>
    <i>
      <x v="137"/>
    </i>
    <i r="1">
      <x v="4"/>
    </i>
    <i>
      <x v="138"/>
    </i>
    <i r="1">
      <x v="3"/>
    </i>
    <i r="1">
      <x v="4"/>
    </i>
    <i r="1">
      <x v="6"/>
    </i>
    <i r="1">
      <x v="7"/>
    </i>
    <i r="1">
      <x v="10"/>
    </i>
    <i r="1">
      <x v="13"/>
    </i>
    <i>
      <x v="139"/>
    </i>
    <i r="1">
      <x v="3"/>
    </i>
    <i>
      <x v="140"/>
    </i>
    <i r="1">
      <x v="13"/>
    </i>
    <i>
      <x v="141"/>
    </i>
    <i r="1">
      <x v="4"/>
    </i>
    <i r="1">
      <x v="6"/>
    </i>
    <i>
      <x v="142"/>
    </i>
    <i r="1">
      <x v="4"/>
    </i>
    <i r="1">
      <x v="8"/>
    </i>
    <i r="1">
      <x v="13"/>
    </i>
    <i>
      <x v="143"/>
    </i>
    <i r="1">
      <x v="4"/>
    </i>
    <i r="1">
      <x v="7"/>
    </i>
    <i>
      <x v="144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5" baseField="0" baseItem="0"/>
    <dataField name="Sum of Quantity" fld="3" baseField="0" baseItem="0"/>
  </dataFields>
  <formats count="207">
    <format dxfId="419">
      <pivotArea field="0" type="button" dataOnly="0" labelOnly="1" outline="0" axis="axisRow" fieldPosition="0"/>
    </format>
    <format dxfId="4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7">
      <pivotArea field="0" type="button" dataOnly="0" labelOnly="1" outline="0" axis="axisRow" fieldPosition="0"/>
    </format>
    <format dxfId="4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field="0" type="button" dataOnly="0" labelOnly="1" outline="0" axis="axisRow" fieldPosition="0"/>
    </format>
    <format dxfId="412">
      <pivotArea dataOnly="0" labelOnly="1" fieldPosition="0">
        <references count="1">
          <reference field="0" count="1">
            <x v="0"/>
          </reference>
        </references>
      </pivotArea>
    </format>
    <format dxfId="411">
      <pivotArea dataOnly="0" labelOnly="1" grandRow="1" outline="0" fieldPosition="0"/>
    </format>
    <format dxfId="410">
      <pivotArea dataOnly="0" labelOnly="1" fieldPosition="0">
        <references count="2">
          <reference field="0" count="1" selected="0">
            <x v="0"/>
          </reference>
          <reference field="6" count="1">
            <x v="1"/>
          </reference>
        </references>
      </pivotArea>
    </format>
    <format dxfId="4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8">
      <pivotArea type="all" dataOnly="0" outline="0" fieldPosition="0"/>
    </format>
    <format dxfId="407">
      <pivotArea outline="0" collapsedLevelsAreSubtotals="1" fieldPosition="0"/>
    </format>
    <format dxfId="406">
      <pivotArea dataOnly="0" labelOnly="1" fieldPosition="0">
        <references count="1">
          <reference field="0" count="1">
            <x v="0"/>
          </reference>
        </references>
      </pivotArea>
    </format>
    <format dxfId="405">
      <pivotArea dataOnly="0" labelOnly="1" grandRow="1" outline="0" fieldPosition="0"/>
    </format>
    <format dxfId="404">
      <pivotArea dataOnly="0" labelOnly="1" fieldPosition="0">
        <references count="2">
          <reference field="0" count="1" selected="0">
            <x v="0"/>
          </reference>
          <reference field="6" count="1">
            <x v="1"/>
          </reference>
        </references>
      </pivotArea>
    </format>
    <format dxfId="403">
      <pivotArea field="0" type="button" dataOnly="0" labelOnly="1" outline="0" axis="axisRow" fieldPosition="0"/>
    </format>
    <format dxfId="4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field="0" type="button" dataOnly="0" labelOnly="1" outline="0" axis="axisRow" fieldPosition="0"/>
    </format>
    <format dxfId="398">
      <pivotArea dataOnly="0" labelOnly="1" fieldPosition="0">
        <references count="1">
          <reference field="0" count="1">
            <x v="0"/>
          </reference>
        </references>
      </pivotArea>
    </format>
    <format dxfId="397">
      <pivotArea dataOnly="0" labelOnly="1" grandRow="1" outline="0" fieldPosition="0"/>
    </format>
    <format dxfId="396">
      <pivotArea dataOnly="0" labelOnly="1" fieldPosition="0">
        <references count="2">
          <reference field="0" count="1" selected="0">
            <x v="0"/>
          </reference>
          <reference field="6" count="1">
            <x v="1"/>
          </reference>
        </references>
      </pivotArea>
    </format>
    <format dxfId="3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4">
      <pivotArea dataOnly="0" labelOnly="1" fieldPosition="0">
        <references count="1">
          <reference field="0" count="0"/>
        </references>
      </pivotArea>
    </format>
    <format dxfId="393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392">
      <pivotArea collapsedLevelsAreSubtotals="1" fieldPosition="0">
        <references count="2">
          <reference field="4294967294" count="1" selected="0">
            <x v="1"/>
          </reference>
          <reference field="0" count="1">
            <x v="0"/>
          </reference>
        </references>
      </pivotArea>
    </format>
    <format dxfId="391">
      <pivotArea collapsedLevelsAreSubtotals="1" fieldPosition="0">
        <references count="1">
          <reference field="0" count="1">
            <x v="144"/>
          </reference>
        </references>
      </pivotArea>
    </format>
    <format dxfId="390">
      <pivotArea collapsedLevelsAreSubtotals="1" fieldPosition="0">
        <references count="1">
          <reference field="0" count="1">
            <x v="143"/>
          </reference>
        </references>
      </pivotArea>
    </format>
    <format dxfId="389">
      <pivotArea collapsedLevelsAreSubtotals="1" fieldPosition="0">
        <references count="1">
          <reference field="0" count="1">
            <x v="142"/>
          </reference>
        </references>
      </pivotArea>
    </format>
    <format dxfId="388">
      <pivotArea collapsedLevelsAreSubtotals="1" fieldPosition="0">
        <references count="1">
          <reference field="0" count="1">
            <x v="141"/>
          </reference>
        </references>
      </pivotArea>
    </format>
    <format dxfId="387">
      <pivotArea collapsedLevelsAreSubtotals="1" fieldPosition="0">
        <references count="1">
          <reference field="0" count="1">
            <x v="140"/>
          </reference>
        </references>
      </pivotArea>
    </format>
    <format dxfId="386">
      <pivotArea collapsedLevelsAreSubtotals="1" fieldPosition="0">
        <references count="1">
          <reference field="0" count="1">
            <x v="139"/>
          </reference>
        </references>
      </pivotArea>
    </format>
    <format dxfId="385">
      <pivotArea collapsedLevelsAreSubtotals="1" fieldPosition="0">
        <references count="1">
          <reference field="0" count="1">
            <x v="138"/>
          </reference>
        </references>
      </pivotArea>
    </format>
    <format dxfId="384">
      <pivotArea collapsedLevelsAreSubtotals="1" fieldPosition="0">
        <references count="1">
          <reference field="0" count="1">
            <x v="137"/>
          </reference>
        </references>
      </pivotArea>
    </format>
    <format dxfId="383">
      <pivotArea collapsedLevelsAreSubtotals="1" fieldPosition="0">
        <references count="1">
          <reference field="0" count="1">
            <x v="136"/>
          </reference>
        </references>
      </pivotArea>
    </format>
    <format dxfId="382">
      <pivotArea collapsedLevelsAreSubtotals="1" fieldPosition="0">
        <references count="1">
          <reference field="0" count="1">
            <x v="135"/>
          </reference>
        </references>
      </pivotArea>
    </format>
    <format dxfId="381">
      <pivotArea collapsedLevelsAreSubtotals="1" fieldPosition="0">
        <references count="1">
          <reference field="0" count="1">
            <x v="134"/>
          </reference>
        </references>
      </pivotArea>
    </format>
    <format dxfId="380">
      <pivotArea collapsedLevelsAreSubtotals="1" fieldPosition="0">
        <references count="1">
          <reference field="0" count="1">
            <x v="133"/>
          </reference>
        </references>
      </pivotArea>
    </format>
    <format dxfId="379">
      <pivotArea collapsedLevelsAreSubtotals="1" fieldPosition="0">
        <references count="1">
          <reference field="0" count="1">
            <x v="132"/>
          </reference>
        </references>
      </pivotArea>
    </format>
    <format dxfId="378">
      <pivotArea collapsedLevelsAreSubtotals="1" fieldPosition="0">
        <references count="1">
          <reference field="0" count="1">
            <x v="131"/>
          </reference>
        </references>
      </pivotArea>
    </format>
    <format dxfId="377">
      <pivotArea collapsedLevelsAreSubtotals="1" fieldPosition="0">
        <references count="1">
          <reference field="0" count="1">
            <x v="130"/>
          </reference>
        </references>
      </pivotArea>
    </format>
    <format dxfId="376">
      <pivotArea collapsedLevelsAreSubtotals="1" fieldPosition="0">
        <references count="1">
          <reference field="0" count="1">
            <x v="129"/>
          </reference>
        </references>
      </pivotArea>
    </format>
    <format dxfId="375">
      <pivotArea collapsedLevelsAreSubtotals="1" fieldPosition="0">
        <references count="1">
          <reference field="0" count="1">
            <x v="128"/>
          </reference>
        </references>
      </pivotArea>
    </format>
    <format dxfId="374">
      <pivotArea collapsedLevelsAreSubtotals="1" fieldPosition="0">
        <references count="1">
          <reference field="0" count="1">
            <x v="127"/>
          </reference>
        </references>
      </pivotArea>
    </format>
    <format dxfId="373">
      <pivotArea collapsedLevelsAreSubtotals="1" fieldPosition="0">
        <references count="1">
          <reference field="0" count="1">
            <x v="126"/>
          </reference>
        </references>
      </pivotArea>
    </format>
    <format dxfId="372">
      <pivotArea collapsedLevelsAreSubtotals="1" fieldPosition="0">
        <references count="1">
          <reference field="0" count="1">
            <x v="125"/>
          </reference>
        </references>
      </pivotArea>
    </format>
    <format dxfId="371">
      <pivotArea collapsedLevelsAreSubtotals="1" fieldPosition="0">
        <references count="1">
          <reference field="0" count="1">
            <x v="124"/>
          </reference>
        </references>
      </pivotArea>
    </format>
    <format dxfId="370">
      <pivotArea collapsedLevelsAreSubtotals="1" fieldPosition="0">
        <references count="1">
          <reference field="0" count="1">
            <x v="123"/>
          </reference>
        </references>
      </pivotArea>
    </format>
    <format dxfId="369">
      <pivotArea collapsedLevelsAreSubtotals="1" fieldPosition="0">
        <references count="1">
          <reference field="0" count="1">
            <x v="122"/>
          </reference>
        </references>
      </pivotArea>
    </format>
    <format dxfId="368">
      <pivotArea collapsedLevelsAreSubtotals="1" fieldPosition="0">
        <references count="1">
          <reference field="0" count="1">
            <x v="121"/>
          </reference>
        </references>
      </pivotArea>
    </format>
    <format dxfId="367">
      <pivotArea collapsedLevelsAreSubtotals="1" fieldPosition="0">
        <references count="1">
          <reference field="0" count="1">
            <x v="120"/>
          </reference>
        </references>
      </pivotArea>
    </format>
    <format dxfId="366">
      <pivotArea collapsedLevelsAreSubtotals="1" fieldPosition="0">
        <references count="1">
          <reference field="0" count="1">
            <x v="119"/>
          </reference>
        </references>
      </pivotArea>
    </format>
    <format dxfId="365">
      <pivotArea collapsedLevelsAreSubtotals="1" fieldPosition="0">
        <references count="1">
          <reference field="0" count="1">
            <x v="118"/>
          </reference>
        </references>
      </pivotArea>
    </format>
    <format dxfId="364">
      <pivotArea collapsedLevelsAreSubtotals="1" fieldPosition="0">
        <references count="1">
          <reference field="0" count="1">
            <x v="117"/>
          </reference>
        </references>
      </pivotArea>
    </format>
    <format dxfId="363">
      <pivotArea collapsedLevelsAreSubtotals="1" fieldPosition="0">
        <references count="1">
          <reference field="0" count="1">
            <x v="116"/>
          </reference>
        </references>
      </pivotArea>
    </format>
    <format dxfId="362">
      <pivotArea collapsedLevelsAreSubtotals="1" fieldPosition="0">
        <references count="1">
          <reference field="0" count="1">
            <x v="115"/>
          </reference>
        </references>
      </pivotArea>
    </format>
    <format dxfId="361">
      <pivotArea collapsedLevelsAreSubtotals="1" fieldPosition="0">
        <references count="1">
          <reference field="0" count="1">
            <x v="114"/>
          </reference>
        </references>
      </pivotArea>
    </format>
    <format dxfId="360">
      <pivotArea collapsedLevelsAreSubtotals="1" fieldPosition="0">
        <references count="1">
          <reference field="0" count="1">
            <x v="113"/>
          </reference>
        </references>
      </pivotArea>
    </format>
    <format dxfId="359">
      <pivotArea collapsedLevelsAreSubtotals="1" fieldPosition="0">
        <references count="1">
          <reference field="0" count="1">
            <x v="112"/>
          </reference>
        </references>
      </pivotArea>
    </format>
    <format dxfId="358">
      <pivotArea collapsedLevelsAreSubtotals="1" fieldPosition="0">
        <references count="1">
          <reference field="0" count="1">
            <x v="111"/>
          </reference>
        </references>
      </pivotArea>
    </format>
    <format dxfId="357">
      <pivotArea collapsedLevelsAreSubtotals="1" fieldPosition="0">
        <references count="1">
          <reference field="0" count="1">
            <x v="109"/>
          </reference>
        </references>
      </pivotArea>
    </format>
    <format dxfId="356">
      <pivotArea collapsedLevelsAreSubtotals="1" fieldPosition="0">
        <references count="1">
          <reference field="0" count="1">
            <x v="110"/>
          </reference>
        </references>
      </pivotArea>
    </format>
    <format dxfId="355">
      <pivotArea collapsedLevelsAreSubtotals="1" fieldPosition="0">
        <references count="1">
          <reference field="0" count="1">
            <x v="108"/>
          </reference>
        </references>
      </pivotArea>
    </format>
    <format dxfId="354">
      <pivotArea collapsedLevelsAreSubtotals="1" fieldPosition="0">
        <references count="1">
          <reference field="0" count="1">
            <x v="107"/>
          </reference>
        </references>
      </pivotArea>
    </format>
    <format dxfId="353">
      <pivotArea collapsedLevelsAreSubtotals="1" fieldPosition="0">
        <references count="1">
          <reference field="0" count="1">
            <x v="106"/>
          </reference>
        </references>
      </pivotArea>
    </format>
    <format dxfId="352">
      <pivotArea collapsedLevelsAreSubtotals="1" fieldPosition="0">
        <references count="1">
          <reference field="0" count="1">
            <x v="105"/>
          </reference>
        </references>
      </pivotArea>
    </format>
    <format dxfId="351">
      <pivotArea dataOnly="0" labelOnly="1" fieldPosition="0">
        <references count="1">
          <reference field="0" count="1">
            <x v="105"/>
          </reference>
        </references>
      </pivotArea>
    </format>
    <format dxfId="350">
      <pivotArea collapsedLevelsAreSubtotals="1" fieldPosition="0">
        <references count="1">
          <reference field="0" count="1">
            <x v="104"/>
          </reference>
        </references>
      </pivotArea>
    </format>
    <format dxfId="349">
      <pivotArea collapsedLevelsAreSubtotals="1" fieldPosition="0">
        <references count="1">
          <reference field="0" count="1">
            <x v="103"/>
          </reference>
        </references>
      </pivotArea>
    </format>
    <format dxfId="348">
      <pivotArea collapsedLevelsAreSubtotals="1" fieldPosition="0">
        <references count="1">
          <reference field="0" count="1">
            <x v="102"/>
          </reference>
        </references>
      </pivotArea>
    </format>
    <format dxfId="347">
      <pivotArea collapsedLevelsAreSubtotals="1" fieldPosition="0">
        <references count="1">
          <reference field="0" count="1">
            <x v="101"/>
          </reference>
        </references>
      </pivotArea>
    </format>
    <format dxfId="346">
      <pivotArea collapsedLevelsAreSubtotals="1" fieldPosition="0">
        <references count="1">
          <reference field="0" count="1">
            <x v="100"/>
          </reference>
        </references>
      </pivotArea>
    </format>
    <format dxfId="345">
      <pivotArea collapsedLevelsAreSubtotals="1" fieldPosition="0">
        <references count="1">
          <reference field="0" count="1">
            <x v="99"/>
          </reference>
        </references>
      </pivotArea>
    </format>
    <format dxfId="344">
      <pivotArea collapsedLevelsAreSubtotals="1" fieldPosition="0">
        <references count="1">
          <reference field="0" count="1">
            <x v="98"/>
          </reference>
        </references>
      </pivotArea>
    </format>
    <format dxfId="343">
      <pivotArea collapsedLevelsAreSubtotals="1" fieldPosition="0">
        <references count="1">
          <reference field="0" count="1">
            <x v="97"/>
          </reference>
        </references>
      </pivotArea>
    </format>
    <format dxfId="342">
      <pivotArea collapsedLevelsAreSubtotals="1" fieldPosition="0">
        <references count="1">
          <reference field="0" count="1">
            <x v="96"/>
          </reference>
        </references>
      </pivotArea>
    </format>
    <format dxfId="341">
      <pivotArea collapsedLevelsAreSubtotals="1" fieldPosition="0">
        <references count="1">
          <reference field="0" count="1">
            <x v="95"/>
          </reference>
        </references>
      </pivotArea>
    </format>
    <format dxfId="340">
      <pivotArea collapsedLevelsAreSubtotals="1" fieldPosition="0">
        <references count="1">
          <reference field="0" count="1">
            <x v="94"/>
          </reference>
        </references>
      </pivotArea>
    </format>
    <format dxfId="339">
      <pivotArea collapsedLevelsAreSubtotals="1" fieldPosition="0">
        <references count="1">
          <reference field="0" count="1">
            <x v="93"/>
          </reference>
        </references>
      </pivotArea>
    </format>
    <format dxfId="338">
      <pivotArea collapsedLevelsAreSubtotals="1" fieldPosition="0">
        <references count="1">
          <reference field="0" count="1">
            <x v="92"/>
          </reference>
        </references>
      </pivotArea>
    </format>
    <format dxfId="337">
      <pivotArea collapsedLevelsAreSubtotals="1" fieldPosition="0">
        <references count="1">
          <reference field="0" count="1">
            <x v="91"/>
          </reference>
        </references>
      </pivotArea>
    </format>
    <format dxfId="336">
      <pivotArea collapsedLevelsAreSubtotals="1" fieldPosition="0">
        <references count="1">
          <reference field="0" count="1">
            <x v="90"/>
          </reference>
        </references>
      </pivotArea>
    </format>
    <format dxfId="335">
      <pivotArea collapsedLevelsAreSubtotals="1" fieldPosition="0">
        <references count="1">
          <reference field="0" count="1">
            <x v="89"/>
          </reference>
        </references>
      </pivotArea>
    </format>
    <format dxfId="334">
      <pivotArea collapsedLevelsAreSubtotals="1" fieldPosition="0">
        <references count="1">
          <reference field="0" count="1">
            <x v="87"/>
          </reference>
        </references>
      </pivotArea>
    </format>
    <format dxfId="333">
      <pivotArea collapsedLevelsAreSubtotals="1" fieldPosition="0">
        <references count="1">
          <reference field="0" count="1">
            <x v="88"/>
          </reference>
        </references>
      </pivotArea>
    </format>
    <format dxfId="332">
      <pivotArea type="all" dataOnly="0" outline="0" fieldPosition="0"/>
    </format>
    <format dxfId="331">
      <pivotArea outline="0" collapsedLevelsAreSubtotals="1" fieldPosition="0"/>
    </format>
    <format dxfId="330">
      <pivotArea field="0" type="button" dataOnly="0" labelOnly="1" outline="0" axis="axisRow" fieldPosition="0"/>
    </format>
    <format dxfId="329">
      <pivotArea dataOnly="0" labelOnly="1" fieldPosition="0">
        <references count="1">
          <reference field="0" count="50">
            <x v="0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</reference>
        </references>
      </pivotArea>
    </format>
    <format dxfId="328">
      <pivotArea dataOnly="0" labelOnly="1" fieldPosition="0">
        <references count="1">
          <reference field="0" count="9">
            <x v="136"/>
            <x v="137"/>
            <x v="138"/>
            <x v="139"/>
            <x v="140"/>
            <x v="141"/>
            <x v="142"/>
            <x v="143"/>
            <x v="144"/>
          </reference>
        </references>
      </pivotArea>
    </format>
    <format dxfId="327">
      <pivotArea dataOnly="0" labelOnly="1" grandRow="1" outline="0" fieldPosition="0"/>
    </format>
    <format dxfId="326">
      <pivotArea dataOnly="0" labelOnly="1" fieldPosition="0">
        <references count="2">
          <reference field="0" count="1" selected="0">
            <x v="0"/>
          </reference>
          <reference field="6" count="1">
            <x v="1"/>
          </reference>
        </references>
      </pivotArea>
    </format>
    <format dxfId="325">
      <pivotArea dataOnly="0" labelOnly="1" fieldPosition="0">
        <references count="2">
          <reference field="0" count="1" selected="0">
            <x v="87"/>
          </reference>
          <reference field="6" count="4">
            <x v="2"/>
            <x v="6"/>
            <x v="7"/>
            <x v="15"/>
          </reference>
        </references>
      </pivotArea>
    </format>
    <format dxfId="324">
      <pivotArea dataOnly="0" labelOnly="1" fieldPosition="0">
        <references count="2">
          <reference field="0" count="1" selected="0">
            <x v="88"/>
          </reference>
          <reference field="6" count="3">
            <x v="3"/>
            <x v="14"/>
            <x v="15"/>
          </reference>
        </references>
      </pivotArea>
    </format>
    <format dxfId="323">
      <pivotArea dataOnly="0" labelOnly="1" fieldPosition="0">
        <references count="2">
          <reference field="0" count="1" selected="0">
            <x v="89"/>
          </reference>
          <reference field="6" count="3">
            <x v="4"/>
            <x v="8"/>
            <x v="13"/>
          </reference>
        </references>
      </pivotArea>
    </format>
    <format dxfId="322">
      <pivotArea dataOnly="0" labelOnly="1" fieldPosition="0">
        <references count="2">
          <reference field="0" count="1" selected="0">
            <x v="90"/>
          </reference>
          <reference field="6" count="2">
            <x v="3"/>
            <x v="11"/>
          </reference>
        </references>
      </pivotArea>
    </format>
    <format dxfId="321">
      <pivotArea dataOnly="0" labelOnly="1" fieldPosition="0">
        <references count="2">
          <reference field="0" count="1" selected="0">
            <x v="91"/>
          </reference>
          <reference field="6" count="1">
            <x v="14"/>
          </reference>
        </references>
      </pivotArea>
    </format>
    <format dxfId="320">
      <pivotArea dataOnly="0" labelOnly="1" fieldPosition="0">
        <references count="2">
          <reference field="0" count="1" selected="0">
            <x v="92"/>
          </reference>
          <reference field="6" count="3">
            <x v="4"/>
            <x v="14"/>
            <x v="15"/>
          </reference>
        </references>
      </pivotArea>
    </format>
    <format dxfId="319">
      <pivotArea dataOnly="0" labelOnly="1" fieldPosition="0">
        <references count="2">
          <reference field="0" count="1" selected="0">
            <x v="93"/>
          </reference>
          <reference field="6" count="4">
            <x v="3"/>
            <x v="4"/>
            <x v="7"/>
            <x v="13"/>
          </reference>
        </references>
      </pivotArea>
    </format>
    <format dxfId="318">
      <pivotArea dataOnly="0" labelOnly="1" fieldPosition="0">
        <references count="2">
          <reference field="0" count="1" selected="0">
            <x v="94"/>
          </reference>
          <reference field="6" count="2">
            <x v="3"/>
            <x v="4"/>
          </reference>
        </references>
      </pivotArea>
    </format>
    <format dxfId="317">
      <pivotArea dataOnly="0" labelOnly="1" fieldPosition="0">
        <references count="2">
          <reference field="0" count="1" selected="0">
            <x v="95"/>
          </reference>
          <reference field="6" count="2">
            <x v="4"/>
            <x v="14"/>
          </reference>
        </references>
      </pivotArea>
    </format>
    <format dxfId="316">
      <pivotArea dataOnly="0" labelOnly="1" fieldPosition="0">
        <references count="2">
          <reference field="0" count="1" selected="0">
            <x v="96"/>
          </reference>
          <reference field="6" count="2">
            <x v="2"/>
            <x v="13"/>
          </reference>
        </references>
      </pivotArea>
    </format>
    <format dxfId="315">
      <pivotArea dataOnly="0" labelOnly="1" fieldPosition="0">
        <references count="2">
          <reference field="0" count="1" selected="0">
            <x v="97"/>
          </reference>
          <reference field="6" count="3">
            <x v="4"/>
            <x v="13"/>
            <x v="15"/>
          </reference>
        </references>
      </pivotArea>
    </format>
    <format dxfId="314">
      <pivotArea dataOnly="0" labelOnly="1" fieldPosition="0">
        <references count="2">
          <reference field="0" count="1" selected="0">
            <x v="98"/>
          </reference>
          <reference field="6" count="7">
            <x v="0"/>
            <x v="3"/>
            <x v="4"/>
            <x v="8"/>
            <x v="13"/>
            <x v="14"/>
            <x v="15"/>
          </reference>
        </references>
      </pivotArea>
    </format>
    <format dxfId="313">
      <pivotArea dataOnly="0" labelOnly="1" fieldPosition="0">
        <references count="2">
          <reference field="0" count="1" selected="0">
            <x v="99"/>
          </reference>
          <reference field="6" count="2">
            <x v="4"/>
            <x v="17"/>
          </reference>
        </references>
      </pivotArea>
    </format>
    <format dxfId="312">
      <pivotArea dataOnly="0" labelOnly="1" fieldPosition="0">
        <references count="2">
          <reference field="0" count="1" selected="0">
            <x v="100"/>
          </reference>
          <reference field="6" count="6">
            <x v="3"/>
            <x v="4"/>
            <x v="6"/>
            <x v="7"/>
            <x v="14"/>
            <x v="15"/>
          </reference>
        </references>
      </pivotArea>
    </format>
    <format dxfId="311">
      <pivotArea dataOnly="0" labelOnly="1" fieldPosition="0">
        <references count="2">
          <reference field="0" count="1" selected="0">
            <x v="101"/>
          </reference>
          <reference field="6" count="2">
            <x v="3"/>
            <x v="7"/>
          </reference>
        </references>
      </pivotArea>
    </format>
    <format dxfId="310">
      <pivotArea dataOnly="0" labelOnly="1" fieldPosition="0">
        <references count="2">
          <reference field="0" count="1" selected="0">
            <x v="102"/>
          </reference>
          <reference field="6" count="2">
            <x v="3"/>
            <x v="13"/>
          </reference>
        </references>
      </pivotArea>
    </format>
    <format dxfId="309">
      <pivotArea dataOnly="0" labelOnly="1" fieldPosition="0">
        <references count="2">
          <reference field="0" count="1" selected="0">
            <x v="103"/>
          </reference>
          <reference field="6" count="2">
            <x v="4"/>
            <x v="13"/>
          </reference>
        </references>
      </pivotArea>
    </format>
    <format dxfId="308">
      <pivotArea dataOnly="0" labelOnly="1" fieldPosition="0">
        <references count="2">
          <reference field="0" count="1" selected="0">
            <x v="104"/>
          </reference>
          <reference field="6" count="1">
            <x v="15"/>
          </reference>
        </references>
      </pivotArea>
    </format>
    <format dxfId="307">
      <pivotArea dataOnly="0" labelOnly="1" fieldPosition="0">
        <references count="2">
          <reference field="0" count="1" selected="0">
            <x v="105"/>
          </reference>
          <reference field="6" count="2">
            <x v="8"/>
            <x v="12"/>
          </reference>
        </references>
      </pivotArea>
    </format>
    <format dxfId="306">
      <pivotArea dataOnly="0" labelOnly="1" fieldPosition="0">
        <references count="2">
          <reference field="0" count="1" selected="0">
            <x v="106"/>
          </reference>
          <reference field="6" count="1">
            <x v="4"/>
          </reference>
        </references>
      </pivotArea>
    </format>
    <format dxfId="305">
      <pivotArea dataOnly="0" labelOnly="1" fieldPosition="0">
        <references count="2">
          <reference field="0" count="1" selected="0">
            <x v="107"/>
          </reference>
          <reference field="6" count="2">
            <x v="14"/>
            <x v="16"/>
          </reference>
        </references>
      </pivotArea>
    </format>
    <format dxfId="304">
      <pivotArea dataOnly="0" labelOnly="1" fieldPosition="0">
        <references count="2">
          <reference field="0" count="1" selected="0">
            <x v="108"/>
          </reference>
          <reference field="6" count="3">
            <x v="3"/>
            <x v="6"/>
            <x v="13"/>
          </reference>
        </references>
      </pivotArea>
    </format>
    <format dxfId="303">
      <pivotArea dataOnly="0" labelOnly="1" fieldPosition="0">
        <references count="2">
          <reference field="0" count="1" selected="0">
            <x v="109"/>
          </reference>
          <reference field="6" count="3">
            <x v="0"/>
            <x v="3"/>
            <x v="4"/>
          </reference>
        </references>
      </pivotArea>
    </format>
    <format dxfId="302">
      <pivotArea dataOnly="0" labelOnly="1" fieldPosition="0">
        <references count="2">
          <reference field="0" count="1" selected="0">
            <x v="110"/>
          </reference>
          <reference field="6" count="2">
            <x v="6"/>
            <x v="13"/>
          </reference>
        </references>
      </pivotArea>
    </format>
    <format dxfId="301">
      <pivotArea dataOnly="0" labelOnly="1" fieldPosition="0">
        <references count="2">
          <reference field="0" count="1" selected="0">
            <x v="111"/>
          </reference>
          <reference field="6" count="5">
            <x v="4"/>
            <x v="7"/>
            <x v="13"/>
            <x v="14"/>
            <x v="15"/>
          </reference>
        </references>
      </pivotArea>
    </format>
    <format dxfId="300">
      <pivotArea dataOnly="0" labelOnly="1" fieldPosition="0">
        <references count="2">
          <reference field="0" count="1" selected="0">
            <x v="112"/>
          </reference>
          <reference field="6" count="2">
            <x v="7"/>
            <x v="15"/>
          </reference>
        </references>
      </pivotArea>
    </format>
    <format dxfId="299">
      <pivotArea dataOnly="0" labelOnly="1" fieldPosition="0">
        <references count="2">
          <reference field="0" count="1" selected="0">
            <x v="113"/>
          </reference>
          <reference field="6" count="2">
            <x v="3"/>
            <x v="4"/>
          </reference>
        </references>
      </pivotArea>
    </format>
    <format dxfId="298">
      <pivotArea dataOnly="0" labelOnly="1" fieldPosition="0">
        <references count="2">
          <reference field="0" count="1" selected="0">
            <x v="114"/>
          </reference>
          <reference field="6" count="3">
            <x v="3"/>
            <x v="4"/>
            <x v="14"/>
          </reference>
        </references>
      </pivotArea>
    </format>
    <format dxfId="297">
      <pivotArea dataOnly="0" labelOnly="1" fieldPosition="0">
        <references count="2">
          <reference field="0" count="1" selected="0">
            <x v="115"/>
          </reference>
          <reference field="6" count="2">
            <x v="4"/>
            <x v="13"/>
          </reference>
        </references>
      </pivotArea>
    </format>
    <format dxfId="296">
      <pivotArea dataOnly="0" labelOnly="1" fieldPosition="0">
        <references count="2">
          <reference field="0" count="1" selected="0">
            <x v="116"/>
          </reference>
          <reference field="6" count="2">
            <x v="0"/>
            <x v="3"/>
          </reference>
        </references>
      </pivotArea>
    </format>
    <format dxfId="295">
      <pivotArea dataOnly="0" labelOnly="1" fieldPosition="0">
        <references count="2">
          <reference field="0" count="1" selected="0">
            <x v="117"/>
          </reference>
          <reference field="6" count="1">
            <x v="3"/>
          </reference>
        </references>
      </pivotArea>
    </format>
    <format dxfId="294">
      <pivotArea dataOnly="0" labelOnly="1" fieldPosition="0">
        <references count="2">
          <reference field="0" count="1" selected="0">
            <x v="118"/>
          </reference>
          <reference field="6" count="4">
            <x v="3"/>
            <x v="4"/>
            <x v="7"/>
            <x v="13"/>
          </reference>
        </references>
      </pivotArea>
    </format>
    <format dxfId="293">
      <pivotArea dataOnly="0" labelOnly="1" fieldPosition="0">
        <references count="2">
          <reference field="0" count="1" selected="0">
            <x v="119"/>
          </reference>
          <reference field="6" count="1">
            <x v="4"/>
          </reference>
        </references>
      </pivotArea>
    </format>
    <format dxfId="292">
      <pivotArea dataOnly="0" labelOnly="1" fieldPosition="0">
        <references count="2">
          <reference field="0" count="1" selected="0">
            <x v="120"/>
          </reference>
          <reference field="6" count="3">
            <x v="3"/>
            <x v="4"/>
            <x v="13"/>
          </reference>
        </references>
      </pivotArea>
    </format>
    <format dxfId="291">
      <pivotArea dataOnly="0" labelOnly="1" fieldPosition="0">
        <references count="2">
          <reference field="0" count="1" selected="0">
            <x v="121"/>
          </reference>
          <reference field="6" count="1">
            <x v="8"/>
          </reference>
        </references>
      </pivotArea>
    </format>
    <format dxfId="290">
      <pivotArea dataOnly="0" labelOnly="1" fieldPosition="0">
        <references count="2">
          <reference field="0" count="1" selected="0">
            <x v="122"/>
          </reference>
          <reference field="6" count="3">
            <x v="3"/>
            <x v="4"/>
            <x v="13"/>
          </reference>
        </references>
      </pivotArea>
    </format>
    <format dxfId="289">
      <pivotArea dataOnly="0" labelOnly="1" fieldPosition="0">
        <references count="2">
          <reference field="0" count="1" selected="0">
            <x v="123"/>
          </reference>
          <reference field="6" count="2">
            <x v="6"/>
            <x v="14"/>
          </reference>
        </references>
      </pivotArea>
    </format>
    <format dxfId="288">
      <pivotArea dataOnly="0" labelOnly="1" fieldPosition="0">
        <references count="2">
          <reference field="0" count="1" selected="0">
            <x v="124"/>
          </reference>
          <reference field="6" count="2">
            <x v="12"/>
            <x v="13"/>
          </reference>
        </references>
      </pivotArea>
    </format>
    <format dxfId="287">
      <pivotArea dataOnly="0" labelOnly="1" fieldPosition="0">
        <references count="2">
          <reference field="0" count="1" selected="0">
            <x v="125"/>
          </reference>
          <reference field="6" count="2">
            <x v="3"/>
            <x v="13"/>
          </reference>
        </references>
      </pivotArea>
    </format>
    <format dxfId="286">
      <pivotArea dataOnly="0" labelOnly="1" fieldPosition="0">
        <references count="2">
          <reference field="0" count="1" selected="0">
            <x v="126"/>
          </reference>
          <reference field="6" count="1">
            <x v="7"/>
          </reference>
        </references>
      </pivotArea>
    </format>
    <format dxfId="285">
      <pivotArea dataOnly="0" labelOnly="1" fieldPosition="0">
        <references count="2">
          <reference field="0" count="1" selected="0">
            <x v="127"/>
          </reference>
          <reference field="6" count="2">
            <x v="11"/>
            <x v="13"/>
          </reference>
        </references>
      </pivotArea>
    </format>
    <format dxfId="284">
      <pivotArea dataOnly="0" labelOnly="1" fieldPosition="0">
        <references count="2">
          <reference field="0" count="1" selected="0">
            <x v="128"/>
          </reference>
          <reference field="6" count="1">
            <x v="0"/>
          </reference>
        </references>
      </pivotArea>
    </format>
    <format dxfId="283">
      <pivotArea dataOnly="0" labelOnly="1" fieldPosition="0">
        <references count="2">
          <reference field="0" count="1" selected="0">
            <x v="129"/>
          </reference>
          <reference field="6" count="1">
            <x v="3"/>
          </reference>
        </references>
      </pivotArea>
    </format>
    <format dxfId="282">
      <pivotArea dataOnly="0" labelOnly="1" fieldPosition="0">
        <references count="2">
          <reference field="0" count="1" selected="0">
            <x v="130"/>
          </reference>
          <reference field="6" count="2">
            <x v="3"/>
            <x v="13"/>
          </reference>
        </references>
      </pivotArea>
    </format>
    <format dxfId="281">
      <pivotArea dataOnly="0" labelOnly="1" fieldPosition="0">
        <references count="2">
          <reference field="0" count="1" selected="0">
            <x v="131"/>
          </reference>
          <reference field="6" count="3">
            <x v="0"/>
            <x v="4"/>
            <x v="7"/>
          </reference>
        </references>
      </pivotArea>
    </format>
    <format dxfId="280">
      <pivotArea dataOnly="0" labelOnly="1" fieldPosition="0">
        <references count="2">
          <reference field="0" count="1" selected="0">
            <x v="132"/>
          </reference>
          <reference field="6" count="3">
            <x v="4"/>
            <x v="12"/>
            <x v="13"/>
          </reference>
        </references>
      </pivotArea>
    </format>
    <format dxfId="279">
      <pivotArea dataOnly="0" labelOnly="1" fieldPosition="0">
        <references count="2">
          <reference field="0" count="1" selected="0">
            <x v="133"/>
          </reference>
          <reference field="6" count="3">
            <x v="0"/>
            <x v="4"/>
            <x v="14"/>
          </reference>
        </references>
      </pivotArea>
    </format>
    <format dxfId="278">
      <pivotArea dataOnly="0" labelOnly="1" fieldPosition="0">
        <references count="2">
          <reference field="0" count="1" selected="0">
            <x v="134"/>
          </reference>
          <reference field="6" count="3">
            <x v="3"/>
            <x v="4"/>
            <x v="13"/>
          </reference>
        </references>
      </pivotArea>
    </format>
    <format dxfId="277">
      <pivotArea dataOnly="0" labelOnly="1" fieldPosition="0">
        <references count="2">
          <reference field="0" count="1" selected="0">
            <x v="135"/>
          </reference>
          <reference field="6" count="2">
            <x v="13"/>
            <x v="14"/>
          </reference>
        </references>
      </pivotArea>
    </format>
    <format dxfId="276">
      <pivotArea dataOnly="0" labelOnly="1" fieldPosition="0">
        <references count="2">
          <reference field="0" count="1" selected="0">
            <x v="136"/>
          </reference>
          <reference field="6" count="3">
            <x v="4"/>
            <x v="7"/>
            <x v="13"/>
          </reference>
        </references>
      </pivotArea>
    </format>
    <format dxfId="275">
      <pivotArea dataOnly="0" labelOnly="1" fieldPosition="0">
        <references count="2">
          <reference field="0" count="1" selected="0">
            <x v="137"/>
          </reference>
          <reference field="6" count="1">
            <x v="4"/>
          </reference>
        </references>
      </pivotArea>
    </format>
    <format dxfId="274">
      <pivotArea dataOnly="0" labelOnly="1" fieldPosition="0">
        <references count="2">
          <reference field="0" count="1" selected="0">
            <x v="138"/>
          </reference>
          <reference field="6" count="6">
            <x v="3"/>
            <x v="4"/>
            <x v="6"/>
            <x v="7"/>
            <x v="10"/>
            <x v="13"/>
          </reference>
        </references>
      </pivotArea>
    </format>
    <format dxfId="273">
      <pivotArea dataOnly="0" labelOnly="1" fieldPosition="0">
        <references count="2">
          <reference field="0" count="1" selected="0">
            <x v="139"/>
          </reference>
          <reference field="6" count="1">
            <x v="3"/>
          </reference>
        </references>
      </pivotArea>
    </format>
    <format dxfId="272">
      <pivotArea dataOnly="0" labelOnly="1" fieldPosition="0">
        <references count="2">
          <reference field="0" count="1" selected="0">
            <x v="140"/>
          </reference>
          <reference field="6" count="1">
            <x v="13"/>
          </reference>
        </references>
      </pivotArea>
    </format>
    <format dxfId="271">
      <pivotArea dataOnly="0" labelOnly="1" fieldPosition="0">
        <references count="2">
          <reference field="0" count="1" selected="0">
            <x v="141"/>
          </reference>
          <reference field="6" count="2">
            <x v="4"/>
            <x v="6"/>
          </reference>
        </references>
      </pivotArea>
    </format>
    <format dxfId="270">
      <pivotArea dataOnly="0" labelOnly="1" fieldPosition="0">
        <references count="2">
          <reference field="0" count="1" selected="0">
            <x v="142"/>
          </reference>
          <reference field="6" count="3">
            <x v="4"/>
            <x v="8"/>
            <x v="13"/>
          </reference>
        </references>
      </pivotArea>
    </format>
    <format dxfId="269">
      <pivotArea dataOnly="0" labelOnly="1" fieldPosition="0">
        <references count="2">
          <reference field="0" count="1" selected="0">
            <x v="143"/>
          </reference>
          <reference field="6" count="2">
            <x v="4"/>
            <x v="7"/>
          </reference>
        </references>
      </pivotArea>
    </format>
    <format dxfId="268">
      <pivotArea dataOnly="0" labelOnly="1" fieldPosition="0">
        <references count="2">
          <reference field="0" count="1" selected="0">
            <x v="144"/>
          </reference>
          <reference field="6" count="1">
            <x v="4"/>
          </reference>
        </references>
      </pivotArea>
    </format>
    <format dxfId="2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6">
      <pivotArea collapsedLevelsAreSubtotals="1" fieldPosition="0">
        <references count="1">
          <reference field="0" count="1">
            <x v="86"/>
          </reference>
        </references>
      </pivotArea>
    </format>
    <format dxfId="265">
      <pivotArea collapsedLevelsAreSubtotals="1" fieldPosition="0">
        <references count="1">
          <reference field="0" count="1">
            <x v="85"/>
          </reference>
        </references>
      </pivotArea>
    </format>
    <format dxfId="264">
      <pivotArea collapsedLevelsAreSubtotals="1" fieldPosition="0">
        <references count="1">
          <reference field="0" count="1">
            <x v="84"/>
          </reference>
        </references>
      </pivotArea>
    </format>
    <format dxfId="263">
      <pivotArea collapsedLevelsAreSubtotals="1" fieldPosition="0">
        <references count="1">
          <reference field="0" count="1">
            <x v="83"/>
          </reference>
        </references>
      </pivotArea>
    </format>
    <format dxfId="262">
      <pivotArea collapsedLevelsAreSubtotals="1" fieldPosition="0">
        <references count="1">
          <reference field="0" count="1">
            <x v="82"/>
          </reference>
        </references>
      </pivotArea>
    </format>
    <format dxfId="261">
      <pivotArea collapsedLevelsAreSubtotals="1" fieldPosition="0">
        <references count="1">
          <reference field="0" count="1">
            <x v="81"/>
          </reference>
        </references>
      </pivotArea>
    </format>
    <format dxfId="260">
      <pivotArea collapsedLevelsAreSubtotals="1" fieldPosition="0">
        <references count="1">
          <reference field="0" count="1">
            <x v="80"/>
          </reference>
        </references>
      </pivotArea>
    </format>
    <format dxfId="259">
      <pivotArea collapsedLevelsAreSubtotals="1" fieldPosition="0">
        <references count="1">
          <reference field="0" count="1">
            <x v="79"/>
          </reference>
        </references>
      </pivotArea>
    </format>
    <format dxfId="258">
      <pivotArea collapsedLevelsAreSubtotals="1" fieldPosition="0">
        <references count="1">
          <reference field="0" count="1">
            <x v="78"/>
          </reference>
        </references>
      </pivotArea>
    </format>
    <format dxfId="257">
      <pivotArea collapsedLevelsAreSubtotals="1" fieldPosition="0">
        <references count="1">
          <reference field="0" count="1">
            <x v="77"/>
          </reference>
        </references>
      </pivotArea>
    </format>
    <format dxfId="256">
      <pivotArea collapsedLevelsAreSubtotals="1" fieldPosition="0">
        <references count="1">
          <reference field="0" count="1">
            <x v="76"/>
          </reference>
        </references>
      </pivotArea>
    </format>
    <format dxfId="255">
      <pivotArea collapsedLevelsAreSubtotals="1" fieldPosition="0">
        <references count="1">
          <reference field="0" count="1">
            <x v="75"/>
          </reference>
        </references>
      </pivotArea>
    </format>
    <format dxfId="254">
      <pivotArea collapsedLevelsAreSubtotals="1" fieldPosition="0">
        <references count="1">
          <reference field="0" count="1">
            <x v="74"/>
          </reference>
        </references>
      </pivotArea>
    </format>
    <format dxfId="253">
      <pivotArea collapsedLevelsAreSubtotals="1" fieldPosition="0">
        <references count="1">
          <reference field="0" count="1">
            <x v="73"/>
          </reference>
        </references>
      </pivotArea>
    </format>
    <format dxfId="252">
      <pivotArea collapsedLevelsAreSubtotals="1" fieldPosition="0">
        <references count="1">
          <reference field="0" count="1">
            <x v="72"/>
          </reference>
        </references>
      </pivotArea>
    </format>
    <format dxfId="251">
      <pivotArea collapsedLevelsAreSubtotals="1" fieldPosition="0">
        <references count="1">
          <reference field="0" count="1">
            <x v="71"/>
          </reference>
        </references>
      </pivotArea>
    </format>
    <format dxfId="250">
      <pivotArea collapsedLevelsAreSubtotals="1" fieldPosition="0">
        <references count="1">
          <reference field="0" count="1">
            <x v="70"/>
          </reference>
        </references>
      </pivotArea>
    </format>
    <format dxfId="249">
      <pivotArea collapsedLevelsAreSubtotals="1" fieldPosition="0">
        <references count="1">
          <reference field="0" count="1">
            <x v="69"/>
          </reference>
        </references>
      </pivotArea>
    </format>
    <format dxfId="248">
      <pivotArea collapsedLevelsAreSubtotals="1" fieldPosition="0">
        <references count="1">
          <reference field="0" count="1">
            <x v="68"/>
          </reference>
        </references>
      </pivotArea>
    </format>
    <format dxfId="247">
      <pivotArea collapsedLevelsAreSubtotals="1" fieldPosition="0">
        <references count="1">
          <reference field="0" count="1">
            <x v="67"/>
          </reference>
        </references>
      </pivotArea>
    </format>
    <format dxfId="246">
      <pivotArea collapsedLevelsAreSubtotals="1" fieldPosition="0">
        <references count="1">
          <reference field="0" count="1">
            <x v="66"/>
          </reference>
        </references>
      </pivotArea>
    </format>
    <format dxfId="245">
      <pivotArea collapsedLevelsAreSubtotals="1" fieldPosition="0">
        <references count="1">
          <reference field="0" count="1">
            <x v="65"/>
          </reference>
        </references>
      </pivotArea>
    </format>
    <format dxfId="244">
      <pivotArea collapsedLevelsAreSubtotals="1" fieldPosition="0">
        <references count="1">
          <reference field="0" count="1">
            <x v="64"/>
          </reference>
        </references>
      </pivotArea>
    </format>
    <format dxfId="243">
      <pivotArea collapsedLevelsAreSubtotals="1" fieldPosition="0">
        <references count="1">
          <reference field="0" count="1">
            <x v="63"/>
          </reference>
        </references>
      </pivotArea>
    </format>
    <format dxfId="242">
      <pivotArea collapsedLevelsAreSubtotals="1" fieldPosition="0">
        <references count="1">
          <reference field="0" count="1">
            <x v="62"/>
          </reference>
        </references>
      </pivotArea>
    </format>
    <format dxfId="241">
      <pivotArea collapsedLevelsAreSubtotals="1" fieldPosition="0">
        <references count="1">
          <reference field="0" count="1">
            <x v="61"/>
          </reference>
        </references>
      </pivotArea>
    </format>
    <format dxfId="240">
      <pivotArea collapsedLevelsAreSubtotals="1" fieldPosition="0">
        <references count="1">
          <reference field="0" count="1">
            <x v="60"/>
          </reference>
        </references>
      </pivotArea>
    </format>
    <format dxfId="239">
      <pivotArea collapsedLevelsAreSubtotals="1" fieldPosition="0">
        <references count="1">
          <reference field="0" count="1">
            <x v="59"/>
          </reference>
        </references>
      </pivotArea>
    </format>
    <format dxfId="238">
      <pivotArea collapsedLevelsAreSubtotals="1" fieldPosition="0">
        <references count="1">
          <reference field="0" count="1">
            <x v="58"/>
          </reference>
        </references>
      </pivotArea>
    </format>
    <format dxfId="237">
      <pivotArea collapsedLevelsAreSubtotals="1" fieldPosition="0">
        <references count="1">
          <reference field="0" count="1">
            <x v="57"/>
          </reference>
        </references>
      </pivotArea>
    </format>
    <format dxfId="236">
      <pivotArea collapsedLevelsAreSubtotals="1" fieldPosition="0">
        <references count="1">
          <reference field="0" count="1">
            <x v="56"/>
          </reference>
        </references>
      </pivotArea>
    </format>
    <format dxfId="235">
      <pivotArea collapsedLevelsAreSubtotals="1" fieldPosition="0">
        <references count="1">
          <reference field="0" count="1">
            <x v="55"/>
          </reference>
        </references>
      </pivotArea>
    </format>
    <format dxfId="234">
      <pivotArea collapsedLevelsAreSubtotals="1" fieldPosition="0">
        <references count="1">
          <reference field="0" count="1">
            <x v="54"/>
          </reference>
        </references>
      </pivotArea>
    </format>
    <format dxfId="233">
      <pivotArea collapsedLevelsAreSubtotals="1" fieldPosition="0">
        <references count="1">
          <reference field="0" count="1">
            <x v="53"/>
          </reference>
        </references>
      </pivotArea>
    </format>
    <format dxfId="232">
      <pivotArea collapsedLevelsAreSubtotals="1" fieldPosition="0">
        <references count="1">
          <reference field="0" count="1">
            <x v="52"/>
          </reference>
        </references>
      </pivotArea>
    </format>
    <format dxfId="231">
      <pivotArea collapsedLevelsAreSubtotals="1" fieldPosition="0">
        <references count="1">
          <reference field="0" count="1">
            <x v="50"/>
          </reference>
        </references>
      </pivotArea>
    </format>
    <format dxfId="230">
      <pivotArea collapsedLevelsAreSubtotals="1" fieldPosition="0">
        <references count="1">
          <reference field="0" count="1">
            <x v="51"/>
          </reference>
        </references>
      </pivotArea>
    </format>
    <format dxfId="229">
      <pivotArea collapsedLevelsAreSubtotals="1" fieldPosition="0">
        <references count="1">
          <reference field="0" count="1">
            <x v="49"/>
          </reference>
        </references>
      </pivotArea>
    </format>
    <format dxfId="228">
      <pivotArea collapsedLevelsAreSubtotals="1" fieldPosition="0">
        <references count="1">
          <reference field="0" count="1">
            <x v="48"/>
          </reference>
        </references>
      </pivotArea>
    </format>
    <format dxfId="227">
      <pivotArea collapsedLevelsAreSubtotals="1" fieldPosition="0">
        <references count="1">
          <reference field="0" count="1">
            <x v="47"/>
          </reference>
        </references>
      </pivotArea>
    </format>
    <format dxfId="226">
      <pivotArea collapsedLevelsAreSubtotals="1" fieldPosition="0">
        <references count="1">
          <reference field="0" count="1">
            <x v="46"/>
          </reference>
        </references>
      </pivotArea>
    </format>
    <format dxfId="225">
      <pivotArea dataOnly="0" labelOnly="1" fieldPosition="0">
        <references count="1">
          <reference field="0" count="1">
            <x v="46"/>
          </reference>
        </references>
      </pivotArea>
    </format>
    <format dxfId="224">
      <pivotArea collapsedLevelsAreSubtotals="1" fieldPosition="0">
        <references count="1">
          <reference field="0" count="1">
            <x v="45"/>
          </reference>
        </references>
      </pivotArea>
    </format>
    <format dxfId="223">
      <pivotArea collapsedLevelsAreSubtotals="1" fieldPosition="0">
        <references count="1">
          <reference field="0" count="1">
            <x v="44"/>
          </reference>
        </references>
      </pivotArea>
    </format>
    <format dxfId="222">
      <pivotArea collapsedLevelsAreSubtotals="1" fieldPosition="0">
        <references count="1">
          <reference field="0" count="1">
            <x v="43"/>
          </reference>
        </references>
      </pivotArea>
    </format>
    <format dxfId="221">
      <pivotArea collapsedLevelsAreSubtotals="1" fieldPosition="0">
        <references count="1">
          <reference field="0" count="1">
            <x v="42"/>
          </reference>
        </references>
      </pivotArea>
    </format>
    <format dxfId="220">
      <pivotArea collapsedLevelsAreSubtotals="1" fieldPosition="0">
        <references count="1">
          <reference field="0" count="1">
            <x v="41"/>
          </reference>
        </references>
      </pivotArea>
    </format>
    <format dxfId="219">
      <pivotArea collapsedLevelsAreSubtotals="1" fieldPosition="0">
        <references count="1">
          <reference field="0" count="1">
            <x v="40"/>
          </reference>
        </references>
      </pivotArea>
    </format>
    <format dxfId="218">
      <pivotArea collapsedLevelsAreSubtotals="1" fieldPosition="0">
        <references count="1">
          <reference field="0" count="1">
            <x v="39"/>
          </reference>
        </references>
      </pivotArea>
    </format>
    <format dxfId="217">
      <pivotArea collapsedLevelsAreSubtotals="1" fieldPosition="0">
        <references count="1">
          <reference field="0" count="1">
            <x v="38"/>
          </reference>
        </references>
      </pivotArea>
    </format>
    <format dxfId="216">
      <pivotArea collapsedLevelsAreSubtotals="1" fieldPosition="0">
        <references count="1">
          <reference field="0" count="1">
            <x v="37"/>
          </reference>
        </references>
      </pivotArea>
    </format>
    <format dxfId="215">
      <pivotArea collapsedLevelsAreSubtotals="1" fieldPosition="0">
        <references count="1">
          <reference field="0" count="1">
            <x v="36"/>
          </reference>
        </references>
      </pivotArea>
    </format>
    <format dxfId="214">
      <pivotArea collapsedLevelsAreSubtotals="1" fieldPosition="0">
        <references count="1">
          <reference field="0" count="1">
            <x v="35"/>
          </reference>
        </references>
      </pivotArea>
    </format>
    <format dxfId="213">
      <pivotArea collapsedLevelsAreSubtotals="1" fieldPosition="0">
        <references count="1">
          <reference field="0" count="1">
            <x v="3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88B2C-FF84-F346-B652-5C44DEF50D48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XG Daily Sales Summary">
  <location ref="L2:N19" firstHeaderRow="0" firstDataRow="1" firstDataCol="1"/>
  <pivotFields count="7">
    <pivotField axis="axisRow" showAll="0" sortType="descending">
      <items count="19">
        <item x="6"/>
        <item x="5"/>
        <item x="4"/>
        <item x="3"/>
        <item x="2"/>
        <item x="1"/>
        <item x="0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7"/>
        <item t="default"/>
      </items>
    </pivotField>
    <pivotField showAll="0"/>
    <pivotField showAll="0"/>
    <pivotField dataField="1" showAll="0"/>
    <pivotField showAll="0"/>
    <pivotField dataField="1" showAll="0"/>
    <pivotField axis="axisRow" showAll="0">
      <items count="12">
        <item m="1" x="8"/>
        <item m="1" x="9"/>
        <item m="1" x="5"/>
        <item m="1" x="7"/>
        <item m="1" x="6"/>
        <item x="3"/>
        <item m="1" x="10"/>
        <item m="1" x="4"/>
        <item x="0"/>
        <item x="1"/>
        <item x="2"/>
        <item t="default"/>
      </items>
    </pivotField>
  </pivotFields>
  <rowFields count="2">
    <field x="0"/>
    <field x="6"/>
  </rowFields>
  <rowItems count="17">
    <i>
      <x/>
    </i>
    <i r="1">
      <x v="5"/>
    </i>
    <i>
      <x v="1"/>
    </i>
    <i r="1">
      <x v="10"/>
    </i>
    <i>
      <x v="2"/>
    </i>
    <i r="1">
      <x v="10"/>
    </i>
    <i>
      <x v="3"/>
    </i>
    <i r="1">
      <x v="10"/>
    </i>
    <i>
      <x v="4"/>
    </i>
    <i r="1">
      <x v="9"/>
    </i>
    <i>
      <x v="5"/>
    </i>
    <i r="1">
      <x v="8"/>
    </i>
    <i>
      <x v="6"/>
    </i>
    <i r="1">
      <x v="8"/>
    </i>
    <i>
      <x v="17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3" baseField="0" baseItem="0"/>
    <dataField name="Sum of Amount" fld="5" baseField="0" baseItem="0"/>
  </dataFields>
  <formats count="58"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  <format dxfId="206">
      <pivotArea dataOnly="0" labelOnly="1" fieldPosition="0">
        <references count="2">
          <reference field="0" count="1" selected="0">
            <x v="9"/>
          </reference>
          <reference field="6" count="2">
            <x v="0"/>
            <x v="1"/>
          </reference>
        </references>
      </pivotArea>
    </format>
    <format dxfId="205">
      <pivotArea dataOnly="0" labelOnly="1" fieldPosition="0">
        <references count="2">
          <reference field="0" count="1" selected="0">
            <x v="10"/>
          </reference>
          <reference field="6" count="1">
            <x v="3"/>
          </reference>
        </references>
      </pivotArea>
    </format>
    <format dxfId="204">
      <pivotArea dataOnly="0" labelOnly="1" fieldPosition="0">
        <references count="2">
          <reference field="0" count="1" selected="0">
            <x v="11"/>
          </reference>
          <reference field="6" count="1">
            <x v="2"/>
          </reference>
        </references>
      </pivotArea>
    </format>
    <format dxfId="203">
      <pivotArea dataOnly="0" labelOnly="1" fieldPosition="0">
        <references count="2">
          <reference field="0" count="1" selected="0">
            <x v="12"/>
          </reference>
          <reference field="6" count="1">
            <x v="4"/>
          </reference>
        </references>
      </pivotArea>
    </format>
    <format dxfId="202">
      <pivotArea dataOnly="0" labelOnly="1" fieldPosition="0">
        <references count="2">
          <reference field="0" count="1" selected="0">
            <x v="13"/>
          </reference>
          <reference field="6" count="1">
            <x v="4"/>
          </reference>
        </references>
      </pivotArea>
    </format>
    <format dxfId="201">
      <pivotArea dataOnly="0" labelOnly="1" fieldPosition="0">
        <references count="2">
          <reference field="0" count="1" selected="0">
            <x v="14"/>
          </reference>
          <reference field="6" count="1">
            <x v="4"/>
          </reference>
        </references>
      </pivotArea>
    </format>
    <format dxfId="200">
      <pivotArea dataOnly="0" labelOnly="1" fieldPosition="0">
        <references count="2">
          <reference field="0" count="1" selected="0">
            <x v="15"/>
          </reference>
          <reference field="6" count="1">
            <x v="2"/>
          </reference>
        </references>
      </pivotArea>
    </format>
    <format dxfId="199">
      <pivotArea dataOnly="0" labelOnly="1" fieldPosition="0">
        <references count="2">
          <reference field="0" count="1" selected="0">
            <x v="16"/>
          </reference>
          <reference field="6" count="1">
            <x v="2"/>
          </reference>
        </references>
      </pivotArea>
    </format>
    <format dxfId="198">
      <pivotArea dataOnly="0" labelOnly="1" fieldPosition="0">
        <references count="2">
          <reference field="0" count="1" selected="0">
            <x v="17"/>
          </reference>
          <reference field="6" count="1">
            <x v="5"/>
          </reference>
        </references>
      </pivotArea>
    </format>
    <format dxfId="1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field="0" type="button" dataOnly="0" labelOnly="1" outline="0" axis="axisRow" fieldPosition="0"/>
    </format>
    <format dxfId="193">
      <pivotArea dataOnly="0" labelOnly="1" fieldPosition="0">
        <references count="1">
          <reference field="0" count="0"/>
        </references>
      </pivotArea>
    </format>
    <format dxfId="192">
      <pivotArea dataOnly="0" labelOnly="1" grandRow="1" outline="0" fieldPosition="0"/>
    </format>
    <format dxfId="191">
      <pivotArea dataOnly="0" labelOnly="1" fieldPosition="0">
        <references count="2">
          <reference field="0" count="1" selected="0">
            <x v="9"/>
          </reference>
          <reference field="6" count="2">
            <x v="0"/>
            <x v="1"/>
          </reference>
        </references>
      </pivotArea>
    </format>
    <format dxfId="190">
      <pivotArea dataOnly="0" labelOnly="1" fieldPosition="0">
        <references count="2">
          <reference field="0" count="1" selected="0">
            <x v="10"/>
          </reference>
          <reference field="6" count="1">
            <x v="3"/>
          </reference>
        </references>
      </pivotArea>
    </format>
    <format dxfId="189">
      <pivotArea dataOnly="0" labelOnly="1" fieldPosition="0">
        <references count="2">
          <reference field="0" count="1" selected="0">
            <x v="11"/>
          </reference>
          <reference field="6" count="1">
            <x v="2"/>
          </reference>
        </references>
      </pivotArea>
    </format>
    <format dxfId="188">
      <pivotArea dataOnly="0" labelOnly="1" fieldPosition="0">
        <references count="2">
          <reference field="0" count="1" selected="0">
            <x v="12"/>
          </reference>
          <reference field="6" count="1">
            <x v="4"/>
          </reference>
        </references>
      </pivotArea>
    </format>
    <format dxfId="187">
      <pivotArea dataOnly="0" labelOnly="1" fieldPosition="0">
        <references count="2">
          <reference field="0" count="1" selected="0">
            <x v="13"/>
          </reference>
          <reference field="6" count="1">
            <x v="4"/>
          </reference>
        </references>
      </pivotArea>
    </format>
    <format dxfId="186">
      <pivotArea dataOnly="0" labelOnly="1" fieldPosition="0">
        <references count="2">
          <reference field="0" count="1" selected="0">
            <x v="14"/>
          </reference>
          <reference field="6" count="1">
            <x v="4"/>
          </reference>
        </references>
      </pivotArea>
    </format>
    <format dxfId="185">
      <pivotArea dataOnly="0" labelOnly="1" fieldPosition="0">
        <references count="2">
          <reference field="0" count="1" selected="0">
            <x v="15"/>
          </reference>
          <reference field="6" count="1">
            <x v="2"/>
          </reference>
        </references>
      </pivotArea>
    </format>
    <format dxfId="184">
      <pivotArea dataOnly="0" labelOnly="1" fieldPosition="0">
        <references count="2">
          <reference field="0" count="1" selected="0">
            <x v="16"/>
          </reference>
          <reference field="6" count="1">
            <x v="2"/>
          </reference>
        </references>
      </pivotArea>
    </format>
    <format dxfId="183">
      <pivotArea dataOnly="0" labelOnly="1" fieldPosition="0">
        <references count="2">
          <reference field="0" count="1" selected="0">
            <x v="17"/>
          </reference>
          <reference field="6" count="1">
            <x v="5"/>
          </reference>
        </references>
      </pivotArea>
    </format>
    <format dxfId="1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1">
      <pivotArea type="all" dataOnly="0" outline="0" fieldPosition="0"/>
    </format>
    <format dxfId="180">
      <pivotArea outline="0" collapsedLevelsAreSubtotals="1" fieldPosition="0"/>
    </format>
    <format dxfId="179">
      <pivotArea field="0" type="button" dataOnly="0" labelOnly="1" outline="0" axis="axisRow" fieldPosition="0"/>
    </format>
    <format dxfId="178">
      <pivotArea dataOnly="0" labelOnly="1" fieldPosition="0">
        <references count="1">
          <reference field="0" count="0"/>
        </references>
      </pivotArea>
    </format>
    <format dxfId="177">
      <pivotArea dataOnly="0" labelOnly="1" grandRow="1" outline="0" fieldPosition="0"/>
    </format>
    <format dxfId="176">
      <pivotArea dataOnly="0" labelOnly="1" fieldPosition="0">
        <references count="2">
          <reference field="0" count="1" selected="0">
            <x v="9"/>
          </reference>
          <reference field="6" count="2">
            <x v="0"/>
            <x v="1"/>
          </reference>
        </references>
      </pivotArea>
    </format>
    <format dxfId="175">
      <pivotArea dataOnly="0" labelOnly="1" fieldPosition="0">
        <references count="2">
          <reference field="0" count="1" selected="0">
            <x v="10"/>
          </reference>
          <reference field="6" count="1">
            <x v="3"/>
          </reference>
        </references>
      </pivotArea>
    </format>
    <format dxfId="174">
      <pivotArea dataOnly="0" labelOnly="1" fieldPosition="0">
        <references count="2">
          <reference field="0" count="1" selected="0">
            <x v="11"/>
          </reference>
          <reference field="6" count="1">
            <x v="2"/>
          </reference>
        </references>
      </pivotArea>
    </format>
    <format dxfId="173">
      <pivotArea dataOnly="0" labelOnly="1" fieldPosition="0">
        <references count="2">
          <reference field="0" count="1" selected="0">
            <x v="12"/>
          </reference>
          <reference field="6" count="1">
            <x v="4"/>
          </reference>
        </references>
      </pivotArea>
    </format>
    <format dxfId="172">
      <pivotArea dataOnly="0" labelOnly="1" fieldPosition="0">
        <references count="2">
          <reference field="0" count="1" selected="0">
            <x v="13"/>
          </reference>
          <reference field="6" count="1">
            <x v="4"/>
          </reference>
        </references>
      </pivotArea>
    </format>
    <format dxfId="171">
      <pivotArea dataOnly="0" labelOnly="1" fieldPosition="0">
        <references count="2">
          <reference field="0" count="1" selected="0">
            <x v="14"/>
          </reference>
          <reference field="6" count="1">
            <x v="4"/>
          </reference>
        </references>
      </pivotArea>
    </format>
    <format dxfId="170">
      <pivotArea dataOnly="0" labelOnly="1" fieldPosition="0">
        <references count="2">
          <reference field="0" count="1" selected="0">
            <x v="15"/>
          </reference>
          <reference field="6" count="1">
            <x v="2"/>
          </reference>
        </references>
      </pivotArea>
    </format>
    <format dxfId="169">
      <pivotArea dataOnly="0" labelOnly="1" fieldPosition="0">
        <references count="2">
          <reference field="0" count="1" selected="0">
            <x v="16"/>
          </reference>
          <reference field="6" count="1">
            <x v="2"/>
          </reference>
        </references>
      </pivotArea>
    </format>
    <format dxfId="168">
      <pivotArea dataOnly="0" labelOnly="1" fieldPosition="0">
        <references count="2">
          <reference field="0" count="1" selected="0">
            <x v="17"/>
          </reference>
          <reference field="6" count="1">
            <x v="5"/>
          </reference>
        </references>
      </pivotArea>
    </format>
    <format dxfId="1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6">
      <pivotArea field="0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0" type="button" dataOnly="0" labelOnly="1" outline="0" axis="axisRow" fieldPosition="0"/>
    </format>
    <format dxfId="161">
      <pivotArea dataOnly="0" labelOnly="1" fieldPosition="0">
        <references count="1">
          <reference field="0" count="0"/>
        </references>
      </pivotArea>
    </format>
    <format dxfId="160">
      <pivotArea dataOnly="0" labelOnly="1" grandRow="1" outline="0" fieldPosition="0"/>
    </format>
    <format dxfId="159">
      <pivotArea dataOnly="0" labelOnly="1" fieldPosition="0">
        <references count="2">
          <reference field="0" count="1" selected="0">
            <x v="0"/>
          </reference>
          <reference field="6" count="1">
            <x v="5"/>
          </reference>
        </references>
      </pivotArea>
    </format>
    <format dxfId="158">
      <pivotArea dataOnly="0" labelOnly="1" fieldPosition="0">
        <references count="2">
          <reference field="0" count="1" selected="0">
            <x v="4"/>
          </reference>
          <reference field="6" count="1">
            <x v="9"/>
          </reference>
        </references>
      </pivotArea>
    </format>
    <format dxfId="157">
      <pivotArea dataOnly="0" labelOnly="1" fieldPosition="0">
        <references count="2">
          <reference field="0" count="1" selected="0">
            <x v="5"/>
          </reference>
          <reference field="6" count="1">
            <x v="8"/>
          </reference>
        </references>
      </pivotArea>
    </format>
    <format dxfId="156">
      <pivotArea dataOnly="0" labelOnly="1" fieldPosition="0">
        <references count="2">
          <reference field="0" count="1" selected="0">
            <x v="6"/>
          </reference>
          <reference field="6" count="1">
            <x v="8"/>
          </reference>
        </references>
      </pivotArea>
    </format>
    <format dxfId="155">
      <pivotArea dataOnly="0" labelOnly="1" fieldPosition="0">
        <references count="2">
          <reference field="0" count="1" selected="0">
            <x v="17"/>
          </reference>
          <reference field="6" count="1">
            <x v="5"/>
          </reference>
        </references>
      </pivotArea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EAA41-020D-9747-945D-2FAC6309ECE6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Name" colHeaderCaption="Month Of">
  <location ref="A2:G71" firstHeaderRow="1" firstDataRow="2" firstDataCol="1"/>
  <pivotFields count="8">
    <pivotField showAll="0"/>
    <pivotField showAll="0"/>
    <pivotField showAll="0"/>
    <pivotField dataField="1" showAll="0"/>
    <pivotField showAll="0"/>
    <pivotField showAll="0"/>
    <pivotField axis="axisRow" showAll="0" sortType="descending">
      <items count="88">
        <item x="66"/>
        <item x="3"/>
        <item x="2"/>
        <item m="1" x="70"/>
        <item x="36"/>
        <item m="1" x="74"/>
        <item x="65"/>
        <item x="18"/>
        <item x="7"/>
        <item x="5"/>
        <item x="23"/>
        <item x="43"/>
        <item m="1" x="73"/>
        <item x="4"/>
        <item x="12"/>
        <item x="40"/>
        <item x="21"/>
        <item x="8"/>
        <item x="15"/>
        <item x="13"/>
        <item x="6"/>
        <item x="9"/>
        <item m="1" x="69"/>
        <item x="26"/>
        <item x="17"/>
        <item m="1" x="71"/>
        <item m="1" x="72"/>
        <item x="19"/>
        <item x="27"/>
        <item x="33"/>
        <item x="52"/>
        <item m="1" x="67"/>
        <item x="20"/>
        <item x="28"/>
        <item m="1" x="81"/>
        <item x="25"/>
        <item m="1" x="75"/>
        <item m="1" x="76"/>
        <item m="1" x="77"/>
        <item m="1" x="86"/>
        <item x="47"/>
        <item x="48"/>
        <item m="1" x="78"/>
        <item m="1" x="79"/>
        <item m="1" x="80"/>
        <item x="22"/>
        <item x="0"/>
        <item m="1" x="82"/>
        <item m="1" x="83"/>
        <item x="32"/>
        <item x="10"/>
        <item x="57"/>
        <item m="1" x="84"/>
        <item x="1"/>
        <item x="55"/>
        <item x="56"/>
        <item x="37"/>
        <item x="16"/>
        <item x="30"/>
        <item x="49"/>
        <item m="1" x="85"/>
        <item x="11"/>
        <item x="14"/>
        <item x="24"/>
        <item x="29"/>
        <item x="31"/>
        <item x="35"/>
        <item x="38"/>
        <item x="39"/>
        <item x="41"/>
        <item m="1" x="68"/>
        <item x="44"/>
        <item x="45"/>
        <item x="34"/>
        <item x="46"/>
        <item x="42"/>
        <item x="50"/>
        <item x="51"/>
        <item x="53"/>
        <item x="54"/>
        <item x="58"/>
        <item x="59"/>
        <item x="60"/>
        <item x="61"/>
        <item x="63"/>
        <item x="62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 sortType="descending">
      <items count="20">
        <item h="1" x="2"/>
        <item x="4"/>
        <item x="3"/>
        <item x="1"/>
        <item x="0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18"/>
        <item x="5"/>
        <item t="default"/>
      </items>
    </pivotField>
  </pivotFields>
  <rowFields count="1">
    <field x="6"/>
  </rowFields>
  <rowItems count="68">
    <i>
      <x v="17"/>
    </i>
    <i>
      <x v="46"/>
    </i>
    <i>
      <x v="63"/>
    </i>
    <i>
      <x v="50"/>
    </i>
    <i>
      <x v="53"/>
    </i>
    <i>
      <x v="57"/>
    </i>
    <i>
      <x v="16"/>
    </i>
    <i>
      <x v="69"/>
    </i>
    <i>
      <x v="58"/>
    </i>
    <i>
      <x v="33"/>
    </i>
    <i>
      <x v="18"/>
    </i>
    <i>
      <x v="76"/>
    </i>
    <i>
      <x v="56"/>
    </i>
    <i>
      <x v="73"/>
    </i>
    <i>
      <x v="8"/>
    </i>
    <i>
      <x v="85"/>
    </i>
    <i>
      <x v="84"/>
    </i>
    <i>
      <x v="67"/>
    </i>
    <i>
      <x v="20"/>
    </i>
    <i>
      <x v="21"/>
    </i>
    <i>
      <x v="15"/>
    </i>
    <i>
      <x v="9"/>
    </i>
    <i>
      <x v="28"/>
    </i>
    <i>
      <x v="35"/>
    </i>
    <i>
      <x v="11"/>
    </i>
    <i>
      <x v="24"/>
    </i>
    <i>
      <x v="82"/>
    </i>
    <i>
      <x v="4"/>
    </i>
    <i>
      <x v="29"/>
    </i>
    <i>
      <x v="59"/>
    </i>
    <i>
      <x v="14"/>
    </i>
    <i>
      <x v="55"/>
    </i>
    <i>
      <x v="65"/>
    </i>
    <i>
      <x v="64"/>
    </i>
    <i>
      <x v="6"/>
    </i>
    <i>
      <x v="79"/>
    </i>
    <i>
      <x v="51"/>
    </i>
    <i>
      <x v="78"/>
    </i>
    <i>
      <x v="19"/>
    </i>
    <i>
      <x v="1"/>
    </i>
    <i>
      <x v="45"/>
    </i>
    <i>
      <x v="10"/>
    </i>
    <i>
      <x v="66"/>
    </i>
    <i>
      <x v="30"/>
    </i>
    <i>
      <x v="86"/>
    </i>
    <i>
      <x v="80"/>
    </i>
    <i>
      <x v="81"/>
    </i>
    <i>
      <x v="83"/>
    </i>
    <i>
      <x v="71"/>
    </i>
    <i>
      <x v="75"/>
    </i>
    <i>
      <x v="13"/>
    </i>
    <i>
      <x v="61"/>
    </i>
    <i>
      <x v="74"/>
    </i>
    <i>
      <x v="2"/>
    </i>
    <i>
      <x v="68"/>
    </i>
    <i>
      <x v="62"/>
    </i>
    <i>
      <x v="27"/>
    </i>
    <i>
      <x v="77"/>
    </i>
    <i>
      <x v="7"/>
    </i>
    <i>
      <x v="41"/>
    </i>
    <i>
      <x v="32"/>
    </i>
    <i>
      <x v="23"/>
    </i>
    <i>
      <x v="40"/>
    </i>
    <i>
      <x v="72"/>
    </i>
    <i>
      <x v="54"/>
    </i>
    <i>
      <x v="49"/>
    </i>
    <i>
      <x/>
    </i>
    <i t="grand">
      <x/>
    </i>
  </rowItems>
  <colFields count="1">
    <field x="7"/>
  </colFields>
  <colItems count="6">
    <i>
      <x v="1"/>
    </i>
    <i>
      <x v="2"/>
    </i>
    <i>
      <x v="3"/>
    </i>
    <i>
      <x v="4"/>
    </i>
    <i>
      <x v="18"/>
    </i>
    <i t="grand">
      <x/>
    </i>
  </colItems>
  <dataFields count="1">
    <dataField name="Sum of Quantity" fld="3" baseField="0" baseItem="0"/>
  </dataFields>
  <formats count="60">
    <format dxfId="141">
      <pivotArea type="all" dataOnly="0" outline="0" fieldPosition="0"/>
    </format>
    <format dxfId="140">
      <pivotArea outline="0" collapsedLevelsAreSubtotals="1" fieldPosition="0"/>
    </format>
    <format dxfId="139">
      <pivotArea type="origin" dataOnly="0" labelOnly="1" outline="0" fieldPosition="0"/>
    </format>
    <format dxfId="138">
      <pivotArea type="topRight" dataOnly="0" labelOnly="1" outline="0" fieldPosition="0"/>
    </format>
    <format dxfId="137">
      <pivotArea field="6" type="button" dataOnly="0" labelOnly="1" outline="0" axis="axisRow" fieldPosition="0"/>
    </format>
    <format dxfId="136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135">
      <pivotArea dataOnly="0" labelOnly="1" grandRow="1" outline="0" fieldPosition="0"/>
    </format>
    <format dxfId="134">
      <pivotArea dataOnly="0" labelOnly="1" grandCol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type="topRight" dataOnly="0" labelOnly="1" outline="0" fieldPosition="0"/>
    </format>
    <format dxfId="129">
      <pivotArea field="6" type="button" dataOnly="0" labelOnly="1" outline="0" axis="axisRow" fieldPosition="0"/>
    </format>
    <format dxfId="128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127">
      <pivotArea dataOnly="0" labelOnly="1" grandRow="1" outline="0" fieldPosition="0"/>
    </format>
    <format dxfId="126">
      <pivotArea dataOnly="0" labelOnly="1" grandCol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type="topRight" dataOnly="0" labelOnly="1" outline="0" fieldPosition="0"/>
    </format>
    <format dxfId="121">
      <pivotArea field="6" type="button" dataOnly="0" labelOnly="1" outline="0" axis="axisRow" fieldPosition="0"/>
    </format>
    <format dxfId="120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119">
      <pivotArea dataOnly="0" labelOnly="1" grandRow="1" outline="0" fieldPosition="0"/>
    </format>
    <format dxfId="118">
      <pivotArea dataOnly="0" labelOnly="1" grandCol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6" type="button" dataOnly="0" labelOnly="1" outline="0" axis="axisRow" fieldPosition="0"/>
    </format>
    <format dxfId="113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112">
      <pivotArea dataOnly="0" labelOnly="1" grandRow="1" outline="0" fieldPosition="0"/>
    </format>
    <format dxfId="111">
      <pivotArea dataOnly="0" labelOnly="1" grandCol="1" outline="0" fieldPosition="0"/>
    </format>
    <format dxfId="110">
      <pivotArea field="6" type="button" dataOnly="0" labelOnly="1" outline="0" axis="axisRow" fieldPosition="0"/>
    </format>
    <format dxfId="109">
      <pivotArea dataOnly="0" labelOnly="1" grandCol="1" outline="0" fieldPosition="0"/>
    </format>
    <format dxfId="108">
      <pivotArea type="origin" dataOnly="0" labelOnly="1" outline="0" fieldPosition="0"/>
    </format>
    <format dxfId="107">
      <pivotArea field="6" type="button" dataOnly="0" labelOnly="1" outline="0" axis="axisRow" fieldPosition="0"/>
    </format>
    <format dxfId="106">
      <pivotArea dataOnly="0" labelOnly="1" grandCol="1" outline="0" fieldPosition="0"/>
    </format>
    <format dxfId="105">
      <pivotArea type="origin" dataOnly="0" labelOnly="1" outline="0" fieldPosition="0"/>
    </format>
    <format dxfId="104">
      <pivotArea type="topRight" dataOnly="0" labelOnly="1" outline="0" fieldPosition="0"/>
    </format>
    <format dxfId="103">
      <pivotArea field="6" type="button" dataOnly="0" labelOnly="1" outline="0" axis="axisRow" fieldPosition="0"/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collapsedLevelsAreSubtotals="1" fieldPosition="0">
        <references count="1">
          <reference field="6" count="24">
            <x v="2"/>
            <x v="3"/>
            <x v="4"/>
            <x v="6"/>
            <x v="7"/>
            <x v="8"/>
            <x v="9"/>
            <x v="11"/>
            <x v="13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99">
      <pivotArea outline="0" collapsedLevelsAreSubtotals="1" fieldPosition="0"/>
    </format>
    <format dxfId="98">
      <pivotArea dataOnly="0" labelOnly="1" grandCol="1" outline="0" fieldPosition="0"/>
    </format>
    <format dxfId="97">
      <pivotArea collapsedLevelsAreSubtotals="1" fieldPosition="0">
        <references count="1">
          <reference field="6" count="32">
            <x v="1"/>
            <x v="2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96">
      <pivotArea dataOnly="0" labelOnly="1" fieldPosition="0">
        <references count="1">
          <reference field="7" count="0"/>
        </references>
      </pivotArea>
    </format>
    <format dxfId="95">
      <pivotArea dataOnly="0" labelOnly="1" fieldPosition="0">
        <references count="1">
          <reference field="7" count="0"/>
        </references>
      </pivotArea>
    </format>
    <format dxfId="94">
      <pivotArea collapsedLevelsAreSubtotals="1" fieldPosition="0">
        <references count="2">
          <reference field="6" count="3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  <reference field="7" count="0" selected="0"/>
        </references>
      </pivotArea>
    </format>
    <format dxfId="93">
      <pivotArea field="6" grandCol="1" collapsedLevelsAreSubtotals="1" axis="axisRow" fieldPosition="0">
        <references count="1">
          <reference field="6" count="0"/>
        </references>
      </pivotArea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7" type="button" dataOnly="0" labelOnly="1" outline="0" axis="axisCol" fieldPosition="0"/>
    </format>
    <format dxfId="88">
      <pivotArea type="topRight" dataOnly="0" labelOnly="1" outline="0" fieldPosition="0"/>
    </format>
    <format dxfId="87">
      <pivotArea field="6" type="button" dataOnly="0" labelOnly="1" outline="0" axis="axisRow" fieldPosition="0"/>
    </format>
    <format dxfId="86">
      <pivotArea dataOnly="0" labelOnly="1" fieldPosition="0">
        <references count="1">
          <reference field="6" count="50">
            <x v="1"/>
            <x v="2"/>
            <x v="4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4"/>
            <x v="27"/>
            <x v="28"/>
            <x v="29"/>
            <x v="32"/>
            <x v="33"/>
            <x v="35"/>
            <x v="40"/>
            <x v="41"/>
            <x v="45"/>
            <x v="46"/>
            <x v="50"/>
            <x v="53"/>
            <x v="56"/>
            <x v="57"/>
            <x v="58"/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</reference>
        </references>
      </pivotArea>
    </format>
    <format dxfId="85">
      <pivotArea dataOnly="0" labelOnly="1" fieldPosition="0">
        <references count="1">
          <reference field="6" count="3">
            <x v="0"/>
            <x v="23"/>
            <x v="49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7" count="0"/>
        </references>
      </pivotArea>
    </format>
    <format dxfId="8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202E7B-7589-CB4C-B758-F37136FA2F2E}" name="PivotTable7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Name" colHeaderCaption="Month of">
  <location ref="A2:F24" firstHeaderRow="1" firstDataRow="2" firstDataCol="1"/>
  <pivotFields count="8">
    <pivotField showAll="0"/>
    <pivotField showAll="0"/>
    <pivotField showAll="0"/>
    <pivotField dataField="1" showAll="0"/>
    <pivotField showAll="0"/>
    <pivotField showAll="0"/>
    <pivotField axis="axisRow" showAll="0" sortType="descending">
      <items count="30">
        <item x="20"/>
        <item x="8"/>
        <item x="5"/>
        <item m="1" x="23"/>
        <item x="0"/>
        <item x="15"/>
        <item x="4"/>
        <item x="1"/>
        <item x="2"/>
        <item x="19"/>
        <item m="1" x="21"/>
        <item m="1" x="22"/>
        <item x="6"/>
        <item x="10"/>
        <item x="9"/>
        <item m="1" x="24"/>
        <item m="1" x="25"/>
        <item x="14"/>
        <item m="1" x="26"/>
        <item m="1" x="28"/>
        <item x="3"/>
        <item x="7"/>
        <item m="1" x="27"/>
        <item x="11"/>
        <item x="12"/>
        <item x="13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 sortType="descending">
      <items count="20">
        <item h="1" x="2"/>
        <item x="4"/>
        <item x="3"/>
        <item x="1"/>
        <item x="0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h="1" m="1" x="18"/>
        <item h="1" x="5"/>
        <item t="default"/>
      </items>
    </pivotField>
  </pivotFields>
  <rowFields count="1">
    <field x="6"/>
  </rowFields>
  <rowItems count="21">
    <i>
      <x v="27"/>
    </i>
    <i>
      <x v="26"/>
    </i>
    <i>
      <x v="7"/>
    </i>
    <i>
      <x v="2"/>
    </i>
    <i>
      <x v="20"/>
    </i>
    <i>
      <x v="4"/>
    </i>
    <i>
      <x v="8"/>
    </i>
    <i>
      <x v="1"/>
    </i>
    <i>
      <x v="13"/>
    </i>
    <i>
      <x v="23"/>
    </i>
    <i>
      <x v="21"/>
    </i>
    <i>
      <x v="14"/>
    </i>
    <i>
      <x v="6"/>
    </i>
    <i>
      <x v="25"/>
    </i>
    <i>
      <x v="17"/>
    </i>
    <i>
      <x v="12"/>
    </i>
    <i>
      <x v="24"/>
    </i>
    <i>
      <x v="9"/>
    </i>
    <i>
      <x v="5"/>
    </i>
    <i>
      <x v="28"/>
    </i>
    <i t="grand">
      <x/>
    </i>
  </rowItems>
  <colFields count="1">
    <field x="7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Quantity" fld="3" baseField="0" baseItem="0"/>
  </dataFields>
  <formats count="62"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type="topRight" dataOnly="0" labelOnly="1" outline="0" fieldPosition="0"/>
    </format>
    <format dxfId="77">
      <pivotArea field="6" type="button" dataOnly="0" labelOnly="1" outline="0" axis="axisRow" fieldPosition="0"/>
    </format>
    <format dxfId="76">
      <pivotArea dataOnly="0" labelOnly="1" fieldPosition="0">
        <references count="1">
          <reference field="6" count="1">
            <x v="1"/>
          </reference>
        </references>
      </pivotArea>
    </format>
    <format dxfId="75">
      <pivotArea dataOnly="0" labelOnly="1" grandRow="1" outline="0" fieldPosition="0"/>
    </format>
    <format dxfId="74">
      <pivotArea dataOnly="0" labelOnly="1" grandCol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6" type="button" dataOnly="0" labelOnly="1" outline="0" axis="axisRow" fieldPosition="0"/>
    </format>
    <format dxfId="68">
      <pivotArea dataOnly="0" labelOnly="1" fieldPosition="0">
        <references count="1">
          <reference field="6" count="1">
            <x v="1"/>
          </reference>
        </references>
      </pivotArea>
    </format>
    <format dxfId="67">
      <pivotArea dataOnly="0" labelOnly="1" grandRow="1" outline="0" fieldPosition="0"/>
    </format>
    <format dxfId="66">
      <pivotArea dataOnly="0" labelOnly="1" grandCol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type="topRight" dataOnly="0" labelOnly="1" outline="0" fieldPosition="0"/>
    </format>
    <format dxfId="61">
      <pivotArea field="6" type="button" dataOnly="0" labelOnly="1" outline="0" axis="axisRow" fieldPosition="0"/>
    </format>
    <format dxfId="60">
      <pivotArea dataOnly="0" labelOnly="1" fieldPosition="0">
        <references count="1">
          <reference field="6" count="1">
            <x v="1"/>
          </reference>
        </references>
      </pivotArea>
    </format>
    <format dxfId="59">
      <pivotArea dataOnly="0" labelOnly="1" grandRow="1" outline="0" fieldPosition="0"/>
    </format>
    <format dxfId="58">
      <pivotArea dataOnly="0" labelOnly="1" grandCol="1" outline="0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1">
            <x v="1"/>
          </reference>
        </references>
      </pivotArea>
    </format>
    <format dxfId="52">
      <pivotArea dataOnly="0" labelOnly="1" grandRow="1" outline="0" fieldPosition="0"/>
    </format>
    <format dxfId="51">
      <pivotArea dataOnly="0" labelOnly="1" grandCol="1" outline="0" fieldPosition="0"/>
    </format>
    <format dxfId="50">
      <pivotArea field="6" type="button" dataOnly="0" labelOnly="1" outline="0" axis="axisRow" fieldPosition="0"/>
    </format>
    <format dxfId="49">
      <pivotArea dataOnly="0" labelOnly="1" grandCol="1" outline="0" fieldPosition="0"/>
    </format>
    <format dxfId="48">
      <pivotArea type="origin" dataOnly="0" labelOnly="1" outline="0" fieldPosition="0"/>
    </format>
    <format dxfId="47">
      <pivotArea field="6" type="button" dataOnly="0" labelOnly="1" outline="0" axis="axisRow" fieldPosition="0"/>
    </format>
    <format dxfId="46">
      <pivotArea dataOnly="0" labelOnly="1" grandCol="1" outline="0" fieldPosition="0"/>
    </format>
    <format dxfId="45">
      <pivotArea type="origin" dataOnly="0" labelOnly="1" outline="0" fieldPosition="0"/>
    </format>
    <format dxfId="44">
      <pivotArea type="topRight" dataOnly="0" labelOnly="1" outline="0" fieldPosition="0"/>
    </format>
    <format dxfId="43">
      <pivotArea field="6" type="button" dataOnly="0" labelOnly="1" outline="0" axis="axisRow" fieldPosition="0"/>
    </format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outline="0" collapsedLevelsAreSubtotals="1" fieldPosition="0"/>
    </format>
    <format dxfId="39">
      <pivotArea dataOnly="0" labelOnly="1" grandCol="1" outline="0" fieldPosition="0"/>
    </format>
    <format dxfId="38">
      <pivotArea dataOnly="0" labelOnly="1" fieldPosition="0">
        <references count="1">
          <reference field="7" count="0"/>
        </references>
      </pivotArea>
    </format>
    <format dxfId="37">
      <pivotArea dataOnly="0" labelOnly="1" fieldPosition="0">
        <references count="1">
          <reference field="7" count="0"/>
        </references>
      </pivotArea>
    </format>
    <format dxfId="36">
      <pivotArea collapsedLevelsAreSubtotals="1" fieldPosition="0">
        <references count="1">
          <reference field="6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35">
      <pivotArea field="6" grandCol="1" collapsedLevelsAreSubtotals="1" axis="axisRow" fieldPosition="0">
        <references count="1">
          <reference field="6" count="5">
            <x v="9"/>
            <x v="11"/>
            <x v="17"/>
            <x v="18"/>
            <x v="19"/>
          </reference>
        </references>
      </pivotArea>
    </format>
    <format dxfId="34">
      <pivotArea collapsedLevelsAreSubtotals="1" fieldPosition="0">
        <references count="2">
          <reference field="6" count="10">
            <x v="3"/>
            <x v="9"/>
            <x v="10"/>
            <x v="11"/>
            <x v="12"/>
            <x v="15"/>
            <x v="16"/>
            <x v="17"/>
            <x v="18"/>
            <x v="19"/>
          </reference>
          <reference field="7" count="4" selected="0">
            <x v="9"/>
            <x v="10"/>
            <x v="11"/>
            <x v="12"/>
          </reference>
        </references>
      </pivotArea>
    </format>
    <format dxfId="33">
      <pivotArea collapsedLevelsAreSubtotals="1" fieldPosition="0">
        <references count="2">
          <reference field="6" count="1">
            <x v="19"/>
          </reference>
          <reference field="7" count="1" selected="0">
            <x v="8"/>
          </reference>
        </references>
      </pivotArea>
    </format>
    <format dxfId="32">
      <pivotArea collapsedLevelsAreSubtotals="1" fieldPosition="0">
        <references count="2">
          <reference field="6" count="2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</reference>
          <reference field="7" count="0" selected="0"/>
        </references>
      </pivotArea>
    </format>
    <format dxfId="31">
      <pivotArea field="6" grandCol="1" collapsedLevelsAreSubtotals="1" axis="axisRow" fieldPosition="0">
        <references count="1">
          <reference field="6" count="2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</reference>
        </references>
      </pivotArea>
    </format>
    <format dxfId="30">
      <pivotArea field="6" grandCol="1" collapsedLevelsAreSubtotals="1" axis="axisRow" fieldPosition="0">
        <references count="1">
          <reference field="6" count="13">
            <x v="1"/>
            <x v="2"/>
            <x v="4"/>
            <x v="6"/>
            <x v="7"/>
            <x v="8"/>
            <x v="12"/>
            <x v="13"/>
            <x v="14"/>
            <x v="20"/>
            <x v="21"/>
            <x v="23"/>
            <x v="24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7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6" type="button" dataOnly="0" labelOnly="1" outline="0" axis="axisRow" fieldPosition="0"/>
    </format>
    <format dxfId="23">
      <pivotArea dataOnly="0" labelOnly="1" fieldPosition="0">
        <references count="1">
          <reference field="6" count="15">
            <x v="1"/>
            <x v="2"/>
            <x v="4"/>
            <x v="6"/>
            <x v="7"/>
            <x v="8"/>
            <x v="12"/>
            <x v="13"/>
            <x v="14"/>
            <x v="17"/>
            <x v="20"/>
            <x v="21"/>
            <x v="23"/>
            <x v="24"/>
            <x v="25"/>
          </reference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7" count="0"/>
        </references>
      </pivotArea>
    </format>
    <format dxfId="2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03D15F-88F8-4246-9745-EE42C5DEE4F9}" name="MasterPaid" displayName="MasterPaid" ref="A1:D650" totalsRowShown="0" headerRowDxfId="1959" dataDxfId="1958">
  <autoFilter ref="A1:D650" xr:uid="{BF03D15F-88F8-4246-9745-EE42C5DEE4F9}"/>
  <sortState xmlns:xlrd2="http://schemas.microsoft.com/office/spreadsheetml/2017/richdata2" ref="A2:D500">
    <sortCondition ref="A1:A500"/>
  </sortState>
  <tableColumns count="4">
    <tableColumn id="1" xr3:uid="{3CBC0A26-3ED9-D54D-9AB3-0BE3FA46CDF7}" name="Date" dataDxfId="1957"/>
    <tableColumn id="2" xr3:uid="{0DBB2DDD-035C-E240-BD6F-AB7F1B9FBAF6}" name="Customer" dataDxfId="1956"/>
    <tableColumn id="3" xr3:uid="{89075166-0707-7A43-B015-576050E8C677}" name="Amount Paid" dataDxfId="1955"/>
    <tableColumn id="4" xr3:uid="{F5CA0164-093E-B94A-A6B5-30CA2261B018}" name="Payment Mode" dataDxfId="19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034BCF-1CED-F049-95E0-AA412D10EA67}" name="OutstandingTbl" displayName="OutstandingTbl" ref="B4:D46" headerRowDxfId="1953" dataDxfId="1951" totalsRowDxfId="1949" headerRowBorderDxfId="1952" tableBorderDxfId="1950" totalsRowBorderDxfId="1948">
  <autoFilter ref="B4:D46" xr:uid="{21034BCF-1CED-F049-95E0-AA412D10EA67}"/>
  <sortState xmlns:xlrd2="http://schemas.microsoft.com/office/spreadsheetml/2017/richdata2" ref="B5:D25">
    <sortCondition descending="1" ref="D4:D26"/>
  </sortState>
  <tableColumns count="3">
    <tableColumn id="1" xr3:uid="{DD465AE2-814C-5A4C-A1FE-05E7F79DBFF9}" name="Customer" totalsRowLabel="TOTAL" dataDxfId="1947" totalsRowDxfId="1946" dataCellStyle="Hyperlink"/>
    <tableColumn id="2" xr3:uid="{3B4C634A-219C-854F-B308-E46E32FA04EB}" name="Ledger" dataDxfId="1945" totalsRowDxfId="1944"/>
    <tableColumn id="3" xr3:uid="{0FA5C1CE-EFCE-D647-A15A-F53BC89987D3}" name="Outstanding Balance" totalsRowFunction="sum" dataDxfId="1943" totalsRowDxfId="19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819A11B-9076-E148-93BA-CE8E3231F9B7}" name="Customers" displayName="Customers" ref="A1:M33" totalsRowShown="0">
  <autoFilter ref="A1:M33" xr:uid="{9819A11B-9076-E148-93BA-CE8E3231F9B7}"/>
  <sortState xmlns:xlrd2="http://schemas.microsoft.com/office/spreadsheetml/2017/richdata2" ref="A2:M33">
    <sortCondition ref="A1:A33"/>
  </sortState>
  <tableColumns count="13">
    <tableColumn id="1" xr3:uid="{A6A12041-E3B4-B845-9803-6FE64A250B63}" name="Company"/>
    <tableColumn id="2" xr3:uid="{EBEA1D7D-DA9A-9549-8002-11D7DAB85F2A}" name="HSD" dataDxfId="1914">
      <calculatedColumnFormula>_xlfn.XLOOKUP(Customers[[#This Row],[Price Tier]],RateCard[Price Tier],RateCard[Rate],"")</calculatedColumnFormula>
    </tableColumn>
    <tableColumn id="3" xr3:uid="{62C47B70-FE65-A449-8E43-6EF446A88681}" name="Address 1"/>
    <tableColumn id="4" xr3:uid="{7C878F9E-C28C-6E4B-A39C-B67C3F502510}" name="Address 2"/>
    <tableColumn id="5" xr3:uid="{83CAA836-F6E5-6040-AFFB-FAC01B4FECE9}" name="Address 3"/>
    <tableColumn id="6" xr3:uid="{668E939F-BEBA-2F43-8C62-E1F9887720A0}" name="Payment 1"/>
    <tableColumn id="7" xr3:uid="{39F8E3BF-3D05-E84B-BC63-58B36E394E5C}" name="Payment 2"/>
    <tableColumn id="8" xr3:uid="{A960F1FB-194E-7A4A-AF0F-1773944ADC63}" name="Payment 3"/>
    <tableColumn id="9" xr3:uid="{A70E86CA-2779-7946-94BE-D1129350B051}" name="Payment 4"/>
    <tableColumn id="10" xr3:uid="{94B25715-086D-1242-BEC0-1D68CE4BB548}" name="Payment 5"/>
    <tableColumn id="11" xr3:uid="{B150E691-729D-A04A-A5B1-52416F046ABB}" name="PO Label"/>
    <tableColumn id="12" xr3:uid="{BFE5904E-A58A-B64B-A473-66412985BAA5}" name="PO No." dataDxfId="1913"/>
    <tableColumn id="13" xr3:uid="{0222AD00-77FF-FE40-80F8-BEF8A2D25D94}" name="Price Ti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7FE1451-6DD3-2E4D-8E2E-AB01589A6484}" name="RateCard" displayName="RateCard" ref="O1:P8" totalsRowShown="0">
  <autoFilter ref="O1:P8" xr:uid="{27FE1451-6DD3-2E4D-8E2E-AB01589A6484}"/>
  <tableColumns count="2">
    <tableColumn id="1" xr3:uid="{3CCD32DE-320C-FC4E-841F-5C21E55145BE}" name="Price Tier"/>
    <tableColumn id="2" xr3:uid="{ECB9A860-0B1B-F647-856D-B52FA929D3CA}" name="Rate" dataDxfId="1912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5FD980-3A6F-8D41-94BD-9046792E23E6}" name="ProductRates" displayName="ProductRates" ref="R1:S3" totalsRowShown="0">
  <autoFilter ref="R1:S3" xr:uid="{B85FD980-3A6F-8D41-94BD-9046792E23E6}"/>
  <tableColumns count="2">
    <tableColumn id="1" xr3:uid="{5761CEF9-8EBC-4C48-960B-F4D6357B9930}" name="Product"/>
    <tableColumn id="2" xr3:uid="{E42E0085-9E1A-EC47-AB05-C52A04C4B06A}" name="Rate" dataDxfId="1911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01FC36-14CE-9747-BFF6-8951F7263D4A}" name="FuelTypes" displayName="FuelTypes" ref="U1:U4" totalsRowShown="0">
  <autoFilter ref="U1:U4" xr:uid="{7F01FC36-14CE-9747-BFF6-8951F7263D4A}"/>
  <tableColumns count="1">
    <tableColumn id="1" xr3:uid="{05B97192-C188-2A43-8EDD-8195D9037098}" name="Fuel Typ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19098E-59AA-4943-8294-187713FB791D}" name="Table1" displayName="Table1" ref="A1:H7000" totalsRowShown="0" headerRowDxfId="1657" dataDxfId="1655" headerRowBorderDxfId="1656" tableBorderDxfId="1654" totalsRowBorderDxfId="1653">
  <autoFilter ref="A1:H7000" xr:uid="{0919098E-59AA-4943-8294-187713FB791D}"/>
  <sortState xmlns:xlrd2="http://schemas.microsoft.com/office/spreadsheetml/2017/richdata2" ref="A2:G8010">
    <sortCondition ref="B1:B8010"/>
  </sortState>
  <tableColumns count="8">
    <tableColumn id="1" xr3:uid="{CDA2C280-56ED-1B4A-9F5B-E872DB93D0F9}" name="Date" dataDxfId="1652"/>
    <tableColumn id="2" xr3:uid="{6C4B93AC-9D49-4946-8B21-B33C93EFDBFA}" name="Bill No." dataDxfId="1651"/>
    <tableColumn id="3" xr3:uid="{769B5979-97E5-AA4D-9E66-FCD5D9CF98F2}" name="Vehicle" dataDxfId="1650"/>
    <tableColumn id="4" xr3:uid="{D207B956-C307-C843-9582-877468B1A473}" name="Quantity" dataDxfId="1649"/>
    <tableColumn id="5" xr3:uid="{77331744-C06A-4647-9DB9-76F9A48524C3}" name="RSP" dataDxfId="1648"/>
    <tableColumn id="6" xr3:uid="{0495C286-2367-8245-831A-7C5498E07AC8}" name="Amount" dataDxfId="1647">
      <calculatedColumnFormula>TRUNC(#REF!,2)</calculatedColumnFormula>
    </tableColumn>
    <tableColumn id="7" xr3:uid="{63DB2404-88AD-A141-9516-E0C302F4C2AA}" name="Customer" dataDxfId="1646"/>
    <tableColumn id="8" xr3:uid="{81EA56AD-FB6F-6641-ACBC-36176223E4AF}" name="Month" dataDxfId="1645">
      <calculatedColumnFormula>IF(A2&lt;&gt;"", EOMONTH(A2, -1) + 1, "")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17B90-7FD9-6940-BC10-0DC7EC6D8BA9}" name="Table14" displayName="Table14" ref="A1:H1000" totalsRowShown="0" headerRowDxfId="432" dataDxfId="430" headerRowBorderDxfId="431" tableBorderDxfId="429" totalsRowBorderDxfId="428">
  <autoFilter ref="A1:H1000" xr:uid="{0919098E-59AA-4943-8294-187713FB791D}"/>
  <sortState xmlns:xlrd2="http://schemas.microsoft.com/office/spreadsheetml/2017/richdata2" ref="A2:G580">
    <sortCondition ref="B1:B580"/>
  </sortState>
  <tableColumns count="8">
    <tableColumn id="1" xr3:uid="{F236698A-A4A2-5D47-A0F5-6842579ED442}" name="Date" dataDxfId="427"/>
    <tableColumn id="2" xr3:uid="{7929FE77-CAF0-714A-89F1-8430552C574D}" name="Bill No." dataDxfId="426"/>
    <tableColumn id="3" xr3:uid="{96A36E2E-1CE5-2447-BF50-B6877287C383}" name="Vehicle" dataDxfId="425"/>
    <tableColumn id="4" xr3:uid="{B5AA0F0E-A524-654A-88F6-C3C518A9359E}" name="Quantity" dataDxfId="424"/>
    <tableColumn id="5" xr3:uid="{42E35D69-CB57-0744-B934-6B03256B7DCD}" name="RSP" dataDxfId="423"/>
    <tableColumn id="6" xr3:uid="{0A1731C2-1DD7-D44F-A851-D4A688DA92F8}" name="Amount" dataDxfId="422">
      <calculatedColumnFormula>TRUNC(#REF!,2)</calculatedColumnFormula>
    </tableColumn>
    <tableColumn id="7" xr3:uid="{8B99DA03-952D-7B42-B0D2-D13E15A4DFFB}" name="Customer" dataDxfId="421"/>
    <tableColumn id="8" xr3:uid="{EF0FD57A-86F7-494D-A0EC-70121480B687}" name="Month" dataDxfId="420">
      <calculatedColumnFormula>IF(A2&lt;&gt;"", EOMONTH(A2, -1) + 1, 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0F0F56-E95C-AF4F-8CB0-2FAF302EF0B6}" name="Table146" displayName="Table146" ref="A1:G580" totalsRowShown="0" headerRowDxfId="153" dataDxfId="151" headerRowBorderDxfId="152" tableBorderDxfId="150" totalsRowBorderDxfId="149">
  <autoFilter ref="A1:G580" xr:uid="{0919098E-59AA-4943-8294-187713FB791D}"/>
  <sortState xmlns:xlrd2="http://schemas.microsoft.com/office/spreadsheetml/2017/richdata2" ref="A2:G580">
    <sortCondition ref="B1:B580"/>
  </sortState>
  <tableColumns count="7">
    <tableColumn id="1" xr3:uid="{77365DB6-8E54-FA40-82FE-6A525FFF80DD}" name="Date" dataDxfId="148"/>
    <tableColumn id="2" xr3:uid="{EDCE644B-4253-F443-997B-F899BA2B216B}" name="Bill No." dataDxfId="147"/>
    <tableColumn id="3" xr3:uid="{0CD25596-AF59-604B-8139-FB6F0D4B2624}" name="Vehicle" dataDxfId="146"/>
    <tableColumn id="4" xr3:uid="{C83811B6-C166-5349-A009-F646CEA64369}" name="Quantity" dataDxfId="145"/>
    <tableColumn id="5" xr3:uid="{B980F425-A498-DC4B-AB57-18406A16E09B}" name="RSP" dataDxfId="144"/>
    <tableColumn id="6" xr3:uid="{959B8C83-C9DD-D14E-A578-1743982C6CE2}" name="Amount" dataDxfId="143">
      <calculatedColumnFormula>TRUNC(#REF!,2)</calculatedColumnFormula>
    </tableColumn>
    <tableColumn id="7" xr3:uid="{CC9D9A3E-B0B4-3148-8546-056898227B75}" name="Company" dataDxfId="1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13E82FC-0FCA-3A45-BE57-E7F1BAB62336}">
  <we:reference id="wa200009404" version="1.0.0.8" store="en-GB" storeType="OMEX"/>
  <we:alternateReferences>
    <we:reference id="wa200009404" version="1.0.0.8" store="WA200009404" storeType="OMEX"/>
  </we:alternateReferences>
  <we:properties>
    <we:property name="claude.fileId" value="&quot;c1f3e385-5fc5-412f-bb12-b938df1121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524C5DE-4931-6744-9CBD-1AB4A81519C3}">
  <we:reference id="wa200010725" version="1.0.0.1" store="en-GB" storeType="OMEX"/>
  <we:alternateReferences>
    <we:reference id="wa200010725" version="1.0.0.1" store="wa200010725" storeType="OMEX"/>
  </we:alternateReferences>
  <we:properties>
    <we:property name="claude.fileId" value="&quot;cb54e4d4-9f06-470a-b12c-396aa12ff91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ivotTable" Target="../pivotTables/pivotTable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ivotTable" Target="../pivotTables/pivotTable2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7F95D-38C3-3B42-8029-4F9FF31F3AED}">
  <sheetPr codeName="Sheet1"/>
  <dimension ref="B1:R33"/>
  <sheetViews>
    <sheetView tabSelected="1" zoomScale="80" zoomScaleNormal="80" workbookViewId="0"/>
  </sheetViews>
  <sheetFormatPr baseColWidth="10" defaultColWidth="10.83203125" defaultRowHeight="16" x14ac:dyDescent="0.2"/>
  <cols>
    <col min="1" max="1" width="6" customWidth="1"/>
    <col min="2" max="4" width="48.33203125" customWidth="1"/>
    <col min="5" max="5" width="6" customWidth="1"/>
  </cols>
  <sheetData>
    <row r="1" spans="2:18" ht="15.75" thickBot="1" x14ac:dyDescent="0.25">
      <c r="G1" s="186"/>
      <c r="H1" s="186"/>
      <c r="I1" s="186"/>
      <c r="J1" s="186"/>
      <c r="K1" s="186"/>
      <c r="L1" s="186"/>
      <c r="M1" s="186"/>
      <c r="O1" s="186"/>
      <c r="P1" s="186"/>
      <c r="Q1" s="186"/>
      <c r="R1" s="186"/>
    </row>
    <row r="2" spans="2:18" ht="20" customHeight="1" x14ac:dyDescent="0.2">
      <c r="B2" s="482" t="s">
        <v>1217</v>
      </c>
      <c r="C2" s="483"/>
      <c r="D2" s="484"/>
      <c r="G2" s="186"/>
      <c r="H2" s="186"/>
      <c r="I2" s="186"/>
      <c r="J2" s="186"/>
      <c r="K2" s="186"/>
      <c r="L2" s="186"/>
      <c r="M2" s="186"/>
      <c r="O2" s="186"/>
      <c r="P2" s="186"/>
      <c r="Q2" s="186"/>
      <c r="R2" s="186"/>
    </row>
    <row r="3" spans="2:18" ht="30" customHeight="1" x14ac:dyDescent="0.2">
      <c r="B3" s="485"/>
      <c r="C3" s="486"/>
      <c r="D3" s="487"/>
      <c r="G3" s="186"/>
      <c r="H3" s="186"/>
      <c r="I3" s="186"/>
      <c r="J3" s="186"/>
      <c r="K3" s="186"/>
      <c r="L3" s="186"/>
      <c r="M3" s="186"/>
      <c r="O3" s="186"/>
      <c r="P3" s="186"/>
      <c r="Q3" s="186"/>
      <c r="R3" s="186"/>
    </row>
    <row r="4" spans="2:18" ht="20" customHeight="1" x14ac:dyDescent="0.2">
      <c r="B4" s="485"/>
      <c r="C4" s="486"/>
      <c r="D4" s="487"/>
      <c r="G4" s="186"/>
      <c r="H4" s="186"/>
      <c r="I4" s="186"/>
      <c r="J4" s="186"/>
      <c r="K4" s="186"/>
      <c r="L4" s="186"/>
      <c r="M4" s="186"/>
      <c r="O4" s="186"/>
      <c r="P4" s="186"/>
      <c r="Q4" s="186"/>
      <c r="R4" s="186"/>
    </row>
    <row r="5" spans="2:18" ht="30" customHeight="1" x14ac:dyDescent="0.2">
      <c r="B5" s="488" t="s">
        <v>1218</v>
      </c>
      <c r="C5" s="489"/>
      <c r="D5" s="490"/>
      <c r="G5" s="186"/>
      <c r="H5" s="186"/>
      <c r="I5" s="186"/>
      <c r="J5" s="186"/>
      <c r="K5" s="186"/>
      <c r="L5" s="186"/>
      <c r="M5" s="186"/>
      <c r="O5" s="186"/>
      <c r="P5" s="186"/>
      <c r="Q5" s="186"/>
      <c r="R5" s="186"/>
    </row>
    <row r="6" spans="2:18" ht="10" customHeight="1" x14ac:dyDescent="0.25">
      <c r="B6" s="167"/>
      <c r="C6" s="262"/>
      <c r="D6" s="168"/>
      <c r="G6" s="186"/>
      <c r="H6" s="186"/>
      <c r="I6" s="186"/>
      <c r="J6" s="186"/>
      <c r="K6" s="186"/>
      <c r="L6" s="186"/>
      <c r="M6" s="186"/>
      <c r="O6" s="186"/>
      <c r="P6" s="186"/>
      <c r="Q6" s="186"/>
      <c r="R6" s="186"/>
    </row>
    <row r="7" spans="2:18" ht="34" customHeight="1" x14ac:dyDescent="0.2">
      <c r="B7" s="478" t="s">
        <v>1219</v>
      </c>
      <c r="C7" s="479"/>
      <c r="D7" s="480"/>
      <c r="O7" s="186"/>
      <c r="P7" s="186"/>
      <c r="Q7" s="186"/>
      <c r="R7" s="186"/>
    </row>
    <row r="8" spans="2:18" ht="34" customHeight="1" x14ac:dyDescent="0.2">
      <c r="B8" s="169" t="s">
        <v>1195</v>
      </c>
      <c r="C8" s="11" t="s">
        <v>1196</v>
      </c>
      <c r="D8" s="170" t="s">
        <v>1197</v>
      </c>
      <c r="O8" s="186"/>
      <c r="P8" s="186"/>
      <c r="Q8" s="186"/>
      <c r="R8" s="186"/>
    </row>
    <row r="9" spans="2:18" ht="10" customHeight="1" x14ac:dyDescent="0.25">
      <c r="B9" s="167"/>
      <c r="C9" s="262"/>
      <c r="D9" s="168"/>
    </row>
    <row r="10" spans="2:18" ht="34" customHeight="1" x14ac:dyDescent="0.2">
      <c r="B10" s="478" t="s">
        <v>1220</v>
      </c>
      <c r="C10" s="491"/>
      <c r="D10" s="480"/>
    </row>
    <row r="11" spans="2:18" ht="34" customHeight="1" x14ac:dyDescent="0.25">
      <c r="B11" s="171" t="s">
        <v>1198</v>
      </c>
      <c r="C11" s="12" t="s">
        <v>1225</v>
      </c>
      <c r="D11" s="168"/>
    </row>
    <row r="12" spans="2:18" ht="10" customHeight="1" x14ac:dyDescent="0.25">
      <c r="B12" s="167"/>
      <c r="C12" s="262"/>
      <c r="D12" s="168"/>
    </row>
    <row r="13" spans="2:18" ht="34" customHeight="1" x14ac:dyDescent="0.2">
      <c r="B13" s="478" t="s">
        <v>1221</v>
      </c>
      <c r="C13" s="479"/>
      <c r="D13" s="480"/>
    </row>
    <row r="14" spans="2:18" ht="34" customHeight="1" x14ac:dyDescent="0.2">
      <c r="B14" s="428" t="s">
        <v>1213</v>
      </c>
      <c r="C14" s="13" t="s">
        <v>1214</v>
      </c>
      <c r="D14" s="263" t="s">
        <v>2161</v>
      </c>
    </row>
    <row r="15" spans="2:18" ht="34" customHeight="1" x14ac:dyDescent="0.2">
      <c r="B15" s="173" t="s">
        <v>1215</v>
      </c>
      <c r="C15" s="14" t="s">
        <v>1216</v>
      </c>
      <c r="D15" s="263" t="s">
        <v>2717</v>
      </c>
    </row>
    <row r="16" spans="2:18" ht="10" customHeight="1" x14ac:dyDescent="0.25">
      <c r="B16" s="167"/>
      <c r="C16" s="262"/>
      <c r="D16" s="168"/>
    </row>
    <row r="17" spans="2:4" ht="34" customHeight="1" x14ac:dyDescent="0.2">
      <c r="B17" s="478" t="s">
        <v>2058</v>
      </c>
      <c r="C17" s="479"/>
      <c r="D17" s="480"/>
    </row>
    <row r="18" spans="2:4" ht="34" customHeight="1" x14ac:dyDescent="0.2">
      <c r="B18" s="247" t="s">
        <v>1483</v>
      </c>
      <c r="C18" s="13" t="s">
        <v>714</v>
      </c>
      <c r="D18" s="172" t="s">
        <v>1233</v>
      </c>
    </row>
    <row r="19" spans="2:4" ht="34" customHeight="1" x14ac:dyDescent="0.2">
      <c r="B19" s="173" t="s">
        <v>1202</v>
      </c>
      <c r="C19" s="14" t="s">
        <v>1203</v>
      </c>
      <c r="D19" s="174" t="s">
        <v>96</v>
      </c>
    </row>
    <row r="20" spans="2:4" ht="34" customHeight="1" x14ac:dyDescent="0.2">
      <c r="B20" s="173" t="s">
        <v>1189</v>
      </c>
      <c r="C20" s="14" t="s">
        <v>1229</v>
      </c>
      <c r="D20" s="175" t="s">
        <v>1230</v>
      </c>
    </row>
    <row r="21" spans="2:4" ht="34" customHeight="1" x14ac:dyDescent="0.2">
      <c r="B21" s="173" t="s">
        <v>1208</v>
      </c>
      <c r="C21" s="14" t="s">
        <v>1231</v>
      </c>
      <c r="D21" s="198" t="s">
        <v>1786</v>
      </c>
    </row>
    <row r="22" spans="2:4" ht="34" customHeight="1" x14ac:dyDescent="0.2">
      <c r="B22" s="176" t="s">
        <v>1210</v>
      </c>
      <c r="C22" s="14" t="s">
        <v>1232</v>
      </c>
      <c r="D22" s="175" t="s">
        <v>1234</v>
      </c>
    </row>
    <row r="23" spans="2:4" ht="34" customHeight="1" x14ac:dyDescent="0.2">
      <c r="B23" s="177" t="s">
        <v>552</v>
      </c>
      <c r="C23" s="15" t="s">
        <v>184</v>
      </c>
      <c r="D23" s="178" t="s">
        <v>1242</v>
      </c>
    </row>
    <row r="24" spans="2:4" ht="29" customHeight="1" x14ac:dyDescent="0.2">
      <c r="B24" s="179" t="s">
        <v>256</v>
      </c>
      <c r="C24" s="166" t="s">
        <v>1279</v>
      </c>
      <c r="D24" s="178" t="s">
        <v>1647</v>
      </c>
    </row>
    <row r="25" spans="2:4" ht="29" customHeight="1" x14ac:dyDescent="0.2">
      <c r="B25" s="197" t="s">
        <v>202</v>
      </c>
      <c r="C25" s="166" t="s">
        <v>2371</v>
      </c>
      <c r="D25" s="198" t="s">
        <v>2570</v>
      </c>
    </row>
    <row r="26" spans="2:4" ht="29" customHeight="1" x14ac:dyDescent="0.2">
      <c r="B26" s="197" t="s">
        <v>3083</v>
      </c>
      <c r="C26" s="166" t="s">
        <v>2364</v>
      </c>
      <c r="D26" s="198" t="s">
        <v>2622</v>
      </c>
    </row>
    <row r="27" spans="2:4" ht="29" customHeight="1" x14ac:dyDescent="0.2">
      <c r="B27" s="197"/>
      <c r="C27" s="166"/>
      <c r="D27" s="198"/>
    </row>
    <row r="28" spans="2:4" ht="25" customHeight="1" x14ac:dyDescent="0.2">
      <c r="B28" s="179"/>
      <c r="C28" s="166"/>
      <c r="D28" s="178"/>
    </row>
    <row r="29" spans="2:4" ht="26" customHeight="1" x14ac:dyDescent="0.2">
      <c r="B29" s="492" t="s">
        <v>2040</v>
      </c>
      <c r="C29" s="493"/>
      <c r="D29" s="494"/>
    </row>
    <row r="30" spans="2:4" ht="26" customHeight="1" x14ac:dyDescent="0.25">
      <c r="B30" s="266" t="s">
        <v>2041</v>
      </c>
      <c r="C30" s="264" t="s">
        <v>2042</v>
      </c>
      <c r="D30" s="267" t="s">
        <v>2050</v>
      </c>
    </row>
    <row r="31" spans="2:4" ht="26" customHeight="1" x14ac:dyDescent="0.25">
      <c r="B31" s="268" t="s">
        <v>2056</v>
      </c>
      <c r="C31" s="265" t="s">
        <v>2057</v>
      </c>
      <c r="D31" s="269" t="s">
        <v>2074</v>
      </c>
    </row>
    <row r="32" spans="2:4" ht="25" customHeight="1" thickBot="1" x14ac:dyDescent="0.25">
      <c r="B32" s="270" t="s">
        <v>3663</v>
      </c>
      <c r="C32" s="271" t="s">
        <v>3813</v>
      </c>
      <c r="D32" s="272"/>
    </row>
    <row r="33" spans="2:4" ht="24" customHeight="1" x14ac:dyDescent="0.2">
      <c r="B33" s="481" t="s">
        <v>1222</v>
      </c>
      <c r="C33" s="481"/>
      <c r="D33" s="481"/>
    </row>
  </sheetData>
  <mergeCells count="8">
    <mergeCell ref="B17:D17"/>
    <mergeCell ref="B33:D33"/>
    <mergeCell ref="B2:D4"/>
    <mergeCell ref="B5:D5"/>
    <mergeCell ref="B7:D7"/>
    <mergeCell ref="B10:D10"/>
    <mergeCell ref="B13:D13"/>
    <mergeCell ref="B29:D29"/>
  </mergeCells>
  <hyperlinks>
    <hyperlink ref="B8" location="'HSD Sale'!A1" display="HSD Sale" xr:uid="{1B364558-C29C-C84E-B137-8EE11A0DAFC6}"/>
    <hyperlink ref="C8" location="'MS Sale'!A1" display="MS Sale" xr:uid="{D290B0B3-BBA3-564E-A4FA-DE80F009CD56}"/>
    <hyperlink ref="D8" location="'XG Sale'!A1" display="XG Sale" xr:uid="{45908F0A-5A8F-714E-8E79-A17974678274}"/>
    <hyperlink ref="B11" location="'Master Paid'!A1" display="Master Paid" xr:uid="{3EF3368F-160D-1940-BDA2-714C5F67E2D6}"/>
    <hyperlink ref="B14" location="'HSD Daily'!A1" display="HSD Daily" xr:uid="{9063E864-A5CA-2449-AD87-838C4394C5D9}"/>
    <hyperlink ref="C14" location="'MS Daily'!A1" display="MS Daily" xr:uid="{98545510-B984-514A-A2E3-5C860298FF0B}"/>
    <hyperlink ref="B15" location="'HSD FY Summary'!A1" display="HSD FY Summary" xr:uid="{FDBEE90A-617B-7449-8767-341BDFA1A7A0}"/>
    <hyperlink ref="C15" location="'MS FY Summary'!A1" display="MS FY Summary" xr:uid="{5D158A27-8ACE-5A46-96A6-9BF879BE84D7}"/>
    <hyperlink ref="B18" location="'Animesh Builders'!A1" display="Animesh Builders" xr:uid="{C02B2F7F-3D11-9E49-BCF3-B50D5234696D}"/>
    <hyperlink ref="C18" location="'SSM'!A1" display="SSM" xr:uid="{F161FC41-2171-3D4B-BB0B-3613D1F1F74A}"/>
    <hyperlink ref="D18" location="'Sudarshan'!A1" display="Sudarshan" xr:uid="{7EFAFBA2-D513-DF4C-A23E-230A72232B2E}"/>
    <hyperlink ref="B19" location="'STEELS &amp; CARRIERS'!A1" display="STEELS &amp; CARRIERS" xr:uid="{AD89F1A2-2B91-D548-8A6B-BCDEE6A31250}"/>
    <hyperlink ref="C19" location="'Simar Infra'!A1" display="Simar Infra" xr:uid="{59C14CAC-B442-6D42-B1CC-75356CBA95AF}"/>
    <hyperlink ref="D19" location="'Shivaay'!A1" display="Shivaay" xr:uid="{CCFB647B-37C6-4E4E-A56D-CF646B084BBE}"/>
    <hyperlink ref="B20" location="'SBS'!A1" display="SBS" xr:uid="{ABB4579C-EE27-064B-8BFE-60308B058A6E}"/>
    <hyperlink ref="C20" location="'RSM'!A1" display="RSM" xr:uid="{303D6BE1-D67B-BB43-80F7-043E955A2178}"/>
    <hyperlink ref="D20" location="PPTE!A1" display="Pioneer Pultru Tech Engineering" xr:uid="{F7772871-BA93-BE44-83F8-B7E187AFC75E}"/>
    <hyperlink ref="B21" location="'Natwar Khetan'!A1" display="Natwar Khetan" xr:uid="{ACFAA883-FE08-9D4F-8335-12FB2CE7CB0D}"/>
    <hyperlink ref="C21" location="'MRD'!A1" display="MRD" xr:uid="{0DB2A118-2123-F641-A784-6931DC8B968D}"/>
    <hyperlink ref="B22" location="'Indiabuild'!A1" display="Indiabuild" xr:uid="{A2DBCCE5-5BE8-5D42-A588-82FB74CE46A6}"/>
    <hyperlink ref="C22" location="'ECBPL'!A1" display="ECBPL" xr:uid="{51A8EDDD-6185-894C-B695-6A9E93826C0A}"/>
    <hyperlink ref="D22" location="Ekdant!A1" display="Ekdant Logistics" xr:uid="{36ACBA98-D396-6D44-B18F-600B29589A41}"/>
    <hyperlink ref="B23" location="'SSFC'!A1" display="Ss Freight Carrier" xr:uid="{6462D89C-E7B8-D046-ADF1-2E25212CAE8F}"/>
    <hyperlink ref="C11" location="'Outstanding'!A1" display="Outstanding Balances" xr:uid="{79166260-C091-6B44-8F5C-91A5A89195D6}"/>
    <hyperlink ref="C23" location="'OIC FS JSG'!A1" display="Ember Coal" xr:uid="{4AE47237-74AA-B24C-AD62-3EE58E173EA1}"/>
    <hyperlink ref="D23" location="String!A1" display="String Logistics" xr:uid="{BF5319CE-D535-2049-BD29-8C0937A6DBB3}"/>
    <hyperlink ref="B24" location="'RSA'!A1" display="Rsa Infraproject Private Limited" xr:uid="{5E1DD916-B5EE-2940-A60F-E4311D14A79E}"/>
    <hyperlink ref="C24" location="'Jyoti Ranjan Dash'!A1" display="Jyoti Ranjan Dash" xr:uid="{3F03F1DC-6D32-0A4C-9BEB-93B17494906E}"/>
    <hyperlink ref="D24" location="'OMPL Retail'!A1" display="OMPL Retail" xr:uid="{38DFD735-1A4E-7A44-BA28-CEBA91785C6E}"/>
    <hyperlink ref="B30" location="'OMPL_Bulk'!A1" display="OMPL_Bulk" xr:uid="{B599653B-B86B-5645-B8E6-F58006629DB1}"/>
    <hyperlink ref="C30" location="'Shyam Metalics_Bulk'!A1" display="Shyam Metalics_Bulk" xr:uid="{B3A72F37-8C97-B842-B23A-FED342AC4445}"/>
    <hyperlink ref="D30" location="'Lakhanpur RCP_Bulk'!A1" display="Lakhanpur RCP_Bulk" xr:uid="{AD1CC19A-3316-6846-99A8-F87ABEF61A6C}"/>
    <hyperlink ref="C29" location="'Animesh Builders'!A1" display="Animesh Builders" xr:uid="{5528C9F2-659C-6941-9CC9-1AA4CDB0645B}"/>
    <hyperlink ref="B25" location="'SHRI LAL KHETAN'!A1" display="SHRI LAL KHETAN" xr:uid="{AB3C05E7-4D0B-A741-A7D3-6BFA8874E137}"/>
    <hyperlink ref="C25" location="Indiabuild!A1" display="Indiabuild Infra" xr:uid="{869295EE-1B45-BC40-90A1-D9C3C3890487}"/>
    <hyperlink ref="B31" location="SMC_Bulk!A1" display="SMC Power_Bulk" xr:uid="{69B82F9A-4374-D74E-AC16-2BD8D5445336}"/>
    <hyperlink ref="C31" location="Ultratech_Bulk!A1" display="Ultra Tech_Bulk" xr:uid="{576BBFF8-94E4-A940-8A53-29D51C70B17A}"/>
    <hyperlink ref="D31" location="'Ankita Air Group_Bulk'!A1" display="Ankita Air Group_Bulk" xr:uid="{AD1EFAE6-1CA5-5A41-B001-22E5F5D5D537}"/>
    <hyperlink ref="D14" location="'HSD Bill'!A1" display="HSD Slips Print" xr:uid="{28E30C56-2C91-5141-A865-EA13BCAB11D2}"/>
    <hyperlink ref="D15" location="Billing!A1" display="Tanker Billing" xr:uid="{65722BAF-260B-4D44-9029-A2E271BE7C6B}"/>
    <hyperlink ref="C26" location="'Pine Labs'!A1" display="Pine Labs Nodal Account" xr:uid="{CC076251-1AEF-BA48-8F57-B6FA0348BE6C}"/>
    <hyperlink ref="D21" location="'Samlai Logistics'!A1" display="Maa Samlai Logistics Private Limited" xr:uid="{55922BF0-5FE5-E340-BFEF-6A4D3F3F1581}"/>
    <hyperlink ref="D25" location="'Keshav Minerals'!A1" display="Keshav Minerals" xr:uid="{4E9D25E9-CBD1-4045-B35F-59B700D9BB25}"/>
    <hyperlink ref="D26" location="'Bhatia Energy'!A1" display="Bhatia Energy and Minerals (Sundargarh) Private Limited" xr:uid="{61093710-326C-2E42-B6DC-0BDCA149F761}"/>
    <hyperlink ref="B26" location="'AKV Logistics'!A1" display="A.K.V. Logistics" xr:uid="{64E27A1A-162A-2D4C-A77C-C3DB9E763E5C}"/>
    <hyperlink ref="B32" location="Aryan_Bulk!A1" display="Aryan Ispat_Bulk" xr:uid="{43F1B5C0-F945-CB42-83F3-242244DE2ABB}"/>
    <hyperlink ref="C32" location="DBL_Bulk!A1" display="DBL_Bulk" xr:uid="{8ED1BF73-6182-6F42-987F-CDA5345D1C04}"/>
  </hyperlink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Module1.ExportCustomerImages">
                <anchor moveWithCells="1" sizeWithCells="1">
                  <from>
                    <xdr:col>6</xdr:col>
                    <xdr:colOff>241300</xdr:colOff>
                    <xdr:row>3</xdr:row>
                    <xdr:rowOff>76200</xdr:rowOff>
                  </from>
                  <to>
                    <xdr:col>9</xdr:col>
                    <xdr:colOff>38100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Module2.ExportCustomerImages">
                <anchor moveWithCells="1" sizeWithCells="1">
                  <from>
                    <xdr:col>10</xdr:col>
                    <xdr:colOff>0</xdr:colOff>
                    <xdr:row>3</xdr:row>
                    <xdr:rowOff>50800</xdr:rowOff>
                  </from>
                  <to>
                    <xdr:col>12</xdr:col>
                    <xdr:colOff>635000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CheckYesterdaysNewCustomers">
                <anchor moveWithCells="1" sizeWithCells="1">
                  <from>
                    <xdr:col>14</xdr:col>
                    <xdr:colOff>50800</xdr:colOff>
                    <xdr:row>0</xdr:row>
                    <xdr:rowOff>88900</xdr:rowOff>
                  </from>
                  <to>
                    <xdr:col>15</xdr:col>
                    <xdr:colOff>749300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 macro="[0]!BulkAddNewCustomers">
                <anchor moveWithCells="1" sizeWithCells="1">
                  <from>
                    <xdr:col>16</xdr:col>
                    <xdr:colOff>88900</xdr:colOff>
                    <xdr:row>0</xdr:row>
                    <xdr:rowOff>88900</xdr:rowOff>
                  </from>
                  <to>
                    <xdr:col>17</xdr:col>
                    <xdr:colOff>787400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lkDeleteCustomers">
                <anchor moveWithCells="1" sizeWithCells="1">
                  <from>
                    <xdr:col>16</xdr:col>
                    <xdr:colOff>88900</xdr:colOff>
                    <xdr:row>2</xdr:row>
                    <xdr:rowOff>355600</xdr:rowOff>
                  </from>
                  <to>
                    <xdr:col>17</xdr:col>
                    <xdr:colOff>787400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8" name="Button 7">
              <controlPr defaultSize="0" print="0" autoFill="0" autoPict="0" macro="[0]!SetA5ToFirstOfMonth">
                <anchor moveWithCells="1" sizeWithCells="1">
                  <from>
                    <xdr:col>14</xdr:col>
                    <xdr:colOff>50800</xdr:colOff>
                    <xdr:row>2</xdr:row>
                    <xdr:rowOff>368300</xdr:rowOff>
                  </from>
                  <to>
                    <xdr:col>15</xdr:col>
                    <xdr:colOff>749300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9" name="Button 8">
              <controlPr defaultSize="0" print="0" autoFill="0" autoPict="0" macro="[0]!Module6.ExportCustomerImages">
                <anchor moveWithCells="1" sizeWithCells="1">
                  <from>
                    <xdr:col>14</xdr:col>
                    <xdr:colOff>63500</xdr:colOff>
                    <xdr:row>4</xdr:row>
                    <xdr:rowOff>368300</xdr:rowOff>
                  </from>
                  <to>
                    <xdr:col>15</xdr:col>
                    <xdr:colOff>762000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0" name="Button 9">
              <controlPr defaultSize="0" print="0" autoFill="0" autoPict="0" macro="[0]!ToggleCustomerSheetLock">
                <anchor moveWithCells="1" sizeWithCells="1">
                  <from>
                    <xdr:col>16</xdr:col>
                    <xdr:colOff>76200</xdr:colOff>
                    <xdr:row>4</xdr:row>
                    <xdr:rowOff>342900</xdr:rowOff>
                  </from>
                  <to>
                    <xdr:col>17</xdr:col>
                    <xdr:colOff>774700</xdr:colOff>
                    <xdr:row>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1" name="Button 10">
              <controlPr defaultSize="0" print="0" autoFill="0" autoPict="0" macro="[0]!ImportDayBook">
                <anchor moveWithCells="1" sizeWithCells="1">
                  <from>
                    <xdr:col>6</xdr:col>
                    <xdr:colOff>254000</xdr:colOff>
                    <xdr:row>0</xdr:row>
                    <xdr:rowOff>114300</xdr:rowOff>
                  </from>
                  <to>
                    <xdr:col>9</xdr:col>
                    <xdr:colOff>25400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2" name="Button 11">
              <controlPr defaultSize="0" print="0" autoFill="0" autoPict="0" macro="[0]!Module8.ExportHSDBills">
                <anchor moveWithCells="1" sizeWithCells="1">
                  <from>
                    <xdr:col>9</xdr:col>
                    <xdr:colOff>787400</xdr:colOff>
                    <xdr:row>0</xdr:row>
                    <xdr:rowOff>114300</xdr:rowOff>
                  </from>
                  <to>
                    <xdr:col>12</xdr:col>
                    <xdr:colOff>622300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3" name="Button 14">
              <controlPr defaultSize="0" print="0" autoFill="0" autoPict="0" macro="[0]!GenerateTankerReport">
                <anchor moveWithCells="1" sizeWithCells="1">
                  <from>
                    <xdr:col>14</xdr:col>
                    <xdr:colOff>63500</xdr:colOff>
                    <xdr:row>7</xdr:row>
                    <xdr:rowOff>25400</xdr:rowOff>
                  </from>
                  <to>
                    <xdr:col>15</xdr:col>
                    <xdr:colOff>762000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4" name="Button 15">
              <controlPr defaultSize="0" print="0" autoFill="0" autoPict="0" macro="[0]!SCPL_GenerateBills">
                <anchor moveWithCells="1" sizeWithCells="1">
                  <from>
                    <xdr:col>16</xdr:col>
                    <xdr:colOff>76200</xdr:colOff>
                    <xdr:row>7</xdr:row>
                    <xdr:rowOff>12700</xdr:rowOff>
                  </from>
                  <to>
                    <xdr:col>17</xdr:col>
                    <xdr:colOff>774700</xdr:colOff>
                    <xdr:row>7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E952B-4976-454C-8D9C-C1FA018891E5}">
  <sheetPr codeName="Sheet2"/>
  <dimension ref="A1:K650"/>
  <sheetViews>
    <sheetView topLeftCell="A526" zoomScale="96" workbookViewId="0">
      <selection activeCell="B545" sqref="B545"/>
    </sheetView>
  </sheetViews>
  <sheetFormatPr baseColWidth="10" defaultColWidth="10.83203125" defaultRowHeight="16" x14ac:dyDescent="0.2"/>
  <cols>
    <col min="1" max="1" width="15" style="5" customWidth="1"/>
    <col min="2" max="2" width="43.33203125" customWidth="1"/>
    <col min="3" max="3" width="18.33203125" style="6" customWidth="1"/>
    <col min="4" max="4" width="33" customWidth="1"/>
    <col min="6" max="6" width="43.33203125" style="17" customWidth="1"/>
  </cols>
  <sheetData>
    <row r="1" spans="1:11" x14ac:dyDescent="0.2">
      <c r="A1" s="446" t="s">
        <v>6</v>
      </c>
      <c r="B1" s="447" t="s">
        <v>7</v>
      </c>
      <c r="C1" s="448" t="s">
        <v>1194</v>
      </c>
      <c r="D1" s="449" t="s">
        <v>1750</v>
      </c>
      <c r="E1" s="17"/>
      <c r="F1" s="165" t="s">
        <v>1223</v>
      </c>
      <c r="G1" s="17"/>
      <c r="H1" s="17"/>
      <c r="I1" s="17"/>
      <c r="J1" s="17"/>
      <c r="K1" s="18" t="s">
        <v>1288</v>
      </c>
    </row>
    <row r="2" spans="1:11" x14ac:dyDescent="0.2">
      <c r="A2" s="450">
        <v>46114</v>
      </c>
      <c r="B2" s="277" t="s">
        <v>302</v>
      </c>
      <c r="C2" s="451">
        <v>1096320</v>
      </c>
      <c r="D2" s="452"/>
      <c r="E2" s="17"/>
      <c r="F2" s="17" t="str" cm="1">
        <f t="array" ref="F2:F70">_xlfn._xlws.SORT(_xlfn.UNIQUE(_xlfn._xlws.FILTER(_xlfn.VSTACK(Table1[Customer],Table14[Customer],Table146[Company]),_xlfn.VSTACK(Table1[Customer],Table14[Customer],Table146[Company])&lt;&gt;"")))</f>
        <v>A.K.V. Logistics</v>
      </c>
      <c r="G2" s="17"/>
      <c r="H2" s="17"/>
      <c r="I2" s="17"/>
      <c r="J2" s="17"/>
      <c r="K2" s="17"/>
    </row>
    <row r="3" spans="1:11" x14ac:dyDescent="0.2">
      <c r="A3" s="450">
        <v>46114</v>
      </c>
      <c r="B3" s="277" t="s">
        <v>584</v>
      </c>
      <c r="C3" s="451">
        <v>1111767</v>
      </c>
      <c r="D3" s="452"/>
      <c r="E3" s="17"/>
      <c r="F3" s="17" t="str">
        <v>Animesh Builders</v>
      </c>
      <c r="G3" s="17"/>
      <c r="H3" s="17"/>
      <c r="I3" s="17"/>
      <c r="J3" s="17"/>
      <c r="K3" s="17"/>
    </row>
    <row r="4" spans="1:11" x14ac:dyDescent="0.2">
      <c r="A4" s="450">
        <v>46115</v>
      </c>
      <c r="B4" s="277" t="s">
        <v>202</v>
      </c>
      <c r="C4" s="451">
        <v>13649</v>
      </c>
      <c r="D4" s="452" t="s">
        <v>1298</v>
      </c>
      <c r="E4" s="17"/>
      <c r="F4" s="17" t="str">
        <v>Aryan Ispat &amp; Power Private Ltd.</v>
      </c>
      <c r="G4" s="17"/>
      <c r="H4" s="17"/>
      <c r="I4" s="17"/>
      <c r="J4" s="17"/>
      <c r="K4" s="17"/>
    </row>
    <row r="5" spans="1:11" x14ac:dyDescent="0.2">
      <c r="A5" s="450">
        <v>46116</v>
      </c>
      <c r="B5" s="277" t="s">
        <v>52</v>
      </c>
      <c r="C5" s="451">
        <v>400000</v>
      </c>
      <c r="D5" s="452" t="s">
        <v>1297</v>
      </c>
      <c r="E5" s="17"/>
      <c r="F5" s="17" t="str">
        <v>Ashish Garg</v>
      </c>
      <c r="G5" s="17"/>
      <c r="H5" s="17"/>
      <c r="I5" s="17"/>
      <c r="J5" s="17"/>
      <c r="K5" s="17"/>
    </row>
    <row r="6" spans="1:11" x14ac:dyDescent="0.2">
      <c r="A6" s="450">
        <v>46118</v>
      </c>
      <c r="B6" s="277" t="s">
        <v>52</v>
      </c>
      <c r="C6" s="451">
        <v>576118</v>
      </c>
      <c r="D6" s="452" t="s">
        <v>1297</v>
      </c>
      <c r="E6" s="17"/>
      <c r="F6" s="17" t="str">
        <v>Bhatia Energy and Minerals (Sundargarh) Private Limited</v>
      </c>
      <c r="G6" s="17"/>
      <c r="H6" s="17"/>
      <c r="I6" s="17"/>
      <c r="J6" s="17"/>
      <c r="K6" s="17"/>
    </row>
    <row r="7" spans="1:11" x14ac:dyDescent="0.2">
      <c r="A7" s="450">
        <v>46119</v>
      </c>
      <c r="B7" s="277" t="s">
        <v>143</v>
      </c>
      <c r="C7" s="451">
        <v>274080</v>
      </c>
      <c r="D7" s="452" t="s">
        <v>1298</v>
      </c>
      <c r="E7" s="17"/>
      <c r="F7" s="17" t="str">
        <v>Bkd Logistics Private Limited</v>
      </c>
      <c r="G7" s="17"/>
      <c r="H7" s="17"/>
      <c r="I7" s="17"/>
      <c r="J7" s="17"/>
      <c r="K7" s="17"/>
    </row>
    <row r="8" spans="1:11" x14ac:dyDescent="0.2">
      <c r="A8" s="450">
        <v>46119</v>
      </c>
      <c r="B8" s="277" t="s">
        <v>52</v>
      </c>
      <c r="C8" s="451">
        <v>500000</v>
      </c>
      <c r="D8" s="452" t="s">
        <v>1297</v>
      </c>
      <c r="E8" s="17"/>
      <c r="F8" s="17" t="str">
        <v>Dbl-Siarmal Coal Mines Private Limited</v>
      </c>
      <c r="G8" s="17"/>
      <c r="H8" s="17"/>
      <c r="I8" s="17"/>
      <c r="J8" s="17"/>
      <c r="K8" s="17"/>
    </row>
    <row r="9" spans="1:11" x14ac:dyDescent="0.2">
      <c r="A9" s="450">
        <v>46119</v>
      </c>
      <c r="B9" s="277" t="s">
        <v>92</v>
      </c>
      <c r="C9" s="451">
        <v>74192</v>
      </c>
      <c r="D9" s="452" t="s">
        <v>1298</v>
      </c>
      <c r="E9" s="17"/>
      <c r="F9" s="17" t="str">
        <v>DEV TRANSPORT</v>
      </c>
      <c r="G9" s="17"/>
      <c r="H9" s="17"/>
      <c r="I9" s="17"/>
      <c r="J9" s="17"/>
      <c r="K9" s="17"/>
    </row>
    <row r="10" spans="1:11" x14ac:dyDescent="0.2">
      <c r="A10" s="450">
        <v>46119</v>
      </c>
      <c r="B10" s="277" t="s">
        <v>134</v>
      </c>
      <c r="C10" s="451">
        <v>111288</v>
      </c>
      <c r="D10" s="452" t="s">
        <v>1298</v>
      </c>
      <c r="E10" s="17"/>
      <c r="F10" s="17" t="str">
        <v>DG VRIDDHI FUELS</v>
      </c>
      <c r="G10" s="17"/>
      <c r="H10" s="17"/>
      <c r="I10" s="17"/>
      <c r="J10" s="17"/>
      <c r="K10" s="17"/>
    </row>
    <row r="11" spans="1:11" x14ac:dyDescent="0.2">
      <c r="A11" s="450">
        <v>46120</v>
      </c>
      <c r="B11" s="277" t="s">
        <v>143</v>
      </c>
      <c r="C11" s="451">
        <v>274080</v>
      </c>
      <c r="D11" s="452" t="s">
        <v>1298</v>
      </c>
      <c r="E11" s="17"/>
      <c r="F11" s="17" t="str">
        <v>Ekdant Logistic</v>
      </c>
      <c r="G11" s="17"/>
      <c r="H11" s="17"/>
      <c r="I11" s="17"/>
      <c r="J11" s="17"/>
      <c r="K11" s="17"/>
    </row>
    <row r="12" spans="1:11" x14ac:dyDescent="0.2">
      <c r="A12" s="450">
        <v>46120</v>
      </c>
      <c r="B12" s="277" t="s">
        <v>143</v>
      </c>
      <c r="C12" s="451">
        <v>30345</v>
      </c>
      <c r="D12" s="452" t="s">
        <v>1298</v>
      </c>
      <c r="E12" s="17"/>
      <c r="F12" s="17" t="str">
        <v>Ember Coal Beneficiation Private Limited</v>
      </c>
      <c r="G12" s="17"/>
      <c r="H12" s="17"/>
      <c r="I12" s="17"/>
      <c r="J12" s="17"/>
      <c r="K12" s="17"/>
    </row>
    <row r="13" spans="1:11" x14ac:dyDescent="0.2">
      <c r="A13" s="450">
        <v>46120</v>
      </c>
      <c r="B13" s="277" t="s">
        <v>52</v>
      </c>
      <c r="C13" s="451">
        <v>500000</v>
      </c>
      <c r="D13" s="452" t="s">
        <v>1297</v>
      </c>
      <c r="E13" s="17"/>
      <c r="F13" s="17" t="str">
        <v>EzyPay UPI ICICI</v>
      </c>
      <c r="G13" s="17"/>
      <c r="H13" s="17"/>
      <c r="I13" s="17"/>
      <c r="J13" s="17"/>
      <c r="K13" s="17"/>
    </row>
    <row r="14" spans="1:11" x14ac:dyDescent="0.2">
      <c r="A14" s="450">
        <v>46121</v>
      </c>
      <c r="B14" s="277" t="s">
        <v>51</v>
      </c>
      <c r="C14" s="451">
        <v>4099896</v>
      </c>
      <c r="D14" s="452" t="s">
        <v>1298</v>
      </c>
      <c r="E14" s="17"/>
      <c r="F14" s="17" t="str">
        <v>Fleet Card Posting</v>
      </c>
      <c r="G14" s="17"/>
      <c r="H14" s="17"/>
      <c r="I14" s="17"/>
      <c r="J14" s="17"/>
      <c r="K14" s="17"/>
    </row>
    <row r="15" spans="1:11" x14ac:dyDescent="0.2">
      <c r="A15" s="453">
        <v>46122</v>
      </c>
      <c r="B15" s="50" t="s">
        <v>199</v>
      </c>
      <c r="C15" s="454">
        <v>22100</v>
      </c>
      <c r="D15" s="455"/>
      <c r="E15" s="17"/>
      <c r="F15" s="17" t="str">
        <v>Gandhar Concrete Pole</v>
      </c>
      <c r="G15" s="17"/>
      <c r="H15" s="17"/>
      <c r="I15" s="17"/>
      <c r="J15" s="17"/>
      <c r="K15" s="17"/>
    </row>
    <row r="16" spans="1:11" x14ac:dyDescent="0.2">
      <c r="A16" s="450">
        <v>46122</v>
      </c>
      <c r="B16" s="277" t="s">
        <v>143</v>
      </c>
      <c r="C16" s="451">
        <v>274080</v>
      </c>
      <c r="D16" s="452" t="s">
        <v>1298</v>
      </c>
      <c r="E16" s="17"/>
      <c r="F16" s="17" t="str">
        <v>Great River Coy Private Limited</v>
      </c>
      <c r="G16" s="17"/>
      <c r="H16" s="17"/>
      <c r="I16" s="17"/>
      <c r="J16" s="17"/>
      <c r="K16" s="17"/>
    </row>
    <row r="17" spans="1:11" x14ac:dyDescent="0.2">
      <c r="A17" s="450">
        <v>46122</v>
      </c>
      <c r="B17" s="277" t="s">
        <v>52</v>
      </c>
      <c r="C17" s="451">
        <v>6000</v>
      </c>
      <c r="D17" s="452" t="s">
        <v>1299</v>
      </c>
      <c r="E17" s="17"/>
      <c r="F17" s="17" t="str">
        <v>Grk Logistics Private Limited</v>
      </c>
      <c r="G17" s="17"/>
      <c r="H17" s="17"/>
      <c r="I17" s="17"/>
      <c r="J17" s="17"/>
      <c r="K17" s="17"/>
    </row>
    <row r="18" spans="1:11" x14ac:dyDescent="0.2">
      <c r="A18" s="450">
        <v>46123</v>
      </c>
      <c r="B18" s="277" t="s">
        <v>52</v>
      </c>
      <c r="C18" s="451">
        <v>500000</v>
      </c>
      <c r="D18" s="452" t="s">
        <v>1297</v>
      </c>
      <c r="E18" s="17"/>
      <c r="F18" s="17" t="str">
        <v>Harnoor Logistics Private Limited</v>
      </c>
      <c r="G18" s="17"/>
      <c r="H18" s="17"/>
      <c r="I18" s="17"/>
      <c r="J18" s="17"/>
      <c r="K18" s="17"/>
    </row>
    <row r="19" spans="1:11" x14ac:dyDescent="0.2">
      <c r="A19" s="450">
        <v>46125</v>
      </c>
      <c r="B19" s="277" t="s">
        <v>143</v>
      </c>
      <c r="C19" s="451">
        <v>274080</v>
      </c>
      <c r="D19" s="452" t="s">
        <v>1298</v>
      </c>
      <c r="E19" s="17"/>
      <c r="F19" s="17" t="str">
        <v>Hm Power and Cables Private Limited</v>
      </c>
      <c r="G19" s="17"/>
      <c r="H19" s="17"/>
      <c r="I19" s="17"/>
      <c r="J19" s="17"/>
      <c r="K19" s="17"/>
    </row>
    <row r="20" spans="1:11" x14ac:dyDescent="0.2">
      <c r="A20" s="450">
        <v>46125</v>
      </c>
      <c r="B20" s="277" t="s">
        <v>52</v>
      </c>
      <c r="C20" s="451">
        <v>750000</v>
      </c>
      <c r="D20" s="452" t="s">
        <v>1297</v>
      </c>
      <c r="E20" s="17"/>
      <c r="F20" s="17" t="str">
        <v>Indiabuild Infra Private Limited</v>
      </c>
      <c r="G20" s="17"/>
      <c r="H20" s="17"/>
      <c r="I20" s="17"/>
      <c r="J20" s="17"/>
      <c r="K20" s="17"/>
    </row>
    <row r="21" spans="1:11" x14ac:dyDescent="0.2">
      <c r="A21" s="450">
        <v>46129</v>
      </c>
      <c r="B21" s="277" t="s">
        <v>143</v>
      </c>
      <c r="C21" s="451">
        <v>274080</v>
      </c>
      <c r="D21" s="452" t="s">
        <v>1298</v>
      </c>
      <c r="E21" s="17"/>
      <c r="F21" s="17" t="str">
        <v>Indian Enterprises</v>
      </c>
      <c r="G21" s="17"/>
      <c r="H21" s="17"/>
      <c r="I21" s="17"/>
      <c r="J21" s="17"/>
      <c r="K21" s="17"/>
    </row>
    <row r="22" spans="1:11" x14ac:dyDescent="0.2">
      <c r="A22" s="450">
        <v>46130</v>
      </c>
      <c r="B22" s="277" t="s">
        <v>143</v>
      </c>
      <c r="C22" s="451">
        <v>278220</v>
      </c>
      <c r="D22" s="452" t="s">
        <v>1298</v>
      </c>
      <c r="E22" s="17"/>
      <c r="F22" s="17" t="str">
        <v>Inland World Logistics Private Limited</v>
      </c>
      <c r="G22" s="17"/>
      <c r="H22" s="17"/>
      <c r="I22" s="17"/>
      <c r="J22" s="17"/>
      <c r="K22" s="17"/>
    </row>
    <row r="23" spans="1:11" x14ac:dyDescent="0.2">
      <c r="A23" s="450">
        <v>46130</v>
      </c>
      <c r="B23" s="277" t="s">
        <v>143</v>
      </c>
      <c r="C23" s="451">
        <v>278220</v>
      </c>
      <c r="D23" s="452" t="s">
        <v>1298</v>
      </c>
      <c r="E23" s="17"/>
      <c r="F23" s="17" t="str">
        <v>Jaymaa Mangla Construction</v>
      </c>
      <c r="G23" s="17"/>
      <c r="H23" s="17"/>
      <c r="I23" s="17"/>
      <c r="J23" s="17"/>
      <c r="K23" s="17"/>
    </row>
    <row r="24" spans="1:11" x14ac:dyDescent="0.2">
      <c r="A24" s="450">
        <v>46133</v>
      </c>
      <c r="B24" s="277" t="s">
        <v>143</v>
      </c>
      <c r="C24" s="451">
        <v>463700</v>
      </c>
      <c r="D24" s="452" t="s">
        <v>1298</v>
      </c>
      <c r="E24" s="17"/>
      <c r="F24" s="17" t="str">
        <v>JYOTI RANJAN DASH</v>
      </c>
      <c r="G24" s="17"/>
      <c r="H24" s="17"/>
      <c r="I24" s="17"/>
      <c r="J24" s="17"/>
      <c r="K24" s="17"/>
    </row>
    <row r="25" spans="1:11" x14ac:dyDescent="0.2">
      <c r="A25" s="450">
        <v>46134</v>
      </c>
      <c r="B25" s="277" t="s">
        <v>255</v>
      </c>
      <c r="C25" s="451">
        <v>365074</v>
      </c>
      <c r="D25" s="452"/>
      <c r="E25" s="17"/>
      <c r="F25" s="17" t="str">
        <v>Kalyani Ventures Limited</v>
      </c>
      <c r="G25" s="17"/>
      <c r="H25" s="17"/>
      <c r="I25" s="17"/>
      <c r="J25" s="17"/>
      <c r="K25" s="17"/>
    </row>
    <row r="26" spans="1:11" x14ac:dyDescent="0.2">
      <c r="A26" s="450">
        <v>46134</v>
      </c>
      <c r="B26" s="277" t="s">
        <v>51</v>
      </c>
      <c r="C26" s="451">
        <v>1096902</v>
      </c>
      <c r="D26" s="452" t="s">
        <v>1298</v>
      </c>
      <c r="E26" s="17"/>
      <c r="F26" s="17" t="str">
        <v>Kanha Enterprises</v>
      </c>
      <c r="G26" s="17"/>
      <c r="H26" s="17"/>
      <c r="I26" s="17"/>
      <c r="J26" s="17"/>
      <c r="K26" s="17"/>
    </row>
    <row r="27" spans="1:11" x14ac:dyDescent="0.2">
      <c r="A27" s="450">
        <v>46135</v>
      </c>
      <c r="B27" s="277" t="s">
        <v>51</v>
      </c>
      <c r="C27" s="451">
        <v>3656340</v>
      </c>
      <c r="D27" s="452" t="s">
        <v>1298</v>
      </c>
      <c r="E27" s="17"/>
      <c r="F27" s="17" t="str">
        <v>Keshav Minerals</v>
      </c>
      <c r="G27" s="17"/>
      <c r="H27" s="17"/>
      <c r="I27" s="17"/>
      <c r="J27" s="17"/>
      <c r="K27" s="17"/>
    </row>
    <row r="28" spans="1:11" x14ac:dyDescent="0.2">
      <c r="A28" s="450">
        <v>46136</v>
      </c>
      <c r="B28" s="277" t="s">
        <v>143</v>
      </c>
      <c r="C28" s="451">
        <v>278220</v>
      </c>
      <c r="D28" s="452" t="s">
        <v>1298</v>
      </c>
      <c r="E28" s="17"/>
      <c r="F28" s="17" t="str">
        <v>KRISHNA INFRATECH PVT LTD</v>
      </c>
      <c r="G28" s="17"/>
      <c r="H28" s="17"/>
      <c r="I28" s="17"/>
      <c r="J28" s="17"/>
      <c r="K28" s="17"/>
    </row>
    <row r="29" spans="1:11" x14ac:dyDescent="0.2">
      <c r="A29" s="450">
        <v>46136</v>
      </c>
      <c r="B29" s="277" t="s">
        <v>143</v>
      </c>
      <c r="C29" s="451">
        <v>278220</v>
      </c>
      <c r="D29" s="452" t="s">
        <v>1298</v>
      </c>
      <c r="E29" s="17"/>
      <c r="F29" s="17" t="str">
        <v>Krl Infratech (India) Limited</v>
      </c>
      <c r="G29" s="17"/>
      <c r="H29" s="17"/>
      <c r="I29" s="17"/>
      <c r="J29" s="17"/>
      <c r="K29" s="17"/>
    </row>
    <row r="30" spans="1:11" x14ac:dyDescent="0.2">
      <c r="A30" s="453">
        <v>46140</v>
      </c>
      <c r="B30" s="50" t="s">
        <v>714</v>
      </c>
      <c r="C30" s="454">
        <v>50000</v>
      </c>
      <c r="D30" s="455"/>
      <c r="E30" s="17"/>
      <c r="F30" s="17" t="str">
        <v>M/s  Ankita Air Products Private Limited</v>
      </c>
      <c r="G30" s="17"/>
      <c r="H30" s="17"/>
      <c r="I30" s="17"/>
      <c r="J30" s="17"/>
      <c r="K30" s="17"/>
    </row>
    <row r="31" spans="1:11" x14ac:dyDescent="0.2">
      <c r="A31" s="450">
        <v>46140</v>
      </c>
      <c r="B31" s="277" t="s">
        <v>501</v>
      </c>
      <c r="C31" s="451">
        <v>111288</v>
      </c>
      <c r="D31" s="452" t="s">
        <v>1298</v>
      </c>
      <c r="E31" s="17"/>
      <c r="F31" s="17" t="str">
        <v>M/s Global Movers</v>
      </c>
      <c r="G31" s="17"/>
      <c r="H31" s="17"/>
      <c r="I31" s="17"/>
      <c r="J31" s="17"/>
      <c r="K31" s="17"/>
    </row>
    <row r="32" spans="1:11" x14ac:dyDescent="0.2">
      <c r="A32" s="450">
        <v>46142</v>
      </c>
      <c r="B32" s="277" t="s">
        <v>143</v>
      </c>
      <c r="C32" s="451">
        <v>278220</v>
      </c>
      <c r="D32" s="452" t="s">
        <v>1298</v>
      </c>
      <c r="E32" s="17"/>
      <c r="F32" s="17" t="str">
        <v>M/s Jai Balaji Oxygen Private Limited</v>
      </c>
      <c r="G32" s="17"/>
      <c r="H32" s="17"/>
      <c r="I32" s="17"/>
      <c r="J32" s="17"/>
      <c r="K32" s="17"/>
    </row>
    <row r="33" spans="1:11" x14ac:dyDescent="0.2">
      <c r="A33" s="450">
        <v>46142</v>
      </c>
      <c r="B33" s="277" t="s">
        <v>143</v>
      </c>
      <c r="C33" s="451">
        <v>278220</v>
      </c>
      <c r="D33" s="452" t="s">
        <v>1298</v>
      </c>
      <c r="E33" s="17"/>
      <c r="F33" s="17" t="str">
        <v>M/s Shree Balajee Enterprises</v>
      </c>
      <c r="G33" s="17"/>
      <c r="H33" s="17"/>
      <c r="I33" s="17"/>
      <c r="J33" s="17"/>
      <c r="K33" s="17"/>
    </row>
    <row r="34" spans="1:11" x14ac:dyDescent="0.2">
      <c r="A34" s="450">
        <v>46142</v>
      </c>
      <c r="B34" s="277" t="s">
        <v>143</v>
      </c>
      <c r="C34" s="451">
        <v>278220</v>
      </c>
      <c r="D34" s="452" t="s">
        <v>1298</v>
      </c>
      <c r="E34" s="17"/>
      <c r="F34" s="17" t="str">
        <v>M/s Smc Power Generation Ltd.</v>
      </c>
      <c r="G34" s="17"/>
      <c r="H34" s="17"/>
      <c r="I34" s="17"/>
      <c r="J34" s="17"/>
      <c r="K34" s="17"/>
    </row>
    <row r="35" spans="1:11" x14ac:dyDescent="0.2">
      <c r="A35" s="453">
        <v>46143</v>
      </c>
      <c r="B35" s="50" t="s">
        <v>199</v>
      </c>
      <c r="C35" s="454">
        <v>15000</v>
      </c>
      <c r="D35" s="455"/>
      <c r="E35" s="17"/>
      <c r="F35" s="17" t="str">
        <v>M/S Ultratech Cement Ltd</v>
      </c>
      <c r="G35" s="17"/>
      <c r="H35" s="17"/>
      <c r="I35" s="17"/>
      <c r="J35" s="17"/>
      <c r="K35" s="17"/>
    </row>
    <row r="36" spans="1:11" x14ac:dyDescent="0.2">
      <c r="A36" s="453">
        <v>46143</v>
      </c>
      <c r="B36" s="50" t="s">
        <v>95</v>
      </c>
      <c r="C36" s="454">
        <v>92740</v>
      </c>
      <c r="D36" s="455"/>
      <c r="E36" s="17"/>
      <c r="F36" s="17" t="str">
        <v>M/s-Capital Engineering Services</v>
      </c>
      <c r="G36" s="17"/>
      <c r="H36" s="17"/>
      <c r="I36" s="17"/>
      <c r="J36" s="17"/>
      <c r="K36" s="17"/>
    </row>
    <row r="37" spans="1:11" x14ac:dyDescent="0.2">
      <c r="A37" s="450">
        <v>46143</v>
      </c>
      <c r="B37" s="277" t="s">
        <v>302</v>
      </c>
      <c r="C37" s="451">
        <v>1111765</v>
      </c>
      <c r="D37" s="452"/>
      <c r="E37" s="17"/>
      <c r="F37" s="17" t="str">
        <v>M/s. Ajit Kumar Debta</v>
      </c>
      <c r="G37" s="17"/>
      <c r="H37" s="17"/>
      <c r="I37" s="17"/>
      <c r="J37" s="17"/>
      <c r="K37" s="17"/>
    </row>
    <row r="38" spans="1:11" x14ac:dyDescent="0.2">
      <c r="A38" s="453">
        <v>46144</v>
      </c>
      <c r="B38" s="50" t="s">
        <v>152</v>
      </c>
      <c r="C38" s="454">
        <v>500000</v>
      </c>
      <c r="D38" s="455"/>
      <c r="E38" s="17"/>
      <c r="F38" s="17" t="str">
        <v>MAA DURGA CONSTRUCTION</v>
      </c>
      <c r="G38" s="17"/>
      <c r="H38" s="17"/>
      <c r="I38" s="17"/>
      <c r="J38" s="17"/>
      <c r="K38" s="17"/>
    </row>
    <row r="39" spans="1:11" x14ac:dyDescent="0.2">
      <c r="A39" s="453">
        <v>46144</v>
      </c>
      <c r="B39" s="50" t="s">
        <v>96</v>
      </c>
      <c r="C39" s="454">
        <v>200000</v>
      </c>
      <c r="D39" s="455"/>
      <c r="E39" s="17"/>
      <c r="F39" s="17" t="str">
        <v>Maa Karni Earthmover Private Limited</v>
      </c>
      <c r="G39" s="17"/>
      <c r="H39" s="17"/>
      <c r="I39" s="17"/>
      <c r="J39" s="17"/>
      <c r="K39" s="17"/>
    </row>
    <row r="40" spans="1:11" x14ac:dyDescent="0.2">
      <c r="A40" s="453">
        <v>46144</v>
      </c>
      <c r="B40" s="50" t="s">
        <v>137</v>
      </c>
      <c r="C40" s="454">
        <v>274371</v>
      </c>
      <c r="D40" s="455"/>
      <c r="E40" s="17"/>
      <c r="F40" s="17" t="str">
        <v>Maa Samlai Logistics Private Limited</v>
      </c>
      <c r="G40" s="17"/>
      <c r="H40" s="17"/>
      <c r="I40" s="17"/>
      <c r="J40" s="17"/>
      <c r="K40" s="17"/>
    </row>
    <row r="41" spans="1:11" x14ac:dyDescent="0.2">
      <c r="A41" s="450">
        <v>46144</v>
      </c>
      <c r="B41" s="277" t="s">
        <v>143</v>
      </c>
      <c r="C41" s="451">
        <v>278220</v>
      </c>
      <c r="D41" s="452" t="s">
        <v>1298</v>
      </c>
      <c r="E41" s="17"/>
      <c r="F41" s="17" t="str">
        <v>Maa Samleswari Equipments</v>
      </c>
      <c r="G41" s="17"/>
      <c r="H41" s="17"/>
      <c r="I41" s="17"/>
      <c r="J41" s="17"/>
      <c r="K41" s="17"/>
    </row>
    <row r="42" spans="1:11" x14ac:dyDescent="0.2">
      <c r="A42" s="450">
        <v>46144</v>
      </c>
      <c r="B42" s="456" t="s">
        <v>143</v>
      </c>
      <c r="C42" s="451">
        <v>278220</v>
      </c>
      <c r="D42" s="452" t="s">
        <v>1298</v>
      </c>
      <c r="E42" s="17"/>
      <c r="F42" s="17" t="str">
        <v>Maruti Realities &amp; Developers</v>
      </c>
      <c r="G42" s="17"/>
      <c r="H42" s="17"/>
      <c r="I42" s="17"/>
      <c r="J42" s="17"/>
      <c r="K42" s="17"/>
    </row>
    <row r="43" spans="1:11" x14ac:dyDescent="0.2">
      <c r="A43" s="453">
        <v>46145</v>
      </c>
      <c r="B43" s="50" t="s">
        <v>59</v>
      </c>
      <c r="C43" s="454">
        <v>1000000</v>
      </c>
      <c r="D43" s="455"/>
      <c r="E43" s="17"/>
      <c r="F43" s="17" t="str">
        <v>Mineral Co.</v>
      </c>
      <c r="G43" s="17"/>
      <c r="H43" s="17"/>
      <c r="I43" s="17"/>
      <c r="J43" s="17"/>
      <c r="K43" s="17"/>
    </row>
    <row r="44" spans="1:11" x14ac:dyDescent="0.2">
      <c r="A44" s="450">
        <v>46145</v>
      </c>
      <c r="B44" s="277" t="s">
        <v>202</v>
      </c>
      <c r="C44" s="451">
        <v>29033</v>
      </c>
      <c r="D44" s="452" t="s">
        <v>1298</v>
      </c>
      <c r="E44" s="17"/>
      <c r="F44" s="17" t="str">
        <v>Mukesh Rana Ref OMPL</v>
      </c>
      <c r="G44" s="17"/>
      <c r="H44" s="17"/>
      <c r="I44" s="17"/>
      <c r="J44" s="17"/>
      <c r="K44" s="17"/>
    </row>
    <row r="45" spans="1:11" x14ac:dyDescent="0.2">
      <c r="A45" s="453">
        <v>46146</v>
      </c>
      <c r="B45" s="457" t="s">
        <v>257</v>
      </c>
      <c r="C45" s="454">
        <v>86411.13</v>
      </c>
      <c r="D45" s="455"/>
      <c r="E45" s="17"/>
      <c r="F45" s="17" t="str">
        <v>OIC Jharsuguda FS</v>
      </c>
      <c r="G45" s="17"/>
      <c r="H45" s="17"/>
      <c r="I45" s="17"/>
      <c r="J45" s="17"/>
      <c r="K45" s="17"/>
    </row>
    <row r="46" spans="1:11" x14ac:dyDescent="0.2">
      <c r="A46" s="453">
        <v>46148</v>
      </c>
      <c r="B46" s="457" t="s">
        <v>58</v>
      </c>
      <c r="C46" s="454">
        <v>2067700</v>
      </c>
      <c r="D46" s="455"/>
      <c r="E46" s="17"/>
      <c r="F46" s="17" t="str">
        <v>Orissa Metaliks Private Limited</v>
      </c>
      <c r="G46" s="17"/>
      <c r="H46" s="17"/>
      <c r="I46" s="17"/>
      <c r="J46" s="17"/>
      <c r="K46" s="17"/>
    </row>
    <row r="47" spans="1:11" x14ac:dyDescent="0.2">
      <c r="A47" s="453">
        <v>46148</v>
      </c>
      <c r="B47" s="457" t="s">
        <v>714</v>
      </c>
      <c r="C47" s="454">
        <v>100000</v>
      </c>
      <c r="D47" s="455"/>
      <c r="E47" s="17"/>
      <c r="F47" s="17" t="str">
        <v>Pine Labs Nodal Account</v>
      </c>
      <c r="G47" s="17"/>
      <c r="H47" s="17"/>
      <c r="I47" s="17"/>
      <c r="J47" s="17"/>
      <c r="K47" s="17"/>
    </row>
    <row r="48" spans="1:11" x14ac:dyDescent="0.2">
      <c r="A48" s="450">
        <v>46148</v>
      </c>
      <c r="B48" s="456" t="s">
        <v>134</v>
      </c>
      <c r="C48" s="451">
        <v>106651</v>
      </c>
      <c r="D48" s="452" t="s">
        <v>1298</v>
      </c>
      <c r="E48" s="17"/>
      <c r="F48" s="17" t="str">
        <v>Pioneer Pultru Tech Engineering Private Limited</v>
      </c>
      <c r="G48" s="17"/>
      <c r="H48" s="17"/>
      <c r="I48" s="17"/>
      <c r="J48" s="17"/>
      <c r="K48" s="17"/>
    </row>
    <row r="49" spans="1:11" x14ac:dyDescent="0.2">
      <c r="A49" s="453">
        <v>46149</v>
      </c>
      <c r="B49" s="50" t="s">
        <v>96</v>
      </c>
      <c r="C49" s="454">
        <v>283035</v>
      </c>
      <c r="D49" s="455"/>
      <c r="E49" s="17"/>
      <c r="F49" s="17" t="str">
        <v>Radhe Shyam Mining</v>
      </c>
      <c r="G49" s="17"/>
      <c r="H49" s="17"/>
      <c r="I49" s="17"/>
      <c r="J49" s="17"/>
      <c r="K49" s="17"/>
    </row>
    <row r="50" spans="1:11" x14ac:dyDescent="0.2">
      <c r="A50" s="453">
        <v>46149</v>
      </c>
      <c r="B50" s="457" t="s">
        <v>93</v>
      </c>
      <c r="C50" s="454">
        <v>97968</v>
      </c>
      <c r="D50" s="455"/>
      <c r="E50" s="17"/>
      <c r="F50" s="17" t="str">
        <v>Raventrax Private Limited</v>
      </c>
      <c r="G50" s="17"/>
      <c r="H50" s="17"/>
      <c r="I50" s="17"/>
      <c r="J50" s="17"/>
      <c r="K50" s="17"/>
    </row>
    <row r="51" spans="1:11" x14ac:dyDescent="0.2">
      <c r="A51" s="450">
        <v>46149</v>
      </c>
      <c r="B51" s="456" t="s">
        <v>143</v>
      </c>
      <c r="C51" s="451">
        <v>278007</v>
      </c>
      <c r="D51" s="452" t="s">
        <v>1298</v>
      </c>
      <c r="E51" s="17"/>
      <c r="F51" s="17" t="str">
        <v>Rsa Infraproject Private Limited</v>
      </c>
      <c r="G51" s="17"/>
      <c r="H51" s="17"/>
      <c r="I51" s="17"/>
      <c r="J51" s="17"/>
      <c r="K51" s="17"/>
    </row>
    <row r="52" spans="1:11" x14ac:dyDescent="0.2">
      <c r="A52" s="450">
        <v>46149</v>
      </c>
      <c r="B52" s="456" t="s">
        <v>143</v>
      </c>
      <c r="C52" s="451">
        <v>278220</v>
      </c>
      <c r="D52" s="452" t="s">
        <v>1298</v>
      </c>
      <c r="E52" s="17"/>
      <c r="F52" s="17" t="str">
        <v>S K Trading</v>
      </c>
      <c r="G52" s="17"/>
      <c r="H52" s="17"/>
      <c r="I52" s="17"/>
      <c r="J52" s="17"/>
      <c r="K52" s="17"/>
    </row>
    <row r="53" spans="1:11" x14ac:dyDescent="0.2">
      <c r="A53" s="450">
        <v>46149</v>
      </c>
      <c r="B53" s="277" t="s">
        <v>143</v>
      </c>
      <c r="C53" s="451">
        <v>278220</v>
      </c>
      <c r="D53" s="452" t="s">
        <v>1298</v>
      </c>
      <c r="E53" s="17"/>
      <c r="F53" s="17" t="str">
        <v>SAMARPAN LOGISTICS PVT LTD</v>
      </c>
      <c r="G53" s="17"/>
      <c r="H53" s="17"/>
      <c r="I53" s="17"/>
      <c r="J53" s="17"/>
      <c r="K53" s="17"/>
    </row>
    <row r="54" spans="1:11" x14ac:dyDescent="0.2">
      <c r="A54" s="450">
        <v>46149</v>
      </c>
      <c r="B54" s="277" t="s">
        <v>584</v>
      </c>
      <c r="C54" s="451">
        <v>277941</v>
      </c>
      <c r="D54" s="452"/>
      <c r="E54" s="17"/>
      <c r="F54" s="17" t="str">
        <v>SAPNA BUILDERS AND SUPPLIERS</v>
      </c>
      <c r="G54" s="17"/>
      <c r="H54" s="17"/>
      <c r="I54" s="17"/>
      <c r="J54" s="17"/>
      <c r="K54" s="17"/>
    </row>
    <row r="55" spans="1:11" x14ac:dyDescent="0.2">
      <c r="A55" s="450">
        <v>46150</v>
      </c>
      <c r="B55" s="277" t="s">
        <v>143</v>
      </c>
      <c r="C55" s="451">
        <v>370589</v>
      </c>
      <c r="D55" s="452" t="s">
        <v>1298</v>
      </c>
      <c r="E55" s="17"/>
      <c r="F55" s="17" t="str">
        <v>Shivaay Logistics</v>
      </c>
      <c r="G55" s="17"/>
      <c r="H55" s="17"/>
      <c r="I55" s="17"/>
      <c r="J55" s="17"/>
      <c r="K55" s="17"/>
    </row>
    <row r="56" spans="1:11" x14ac:dyDescent="0.2">
      <c r="A56" s="450">
        <v>46150</v>
      </c>
      <c r="B56" s="277" t="s">
        <v>143</v>
      </c>
      <c r="C56" s="451">
        <v>370589</v>
      </c>
      <c r="D56" s="452" t="s">
        <v>1298</v>
      </c>
      <c r="E56" s="17"/>
      <c r="F56" s="17" t="str">
        <v>Shree Jhadeswar Associates</v>
      </c>
      <c r="G56" s="17"/>
      <c r="H56" s="17"/>
      <c r="I56" s="17"/>
      <c r="J56" s="17"/>
      <c r="K56" s="17"/>
    </row>
    <row r="57" spans="1:11" x14ac:dyDescent="0.2">
      <c r="A57" s="450">
        <v>46150</v>
      </c>
      <c r="B57" s="277" t="s">
        <v>143</v>
      </c>
      <c r="C57" s="451">
        <v>370589</v>
      </c>
      <c r="D57" s="452" t="s">
        <v>1298</v>
      </c>
      <c r="E57" s="17"/>
      <c r="F57" s="17" t="str">
        <v>Shree Karni Kripa Construction Company</v>
      </c>
      <c r="G57" s="17"/>
      <c r="H57" s="17"/>
      <c r="I57" s="17"/>
      <c r="J57" s="17"/>
      <c r="K57" s="17"/>
    </row>
    <row r="58" spans="1:11" x14ac:dyDescent="0.2">
      <c r="A58" s="453">
        <v>46151</v>
      </c>
      <c r="B58" s="50" t="s">
        <v>59</v>
      </c>
      <c r="C58" s="454">
        <v>400000</v>
      </c>
      <c r="D58" s="455"/>
      <c r="F58" s="17" t="str">
        <v>SHRI LAL KHETAN</v>
      </c>
    </row>
    <row r="59" spans="1:11" x14ac:dyDescent="0.2">
      <c r="A59" s="450">
        <v>46152</v>
      </c>
      <c r="B59" s="277" t="s">
        <v>51</v>
      </c>
      <c r="C59" s="451">
        <v>2528.75</v>
      </c>
      <c r="D59" s="452" t="s">
        <v>1649</v>
      </c>
      <c r="F59" s="17" t="str">
        <v>Shyam Metalics and Energy Ltd</v>
      </c>
    </row>
    <row r="60" spans="1:11" x14ac:dyDescent="0.2">
      <c r="A60" s="450">
        <v>46153</v>
      </c>
      <c r="B60" s="277" t="s">
        <v>143</v>
      </c>
      <c r="C60" s="451">
        <v>277942</v>
      </c>
      <c r="D60" s="452" t="s">
        <v>1298</v>
      </c>
      <c r="F60" s="17" t="str">
        <v>Simar Infrastructure LTD</v>
      </c>
    </row>
    <row r="61" spans="1:11" x14ac:dyDescent="0.2">
      <c r="A61" s="450">
        <v>46153</v>
      </c>
      <c r="B61" s="277" t="s">
        <v>143</v>
      </c>
      <c r="C61" s="451">
        <v>277942</v>
      </c>
      <c r="D61" s="452" t="s">
        <v>1298</v>
      </c>
      <c r="F61" s="17" t="str">
        <v>Ss Freight Carrier</v>
      </c>
    </row>
    <row r="62" spans="1:11" x14ac:dyDescent="0.2">
      <c r="A62" s="450">
        <v>46153</v>
      </c>
      <c r="B62" s="277" t="s">
        <v>51</v>
      </c>
      <c r="C62" s="451">
        <v>1667650</v>
      </c>
      <c r="D62" s="452" t="s">
        <v>1298</v>
      </c>
      <c r="F62" s="17" t="str">
        <v>SSFCxSSL</v>
      </c>
    </row>
    <row r="63" spans="1:11" x14ac:dyDescent="0.2">
      <c r="A63" s="453">
        <v>46154</v>
      </c>
      <c r="B63" s="50" t="s">
        <v>199</v>
      </c>
      <c r="C63" s="454">
        <v>29723</v>
      </c>
      <c r="D63" s="455"/>
      <c r="F63" s="17" t="str">
        <v>Steels and Carriers Private Limited</v>
      </c>
    </row>
    <row r="64" spans="1:11" x14ac:dyDescent="0.2">
      <c r="A64" s="453">
        <v>46154</v>
      </c>
      <c r="B64" s="50" t="s">
        <v>59</v>
      </c>
      <c r="C64" s="454">
        <v>300000</v>
      </c>
      <c r="D64" s="455"/>
      <c r="F64" s="17" t="str">
        <v>String  Logistics</v>
      </c>
    </row>
    <row r="65" spans="1:6" x14ac:dyDescent="0.2">
      <c r="A65" s="453">
        <v>46154</v>
      </c>
      <c r="B65" s="50" t="s">
        <v>714</v>
      </c>
      <c r="C65" s="454">
        <v>100000</v>
      </c>
      <c r="D65" s="455"/>
      <c r="F65" s="17" t="str">
        <v>Sudarshan Minerals &amp; Logistics</v>
      </c>
    </row>
    <row r="66" spans="1:6" x14ac:dyDescent="0.2">
      <c r="A66" s="453">
        <v>46154</v>
      </c>
      <c r="B66" s="50" t="s">
        <v>93</v>
      </c>
      <c r="C66" s="454">
        <v>16838.400000000001</v>
      </c>
      <c r="D66" s="455"/>
      <c r="F66" s="17" t="str">
        <v>Swagat Sundar Mohanty</v>
      </c>
    </row>
    <row r="67" spans="1:6" x14ac:dyDescent="0.2">
      <c r="A67" s="450">
        <v>46154</v>
      </c>
      <c r="B67" s="277" t="s">
        <v>92</v>
      </c>
      <c r="C67" s="451">
        <v>18548</v>
      </c>
      <c r="D67" s="452" t="s">
        <v>1298</v>
      </c>
      <c r="F67" s="17" t="str">
        <v>T N Roadlines</v>
      </c>
    </row>
    <row r="68" spans="1:6" x14ac:dyDescent="0.2">
      <c r="A68" s="453">
        <v>46155</v>
      </c>
      <c r="B68" s="50" t="s">
        <v>96</v>
      </c>
      <c r="C68" s="454">
        <v>200000</v>
      </c>
      <c r="D68" s="455"/>
      <c r="F68" s="17" t="str">
        <v>Virendra Logistics Private Limited</v>
      </c>
    </row>
    <row r="69" spans="1:6" x14ac:dyDescent="0.2">
      <c r="A69" s="453">
        <v>46155</v>
      </c>
      <c r="B69" s="50" t="s">
        <v>184</v>
      </c>
      <c r="C69" s="454">
        <v>32879</v>
      </c>
      <c r="D69" s="455"/>
      <c r="F69" s="17" t="str">
        <v>VRIDDHI FUELS CAR</v>
      </c>
    </row>
    <row r="70" spans="1:6" x14ac:dyDescent="0.2">
      <c r="A70" s="450">
        <v>46155</v>
      </c>
      <c r="B70" s="277" t="s">
        <v>143</v>
      </c>
      <c r="C70" s="451">
        <v>30345</v>
      </c>
      <c r="D70" s="452" t="s">
        <v>1298</v>
      </c>
      <c r="F70" s="17" t="str">
        <v>VRIDDHI FUELS TANKER</v>
      </c>
    </row>
    <row r="71" spans="1:6" x14ac:dyDescent="0.2">
      <c r="A71" s="450">
        <v>46155</v>
      </c>
      <c r="B71" s="277" t="s">
        <v>874</v>
      </c>
      <c r="C71" s="451">
        <v>185480</v>
      </c>
      <c r="D71" s="452"/>
    </row>
    <row r="72" spans="1:6" x14ac:dyDescent="0.2">
      <c r="A72" s="453">
        <v>46156</v>
      </c>
      <c r="B72" s="50" t="s">
        <v>152</v>
      </c>
      <c r="C72" s="454">
        <v>181483.42</v>
      </c>
      <c r="D72" s="455"/>
    </row>
    <row r="73" spans="1:6" x14ac:dyDescent="0.2">
      <c r="A73" s="453">
        <v>46156</v>
      </c>
      <c r="B73" s="50" t="s">
        <v>93</v>
      </c>
      <c r="C73" s="454">
        <v>14838</v>
      </c>
      <c r="D73" s="455"/>
    </row>
    <row r="74" spans="1:6" x14ac:dyDescent="0.2">
      <c r="A74" s="453">
        <v>46156</v>
      </c>
      <c r="B74" s="50" t="s">
        <v>901</v>
      </c>
      <c r="C74" s="454">
        <v>100000</v>
      </c>
      <c r="D74" s="455"/>
    </row>
    <row r="75" spans="1:6" x14ac:dyDescent="0.2">
      <c r="A75" s="450">
        <v>46156</v>
      </c>
      <c r="B75" s="277" t="s">
        <v>51</v>
      </c>
      <c r="C75" s="451">
        <v>2316181</v>
      </c>
      <c r="D75" s="452" t="s">
        <v>1298</v>
      </c>
    </row>
    <row r="76" spans="1:6" x14ac:dyDescent="0.2">
      <c r="A76" s="453">
        <v>46157</v>
      </c>
      <c r="B76" s="50" t="s">
        <v>103</v>
      </c>
      <c r="C76" s="454">
        <v>10000</v>
      </c>
      <c r="D76" s="455"/>
    </row>
    <row r="77" spans="1:6" x14ac:dyDescent="0.2">
      <c r="A77" s="453">
        <v>46157</v>
      </c>
      <c r="B77" s="50" t="s">
        <v>55</v>
      </c>
      <c r="C77" s="454">
        <v>44115</v>
      </c>
      <c r="D77" s="455"/>
    </row>
    <row r="78" spans="1:6" x14ac:dyDescent="0.2">
      <c r="A78" s="453">
        <v>46158</v>
      </c>
      <c r="B78" s="50" t="s">
        <v>58</v>
      </c>
      <c r="C78" s="454">
        <v>2089000</v>
      </c>
      <c r="D78" s="455"/>
    </row>
    <row r="79" spans="1:6" x14ac:dyDescent="0.2">
      <c r="A79" s="453">
        <v>46158</v>
      </c>
      <c r="B79" s="50" t="s">
        <v>96</v>
      </c>
      <c r="C79" s="454">
        <v>129376</v>
      </c>
      <c r="D79" s="455"/>
    </row>
    <row r="80" spans="1:6" x14ac:dyDescent="0.2">
      <c r="A80" s="450">
        <v>46158</v>
      </c>
      <c r="B80" s="277" t="s">
        <v>302</v>
      </c>
      <c r="C80" s="451">
        <v>191668</v>
      </c>
      <c r="D80" s="452"/>
    </row>
    <row r="81" spans="1:4" x14ac:dyDescent="0.2">
      <c r="A81" s="450">
        <v>46158</v>
      </c>
      <c r="B81" s="277" t="s">
        <v>92</v>
      </c>
      <c r="C81" s="451">
        <v>55644</v>
      </c>
      <c r="D81" s="452" t="s">
        <v>1298</v>
      </c>
    </row>
    <row r="82" spans="1:4" x14ac:dyDescent="0.2">
      <c r="A82" s="450">
        <v>46158</v>
      </c>
      <c r="B82" s="277" t="s">
        <v>501</v>
      </c>
      <c r="C82" s="451">
        <v>55644</v>
      </c>
      <c r="D82" s="452" t="s">
        <v>1298</v>
      </c>
    </row>
    <row r="83" spans="1:4" x14ac:dyDescent="0.2">
      <c r="A83" s="453">
        <v>46159</v>
      </c>
      <c r="B83" s="50" t="s">
        <v>714</v>
      </c>
      <c r="C83" s="454">
        <v>50000</v>
      </c>
      <c r="D83" s="455"/>
    </row>
    <row r="84" spans="1:4" x14ac:dyDescent="0.2">
      <c r="A84" s="453">
        <v>46159</v>
      </c>
      <c r="B84" s="50" t="s">
        <v>59</v>
      </c>
      <c r="C84" s="454">
        <v>26069.7</v>
      </c>
      <c r="D84" s="455" t="s">
        <v>1325</v>
      </c>
    </row>
    <row r="85" spans="1:4" x14ac:dyDescent="0.2">
      <c r="A85" s="453">
        <v>46160</v>
      </c>
      <c r="B85" s="50" t="s">
        <v>199</v>
      </c>
      <c r="C85" s="454">
        <v>19187</v>
      </c>
      <c r="D85" s="455"/>
    </row>
    <row r="86" spans="1:4" x14ac:dyDescent="0.2">
      <c r="A86" s="453">
        <v>46160</v>
      </c>
      <c r="B86" s="50" t="s">
        <v>56</v>
      </c>
      <c r="C86" s="454">
        <v>183265</v>
      </c>
      <c r="D86" s="455"/>
    </row>
    <row r="87" spans="1:4" x14ac:dyDescent="0.2">
      <c r="A87" s="450">
        <v>46160</v>
      </c>
      <c r="B87" s="277" t="s">
        <v>919</v>
      </c>
      <c r="C87" s="451">
        <v>191668</v>
      </c>
      <c r="D87" s="452" t="s">
        <v>1298</v>
      </c>
    </row>
    <row r="88" spans="1:4" x14ac:dyDescent="0.2">
      <c r="A88" s="453">
        <v>46161</v>
      </c>
      <c r="B88" s="50" t="s">
        <v>714</v>
      </c>
      <c r="C88" s="454">
        <v>50001</v>
      </c>
      <c r="D88" s="455"/>
    </row>
    <row r="89" spans="1:4" x14ac:dyDescent="0.2">
      <c r="A89" s="450">
        <v>46161</v>
      </c>
      <c r="B89" s="277" t="s">
        <v>302</v>
      </c>
      <c r="C89" s="451">
        <v>95834</v>
      </c>
      <c r="D89" s="452"/>
    </row>
    <row r="90" spans="1:4" x14ac:dyDescent="0.2">
      <c r="A90" s="453">
        <v>46162</v>
      </c>
      <c r="B90" s="50" t="s">
        <v>199</v>
      </c>
      <c r="C90" s="454">
        <v>19380</v>
      </c>
      <c r="D90" s="455"/>
    </row>
    <row r="91" spans="1:4" x14ac:dyDescent="0.2">
      <c r="A91" s="453">
        <v>46162</v>
      </c>
      <c r="B91" s="50" t="s">
        <v>135</v>
      </c>
      <c r="C91" s="454">
        <v>300000</v>
      </c>
      <c r="D91" s="455"/>
    </row>
    <row r="92" spans="1:4" x14ac:dyDescent="0.2">
      <c r="A92" s="453">
        <v>46162</v>
      </c>
      <c r="B92" s="50" t="s">
        <v>901</v>
      </c>
      <c r="C92" s="454">
        <v>89645.81</v>
      </c>
      <c r="D92" s="455"/>
    </row>
    <row r="93" spans="1:4" x14ac:dyDescent="0.2">
      <c r="A93" s="453">
        <v>46163</v>
      </c>
      <c r="B93" s="50" t="s">
        <v>59</v>
      </c>
      <c r="C93" s="454">
        <v>2000000</v>
      </c>
      <c r="D93" s="455"/>
    </row>
    <row r="94" spans="1:4" x14ac:dyDescent="0.2">
      <c r="A94" s="450">
        <v>46163</v>
      </c>
      <c r="B94" s="277" t="s">
        <v>143</v>
      </c>
      <c r="C94" s="451">
        <v>9560</v>
      </c>
      <c r="D94" s="452" t="s">
        <v>1298</v>
      </c>
    </row>
    <row r="95" spans="1:4" x14ac:dyDescent="0.2">
      <c r="A95" s="450">
        <v>46163</v>
      </c>
      <c r="B95" s="277" t="s">
        <v>143</v>
      </c>
      <c r="C95" s="451">
        <v>387212</v>
      </c>
      <c r="D95" s="452" t="s">
        <v>1298</v>
      </c>
    </row>
    <row r="96" spans="1:4" x14ac:dyDescent="0.2">
      <c r="A96" s="450">
        <v>46163</v>
      </c>
      <c r="B96" s="277" t="s">
        <v>134</v>
      </c>
      <c r="C96" s="451">
        <v>48450</v>
      </c>
      <c r="D96" s="452" t="s">
        <v>1298</v>
      </c>
    </row>
    <row r="97" spans="1:4" x14ac:dyDescent="0.2">
      <c r="A97" s="453">
        <v>46164</v>
      </c>
      <c r="B97" s="50" t="s">
        <v>199</v>
      </c>
      <c r="C97" s="454">
        <v>29070</v>
      </c>
      <c r="D97" s="455"/>
    </row>
    <row r="98" spans="1:4" x14ac:dyDescent="0.2">
      <c r="A98" s="453">
        <v>46164</v>
      </c>
      <c r="B98" s="50" t="s">
        <v>58</v>
      </c>
      <c r="C98" s="454">
        <v>2858483</v>
      </c>
      <c r="D98" s="455"/>
    </row>
    <row r="99" spans="1:4" x14ac:dyDescent="0.2">
      <c r="A99" s="453">
        <v>46164</v>
      </c>
      <c r="B99" s="50" t="s">
        <v>59</v>
      </c>
      <c r="C99" s="454">
        <v>1000000</v>
      </c>
      <c r="D99" s="455"/>
    </row>
    <row r="100" spans="1:4" x14ac:dyDescent="0.2">
      <c r="A100" s="453">
        <v>46164</v>
      </c>
      <c r="B100" s="50" t="s">
        <v>714</v>
      </c>
      <c r="C100" s="454">
        <v>50000</v>
      </c>
      <c r="D100" s="455"/>
    </row>
    <row r="101" spans="1:4" x14ac:dyDescent="0.2">
      <c r="A101" s="450">
        <v>46164</v>
      </c>
      <c r="B101" s="277" t="s">
        <v>143</v>
      </c>
      <c r="C101" s="451">
        <v>290409</v>
      </c>
      <c r="D101" s="452" t="s">
        <v>1298</v>
      </c>
    </row>
    <row r="102" spans="1:4" x14ac:dyDescent="0.2">
      <c r="A102" s="450">
        <v>46164</v>
      </c>
      <c r="B102" s="277" t="s">
        <v>1036</v>
      </c>
      <c r="C102" s="451">
        <v>290700</v>
      </c>
      <c r="D102" s="452"/>
    </row>
    <row r="103" spans="1:4" x14ac:dyDescent="0.2">
      <c r="A103" s="450">
        <v>46164</v>
      </c>
      <c r="B103" s="277" t="s">
        <v>919</v>
      </c>
      <c r="C103" s="451">
        <v>96803</v>
      </c>
      <c r="D103" s="452" t="s">
        <v>1298</v>
      </c>
    </row>
    <row r="104" spans="1:4" x14ac:dyDescent="0.2">
      <c r="A104" s="453">
        <v>46165</v>
      </c>
      <c r="B104" s="50" t="s">
        <v>199</v>
      </c>
      <c r="C104" s="454">
        <v>20000</v>
      </c>
      <c r="D104" s="455"/>
    </row>
    <row r="105" spans="1:4" x14ac:dyDescent="0.2">
      <c r="A105" s="453">
        <v>46165</v>
      </c>
      <c r="B105" s="50" t="s">
        <v>96</v>
      </c>
      <c r="C105" s="454">
        <v>200000</v>
      </c>
      <c r="D105" s="455"/>
    </row>
    <row r="106" spans="1:4" x14ac:dyDescent="0.2">
      <c r="A106" s="453">
        <v>46166</v>
      </c>
      <c r="B106" s="50" t="s">
        <v>199</v>
      </c>
      <c r="C106" s="454">
        <v>19574</v>
      </c>
      <c r="D106" s="455"/>
    </row>
    <row r="107" spans="1:4" x14ac:dyDescent="0.2">
      <c r="A107" s="453">
        <v>46167</v>
      </c>
      <c r="B107" s="50" t="s">
        <v>96</v>
      </c>
      <c r="C107" s="454">
        <v>200000</v>
      </c>
      <c r="D107" s="455"/>
    </row>
    <row r="108" spans="1:4" x14ac:dyDescent="0.2">
      <c r="A108" s="453">
        <v>46167</v>
      </c>
      <c r="B108" s="50" t="s">
        <v>103</v>
      </c>
      <c r="C108" s="454">
        <v>40350</v>
      </c>
      <c r="D108" s="455"/>
    </row>
    <row r="109" spans="1:4" x14ac:dyDescent="0.2">
      <c r="A109" s="453">
        <v>46167</v>
      </c>
      <c r="B109" s="50" t="s">
        <v>714</v>
      </c>
      <c r="C109" s="454">
        <v>20000</v>
      </c>
      <c r="D109" s="455"/>
    </row>
    <row r="110" spans="1:4" x14ac:dyDescent="0.2">
      <c r="A110" s="450">
        <v>46167</v>
      </c>
      <c r="B110" s="277" t="s">
        <v>1073</v>
      </c>
      <c r="C110" s="451">
        <f>265850+48935+103460</f>
        <v>418245</v>
      </c>
      <c r="D110" s="452" t="s">
        <v>1298</v>
      </c>
    </row>
    <row r="111" spans="1:4" x14ac:dyDescent="0.2">
      <c r="A111" s="453">
        <v>46168</v>
      </c>
      <c r="B111" s="50" t="s">
        <v>199</v>
      </c>
      <c r="C111" s="454">
        <v>20148</v>
      </c>
      <c r="D111" s="455"/>
    </row>
    <row r="112" spans="1:4" x14ac:dyDescent="0.2">
      <c r="A112" s="450">
        <v>46168</v>
      </c>
      <c r="B112" s="277" t="s">
        <v>143</v>
      </c>
      <c r="C112" s="451">
        <v>302212</v>
      </c>
      <c r="D112" s="452" t="s">
        <v>1298</v>
      </c>
    </row>
    <row r="113" spans="1:4" x14ac:dyDescent="0.2">
      <c r="A113" s="450">
        <v>46168</v>
      </c>
      <c r="B113" s="277" t="s">
        <v>143</v>
      </c>
      <c r="C113" s="451">
        <v>301918</v>
      </c>
      <c r="D113" s="452" t="s">
        <v>1298</v>
      </c>
    </row>
    <row r="114" spans="1:4" x14ac:dyDescent="0.2">
      <c r="A114" s="450">
        <v>46168</v>
      </c>
      <c r="B114" s="277" t="s">
        <v>143</v>
      </c>
      <c r="C114" s="451">
        <v>2616</v>
      </c>
      <c r="D114" s="452" t="s">
        <v>1298</v>
      </c>
    </row>
    <row r="115" spans="1:4" x14ac:dyDescent="0.2">
      <c r="A115" s="450">
        <v>46168</v>
      </c>
      <c r="B115" s="277" t="s">
        <v>92</v>
      </c>
      <c r="C115" s="451">
        <v>60444</v>
      </c>
      <c r="D115" s="452" t="s">
        <v>1298</v>
      </c>
    </row>
    <row r="116" spans="1:4" x14ac:dyDescent="0.2">
      <c r="A116" s="453">
        <v>46169</v>
      </c>
      <c r="B116" s="50" t="s">
        <v>714</v>
      </c>
      <c r="C116" s="454">
        <v>20000</v>
      </c>
      <c r="D116" s="455"/>
    </row>
    <row r="117" spans="1:4" x14ac:dyDescent="0.2">
      <c r="A117" s="450">
        <v>46169</v>
      </c>
      <c r="B117" s="277" t="s">
        <v>1073</v>
      </c>
      <c r="C117" s="451">
        <v>151110</v>
      </c>
      <c r="D117" s="452" t="s">
        <v>1298</v>
      </c>
    </row>
    <row r="118" spans="1:4" x14ac:dyDescent="0.2">
      <c r="A118" s="453">
        <v>46170</v>
      </c>
      <c r="B118" s="50" t="s">
        <v>135</v>
      </c>
      <c r="C118" s="454">
        <v>200000</v>
      </c>
      <c r="D118" s="455"/>
    </row>
    <row r="119" spans="1:4" x14ac:dyDescent="0.2">
      <c r="A119" s="450">
        <v>46170</v>
      </c>
      <c r="B119" s="277" t="s">
        <v>143</v>
      </c>
      <c r="C119" s="451">
        <v>301918</v>
      </c>
      <c r="D119" s="452" t="s">
        <v>1298</v>
      </c>
    </row>
    <row r="120" spans="1:4" x14ac:dyDescent="0.2">
      <c r="A120" s="453">
        <v>46171</v>
      </c>
      <c r="B120" s="50" t="s">
        <v>96</v>
      </c>
      <c r="C120" s="454">
        <v>200000</v>
      </c>
      <c r="D120" s="455"/>
    </row>
    <row r="121" spans="1:4" x14ac:dyDescent="0.2">
      <c r="A121" s="453">
        <v>46171</v>
      </c>
      <c r="B121" s="50" t="s">
        <v>714</v>
      </c>
      <c r="C121" s="454">
        <v>100000</v>
      </c>
      <c r="D121" s="455"/>
    </row>
    <row r="122" spans="1:4" x14ac:dyDescent="0.2">
      <c r="A122" s="453">
        <v>46171</v>
      </c>
      <c r="B122" s="50" t="s">
        <v>152</v>
      </c>
      <c r="C122" s="454">
        <v>927.4</v>
      </c>
      <c r="D122" s="455" t="s">
        <v>1224</v>
      </c>
    </row>
    <row r="123" spans="1:4" x14ac:dyDescent="0.2">
      <c r="A123" s="450">
        <v>46171</v>
      </c>
      <c r="B123" s="277" t="s">
        <v>143</v>
      </c>
      <c r="C123" s="451">
        <v>301918</v>
      </c>
      <c r="D123" s="452" t="s">
        <v>1298</v>
      </c>
    </row>
    <row r="124" spans="1:4" x14ac:dyDescent="0.2">
      <c r="A124" s="450">
        <v>46172</v>
      </c>
      <c r="B124" s="277" t="s">
        <v>143</v>
      </c>
      <c r="C124" s="451">
        <v>301918</v>
      </c>
      <c r="D124" s="452" t="s">
        <v>1298</v>
      </c>
    </row>
    <row r="125" spans="1:4" x14ac:dyDescent="0.2">
      <c r="A125" s="453">
        <v>46173</v>
      </c>
      <c r="B125" s="50" t="s">
        <v>152</v>
      </c>
      <c r="C125" s="454">
        <v>300000</v>
      </c>
      <c r="D125" s="452" t="s">
        <v>1297</v>
      </c>
    </row>
    <row r="126" spans="1:4" x14ac:dyDescent="0.2">
      <c r="A126" s="453">
        <v>46173</v>
      </c>
      <c r="B126" s="50" t="s">
        <v>901</v>
      </c>
      <c r="C126" s="454">
        <v>198610</v>
      </c>
      <c r="D126" s="455" t="s">
        <v>1298</v>
      </c>
    </row>
    <row r="127" spans="1:4" x14ac:dyDescent="0.2">
      <c r="A127" s="450">
        <v>46173</v>
      </c>
      <c r="B127" s="277" t="s">
        <v>874</v>
      </c>
      <c r="C127" s="451">
        <v>301918</v>
      </c>
      <c r="D127" s="452"/>
    </row>
    <row r="128" spans="1:4" x14ac:dyDescent="0.2">
      <c r="A128" s="453">
        <v>46174</v>
      </c>
      <c r="B128" s="50" t="s">
        <v>552</v>
      </c>
      <c r="C128" s="454">
        <v>120000</v>
      </c>
      <c r="D128" s="455" t="s">
        <v>1299</v>
      </c>
    </row>
    <row r="129" spans="1:4" x14ac:dyDescent="0.2">
      <c r="A129" s="453">
        <v>46174</v>
      </c>
      <c r="B129" s="50" t="s">
        <v>256</v>
      </c>
      <c r="C129" s="454">
        <v>50370</v>
      </c>
      <c r="D129" s="455" t="s">
        <v>1298</v>
      </c>
    </row>
    <row r="130" spans="1:4" x14ac:dyDescent="0.2">
      <c r="A130" s="450">
        <v>46174</v>
      </c>
      <c r="B130" s="277" t="s">
        <v>919</v>
      </c>
      <c r="C130" s="451">
        <v>201278</v>
      </c>
      <c r="D130" s="452" t="s">
        <v>1298</v>
      </c>
    </row>
    <row r="131" spans="1:4" x14ac:dyDescent="0.2">
      <c r="A131" s="450">
        <v>46175</v>
      </c>
      <c r="B131" s="277" t="s">
        <v>96</v>
      </c>
      <c r="C131" s="451">
        <v>300000</v>
      </c>
      <c r="D131" s="452" t="s">
        <v>1296</v>
      </c>
    </row>
    <row r="132" spans="1:4" x14ac:dyDescent="0.2">
      <c r="A132" s="450">
        <v>46175</v>
      </c>
      <c r="B132" s="277" t="s">
        <v>58</v>
      </c>
      <c r="C132" s="451">
        <v>1610752</v>
      </c>
      <c r="D132" s="452" t="s">
        <v>1297</v>
      </c>
    </row>
    <row r="133" spans="1:4" x14ac:dyDescent="0.2">
      <c r="A133" s="450">
        <v>46175</v>
      </c>
      <c r="B133" s="277" t="s">
        <v>143</v>
      </c>
      <c r="C133" s="451">
        <v>301918</v>
      </c>
      <c r="D133" s="452" t="s">
        <v>1298</v>
      </c>
    </row>
    <row r="134" spans="1:4" x14ac:dyDescent="0.2">
      <c r="A134" s="450">
        <v>46175</v>
      </c>
      <c r="B134" s="277" t="s">
        <v>92</v>
      </c>
      <c r="C134" s="451">
        <v>20148</v>
      </c>
      <c r="D134" s="452" t="s">
        <v>1298</v>
      </c>
    </row>
    <row r="135" spans="1:4" x14ac:dyDescent="0.2">
      <c r="A135" s="450">
        <v>46176</v>
      </c>
      <c r="B135" s="277" t="s">
        <v>152</v>
      </c>
      <c r="C135" s="451">
        <v>500000</v>
      </c>
      <c r="D135" s="452" t="s">
        <v>1297</v>
      </c>
    </row>
    <row r="136" spans="1:4" x14ac:dyDescent="0.2">
      <c r="A136" s="450">
        <v>46177</v>
      </c>
      <c r="B136" s="277" t="s">
        <v>202</v>
      </c>
      <c r="C136" s="451">
        <v>52099</v>
      </c>
      <c r="D136" s="455" t="s">
        <v>1298</v>
      </c>
    </row>
    <row r="137" spans="1:4" x14ac:dyDescent="0.2">
      <c r="A137" s="450">
        <v>46177</v>
      </c>
      <c r="B137" s="277" t="s">
        <v>901</v>
      </c>
      <c r="C137" s="451">
        <v>201540.44</v>
      </c>
      <c r="D137" s="455" t="s">
        <v>1298</v>
      </c>
    </row>
    <row r="138" spans="1:4" x14ac:dyDescent="0.2">
      <c r="A138" s="450">
        <v>46177</v>
      </c>
      <c r="B138" s="277" t="s">
        <v>257</v>
      </c>
      <c r="C138" s="451">
        <v>112320.35</v>
      </c>
      <c r="D138" s="455" t="s">
        <v>1299</v>
      </c>
    </row>
    <row r="139" spans="1:4" x14ac:dyDescent="0.2">
      <c r="A139" s="450">
        <v>46177</v>
      </c>
      <c r="B139" s="277" t="s">
        <v>134</v>
      </c>
      <c r="C139" s="451">
        <v>104740</v>
      </c>
      <c r="D139" s="455" t="s">
        <v>1298</v>
      </c>
    </row>
    <row r="140" spans="1:4" x14ac:dyDescent="0.2">
      <c r="A140" s="450">
        <v>46177</v>
      </c>
      <c r="B140" s="277" t="s">
        <v>501</v>
      </c>
      <c r="C140" s="451">
        <v>40296</v>
      </c>
      <c r="D140" s="455" t="s">
        <v>1298</v>
      </c>
    </row>
    <row r="141" spans="1:4" x14ac:dyDescent="0.2">
      <c r="A141" s="450">
        <v>46177</v>
      </c>
      <c r="B141" s="277" t="s">
        <v>199</v>
      </c>
      <c r="C141" s="451">
        <v>50370</v>
      </c>
      <c r="D141" s="455" t="s">
        <v>1325</v>
      </c>
    </row>
    <row r="142" spans="1:4" x14ac:dyDescent="0.2">
      <c r="A142" s="450">
        <v>46177</v>
      </c>
      <c r="B142" s="277" t="s">
        <v>15</v>
      </c>
      <c r="C142" s="451">
        <v>13000</v>
      </c>
      <c r="D142" s="455" t="s">
        <v>1299</v>
      </c>
    </row>
    <row r="143" spans="1:4" x14ac:dyDescent="0.2">
      <c r="A143" s="450">
        <v>46177</v>
      </c>
      <c r="B143" s="277" t="s">
        <v>143</v>
      </c>
      <c r="C143" s="451">
        <v>301918</v>
      </c>
      <c r="D143" s="452" t="s">
        <v>1298</v>
      </c>
    </row>
    <row r="144" spans="1:4" x14ac:dyDescent="0.2">
      <c r="A144" s="450">
        <v>46178</v>
      </c>
      <c r="B144" s="277" t="s">
        <v>93</v>
      </c>
      <c r="C144" s="451">
        <v>16119</v>
      </c>
      <c r="D144" s="452" t="s">
        <v>1299</v>
      </c>
    </row>
    <row r="145" spans="1:4" x14ac:dyDescent="0.2">
      <c r="A145" s="450">
        <v>46178</v>
      </c>
      <c r="B145" s="277" t="s">
        <v>96</v>
      </c>
      <c r="C145" s="451">
        <v>100000</v>
      </c>
      <c r="D145" s="452" t="s">
        <v>1296</v>
      </c>
    </row>
    <row r="146" spans="1:4" x14ac:dyDescent="0.2">
      <c r="A146" s="450">
        <v>46178</v>
      </c>
      <c r="B146" s="277" t="s">
        <v>714</v>
      </c>
      <c r="C146" s="451">
        <v>100000</v>
      </c>
      <c r="D146" s="452" t="s">
        <v>1296</v>
      </c>
    </row>
    <row r="147" spans="1:4" x14ac:dyDescent="0.2">
      <c r="A147" s="450">
        <v>46179</v>
      </c>
      <c r="B147" s="277" t="s">
        <v>152</v>
      </c>
      <c r="C147" s="451">
        <v>500000</v>
      </c>
      <c r="D147" s="452" t="s">
        <v>1297</v>
      </c>
    </row>
    <row r="148" spans="1:4" x14ac:dyDescent="0.2">
      <c r="A148" s="450">
        <v>46179</v>
      </c>
      <c r="B148" s="277" t="s">
        <v>15</v>
      </c>
      <c r="C148" s="451">
        <v>50000</v>
      </c>
      <c r="D148" s="452" t="s">
        <v>1299</v>
      </c>
    </row>
    <row r="149" spans="1:4" x14ac:dyDescent="0.2">
      <c r="A149" s="450">
        <v>46179</v>
      </c>
      <c r="B149" s="277" t="s">
        <v>58</v>
      </c>
      <c r="C149" s="451">
        <v>1287282</v>
      </c>
      <c r="D149" s="452" t="s">
        <v>1297</v>
      </c>
    </row>
    <row r="150" spans="1:4" x14ac:dyDescent="0.2">
      <c r="A150" s="450">
        <v>46179</v>
      </c>
      <c r="B150" s="277" t="s">
        <v>256</v>
      </c>
      <c r="C150" s="451">
        <v>30222</v>
      </c>
      <c r="D150" s="455" t="s">
        <v>1298</v>
      </c>
    </row>
    <row r="151" spans="1:4" x14ac:dyDescent="0.2">
      <c r="A151" s="450">
        <v>46180</v>
      </c>
      <c r="B151" s="277" t="s">
        <v>901</v>
      </c>
      <c r="C151" s="451">
        <v>282116</v>
      </c>
      <c r="D151" s="452" t="s">
        <v>1298</v>
      </c>
    </row>
    <row r="152" spans="1:4" x14ac:dyDescent="0.2">
      <c r="A152" s="450">
        <v>46181</v>
      </c>
      <c r="B152" s="277" t="s">
        <v>256</v>
      </c>
      <c r="C152" s="451">
        <v>100740</v>
      </c>
      <c r="D152" s="452" t="s">
        <v>1298</v>
      </c>
    </row>
    <row r="153" spans="1:4" x14ac:dyDescent="0.2">
      <c r="A153" s="450">
        <v>46182</v>
      </c>
      <c r="B153" s="277" t="s">
        <v>256</v>
      </c>
      <c r="C153" s="451">
        <v>201480</v>
      </c>
      <c r="D153" s="452" t="s">
        <v>1298</v>
      </c>
    </row>
    <row r="154" spans="1:4" x14ac:dyDescent="0.2">
      <c r="A154" s="450">
        <v>46182</v>
      </c>
      <c r="B154" s="277" t="s">
        <v>96</v>
      </c>
      <c r="C154" s="451">
        <v>250000</v>
      </c>
      <c r="D154" s="452" t="s">
        <v>1298</v>
      </c>
    </row>
    <row r="155" spans="1:4" x14ac:dyDescent="0.2">
      <c r="A155" s="450">
        <v>46182</v>
      </c>
      <c r="B155" s="277" t="s">
        <v>58</v>
      </c>
      <c r="C155" s="451">
        <v>1664313</v>
      </c>
      <c r="D155" s="452" t="s">
        <v>1297</v>
      </c>
    </row>
    <row r="156" spans="1:4" x14ac:dyDescent="0.2">
      <c r="A156" s="450">
        <v>46182</v>
      </c>
      <c r="B156" s="277" t="s">
        <v>15</v>
      </c>
      <c r="C156" s="451">
        <v>50000</v>
      </c>
      <c r="D156" s="452" t="s">
        <v>1299</v>
      </c>
    </row>
    <row r="157" spans="1:4" x14ac:dyDescent="0.2">
      <c r="A157" s="450">
        <v>46182</v>
      </c>
      <c r="B157" s="277" t="s">
        <v>901</v>
      </c>
      <c r="C157" s="451">
        <v>251854</v>
      </c>
      <c r="D157" s="452" t="s">
        <v>1298</v>
      </c>
    </row>
    <row r="158" spans="1:4" x14ac:dyDescent="0.2">
      <c r="A158" s="450">
        <v>46182</v>
      </c>
      <c r="B158" s="277" t="s">
        <v>199</v>
      </c>
      <c r="C158" s="451">
        <v>5037</v>
      </c>
      <c r="D158" s="452" t="s">
        <v>1298</v>
      </c>
    </row>
    <row r="159" spans="1:4" x14ac:dyDescent="0.2">
      <c r="A159" s="450">
        <v>46182</v>
      </c>
      <c r="B159" s="277" t="s">
        <v>91</v>
      </c>
      <c r="C159" s="451">
        <v>50370</v>
      </c>
      <c r="D159" s="452" t="s">
        <v>1298</v>
      </c>
    </row>
    <row r="160" spans="1:4" x14ac:dyDescent="0.2">
      <c r="A160" s="450">
        <v>46182</v>
      </c>
      <c r="B160" s="277" t="s">
        <v>922</v>
      </c>
      <c r="C160" s="451">
        <v>302220</v>
      </c>
      <c r="D160" s="452" t="s">
        <v>1297</v>
      </c>
    </row>
    <row r="161" spans="1:4" x14ac:dyDescent="0.2">
      <c r="A161" s="450">
        <v>46183</v>
      </c>
      <c r="B161" s="277" t="s">
        <v>59</v>
      </c>
      <c r="C161" s="451">
        <v>500000</v>
      </c>
      <c r="D161" s="452" t="s">
        <v>1297</v>
      </c>
    </row>
    <row r="162" spans="1:4" x14ac:dyDescent="0.2">
      <c r="A162" s="450">
        <v>46183</v>
      </c>
      <c r="B162" s="277" t="s">
        <v>256</v>
      </c>
      <c r="C162" s="451">
        <v>50370</v>
      </c>
      <c r="D162" s="452" t="s">
        <v>1298</v>
      </c>
    </row>
    <row r="163" spans="1:4" x14ac:dyDescent="0.2">
      <c r="A163" s="450">
        <v>46183</v>
      </c>
      <c r="B163" s="277" t="s">
        <v>199</v>
      </c>
      <c r="C163" s="451">
        <v>33975.57</v>
      </c>
      <c r="D163" s="455" t="s">
        <v>1325</v>
      </c>
    </row>
    <row r="164" spans="1:4" x14ac:dyDescent="0.2">
      <c r="A164" s="450">
        <v>46183</v>
      </c>
      <c r="B164" s="277" t="s">
        <v>922</v>
      </c>
      <c r="C164" s="451">
        <v>302220</v>
      </c>
      <c r="D164" s="452" t="s">
        <v>1297</v>
      </c>
    </row>
    <row r="165" spans="1:4" x14ac:dyDescent="0.2">
      <c r="A165" s="450">
        <v>46184</v>
      </c>
      <c r="B165" s="277" t="s">
        <v>901</v>
      </c>
      <c r="C165" s="451">
        <v>193450</v>
      </c>
      <c r="D165" s="452" t="s">
        <v>1298</v>
      </c>
    </row>
    <row r="166" spans="1:4" x14ac:dyDescent="0.2">
      <c r="A166" s="450">
        <v>46184</v>
      </c>
      <c r="B166" s="277" t="s">
        <v>96</v>
      </c>
      <c r="C166" s="451">
        <v>200654</v>
      </c>
      <c r="D166" s="452" t="s">
        <v>1298</v>
      </c>
    </row>
    <row r="167" spans="1:4" x14ac:dyDescent="0.2">
      <c r="A167" s="450">
        <v>46184</v>
      </c>
      <c r="B167" s="277" t="s">
        <v>59</v>
      </c>
      <c r="C167" s="451">
        <v>450000</v>
      </c>
      <c r="D167" s="452" t="s">
        <v>1297</v>
      </c>
    </row>
    <row r="168" spans="1:4" x14ac:dyDescent="0.2">
      <c r="A168" s="450">
        <v>46185</v>
      </c>
      <c r="B168" s="277" t="s">
        <v>901</v>
      </c>
      <c r="C168" s="451">
        <v>302221</v>
      </c>
      <c r="D168" s="452" t="s">
        <v>1298</v>
      </c>
    </row>
    <row r="169" spans="1:4" x14ac:dyDescent="0.2">
      <c r="A169" s="450">
        <v>46185</v>
      </c>
      <c r="B169" s="277" t="s">
        <v>96</v>
      </c>
      <c r="C169" s="451">
        <v>151112</v>
      </c>
      <c r="D169" s="452" t="s">
        <v>1298</v>
      </c>
    </row>
    <row r="170" spans="1:4" x14ac:dyDescent="0.2">
      <c r="A170" s="450">
        <v>46185</v>
      </c>
      <c r="B170" s="277" t="s">
        <v>15</v>
      </c>
      <c r="C170" s="451">
        <v>120000</v>
      </c>
      <c r="D170" s="452" t="s">
        <v>1299</v>
      </c>
    </row>
    <row r="171" spans="1:4" x14ac:dyDescent="0.2">
      <c r="A171" s="450">
        <v>46185</v>
      </c>
      <c r="B171" s="277" t="s">
        <v>255</v>
      </c>
      <c r="C171" s="451">
        <v>150958</v>
      </c>
      <c r="D171" s="277"/>
    </row>
    <row r="172" spans="1:4" x14ac:dyDescent="0.2">
      <c r="A172" s="450">
        <v>46185</v>
      </c>
      <c r="B172" s="277" t="s">
        <v>1444</v>
      </c>
      <c r="C172" s="451">
        <v>150958</v>
      </c>
      <c r="D172" s="277"/>
    </row>
    <row r="173" spans="1:4" x14ac:dyDescent="0.2">
      <c r="A173" s="450">
        <v>46185</v>
      </c>
      <c r="B173" s="277" t="s">
        <v>1483</v>
      </c>
      <c r="C173" s="451">
        <v>60444</v>
      </c>
      <c r="D173" s="452" t="s">
        <v>1298</v>
      </c>
    </row>
    <row r="174" spans="1:4" x14ac:dyDescent="0.2">
      <c r="A174" s="450">
        <v>46186</v>
      </c>
      <c r="B174" s="277" t="s">
        <v>256</v>
      </c>
      <c r="C174" s="451">
        <v>201480</v>
      </c>
      <c r="D174" s="452" t="s">
        <v>1298</v>
      </c>
    </row>
    <row r="175" spans="1:4" x14ac:dyDescent="0.2">
      <c r="A175" s="450">
        <v>46186</v>
      </c>
      <c r="B175" s="277" t="s">
        <v>143</v>
      </c>
      <c r="C175" s="451">
        <v>30335</v>
      </c>
      <c r="D175" s="452" t="s">
        <v>1298</v>
      </c>
    </row>
    <row r="176" spans="1:4" x14ac:dyDescent="0.2">
      <c r="A176" s="450">
        <v>46186</v>
      </c>
      <c r="B176" s="277" t="s">
        <v>52</v>
      </c>
      <c r="C176" s="451">
        <v>-4683615</v>
      </c>
      <c r="D176" s="452" t="s">
        <v>1299</v>
      </c>
    </row>
    <row r="177" spans="1:4" x14ac:dyDescent="0.2">
      <c r="A177" s="450">
        <v>46187</v>
      </c>
      <c r="B177" s="277" t="s">
        <v>714</v>
      </c>
      <c r="C177" s="451">
        <v>50000</v>
      </c>
      <c r="D177" s="452" t="s">
        <v>1296</v>
      </c>
    </row>
    <row r="178" spans="1:4" x14ac:dyDescent="0.2">
      <c r="A178" s="450">
        <v>46187</v>
      </c>
      <c r="B178" s="277" t="s">
        <v>59</v>
      </c>
      <c r="C178" s="451">
        <v>100000</v>
      </c>
      <c r="D178" s="452" t="s">
        <v>1297</v>
      </c>
    </row>
    <row r="179" spans="1:4" x14ac:dyDescent="0.2">
      <c r="A179" s="450">
        <v>46188</v>
      </c>
      <c r="B179" s="277" t="s">
        <v>256</v>
      </c>
      <c r="C179" s="451">
        <v>50370</v>
      </c>
      <c r="D179" s="452" t="s">
        <v>1298</v>
      </c>
    </row>
    <row r="180" spans="1:4" x14ac:dyDescent="0.2">
      <c r="A180" s="450">
        <v>46189</v>
      </c>
      <c r="B180" s="277" t="s">
        <v>96</v>
      </c>
      <c r="C180" s="451">
        <v>151260</v>
      </c>
      <c r="D180" s="452" t="s">
        <v>1298</v>
      </c>
    </row>
    <row r="181" spans="1:4" x14ac:dyDescent="0.2">
      <c r="A181" s="450">
        <v>46189</v>
      </c>
      <c r="B181" s="277" t="s">
        <v>256</v>
      </c>
      <c r="C181" s="451">
        <v>151110</v>
      </c>
      <c r="D181" s="452" t="s">
        <v>1298</v>
      </c>
    </row>
    <row r="182" spans="1:4" x14ac:dyDescent="0.2">
      <c r="A182" s="450">
        <v>46190</v>
      </c>
      <c r="B182" s="277" t="s">
        <v>55</v>
      </c>
      <c r="C182" s="451">
        <v>70000</v>
      </c>
      <c r="D182" s="452" t="s">
        <v>1298</v>
      </c>
    </row>
    <row r="183" spans="1:4" x14ac:dyDescent="0.2">
      <c r="A183" s="450">
        <v>46190</v>
      </c>
      <c r="B183" s="277" t="s">
        <v>552</v>
      </c>
      <c r="C183" s="451">
        <v>12945</v>
      </c>
      <c r="D183" s="452" t="s">
        <v>1299</v>
      </c>
    </row>
    <row r="184" spans="1:4" x14ac:dyDescent="0.2">
      <c r="A184" s="450">
        <v>46190</v>
      </c>
      <c r="B184" s="277" t="s">
        <v>256</v>
      </c>
      <c r="C184" s="451">
        <v>201480</v>
      </c>
      <c r="D184" s="452" t="s">
        <v>1298</v>
      </c>
    </row>
    <row r="185" spans="1:4" x14ac:dyDescent="0.2">
      <c r="A185" s="450">
        <v>46190</v>
      </c>
      <c r="B185" s="277" t="s">
        <v>152</v>
      </c>
      <c r="C185" s="451">
        <v>500000</v>
      </c>
      <c r="D185" s="452" t="s">
        <v>1297</v>
      </c>
    </row>
    <row r="186" spans="1:4" x14ac:dyDescent="0.2">
      <c r="A186" s="450">
        <v>46190</v>
      </c>
      <c r="B186" s="277" t="s">
        <v>584</v>
      </c>
      <c r="C186" s="451">
        <v>201278</v>
      </c>
      <c r="D186" s="277"/>
    </row>
    <row r="187" spans="1:4" x14ac:dyDescent="0.2">
      <c r="A187" s="450">
        <v>46191</v>
      </c>
      <c r="B187" s="277" t="s">
        <v>901</v>
      </c>
      <c r="C187" s="451">
        <v>210076</v>
      </c>
      <c r="D187" s="452" t="s">
        <v>1298</v>
      </c>
    </row>
    <row r="188" spans="1:4" x14ac:dyDescent="0.2">
      <c r="A188" s="450">
        <v>46191</v>
      </c>
      <c r="B188" s="277" t="s">
        <v>96</v>
      </c>
      <c r="C188" s="451">
        <v>350000</v>
      </c>
      <c r="D188" s="452" t="s">
        <v>1648</v>
      </c>
    </row>
    <row r="189" spans="1:4" x14ac:dyDescent="0.2">
      <c r="A189" s="450">
        <v>46191</v>
      </c>
      <c r="B189" s="277" t="s">
        <v>136</v>
      </c>
      <c r="C189" s="451">
        <v>26140</v>
      </c>
      <c r="D189" s="452" t="s">
        <v>1298</v>
      </c>
    </row>
    <row r="190" spans="1:4" x14ac:dyDescent="0.2">
      <c r="A190" s="450">
        <v>46191</v>
      </c>
      <c r="B190" s="277" t="s">
        <v>714</v>
      </c>
      <c r="C190" s="451">
        <v>20000</v>
      </c>
      <c r="D190" s="452" t="s">
        <v>1298</v>
      </c>
    </row>
    <row r="191" spans="1:4" x14ac:dyDescent="0.2">
      <c r="A191" s="450">
        <v>46191</v>
      </c>
      <c r="B191" s="277" t="s">
        <v>1646</v>
      </c>
      <c r="C191" s="451">
        <v>15974</v>
      </c>
      <c r="D191" s="452" t="s">
        <v>1649</v>
      </c>
    </row>
    <row r="192" spans="1:4" x14ac:dyDescent="0.2">
      <c r="A192" s="450">
        <v>46191</v>
      </c>
      <c r="B192" s="277" t="s">
        <v>1533</v>
      </c>
      <c r="C192" s="451">
        <v>201480</v>
      </c>
      <c r="D192" s="277"/>
    </row>
    <row r="193" spans="1:4" x14ac:dyDescent="0.2">
      <c r="A193" s="450">
        <v>46193</v>
      </c>
      <c r="B193" s="277" t="s">
        <v>56</v>
      </c>
      <c r="C193" s="451">
        <v>170176</v>
      </c>
      <c r="D193" s="452" t="s">
        <v>1298</v>
      </c>
    </row>
    <row r="194" spans="1:4" x14ac:dyDescent="0.2">
      <c r="A194" s="450">
        <v>46193</v>
      </c>
      <c r="B194" s="277" t="s">
        <v>714</v>
      </c>
      <c r="C194" s="451">
        <v>50000</v>
      </c>
      <c r="D194" s="452" t="s">
        <v>1298</v>
      </c>
    </row>
    <row r="195" spans="1:4" x14ac:dyDescent="0.2">
      <c r="A195" s="450">
        <v>46194</v>
      </c>
      <c r="B195" s="277" t="s">
        <v>199</v>
      </c>
      <c r="C195" s="451">
        <v>20148</v>
      </c>
      <c r="D195" s="452" t="s">
        <v>1723</v>
      </c>
    </row>
    <row r="196" spans="1:4" x14ac:dyDescent="0.2">
      <c r="A196" s="450">
        <v>46195</v>
      </c>
      <c r="B196" s="277" t="s">
        <v>96</v>
      </c>
      <c r="C196" s="451">
        <v>350000</v>
      </c>
      <c r="D196" s="452" t="s">
        <v>1296</v>
      </c>
    </row>
    <row r="197" spans="1:4" x14ac:dyDescent="0.2">
      <c r="A197" s="450">
        <v>46195</v>
      </c>
      <c r="B197" s="277" t="s">
        <v>1646</v>
      </c>
      <c r="C197" s="451">
        <v>23630</v>
      </c>
      <c r="D197" s="452" t="s">
        <v>1649</v>
      </c>
    </row>
    <row r="198" spans="1:4" x14ac:dyDescent="0.2">
      <c r="A198" s="450">
        <v>46195</v>
      </c>
      <c r="B198" s="277" t="s">
        <v>59</v>
      </c>
      <c r="C198" s="451">
        <v>3915304</v>
      </c>
      <c r="D198" s="452" t="s">
        <v>1297</v>
      </c>
    </row>
    <row r="199" spans="1:4" x14ac:dyDescent="0.2">
      <c r="A199" s="450">
        <v>46195</v>
      </c>
      <c r="B199" s="277" t="s">
        <v>1733</v>
      </c>
      <c r="C199" s="451">
        <v>75555</v>
      </c>
      <c r="D199" s="452" t="s">
        <v>1649</v>
      </c>
    </row>
    <row r="200" spans="1:4" x14ac:dyDescent="0.2">
      <c r="A200" s="450">
        <v>46196</v>
      </c>
      <c r="B200" s="277" t="s">
        <v>256</v>
      </c>
      <c r="C200" s="451">
        <v>20148</v>
      </c>
      <c r="D200" s="452" t="s">
        <v>1298</v>
      </c>
    </row>
    <row r="201" spans="1:4" x14ac:dyDescent="0.2">
      <c r="A201" s="450">
        <v>46196</v>
      </c>
      <c r="B201" s="277" t="s">
        <v>1733</v>
      </c>
      <c r="C201" s="451">
        <v>30222</v>
      </c>
      <c r="D201" s="452" t="s">
        <v>1751</v>
      </c>
    </row>
    <row r="202" spans="1:4" x14ac:dyDescent="0.2">
      <c r="A202" s="450">
        <v>46196</v>
      </c>
      <c r="B202" s="277" t="s">
        <v>1073</v>
      </c>
      <c r="C202" s="451">
        <v>120888</v>
      </c>
      <c r="D202" s="452" t="s">
        <v>1298</v>
      </c>
    </row>
    <row r="203" spans="1:4" x14ac:dyDescent="0.2">
      <c r="A203" s="450">
        <v>46196</v>
      </c>
      <c r="B203" s="277" t="s">
        <v>901</v>
      </c>
      <c r="C203" s="451">
        <v>307011</v>
      </c>
      <c r="D203" s="452" t="s">
        <v>1298</v>
      </c>
    </row>
    <row r="204" spans="1:4" x14ac:dyDescent="0.2">
      <c r="A204" s="450">
        <v>46196</v>
      </c>
      <c r="B204" s="277" t="s">
        <v>501</v>
      </c>
      <c r="C204" s="451">
        <v>100740</v>
      </c>
      <c r="D204" s="452" t="s">
        <v>1298</v>
      </c>
    </row>
    <row r="205" spans="1:4" x14ac:dyDescent="0.2">
      <c r="A205" s="450">
        <v>46197</v>
      </c>
      <c r="B205" s="277" t="s">
        <v>1786</v>
      </c>
      <c r="C205" s="451">
        <v>150000</v>
      </c>
      <c r="D205" s="452" t="s">
        <v>1297</v>
      </c>
    </row>
    <row r="206" spans="1:4" x14ac:dyDescent="0.2">
      <c r="A206" s="450">
        <v>46197</v>
      </c>
      <c r="B206" s="277" t="s">
        <v>1073</v>
      </c>
      <c r="C206" s="451">
        <v>120888</v>
      </c>
      <c r="D206" s="452" t="s">
        <v>1298</v>
      </c>
    </row>
    <row r="207" spans="1:4" x14ac:dyDescent="0.2">
      <c r="A207" s="450">
        <v>46197</v>
      </c>
      <c r="B207" s="277" t="s">
        <v>103</v>
      </c>
      <c r="C207" s="451">
        <v>19626</v>
      </c>
      <c r="D207" s="452" t="s">
        <v>1298</v>
      </c>
    </row>
    <row r="208" spans="1:4" x14ac:dyDescent="0.2">
      <c r="A208" s="450">
        <v>46198</v>
      </c>
      <c r="B208" s="277" t="s">
        <v>714</v>
      </c>
      <c r="C208" s="451">
        <v>20000</v>
      </c>
      <c r="D208" s="452" t="s">
        <v>1298</v>
      </c>
    </row>
    <row r="209" spans="1:4" x14ac:dyDescent="0.2">
      <c r="A209" s="450">
        <v>46198</v>
      </c>
      <c r="B209" s="277" t="s">
        <v>58</v>
      </c>
      <c r="C209" s="451">
        <v>1947191</v>
      </c>
      <c r="D209" s="452" t="s">
        <v>1297</v>
      </c>
    </row>
    <row r="210" spans="1:4" x14ac:dyDescent="0.2">
      <c r="A210" s="450">
        <v>46198</v>
      </c>
      <c r="B210" s="277" t="s">
        <v>1786</v>
      </c>
      <c r="C210" s="451">
        <v>50000</v>
      </c>
      <c r="D210" s="452" t="s">
        <v>1297</v>
      </c>
    </row>
    <row r="211" spans="1:4" x14ac:dyDescent="0.2">
      <c r="A211" s="450">
        <v>46198</v>
      </c>
      <c r="B211" s="277" t="s">
        <v>1532</v>
      </c>
      <c r="C211" s="451">
        <v>200183</v>
      </c>
      <c r="D211" s="452" t="s">
        <v>1299</v>
      </c>
    </row>
    <row r="212" spans="1:4" x14ac:dyDescent="0.2">
      <c r="A212" s="450">
        <v>46199</v>
      </c>
      <c r="B212" s="277" t="s">
        <v>96</v>
      </c>
      <c r="C212" s="451">
        <v>500000</v>
      </c>
      <c r="D212" s="452" t="s">
        <v>1298</v>
      </c>
    </row>
    <row r="213" spans="1:4" x14ac:dyDescent="0.2">
      <c r="A213" s="450">
        <v>46199</v>
      </c>
      <c r="B213" s="277" t="s">
        <v>1646</v>
      </c>
      <c r="C213" s="451">
        <v>42306</v>
      </c>
      <c r="D213" s="452" t="s">
        <v>1649</v>
      </c>
    </row>
    <row r="214" spans="1:4" x14ac:dyDescent="0.2">
      <c r="A214" s="450">
        <v>46199</v>
      </c>
      <c r="B214" s="277" t="s">
        <v>199</v>
      </c>
      <c r="C214" s="451">
        <v>63864.1</v>
      </c>
      <c r="D214" s="452" t="s">
        <v>1325</v>
      </c>
    </row>
    <row r="215" spans="1:4" x14ac:dyDescent="0.2">
      <c r="A215" s="450">
        <v>46200</v>
      </c>
      <c r="B215" s="277" t="s">
        <v>714</v>
      </c>
      <c r="C215" s="451">
        <v>20000</v>
      </c>
      <c r="D215" s="452" t="s">
        <v>1298</v>
      </c>
    </row>
    <row r="216" spans="1:4" x14ac:dyDescent="0.2">
      <c r="A216" s="450">
        <v>46200</v>
      </c>
      <c r="B216" s="277" t="s">
        <v>199</v>
      </c>
      <c r="C216" s="451">
        <v>15111</v>
      </c>
      <c r="D216" s="452" t="s">
        <v>1325</v>
      </c>
    </row>
    <row r="217" spans="1:4" x14ac:dyDescent="0.2">
      <c r="A217" s="450">
        <v>46200</v>
      </c>
      <c r="B217" s="277" t="s">
        <v>256</v>
      </c>
      <c r="C217" s="451">
        <v>20148</v>
      </c>
      <c r="D217" s="452" t="s">
        <v>1298</v>
      </c>
    </row>
    <row r="218" spans="1:4" x14ac:dyDescent="0.2">
      <c r="A218" s="450">
        <v>46200</v>
      </c>
      <c r="B218" s="277" t="s">
        <v>1786</v>
      </c>
      <c r="C218" s="451">
        <v>100000</v>
      </c>
      <c r="D218" s="452" t="s">
        <v>1297</v>
      </c>
    </row>
    <row r="219" spans="1:4" x14ac:dyDescent="0.2">
      <c r="A219" s="450">
        <v>46200</v>
      </c>
      <c r="B219" s="277" t="s">
        <v>1483</v>
      </c>
      <c r="C219" s="451">
        <v>20148</v>
      </c>
      <c r="D219" s="452" t="s">
        <v>1298</v>
      </c>
    </row>
    <row r="220" spans="1:4" x14ac:dyDescent="0.2">
      <c r="A220" s="450">
        <v>46200</v>
      </c>
      <c r="B220" s="277" t="s">
        <v>901</v>
      </c>
      <c r="C220" s="451">
        <v>402960</v>
      </c>
      <c r="D220" s="452" t="s">
        <v>1298</v>
      </c>
    </row>
    <row r="221" spans="1:4" x14ac:dyDescent="0.2">
      <c r="A221" s="450">
        <v>46202</v>
      </c>
      <c r="B221" s="277" t="s">
        <v>714</v>
      </c>
      <c r="C221" s="451">
        <v>10000</v>
      </c>
      <c r="D221" s="452" t="s">
        <v>1649</v>
      </c>
    </row>
    <row r="222" spans="1:4" x14ac:dyDescent="0.2">
      <c r="A222" s="450">
        <v>46202</v>
      </c>
      <c r="B222" s="277" t="s">
        <v>1786</v>
      </c>
      <c r="C222" s="451">
        <v>28900</v>
      </c>
      <c r="D222" s="452" t="s">
        <v>1297</v>
      </c>
    </row>
    <row r="223" spans="1:4" x14ac:dyDescent="0.2">
      <c r="A223" s="450">
        <v>46202</v>
      </c>
      <c r="B223" s="277" t="s">
        <v>143</v>
      </c>
      <c r="C223" s="451">
        <v>1207671</v>
      </c>
      <c r="D223" s="452" t="s">
        <v>1298</v>
      </c>
    </row>
    <row r="224" spans="1:4" x14ac:dyDescent="0.2">
      <c r="A224" s="450">
        <v>46203</v>
      </c>
      <c r="B224" s="277" t="s">
        <v>96</v>
      </c>
      <c r="C224" s="451">
        <v>400000</v>
      </c>
      <c r="D224" s="452" t="s">
        <v>1298</v>
      </c>
    </row>
    <row r="225" spans="1:4" x14ac:dyDescent="0.2">
      <c r="A225" s="450">
        <v>46203</v>
      </c>
      <c r="B225" s="277" t="s">
        <v>1073</v>
      </c>
      <c r="C225" s="451">
        <v>423108</v>
      </c>
      <c r="D225" s="452" t="s">
        <v>1298</v>
      </c>
    </row>
    <row r="226" spans="1:4" x14ac:dyDescent="0.2">
      <c r="A226" s="450">
        <v>46203</v>
      </c>
      <c r="B226" s="277" t="s">
        <v>52</v>
      </c>
      <c r="C226" s="451">
        <v>2250000</v>
      </c>
      <c r="D226" s="452" t="s">
        <v>1297</v>
      </c>
    </row>
    <row r="227" spans="1:4" x14ac:dyDescent="0.2">
      <c r="A227" s="450">
        <v>46203</v>
      </c>
      <c r="B227" s="277" t="s">
        <v>199</v>
      </c>
      <c r="C227" s="451">
        <v>20000</v>
      </c>
      <c r="D227" s="452" t="s">
        <v>1298</v>
      </c>
    </row>
    <row r="228" spans="1:4" x14ac:dyDescent="0.2">
      <c r="A228" s="450">
        <v>46204</v>
      </c>
      <c r="B228" s="277" t="s">
        <v>199</v>
      </c>
      <c r="C228" s="451">
        <v>24882</v>
      </c>
      <c r="D228" s="452" t="s">
        <v>1298</v>
      </c>
    </row>
    <row r="229" spans="1:4" x14ac:dyDescent="0.2">
      <c r="A229" s="450">
        <v>46204</v>
      </c>
      <c r="B229" s="277" t="s">
        <v>143</v>
      </c>
      <c r="C229" s="451">
        <v>1207671</v>
      </c>
      <c r="D229" s="452" t="s">
        <v>1298</v>
      </c>
    </row>
    <row r="230" spans="1:4" x14ac:dyDescent="0.2">
      <c r="A230" s="450">
        <v>46204</v>
      </c>
      <c r="B230" s="277" t="s">
        <v>202</v>
      </c>
      <c r="C230" s="451">
        <v>13164</v>
      </c>
      <c r="D230" s="452" t="s">
        <v>1298</v>
      </c>
    </row>
    <row r="231" spans="1:4" x14ac:dyDescent="0.2">
      <c r="A231" s="450">
        <v>46204</v>
      </c>
      <c r="B231" s="277" t="s">
        <v>1483</v>
      </c>
      <c r="C231" s="451">
        <v>40296</v>
      </c>
      <c r="D231" s="452" t="s">
        <v>1298</v>
      </c>
    </row>
    <row r="232" spans="1:4" x14ac:dyDescent="0.2">
      <c r="A232" s="450">
        <v>46205</v>
      </c>
      <c r="B232" s="277" t="s">
        <v>1646</v>
      </c>
      <c r="C232" s="451">
        <v>29518</v>
      </c>
      <c r="D232" s="452" t="s">
        <v>1649</v>
      </c>
    </row>
    <row r="233" spans="1:4" x14ac:dyDescent="0.2">
      <c r="A233" s="450">
        <v>46205</v>
      </c>
      <c r="B233" s="277" t="s">
        <v>95</v>
      </c>
      <c r="C233" s="451">
        <v>114251.25</v>
      </c>
      <c r="D233" s="452" t="s">
        <v>1297</v>
      </c>
    </row>
    <row r="234" spans="1:4" x14ac:dyDescent="0.2">
      <c r="A234" s="450">
        <v>46205</v>
      </c>
      <c r="B234" s="277" t="s">
        <v>714</v>
      </c>
      <c r="C234" s="451">
        <v>100000</v>
      </c>
      <c r="D234" s="452" t="s">
        <v>1296</v>
      </c>
    </row>
    <row r="235" spans="1:4" x14ac:dyDescent="0.2">
      <c r="A235" s="450">
        <v>46205</v>
      </c>
      <c r="B235" s="277" t="s">
        <v>1073</v>
      </c>
      <c r="C235" s="451">
        <v>302220</v>
      </c>
      <c r="D235" s="452" t="s">
        <v>1298</v>
      </c>
    </row>
    <row r="236" spans="1:4" x14ac:dyDescent="0.2">
      <c r="A236" s="450">
        <v>46205</v>
      </c>
      <c r="B236" s="277" t="s">
        <v>2570</v>
      </c>
      <c r="C236" s="451">
        <v>141036</v>
      </c>
      <c r="D236" s="452" t="s">
        <v>1298</v>
      </c>
    </row>
    <row r="237" spans="1:4" x14ac:dyDescent="0.2">
      <c r="A237" s="450">
        <v>46205</v>
      </c>
      <c r="B237" s="277" t="s">
        <v>134</v>
      </c>
      <c r="C237" s="451">
        <v>96740</v>
      </c>
      <c r="D237" s="452" t="s">
        <v>1298</v>
      </c>
    </row>
    <row r="238" spans="1:4" x14ac:dyDescent="0.2">
      <c r="A238" s="450">
        <v>46206</v>
      </c>
      <c r="B238" s="277" t="s">
        <v>302</v>
      </c>
      <c r="C238" s="451">
        <v>100639</v>
      </c>
      <c r="D238" s="452" t="s">
        <v>1299</v>
      </c>
    </row>
    <row r="239" spans="1:4" x14ac:dyDescent="0.2">
      <c r="A239" s="450">
        <v>46206</v>
      </c>
      <c r="B239" s="277" t="s">
        <v>2364</v>
      </c>
      <c r="C239" s="451">
        <v>80750</v>
      </c>
      <c r="D239" s="452" t="s">
        <v>1298</v>
      </c>
    </row>
    <row r="240" spans="1:4" x14ac:dyDescent="0.2">
      <c r="A240" s="450">
        <v>46206</v>
      </c>
      <c r="B240" s="277" t="s">
        <v>2570</v>
      </c>
      <c r="C240" s="451">
        <v>201480</v>
      </c>
      <c r="D240" s="452" t="s">
        <v>1298</v>
      </c>
    </row>
    <row r="241" spans="1:4" x14ac:dyDescent="0.2">
      <c r="A241" s="450">
        <v>46206</v>
      </c>
      <c r="B241" s="277" t="s">
        <v>152</v>
      </c>
      <c r="C241" s="451">
        <v>500000</v>
      </c>
      <c r="D241" s="452" t="s">
        <v>1297</v>
      </c>
    </row>
    <row r="242" spans="1:4" x14ac:dyDescent="0.2">
      <c r="A242" s="450">
        <v>46207</v>
      </c>
      <c r="B242" s="277" t="s">
        <v>256</v>
      </c>
      <c r="C242" s="451">
        <v>10074</v>
      </c>
      <c r="D242" s="452" t="s">
        <v>1298</v>
      </c>
    </row>
    <row r="243" spans="1:4" x14ac:dyDescent="0.2">
      <c r="A243" s="450">
        <v>46207</v>
      </c>
      <c r="B243" s="277" t="s">
        <v>2364</v>
      </c>
      <c r="C243" s="451">
        <v>1600</v>
      </c>
      <c r="D243" s="452" t="s">
        <v>1298</v>
      </c>
    </row>
    <row r="244" spans="1:4" x14ac:dyDescent="0.2">
      <c r="A244" s="450">
        <v>46207</v>
      </c>
      <c r="B244" s="277" t="s">
        <v>96</v>
      </c>
      <c r="C244" s="451">
        <v>414944</v>
      </c>
      <c r="D244" s="452" t="s">
        <v>1298</v>
      </c>
    </row>
    <row r="245" spans="1:4" x14ac:dyDescent="0.2">
      <c r="A245" s="450">
        <v>46207</v>
      </c>
      <c r="B245" s="277" t="s">
        <v>1532</v>
      </c>
      <c r="C245" s="451">
        <v>101745</v>
      </c>
      <c r="D245" s="452" t="s">
        <v>1299</v>
      </c>
    </row>
    <row r="246" spans="1:4" x14ac:dyDescent="0.2">
      <c r="A246" s="450">
        <v>46207</v>
      </c>
      <c r="B246" s="277" t="s">
        <v>58</v>
      </c>
      <c r="C246" s="451">
        <v>1774946</v>
      </c>
      <c r="D246" s="452" t="s">
        <v>1297</v>
      </c>
    </row>
    <row r="247" spans="1:4" x14ac:dyDescent="0.2">
      <c r="A247" s="450">
        <v>46207</v>
      </c>
      <c r="B247" s="277" t="s">
        <v>143</v>
      </c>
      <c r="C247" s="451">
        <v>1207671</v>
      </c>
      <c r="D247" s="452" t="s">
        <v>1298</v>
      </c>
    </row>
    <row r="248" spans="1:4" x14ac:dyDescent="0.2">
      <c r="A248" s="450">
        <v>46207</v>
      </c>
      <c r="B248" s="277" t="s">
        <v>714</v>
      </c>
      <c r="C248" s="451">
        <v>100000</v>
      </c>
      <c r="D248" s="452" t="s">
        <v>1296</v>
      </c>
    </row>
    <row r="249" spans="1:4" x14ac:dyDescent="0.2">
      <c r="A249" s="450">
        <v>46207</v>
      </c>
      <c r="B249" s="277" t="s">
        <v>95</v>
      </c>
      <c r="C249" s="451">
        <v>200000</v>
      </c>
      <c r="D249" s="452" t="s">
        <v>1297</v>
      </c>
    </row>
    <row r="250" spans="1:4" x14ac:dyDescent="0.2">
      <c r="A250" s="450">
        <v>46208</v>
      </c>
      <c r="B250" s="277" t="s">
        <v>2570</v>
      </c>
      <c r="C250" s="451">
        <v>161184</v>
      </c>
      <c r="D250" s="452" t="s">
        <v>1298</v>
      </c>
    </row>
    <row r="251" spans="1:4" x14ac:dyDescent="0.2">
      <c r="A251" s="450">
        <v>46209</v>
      </c>
      <c r="B251" s="277" t="s">
        <v>2364</v>
      </c>
      <c r="C251" s="451">
        <v>57688.41</v>
      </c>
      <c r="D251" s="452" t="s">
        <v>1298</v>
      </c>
    </row>
    <row r="252" spans="1:4" x14ac:dyDescent="0.2">
      <c r="A252" s="450">
        <v>46209</v>
      </c>
      <c r="B252" s="277" t="s">
        <v>95</v>
      </c>
      <c r="C252" s="451">
        <v>200000</v>
      </c>
      <c r="D252" s="452" t="s">
        <v>1297</v>
      </c>
    </row>
    <row r="253" spans="1:4" x14ac:dyDescent="0.2">
      <c r="A253" s="450">
        <v>46209</v>
      </c>
      <c r="B253" s="277" t="s">
        <v>2570</v>
      </c>
      <c r="C253" s="451">
        <v>261924</v>
      </c>
      <c r="D253" s="452" t="s">
        <v>1298</v>
      </c>
    </row>
    <row r="254" spans="1:4" x14ac:dyDescent="0.2">
      <c r="A254" s="450">
        <v>46209</v>
      </c>
      <c r="B254" s="277" t="s">
        <v>901</v>
      </c>
      <c r="C254" s="451">
        <v>300000</v>
      </c>
      <c r="D254" s="452" t="s">
        <v>1298</v>
      </c>
    </row>
    <row r="255" spans="1:4" x14ac:dyDescent="0.2">
      <c r="A255" s="450">
        <v>46210</v>
      </c>
      <c r="B255" s="277" t="s">
        <v>1786</v>
      </c>
      <c r="C255" s="451">
        <v>93100</v>
      </c>
      <c r="D255" s="452" t="s">
        <v>1297</v>
      </c>
    </row>
    <row r="256" spans="1:4" x14ac:dyDescent="0.2">
      <c r="A256" s="450">
        <v>46210</v>
      </c>
      <c r="B256" s="277" t="s">
        <v>95</v>
      </c>
      <c r="C256" s="451">
        <v>150000</v>
      </c>
      <c r="D256" s="452" t="s">
        <v>1297</v>
      </c>
    </row>
    <row r="257" spans="1:4" x14ac:dyDescent="0.2">
      <c r="A257" s="450">
        <v>46210</v>
      </c>
      <c r="B257" s="277" t="s">
        <v>56</v>
      </c>
      <c r="C257" s="451">
        <v>137940</v>
      </c>
      <c r="D257" s="452" t="s">
        <v>1298</v>
      </c>
    </row>
    <row r="258" spans="1:4" x14ac:dyDescent="0.2">
      <c r="A258" s="450">
        <v>46210</v>
      </c>
      <c r="B258" s="277" t="s">
        <v>256</v>
      </c>
      <c r="C258" s="451">
        <v>10074</v>
      </c>
      <c r="D258" s="452" t="s">
        <v>1298</v>
      </c>
    </row>
    <row r="259" spans="1:4" x14ac:dyDescent="0.2">
      <c r="A259" s="450">
        <v>46210</v>
      </c>
      <c r="B259" s="277" t="s">
        <v>199</v>
      </c>
      <c r="C259" s="451">
        <v>35259</v>
      </c>
      <c r="D259" s="452" t="s">
        <v>1298</v>
      </c>
    </row>
    <row r="260" spans="1:4" x14ac:dyDescent="0.2">
      <c r="A260" s="450">
        <v>46211</v>
      </c>
      <c r="B260" s="277" t="s">
        <v>2364</v>
      </c>
      <c r="C260" s="451">
        <v>17445.89</v>
      </c>
      <c r="D260" s="452" t="s">
        <v>1298</v>
      </c>
    </row>
    <row r="261" spans="1:4" x14ac:dyDescent="0.2">
      <c r="A261" s="450">
        <v>46211</v>
      </c>
      <c r="B261" s="277" t="s">
        <v>1786</v>
      </c>
      <c r="C261" s="451">
        <v>2500</v>
      </c>
      <c r="D261" s="452" t="s">
        <v>1297</v>
      </c>
    </row>
    <row r="262" spans="1:4" x14ac:dyDescent="0.2">
      <c r="A262" s="450">
        <v>46211</v>
      </c>
      <c r="B262" s="277" t="s">
        <v>2570</v>
      </c>
      <c r="C262" s="451">
        <v>40296</v>
      </c>
      <c r="D262" s="452" t="s">
        <v>1298</v>
      </c>
    </row>
    <row r="263" spans="1:4" x14ac:dyDescent="0.2">
      <c r="A263" s="450">
        <v>46211</v>
      </c>
      <c r="B263" s="277" t="s">
        <v>96</v>
      </c>
      <c r="C263" s="451">
        <v>402966</v>
      </c>
      <c r="D263" s="452" t="s">
        <v>1298</v>
      </c>
    </row>
    <row r="264" spans="1:4" x14ac:dyDescent="0.2">
      <c r="A264" s="450">
        <v>46211</v>
      </c>
      <c r="B264" s="277" t="s">
        <v>135</v>
      </c>
      <c r="C264" s="451">
        <v>200000</v>
      </c>
      <c r="D264" s="452" t="s">
        <v>1298</v>
      </c>
    </row>
    <row r="265" spans="1:4" x14ac:dyDescent="0.2">
      <c r="A265" s="450">
        <v>46211</v>
      </c>
      <c r="B265" s="277" t="s">
        <v>2611</v>
      </c>
      <c r="C265" s="451">
        <v>20144</v>
      </c>
      <c r="D265" s="452" t="s">
        <v>1649</v>
      </c>
    </row>
    <row r="266" spans="1:4" x14ac:dyDescent="0.2">
      <c r="A266" s="450">
        <v>46212</v>
      </c>
      <c r="B266" s="277" t="s">
        <v>95</v>
      </c>
      <c r="C266" s="451">
        <v>200000</v>
      </c>
      <c r="D266" s="452" t="s">
        <v>1297</v>
      </c>
    </row>
    <row r="267" spans="1:4" x14ac:dyDescent="0.2">
      <c r="A267" s="450">
        <v>46212</v>
      </c>
      <c r="B267" s="277" t="s">
        <v>92</v>
      </c>
      <c r="C267" s="451">
        <v>60444</v>
      </c>
      <c r="D267" s="452" t="s">
        <v>1298</v>
      </c>
    </row>
    <row r="268" spans="1:4" x14ac:dyDescent="0.2">
      <c r="A268" s="450">
        <v>46212</v>
      </c>
      <c r="B268" s="277" t="s">
        <v>1073</v>
      </c>
      <c r="C268" s="451">
        <v>302220</v>
      </c>
      <c r="D268" s="452" t="s">
        <v>1298</v>
      </c>
    </row>
    <row r="269" spans="1:4" x14ac:dyDescent="0.2">
      <c r="A269" s="450">
        <v>46212</v>
      </c>
      <c r="B269" s="277" t="s">
        <v>143</v>
      </c>
      <c r="C269" s="451">
        <v>21409</v>
      </c>
      <c r="D269" s="452" t="s">
        <v>1298</v>
      </c>
    </row>
    <row r="270" spans="1:4" x14ac:dyDescent="0.2">
      <c r="A270" s="450">
        <v>46212</v>
      </c>
      <c r="B270" s="277" t="s">
        <v>2611</v>
      </c>
      <c r="C270" s="451">
        <v>20000</v>
      </c>
      <c r="D270" s="452" t="s">
        <v>1298</v>
      </c>
    </row>
    <row r="271" spans="1:4" x14ac:dyDescent="0.2">
      <c r="A271" s="450">
        <v>46213</v>
      </c>
      <c r="B271" s="277" t="s">
        <v>1483</v>
      </c>
      <c r="C271" s="451">
        <v>30767</v>
      </c>
      <c r="D271" s="452" t="s">
        <v>1298</v>
      </c>
    </row>
    <row r="272" spans="1:4" x14ac:dyDescent="0.2">
      <c r="A272" s="450">
        <v>46213</v>
      </c>
      <c r="B272" s="277" t="s">
        <v>901</v>
      </c>
      <c r="C272" s="451">
        <v>102960</v>
      </c>
      <c r="D272" s="452" t="s">
        <v>1298</v>
      </c>
    </row>
    <row r="273" spans="1:4" x14ac:dyDescent="0.2">
      <c r="A273" s="450">
        <v>46213</v>
      </c>
      <c r="B273" s="277" t="s">
        <v>2364</v>
      </c>
      <c r="C273" s="451">
        <v>2510</v>
      </c>
      <c r="D273" s="452" t="s">
        <v>1298</v>
      </c>
    </row>
    <row r="274" spans="1:4" x14ac:dyDescent="0.2">
      <c r="A274" s="450">
        <v>46213</v>
      </c>
      <c r="B274" s="277" t="s">
        <v>143</v>
      </c>
      <c r="C274" s="451">
        <v>1206160</v>
      </c>
      <c r="D274" s="452" t="s">
        <v>1298</v>
      </c>
    </row>
    <row r="275" spans="1:4" x14ac:dyDescent="0.2">
      <c r="A275" s="450">
        <v>46213</v>
      </c>
      <c r="B275" s="277" t="s">
        <v>143</v>
      </c>
      <c r="C275" s="451">
        <v>1192806</v>
      </c>
      <c r="D275" s="452" t="s">
        <v>1298</v>
      </c>
    </row>
    <row r="276" spans="1:4" x14ac:dyDescent="0.2">
      <c r="A276" s="450">
        <v>46213</v>
      </c>
      <c r="B276" s="277" t="s">
        <v>199</v>
      </c>
      <c r="C276" s="451">
        <v>61653.88</v>
      </c>
      <c r="D276" s="452" t="s">
        <v>1325</v>
      </c>
    </row>
    <row r="277" spans="1:4" x14ac:dyDescent="0.2">
      <c r="A277" s="450">
        <v>46214</v>
      </c>
      <c r="B277" s="277" t="s">
        <v>2364</v>
      </c>
      <c r="C277" s="451">
        <v>22798.65</v>
      </c>
      <c r="D277" s="452" t="s">
        <v>1298</v>
      </c>
    </row>
    <row r="278" spans="1:4" x14ac:dyDescent="0.2">
      <c r="A278" s="450">
        <v>46214</v>
      </c>
      <c r="B278" s="277" t="s">
        <v>2611</v>
      </c>
      <c r="C278" s="451">
        <v>20000</v>
      </c>
      <c r="D278" s="452" t="s">
        <v>1298</v>
      </c>
    </row>
    <row r="279" spans="1:4" x14ac:dyDescent="0.2">
      <c r="A279" s="450">
        <v>46214</v>
      </c>
      <c r="B279" s="277" t="s">
        <v>95</v>
      </c>
      <c r="C279" s="451">
        <v>300000</v>
      </c>
      <c r="D279" s="452" t="s">
        <v>1297</v>
      </c>
    </row>
    <row r="280" spans="1:4" x14ac:dyDescent="0.2">
      <c r="A280" s="450">
        <v>46214</v>
      </c>
      <c r="B280" s="277" t="s">
        <v>2570</v>
      </c>
      <c r="C280" s="451">
        <v>141036</v>
      </c>
      <c r="D280" s="452" t="s">
        <v>1298</v>
      </c>
    </row>
    <row r="281" spans="1:4" x14ac:dyDescent="0.2">
      <c r="A281" s="450">
        <v>46214</v>
      </c>
      <c r="B281" s="277" t="s">
        <v>58</v>
      </c>
      <c r="C281" s="451">
        <v>2000000</v>
      </c>
      <c r="D281" s="452" t="s">
        <v>1297</v>
      </c>
    </row>
    <row r="282" spans="1:4" x14ac:dyDescent="0.2">
      <c r="A282" s="450">
        <v>46215</v>
      </c>
      <c r="B282" s="277" t="s">
        <v>2364</v>
      </c>
      <c r="C282" s="451">
        <v>4015</v>
      </c>
      <c r="D282" s="452" t="s">
        <v>1298</v>
      </c>
    </row>
    <row r="283" spans="1:4" x14ac:dyDescent="0.2">
      <c r="A283" s="450">
        <v>46216</v>
      </c>
      <c r="B283" s="277" t="s">
        <v>2611</v>
      </c>
      <c r="C283" s="451">
        <v>20000</v>
      </c>
      <c r="D283" s="452" t="s">
        <v>1298</v>
      </c>
    </row>
    <row r="284" spans="1:4" x14ac:dyDescent="0.2">
      <c r="A284" s="450">
        <v>46216</v>
      </c>
      <c r="B284" s="277" t="s">
        <v>95</v>
      </c>
      <c r="C284" s="451">
        <v>250000</v>
      </c>
      <c r="D284" s="452" t="s">
        <v>1297</v>
      </c>
    </row>
    <row r="285" spans="1:4" x14ac:dyDescent="0.2">
      <c r="A285" s="450">
        <v>46216</v>
      </c>
      <c r="B285" s="277" t="s">
        <v>51</v>
      </c>
      <c r="C285" s="451">
        <v>3578418</v>
      </c>
      <c r="D285" s="452" t="s">
        <v>1299</v>
      </c>
    </row>
    <row r="286" spans="1:4" x14ac:dyDescent="0.2">
      <c r="A286" s="450">
        <v>46216</v>
      </c>
      <c r="B286" s="277" t="s">
        <v>1073</v>
      </c>
      <c r="C286" s="451">
        <v>302220</v>
      </c>
      <c r="D286" s="452" t="s">
        <v>1298</v>
      </c>
    </row>
    <row r="287" spans="1:4" x14ac:dyDescent="0.2">
      <c r="A287" s="450">
        <v>46216</v>
      </c>
      <c r="B287" s="277" t="s">
        <v>96</v>
      </c>
      <c r="C287" s="451">
        <v>400000</v>
      </c>
      <c r="D287" s="452" t="s">
        <v>1298</v>
      </c>
    </row>
    <row r="288" spans="1:4" x14ac:dyDescent="0.2">
      <c r="A288" s="450">
        <v>46216</v>
      </c>
      <c r="B288" s="277" t="s">
        <v>152</v>
      </c>
      <c r="C288" s="451">
        <v>500000</v>
      </c>
      <c r="D288" s="452" t="s">
        <v>1297</v>
      </c>
    </row>
    <row r="289" spans="1:4" x14ac:dyDescent="0.2">
      <c r="A289" s="450">
        <v>46217</v>
      </c>
      <c r="B289" s="277" t="s">
        <v>2364</v>
      </c>
      <c r="C289" s="451">
        <v>37179.230000000003</v>
      </c>
      <c r="D289" s="452" t="s">
        <v>1298</v>
      </c>
    </row>
    <row r="290" spans="1:4" x14ac:dyDescent="0.2">
      <c r="A290" s="450">
        <v>46217</v>
      </c>
      <c r="B290" s="277" t="s">
        <v>2611</v>
      </c>
      <c r="C290" s="451">
        <v>20000</v>
      </c>
      <c r="D290" s="452" t="s">
        <v>1298</v>
      </c>
    </row>
    <row r="291" spans="1:4" x14ac:dyDescent="0.2">
      <c r="A291" s="450">
        <v>46217</v>
      </c>
      <c r="B291" s="277" t="s">
        <v>95</v>
      </c>
      <c r="C291" s="451">
        <v>100000</v>
      </c>
      <c r="D291" s="452" t="s">
        <v>1297</v>
      </c>
    </row>
    <row r="292" spans="1:4" x14ac:dyDescent="0.2">
      <c r="A292" s="450">
        <v>46217</v>
      </c>
      <c r="B292" s="277" t="s">
        <v>714</v>
      </c>
      <c r="C292" s="451">
        <v>50000</v>
      </c>
      <c r="D292" s="452" t="s">
        <v>1296</v>
      </c>
    </row>
    <row r="293" spans="1:4" x14ac:dyDescent="0.2">
      <c r="A293" s="450">
        <v>46217</v>
      </c>
      <c r="B293" s="277" t="s">
        <v>2570</v>
      </c>
      <c r="C293" s="451">
        <f>40296+20148</f>
        <v>60444</v>
      </c>
      <c r="D293" s="452" t="s">
        <v>1298</v>
      </c>
    </row>
    <row r="294" spans="1:4" x14ac:dyDescent="0.2">
      <c r="A294" s="450">
        <v>46217</v>
      </c>
      <c r="B294" s="277" t="s">
        <v>143</v>
      </c>
      <c r="C294" s="451">
        <v>1192806</v>
      </c>
      <c r="D294" s="452" t="s">
        <v>1298</v>
      </c>
    </row>
    <row r="295" spans="1:4" x14ac:dyDescent="0.2">
      <c r="A295" s="450">
        <v>46218</v>
      </c>
      <c r="B295" s="277" t="s">
        <v>2364</v>
      </c>
      <c r="C295" s="451">
        <v>17584.560000000001</v>
      </c>
      <c r="D295" s="452" t="s">
        <v>1298</v>
      </c>
    </row>
    <row r="296" spans="1:4" x14ac:dyDescent="0.2">
      <c r="A296" s="450">
        <v>46218</v>
      </c>
      <c r="B296" s="277" t="s">
        <v>2611</v>
      </c>
      <c r="C296" s="451">
        <v>20000</v>
      </c>
      <c r="D296" s="452" t="s">
        <v>1298</v>
      </c>
    </row>
    <row r="297" spans="1:4" x14ac:dyDescent="0.2">
      <c r="A297" s="450">
        <v>46218</v>
      </c>
      <c r="B297" s="277" t="s">
        <v>95</v>
      </c>
      <c r="C297" s="451">
        <v>100000</v>
      </c>
      <c r="D297" s="452" t="s">
        <v>1297</v>
      </c>
    </row>
    <row r="298" spans="1:4" x14ac:dyDescent="0.2">
      <c r="A298" s="450">
        <v>46218</v>
      </c>
      <c r="B298" s="277" t="s">
        <v>143</v>
      </c>
      <c r="C298" s="451">
        <v>1192806</v>
      </c>
      <c r="D298" s="452" t="s">
        <v>1298</v>
      </c>
    </row>
    <row r="299" spans="1:4" x14ac:dyDescent="0.2">
      <c r="A299" s="450">
        <v>46218</v>
      </c>
      <c r="B299" s="277" t="s">
        <v>2570</v>
      </c>
      <c r="C299" s="451">
        <v>300000</v>
      </c>
      <c r="D299" s="452" t="s">
        <v>1298</v>
      </c>
    </row>
    <row r="300" spans="1:4" x14ac:dyDescent="0.2">
      <c r="A300" s="450">
        <v>46218</v>
      </c>
      <c r="B300" s="277" t="s">
        <v>51</v>
      </c>
      <c r="C300" s="451">
        <v>490590</v>
      </c>
      <c r="D300" s="452" t="s">
        <v>1299</v>
      </c>
    </row>
    <row r="301" spans="1:4" x14ac:dyDescent="0.2">
      <c r="A301" s="450">
        <v>46218</v>
      </c>
      <c r="B301" s="277" t="s">
        <v>901</v>
      </c>
      <c r="C301" s="451">
        <v>202000</v>
      </c>
      <c r="D301" s="452" t="s">
        <v>1298</v>
      </c>
    </row>
    <row r="302" spans="1:4" x14ac:dyDescent="0.2">
      <c r="A302" s="450">
        <v>46219</v>
      </c>
      <c r="B302" s="277" t="s">
        <v>2364</v>
      </c>
      <c r="C302" s="451">
        <v>14831.59</v>
      </c>
      <c r="D302" s="452" t="s">
        <v>1298</v>
      </c>
    </row>
    <row r="303" spans="1:4" x14ac:dyDescent="0.2">
      <c r="A303" s="450">
        <v>46219</v>
      </c>
      <c r="B303" s="277" t="s">
        <v>2611</v>
      </c>
      <c r="C303" s="451">
        <v>20000</v>
      </c>
      <c r="D303" s="452" t="s">
        <v>1298</v>
      </c>
    </row>
    <row r="304" spans="1:4" x14ac:dyDescent="0.2">
      <c r="A304" s="450">
        <v>46219</v>
      </c>
      <c r="B304" s="277" t="s">
        <v>95</v>
      </c>
      <c r="C304" s="451">
        <v>100000</v>
      </c>
      <c r="D304" s="452" t="s">
        <v>1297</v>
      </c>
    </row>
    <row r="305" spans="1:4" x14ac:dyDescent="0.2">
      <c r="A305" s="450">
        <v>46220</v>
      </c>
      <c r="B305" s="277" t="s">
        <v>2364</v>
      </c>
      <c r="C305" s="451">
        <v>7890.77</v>
      </c>
      <c r="D305" s="452" t="s">
        <v>1298</v>
      </c>
    </row>
    <row r="306" spans="1:4" x14ac:dyDescent="0.2">
      <c r="A306" s="450">
        <v>46220</v>
      </c>
      <c r="B306" s="277" t="s">
        <v>95</v>
      </c>
      <c r="C306" s="451">
        <v>100000</v>
      </c>
      <c r="D306" s="452" t="s">
        <v>1297</v>
      </c>
    </row>
    <row r="307" spans="1:4" x14ac:dyDescent="0.2">
      <c r="A307" s="450">
        <v>46220</v>
      </c>
      <c r="B307" s="277" t="s">
        <v>874</v>
      </c>
      <c r="C307" s="451">
        <v>100639</v>
      </c>
      <c r="D307" s="452" t="s">
        <v>1299</v>
      </c>
    </row>
    <row r="308" spans="1:4" x14ac:dyDescent="0.2">
      <c r="A308" s="450">
        <v>46221</v>
      </c>
      <c r="B308" s="277" t="s">
        <v>59</v>
      </c>
      <c r="C308" s="451">
        <v>1500000</v>
      </c>
      <c r="D308" s="452" t="s">
        <v>1297</v>
      </c>
    </row>
    <row r="309" spans="1:4" x14ac:dyDescent="0.2">
      <c r="A309" s="450">
        <v>46221</v>
      </c>
      <c r="B309" s="277" t="s">
        <v>2364</v>
      </c>
      <c r="C309" s="451">
        <v>11090.1</v>
      </c>
      <c r="D309" s="452" t="s">
        <v>1298</v>
      </c>
    </row>
    <row r="310" spans="1:4" x14ac:dyDescent="0.2">
      <c r="A310" s="450">
        <v>46221</v>
      </c>
      <c r="B310" s="277" t="s">
        <v>714</v>
      </c>
      <c r="C310" s="451">
        <v>20000</v>
      </c>
      <c r="D310" s="452" t="s">
        <v>1298</v>
      </c>
    </row>
    <row r="311" spans="1:4" x14ac:dyDescent="0.2">
      <c r="A311" s="450">
        <v>46221</v>
      </c>
      <c r="B311" s="277" t="s">
        <v>96</v>
      </c>
      <c r="C311" s="451">
        <v>646978</v>
      </c>
      <c r="D311" s="452" t="s">
        <v>1298</v>
      </c>
    </row>
    <row r="312" spans="1:4" x14ac:dyDescent="0.2">
      <c r="A312" s="450">
        <v>46221</v>
      </c>
      <c r="B312" s="277" t="s">
        <v>1483</v>
      </c>
      <c r="C312" s="451">
        <v>60444</v>
      </c>
      <c r="D312" s="452" t="s">
        <v>1298</v>
      </c>
    </row>
    <row r="313" spans="1:4" x14ac:dyDescent="0.2">
      <c r="A313" s="450">
        <v>46221</v>
      </c>
      <c r="B313" s="277" t="s">
        <v>143</v>
      </c>
      <c r="C313" s="451">
        <v>1192806</v>
      </c>
      <c r="D313" s="452" t="s">
        <v>1298</v>
      </c>
    </row>
    <row r="314" spans="1:4" x14ac:dyDescent="0.2">
      <c r="A314" s="450">
        <v>46221</v>
      </c>
      <c r="B314" s="277" t="s">
        <v>58</v>
      </c>
      <c r="C314" s="451">
        <v>2001694</v>
      </c>
      <c r="D314" s="452" t="s">
        <v>1297</v>
      </c>
    </row>
    <row r="315" spans="1:4" x14ac:dyDescent="0.2">
      <c r="A315" s="450">
        <v>46222</v>
      </c>
      <c r="B315" s="277" t="s">
        <v>95</v>
      </c>
      <c r="C315" s="451">
        <v>100000</v>
      </c>
      <c r="D315" s="452" t="s">
        <v>1297</v>
      </c>
    </row>
    <row r="316" spans="1:4" x14ac:dyDescent="0.2">
      <c r="A316" s="450">
        <v>46222</v>
      </c>
      <c r="B316" s="277" t="s">
        <v>2611</v>
      </c>
      <c r="C316" s="451">
        <v>20000</v>
      </c>
      <c r="D316" s="452" t="s">
        <v>1298</v>
      </c>
    </row>
    <row r="317" spans="1:4" x14ac:dyDescent="0.2">
      <c r="A317" s="450">
        <v>46222</v>
      </c>
      <c r="B317" s="277" t="s">
        <v>199</v>
      </c>
      <c r="C317" s="451">
        <v>23171.200000000001</v>
      </c>
      <c r="D317" s="452" t="s">
        <v>1325</v>
      </c>
    </row>
    <row r="318" spans="1:4" x14ac:dyDescent="0.2">
      <c r="A318" s="450">
        <v>46223</v>
      </c>
      <c r="B318" s="277" t="s">
        <v>2364</v>
      </c>
      <c r="C318" s="451">
        <v>44359.770000000004</v>
      </c>
      <c r="D318" s="452" t="s">
        <v>1298</v>
      </c>
    </row>
    <row r="319" spans="1:4" x14ac:dyDescent="0.2">
      <c r="A319" s="450">
        <v>46223</v>
      </c>
      <c r="B319" s="277" t="s">
        <v>152</v>
      </c>
      <c r="C319" s="451">
        <v>500000</v>
      </c>
      <c r="D319" s="452" t="s">
        <v>1297</v>
      </c>
    </row>
    <row r="320" spans="1:4" x14ac:dyDescent="0.2">
      <c r="A320" s="450">
        <v>46223</v>
      </c>
      <c r="B320" s="277" t="s">
        <v>199</v>
      </c>
      <c r="C320" s="451">
        <v>23450</v>
      </c>
      <c r="D320" s="452" t="s">
        <v>1298</v>
      </c>
    </row>
    <row r="321" spans="1:4" x14ac:dyDescent="0.2">
      <c r="A321" s="450">
        <v>46223</v>
      </c>
      <c r="B321" s="277" t="s">
        <v>95</v>
      </c>
      <c r="C321" s="451">
        <v>200000</v>
      </c>
      <c r="D321" s="452" t="s">
        <v>1297</v>
      </c>
    </row>
    <row r="322" spans="1:4" x14ac:dyDescent="0.2">
      <c r="A322" s="450">
        <v>46223</v>
      </c>
      <c r="B322" s="277" t="s">
        <v>143</v>
      </c>
      <c r="C322" s="451">
        <v>1192806</v>
      </c>
      <c r="D322" s="452" t="s">
        <v>1298</v>
      </c>
    </row>
    <row r="323" spans="1:4" x14ac:dyDescent="0.2">
      <c r="A323" s="450">
        <v>46224</v>
      </c>
      <c r="B323" s="277" t="s">
        <v>2364</v>
      </c>
      <c r="C323" s="451">
        <v>7668.67</v>
      </c>
      <c r="D323" s="452" t="s">
        <v>1298</v>
      </c>
    </row>
    <row r="324" spans="1:4" x14ac:dyDescent="0.2">
      <c r="A324" s="450">
        <v>46224</v>
      </c>
      <c r="B324" s="277" t="s">
        <v>2611</v>
      </c>
      <c r="C324" s="451">
        <v>20000</v>
      </c>
      <c r="D324" s="452" t="s">
        <v>1298</v>
      </c>
    </row>
    <row r="325" spans="1:4" x14ac:dyDescent="0.2">
      <c r="A325" s="450">
        <v>46224</v>
      </c>
      <c r="B325" s="277" t="s">
        <v>714</v>
      </c>
      <c r="C325" s="451">
        <v>100000</v>
      </c>
      <c r="D325" s="452" t="s">
        <v>1296</v>
      </c>
    </row>
    <row r="326" spans="1:4" x14ac:dyDescent="0.2">
      <c r="A326" s="450">
        <v>46224</v>
      </c>
      <c r="B326" s="277" t="s">
        <v>96</v>
      </c>
      <c r="C326" s="451">
        <v>400000</v>
      </c>
      <c r="D326" s="452" t="s">
        <v>1298</v>
      </c>
    </row>
    <row r="327" spans="1:4" x14ac:dyDescent="0.2">
      <c r="A327" s="450">
        <v>46224</v>
      </c>
      <c r="B327" s="277" t="s">
        <v>143</v>
      </c>
      <c r="C327" s="451">
        <v>1192806</v>
      </c>
      <c r="D327" s="452" t="s">
        <v>1298</v>
      </c>
    </row>
    <row r="328" spans="1:4" x14ac:dyDescent="0.2">
      <c r="A328" s="450">
        <v>46224</v>
      </c>
      <c r="B328" s="277" t="s">
        <v>1073</v>
      </c>
      <c r="C328" s="451">
        <v>302220</v>
      </c>
      <c r="D328" s="452" t="s">
        <v>1298</v>
      </c>
    </row>
    <row r="329" spans="1:4" x14ac:dyDescent="0.2">
      <c r="A329" s="450">
        <v>46224</v>
      </c>
      <c r="B329" s="277" t="s">
        <v>1483</v>
      </c>
      <c r="C329" s="451">
        <v>60444</v>
      </c>
      <c r="D329" s="452" t="s">
        <v>1298</v>
      </c>
    </row>
    <row r="330" spans="1:4" x14ac:dyDescent="0.2">
      <c r="A330" s="450">
        <v>46224</v>
      </c>
      <c r="B330" s="277" t="s">
        <v>501</v>
      </c>
      <c r="C330" s="451">
        <v>120888</v>
      </c>
      <c r="D330" s="452" t="s">
        <v>1298</v>
      </c>
    </row>
    <row r="331" spans="1:4" x14ac:dyDescent="0.2">
      <c r="A331" s="450">
        <v>46225</v>
      </c>
      <c r="B331" s="277" t="s">
        <v>2364</v>
      </c>
      <c r="C331" s="451">
        <v>6540</v>
      </c>
      <c r="D331" s="452" t="s">
        <v>1298</v>
      </c>
    </row>
    <row r="332" spans="1:4" x14ac:dyDescent="0.2">
      <c r="A332" s="450">
        <v>46225</v>
      </c>
      <c r="B332" s="277" t="s">
        <v>95</v>
      </c>
      <c r="C332" s="451">
        <v>100000</v>
      </c>
      <c r="D332" s="452" t="s">
        <v>1297</v>
      </c>
    </row>
    <row r="333" spans="1:4" x14ac:dyDescent="0.2">
      <c r="A333" s="450">
        <v>46225</v>
      </c>
      <c r="B333" s="277" t="s">
        <v>199</v>
      </c>
      <c r="C333" s="451">
        <v>20148</v>
      </c>
      <c r="D333" s="452" t="s">
        <v>1298</v>
      </c>
    </row>
    <row r="334" spans="1:4" x14ac:dyDescent="0.2">
      <c r="A334" s="450">
        <v>46225</v>
      </c>
      <c r="B334" s="277" t="s">
        <v>2570</v>
      </c>
      <c r="C334" s="451">
        <v>250040</v>
      </c>
      <c r="D334" s="452" t="s">
        <v>1298</v>
      </c>
    </row>
    <row r="335" spans="1:4" x14ac:dyDescent="0.2">
      <c r="A335" s="450">
        <v>46225</v>
      </c>
      <c r="B335" s="277" t="s">
        <v>103</v>
      </c>
      <c r="C335" s="451">
        <v>33980</v>
      </c>
      <c r="D335" s="452" t="s">
        <v>1298</v>
      </c>
    </row>
    <row r="336" spans="1:4" x14ac:dyDescent="0.2">
      <c r="A336" s="450">
        <v>46225</v>
      </c>
      <c r="B336" s="277" t="s">
        <v>51</v>
      </c>
      <c r="C336" s="451">
        <v>3379617</v>
      </c>
      <c r="D336" s="452" t="s">
        <v>1299</v>
      </c>
    </row>
    <row r="337" spans="1:4" x14ac:dyDescent="0.2">
      <c r="A337" s="450">
        <v>46225</v>
      </c>
      <c r="B337" s="277" t="s">
        <v>2611</v>
      </c>
      <c r="C337" s="451">
        <v>50000</v>
      </c>
      <c r="D337" s="452" t="s">
        <v>2984</v>
      </c>
    </row>
    <row r="338" spans="1:4" x14ac:dyDescent="0.2">
      <c r="A338" s="450">
        <v>46226</v>
      </c>
      <c r="B338" s="277" t="s">
        <v>2364</v>
      </c>
      <c r="C338" s="451">
        <v>6405.15</v>
      </c>
      <c r="D338" s="452" t="s">
        <v>1298</v>
      </c>
    </row>
    <row r="339" spans="1:4" x14ac:dyDescent="0.2">
      <c r="A339" s="450">
        <v>46226</v>
      </c>
      <c r="B339" s="277" t="s">
        <v>95</v>
      </c>
      <c r="C339" s="451">
        <v>100000</v>
      </c>
      <c r="D339" s="452" t="s">
        <v>1297</v>
      </c>
    </row>
    <row r="340" spans="1:4" x14ac:dyDescent="0.2">
      <c r="A340" s="450">
        <v>46226</v>
      </c>
      <c r="B340" s="277" t="s">
        <v>52</v>
      </c>
      <c r="C340" s="451">
        <v>4954041</v>
      </c>
      <c r="D340" s="452" t="s">
        <v>1297</v>
      </c>
    </row>
    <row r="341" spans="1:4" x14ac:dyDescent="0.2">
      <c r="A341" s="450">
        <v>46226</v>
      </c>
      <c r="B341" s="277" t="s">
        <v>199</v>
      </c>
      <c r="C341" s="451">
        <v>61533</v>
      </c>
      <c r="D341" s="452" t="s">
        <v>1325</v>
      </c>
    </row>
    <row r="342" spans="1:4" x14ac:dyDescent="0.2">
      <c r="A342" s="450">
        <v>46226</v>
      </c>
      <c r="B342" s="277" t="s">
        <v>1073</v>
      </c>
      <c r="C342" s="451">
        <v>302220</v>
      </c>
      <c r="D342" s="452" t="s">
        <v>1298</v>
      </c>
    </row>
    <row r="343" spans="1:4" x14ac:dyDescent="0.2">
      <c r="A343" s="450">
        <v>46226</v>
      </c>
      <c r="B343" s="277" t="s">
        <v>2570</v>
      </c>
      <c r="C343" s="451">
        <v>300000</v>
      </c>
      <c r="D343" s="452" t="s">
        <v>1298</v>
      </c>
    </row>
    <row r="344" spans="1:4" x14ac:dyDescent="0.2">
      <c r="A344" s="450">
        <v>46226</v>
      </c>
      <c r="B344" s="277" t="s">
        <v>901</v>
      </c>
      <c r="C344" s="451">
        <v>300000</v>
      </c>
      <c r="D344" s="452" t="s">
        <v>1298</v>
      </c>
    </row>
    <row r="345" spans="1:4" x14ac:dyDescent="0.2">
      <c r="A345" s="450">
        <v>46227</v>
      </c>
      <c r="B345" s="277" t="s">
        <v>2364</v>
      </c>
      <c r="C345" s="451">
        <v>5794.1</v>
      </c>
      <c r="D345" s="452" t="s">
        <v>1298</v>
      </c>
    </row>
    <row r="346" spans="1:4" x14ac:dyDescent="0.2">
      <c r="A346" s="450">
        <v>46227</v>
      </c>
      <c r="B346" s="277" t="s">
        <v>95</v>
      </c>
      <c r="C346" s="451">
        <v>150000</v>
      </c>
      <c r="D346" s="452" t="s">
        <v>1297</v>
      </c>
    </row>
    <row r="347" spans="1:4" x14ac:dyDescent="0.2">
      <c r="A347" s="450">
        <v>46227</v>
      </c>
      <c r="B347" s="277" t="s">
        <v>52</v>
      </c>
      <c r="C347" s="451">
        <v>5995</v>
      </c>
      <c r="D347" s="452" t="s">
        <v>1299</v>
      </c>
    </row>
    <row r="348" spans="1:4" x14ac:dyDescent="0.2">
      <c r="A348" s="450">
        <v>46227</v>
      </c>
      <c r="B348" s="277" t="s">
        <v>143</v>
      </c>
      <c r="C348" s="451">
        <v>1192806</v>
      </c>
      <c r="D348" s="452" t="s">
        <v>1298</v>
      </c>
    </row>
    <row r="349" spans="1:4" x14ac:dyDescent="0.2">
      <c r="A349" s="450">
        <v>46228</v>
      </c>
      <c r="B349" s="277" t="s">
        <v>2364</v>
      </c>
      <c r="C349" s="451">
        <v>8380</v>
      </c>
      <c r="D349" s="452" t="s">
        <v>1298</v>
      </c>
    </row>
    <row r="350" spans="1:4" x14ac:dyDescent="0.2">
      <c r="A350" s="450">
        <v>46228</v>
      </c>
      <c r="B350" s="277" t="s">
        <v>2570</v>
      </c>
      <c r="C350" s="451">
        <v>200000</v>
      </c>
      <c r="D350" s="452" t="s">
        <v>1298</v>
      </c>
    </row>
    <row r="351" spans="1:4" x14ac:dyDescent="0.2">
      <c r="A351" s="450">
        <v>46228</v>
      </c>
      <c r="B351" s="277" t="s">
        <v>199</v>
      </c>
      <c r="C351" s="451">
        <v>35463.870000000003</v>
      </c>
      <c r="D351" s="452" t="s">
        <v>1325</v>
      </c>
    </row>
    <row r="352" spans="1:4" x14ac:dyDescent="0.2">
      <c r="A352" s="450">
        <v>46228</v>
      </c>
      <c r="B352" s="277" t="s">
        <v>3083</v>
      </c>
      <c r="C352" s="451">
        <v>20000</v>
      </c>
      <c r="D352" s="452" t="s">
        <v>1649</v>
      </c>
    </row>
    <row r="353" spans="1:4" x14ac:dyDescent="0.2">
      <c r="A353" s="450">
        <v>46229</v>
      </c>
      <c r="B353" s="277" t="s">
        <v>2364</v>
      </c>
      <c r="C353" s="451">
        <v>9557.7199999999993</v>
      </c>
      <c r="D353" s="452" t="s">
        <v>1298</v>
      </c>
    </row>
    <row r="354" spans="1:4" x14ac:dyDescent="0.2">
      <c r="A354" s="450">
        <v>46229</v>
      </c>
      <c r="B354" s="277" t="s">
        <v>95</v>
      </c>
      <c r="C354" s="451">
        <v>100000</v>
      </c>
      <c r="D354" s="452" t="s">
        <v>1297</v>
      </c>
    </row>
    <row r="355" spans="1:4" x14ac:dyDescent="0.2">
      <c r="A355" s="450">
        <v>46229</v>
      </c>
      <c r="B355" s="277" t="s">
        <v>256</v>
      </c>
      <c r="C355" s="451">
        <v>1007.4</v>
      </c>
      <c r="D355" s="452" t="s">
        <v>1649</v>
      </c>
    </row>
    <row r="356" spans="1:4" x14ac:dyDescent="0.2">
      <c r="A356" s="450">
        <v>46229</v>
      </c>
      <c r="B356" s="277" t="s">
        <v>3083</v>
      </c>
      <c r="C356" s="451">
        <v>100000</v>
      </c>
      <c r="D356" s="452" t="s">
        <v>3111</v>
      </c>
    </row>
    <row r="357" spans="1:4" x14ac:dyDescent="0.2">
      <c r="A357" s="450">
        <v>46229</v>
      </c>
      <c r="B357" s="277" t="s">
        <v>2611</v>
      </c>
      <c r="C357" s="451">
        <v>25000</v>
      </c>
      <c r="D357" s="452" t="s">
        <v>1298</v>
      </c>
    </row>
    <row r="358" spans="1:4" x14ac:dyDescent="0.2">
      <c r="A358" s="450">
        <v>46230</v>
      </c>
      <c r="B358" s="277" t="s">
        <v>2364</v>
      </c>
      <c r="C358" s="451">
        <v>11915</v>
      </c>
      <c r="D358" s="452" t="s">
        <v>1298</v>
      </c>
    </row>
    <row r="359" spans="1:4" x14ac:dyDescent="0.2">
      <c r="A359" s="450">
        <v>46230</v>
      </c>
      <c r="B359" s="277" t="s">
        <v>2611</v>
      </c>
      <c r="C359" s="451">
        <v>25000</v>
      </c>
      <c r="D359" s="452" t="s">
        <v>1298</v>
      </c>
    </row>
    <row r="360" spans="1:4" x14ac:dyDescent="0.2">
      <c r="A360" s="450">
        <v>46230</v>
      </c>
      <c r="B360" s="277" t="s">
        <v>58</v>
      </c>
      <c r="C360" s="451">
        <v>3647193</v>
      </c>
      <c r="D360" s="452" t="s">
        <v>1297</v>
      </c>
    </row>
    <row r="361" spans="1:4" x14ac:dyDescent="0.2">
      <c r="A361" s="450">
        <v>46230</v>
      </c>
      <c r="B361" s="277" t="s">
        <v>95</v>
      </c>
      <c r="C361" s="451">
        <v>100000</v>
      </c>
      <c r="D361" s="452" t="s">
        <v>1297</v>
      </c>
    </row>
    <row r="362" spans="1:4" x14ac:dyDescent="0.2">
      <c r="A362" s="450">
        <v>46230</v>
      </c>
      <c r="B362" s="277" t="s">
        <v>901</v>
      </c>
      <c r="C362" s="451">
        <v>300000</v>
      </c>
      <c r="D362" s="452" t="s">
        <v>1298</v>
      </c>
    </row>
    <row r="363" spans="1:4" x14ac:dyDescent="0.2">
      <c r="A363" s="450">
        <v>46230</v>
      </c>
      <c r="B363" s="277" t="s">
        <v>143</v>
      </c>
      <c r="C363" s="451">
        <v>1192806</v>
      </c>
      <c r="D363" s="452" t="s">
        <v>1298</v>
      </c>
    </row>
    <row r="364" spans="1:4" x14ac:dyDescent="0.2">
      <c r="A364" s="450">
        <v>46230</v>
      </c>
      <c r="B364" s="277" t="s">
        <v>134</v>
      </c>
      <c r="C364" s="451">
        <v>120888</v>
      </c>
      <c r="D364" s="452" t="s">
        <v>1298</v>
      </c>
    </row>
    <row r="365" spans="1:4" x14ac:dyDescent="0.2">
      <c r="A365" s="450">
        <v>46230</v>
      </c>
      <c r="B365" s="277" t="s">
        <v>152</v>
      </c>
      <c r="C365" s="451">
        <v>500000</v>
      </c>
      <c r="D365" s="452" t="s">
        <v>1297</v>
      </c>
    </row>
    <row r="366" spans="1:4" x14ac:dyDescent="0.2">
      <c r="A366" s="450">
        <v>46231</v>
      </c>
      <c r="B366" s="277" t="s">
        <v>2364</v>
      </c>
      <c r="C366" s="451">
        <v>3103.1</v>
      </c>
      <c r="D366" s="452" t="s">
        <v>1298</v>
      </c>
    </row>
    <row r="367" spans="1:4" x14ac:dyDescent="0.2">
      <c r="A367" s="450">
        <v>46231</v>
      </c>
      <c r="B367" s="277" t="s">
        <v>96</v>
      </c>
      <c r="C367" s="451">
        <v>506660</v>
      </c>
      <c r="D367" s="452" t="s">
        <v>1298</v>
      </c>
    </row>
    <row r="368" spans="1:4" x14ac:dyDescent="0.2">
      <c r="A368" s="450">
        <v>46231</v>
      </c>
      <c r="B368" s="277" t="s">
        <v>2611</v>
      </c>
      <c r="C368" s="451">
        <v>50000</v>
      </c>
      <c r="D368" s="452" t="s">
        <v>1298</v>
      </c>
    </row>
    <row r="369" spans="1:4" x14ac:dyDescent="0.2">
      <c r="A369" s="450">
        <v>46231</v>
      </c>
      <c r="B369" s="277" t="s">
        <v>1483</v>
      </c>
      <c r="C369" s="451">
        <v>60444</v>
      </c>
      <c r="D369" s="452" t="s">
        <v>1298</v>
      </c>
    </row>
    <row r="370" spans="1:4" x14ac:dyDescent="0.2">
      <c r="A370" s="450">
        <v>46232</v>
      </c>
      <c r="B370" s="277" t="s">
        <v>2364</v>
      </c>
      <c r="C370" s="451">
        <v>2100</v>
      </c>
      <c r="D370" s="452" t="s">
        <v>1298</v>
      </c>
    </row>
    <row r="371" spans="1:4" x14ac:dyDescent="0.2">
      <c r="A371" s="450">
        <v>46232</v>
      </c>
      <c r="B371" s="277" t="s">
        <v>3083</v>
      </c>
      <c r="C371" s="451">
        <v>60000</v>
      </c>
      <c r="D371" s="452" t="s">
        <v>3166</v>
      </c>
    </row>
    <row r="372" spans="1:4" x14ac:dyDescent="0.2">
      <c r="A372" s="450">
        <v>46232</v>
      </c>
      <c r="B372" s="277" t="s">
        <v>51</v>
      </c>
      <c r="C372" s="451">
        <v>3479017</v>
      </c>
      <c r="D372" s="452" t="s">
        <v>1299</v>
      </c>
    </row>
    <row r="373" spans="1:4" x14ac:dyDescent="0.2">
      <c r="A373" s="450">
        <v>46232</v>
      </c>
      <c r="B373" s="277" t="s">
        <v>1073</v>
      </c>
      <c r="C373" s="451">
        <v>302220</v>
      </c>
      <c r="D373" s="452" t="s">
        <v>1298</v>
      </c>
    </row>
    <row r="374" spans="1:4" x14ac:dyDescent="0.2">
      <c r="A374" s="450">
        <v>46232</v>
      </c>
      <c r="B374" s="277" t="s">
        <v>257</v>
      </c>
      <c r="C374" s="451">
        <v>88951</v>
      </c>
      <c r="D374" s="452" t="s">
        <v>1299</v>
      </c>
    </row>
    <row r="375" spans="1:4" x14ac:dyDescent="0.2">
      <c r="A375" s="450">
        <v>46232</v>
      </c>
      <c r="B375" s="277" t="s">
        <v>2570</v>
      </c>
      <c r="C375" s="451">
        <v>164000</v>
      </c>
      <c r="D375" s="452" t="s">
        <v>1298</v>
      </c>
    </row>
    <row r="376" spans="1:4" x14ac:dyDescent="0.2">
      <c r="A376" s="450">
        <v>46233</v>
      </c>
      <c r="B376" s="277" t="s">
        <v>2364</v>
      </c>
      <c r="C376" s="451">
        <v>13402.9</v>
      </c>
      <c r="D376" s="452" t="s">
        <v>1298</v>
      </c>
    </row>
    <row r="377" spans="1:4" x14ac:dyDescent="0.2">
      <c r="A377" s="450">
        <v>46233</v>
      </c>
      <c r="B377" s="277" t="s">
        <v>95</v>
      </c>
      <c r="C377" s="451">
        <v>200000</v>
      </c>
      <c r="D377" s="452" t="s">
        <v>1297</v>
      </c>
    </row>
    <row r="378" spans="1:4" x14ac:dyDescent="0.2">
      <c r="A378" s="450">
        <v>46233</v>
      </c>
      <c r="B378" s="277" t="s">
        <v>2611</v>
      </c>
      <c r="C378" s="451">
        <v>25000</v>
      </c>
      <c r="D378" s="452" t="s">
        <v>1298</v>
      </c>
    </row>
    <row r="379" spans="1:4" x14ac:dyDescent="0.2">
      <c r="A379" s="450">
        <v>46233</v>
      </c>
      <c r="B379" s="277" t="s">
        <v>143</v>
      </c>
      <c r="C379" s="451">
        <v>1192806</v>
      </c>
      <c r="D379" s="452" t="s">
        <v>1298</v>
      </c>
    </row>
    <row r="380" spans="1:4" x14ac:dyDescent="0.2">
      <c r="A380" s="450">
        <v>46234</v>
      </c>
      <c r="B380" s="277" t="s">
        <v>2364</v>
      </c>
      <c r="C380" s="451">
        <v>1366.02</v>
      </c>
      <c r="D380" s="452" t="s">
        <v>1298</v>
      </c>
    </row>
    <row r="381" spans="1:4" x14ac:dyDescent="0.2">
      <c r="A381" s="450">
        <v>46234</v>
      </c>
      <c r="B381" s="277" t="s">
        <v>152</v>
      </c>
      <c r="C381" s="451">
        <v>500000</v>
      </c>
      <c r="D381" s="452" t="s">
        <v>3233</v>
      </c>
    </row>
    <row r="382" spans="1:4" x14ac:dyDescent="0.2">
      <c r="A382" s="450">
        <v>46234</v>
      </c>
      <c r="B382" s="277" t="s">
        <v>95</v>
      </c>
      <c r="C382" s="451">
        <v>200000</v>
      </c>
      <c r="D382" s="452" t="s">
        <v>3233</v>
      </c>
    </row>
    <row r="383" spans="1:4" x14ac:dyDescent="0.2">
      <c r="A383" s="450">
        <v>46234</v>
      </c>
      <c r="B383" s="277" t="s">
        <v>3083</v>
      </c>
      <c r="C383" s="451">
        <v>30000</v>
      </c>
      <c r="D383" s="452" t="s">
        <v>1298</v>
      </c>
    </row>
    <row r="384" spans="1:4" x14ac:dyDescent="0.2">
      <c r="A384" s="450">
        <v>46234</v>
      </c>
      <c r="B384" s="277" t="s">
        <v>2611</v>
      </c>
      <c r="C384" s="451">
        <v>25000</v>
      </c>
      <c r="D384" s="452" t="s">
        <v>1298</v>
      </c>
    </row>
    <row r="385" spans="1:4" x14ac:dyDescent="0.2">
      <c r="A385" s="450">
        <v>46235</v>
      </c>
      <c r="B385" s="277" t="s">
        <v>2364</v>
      </c>
      <c r="C385" s="451">
        <v>9894.06</v>
      </c>
      <c r="D385" s="452" t="s">
        <v>1298</v>
      </c>
    </row>
    <row r="386" spans="1:4" x14ac:dyDescent="0.2">
      <c r="A386" s="450">
        <v>46235</v>
      </c>
      <c r="B386" s="277" t="s">
        <v>199</v>
      </c>
      <c r="C386" s="451">
        <v>36446</v>
      </c>
      <c r="D386" s="452" t="s">
        <v>1298</v>
      </c>
    </row>
    <row r="387" spans="1:4" x14ac:dyDescent="0.2">
      <c r="A387" s="450">
        <v>46235</v>
      </c>
      <c r="B387" s="277" t="s">
        <v>95</v>
      </c>
      <c r="C387" s="451">
        <v>100000</v>
      </c>
      <c r="D387" s="452" t="s">
        <v>1297</v>
      </c>
    </row>
    <row r="388" spans="1:4" x14ac:dyDescent="0.2">
      <c r="A388" s="450">
        <v>46236</v>
      </c>
      <c r="B388" s="277" t="s">
        <v>2364</v>
      </c>
      <c r="C388" s="451">
        <v>21389.69</v>
      </c>
      <c r="D388" s="452" t="s">
        <v>1298</v>
      </c>
    </row>
    <row r="389" spans="1:4" x14ac:dyDescent="0.2">
      <c r="A389" s="450">
        <v>46236</v>
      </c>
      <c r="B389" s="277" t="s">
        <v>2611</v>
      </c>
      <c r="C389" s="451">
        <v>30000</v>
      </c>
      <c r="D389" s="452" t="s">
        <v>1298</v>
      </c>
    </row>
    <row r="390" spans="1:4" x14ac:dyDescent="0.2">
      <c r="A390" s="450">
        <v>46236</v>
      </c>
      <c r="B390" s="277" t="s">
        <v>95</v>
      </c>
      <c r="C390" s="451">
        <v>100000</v>
      </c>
      <c r="D390" s="452" t="s">
        <v>1297</v>
      </c>
    </row>
    <row r="391" spans="1:4" x14ac:dyDescent="0.2">
      <c r="A391" s="450">
        <v>46236</v>
      </c>
      <c r="B391" s="277" t="s">
        <v>3083</v>
      </c>
      <c r="C391" s="451">
        <v>30000</v>
      </c>
      <c r="D391" s="452" t="s">
        <v>1298</v>
      </c>
    </row>
    <row r="392" spans="1:4" x14ac:dyDescent="0.2">
      <c r="A392" s="450">
        <v>46237</v>
      </c>
      <c r="B392" s="277" t="s">
        <v>2364</v>
      </c>
      <c r="C392" s="451">
        <v>4990.87</v>
      </c>
      <c r="D392" s="452" t="s">
        <v>1298</v>
      </c>
    </row>
    <row r="393" spans="1:4" x14ac:dyDescent="0.2">
      <c r="A393" s="450">
        <v>46237</v>
      </c>
      <c r="B393" s="277" t="s">
        <v>96</v>
      </c>
      <c r="C393" s="451">
        <v>502951</v>
      </c>
      <c r="D393" s="452" t="s">
        <v>1298</v>
      </c>
    </row>
    <row r="394" spans="1:4" x14ac:dyDescent="0.2">
      <c r="A394" s="450">
        <v>46237</v>
      </c>
      <c r="B394" s="277" t="s">
        <v>202</v>
      </c>
      <c r="C394" s="451">
        <v>7972</v>
      </c>
      <c r="D394" s="452" t="s">
        <v>1298</v>
      </c>
    </row>
    <row r="395" spans="1:4" x14ac:dyDescent="0.2">
      <c r="A395" s="450">
        <v>46237</v>
      </c>
      <c r="B395" s="277" t="s">
        <v>95</v>
      </c>
      <c r="C395" s="451">
        <v>200000</v>
      </c>
      <c r="D395" s="452" t="s">
        <v>1297</v>
      </c>
    </row>
    <row r="396" spans="1:4" x14ac:dyDescent="0.2">
      <c r="A396" s="450">
        <v>46237</v>
      </c>
      <c r="B396" s="277" t="s">
        <v>3083</v>
      </c>
      <c r="C396" s="451">
        <v>13000</v>
      </c>
      <c r="D396" s="452" t="s">
        <v>1649</v>
      </c>
    </row>
    <row r="397" spans="1:4" x14ac:dyDescent="0.2">
      <c r="A397" s="450">
        <v>46237</v>
      </c>
      <c r="B397" s="277" t="s">
        <v>51</v>
      </c>
      <c r="C397" s="451">
        <v>2475957</v>
      </c>
      <c r="D397" s="452" t="s">
        <v>1299</v>
      </c>
    </row>
    <row r="398" spans="1:4" x14ac:dyDescent="0.2">
      <c r="A398" s="450">
        <v>46237</v>
      </c>
      <c r="B398" s="277" t="s">
        <v>1073</v>
      </c>
      <c r="C398" s="451">
        <v>302220</v>
      </c>
      <c r="D398" s="452" t="s">
        <v>1298</v>
      </c>
    </row>
    <row r="399" spans="1:4" x14ac:dyDescent="0.2">
      <c r="A399" s="450">
        <v>46238</v>
      </c>
      <c r="B399" s="277" t="s">
        <v>2364</v>
      </c>
      <c r="C399" s="451">
        <v>7238.1</v>
      </c>
      <c r="D399" s="452" t="s">
        <v>1298</v>
      </c>
    </row>
    <row r="400" spans="1:4" x14ac:dyDescent="0.2">
      <c r="A400" s="450">
        <v>46238</v>
      </c>
      <c r="B400" s="277" t="s">
        <v>2611</v>
      </c>
      <c r="C400" s="451">
        <v>25000</v>
      </c>
      <c r="D400" s="452" t="s">
        <v>1298</v>
      </c>
    </row>
    <row r="401" spans="1:4" x14ac:dyDescent="0.2">
      <c r="A401" s="450">
        <v>46238</v>
      </c>
      <c r="B401" s="277" t="s">
        <v>143</v>
      </c>
      <c r="C401" s="451">
        <v>1192806</v>
      </c>
      <c r="D401" s="452" t="s">
        <v>1298</v>
      </c>
    </row>
    <row r="402" spans="1:4" x14ac:dyDescent="0.2">
      <c r="A402" s="450">
        <v>46238</v>
      </c>
      <c r="B402" s="277" t="s">
        <v>3083</v>
      </c>
      <c r="C402" s="451">
        <v>60000</v>
      </c>
      <c r="D402" s="452" t="s">
        <v>1298</v>
      </c>
    </row>
    <row r="403" spans="1:4" x14ac:dyDescent="0.2">
      <c r="A403" s="450">
        <v>46238</v>
      </c>
      <c r="B403" s="277" t="s">
        <v>95</v>
      </c>
      <c r="C403" s="451">
        <v>100000</v>
      </c>
      <c r="D403" s="452" t="s">
        <v>1297</v>
      </c>
    </row>
    <row r="404" spans="1:4" x14ac:dyDescent="0.2">
      <c r="A404" s="450">
        <v>46238</v>
      </c>
      <c r="B404" s="277" t="s">
        <v>901</v>
      </c>
      <c r="C404" s="451">
        <v>370749</v>
      </c>
      <c r="D404" s="452" t="s">
        <v>1298</v>
      </c>
    </row>
    <row r="405" spans="1:4" x14ac:dyDescent="0.2">
      <c r="A405" s="450">
        <v>46238</v>
      </c>
      <c r="B405" s="277" t="s">
        <v>501</v>
      </c>
      <c r="C405" s="451">
        <v>120888</v>
      </c>
      <c r="D405" s="452" t="s">
        <v>1298</v>
      </c>
    </row>
    <row r="406" spans="1:4" x14ac:dyDescent="0.2">
      <c r="A406" s="450">
        <v>46238</v>
      </c>
      <c r="B406" s="277" t="s">
        <v>152</v>
      </c>
      <c r="C406" s="451">
        <v>500000</v>
      </c>
      <c r="D406" s="452" t="s">
        <v>1297</v>
      </c>
    </row>
    <row r="407" spans="1:4" x14ac:dyDescent="0.2">
      <c r="A407" s="450">
        <v>46239</v>
      </c>
      <c r="B407" s="277" t="s">
        <v>2364</v>
      </c>
      <c r="C407" s="451">
        <v>10070</v>
      </c>
      <c r="D407" s="452" t="s">
        <v>1298</v>
      </c>
    </row>
    <row r="408" spans="1:4" x14ac:dyDescent="0.2">
      <c r="A408" s="450">
        <v>46239</v>
      </c>
      <c r="B408" s="277" t="s">
        <v>95</v>
      </c>
      <c r="C408" s="451">
        <v>100000</v>
      </c>
      <c r="D408" s="452" t="s">
        <v>1297</v>
      </c>
    </row>
    <row r="409" spans="1:4" x14ac:dyDescent="0.2">
      <c r="A409" s="450">
        <v>46239</v>
      </c>
      <c r="B409" s="277" t="s">
        <v>143</v>
      </c>
      <c r="C409" s="451">
        <v>1192806</v>
      </c>
      <c r="D409" s="452" t="s">
        <v>1298</v>
      </c>
    </row>
    <row r="410" spans="1:4" x14ac:dyDescent="0.2">
      <c r="A410" s="450">
        <v>46239</v>
      </c>
      <c r="B410" s="277" t="s">
        <v>1483</v>
      </c>
      <c r="C410" s="451">
        <v>60444</v>
      </c>
      <c r="D410" s="452" t="s">
        <v>1298</v>
      </c>
    </row>
    <row r="411" spans="1:4" x14ac:dyDescent="0.2">
      <c r="A411" s="450">
        <v>46239</v>
      </c>
      <c r="B411" s="277" t="s">
        <v>15</v>
      </c>
      <c r="C411" s="451">
        <v>300000</v>
      </c>
      <c r="D411" s="452" t="s">
        <v>1298</v>
      </c>
    </row>
    <row r="412" spans="1:4" x14ac:dyDescent="0.2">
      <c r="A412" s="450">
        <v>46239</v>
      </c>
      <c r="B412" s="277" t="s">
        <v>58</v>
      </c>
      <c r="C412" s="451">
        <v>2630011</v>
      </c>
      <c r="D412" s="452" t="s">
        <v>1297</v>
      </c>
    </row>
    <row r="413" spans="1:4" x14ac:dyDescent="0.2">
      <c r="A413" s="450">
        <v>46239</v>
      </c>
      <c r="B413" s="277" t="s">
        <v>2611</v>
      </c>
      <c r="C413" s="451">
        <v>25000</v>
      </c>
      <c r="D413" s="452" t="s">
        <v>1298</v>
      </c>
    </row>
    <row r="414" spans="1:4" x14ac:dyDescent="0.2">
      <c r="A414" s="450">
        <v>46240</v>
      </c>
      <c r="B414" s="277" t="s">
        <v>2364</v>
      </c>
      <c r="C414" s="451">
        <v>3965.1</v>
      </c>
      <c r="D414" s="452" t="s">
        <v>1298</v>
      </c>
    </row>
    <row r="415" spans="1:4" x14ac:dyDescent="0.2">
      <c r="A415" s="450">
        <v>46240</v>
      </c>
      <c r="B415" s="277" t="s">
        <v>2611</v>
      </c>
      <c r="C415" s="451">
        <v>25000</v>
      </c>
      <c r="D415" s="452" t="s">
        <v>1298</v>
      </c>
    </row>
    <row r="416" spans="1:4" x14ac:dyDescent="0.2">
      <c r="A416" s="450">
        <v>46240</v>
      </c>
      <c r="B416" s="277" t="s">
        <v>199</v>
      </c>
      <c r="C416" s="451">
        <v>37003</v>
      </c>
      <c r="D416" s="452" t="s">
        <v>1298</v>
      </c>
    </row>
    <row r="417" spans="1:4" x14ac:dyDescent="0.2">
      <c r="A417" s="450">
        <v>46240</v>
      </c>
      <c r="B417" s="277" t="s">
        <v>95</v>
      </c>
      <c r="C417" s="451">
        <v>100000</v>
      </c>
      <c r="D417" s="452" t="s">
        <v>1297</v>
      </c>
    </row>
    <row r="418" spans="1:4" x14ac:dyDescent="0.2">
      <c r="A418" s="450">
        <v>46240</v>
      </c>
      <c r="B418" s="277" t="s">
        <v>152</v>
      </c>
      <c r="C418" s="451">
        <v>500000</v>
      </c>
      <c r="D418" s="452" t="s">
        <v>1297</v>
      </c>
    </row>
    <row r="419" spans="1:4" x14ac:dyDescent="0.2">
      <c r="A419" s="450">
        <v>46240</v>
      </c>
      <c r="B419" s="277" t="s">
        <v>1073</v>
      </c>
      <c r="C419" s="451">
        <v>302220</v>
      </c>
      <c r="D419" s="452" t="s">
        <v>1298</v>
      </c>
    </row>
    <row r="420" spans="1:4" x14ac:dyDescent="0.2">
      <c r="A420" s="450">
        <v>46240</v>
      </c>
      <c r="B420" s="277" t="s">
        <v>51</v>
      </c>
      <c r="C420" s="451">
        <v>3479017</v>
      </c>
      <c r="D420" s="452" t="s">
        <v>1299</v>
      </c>
    </row>
    <row r="421" spans="1:4" x14ac:dyDescent="0.2">
      <c r="A421" s="450">
        <v>46241</v>
      </c>
      <c r="B421" s="277" t="s">
        <v>2364</v>
      </c>
      <c r="C421" s="451">
        <v>5750</v>
      </c>
      <c r="D421" s="452" t="s">
        <v>1298</v>
      </c>
    </row>
    <row r="422" spans="1:4" x14ac:dyDescent="0.2">
      <c r="A422" s="450">
        <v>46241</v>
      </c>
      <c r="B422" s="277" t="s">
        <v>52</v>
      </c>
      <c r="C422" s="451">
        <v>5964030</v>
      </c>
      <c r="D422" s="452" t="s">
        <v>1297</v>
      </c>
    </row>
    <row r="423" spans="1:4" x14ac:dyDescent="0.2">
      <c r="A423" s="450">
        <v>46241</v>
      </c>
      <c r="B423" s="277" t="s">
        <v>302</v>
      </c>
      <c r="C423" s="451">
        <v>795204</v>
      </c>
      <c r="D423" s="452" t="s">
        <v>1299</v>
      </c>
    </row>
    <row r="424" spans="1:4" x14ac:dyDescent="0.2">
      <c r="A424" s="450">
        <v>46241</v>
      </c>
      <c r="B424" s="277" t="s">
        <v>714</v>
      </c>
      <c r="C424" s="451">
        <v>20000</v>
      </c>
      <c r="D424" s="452" t="s">
        <v>1298</v>
      </c>
    </row>
    <row r="425" spans="1:4" x14ac:dyDescent="0.2">
      <c r="A425" s="450">
        <v>46241</v>
      </c>
      <c r="B425" s="277" t="s">
        <v>95</v>
      </c>
      <c r="C425" s="451">
        <v>150000</v>
      </c>
      <c r="D425" s="452" t="s">
        <v>1297</v>
      </c>
    </row>
    <row r="426" spans="1:4" x14ac:dyDescent="0.2">
      <c r="A426" s="450">
        <v>46241</v>
      </c>
      <c r="B426" s="277" t="s">
        <v>199</v>
      </c>
      <c r="C426" s="451">
        <v>23751</v>
      </c>
      <c r="D426" s="452" t="s">
        <v>1298</v>
      </c>
    </row>
    <row r="427" spans="1:4" x14ac:dyDescent="0.2">
      <c r="A427" s="450">
        <v>46241</v>
      </c>
      <c r="B427" s="277" t="s">
        <v>56</v>
      </c>
      <c r="C427" s="451">
        <v>156560</v>
      </c>
      <c r="D427" s="452" t="s">
        <v>1298</v>
      </c>
    </row>
    <row r="428" spans="1:4" x14ac:dyDescent="0.2">
      <c r="A428" s="450">
        <v>46241</v>
      </c>
      <c r="B428" s="277" t="s">
        <v>2570</v>
      </c>
      <c r="C428" s="451">
        <v>76884</v>
      </c>
      <c r="D428" s="452" t="s">
        <v>1298</v>
      </c>
    </row>
    <row r="429" spans="1:4" x14ac:dyDescent="0.2">
      <c r="A429" s="450">
        <v>46241</v>
      </c>
      <c r="B429" s="277" t="s">
        <v>92</v>
      </c>
      <c r="C429" s="451">
        <v>60444</v>
      </c>
      <c r="D429" s="452" t="s">
        <v>1298</v>
      </c>
    </row>
    <row r="430" spans="1:4" x14ac:dyDescent="0.2">
      <c r="A430" s="450">
        <v>46241</v>
      </c>
      <c r="B430" s="277" t="s">
        <v>96</v>
      </c>
      <c r="C430" s="451">
        <v>410966</v>
      </c>
      <c r="D430" s="452" t="s">
        <v>1298</v>
      </c>
    </row>
    <row r="431" spans="1:4" x14ac:dyDescent="0.2">
      <c r="A431" s="450">
        <v>46242</v>
      </c>
      <c r="B431" s="277" t="s">
        <v>2364</v>
      </c>
      <c r="C431" s="451">
        <v>4358</v>
      </c>
      <c r="D431" s="452" t="s">
        <v>1298</v>
      </c>
    </row>
    <row r="432" spans="1:4" x14ac:dyDescent="0.2">
      <c r="A432" s="450">
        <v>46242</v>
      </c>
      <c r="B432" s="277" t="s">
        <v>2611</v>
      </c>
      <c r="C432" s="451">
        <v>25000</v>
      </c>
      <c r="D432" s="452" t="s">
        <v>1298</v>
      </c>
    </row>
    <row r="433" spans="1:4" x14ac:dyDescent="0.2">
      <c r="A433" s="450">
        <v>46242</v>
      </c>
      <c r="B433" s="277" t="s">
        <v>199</v>
      </c>
      <c r="C433" s="451">
        <v>27501</v>
      </c>
      <c r="D433" s="452" t="s">
        <v>1298</v>
      </c>
    </row>
    <row r="434" spans="1:4" x14ac:dyDescent="0.2">
      <c r="A434" s="450">
        <v>46242</v>
      </c>
      <c r="B434" s="277" t="s">
        <v>1786</v>
      </c>
      <c r="C434" s="451">
        <v>16800</v>
      </c>
      <c r="D434" s="452" t="s">
        <v>1297</v>
      </c>
    </row>
    <row r="435" spans="1:4" x14ac:dyDescent="0.2">
      <c r="A435" s="450">
        <v>46242</v>
      </c>
      <c r="B435" s="277" t="s">
        <v>3083</v>
      </c>
      <c r="C435" s="451">
        <v>30000</v>
      </c>
      <c r="D435" s="452" t="s">
        <v>1298</v>
      </c>
    </row>
    <row r="436" spans="1:4" x14ac:dyDescent="0.2">
      <c r="A436" s="450">
        <v>46243</v>
      </c>
      <c r="B436" s="277" t="s">
        <v>2364</v>
      </c>
      <c r="C436" s="451">
        <v>14781.1</v>
      </c>
      <c r="D436" s="452" t="s">
        <v>1298</v>
      </c>
    </row>
    <row r="437" spans="1:4" x14ac:dyDescent="0.2">
      <c r="A437" s="450">
        <v>46243</v>
      </c>
      <c r="B437" s="277" t="s">
        <v>3083</v>
      </c>
      <c r="C437" s="451">
        <v>30000</v>
      </c>
      <c r="D437" s="452" t="s">
        <v>1298</v>
      </c>
    </row>
    <row r="438" spans="1:4" x14ac:dyDescent="0.2">
      <c r="A438" s="450">
        <v>46243</v>
      </c>
      <c r="B438" s="277" t="s">
        <v>2611</v>
      </c>
      <c r="C438" s="451">
        <v>15000</v>
      </c>
      <c r="D438" s="452" t="s">
        <v>1298</v>
      </c>
    </row>
    <row r="439" spans="1:4" x14ac:dyDescent="0.2">
      <c r="A439" s="450">
        <v>46243</v>
      </c>
      <c r="B439" s="277" t="s">
        <v>95</v>
      </c>
      <c r="C439" s="451">
        <v>200000</v>
      </c>
      <c r="D439" s="452" t="s">
        <v>1297</v>
      </c>
    </row>
    <row r="440" spans="1:4" x14ac:dyDescent="0.2">
      <c r="A440" s="450">
        <v>46243</v>
      </c>
      <c r="B440" s="277" t="s">
        <v>199</v>
      </c>
      <c r="C440" s="451">
        <v>70572</v>
      </c>
      <c r="D440" s="452" t="s">
        <v>1298</v>
      </c>
    </row>
    <row r="441" spans="1:4" x14ac:dyDescent="0.2">
      <c r="A441" s="450">
        <v>46244</v>
      </c>
      <c r="B441" s="277" t="s">
        <v>2364</v>
      </c>
      <c r="C441" s="451">
        <v>4397.87</v>
      </c>
      <c r="D441" s="452" t="s">
        <v>1298</v>
      </c>
    </row>
    <row r="442" spans="1:4" x14ac:dyDescent="0.2">
      <c r="A442" s="450">
        <v>46244</v>
      </c>
      <c r="B442" s="277" t="s">
        <v>901</v>
      </c>
      <c r="C442" s="451">
        <v>405998</v>
      </c>
      <c r="D442" s="452" t="s">
        <v>1298</v>
      </c>
    </row>
    <row r="443" spans="1:4" x14ac:dyDescent="0.2">
      <c r="A443" s="450">
        <v>46244</v>
      </c>
      <c r="B443" s="277" t="s">
        <v>2611</v>
      </c>
      <c r="C443" s="451">
        <v>15000</v>
      </c>
      <c r="D443" s="452" t="s">
        <v>1298</v>
      </c>
    </row>
    <row r="444" spans="1:4" x14ac:dyDescent="0.2">
      <c r="A444" s="450">
        <v>46244</v>
      </c>
      <c r="B444" s="277" t="s">
        <v>1786</v>
      </c>
      <c r="C444" s="451">
        <v>33600</v>
      </c>
      <c r="D444" s="452" t="s">
        <v>1297</v>
      </c>
    </row>
    <row r="445" spans="1:4" x14ac:dyDescent="0.2">
      <c r="A445" s="450">
        <v>46244</v>
      </c>
      <c r="B445" s="277" t="s">
        <v>95</v>
      </c>
      <c r="C445" s="451">
        <v>100000</v>
      </c>
      <c r="D445" s="452" t="s">
        <v>1297</v>
      </c>
    </row>
    <row r="446" spans="1:4" x14ac:dyDescent="0.2">
      <c r="A446" s="450">
        <v>46244</v>
      </c>
      <c r="B446" s="277" t="s">
        <v>1036</v>
      </c>
      <c r="C446" s="451">
        <v>795204</v>
      </c>
      <c r="D446" s="452" t="s">
        <v>1298</v>
      </c>
    </row>
    <row r="447" spans="1:4" x14ac:dyDescent="0.2">
      <c r="A447" s="450">
        <v>46244</v>
      </c>
      <c r="B447" s="277" t="s">
        <v>143</v>
      </c>
      <c r="C447" s="451">
        <v>1192806</v>
      </c>
      <c r="D447" s="452" t="s">
        <v>1298</v>
      </c>
    </row>
    <row r="448" spans="1:4" x14ac:dyDescent="0.2">
      <c r="A448" s="450">
        <v>46244</v>
      </c>
      <c r="B448" s="277" t="s">
        <v>96</v>
      </c>
      <c r="C448" s="451">
        <v>400960</v>
      </c>
      <c r="D448" s="452" t="s">
        <v>1298</v>
      </c>
    </row>
    <row r="449" spans="1:4" x14ac:dyDescent="0.2">
      <c r="A449" s="450">
        <v>46245</v>
      </c>
      <c r="B449" s="277" t="s">
        <v>2364</v>
      </c>
      <c r="C449" s="451">
        <v>6388.8</v>
      </c>
      <c r="D449" s="452" t="s">
        <v>1298</v>
      </c>
    </row>
    <row r="450" spans="1:4" x14ac:dyDescent="0.2">
      <c r="A450" s="450">
        <v>46245</v>
      </c>
      <c r="B450" s="277" t="s">
        <v>1786</v>
      </c>
      <c r="C450" s="451">
        <v>5600</v>
      </c>
      <c r="D450" s="452" t="s">
        <v>1297</v>
      </c>
    </row>
    <row r="451" spans="1:4" x14ac:dyDescent="0.2">
      <c r="A451" s="450">
        <v>46245</v>
      </c>
      <c r="B451" s="277" t="s">
        <v>2611</v>
      </c>
      <c r="C451" s="451">
        <v>25000</v>
      </c>
      <c r="D451" s="452" t="s">
        <v>1298</v>
      </c>
    </row>
    <row r="452" spans="1:4" x14ac:dyDescent="0.2">
      <c r="A452" s="450">
        <v>46245</v>
      </c>
      <c r="B452" s="277" t="s">
        <v>95</v>
      </c>
      <c r="C452" s="451">
        <v>100000</v>
      </c>
      <c r="D452" s="452" t="s">
        <v>1297</v>
      </c>
    </row>
    <row r="453" spans="1:4" x14ac:dyDescent="0.2">
      <c r="A453" s="450">
        <v>46245</v>
      </c>
      <c r="B453" s="277" t="s">
        <v>1073</v>
      </c>
      <c r="C453" s="451">
        <v>302220</v>
      </c>
      <c r="D453" s="452" t="s">
        <v>1298</v>
      </c>
    </row>
    <row r="454" spans="1:4" x14ac:dyDescent="0.2">
      <c r="A454" s="450">
        <v>46245</v>
      </c>
      <c r="B454" s="277" t="s">
        <v>51</v>
      </c>
      <c r="C454" s="451">
        <v>3479017</v>
      </c>
      <c r="D454" s="452" t="s">
        <v>1299</v>
      </c>
    </row>
    <row r="455" spans="1:4" x14ac:dyDescent="0.2">
      <c r="A455" s="450">
        <v>46245</v>
      </c>
      <c r="B455" s="277" t="s">
        <v>143</v>
      </c>
      <c r="C455" s="451">
        <v>1191015</v>
      </c>
      <c r="D455" s="452" t="s">
        <v>1298</v>
      </c>
    </row>
    <row r="456" spans="1:4" x14ac:dyDescent="0.2">
      <c r="A456" s="450">
        <v>46246</v>
      </c>
      <c r="B456" s="277" t="s">
        <v>2364</v>
      </c>
      <c r="C456" s="451">
        <v>6213.21</v>
      </c>
      <c r="D456" s="452" t="s">
        <v>1298</v>
      </c>
    </row>
    <row r="457" spans="1:4" x14ac:dyDescent="0.2">
      <c r="A457" s="450">
        <v>46246</v>
      </c>
      <c r="B457" s="277" t="s">
        <v>714</v>
      </c>
      <c r="C457" s="451">
        <v>20000</v>
      </c>
      <c r="D457" s="452" t="s">
        <v>1298</v>
      </c>
    </row>
    <row r="458" spans="1:4" x14ac:dyDescent="0.2">
      <c r="A458" s="450">
        <v>46246</v>
      </c>
      <c r="B458" s="277" t="s">
        <v>2611</v>
      </c>
      <c r="C458" s="451">
        <v>25000</v>
      </c>
      <c r="D458" s="452" t="s">
        <v>1298</v>
      </c>
    </row>
    <row r="459" spans="1:4" x14ac:dyDescent="0.2">
      <c r="A459" s="450">
        <v>46246</v>
      </c>
      <c r="B459" s="277" t="s">
        <v>1786</v>
      </c>
      <c r="C459" s="451">
        <v>8400</v>
      </c>
      <c r="D459" s="452" t="s">
        <v>1297</v>
      </c>
    </row>
    <row r="460" spans="1:4" x14ac:dyDescent="0.2">
      <c r="A460" s="450">
        <v>46246</v>
      </c>
      <c r="B460" s="277" t="s">
        <v>3083</v>
      </c>
      <c r="C460" s="451">
        <v>30000</v>
      </c>
      <c r="D460" s="452" t="s">
        <v>1298</v>
      </c>
    </row>
    <row r="461" spans="1:4" x14ac:dyDescent="0.2">
      <c r="A461" s="450">
        <v>46246</v>
      </c>
      <c r="B461" s="277" t="s">
        <v>2570</v>
      </c>
      <c r="C461" s="451">
        <v>19000</v>
      </c>
      <c r="D461" s="452" t="s">
        <v>1298</v>
      </c>
    </row>
    <row r="462" spans="1:4" x14ac:dyDescent="0.2">
      <c r="A462" s="450">
        <v>46246</v>
      </c>
      <c r="B462" s="277" t="s">
        <v>95</v>
      </c>
      <c r="C462" s="451">
        <v>100000</v>
      </c>
      <c r="D462" s="452" t="s">
        <v>1297</v>
      </c>
    </row>
    <row r="463" spans="1:4" x14ac:dyDescent="0.2">
      <c r="A463" s="450">
        <v>46246</v>
      </c>
      <c r="B463" s="277" t="s">
        <v>152</v>
      </c>
      <c r="C463" s="451">
        <v>500000</v>
      </c>
      <c r="D463" s="452" t="s">
        <v>1297</v>
      </c>
    </row>
    <row r="464" spans="1:4" x14ac:dyDescent="0.2">
      <c r="A464" s="450">
        <v>46246</v>
      </c>
      <c r="B464" s="277" t="s">
        <v>1483</v>
      </c>
      <c r="C464" s="451">
        <v>60444</v>
      </c>
      <c r="D464" s="452" t="s">
        <v>1298</v>
      </c>
    </row>
    <row r="465" spans="1:4" x14ac:dyDescent="0.2">
      <c r="A465" s="450">
        <v>46247</v>
      </c>
      <c r="B465" s="277" t="s">
        <v>2364</v>
      </c>
      <c r="C465" s="451">
        <v>16676.099999999999</v>
      </c>
      <c r="D465" s="452" t="s">
        <v>1298</v>
      </c>
    </row>
    <row r="466" spans="1:4" x14ac:dyDescent="0.2">
      <c r="A466" s="450">
        <v>46247</v>
      </c>
      <c r="B466" s="277" t="s">
        <v>1786</v>
      </c>
      <c r="C466" s="451">
        <v>30800</v>
      </c>
      <c r="D466" s="452" t="s">
        <v>1297</v>
      </c>
    </row>
    <row r="467" spans="1:4" x14ac:dyDescent="0.2">
      <c r="A467" s="450">
        <v>46247</v>
      </c>
      <c r="B467" s="277" t="s">
        <v>95</v>
      </c>
      <c r="C467" s="451">
        <v>100000</v>
      </c>
      <c r="D467" s="452" t="s">
        <v>1297</v>
      </c>
    </row>
    <row r="468" spans="1:4" x14ac:dyDescent="0.2">
      <c r="A468" s="450">
        <v>46247</v>
      </c>
      <c r="B468" s="277" t="s">
        <v>96</v>
      </c>
      <c r="C468" s="451">
        <v>300000</v>
      </c>
      <c r="D468" s="452" t="s">
        <v>1298</v>
      </c>
    </row>
    <row r="469" spans="1:4" x14ac:dyDescent="0.2">
      <c r="A469" s="450">
        <v>46247</v>
      </c>
      <c r="B469" s="277" t="s">
        <v>143</v>
      </c>
      <c r="C469" s="451">
        <v>1192806</v>
      </c>
      <c r="D469" s="452" t="s">
        <v>1298</v>
      </c>
    </row>
    <row r="470" spans="1:4" x14ac:dyDescent="0.2">
      <c r="A470" s="450">
        <v>46248</v>
      </c>
      <c r="B470" s="277" t="s">
        <v>2364</v>
      </c>
      <c r="C470" s="451">
        <v>5145.59</v>
      </c>
      <c r="D470" s="452" t="s">
        <v>1298</v>
      </c>
    </row>
    <row r="471" spans="1:4" x14ac:dyDescent="0.2">
      <c r="A471" s="450">
        <v>46248</v>
      </c>
      <c r="B471" s="277" t="s">
        <v>1483</v>
      </c>
      <c r="C471" s="451">
        <v>60444</v>
      </c>
      <c r="D471" s="452" t="s">
        <v>1298</v>
      </c>
    </row>
    <row r="472" spans="1:4" x14ac:dyDescent="0.2">
      <c r="A472" s="450">
        <v>46248</v>
      </c>
      <c r="B472" s="277" t="s">
        <v>95</v>
      </c>
      <c r="C472" s="451">
        <v>150000</v>
      </c>
      <c r="D472" s="452" t="s">
        <v>1297</v>
      </c>
    </row>
    <row r="473" spans="1:4" x14ac:dyDescent="0.2">
      <c r="A473" s="450">
        <v>46248</v>
      </c>
      <c r="B473" s="277" t="s">
        <v>58</v>
      </c>
      <c r="C473" s="451">
        <v>1017503</v>
      </c>
      <c r="D473" s="452" t="s">
        <v>1297</v>
      </c>
    </row>
    <row r="474" spans="1:4" x14ac:dyDescent="0.2">
      <c r="A474" s="450">
        <v>46248</v>
      </c>
      <c r="B474" s="277" t="s">
        <v>184</v>
      </c>
      <c r="C474" s="451">
        <v>118745</v>
      </c>
      <c r="D474" s="452" t="s">
        <v>1298</v>
      </c>
    </row>
    <row r="475" spans="1:4" x14ac:dyDescent="0.2">
      <c r="A475" s="450">
        <v>46249</v>
      </c>
      <c r="B475" s="277" t="s">
        <v>2364</v>
      </c>
      <c r="C475" s="451">
        <v>19086.849999999999</v>
      </c>
      <c r="D475" s="452" t="s">
        <v>1298</v>
      </c>
    </row>
    <row r="476" spans="1:4" x14ac:dyDescent="0.2">
      <c r="A476" s="450">
        <v>46250</v>
      </c>
      <c r="B476" s="277" t="s">
        <v>2364</v>
      </c>
      <c r="C476" s="451">
        <v>2420</v>
      </c>
      <c r="D476" s="452" t="s">
        <v>1298</v>
      </c>
    </row>
    <row r="477" spans="1:4" x14ac:dyDescent="0.2">
      <c r="A477" s="450">
        <v>46251</v>
      </c>
      <c r="B477" s="277" t="s">
        <v>2364</v>
      </c>
      <c r="C477" s="451">
        <v>13621.47</v>
      </c>
      <c r="D477" s="452" t="s">
        <v>1298</v>
      </c>
    </row>
    <row r="478" spans="1:4" x14ac:dyDescent="0.2">
      <c r="A478" s="450">
        <v>46251</v>
      </c>
      <c r="B478" s="277" t="s">
        <v>3083</v>
      </c>
      <c r="C478" s="451">
        <v>50000</v>
      </c>
      <c r="D478" s="452" t="s">
        <v>1298</v>
      </c>
    </row>
    <row r="479" spans="1:4" x14ac:dyDescent="0.2">
      <c r="A479" s="450">
        <v>46251</v>
      </c>
      <c r="B479" s="277" t="s">
        <v>1786</v>
      </c>
      <c r="C479" s="451">
        <v>25200</v>
      </c>
      <c r="D479" s="452" t="s">
        <v>1297</v>
      </c>
    </row>
    <row r="480" spans="1:4" x14ac:dyDescent="0.2">
      <c r="A480" s="450">
        <v>46251</v>
      </c>
      <c r="B480" s="277" t="s">
        <v>143</v>
      </c>
      <c r="C480" s="451">
        <v>1192806</v>
      </c>
      <c r="D480" s="452" t="s">
        <v>1298</v>
      </c>
    </row>
    <row r="481" spans="1:4" x14ac:dyDescent="0.2">
      <c r="A481" s="450">
        <v>46251</v>
      </c>
      <c r="B481" s="277" t="s">
        <v>1073</v>
      </c>
      <c r="C481" s="451">
        <v>302220</v>
      </c>
      <c r="D481" s="452" t="s">
        <v>1298</v>
      </c>
    </row>
    <row r="482" spans="1:4" x14ac:dyDescent="0.2">
      <c r="A482" s="450">
        <v>46251</v>
      </c>
      <c r="B482" s="277" t="s">
        <v>95</v>
      </c>
      <c r="C482" s="451">
        <v>200000</v>
      </c>
      <c r="D482" s="452" t="s">
        <v>1297</v>
      </c>
    </row>
    <row r="483" spans="1:4" x14ac:dyDescent="0.2">
      <c r="A483" s="450">
        <v>46251</v>
      </c>
      <c r="B483" s="277" t="s">
        <v>874</v>
      </c>
      <c r="C483" s="451">
        <v>795204</v>
      </c>
      <c r="D483" s="452" t="s">
        <v>1298</v>
      </c>
    </row>
    <row r="484" spans="1:4" x14ac:dyDescent="0.2">
      <c r="A484" s="450">
        <v>46252</v>
      </c>
      <c r="B484" s="277" t="s">
        <v>96</v>
      </c>
      <c r="C484" s="451">
        <v>500000</v>
      </c>
      <c r="D484" s="452" t="s">
        <v>1297</v>
      </c>
    </row>
    <row r="485" spans="1:4" x14ac:dyDescent="0.2">
      <c r="A485" s="450">
        <v>46252</v>
      </c>
      <c r="B485" s="277" t="s">
        <v>2364</v>
      </c>
      <c r="C485" s="451">
        <v>7466</v>
      </c>
      <c r="D485" s="452" t="s">
        <v>1298</v>
      </c>
    </row>
    <row r="486" spans="1:4" x14ac:dyDescent="0.2">
      <c r="A486" s="450">
        <v>46252</v>
      </c>
      <c r="B486" s="277" t="s">
        <v>152</v>
      </c>
      <c r="C486" s="451">
        <v>500000</v>
      </c>
      <c r="D486" s="452" t="s">
        <v>1297</v>
      </c>
    </row>
    <row r="487" spans="1:4" x14ac:dyDescent="0.2">
      <c r="A487" s="450">
        <v>46252</v>
      </c>
      <c r="B487" s="277" t="s">
        <v>257</v>
      </c>
      <c r="C487" s="451">
        <v>498989.51</v>
      </c>
      <c r="D487" s="452" t="s">
        <v>1299</v>
      </c>
    </row>
    <row r="488" spans="1:4" x14ac:dyDescent="0.2">
      <c r="A488" s="450">
        <v>46252</v>
      </c>
      <c r="B488" s="277" t="s">
        <v>1073</v>
      </c>
      <c r="C488" s="451">
        <v>302220</v>
      </c>
      <c r="D488" s="452" t="s">
        <v>1298</v>
      </c>
    </row>
    <row r="489" spans="1:4" x14ac:dyDescent="0.2">
      <c r="A489" s="450">
        <v>46252</v>
      </c>
      <c r="B489" s="277" t="s">
        <v>51</v>
      </c>
      <c r="C489" s="451">
        <v>2385612</v>
      </c>
      <c r="D489" s="452" t="s">
        <v>1299</v>
      </c>
    </row>
    <row r="490" spans="1:4" x14ac:dyDescent="0.2">
      <c r="A490" s="450">
        <v>46252</v>
      </c>
      <c r="B490" s="277" t="s">
        <v>143</v>
      </c>
      <c r="C490" s="451">
        <v>1192806</v>
      </c>
      <c r="D490" s="452" t="s">
        <v>1298</v>
      </c>
    </row>
    <row r="491" spans="1:4" x14ac:dyDescent="0.2">
      <c r="A491" s="450">
        <v>46252</v>
      </c>
      <c r="B491" s="277" t="s">
        <v>199</v>
      </c>
      <c r="C491" s="451">
        <v>72886</v>
      </c>
      <c r="D491" s="452" t="s">
        <v>1298</v>
      </c>
    </row>
    <row r="492" spans="1:4" x14ac:dyDescent="0.2">
      <c r="A492" s="450">
        <v>46253</v>
      </c>
      <c r="B492" s="277" t="s">
        <v>2364</v>
      </c>
      <c r="C492" s="451">
        <v>6903.43</v>
      </c>
      <c r="D492" s="452" t="s">
        <v>1298</v>
      </c>
    </row>
    <row r="493" spans="1:4" x14ac:dyDescent="0.2">
      <c r="A493" s="450">
        <v>46253</v>
      </c>
      <c r="B493" s="277" t="s">
        <v>103</v>
      </c>
      <c r="C493" s="451">
        <v>15805</v>
      </c>
      <c r="D493" s="452" t="s">
        <v>1298</v>
      </c>
    </row>
    <row r="494" spans="1:4" x14ac:dyDescent="0.2">
      <c r="A494" s="450">
        <v>46253</v>
      </c>
      <c r="B494" s="277" t="s">
        <v>3083</v>
      </c>
      <c r="C494" s="451">
        <v>30000</v>
      </c>
      <c r="D494" s="452" t="s">
        <v>1298</v>
      </c>
    </row>
    <row r="495" spans="1:4" x14ac:dyDescent="0.2">
      <c r="A495" s="450">
        <v>46253</v>
      </c>
      <c r="B495" s="277" t="s">
        <v>901</v>
      </c>
      <c r="C495" s="451">
        <v>251912</v>
      </c>
      <c r="D495" s="452" t="s">
        <v>1298</v>
      </c>
    </row>
    <row r="496" spans="1:4" x14ac:dyDescent="0.2">
      <c r="A496" s="450">
        <v>46253</v>
      </c>
      <c r="B496" s="277" t="s">
        <v>51</v>
      </c>
      <c r="C496" s="451">
        <v>1192806</v>
      </c>
      <c r="D496" s="452" t="s">
        <v>1299</v>
      </c>
    </row>
    <row r="497" spans="1:4" x14ac:dyDescent="0.2">
      <c r="A497" s="450">
        <v>46253</v>
      </c>
      <c r="B497" s="277" t="s">
        <v>2570</v>
      </c>
      <c r="C497" s="451">
        <v>201480</v>
      </c>
      <c r="D497" s="452" t="s">
        <v>1298</v>
      </c>
    </row>
    <row r="498" spans="1:4" x14ac:dyDescent="0.2">
      <c r="A498" s="450">
        <v>46253</v>
      </c>
      <c r="B498" s="277" t="s">
        <v>134</v>
      </c>
      <c r="C498" s="451">
        <v>120888</v>
      </c>
      <c r="D498" s="452" t="s">
        <v>1298</v>
      </c>
    </row>
    <row r="499" spans="1:4" x14ac:dyDescent="0.2">
      <c r="A499" s="450">
        <v>46253</v>
      </c>
      <c r="B499" s="277" t="s">
        <v>143</v>
      </c>
      <c r="C499" s="451">
        <v>21780</v>
      </c>
      <c r="D499" s="452" t="s">
        <v>1298</v>
      </c>
    </row>
    <row r="500" spans="1:4" x14ac:dyDescent="0.2">
      <c r="A500" s="450">
        <v>46254</v>
      </c>
      <c r="B500" s="277" t="s">
        <v>2364</v>
      </c>
      <c r="C500" s="451">
        <v>11240</v>
      </c>
      <c r="D500" s="452" t="s">
        <v>1298</v>
      </c>
    </row>
    <row r="501" spans="1:4" x14ac:dyDescent="0.2">
      <c r="A501" s="450">
        <v>46254</v>
      </c>
      <c r="B501" s="277" t="s">
        <v>95</v>
      </c>
      <c r="C501" s="451">
        <v>200000</v>
      </c>
      <c r="D501" s="452" t="s">
        <v>1297</v>
      </c>
    </row>
    <row r="502" spans="1:4" x14ac:dyDescent="0.2">
      <c r="A502" s="450">
        <v>46254</v>
      </c>
      <c r="B502" s="277" t="s">
        <v>143</v>
      </c>
      <c r="C502" s="451">
        <v>1192806</v>
      </c>
      <c r="D502" s="452" t="s">
        <v>1298</v>
      </c>
    </row>
    <row r="503" spans="1:4" x14ac:dyDescent="0.2">
      <c r="A503" s="450">
        <v>46254</v>
      </c>
      <c r="B503" s="277" t="s">
        <v>55</v>
      </c>
      <c r="C503" s="451">
        <v>61076</v>
      </c>
      <c r="D503" s="452" t="s">
        <v>1298</v>
      </c>
    </row>
    <row r="504" spans="1:4" x14ac:dyDescent="0.2">
      <c r="A504" s="450">
        <v>46255</v>
      </c>
      <c r="B504" s="277" t="s">
        <v>2364</v>
      </c>
      <c r="C504" s="451">
        <v>20712.62</v>
      </c>
      <c r="D504" s="452" t="s">
        <v>1298</v>
      </c>
    </row>
    <row r="505" spans="1:4" x14ac:dyDescent="0.2">
      <c r="A505" s="450">
        <v>46255</v>
      </c>
      <c r="B505" s="277" t="s">
        <v>51</v>
      </c>
      <c r="C505" s="451">
        <v>3479017</v>
      </c>
      <c r="D505" s="452" t="s">
        <v>1299</v>
      </c>
    </row>
    <row r="506" spans="1:4" x14ac:dyDescent="0.2">
      <c r="A506" s="450">
        <v>46255</v>
      </c>
      <c r="B506" s="277" t="s">
        <v>103</v>
      </c>
      <c r="C506" s="451">
        <v>10000</v>
      </c>
      <c r="D506" s="452" t="s">
        <v>1298</v>
      </c>
    </row>
    <row r="507" spans="1:4" x14ac:dyDescent="0.2">
      <c r="A507" s="450">
        <v>46255</v>
      </c>
      <c r="B507" s="277" t="s">
        <v>714</v>
      </c>
      <c r="C507" s="451">
        <v>30000</v>
      </c>
      <c r="D507" s="452" t="s">
        <v>1296</v>
      </c>
    </row>
    <row r="508" spans="1:4" x14ac:dyDescent="0.2">
      <c r="A508" s="450">
        <v>46255</v>
      </c>
      <c r="B508" s="277" t="s">
        <v>96</v>
      </c>
      <c r="C508" s="451">
        <v>442976</v>
      </c>
      <c r="D508" s="452" t="s">
        <v>1297</v>
      </c>
    </row>
    <row r="509" spans="1:4" x14ac:dyDescent="0.2">
      <c r="A509" s="450">
        <v>46255</v>
      </c>
      <c r="B509" s="277" t="s">
        <v>95</v>
      </c>
      <c r="C509" s="451">
        <v>200000</v>
      </c>
      <c r="D509" s="452" t="s">
        <v>1297</v>
      </c>
    </row>
    <row r="510" spans="1:4" x14ac:dyDescent="0.2">
      <c r="A510" s="450">
        <v>46255</v>
      </c>
      <c r="B510" s="277" t="s">
        <v>52</v>
      </c>
      <c r="C510" s="451">
        <v>5964030</v>
      </c>
      <c r="D510" s="452" t="s">
        <v>1297</v>
      </c>
    </row>
    <row r="511" spans="1:4" x14ac:dyDescent="0.2">
      <c r="A511" s="450">
        <v>46255</v>
      </c>
      <c r="B511" s="277" t="s">
        <v>2570</v>
      </c>
      <c r="C511" s="451">
        <v>100000</v>
      </c>
      <c r="D511" s="452" t="s">
        <v>1298</v>
      </c>
    </row>
    <row r="512" spans="1:4" x14ac:dyDescent="0.2">
      <c r="A512" s="450">
        <v>46255</v>
      </c>
      <c r="B512" s="277" t="s">
        <v>199</v>
      </c>
      <c r="C512" s="451">
        <v>72242</v>
      </c>
      <c r="D512" s="452" t="s">
        <v>1298</v>
      </c>
    </row>
    <row r="513" spans="1:4" x14ac:dyDescent="0.2">
      <c r="A513" s="450">
        <v>46256</v>
      </c>
      <c r="B513" s="277" t="s">
        <v>2364</v>
      </c>
      <c r="C513" s="451">
        <v>14003.95</v>
      </c>
      <c r="D513" s="452" t="s">
        <v>1298</v>
      </c>
    </row>
    <row r="514" spans="1:4" x14ac:dyDescent="0.2">
      <c r="A514" s="450">
        <v>46256</v>
      </c>
      <c r="B514" s="277" t="s">
        <v>152</v>
      </c>
      <c r="C514" s="451">
        <v>500000</v>
      </c>
      <c r="D514" s="452" t="s">
        <v>1297</v>
      </c>
    </row>
    <row r="515" spans="1:4" x14ac:dyDescent="0.2">
      <c r="A515" s="450">
        <v>46257</v>
      </c>
      <c r="B515" s="277" t="s">
        <v>2611</v>
      </c>
      <c r="C515" s="451">
        <v>20000</v>
      </c>
      <c r="D515" s="452" t="s">
        <v>1298</v>
      </c>
    </row>
    <row r="516" spans="1:4" x14ac:dyDescent="0.2">
      <c r="A516" s="450">
        <v>46258</v>
      </c>
      <c r="B516" s="277" t="s">
        <v>2364</v>
      </c>
      <c r="C516" s="451">
        <v>36320.85</v>
      </c>
      <c r="D516" s="452" t="s">
        <v>1298</v>
      </c>
    </row>
    <row r="517" spans="1:4" x14ac:dyDescent="0.2">
      <c r="A517" s="450">
        <v>46258</v>
      </c>
      <c r="B517" s="277" t="s">
        <v>95</v>
      </c>
      <c r="C517" s="451">
        <v>200000</v>
      </c>
      <c r="D517" s="452" t="s">
        <v>1297</v>
      </c>
    </row>
    <row r="518" spans="1:4" x14ac:dyDescent="0.2">
      <c r="A518" s="450">
        <v>46258</v>
      </c>
      <c r="B518" s="277" t="s">
        <v>3083</v>
      </c>
      <c r="C518" s="451">
        <v>30000</v>
      </c>
      <c r="D518" s="452" t="s">
        <v>1298</v>
      </c>
    </row>
    <row r="519" spans="1:4" x14ac:dyDescent="0.2">
      <c r="A519" s="450">
        <v>46258</v>
      </c>
      <c r="B519" s="277" t="s">
        <v>143</v>
      </c>
      <c r="C519" s="451">
        <v>1192806</v>
      </c>
      <c r="D519" s="452" t="s">
        <v>1298</v>
      </c>
    </row>
    <row r="520" spans="1:4" x14ac:dyDescent="0.2">
      <c r="A520" s="450">
        <v>46258</v>
      </c>
      <c r="B520" s="277" t="s">
        <v>59</v>
      </c>
      <c r="C520" s="451">
        <v>365964</v>
      </c>
      <c r="D520" s="452" t="s">
        <v>1297</v>
      </c>
    </row>
    <row r="521" spans="1:4" x14ac:dyDescent="0.2">
      <c r="A521" s="450">
        <v>46259</v>
      </c>
      <c r="B521" s="277" t="s">
        <v>2364</v>
      </c>
      <c r="C521" s="451">
        <v>10427.84</v>
      </c>
      <c r="D521" s="452" t="s">
        <v>1298</v>
      </c>
    </row>
    <row r="522" spans="1:4" x14ac:dyDescent="0.2">
      <c r="A522" s="450">
        <v>46259</v>
      </c>
      <c r="B522" s="277" t="s">
        <v>901</v>
      </c>
      <c r="C522" s="451">
        <v>250000</v>
      </c>
      <c r="D522" s="452" t="s">
        <v>1298</v>
      </c>
    </row>
    <row r="523" spans="1:4" x14ac:dyDescent="0.2">
      <c r="A523" s="450">
        <v>46259</v>
      </c>
      <c r="B523" s="277" t="s">
        <v>1786</v>
      </c>
      <c r="C523" s="451">
        <v>11200</v>
      </c>
      <c r="D523" s="452" t="s">
        <v>1297</v>
      </c>
    </row>
    <row r="524" spans="1:4" x14ac:dyDescent="0.2">
      <c r="A524" s="450">
        <v>46259</v>
      </c>
      <c r="B524" s="277" t="s">
        <v>2570</v>
      </c>
      <c r="C524" s="451">
        <v>100000</v>
      </c>
      <c r="D524" s="452" t="s">
        <v>1298</v>
      </c>
    </row>
    <row r="525" spans="1:4" x14ac:dyDescent="0.2">
      <c r="A525" s="450">
        <v>46259</v>
      </c>
      <c r="B525" s="277" t="s">
        <v>58</v>
      </c>
      <c r="C525" s="451">
        <v>2418593</v>
      </c>
      <c r="D525" s="452" t="s">
        <v>1297</v>
      </c>
    </row>
    <row r="526" spans="1:4" x14ac:dyDescent="0.2">
      <c r="A526" s="450">
        <v>46259</v>
      </c>
      <c r="B526" s="277" t="s">
        <v>96</v>
      </c>
      <c r="C526" s="451">
        <v>400933</v>
      </c>
      <c r="D526" s="452" t="s">
        <v>1297</v>
      </c>
    </row>
    <row r="527" spans="1:4" x14ac:dyDescent="0.2">
      <c r="A527" s="450">
        <v>46259</v>
      </c>
      <c r="B527" s="277" t="s">
        <v>3806</v>
      </c>
      <c r="C527" s="451">
        <v>4197180</v>
      </c>
      <c r="D527" s="452" t="s">
        <v>1298</v>
      </c>
    </row>
    <row r="528" spans="1:4" x14ac:dyDescent="0.2">
      <c r="A528" s="450">
        <v>46259</v>
      </c>
      <c r="B528" s="277" t="s">
        <v>199</v>
      </c>
      <c r="C528" s="451">
        <v>80000</v>
      </c>
      <c r="D528" s="452" t="s">
        <v>1325</v>
      </c>
    </row>
    <row r="529" spans="1:4" x14ac:dyDescent="0.2">
      <c r="A529" s="450">
        <v>46259</v>
      </c>
      <c r="B529" s="277" t="s">
        <v>199</v>
      </c>
      <c r="C529" s="451">
        <v>9474</v>
      </c>
      <c r="D529" s="452" t="s">
        <v>1298</v>
      </c>
    </row>
    <row r="530" spans="1:4" x14ac:dyDescent="0.2">
      <c r="A530" s="450">
        <v>46260</v>
      </c>
      <c r="B530" s="277" t="s">
        <v>2611</v>
      </c>
      <c r="C530" s="451">
        <v>20000</v>
      </c>
      <c r="D530" s="452" t="s">
        <v>1298</v>
      </c>
    </row>
    <row r="531" spans="1:4" x14ac:dyDescent="0.2">
      <c r="A531" s="450">
        <v>46260</v>
      </c>
      <c r="B531" s="277" t="s">
        <v>2364</v>
      </c>
      <c r="C531" s="451">
        <v>6992</v>
      </c>
      <c r="D531" s="452" t="s">
        <v>1298</v>
      </c>
    </row>
    <row r="532" spans="1:4" x14ac:dyDescent="0.2">
      <c r="A532" s="450">
        <v>46260</v>
      </c>
      <c r="B532" s="277" t="s">
        <v>152</v>
      </c>
      <c r="C532" s="451">
        <v>500000</v>
      </c>
      <c r="D532" s="452" t="s">
        <v>1297</v>
      </c>
    </row>
    <row r="533" spans="1:4" x14ac:dyDescent="0.2">
      <c r="A533" s="450">
        <v>46260</v>
      </c>
      <c r="B533" s="277" t="s">
        <v>1786</v>
      </c>
      <c r="C533" s="451">
        <v>30800</v>
      </c>
      <c r="D533" s="452" t="s">
        <v>1297</v>
      </c>
    </row>
    <row r="534" spans="1:4" x14ac:dyDescent="0.2">
      <c r="A534" s="450">
        <v>46260</v>
      </c>
      <c r="B534" s="277" t="s">
        <v>714</v>
      </c>
      <c r="C534" s="451">
        <v>20000</v>
      </c>
      <c r="D534" s="452" t="s">
        <v>1298</v>
      </c>
    </row>
    <row r="535" spans="1:4" x14ac:dyDescent="0.2">
      <c r="A535" s="450">
        <v>46260</v>
      </c>
      <c r="B535" s="277" t="s">
        <v>95</v>
      </c>
      <c r="C535" s="451">
        <v>711958.29</v>
      </c>
      <c r="D535" s="452" t="s">
        <v>1297</v>
      </c>
    </row>
    <row r="536" spans="1:4" x14ac:dyDescent="0.2">
      <c r="A536" s="450">
        <v>46260</v>
      </c>
      <c r="B536" s="277" t="s">
        <v>143</v>
      </c>
      <c r="C536" s="451">
        <v>1192806</v>
      </c>
      <c r="D536" s="452" t="s">
        <v>1298</v>
      </c>
    </row>
    <row r="537" spans="1:4" x14ac:dyDescent="0.2">
      <c r="A537" s="450">
        <v>46260</v>
      </c>
      <c r="B537" s="277" t="s">
        <v>136</v>
      </c>
      <c r="C537" s="451">
        <v>14389</v>
      </c>
      <c r="D537" s="452" t="s">
        <v>1298</v>
      </c>
    </row>
    <row r="538" spans="1:4" x14ac:dyDescent="0.2">
      <c r="A538" s="450">
        <v>46261</v>
      </c>
      <c r="B538" s="277" t="s">
        <v>2364</v>
      </c>
      <c r="C538" s="451">
        <v>9481</v>
      </c>
      <c r="D538" s="452" t="s">
        <v>1298</v>
      </c>
    </row>
    <row r="539" spans="1:4" x14ac:dyDescent="0.2">
      <c r="A539" s="450">
        <v>46261</v>
      </c>
      <c r="B539" s="277" t="s">
        <v>1786</v>
      </c>
      <c r="C539" s="451">
        <v>64400</v>
      </c>
      <c r="D539" s="452" t="s">
        <v>1297</v>
      </c>
    </row>
    <row r="540" spans="1:4" x14ac:dyDescent="0.2">
      <c r="A540" s="450">
        <v>46261</v>
      </c>
      <c r="B540" s="277" t="s">
        <v>59</v>
      </c>
      <c r="C540" s="451">
        <v>170000</v>
      </c>
      <c r="D540" s="452" t="s">
        <v>1297</v>
      </c>
    </row>
    <row r="541" spans="1:4" x14ac:dyDescent="0.2">
      <c r="A541" s="450">
        <v>46261</v>
      </c>
      <c r="B541" s="277" t="s">
        <v>2611</v>
      </c>
      <c r="C541" s="451">
        <v>90000</v>
      </c>
      <c r="D541" s="452" t="s">
        <v>1298</v>
      </c>
    </row>
    <row r="542" spans="1:4" x14ac:dyDescent="0.2">
      <c r="A542" s="450">
        <v>46261</v>
      </c>
      <c r="B542" s="277" t="s">
        <v>143</v>
      </c>
      <c r="C542" s="451">
        <v>1192806</v>
      </c>
      <c r="D542" s="452" t="s">
        <v>1298</v>
      </c>
    </row>
    <row r="543" spans="1:4" x14ac:dyDescent="0.2">
      <c r="A543" s="450">
        <v>46262</v>
      </c>
      <c r="B543" s="277" t="s">
        <v>2364</v>
      </c>
      <c r="C543" s="451">
        <v>5190</v>
      </c>
      <c r="D543" s="452" t="s">
        <v>1298</v>
      </c>
    </row>
    <row r="544" spans="1:4" x14ac:dyDescent="0.2">
      <c r="A544" s="450">
        <v>46262</v>
      </c>
      <c r="B544" s="277" t="s">
        <v>1786</v>
      </c>
      <c r="C544" s="451">
        <v>92400</v>
      </c>
      <c r="D544" s="452" t="s">
        <v>1297</v>
      </c>
    </row>
    <row r="545" spans="1:4" x14ac:dyDescent="0.2">
      <c r="A545" s="450">
        <v>46262</v>
      </c>
      <c r="B545" s="277" t="s">
        <v>51</v>
      </c>
      <c r="C545" s="451">
        <v>1192806</v>
      </c>
      <c r="D545" s="452" t="s">
        <v>1299</v>
      </c>
    </row>
    <row r="546" spans="1:4" x14ac:dyDescent="0.2">
      <c r="A546" s="450">
        <v>46262</v>
      </c>
      <c r="B546" s="277" t="s">
        <v>3083</v>
      </c>
      <c r="C546" s="451">
        <v>30000</v>
      </c>
      <c r="D546" s="452" t="s">
        <v>1298</v>
      </c>
    </row>
    <row r="547" spans="1:4" x14ac:dyDescent="0.2">
      <c r="A547" s="450">
        <v>46263</v>
      </c>
      <c r="B547" s="277" t="s">
        <v>2364</v>
      </c>
      <c r="C547" s="451">
        <v>3572.1</v>
      </c>
      <c r="D547" s="452" t="s">
        <v>1298</v>
      </c>
    </row>
    <row r="548" spans="1:4" x14ac:dyDescent="0.2">
      <c r="A548" s="450"/>
      <c r="B548" s="277"/>
      <c r="C548" s="451"/>
      <c r="D548" s="452"/>
    </row>
    <row r="549" spans="1:4" x14ac:dyDescent="0.2">
      <c r="A549" s="450"/>
      <c r="B549" s="277"/>
      <c r="C549" s="451"/>
      <c r="D549" s="452"/>
    </row>
    <row r="550" spans="1:4" x14ac:dyDescent="0.2">
      <c r="A550" s="450"/>
      <c r="B550" s="277"/>
      <c r="C550" s="451"/>
      <c r="D550" s="452"/>
    </row>
    <row r="551" spans="1:4" x14ac:dyDescent="0.2">
      <c r="A551" s="450"/>
      <c r="B551" s="277"/>
      <c r="C551" s="451"/>
      <c r="D551" s="452"/>
    </row>
    <row r="552" spans="1:4" x14ac:dyDescent="0.2">
      <c r="A552" s="450"/>
      <c r="B552" s="277"/>
      <c r="C552" s="451"/>
      <c r="D552" s="452"/>
    </row>
    <row r="553" spans="1:4" x14ac:dyDescent="0.2">
      <c r="A553" s="450"/>
      <c r="B553" s="277"/>
      <c r="C553" s="451"/>
      <c r="D553" s="452"/>
    </row>
    <row r="554" spans="1:4" x14ac:dyDescent="0.2">
      <c r="A554" s="450"/>
      <c r="B554" s="277"/>
      <c r="C554" s="451"/>
      <c r="D554" s="452"/>
    </row>
    <row r="555" spans="1:4" x14ac:dyDescent="0.2">
      <c r="A555" s="450"/>
      <c r="B555" s="277"/>
      <c r="C555" s="451"/>
      <c r="D555" s="452"/>
    </row>
    <row r="556" spans="1:4" x14ac:dyDescent="0.2">
      <c r="A556" s="450"/>
      <c r="B556" s="277"/>
      <c r="C556" s="451"/>
      <c r="D556" s="452"/>
    </row>
    <row r="557" spans="1:4" x14ac:dyDescent="0.2">
      <c r="A557" s="450"/>
      <c r="B557" s="277"/>
      <c r="C557" s="451"/>
      <c r="D557" s="452"/>
    </row>
    <row r="558" spans="1:4" x14ac:dyDescent="0.2">
      <c r="A558" s="450"/>
      <c r="B558" s="277"/>
      <c r="C558" s="451"/>
      <c r="D558" s="452"/>
    </row>
    <row r="559" spans="1:4" x14ac:dyDescent="0.2">
      <c r="A559" s="450"/>
      <c r="B559" s="277"/>
      <c r="C559" s="451"/>
      <c r="D559" s="452"/>
    </row>
    <row r="560" spans="1:4" x14ac:dyDescent="0.2">
      <c r="A560" s="450"/>
      <c r="B560" s="277"/>
      <c r="C560" s="451"/>
      <c r="D560" s="452"/>
    </row>
    <row r="561" spans="1:4" x14ac:dyDescent="0.2">
      <c r="A561" s="450"/>
      <c r="B561" s="277"/>
      <c r="C561" s="451"/>
      <c r="D561" s="452"/>
    </row>
    <row r="562" spans="1:4" x14ac:dyDescent="0.2">
      <c r="A562" s="450"/>
      <c r="B562" s="277"/>
      <c r="C562" s="451"/>
      <c r="D562" s="452"/>
    </row>
    <row r="563" spans="1:4" x14ac:dyDescent="0.2">
      <c r="A563" s="450"/>
      <c r="B563" s="277"/>
      <c r="C563" s="451"/>
      <c r="D563" s="452"/>
    </row>
    <row r="564" spans="1:4" x14ac:dyDescent="0.2">
      <c r="A564" s="450"/>
      <c r="B564" s="277"/>
      <c r="C564" s="451"/>
      <c r="D564" s="452"/>
    </row>
    <row r="565" spans="1:4" x14ac:dyDescent="0.2">
      <c r="A565" s="450"/>
      <c r="B565" s="277"/>
      <c r="C565" s="451"/>
      <c r="D565" s="452"/>
    </row>
    <row r="566" spans="1:4" x14ac:dyDescent="0.2">
      <c r="A566" s="450"/>
      <c r="B566" s="277"/>
      <c r="C566" s="451"/>
      <c r="D566" s="452"/>
    </row>
    <row r="567" spans="1:4" x14ac:dyDescent="0.2">
      <c r="A567" s="450"/>
      <c r="B567" s="277"/>
      <c r="C567" s="451"/>
      <c r="D567" s="452"/>
    </row>
    <row r="568" spans="1:4" x14ac:dyDescent="0.2">
      <c r="A568" s="450"/>
      <c r="B568" s="277"/>
      <c r="C568" s="451"/>
      <c r="D568" s="452"/>
    </row>
    <row r="569" spans="1:4" x14ac:dyDescent="0.2">
      <c r="A569" s="450"/>
      <c r="B569" s="277"/>
      <c r="C569" s="451"/>
      <c r="D569" s="452"/>
    </row>
    <row r="570" spans="1:4" x14ac:dyDescent="0.2">
      <c r="A570" s="450"/>
      <c r="B570" s="277"/>
      <c r="C570" s="451"/>
      <c r="D570" s="452"/>
    </row>
    <row r="571" spans="1:4" x14ac:dyDescent="0.2">
      <c r="A571" s="450"/>
      <c r="B571" s="277"/>
      <c r="C571" s="451"/>
      <c r="D571" s="452"/>
    </row>
    <row r="572" spans="1:4" x14ac:dyDescent="0.2">
      <c r="A572" s="450"/>
      <c r="B572" s="277"/>
      <c r="C572" s="451"/>
      <c r="D572" s="452"/>
    </row>
    <row r="573" spans="1:4" x14ac:dyDescent="0.2">
      <c r="A573" s="450"/>
      <c r="B573" s="277"/>
      <c r="C573" s="451"/>
      <c r="D573" s="452"/>
    </row>
    <row r="574" spans="1:4" x14ac:dyDescent="0.2">
      <c r="A574" s="450"/>
      <c r="B574" s="277"/>
      <c r="C574" s="451"/>
      <c r="D574" s="452"/>
    </row>
    <row r="575" spans="1:4" x14ac:dyDescent="0.2">
      <c r="A575" s="450"/>
      <c r="B575" s="277"/>
      <c r="C575" s="451"/>
      <c r="D575" s="452"/>
    </row>
    <row r="576" spans="1:4" x14ac:dyDescent="0.2">
      <c r="A576" s="450"/>
      <c r="B576" s="277"/>
      <c r="C576" s="451"/>
      <c r="D576" s="452"/>
    </row>
    <row r="577" spans="1:4" x14ac:dyDescent="0.2">
      <c r="A577" s="450"/>
      <c r="B577" s="277"/>
      <c r="C577" s="451"/>
      <c r="D577" s="452"/>
    </row>
    <row r="578" spans="1:4" x14ac:dyDescent="0.2">
      <c r="A578" s="450"/>
      <c r="B578" s="277"/>
      <c r="C578" s="451"/>
      <c r="D578" s="452"/>
    </row>
    <row r="579" spans="1:4" x14ac:dyDescent="0.2">
      <c r="A579" s="450"/>
      <c r="B579" s="277"/>
      <c r="C579" s="451"/>
      <c r="D579" s="452"/>
    </row>
    <row r="580" spans="1:4" x14ac:dyDescent="0.2">
      <c r="A580" s="450"/>
      <c r="B580" s="277"/>
      <c r="C580" s="451"/>
      <c r="D580" s="452"/>
    </row>
    <row r="581" spans="1:4" x14ac:dyDescent="0.2">
      <c r="A581" s="450"/>
      <c r="B581" s="277"/>
      <c r="C581" s="451"/>
      <c r="D581" s="452"/>
    </row>
    <row r="582" spans="1:4" x14ac:dyDescent="0.2">
      <c r="A582" s="450"/>
      <c r="B582" s="277"/>
      <c r="C582" s="451"/>
      <c r="D582" s="452"/>
    </row>
    <row r="583" spans="1:4" x14ac:dyDescent="0.2">
      <c r="A583" s="450"/>
      <c r="B583" s="277"/>
      <c r="C583" s="451"/>
      <c r="D583" s="452"/>
    </row>
    <row r="584" spans="1:4" x14ac:dyDescent="0.2">
      <c r="A584" s="450"/>
      <c r="B584" s="277"/>
      <c r="C584" s="451"/>
      <c r="D584" s="452"/>
    </row>
    <row r="585" spans="1:4" x14ac:dyDescent="0.2">
      <c r="A585" s="450"/>
      <c r="B585" s="277"/>
      <c r="C585" s="451"/>
      <c r="D585" s="452"/>
    </row>
    <row r="586" spans="1:4" x14ac:dyDescent="0.2">
      <c r="A586" s="450"/>
      <c r="B586" s="277"/>
      <c r="C586" s="451"/>
      <c r="D586" s="452"/>
    </row>
    <row r="587" spans="1:4" x14ac:dyDescent="0.2">
      <c r="A587" s="450"/>
      <c r="B587" s="277"/>
      <c r="C587" s="451"/>
      <c r="D587" s="452"/>
    </row>
    <row r="588" spans="1:4" x14ac:dyDescent="0.2">
      <c r="A588" s="450"/>
      <c r="B588" s="277"/>
      <c r="C588" s="451"/>
      <c r="D588" s="452"/>
    </row>
    <row r="589" spans="1:4" x14ac:dyDescent="0.2">
      <c r="A589" s="450"/>
      <c r="B589" s="277"/>
      <c r="C589" s="451"/>
      <c r="D589" s="452"/>
    </row>
    <row r="590" spans="1:4" x14ac:dyDescent="0.2">
      <c r="A590" s="450"/>
      <c r="B590" s="277"/>
      <c r="C590" s="451"/>
      <c r="D590" s="452"/>
    </row>
    <row r="591" spans="1:4" x14ac:dyDescent="0.2">
      <c r="A591" s="450"/>
      <c r="B591" s="277"/>
      <c r="C591" s="451"/>
      <c r="D591" s="452"/>
    </row>
    <row r="592" spans="1:4" x14ac:dyDescent="0.2">
      <c r="A592" s="450"/>
      <c r="B592" s="277"/>
      <c r="C592" s="451"/>
      <c r="D592" s="452"/>
    </row>
    <row r="593" spans="1:4" x14ac:dyDescent="0.2">
      <c r="A593" s="450"/>
      <c r="B593" s="277"/>
      <c r="C593" s="451"/>
      <c r="D593" s="452"/>
    </row>
    <row r="594" spans="1:4" x14ac:dyDescent="0.2">
      <c r="A594" s="450"/>
      <c r="B594" s="277"/>
      <c r="C594" s="451"/>
      <c r="D594" s="452"/>
    </row>
    <row r="595" spans="1:4" x14ac:dyDescent="0.2">
      <c r="A595" s="450"/>
      <c r="B595" s="277"/>
      <c r="C595" s="451"/>
      <c r="D595" s="452"/>
    </row>
    <row r="596" spans="1:4" x14ac:dyDescent="0.2">
      <c r="A596" s="450"/>
      <c r="B596" s="277"/>
      <c r="C596" s="451"/>
      <c r="D596" s="452"/>
    </row>
    <row r="597" spans="1:4" x14ac:dyDescent="0.2">
      <c r="A597" s="450"/>
      <c r="B597" s="277"/>
      <c r="C597" s="451"/>
      <c r="D597" s="452"/>
    </row>
    <row r="598" spans="1:4" x14ac:dyDescent="0.2">
      <c r="A598" s="450"/>
      <c r="B598" s="277"/>
      <c r="C598" s="451"/>
      <c r="D598" s="452"/>
    </row>
    <row r="599" spans="1:4" x14ac:dyDescent="0.2">
      <c r="A599" s="450"/>
      <c r="B599" s="277"/>
      <c r="C599" s="451"/>
      <c r="D599" s="452"/>
    </row>
    <row r="600" spans="1:4" x14ac:dyDescent="0.2">
      <c r="A600" s="450"/>
      <c r="B600" s="277"/>
      <c r="C600" s="451"/>
      <c r="D600" s="452"/>
    </row>
    <row r="601" spans="1:4" x14ac:dyDescent="0.2">
      <c r="A601" s="450"/>
      <c r="B601" s="277"/>
      <c r="C601" s="451"/>
      <c r="D601" s="452"/>
    </row>
    <row r="602" spans="1:4" x14ac:dyDescent="0.2">
      <c r="A602" s="450"/>
      <c r="B602" s="277"/>
      <c r="C602" s="451"/>
      <c r="D602" s="452"/>
    </row>
    <row r="603" spans="1:4" x14ac:dyDescent="0.2">
      <c r="A603" s="450"/>
      <c r="B603" s="277"/>
      <c r="C603" s="451"/>
      <c r="D603" s="452"/>
    </row>
    <row r="604" spans="1:4" x14ac:dyDescent="0.2">
      <c r="A604" s="450"/>
      <c r="B604" s="277"/>
      <c r="C604" s="451"/>
      <c r="D604" s="452"/>
    </row>
    <row r="605" spans="1:4" x14ac:dyDescent="0.2">
      <c r="A605" s="450"/>
      <c r="B605" s="277"/>
      <c r="C605" s="451"/>
      <c r="D605" s="452"/>
    </row>
    <row r="606" spans="1:4" x14ac:dyDescent="0.2">
      <c r="A606" s="450"/>
      <c r="B606" s="277"/>
      <c r="C606" s="451"/>
      <c r="D606" s="452"/>
    </row>
    <row r="607" spans="1:4" x14ac:dyDescent="0.2">
      <c r="A607" s="450"/>
      <c r="B607" s="277"/>
      <c r="C607" s="451"/>
      <c r="D607" s="452"/>
    </row>
    <row r="608" spans="1:4" x14ac:dyDescent="0.2">
      <c r="A608" s="450"/>
      <c r="B608" s="277"/>
      <c r="C608" s="451"/>
      <c r="D608" s="452"/>
    </row>
    <row r="609" spans="1:4" x14ac:dyDescent="0.2">
      <c r="A609" s="450"/>
      <c r="B609" s="277"/>
      <c r="C609" s="451"/>
      <c r="D609" s="452"/>
    </row>
    <row r="610" spans="1:4" x14ac:dyDescent="0.2">
      <c r="A610" s="450"/>
      <c r="B610" s="277"/>
      <c r="C610" s="451"/>
      <c r="D610" s="452"/>
    </row>
    <row r="611" spans="1:4" x14ac:dyDescent="0.2">
      <c r="A611" s="450"/>
      <c r="B611" s="277"/>
      <c r="C611" s="451"/>
      <c r="D611" s="452"/>
    </row>
    <row r="612" spans="1:4" x14ac:dyDescent="0.2">
      <c r="A612" s="450"/>
      <c r="B612" s="277"/>
      <c r="C612" s="451"/>
      <c r="D612" s="452"/>
    </row>
    <row r="613" spans="1:4" x14ac:dyDescent="0.2">
      <c r="A613" s="450"/>
      <c r="B613" s="277"/>
      <c r="C613" s="451"/>
      <c r="D613" s="452"/>
    </row>
    <row r="614" spans="1:4" x14ac:dyDescent="0.2">
      <c r="A614" s="450"/>
      <c r="B614" s="277"/>
      <c r="C614" s="451"/>
      <c r="D614" s="452"/>
    </row>
    <row r="615" spans="1:4" x14ac:dyDescent="0.2">
      <c r="A615" s="450"/>
      <c r="B615" s="277"/>
      <c r="C615" s="451"/>
      <c r="D615" s="452"/>
    </row>
    <row r="616" spans="1:4" x14ac:dyDescent="0.2">
      <c r="A616" s="450"/>
      <c r="B616" s="277"/>
      <c r="C616" s="451"/>
      <c r="D616" s="452"/>
    </row>
    <row r="617" spans="1:4" x14ac:dyDescent="0.2">
      <c r="A617" s="450"/>
      <c r="B617" s="277"/>
      <c r="C617" s="451"/>
      <c r="D617" s="452"/>
    </row>
    <row r="618" spans="1:4" x14ac:dyDescent="0.2">
      <c r="A618" s="450"/>
      <c r="B618" s="277"/>
      <c r="C618" s="451"/>
      <c r="D618" s="452"/>
    </row>
    <row r="619" spans="1:4" x14ac:dyDescent="0.2">
      <c r="A619" s="450"/>
      <c r="B619" s="277"/>
      <c r="C619" s="451"/>
      <c r="D619" s="452"/>
    </row>
    <row r="620" spans="1:4" x14ac:dyDescent="0.2">
      <c r="A620" s="450"/>
      <c r="B620" s="277"/>
      <c r="C620" s="451"/>
      <c r="D620" s="452"/>
    </row>
    <row r="621" spans="1:4" x14ac:dyDescent="0.2">
      <c r="A621" s="450"/>
      <c r="B621" s="277"/>
      <c r="C621" s="451"/>
      <c r="D621" s="452"/>
    </row>
    <row r="622" spans="1:4" x14ac:dyDescent="0.2">
      <c r="A622" s="450"/>
      <c r="B622" s="277"/>
      <c r="C622" s="451"/>
      <c r="D622" s="452"/>
    </row>
    <row r="623" spans="1:4" x14ac:dyDescent="0.2">
      <c r="A623" s="450"/>
      <c r="B623" s="277"/>
      <c r="C623" s="451"/>
      <c r="D623" s="452"/>
    </row>
    <row r="624" spans="1:4" x14ac:dyDescent="0.2">
      <c r="A624" s="450"/>
      <c r="B624" s="277"/>
      <c r="C624" s="451"/>
      <c r="D624" s="452"/>
    </row>
    <row r="625" spans="1:4" x14ac:dyDescent="0.2">
      <c r="A625" s="450"/>
      <c r="B625" s="277"/>
      <c r="C625" s="451"/>
      <c r="D625" s="452"/>
    </row>
    <row r="626" spans="1:4" x14ac:dyDescent="0.2">
      <c r="A626" s="450"/>
      <c r="B626" s="277"/>
      <c r="C626" s="451"/>
      <c r="D626" s="452"/>
    </row>
    <row r="627" spans="1:4" x14ac:dyDescent="0.2">
      <c r="A627" s="450"/>
      <c r="B627" s="277"/>
      <c r="C627" s="451"/>
      <c r="D627" s="452"/>
    </row>
    <row r="628" spans="1:4" x14ac:dyDescent="0.2">
      <c r="A628" s="450"/>
      <c r="B628" s="277"/>
      <c r="C628" s="451"/>
      <c r="D628" s="452"/>
    </row>
    <row r="629" spans="1:4" x14ac:dyDescent="0.2">
      <c r="A629" s="450"/>
      <c r="B629" s="277"/>
      <c r="C629" s="451"/>
      <c r="D629" s="452"/>
    </row>
    <row r="630" spans="1:4" x14ac:dyDescent="0.2">
      <c r="A630" s="450"/>
      <c r="B630" s="277"/>
      <c r="C630" s="451"/>
      <c r="D630" s="452"/>
    </row>
    <row r="631" spans="1:4" x14ac:dyDescent="0.2">
      <c r="A631" s="450"/>
      <c r="B631" s="277"/>
      <c r="C631" s="451"/>
      <c r="D631" s="452"/>
    </row>
    <row r="632" spans="1:4" x14ac:dyDescent="0.2">
      <c r="A632" s="450"/>
      <c r="B632" s="277"/>
      <c r="C632" s="451"/>
      <c r="D632" s="452"/>
    </row>
    <row r="633" spans="1:4" x14ac:dyDescent="0.2">
      <c r="A633" s="450"/>
      <c r="B633" s="277"/>
      <c r="C633" s="451"/>
      <c r="D633" s="452"/>
    </row>
    <row r="634" spans="1:4" x14ac:dyDescent="0.2">
      <c r="A634" s="450"/>
      <c r="B634" s="277"/>
      <c r="C634" s="451"/>
      <c r="D634" s="452"/>
    </row>
    <row r="635" spans="1:4" x14ac:dyDescent="0.2">
      <c r="A635" s="450"/>
      <c r="B635" s="277"/>
      <c r="C635" s="451"/>
      <c r="D635" s="452"/>
    </row>
    <row r="636" spans="1:4" x14ac:dyDescent="0.2">
      <c r="A636" s="450"/>
      <c r="B636" s="277"/>
      <c r="C636" s="451"/>
      <c r="D636" s="452"/>
    </row>
    <row r="637" spans="1:4" x14ac:dyDescent="0.2">
      <c r="A637" s="450"/>
      <c r="B637" s="277"/>
      <c r="C637" s="451"/>
      <c r="D637" s="452"/>
    </row>
    <row r="638" spans="1:4" x14ac:dyDescent="0.2">
      <c r="A638" s="450"/>
      <c r="B638" s="277"/>
      <c r="C638" s="451"/>
      <c r="D638" s="452"/>
    </row>
    <row r="639" spans="1:4" x14ac:dyDescent="0.2">
      <c r="A639" s="450"/>
      <c r="B639" s="277"/>
      <c r="C639" s="451"/>
      <c r="D639" s="452"/>
    </row>
    <row r="640" spans="1:4" x14ac:dyDescent="0.2">
      <c r="A640" s="450"/>
      <c r="B640" s="277"/>
      <c r="C640" s="451"/>
      <c r="D640" s="452"/>
    </row>
    <row r="641" spans="1:4" x14ac:dyDescent="0.2">
      <c r="A641" s="450"/>
      <c r="B641" s="277"/>
      <c r="C641" s="451"/>
      <c r="D641" s="452"/>
    </row>
    <row r="642" spans="1:4" x14ac:dyDescent="0.2">
      <c r="A642" s="450"/>
      <c r="B642" s="277"/>
      <c r="C642" s="451"/>
      <c r="D642" s="452"/>
    </row>
    <row r="643" spans="1:4" x14ac:dyDescent="0.2">
      <c r="A643" s="450"/>
      <c r="B643" s="277"/>
      <c r="C643" s="451"/>
      <c r="D643" s="452"/>
    </row>
    <row r="644" spans="1:4" x14ac:dyDescent="0.2">
      <c r="A644" s="450"/>
      <c r="B644" s="277"/>
      <c r="C644" s="451"/>
      <c r="D644" s="452"/>
    </row>
    <row r="645" spans="1:4" x14ac:dyDescent="0.2">
      <c r="A645" s="450"/>
      <c r="B645" s="277"/>
      <c r="C645" s="451"/>
      <c r="D645" s="452"/>
    </row>
    <row r="646" spans="1:4" x14ac:dyDescent="0.2">
      <c r="A646" s="450"/>
      <c r="B646" s="277"/>
      <c r="C646" s="451"/>
      <c r="D646" s="452"/>
    </row>
    <row r="647" spans="1:4" x14ac:dyDescent="0.2">
      <c r="A647" s="450"/>
      <c r="B647" s="277"/>
      <c r="C647" s="451"/>
      <c r="D647" s="452"/>
    </row>
    <row r="648" spans="1:4" x14ac:dyDescent="0.2">
      <c r="A648" s="450"/>
      <c r="B648" s="277"/>
      <c r="C648" s="451"/>
      <c r="D648" s="452"/>
    </row>
    <row r="649" spans="1:4" x14ac:dyDescent="0.2">
      <c r="A649" s="450"/>
      <c r="B649" s="277"/>
      <c r="C649" s="451"/>
      <c r="D649" s="452"/>
    </row>
    <row r="650" spans="1:4" x14ac:dyDescent="0.2">
      <c r="A650" s="450"/>
      <c r="B650" s="277"/>
      <c r="C650" s="451"/>
      <c r="D650" s="452"/>
    </row>
  </sheetData>
  <sheetProtection formatCells="0" formatColumns="0" formatRows="0" insertRows="0" deleteRows="0" selectLockedCells="1" sort="0" autoFilter="0"/>
  <phoneticPr fontId="42" alignment="center"/>
  <dataValidations count="1">
    <dataValidation type="list" errorStyle="warning" allowBlank="1" showInputMessage="1" showErrorMessage="1" errorTitle="Not in list" error="This name isn't in the Sale-sheet customer list. Choose from the dropdown or check the spelling." promptTitle="Customer" prompt="Pick a customer from the list (sourced from Sale sheets)." sqref="B2:B5532" xr:uid="{6754B4E2-885E-CE4C-97F0-237FD086821B}">
      <formula1>_xlfn._TRO_TRAILING($F$2:$F$100)</formula1>
    </dataValidation>
  </dataValidations>
  <hyperlinks>
    <hyperlink ref="K1" location="Index!A1" display="→ Index" xr:uid="{2137826A-BEB2-854D-9A5A-45AA7C23F45A}"/>
  </hyperlink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164B6-0B85-7440-81D5-87CE663B3665}">
  <sheetPr codeName="Sheet3"/>
  <dimension ref="B1:Y46"/>
  <sheetViews>
    <sheetView workbookViewId="0">
      <selection activeCell="B16" sqref="B16"/>
    </sheetView>
  </sheetViews>
  <sheetFormatPr baseColWidth="10" defaultColWidth="10.83203125" defaultRowHeight="16" outlineLevelCol="1" x14ac:dyDescent="0.2"/>
  <cols>
    <col min="1" max="1" width="4" customWidth="1"/>
    <col min="2" max="2" width="67" bestFit="1" customWidth="1"/>
    <col min="3" max="3" width="31.33203125" customWidth="1" outlineLevel="1"/>
    <col min="4" max="4" width="34" bestFit="1" customWidth="1"/>
    <col min="7" max="7" width="38.6640625" bestFit="1" customWidth="1"/>
    <col min="8" max="8" width="30.83203125" bestFit="1" customWidth="1"/>
    <col min="9" max="9" width="19" bestFit="1" customWidth="1"/>
    <col min="13" max="13" width="53.83203125" bestFit="1" customWidth="1"/>
    <col min="14" max="14" width="14.6640625" bestFit="1" customWidth="1"/>
    <col min="15" max="15" width="16.6640625" bestFit="1" customWidth="1"/>
    <col min="16" max="16" width="16" customWidth="1"/>
    <col min="17" max="17" width="15.1640625" customWidth="1"/>
    <col min="18" max="18" width="16.33203125" customWidth="1"/>
  </cols>
  <sheetData>
    <row r="1" spans="2:25" ht="17" thickBot="1" x14ac:dyDescent="0.25">
      <c r="B1" s="17"/>
      <c r="C1" s="17"/>
      <c r="D1" s="17"/>
      <c r="E1" s="17"/>
      <c r="F1" s="17"/>
      <c r="G1" s="17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2:25" ht="34" customHeight="1" x14ac:dyDescent="0.25">
      <c r="B2" s="495" t="s">
        <v>2336</v>
      </c>
      <c r="C2" s="496"/>
      <c r="D2" s="497"/>
      <c r="E2" s="17"/>
      <c r="F2" s="17"/>
      <c r="G2" s="17"/>
      <c r="H2" s="17"/>
      <c r="I2" s="17"/>
      <c r="J2" s="17"/>
      <c r="K2" s="17"/>
      <c r="L2" s="17"/>
      <c r="M2" s="498" t="s">
        <v>1243</v>
      </c>
      <c r="N2" s="498"/>
      <c r="O2" s="498"/>
      <c r="P2" s="17"/>
      <c r="Q2" s="17"/>
      <c r="R2" s="17"/>
      <c r="S2" s="17"/>
      <c r="T2" s="17"/>
      <c r="U2" s="17"/>
      <c r="V2" s="17"/>
      <c r="W2" s="17"/>
    </row>
    <row r="3" spans="2:25" ht="22.5" thickBot="1" x14ac:dyDescent="0.3">
      <c r="B3" s="19"/>
      <c r="C3" s="20"/>
      <c r="D3" s="21"/>
      <c r="E3" s="17"/>
      <c r="F3" s="17"/>
      <c r="G3" s="17"/>
      <c r="H3" s="17"/>
      <c r="I3" s="17"/>
      <c r="J3" s="17"/>
      <c r="K3" s="17"/>
      <c r="L3" s="17"/>
      <c r="M3" s="22" t="s">
        <v>7</v>
      </c>
      <c r="N3" s="163">
        <v>46113</v>
      </c>
      <c r="O3" s="163">
        <v>46143</v>
      </c>
      <c r="P3" s="163">
        <v>46174</v>
      </c>
      <c r="Q3" s="163">
        <v>46204</v>
      </c>
      <c r="R3" s="163">
        <v>46235</v>
      </c>
      <c r="S3" s="163">
        <v>46266</v>
      </c>
      <c r="T3" s="163">
        <v>46296</v>
      </c>
      <c r="U3" s="163">
        <v>46327</v>
      </c>
      <c r="V3" s="163">
        <v>46357</v>
      </c>
      <c r="W3" s="163">
        <v>46388</v>
      </c>
      <c r="X3" s="163">
        <v>46419</v>
      </c>
      <c r="Y3" s="163">
        <v>46447</v>
      </c>
    </row>
    <row r="4" spans="2:25" ht="28" customHeight="1" thickBot="1" x14ac:dyDescent="0.3">
      <c r="B4" s="187" t="s">
        <v>7</v>
      </c>
      <c r="C4" s="188" t="s">
        <v>1226</v>
      </c>
      <c r="D4" s="189" t="s">
        <v>1227</v>
      </c>
      <c r="E4" s="17"/>
      <c r="F4" s="17"/>
      <c r="G4" s="23" t="s">
        <v>1228</v>
      </c>
      <c r="H4" s="30">
        <f>SUM(D5:D77)</f>
        <v>19866026.579999998</v>
      </c>
      <c r="I4" s="17"/>
      <c r="J4" s="17"/>
      <c r="K4" s="17"/>
      <c r="L4" s="17"/>
      <c r="M4" s="24" t="s">
        <v>58</v>
      </c>
      <c r="N4" s="25">
        <v>9569214.2100000009</v>
      </c>
      <c r="O4" s="25">
        <v>7103670.21</v>
      </c>
      <c r="P4" s="25">
        <v>4652957.83</v>
      </c>
      <c r="Q4" s="25">
        <v>5874982.9299999997</v>
      </c>
      <c r="R4" s="25">
        <v>3753160.93</v>
      </c>
      <c r="S4" s="25"/>
      <c r="T4" s="25"/>
      <c r="U4" s="25"/>
      <c r="V4" s="25"/>
      <c r="W4" s="26"/>
      <c r="X4" s="26"/>
      <c r="Y4" s="26"/>
    </row>
    <row r="5" spans="2:25" ht="22" customHeight="1" x14ac:dyDescent="0.25">
      <c r="B5" s="383" t="s">
        <v>58</v>
      </c>
      <c r="C5" s="190" t="s">
        <v>1202</v>
      </c>
      <c r="D5" s="191">
        <f>'STEELS &amp; CARRIERS'!$I$5</f>
        <v>4375832.09</v>
      </c>
      <c r="E5" s="17"/>
      <c r="F5" s="17"/>
      <c r="G5" s="17"/>
      <c r="H5" s="17"/>
      <c r="I5" s="17"/>
      <c r="J5" s="17"/>
      <c r="K5" s="17"/>
      <c r="L5" s="17"/>
      <c r="M5" s="27" t="s">
        <v>59</v>
      </c>
      <c r="N5" s="28">
        <v>4707205.4000000004</v>
      </c>
      <c r="O5" s="28">
        <v>4746967.3099999996</v>
      </c>
      <c r="P5" s="28">
        <v>3353473.47</v>
      </c>
      <c r="Q5" s="28">
        <v>1236685.8600000001</v>
      </c>
      <c r="R5" s="28">
        <v>658138.82999999996</v>
      </c>
      <c r="S5" s="28"/>
      <c r="T5" s="28"/>
      <c r="U5" s="28"/>
      <c r="V5" s="28"/>
      <c r="W5" s="29"/>
      <c r="X5" s="29"/>
      <c r="Y5" s="29"/>
    </row>
    <row r="6" spans="2:25" ht="22" customHeight="1" x14ac:dyDescent="0.25">
      <c r="B6" s="383" t="s">
        <v>59</v>
      </c>
      <c r="C6" s="190" t="s">
        <v>1207</v>
      </c>
      <c r="D6" s="191">
        <f>PPTE!$I$5</f>
        <v>180000.59999999998</v>
      </c>
      <c r="E6" s="17"/>
      <c r="F6" s="17"/>
      <c r="G6" s="17"/>
      <c r="H6" s="17"/>
      <c r="I6" s="17"/>
      <c r="J6" s="17"/>
      <c r="K6" s="17"/>
      <c r="L6" s="17"/>
      <c r="M6" s="24" t="s">
        <v>15</v>
      </c>
      <c r="N6" s="25">
        <v>1470490.71</v>
      </c>
      <c r="O6" s="25">
        <v>1335428.3</v>
      </c>
      <c r="P6" s="25">
        <v>985428.3</v>
      </c>
      <c r="Q6" s="25">
        <v>948228.3</v>
      </c>
      <c r="R6" s="25">
        <v>948228.3</v>
      </c>
      <c r="S6" s="25"/>
      <c r="T6" s="25"/>
      <c r="U6" s="25"/>
      <c r="V6" s="25"/>
      <c r="W6" s="26"/>
      <c r="X6" s="26"/>
      <c r="Y6" s="26"/>
    </row>
    <row r="7" spans="2:25" ht="22" customHeight="1" x14ac:dyDescent="0.25">
      <c r="B7" s="383" t="s">
        <v>15</v>
      </c>
      <c r="C7" s="190" t="s">
        <v>1244</v>
      </c>
      <c r="D7" s="191">
        <f>String!$I$5</f>
        <v>648228.30000000005</v>
      </c>
      <c r="E7" s="17"/>
      <c r="F7" s="17"/>
      <c r="G7" s="17"/>
      <c r="H7" s="17"/>
      <c r="I7" s="17"/>
      <c r="J7" s="17"/>
      <c r="K7" s="17"/>
      <c r="L7" s="17"/>
      <c r="M7" s="27" t="s">
        <v>152</v>
      </c>
      <c r="N7" s="28">
        <v>1753301.33</v>
      </c>
      <c r="O7" s="28">
        <v>883004.13</v>
      </c>
      <c r="P7" s="28">
        <v>417343.31</v>
      </c>
      <c r="Q7" s="28">
        <v>846095.01</v>
      </c>
      <c r="R7" s="28">
        <v>2699021.37</v>
      </c>
      <c r="S7" s="28"/>
      <c r="T7" s="28"/>
      <c r="U7" s="28"/>
      <c r="V7" s="28"/>
      <c r="W7" s="29"/>
      <c r="X7" s="29"/>
      <c r="Y7" s="29"/>
    </row>
    <row r="8" spans="2:25" ht="22" customHeight="1" x14ac:dyDescent="0.25">
      <c r="B8" s="383" t="s">
        <v>152</v>
      </c>
      <c r="C8" s="190" t="s">
        <v>1201</v>
      </c>
      <c r="D8" s="191">
        <f>Sudarshan!$I$5</f>
        <v>3058447.46</v>
      </c>
      <c r="E8" s="17"/>
      <c r="F8" s="17"/>
      <c r="G8" s="17"/>
      <c r="H8" s="17"/>
      <c r="I8" s="17"/>
      <c r="J8" s="17"/>
      <c r="K8" s="17"/>
      <c r="L8" s="17"/>
      <c r="M8" s="24" t="s">
        <v>135</v>
      </c>
      <c r="N8" s="25">
        <v>777330.68</v>
      </c>
      <c r="O8" s="25">
        <v>805727.66</v>
      </c>
      <c r="P8" s="25">
        <v>305727.65999999997</v>
      </c>
      <c r="Q8" s="25">
        <v>305727.65999999997</v>
      </c>
      <c r="R8" s="25">
        <v>105727.66</v>
      </c>
      <c r="S8" s="25"/>
      <c r="T8" s="25"/>
      <c r="U8" s="25"/>
      <c r="V8" s="25"/>
      <c r="W8" s="26"/>
      <c r="X8" s="26"/>
      <c r="Y8" s="26"/>
    </row>
    <row r="9" spans="2:25" ht="22" customHeight="1" x14ac:dyDescent="0.25">
      <c r="B9" s="383" t="s">
        <v>135</v>
      </c>
      <c r="C9" s="190" t="s">
        <v>1199</v>
      </c>
      <c r="D9" s="191">
        <f>'TN Roadlines'!$I$5</f>
        <v>105727.66</v>
      </c>
      <c r="E9" s="17"/>
      <c r="F9" s="17"/>
      <c r="J9" s="17"/>
      <c r="K9" s="17"/>
      <c r="L9" s="17"/>
      <c r="M9" s="27" t="s">
        <v>56</v>
      </c>
      <c r="N9" s="28">
        <v>193296.35</v>
      </c>
      <c r="O9" s="28">
        <v>183849.25</v>
      </c>
      <c r="P9" s="28">
        <v>180406.48</v>
      </c>
      <c r="Q9" s="28">
        <v>148170.41</v>
      </c>
      <c r="R9" s="28">
        <v>165784.35999999999</v>
      </c>
      <c r="S9" s="28"/>
      <c r="T9" s="28"/>
      <c r="U9" s="28"/>
      <c r="V9" s="28"/>
      <c r="W9" s="29"/>
      <c r="X9" s="29"/>
      <c r="Y9" s="29"/>
    </row>
    <row r="10" spans="2:25" ht="22" customHeight="1" x14ac:dyDescent="0.25">
      <c r="B10" s="383" t="s">
        <v>56</v>
      </c>
      <c r="C10" s="190" t="s">
        <v>1203</v>
      </c>
      <c r="D10" s="191">
        <f>'Simar Infra'!$I$5</f>
        <v>219050.63</v>
      </c>
      <c r="E10" s="17"/>
      <c r="F10" s="17"/>
      <c r="J10" s="17"/>
      <c r="K10" s="17"/>
      <c r="L10" s="17"/>
      <c r="M10" s="24" t="s">
        <v>96</v>
      </c>
      <c r="N10" s="25">
        <v>117313.31</v>
      </c>
      <c r="O10" s="25">
        <v>204828.76</v>
      </c>
      <c r="P10" s="25">
        <v>145528.99</v>
      </c>
      <c r="Q10" s="25">
        <v>62305.38</v>
      </c>
      <c r="R10" s="25">
        <v>352591.5</v>
      </c>
      <c r="S10" s="25"/>
      <c r="T10" s="25"/>
      <c r="U10" s="25"/>
      <c r="V10" s="25"/>
      <c r="W10" s="26"/>
      <c r="X10" s="26"/>
      <c r="Y10" s="26"/>
    </row>
    <row r="11" spans="2:25" ht="22" customHeight="1" x14ac:dyDescent="0.25">
      <c r="B11" s="383" t="s">
        <v>96</v>
      </c>
      <c r="C11" s="190" t="s">
        <v>1204</v>
      </c>
      <c r="D11" s="191">
        <f>Shivaay!$I$5</f>
        <v>403695.94999999972</v>
      </c>
      <c r="E11" s="17"/>
      <c r="F11" s="17"/>
      <c r="J11" s="17"/>
      <c r="K11" s="17"/>
      <c r="L11" s="17"/>
      <c r="M11" s="27" t="s">
        <v>184</v>
      </c>
      <c r="N11" s="28">
        <v>32887.5</v>
      </c>
      <c r="O11" s="28">
        <v>93589</v>
      </c>
      <c r="P11" s="28">
        <v>124204.5</v>
      </c>
      <c r="Q11" s="28">
        <v>165327.5</v>
      </c>
      <c r="R11" s="28">
        <v>195549.5</v>
      </c>
      <c r="S11" s="28"/>
      <c r="T11" s="28"/>
      <c r="U11" s="28"/>
      <c r="V11" s="28"/>
      <c r="W11" s="29"/>
      <c r="X11" s="29"/>
      <c r="Y11" s="29"/>
    </row>
    <row r="12" spans="2:25" ht="22" customHeight="1" x14ac:dyDescent="0.25">
      <c r="B12" s="383" t="s">
        <v>184</v>
      </c>
      <c r="C12" s="192" t="s">
        <v>1235</v>
      </c>
      <c r="D12" s="193">
        <f>'OIC FS JSG'!$I$5</f>
        <v>76804.5</v>
      </c>
      <c r="E12" s="17"/>
      <c r="F12" s="17"/>
      <c r="J12" s="17"/>
      <c r="K12" s="17"/>
      <c r="L12" s="17"/>
      <c r="M12" s="24" t="s">
        <v>257</v>
      </c>
      <c r="N12" s="25">
        <v>0</v>
      </c>
      <c r="O12" s="25">
        <v>86411.13</v>
      </c>
      <c r="P12" s="25">
        <v>112320.35</v>
      </c>
      <c r="Q12" s="25">
        <v>66222.95</v>
      </c>
      <c r="R12" s="25">
        <v>168207.63</v>
      </c>
      <c r="S12" s="25"/>
      <c r="T12" s="25"/>
      <c r="U12" s="25"/>
      <c r="V12" s="25"/>
      <c r="W12" s="26"/>
      <c r="X12" s="26"/>
      <c r="Y12" s="26"/>
    </row>
    <row r="13" spans="2:25" ht="22" customHeight="1" x14ac:dyDescent="0.25">
      <c r="B13" s="383" t="s">
        <v>257</v>
      </c>
      <c r="C13" s="190" t="s">
        <v>1206</v>
      </c>
      <c r="D13" s="191">
        <f>RSM!$I$5</f>
        <v>20582.059999999998</v>
      </c>
      <c r="E13" s="17"/>
      <c r="F13" s="17"/>
      <c r="J13" s="17"/>
      <c r="K13" s="17"/>
      <c r="L13" s="17"/>
      <c r="M13" s="27" t="s">
        <v>901</v>
      </c>
      <c r="N13" s="28">
        <v>0</v>
      </c>
      <c r="O13" s="28">
        <v>0</v>
      </c>
      <c r="P13" s="28">
        <v>100740</v>
      </c>
      <c r="Q13" s="28">
        <v>402960.7</v>
      </c>
      <c r="R13" s="28">
        <v>570749.41</v>
      </c>
      <c r="S13" s="28"/>
      <c r="T13" s="28"/>
      <c r="U13" s="28"/>
      <c r="V13" s="28"/>
      <c r="W13" s="29"/>
      <c r="X13" s="29"/>
      <c r="Y13" s="29"/>
    </row>
    <row r="14" spans="2:25" ht="22" customHeight="1" x14ac:dyDescent="0.25">
      <c r="B14" s="383" t="s">
        <v>901</v>
      </c>
      <c r="C14" s="190" t="s">
        <v>1210</v>
      </c>
      <c r="D14" s="191">
        <f>Indiabuild!$I$5</f>
        <v>152015.10999999987</v>
      </c>
      <c r="E14" s="17"/>
      <c r="F14" s="17"/>
      <c r="J14" s="17"/>
      <c r="K14" s="17"/>
      <c r="L14" s="17"/>
      <c r="M14" s="24" t="s">
        <v>55</v>
      </c>
      <c r="N14" s="25">
        <v>115243.76</v>
      </c>
      <c r="O14" s="25">
        <v>44114.76</v>
      </c>
      <c r="P14" s="25">
        <v>68769.23</v>
      </c>
      <c r="Q14" s="25">
        <v>59844.65</v>
      </c>
      <c r="R14" s="25">
        <v>59844.65</v>
      </c>
      <c r="S14" s="25"/>
      <c r="T14" s="25"/>
      <c r="U14" s="25"/>
      <c r="V14" s="25"/>
      <c r="W14" s="26"/>
      <c r="X14" s="26"/>
      <c r="Y14" s="26"/>
    </row>
    <row r="15" spans="2:25" ht="22" customHeight="1" x14ac:dyDescent="0.25">
      <c r="B15" s="383" t="s">
        <v>55</v>
      </c>
      <c r="C15" s="190" t="s">
        <v>1205</v>
      </c>
      <c r="D15" s="191">
        <f>SBS!$I$5</f>
        <v>-1231.3499999999985</v>
      </c>
      <c r="E15" s="17"/>
      <c r="F15" s="17"/>
      <c r="J15" s="17"/>
      <c r="K15" s="17"/>
      <c r="L15" s="17"/>
      <c r="M15" s="27" t="s">
        <v>136</v>
      </c>
      <c r="N15" s="28">
        <v>74698.39</v>
      </c>
      <c r="O15" s="28">
        <v>19851.509999999998</v>
      </c>
      <c r="P15" s="28">
        <v>26140.7</v>
      </c>
      <c r="Q15" s="28">
        <v>9788.59</v>
      </c>
      <c r="R15" s="28">
        <v>14389.38</v>
      </c>
      <c r="S15" s="28"/>
      <c r="T15" s="28"/>
      <c r="U15" s="28"/>
      <c r="V15" s="28"/>
      <c r="W15" s="29"/>
      <c r="X15" s="29"/>
      <c r="Y15" s="29"/>
    </row>
    <row r="16" spans="2:25" ht="22" customHeight="1" x14ac:dyDescent="0.25">
      <c r="B16" s="383" t="s">
        <v>136</v>
      </c>
      <c r="C16" s="190" t="s">
        <v>1209</v>
      </c>
      <c r="D16" s="191">
        <f>MRD!$I$5</f>
        <v>3801.2999999999993</v>
      </c>
      <c r="E16" s="17"/>
      <c r="F16" s="17"/>
      <c r="G16" s="17"/>
      <c r="H16" s="17"/>
      <c r="I16" s="17"/>
      <c r="J16" s="17"/>
      <c r="K16" s="17"/>
      <c r="L16" s="17"/>
      <c r="M16" s="24" t="s">
        <v>103</v>
      </c>
      <c r="N16" s="25">
        <v>25652.68</v>
      </c>
      <c r="O16" s="25">
        <v>50500.15</v>
      </c>
      <c r="P16" s="25">
        <v>21341.66</v>
      </c>
      <c r="Q16" s="25">
        <v>33329.599999999999</v>
      </c>
      <c r="R16" s="25">
        <v>31569.65</v>
      </c>
      <c r="S16" s="25"/>
      <c r="T16" s="25"/>
      <c r="U16" s="25"/>
      <c r="V16" s="25"/>
      <c r="W16" s="26"/>
      <c r="X16" s="26"/>
      <c r="Y16" s="26"/>
    </row>
    <row r="17" spans="2:25" ht="22" customHeight="1" x14ac:dyDescent="0.25">
      <c r="B17" s="383" t="s">
        <v>103</v>
      </c>
      <c r="C17" s="190" t="s">
        <v>1279</v>
      </c>
      <c r="D17" s="191">
        <f>'Jyoti Ranjan Dash'!$I$5</f>
        <v>30330.020000000004</v>
      </c>
      <c r="E17" s="17"/>
      <c r="F17" s="17"/>
      <c r="G17" s="17"/>
      <c r="H17" s="17"/>
      <c r="I17" s="17"/>
      <c r="J17" s="17"/>
      <c r="K17" s="17"/>
      <c r="L17" s="17"/>
      <c r="M17" s="24" t="s">
        <v>137</v>
      </c>
      <c r="N17" s="25">
        <v>254039.67</v>
      </c>
      <c r="O17" s="25">
        <v>274371.19</v>
      </c>
      <c r="P17" s="25">
        <v>0.19</v>
      </c>
      <c r="Q17" s="25">
        <v>10357.26</v>
      </c>
      <c r="R17" s="28">
        <v>10357.26</v>
      </c>
      <c r="S17" s="28"/>
      <c r="T17" s="28"/>
      <c r="U17" s="28"/>
      <c r="V17" s="28"/>
      <c r="W17" s="29"/>
      <c r="X17" s="29"/>
      <c r="Y17" s="29"/>
    </row>
    <row r="18" spans="2:25" ht="22" customHeight="1" x14ac:dyDescent="0.25">
      <c r="B18" s="383" t="s">
        <v>137</v>
      </c>
      <c r="C18" s="190" t="s">
        <v>1208</v>
      </c>
      <c r="D18" s="191">
        <f>'Natwar Khetan'!$I$5</f>
        <v>15057.78</v>
      </c>
      <c r="E18" s="17"/>
      <c r="F18" s="17"/>
      <c r="G18" s="17"/>
      <c r="H18" s="17"/>
      <c r="I18" s="17"/>
      <c r="J18" s="17"/>
      <c r="K18" s="17"/>
      <c r="L18" s="17"/>
      <c r="M18" s="27" t="s">
        <v>199</v>
      </c>
      <c r="N18" s="28">
        <v>0</v>
      </c>
      <c r="O18" s="28">
        <v>0.86</v>
      </c>
      <c r="P18" s="28">
        <v>0.03</v>
      </c>
      <c r="Q18" s="28">
        <v>24882.82</v>
      </c>
      <c r="R18" s="25">
        <v>36446.400000000001</v>
      </c>
      <c r="S18" s="25"/>
      <c r="T18" s="25"/>
      <c r="U18" s="25"/>
      <c r="V18" s="25"/>
      <c r="W18" s="26"/>
      <c r="X18" s="26"/>
      <c r="Y18" s="26"/>
    </row>
    <row r="19" spans="2:25" ht="22" customHeight="1" x14ac:dyDescent="0.25">
      <c r="B19" s="383" t="s">
        <v>199</v>
      </c>
      <c r="C19" s="190" t="s">
        <v>1212</v>
      </c>
      <c r="D19" s="191">
        <f>Ekdant!$I$5</f>
        <v>58951.370000000054</v>
      </c>
      <c r="E19" s="17"/>
      <c r="F19" s="17"/>
      <c r="G19" s="17"/>
      <c r="H19" s="17"/>
      <c r="I19" s="17"/>
      <c r="J19" s="17"/>
      <c r="K19" s="17"/>
      <c r="L19" s="17"/>
      <c r="M19" s="24" t="s">
        <v>95</v>
      </c>
      <c r="N19" s="25">
        <v>199649.58</v>
      </c>
      <c r="O19" s="25">
        <v>92740</v>
      </c>
      <c r="P19" s="25">
        <v>0</v>
      </c>
      <c r="Q19" s="25">
        <v>0</v>
      </c>
      <c r="R19" s="28">
        <v>148883.5</v>
      </c>
      <c r="S19" s="28"/>
      <c r="T19" s="28"/>
      <c r="U19" s="28"/>
      <c r="V19" s="28"/>
      <c r="W19" s="29"/>
      <c r="X19" s="29"/>
      <c r="Y19" s="29"/>
    </row>
    <row r="20" spans="2:25" ht="22" customHeight="1" x14ac:dyDescent="0.25">
      <c r="B20" s="383" t="s">
        <v>95</v>
      </c>
      <c r="C20" s="190" t="s">
        <v>1211</v>
      </c>
      <c r="D20" s="191">
        <f>ECBPL!$I$5</f>
        <v>438786.17000000086</v>
      </c>
      <c r="E20" s="17"/>
      <c r="F20" s="17"/>
      <c r="G20" s="17"/>
      <c r="H20" s="17"/>
      <c r="I20" s="17"/>
      <c r="J20" s="17"/>
      <c r="K20" s="17"/>
      <c r="L20" s="17"/>
      <c r="M20" s="24" t="s">
        <v>714</v>
      </c>
      <c r="N20" s="25">
        <v>0</v>
      </c>
      <c r="O20" s="25">
        <v>-50000</v>
      </c>
      <c r="P20" s="25">
        <v>-72937.17</v>
      </c>
      <c r="Q20" s="25">
        <v>-6098.85</v>
      </c>
      <c r="R20" s="25">
        <v>-23245.91</v>
      </c>
      <c r="S20" s="25"/>
      <c r="T20" s="25"/>
      <c r="U20" s="25"/>
      <c r="V20" s="25"/>
      <c r="W20" s="26"/>
      <c r="X20" s="26"/>
      <c r="Y20" s="26"/>
    </row>
    <row r="21" spans="2:25" ht="21.75" x14ac:dyDescent="0.25">
      <c r="B21" s="383" t="s">
        <v>714</v>
      </c>
      <c r="C21" s="190" t="s">
        <v>1200</v>
      </c>
      <c r="D21" s="191">
        <f>SSM!$I$5</f>
        <v>349.78000000001339</v>
      </c>
      <c r="E21" s="17"/>
      <c r="F21" s="17"/>
      <c r="G21" s="17"/>
      <c r="H21" s="17"/>
      <c r="I21" s="17"/>
      <c r="J21" s="17"/>
      <c r="K21" s="17"/>
      <c r="L21" s="17"/>
      <c r="M21" s="24" t="s">
        <v>552</v>
      </c>
      <c r="N21" s="25">
        <v>0</v>
      </c>
      <c r="O21" s="25">
        <v>0</v>
      </c>
      <c r="P21" s="25">
        <v>0</v>
      </c>
      <c r="Q21" s="25">
        <v>0.03</v>
      </c>
      <c r="R21" s="25">
        <v>112828.83</v>
      </c>
      <c r="S21" s="25"/>
      <c r="T21" s="25"/>
      <c r="U21" s="25"/>
      <c r="V21" s="25"/>
      <c r="W21" s="26"/>
      <c r="X21" s="26"/>
      <c r="Y21" s="26"/>
    </row>
    <row r="22" spans="2:25" ht="26" customHeight="1" x14ac:dyDescent="0.25">
      <c r="B22" s="383" t="s">
        <v>552</v>
      </c>
      <c r="C22" s="190" t="s">
        <v>1246</v>
      </c>
      <c r="D22" s="191">
        <f>SSFC!$I$5</f>
        <v>112828.83</v>
      </c>
      <c r="E22" s="17"/>
      <c r="F22" s="17"/>
      <c r="G22" s="17"/>
      <c r="H22" s="17"/>
      <c r="I22" s="17"/>
      <c r="J22" s="17"/>
      <c r="K22" s="17"/>
      <c r="L22" s="17"/>
      <c r="M22" s="24" t="s">
        <v>256</v>
      </c>
      <c r="N22" s="25">
        <v>0</v>
      </c>
      <c r="O22" s="25">
        <v>0</v>
      </c>
      <c r="P22" s="25">
        <v>-17125.8</v>
      </c>
      <c r="Q22" s="25">
        <v>-4339.58</v>
      </c>
      <c r="R22" s="25">
        <v>0</v>
      </c>
      <c r="S22" s="25"/>
      <c r="T22" s="25"/>
      <c r="U22" s="25"/>
      <c r="V22" s="25"/>
      <c r="W22" s="26"/>
      <c r="X22" s="26"/>
      <c r="Y22" s="26"/>
    </row>
    <row r="23" spans="2:25" ht="21.75" x14ac:dyDescent="0.25">
      <c r="B23" s="383" t="s">
        <v>256</v>
      </c>
      <c r="C23" s="190" t="s">
        <v>1247</v>
      </c>
      <c r="D23" s="191">
        <f>RSA!$I$5</f>
        <v>0</v>
      </c>
      <c r="E23" s="17"/>
      <c r="F23" s="17"/>
      <c r="G23" s="17"/>
      <c r="H23" s="17"/>
      <c r="I23" s="17"/>
      <c r="J23" s="17"/>
      <c r="K23" s="17"/>
      <c r="L23" s="17"/>
      <c r="M23" s="24" t="s">
        <v>1646</v>
      </c>
      <c r="N23" s="25">
        <v>0</v>
      </c>
      <c r="O23" s="25">
        <v>0</v>
      </c>
      <c r="P23" s="25">
        <v>0</v>
      </c>
      <c r="Q23" s="25">
        <v>31050.67</v>
      </c>
      <c r="R23" s="25">
        <v>1532.67</v>
      </c>
      <c r="S23" s="25"/>
      <c r="T23" s="25"/>
      <c r="U23" s="25"/>
      <c r="V23" s="25"/>
      <c r="W23" s="26"/>
      <c r="X23" s="26"/>
      <c r="Y23" s="26"/>
    </row>
    <row r="24" spans="2:25" ht="21.75" x14ac:dyDescent="0.25">
      <c r="B24" s="383" t="s">
        <v>1646</v>
      </c>
      <c r="C24" s="190" t="s">
        <v>1647</v>
      </c>
      <c r="D24" s="194">
        <f>'OMPL Retail'!$I$5</f>
        <v>1532.67</v>
      </c>
      <c r="E24" s="17"/>
      <c r="F24" s="17"/>
      <c r="G24" s="17"/>
      <c r="H24" s="17"/>
      <c r="I24" s="17"/>
      <c r="J24" s="17"/>
      <c r="K24" s="17"/>
      <c r="L24" s="17"/>
      <c r="M24" s="24" t="s">
        <v>202</v>
      </c>
      <c r="N24" s="25">
        <v>13649.36</v>
      </c>
      <c r="O24" s="25">
        <v>29033.43</v>
      </c>
      <c r="P24" s="25">
        <v>52098.96</v>
      </c>
      <c r="Q24" s="25">
        <v>13164.779999999999</v>
      </c>
      <c r="R24" s="25">
        <v>7973.43</v>
      </c>
      <c r="S24" s="25"/>
      <c r="T24" s="25"/>
      <c r="U24" s="25"/>
      <c r="V24" s="25"/>
      <c r="W24" s="26"/>
      <c r="X24" s="26"/>
      <c r="Y24" s="26"/>
    </row>
    <row r="25" spans="2:25" ht="21.75" x14ac:dyDescent="0.25">
      <c r="B25" s="383" t="s">
        <v>202</v>
      </c>
      <c r="C25" s="190" t="s">
        <v>202</v>
      </c>
      <c r="D25" s="194">
        <f>'SHRI LAL KHETAN'!$I$5</f>
        <v>1.430000000000291</v>
      </c>
      <c r="E25" s="17"/>
      <c r="F25" s="17"/>
      <c r="G25" s="17"/>
      <c r="H25" s="17"/>
      <c r="I25" s="17"/>
      <c r="J25" s="17"/>
      <c r="K25" s="17"/>
      <c r="L25" s="17"/>
      <c r="M25" s="24" t="s">
        <v>1786</v>
      </c>
      <c r="N25" s="25">
        <v>0</v>
      </c>
      <c r="O25" s="25">
        <v>0</v>
      </c>
      <c r="P25" s="25">
        <v>0</v>
      </c>
      <c r="Q25" s="25">
        <v>0</v>
      </c>
      <c r="R25" s="25">
        <v>0</v>
      </c>
      <c r="S25" s="25"/>
      <c r="T25" s="25"/>
      <c r="U25" s="25"/>
      <c r="V25" s="25"/>
      <c r="W25" s="26"/>
      <c r="X25" s="26"/>
      <c r="Y25" s="26"/>
    </row>
    <row r="26" spans="2:25" ht="21.75" x14ac:dyDescent="0.25">
      <c r="B26" s="383" t="s">
        <v>1786</v>
      </c>
      <c r="C26" s="196" t="s">
        <v>1791</v>
      </c>
      <c r="D26" s="191">
        <f>'Samlai Logistics'!$I$5</f>
        <v>109200</v>
      </c>
      <c r="E26" s="17"/>
      <c r="F26" s="17"/>
      <c r="G26" s="17"/>
      <c r="H26" s="17"/>
      <c r="I26" s="17"/>
      <c r="J26" s="17"/>
      <c r="K26" s="17"/>
      <c r="L26" s="17"/>
      <c r="M26" s="24" t="s">
        <v>1483</v>
      </c>
      <c r="N26" s="25">
        <v>0</v>
      </c>
      <c r="O26" s="25">
        <v>0</v>
      </c>
      <c r="P26" s="25">
        <v>0</v>
      </c>
      <c r="Q26" s="25">
        <v>40296</v>
      </c>
      <c r="R26" s="25">
        <v>60444.05</v>
      </c>
      <c r="S26" s="25"/>
      <c r="T26" s="25"/>
      <c r="U26" s="25"/>
      <c r="V26" s="25"/>
      <c r="W26" s="26"/>
      <c r="X26" s="26"/>
      <c r="Y26" s="26"/>
    </row>
    <row r="27" spans="2:25" ht="21.75" x14ac:dyDescent="0.25">
      <c r="B27" s="383" t="s">
        <v>1483</v>
      </c>
      <c r="C27" s="196" t="s">
        <v>1483</v>
      </c>
      <c r="D27" s="191">
        <f>'Animesh Builders'!$I$5</f>
        <v>4.9999999988358468E-2</v>
      </c>
      <c r="E27" s="17"/>
      <c r="F27" s="17"/>
      <c r="G27" s="17"/>
      <c r="H27" s="17"/>
      <c r="I27" s="17"/>
      <c r="J27" s="17"/>
      <c r="K27" s="17"/>
      <c r="L27" s="17"/>
      <c r="M27" s="24" t="s">
        <v>2364</v>
      </c>
      <c r="N27" s="25">
        <v>0</v>
      </c>
      <c r="O27" s="25">
        <v>0</v>
      </c>
      <c r="P27" s="25">
        <v>0</v>
      </c>
      <c r="Q27" s="25">
        <v>47801</v>
      </c>
      <c r="R27" s="25">
        <v>9893.48</v>
      </c>
      <c r="S27" s="25"/>
      <c r="T27" s="25"/>
      <c r="U27" s="25"/>
      <c r="V27" s="25"/>
      <c r="W27" s="26"/>
      <c r="X27" s="26"/>
      <c r="Y27" s="26"/>
    </row>
    <row r="28" spans="2:25" ht="21.75" x14ac:dyDescent="0.25">
      <c r="B28" s="383" t="s">
        <v>52</v>
      </c>
      <c r="C28" s="196" t="s">
        <v>2042</v>
      </c>
      <c r="D28" s="191">
        <f>'Shyam Metalics_Bulk'!$O$6</f>
        <v>1759839</v>
      </c>
      <c r="M28" s="24" t="s">
        <v>2570</v>
      </c>
      <c r="N28" s="25">
        <v>0</v>
      </c>
      <c r="O28" s="25">
        <v>0</v>
      </c>
      <c r="P28" s="25">
        <v>0</v>
      </c>
      <c r="Q28" s="25">
        <v>0</v>
      </c>
      <c r="R28" s="25">
        <v>76884.399999999994</v>
      </c>
      <c r="S28" s="25"/>
      <c r="T28" s="25"/>
      <c r="U28" s="25"/>
      <c r="V28" s="25"/>
      <c r="W28" s="26"/>
      <c r="X28" s="26"/>
      <c r="Y28" s="26"/>
    </row>
    <row r="29" spans="2:25" ht="21.75" x14ac:dyDescent="0.25">
      <c r="B29" s="383" t="s">
        <v>2051</v>
      </c>
      <c r="C29" s="196" t="s">
        <v>2050</v>
      </c>
      <c r="D29" s="191">
        <f>'Lakhanpur RCP_Bulk'!$O$12</f>
        <v>1194000</v>
      </c>
      <c r="M29" s="24" t="s">
        <v>2611</v>
      </c>
      <c r="N29" s="25">
        <v>0</v>
      </c>
      <c r="O29" s="25">
        <v>0</v>
      </c>
      <c r="P29" s="25">
        <v>0</v>
      </c>
      <c r="Q29" s="25">
        <v>0</v>
      </c>
      <c r="R29" s="25">
        <v>-1.23</v>
      </c>
      <c r="S29" s="25"/>
      <c r="T29" s="25"/>
      <c r="U29" s="25"/>
      <c r="V29" s="25"/>
      <c r="W29" s="26"/>
      <c r="X29" s="26"/>
      <c r="Y29" s="26"/>
    </row>
    <row r="30" spans="2:25" ht="23" x14ac:dyDescent="0.25">
      <c r="B30" s="383" t="s">
        <v>2059</v>
      </c>
      <c r="C30" s="196" t="s">
        <v>2061</v>
      </c>
      <c r="D30" s="191">
        <f>SMC_Bulk!$P$12</f>
        <v>5330</v>
      </c>
      <c r="M30" s="24" t="s">
        <v>3083</v>
      </c>
      <c r="N30" s="25">
        <v>0</v>
      </c>
      <c r="O30" s="25">
        <v>0</v>
      </c>
      <c r="P30" s="25">
        <v>0</v>
      </c>
      <c r="Q30" s="25">
        <v>0</v>
      </c>
      <c r="R30" s="25">
        <v>-19926.13</v>
      </c>
      <c r="S30" s="25"/>
      <c r="T30" s="25"/>
      <c r="U30" s="25"/>
      <c r="V30" s="25"/>
      <c r="W30" s="26"/>
      <c r="X30" s="26"/>
      <c r="Y30" s="26"/>
    </row>
    <row r="31" spans="2:25" ht="23" x14ac:dyDescent="0.25">
      <c r="B31" s="383" t="s">
        <v>2060</v>
      </c>
      <c r="C31" s="196" t="s">
        <v>2062</v>
      </c>
      <c r="D31" s="191">
        <f>Ultratech_Bulk!$O$6</f>
        <v>0</v>
      </c>
    </row>
    <row r="32" spans="2:25" ht="23" x14ac:dyDescent="0.25">
      <c r="B32" s="383" t="s">
        <v>2073</v>
      </c>
      <c r="C32" s="196" t="s">
        <v>2074</v>
      </c>
      <c r="D32" s="191">
        <f>'Ankita Air Group_Bulk'!$O$12</f>
        <v>120888</v>
      </c>
    </row>
    <row r="33" spans="2:4" ht="23" x14ac:dyDescent="0.25">
      <c r="B33" s="383" t="s">
        <v>143</v>
      </c>
      <c r="C33" s="196" t="s">
        <v>2041</v>
      </c>
      <c r="D33" s="191">
        <f>OMPL_Bulk!$O$6</f>
        <v>21802</v>
      </c>
    </row>
    <row r="34" spans="2:4" ht="23" x14ac:dyDescent="0.25">
      <c r="B34" s="383" t="s">
        <v>1073</v>
      </c>
      <c r="C34" s="196" t="s">
        <v>3664</v>
      </c>
      <c r="D34" s="191">
        <f>Aryan_Bulk!$O$6</f>
        <v>0</v>
      </c>
    </row>
    <row r="35" spans="2:4" ht="23" x14ac:dyDescent="0.25">
      <c r="B35" s="383" t="s">
        <v>2364</v>
      </c>
      <c r="C35" s="196" t="s">
        <v>2370</v>
      </c>
      <c r="D35" s="191">
        <f>'Pine Labs'!$I$5</f>
        <v>23095.999999999971</v>
      </c>
    </row>
    <row r="36" spans="2:4" ht="23" x14ac:dyDescent="0.25">
      <c r="B36" s="383" t="s">
        <v>2570</v>
      </c>
      <c r="C36" s="196" t="s">
        <v>2570</v>
      </c>
      <c r="D36" s="191">
        <f>'Keshav Minerals'!$I$5</f>
        <v>191740.40000000002</v>
      </c>
    </row>
    <row r="37" spans="2:4" ht="23" x14ac:dyDescent="0.25">
      <c r="B37" s="383" t="s">
        <v>2611</v>
      </c>
      <c r="C37" s="196" t="s">
        <v>2621</v>
      </c>
      <c r="D37" s="191">
        <f>'Bhatia Energy'!$I$5</f>
        <v>-60001.229999999981</v>
      </c>
    </row>
    <row r="38" spans="2:4" ht="23" x14ac:dyDescent="0.25">
      <c r="B38" s="383" t="s">
        <v>3083</v>
      </c>
      <c r="C38" s="196" t="s">
        <v>3110</v>
      </c>
      <c r="D38" s="191">
        <f>'AKV Logistics'!$I$5</f>
        <v>0</v>
      </c>
    </row>
    <row r="39" spans="2:4" ht="23" x14ac:dyDescent="0.25">
      <c r="B39" s="195" t="s">
        <v>3806</v>
      </c>
      <c r="C39" s="196" t="s">
        <v>3813</v>
      </c>
      <c r="D39" s="191">
        <f>DBL_Bulk!$O$6</f>
        <v>6599340</v>
      </c>
    </row>
    <row r="40" spans="2:4" ht="23" x14ac:dyDescent="0.25">
      <c r="B40" s="195"/>
      <c r="C40" s="196"/>
      <c r="D40" s="191"/>
    </row>
    <row r="41" spans="2:4" ht="23" x14ac:dyDescent="0.25">
      <c r="B41" s="195"/>
      <c r="C41" s="196"/>
      <c r="D41" s="191"/>
    </row>
    <row r="42" spans="2:4" ht="23" x14ac:dyDescent="0.25">
      <c r="B42" s="195"/>
      <c r="C42" s="196"/>
      <c r="D42" s="191"/>
    </row>
    <row r="43" spans="2:4" ht="23" x14ac:dyDescent="0.25">
      <c r="B43" s="195"/>
      <c r="C43" s="196"/>
      <c r="D43" s="191"/>
    </row>
    <row r="44" spans="2:4" ht="23" x14ac:dyDescent="0.25">
      <c r="B44" s="195"/>
      <c r="C44" s="196"/>
      <c r="D44" s="191"/>
    </row>
    <row r="45" spans="2:4" ht="23" x14ac:dyDescent="0.25">
      <c r="B45" s="195"/>
      <c r="C45" s="196"/>
      <c r="D45" s="191"/>
    </row>
    <row r="46" spans="2:4" ht="23" x14ac:dyDescent="0.25">
      <c r="B46" s="195"/>
      <c r="C46" s="196"/>
      <c r="D46" s="191"/>
    </row>
  </sheetData>
  <sheetProtection sheet="1" objects="1" scenarios="1"/>
  <mergeCells count="2">
    <mergeCell ref="B2:D2"/>
    <mergeCell ref="M2:O2"/>
  </mergeCells>
  <phoneticPr fontId="11" type="noConversion"/>
  <hyperlinks>
    <hyperlink ref="K1" location="Index!A1" display="→ Index" xr:uid="{D837BBBC-2531-E745-92C2-2DB85F485FC3}"/>
    <hyperlink ref="B5" location="'STEELS &amp; CARRIERS'!A1" display="Steels and Carriers Private Limited" xr:uid="{FCC60BD5-E16A-8443-8733-D73F852319E7}"/>
    <hyperlink ref="B6" location="'PPTE'!A1" display="Pioneer Pultru Tech Engineering Private Limited" xr:uid="{B875C9D0-B1EA-E649-AD53-E6BB83E0B9EF}"/>
    <hyperlink ref="B7" location="'String'!A1" display="String  Logistics" xr:uid="{AD9129AD-7061-FE4E-A693-39CA57D9DB65}"/>
    <hyperlink ref="B8" location="'Sudarshan'!A1" display="Sudarshan Minerals &amp; Logistics" xr:uid="{4ABBFBB8-32DC-534C-B5AE-059D8E3805EF}"/>
    <hyperlink ref="B9" location="'TN Roadlines'!A1" display="T N Roadlines" xr:uid="{765DD48D-9FFE-8240-84BE-F4A230C839B1}"/>
    <hyperlink ref="B10" location="'Simar Infra'!A1" display="Simar Infrastructure LTD" xr:uid="{4F621269-04BF-6945-8705-C4CEBFF8D2C7}"/>
    <hyperlink ref="B11" location="'Shivaay'!A1" display="Shivaay Logistics" xr:uid="{49905651-2C64-324A-99D9-AC84259A4AED}"/>
    <hyperlink ref="B12" location="'OIC FS JSG'!A1" display="OIC Jharsuguda FS" xr:uid="{C496664F-4D55-7E45-94A6-48600EB221C6}"/>
    <hyperlink ref="B13" location="'RSM'!A1" display="Radhe Shyam Mining" xr:uid="{FBE0CDD5-02C2-0C4B-BCE7-7CC73C1FB96B}"/>
    <hyperlink ref="B14" location="'Indiabuild'!A1" display="Indiabuild Infra Private Limited" xr:uid="{F2C5FEAA-18D7-8A46-B406-632076A5D9D1}"/>
    <hyperlink ref="B15" location="'SBS'!A1" display="SAPNA BUILDERS AND SUPPLIERS" xr:uid="{7A4D7D67-AC0F-1E41-88B0-F639B3CFC8FB}"/>
    <hyperlink ref="B16" location="'MRD'!A1" display="Maruti Realities &amp; Developers" xr:uid="{1E72344A-74EF-034F-9F5E-EC5AB03A1855}"/>
    <hyperlink ref="B17" location="'Jyoti Ranjan Dash'!A1" display="JYOTI RANJAN DASH" xr:uid="{6D03658C-AC77-A344-91DA-CDD000652BBC}"/>
    <hyperlink ref="B18" location="'Natwar Khetan'!A1" display="M/s Shree Balajee Enterprises" xr:uid="{BCBBFA70-8ECD-B34E-838B-52DFC2EEB5F6}"/>
    <hyperlink ref="B19" location="'Ekdant'!A1" display="Ekdant Logistic" xr:uid="{4548DBAE-988B-2D42-8F52-72082075CFAF}"/>
    <hyperlink ref="B20" location="'ECBPL'!A1" display="Ember Coal Beneficiation Private Limited" xr:uid="{CAB31EF3-23A6-B943-83D1-11F4D4B24E20}"/>
    <hyperlink ref="B21" location="'SSM'!A1" display="Swagat Sundar Mohanty" xr:uid="{704FC459-961A-6C47-9EC7-66880740070E}"/>
    <hyperlink ref="B22" location="'SSFC'!A1" display="Ss Freight Carrier" xr:uid="{AF7F08D6-EFEA-4F47-A047-1E5B1EB2B0AF}"/>
    <hyperlink ref="B23" location="'RSA'!A1" display="Rsa Infraproject Private Limited" xr:uid="{4BE00D25-004E-5B46-BCD1-2DD4B5762FC1}"/>
    <hyperlink ref="B24" location="'OMPL Retail'!A1" display="Mukesh Rana Ref OMPL" xr:uid="{985EA886-84F8-8945-A166-721CC0982018}"/>
    <hyperlink ref="B25" location="'SHRI LAL KHETAN'!A1" display="SHRI LAL KHETAN" xr:uid="{5C22DA25-F4F6-DB49-9F52-E36DB0AC4B34}"/>
    <hyperlink ref="B26" location="'Samlai Logistics'!A1" display="Maa Samlai Logistics Private Limited" xr:uid="{861FE74A-D962-7C4E-BE7C-D29F5F34096B}"/>
    <hyperlink ref="B27" location="'Animesh Builders'!A1" display="Animesh Builders" xr:uid="{8A7A44D9-194C-DF49-BAF5-165DE6778358}"/>
    <hyperlink ref="B28" location="'Shyam Metalics_Bulk'!A1" display="Shyam Metalics and Energy Ltd" xr:uid="{76943FEE-D944-9F49-9E9D-35500007C4EE}"/>
    <hyperlink ref="B29" location="'Lakhanpur RCP_Bulk'!A1" display="Lakhanpur RCP (Group)" xr:uid="{D68D5AC1-78F6-3546-B2B9-693A12E27E91}"/>
    <hyperlink ref="B30" location="'SMC_Bulk'!A1" display="SMC Power Generation" xr:uid="{67CFF1A7-5DEA-2645-AD34-D66916CA2CCC}"/>
    <hyperlink ref="B31" location="'Ultratech_Bulk'!A1" display="Ultra Tech Cement" xr:uid="{7EC35549-46E5-4844-AE60-31FF075FF98F}"/>
    <hyperlink ref="B32" location="'Ankita Air Group_Bulk'!A1" display="Ankita Air Group" xr:uid="{2D813266-EFED-5B4C-B707-EAF73A0FBD8E}"/>
    <hyperlink ref="B33" location="'OMPL_Bulk'!A1" display="Orissa Metaliks Private Limited" xr:uid="{4A36DF46-1F32-2C47-A647-FA25E2123E62}"/>
    <hyperlink ref="B34" location="'Aryan Ispat'!A1" display="Aryan Ispat &amp; Power Private Ltd." xr:uid="{3222EBF4-835F-B942-BAB2-9A6C78AB6DA7}"/>
    <hyperlink ref="B35" location="'Pine Labs'!A1" display="Pine Labs Nodal Account" xr:uid="{1002A2E4-9DDE-7449-8A0B-79B577123D1F}"/>
    <hyperlink ref="B36" location="'Keshav Minerals'!A1" display="Keshav Minerals" xr:uid="{F4BA328B-93C8-C34B-A75B-B92A9BB265B3}"/>
    <hyperlink ref="B37" location="'Bhatia Energy'!A1" display="Bhatia Energy and Minerals (Sundargarh) Private Limited" xr:uid="{04529041-C9E9-CB46-A00F-B2186421B2EB}"/>
    <hyperlink ref="B38" location="'AKV Logistics'!A1" display="A.K.V. Logistics" xr:uid="{FD4396D5-B656-9C49-BD12-EB8FCCBEDC7B}"/>
  </hyperlink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25CFD-BC01-634B-A62D-ED2F03A424D0}">
  <sheetPr codeName="Sheet38"/>
  <dimension ref="A1:BL355"/>
  <sheetViews>
    <sheetView topLeftCell="Y1" zoomScale="69" zoomScaleNormal="80" workbookViewId="0">
      <selection activeCell="AF5" sqref="AD5:AF11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50.33203125" bestFit="1" customWidth="1"/>
    <col min="3" max="3" width="15.83203125" customWidth="1"/>
    <col min="4" max="4" width="11.5" bestFit="1" customWidth="1"/>
    <col min="5" max="5" width="9.83203125" bestFit="1" customWidth="1"/>
    <col min="6" max="6" width="15" customWidth="1"/>
    <col min="7" max="7" width="16.83203125" customWidth="1"/>
    <col min="8" max="8" width="9.83203125" bestFit="1" customWidth="1"/>
    <col min="9" max="9" width="13" bestFit="1" customWidth="1"/>
    <col min="10" max="10" width="18.6640625" customWidth="1"/>
    <col min="11" max="11" width="12" bestFit="1" customWidth="1"/>
    <col min="12" max="12" width="13.1640625" bestFit="1" customWidth="1"/>
    <col min="14" max="14" width="20.33203125" customWidth="1"/>
    <col min="15" max="15" width="21.6640625" customWidth="1"/>
    <col min="17" max="19" width="10.83203125" customWidth="1" outlineLevel="1"/>
    <col min="21" max="21" width="10.83203125" customWidth="1" outlineLevel="1"/>
    <col min="25" max="25" width="38.33203125" customWidth="1"/>
    <col min="26" max="26" width="14.1640625" customWidth="1"/>
    <col min="27" max="27" width="11.6640625" customWidth="1"/>
    <col min="28" max="28" width="15.83203125" customWidth="1"/>
    <col min="30" max="30" width="44.1640625" bestFit="1" customWidth="1"/>
    <col min="31" max="31" width="15.6640625" customWidth="1"/>
    <col min="32" max="32" width="25" customWidth="1"/>
  </cols>
  <sheetData>
    <row r="1" spans="1:64" ht="36" customHeight="1" x14ac:dyDescent="0.2">
      <c r="A1" s="499" t="s">
        <v>2055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</row>
    <row r="2" spans="1:64" ht="7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</row>
    <row r="3" spans="1:64" ht="21.75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N3" s="282" t="s">
        <v>2047</v>
      </c>
      <c r="O3" s="283" t="s">
        <v>2048</v>
      </c>
    </row>
    <row r="4" spans="1:64" ht="21.75" x14ac:dyDescent="0.25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N4" s="284" t="s">
        <v>2028</v>
      </c>
      <c r="O4" s="232">
        <v>0</v>
      </c>
    </row>
    <row r="5" spans="1:64" ht="24" thickBot="1" x14ac:dyDescent="0.3">
      <c r="A5" s="285" t="s">
        <v>6</v>
      </c>
      <c r="B5" s="286" t="s">
        <v>2049</v>
      </c>
      <c r="C5" s="285" t="s">
        <v>0</v>
      </c>
      <c r="D5" s="286" t="s">
        <v>1179</v>
      </c>
      <c r="E5" s="286" t="s">
        <v>1180</v>
      </c>
      <c r="F5" s="286" t="s">
        <v>4</v>
      </c>
      <c r="G5" s="286" t="s">
        <v>1181</v>
      </c>
      <c r="H5" s="286" t="s">
        <v>2030</v>
      </c>
      <c r="I5" s="286" t="s">
        <v>2031</v>
      </c>
      <c r="J5" s="286" t="s">
        <v>1182</v>
      </c>
      <c r="K5" s="286" t="s">
        <v>1183</v>
      </c>
      <c r="L5" s="286" t="s">
        <v>2032</v>
      </c>
      <c r="N5" s="287" t="s">
        <v>2029</v>
      </c>
      <c r="O5" s="233">
        <f>DATE(2026,4,1)</f>
        <v>46113</v>
      </c>
      <c r="Q5" t="s">
        <v>2065</v>
      </c>
      <c r="U5" t="s">
        <v>2067</v>
      </c>
      <c r="Y5" s="500" t="s">
        <v>2068</v>
      </c>
      <c r="Z5" s="500"/>
      <c r="AA5" s="500"/>
      <c r="AB5" s="500"/>
      <c r="AD5" s="470" t="s">
        <v>3396</v>
      </c>
      <c r="AE5" s="469"/>
      <c r="AF5" s="469"/>
    </row>
    <row r="6" spans="1:64" ht="22.5" x14ac:dyDescent="0.3">
      <c r="A6" s="217" cm="1">
        <f t="array" ref="A6">IFERROR(INDEX(_xlfn.ANCHORARRAY($Q$6),ROW()-5,1),"")</f>
        <v>46114</v>
      </c>
      <c r="B6" s="288" t="str" cm="1">
        <f t="array" ref="B6">IFERROR(INDEX(_xlfn.ANCHORARRAY($Q$6),ROW()-5,2),"")</f>
        <v>Great River Coy Private Limited</v>
      </c>
      <c r="C6" s="289" t="str" cm="1">
        <f t="array" ref="C6">IFERROR(INDEX(_xlfn.ANCHORARRAY($Q$6),ROW()-5,3),"")</f>
        <v/>
      </c>
      <c r="D6" s="218" t="str">
        <f>IF($A6="","",IF($K6="DIESEL",SUMIFS(Table1[Quantity],Table1[Customer],$B6,Table1[Date],$A6,Table1[Bill No.],$C6),IF($K6="PETROL",SUMIFS(Table14[Quantity],Table14[Customer],$B6,Table14[Date],$A6,Table14[Bill No.],$C6),IF($K6="XtraGreen",SUMIFS(Table146[Quantity],Table146[Company],$B6,Table146[Date],$A6,Table146[Bill No.],$C6),""))))</f>
        <v/>
      </c>
      <c r="E6" s="219" t="str">
        <f>IF($A6="","",IF($K6="DIESEL",AVERAGEIFS(Table1[RSP],Table1[Customer],$B6,Table1[Date],$A6,Table1[Bill No.],$C6),IF($K6="PETROL",AVERAGEIFS(Table14[RSP],Table14[Customer],$B6,Table14[Date],$A6,Table14[Bill No.],$C6),IF($K6="XtraGreen",AVERAGEIFS(Table146[RSP],Table146[Company],$B6,Table146[Date],$A6,Table146[Bill No.],$C6),IFERROR($F6/$D6,"")))))</f>
        <v/>
      </c>
      <c r="F6" s="330">
        <f>IF($A6="","",IF($K6="DIESEL",SUMIFS(Table1[Amount],Table1[Customer],$B6,Table1[Date],$A6,Table1[Bill No.],$C6),IF($K6="PETROL",SUMIFS(Table14[Amount],Table14[Customer],$B6,Table14[Date],$A6,Table14[Bill No.],$C6),IF($K6="XtraGreen",SUMIFS(Table146[Amount],Table146[Company],$B6,Table146[Date],$A6,Table146[Bill No.],$C6),SUMIFS('Other Sale'!$D:$D,'Other Sale'!$E:$E,$B6,'Other Sale'!$C:$C,$K6,'Other Sale'!$A:$A,$A6)))))</f>
        <v>0</v>
      </c>
      <c r="G6" s="330" cm="1">
        <f t="array" ref="G6">IF($A6="","",IF($K6="Payment",IFERROR(INDEX(_xlfn._xlws.FILTER(MasterPaid[Amount Paid],(MasterPaid[Customer]=$B6)*(MasterPaid[Date]=$A6)),COUNTIFS($A$6:$A6,$A6,$B$6:$B6,$B6,$K$6:$K6,"Payment")),0),0))</f>
        <v>1096320</v>
      </c>
      <c r="H6" s="331"/>
      <c r="I6" s="331"/>
      <c r="J6" s="330">
        <f>IF($A6="","",$O$4+N(F6)-N(G6)-N(H6)-N(I6))</f>
        <v>-1096320</v>
      </c>
      <c r="K6" s="289" t="str" cm="1">
        <f t="array" ref="K6">IFERROR(INDEX(_xlfn.ANCHORARRAY($Q$6),ROW()-5,4),"")</f>
        <v>Payment</v>
      </c>
      <c r="L6" s="290"/>
      <c r="Q6" cm="1">
        <f t="array" ref="Q6:T53">_xlfn.LET(_xlpm.cut,$O$5,_xlpm.grp,'Customer GST'!$G$1:$G$50,_xlpm.hd,'HSD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Sale'!$E$2:$E$5000,_xlpm.ob,'Other Sale'!$B$2:$B$5000,_xlpm.op,'Other Sale'!$C$2:$C$5000,_xlpm.dA,_xlfn.HSTACK(_xlpm.hd,_xlpm.hc,_xlpm.hb,IF(_xlpm.hd&lt;&gt;"","DIESEL","")),_xlpm.mA,_xlfn.HSTACK(_xlpm.md,_xlpm.mc,_xlpm.mb,IF(_xlpm.md&lt;&gt;"","PETROL","")),_xlpm.xA,_xlfn.HSTACK(_xlpm.xd,_xlpm.xc,_xlpm.xb,IF(_xlpm.xd&lt;&gt;"","XtraGreen","")),_xlpm.pA,_xlfn.HSTACK(_xlpm.pd,_xlpm.pc,IF(_xlpm.pd&lt;&gt;"","",""),IF(_xlpm.pd&lt;&gt;"","Payment","")),_xlpm.oA,_xlfn.HSTACK(_xlpm.od,_xlpm.oc,_xlpm.ob,_xlpm.op),_xlpm.stk,_xlfn.VSTACK(_xlpm.dA,_xlpm.mA,_xlpm.xA,_xlpm.pA,_xlpm.oA),_xlpm.sd,INDEX(_xlpm.stk,,1),_xlpm.sc,INDEX(_xlpm.stk,,2),_xlpm.flt,IFERROR(_xlfn._xlws.FILTER(_xlpm.stk,(_xlpm.sd&gt;=_xlpm.cut)*(ISNUMBER(MATCH(_xlpm.sc,_xlpm.grp,0)))),""),IFERROR(_xlfn._xlws.SORT(_xlpm.flt,{1,2,3},{1,1,1}),_xlpm.flt))</f>
        <v>46114</v>
      </c>
      <c r="R6" t="str">
        <v>Great River Coy Private Limited</v>
      </c>
      <c r="S6" t="str">
        <v/>
      </c>
      <c r="T6" t="str">
        <v>Payment</v>
      </c>
      <c r="U6">
        <f>IF(OR($A6="",$F6=""),0,MAX(0,MIN($F6,SUMIFS($F$6:$F6,$B$6:$B6,$B6)-(SUMIFS($G$6:$G$355,$B$6:$B$355,$B6)+SUMIFS($H$6:$H$355,$B$6:$B$355,$B6)+SUMIFS($I$6:$I$355,$B$6:$B$355,$B6)))))</f>
        <v>0</v>
      </c>
      <c r="AA6" s="276" t="s">
        <v>2069</v>
      </c>
      <c r="AB6" s="332">
        <f>SUM($U$6:$U$355)</f>
        <v>1194000</v>
      </c>
      <c r="AD6" s="469"/>
      <c r="AE6" s="469"/>
      <c r="AF6" s="469"/>
    </row>
    <row r="7" spans="1:64" ht="21.75" x14ac:dyDescent="0.25">
      <c r="A7" s="217" cm="1">
        <f t="array" ref="A7">IFERROR(INDEX(_xlfn.ANCHORARRAY($Q$6),ROW()-5,1),"")</f>
        <v>46114</v>
      </c>
      <c r="B7" s="288" t="str" cm="1">
        <f t="array" ref="B7">IFERROR(INDEX(_xlfn.ANCHORARRAY($Q$6),ROW()-5,2),"")</f>
        <v>Virendra Logistics Private Limited</v>
      </c>
      <c r="C7" s="289" t="str" cm="1">
        <f t="array" ref="C7">IFERROR(INDEX(_xlfn.ANCHORARRAY($Q$6),ROW()-5,3),"")</f>
        <v/>
      </c>
      <c r="D7" s="218" t="str">
        <f>IF($A7="","",IF($K7="DIESEL",SUMIFS(Table1[Quantity],Table1[Customer],$B7,Table1[Date],$A7,Table1[Bill No.],$C7),IF($K7="PETROL",SUMIFS(Table14[Quantity],Table14[Customer],$B7,Table14[Date],$A7,Table14[Bill No.],$C7),IF($K7="XtraGreen",SUMIFS(Table146[Quantity],Table146[Company],$B7,Table146[Date],$A7,Table146[Bill No.],$C7),""))))</f>
        <v/>
      </c>
      <c r="E7" s="219" t="str">
        <f>IF($A7="","",IF($K7="DIESEL",AVERAGEIFS(Table1[RSP],Table1[Customer],$B7,Table1[Date],$A7,Table1[Bill No.],$C7),IF($K7="PETROL",AVERAGEIFS(Table14[RSP],Table14[Customer],$B7,Table14[Date],$A7,Table14[Bill No.],$C7),IF($K7="XtraGreen",AVERAGEIFS(Table146[RSP],Table146[Company],$B7,Table146[Date],$A7,Table146[Bill No.],$C7),IFERROR($F7/$D7,"")))))</f>
        <v/>
      </c>
      <c r="F7" s="330">
        <f>IF($A7="","",IF($K7="DIESEL",SUMIFS(Table1[Amount],Table1[Customer],$B7,Table1[Date],$A7,Table1[Bill No.],$C7),IF($K7="PETROL",SUMIFS(Table14[Amount],Table14[Customer],$B7,Table14[Date],$A7,Table14[Bill No.],$C7),IF($K7="XtraGreen",SUMIFS(Table146[Amount],Table146[Company],$B7,Table146[Date],$A7,Table146[Bill No.],$C7),SUMIFS('Other Sale'!$D:$D,'Other Sale'!$E:$E,$B7,'Other Sale'!$C:$C,$K7,'Other Sale'!$A:$A,$A7)))))</f>
        <v>0</v>
      </c>
      <c r="G7" s="330" cm="1">
        <f t="array" ref="G7">IF($A7="","",IF($K7="Payment",IFERROR(INDEX(_xlfn._xlws.FILTER(MasterPaid[Amount Paid],(MasterPaid[Customer]=$B7)*(MasterPaid[Date]=$A7)),COUNTIFS($A$6:$A7,$A7,$B$6:$B7,$B7,$K$6:$K7,"Payment")),0),0))</f>
        <v>1111767</v>
      </c>
      <c r="H7" s="331">
        <v>1113</v>
      </c>
      <c r="I7" s="331"/>
      <c r="J7" s="330">
        <f>IF($A7="","",J6+N(F7)-N(G7)-N(H7)-N(I7))</f>
        <v>-2209200</v>
      </c>
      <c r="K7" s="289" t="str" cm="1">
        <f t="array" ref="K7">IFERROR(INDEX(_xlfn.ANCHORARRAY($Q$6),ROW()-5,4),"")</f>
        <v>Payment</v>
      </c>
      <c r="L7" s="290"/>
      <c r="N7" s="291" t="s">
        <v>2033</v>
      </c>
      <c r="O7" s="292"/>
      <c r="Q7">
        <v>46114</v>
      </c>
      <c r="R7" t="str">
        <v>Virendra Logistics Private Limited</v>
      </c>
      <c r="S7" t="str">
        <v/>
      </c>
      <c r="T7" t="str">
        <v>Payment</v>
      </c>
      <c r="U7">
        <f>IF(OR($A7="",$F7=""),0,MAX(0,MIN($F7,SUMIFS($F$6:$F7,$B$6:$B7,$B7)-(SUMIFS($G$6:$G$355,$B$6:$B$355,$B7)+SUMIFS($H$6:$H$355,$B$6:$B$355,$B7)+SUMIFS($I$6:$I$355,$B$6:$B$355,$B7)))))</f>
        <v>0</v>
      </c>
      <c r="Y7" s="293" t="s">
        <v>5</v>
      </c>
      <c r="Z7" s="293" t="s">
        <v>2070</v>
      </c>
      <c r="AA7" s="293" t="s">
        <v>0</v>
      </c>
      <c r="AB7" s="293" t="s">
        <v>2071</v>
      </c>
      <c r="AD7" s="473" t="str" cm="1">
        <f t="array" ref="AD7:AF11">_xlfn.LET(_xlpm.cos,$B$6:$B$355,_xlpm.dts,$A$6:$A$355,_xlpm.amt,$U$6:$U$355,_xlpm.msk,_xlpm.amt&gt;0,_xlpm.comps,_xlfn._xlws.SORT(_xlfn.UNIQUE(_xlfn._xlws.FILTER(_xlpm.cos,_xlpm.msk))),_xlpm.dates,TRANSPOSE(_xlfn._xlws.SORT(_xlfn.UNIQUE(_xlfn._xlws.FILTER(_xlpm.dts,_xlpm.msk)))),_xlpm.matrix,SUMIFS(_xlpm.amt,_xlpm.cos,_xlpm.comps,_xlpm.dts,_xlpm.dates),_xlpm.rowtot,SUMIFS(_xlpm.amt,_xlpm.cos,_xlpm.comps),_xlpm.coltot,SUMIFS(_xlpm.amt,_xlpm.dts,_xlpm.dates),_xlpm.grand,SUM(_xlpm.rowtot),_xlpm.hdr,_xlfn.HSTACK("Company",_xlpm.dates,"Total Outstanding"),_xlpm.bdy,_xlfn.HSTACK(_xlpm.comps,_xlpm.matrix,_xlpm.rowtot),_xlpm.tot,_xlfn.HSTACK("Total",_xlpm.coltot,_xlpm.grand),IFERROR(_xlfn.VSTACK(_xlpm.hdr,_xlpm.bdy,_xlpm.tot),"All settled — no outstanding"))</f>
        <v>Company</v>
      </c>
      <c r="AE7" s="471">
        <v>46258</v>
      </c>
      <c r="AF7" s="471" t="str">
        <v>Total Outstanding</v>
      </c>
      <c r="AG7" s="471"/>
      <c r="AH7" s="471"/>
      <c r="AI7" s="471"/>
      <c r="AJ7" s="471"/>
      <c r="AK7" s="471"/>
      <c r="AL7" s="471"/>
      <c r="AM7" s="471"/>
      <c r="AN7" s="471"/>
      <c r="AO7" s="471"/>
      <c r="AP7" s="471"/>
      <c r="AQ7" s="471"/>
      <c r="AR7" s="471"/>
      <c r="AS7" s="471"/>
      <c r="AT7" s="471"/>
      <c r="AU7" s="471"/>
      <c r="AV7" s="471"/>
      <c r="AW7" s="471"/>
      <c r="AX7" s="471"/>
      <c r="AY7" s="471"/>
      <c r="AZ7" s="471"/>
      <c r="BA7" s="471"/>
      <c r="BB7" s="471"/>
      <c r="BC7" s="471"/>
      <c r="BD7" s="471"/>
      <c r="BE7" s="471"/>
      <c r="BF7" s="471"/>
      <c r="BG7" s="471"/>
      <c r="BH7" s="471"/>
      <c r="BI7" s="471"/>
      <c r="BJ7" s="471"/>
      <c r="BK7" s="471"/>
      <c r="BL7" s="471"/>
    </row>
    <row r="8" spans="1:64" ht="21.75" x14ac:dyDescent="0.25">
      <c r="A8" s="217" cm="1">
        <f t="array" ref="A8">IFERROR(INDEX(_xlfn.ANCHORARRAY($Q$6),ROW()-5,1),"")</f>
        <v>46121</v>
      </c>
      <c r="B8" s="288" t="str" cm="1">
        <f t="array" ref="B8">IFERROR(INDEX(_xlfn.ANCHORARRAY($Q$6),ROW()-5,2),"")</f>
        <v>Bkd Logistics Private Limited</v>
      </c>
      <c r="C8" s="289" t="str" cm="1">
        <f t="array" ref="C8">IFERROR(INDEX(_xlfn.ANCHORARRAY($Q$6),ROW()-5,3),"")</f>
        <v>101</v>
      </c>
      <c r="D8" s="218">
        <f>IF($A8="","",IF($K8="DIESEL",SUMIFS(Table1[Quantity],Table1[Customer],$B8,Table1[Date],$A8,Table1[Bill No.],$C8),IF($K8="PETROL",SUMIFS(Table14[Quantity],Table14[Customer],$B8,Table14[Date],$A8,Table14[Bill No.],$C8),IF($K8="XtraGreen",SUMIFS(Table146[Quantity],Table146[Company],$B8,Table146[Date],$A8,Table146[Bill No.],$C8),""))))</f>
        <v>4000</v>
      </c>
      <c r="E8" s="219">
        <f>IF($A8="","",IF($K8="DIESEL",AVERAGEIFS(Table1[RSP],Table1[Customer],$B8,Table1[Date],$A8,Table1[Bill No.],$C8),IF($K8="PETROL",AVERAGEIFS(Table14[RSP],Table14[Customer],$B8,Table14[Date],$A8,Table14[Bill No.],$C8),IF($K8="XtraGreen",AVERAGEIFS(Table146[RSP],Table146[Company],$B8,Table146[Date],$A8,Table146[Bill No.],$C8),IFERROR($F8/$D8,"")))))</f>
        <v>91.36</v>
      </c>
      <c r="F8" s="330">
        <f>IF($A8="","",IF($K8="DIESEL",SUMIFS(Table1[Amount],Table1[Customer],$B8,Table1[Date],$A8,Table1[Bill No.],$C8),IF($K8="PETROL",SUMIFS(Table14[Amount],Table14[Customer],$B8,Table14[Date],$A8,Table14[Bill No.],$C8),IF($K8="XtraGreen",SUMIFS(Table146[Amount],Table146[Company],$B8,Table146[Date],$A8,Table146[Bill No.],$C8),SUMIFS('Other Sale'!$D:$D,'Other Sale'!$E:$E,$B8,'Other Sale'!$C:$C,$K8,'Other Sale'!$A:$A,$A8)))))</f>
        <v>365440</v>
      </c>
      <c r="G8" s="330" cm="1">
        <f t="array" ref="G8">IF($A8="","",IF($K8="Payment",IFERROR(INDEX(_xlfn._xlws.FILTER(MasterPaid[Amount Paid],(MasterPaid[Customer]=$B8)*(MasterPaid[Date]=$A8)),COUNTIFS($A$6:$A8,$A8,$B$6:$B8,$B8,$K$6:$K8,"Payment")),0),0))</f>
        <v>0</v>
      </c>
      <c r="H8" s="331"/>
      <c r="I8" s="331"/>
      <c r="J8" s="330">
        <f t="shared" ref="J8:J71" si="0">IF($A8="","",J7+N(F8)-N(G8)-N(H8)-N(I8))</f>
        <v>-1843760</v>
      </c>
      <c r="K8" s="289" t="str" cm="1">
        <f t="array" ref="K8">IFERROR(INDEX(_xlfn.ANCHORARRAY($Q$6),ROW()-5,4),"")</f>
        <v>DIESEL</v>
      </c>
      <c r="L8" s="290"/>
      <c r="N8" s="294" t="s">
        <v>2034</v>
      </c>
      <c r="O8" s="333">
        <f>SUM(F6:F355)</f>
        <v>9822810</v>
      </c>
      <c r="Q8">
        <v>46121</v>
      </c>
      <c r="R8" t="str">
        <v>Bkd Logistics Private Limited</v>
      </c>
      <c r="S8" t="str">
        <v>101</v>
      </c>
      <c r="T8" t="str">
        <v>DIESEL</v>
      </c>
      <c r="U8">
        <f>IF(OR($A8="",$F8=""),0,MAX(0,MIN($F8,SUMIFS($F$6:$F8,$B$6:$B8,$B8)-(SUMIFS($G$6:$G$355,$B$6:$B$355,$B8)+SUMIFS($H$6:$H$355,$B$6:$B$355,$B8)+SUMIFS($I$6:$I$355,$B$6:$B$355,$B8)))))</f>
        <v>0</v>
      </c>
      <c r="Y8" s="295" t="str" cm="1">
        <f t="array" ref="Y8:AB10">IFERROR(_xlfn._xlws.SORT(_xlfn._xlws.FILTER(_xlfn.HSTACK($B$6:$B$355,$A$6:$A$355,$C$6:$C$355,$U$6:$U$355),$U$6:$U$355&gt;0),{1,2},{1,1}),"All settled — no outstanding")</f>
        <v>Great River Coy Private Limited</v>
      </c>
      <c r="Z8" s="220">
        <v>46258</v>
      </c>
      <c r="AA8" s="296" t="str">
        <v>2331</v>
      </c>
      <c r="AB8" s="334">
        <v>398000</v>
      </c>
      <c r="AD8" s="358" t="str">
        <v>Great River Coy Private Limited</v>
      </c>
      <c r="AE8" s="472">
        <v>398000</v>
      </c>
      <c r="AF8" s="472">
        <v>398000</v>
      </c>
      <c r="AG8" s="472"/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  <c r="BA8" s="472"/>
      <c r="BB8" s="472"/>
      <c r="BC8" s="472"/>
      <c r="BD8" s="472"/>
      <c r="BE8" s="472"/>
      <c r="BF8" s="472"/>
      <c r="BG8" s="472"/>
      <c r="BH8" s="472"/>
      <c r="BI8" s="472"/>
      <c r="BJ8" s="472"/>
      <c r="BK8" s="472"/>
      <c r="BL8" s="472"/>
    </row>
    <row r="9" spans="1:64" ht="21.75" x14ac:dyDescent="0.25">
      <c r="A9" s="217" cm="1">
        <f t="array" ref="A9">IFERROR(INDEX(_xlfn.ANCHORARRAY($Q$6),ROW()-5,1),"")</f>
        <v>46123</v>
      </c>
      <c r="B9" s="288" t="str" cm="1">
        <f t="array" ref="B9">IFERROR(INDEX(_xlfn.ANCHORARRAY($Q$6),ROW()-5,2),"")</f>
        <v>Great River Coy Private Limited</v>
      </c>
      <c r="C9" s="289" t="str" cm="1">
        <f t="array" ref="C9">IFERROR(INDEX(_xlfn.ANCHORARRAY($Q$6),ROW()-5,3),"")</f>
        <v>134</v>
      </c>
      <c r="D9" s="218">
        <f>IF($A9="","",IF($K9="DIESEL",SUMIFS(Table1[Quantity],Table1[Customer],$B9,Table1[Date],$A9,Table1[Bill No.],$C9),IF($K9="PETROL",SUMIFS(Table14[Quantity],Table14[Customer],$B9,Table14[Date],$A9,Table14[Bill No.],$C9),IF($K9="XtraGreen",SUMIFS(Table146[Quantity],Table146[Company],$B9,Table146[Date],$A9,Table146[Bill No.],$C9),""))))</f>
        <v>12000</v>
      </c>
      <c r="E9" s="219">
        <f>IF($A9="","",IF($K9="DIESEL",AVERAGEIFS(Table1[RSP],Table1[Customer],$B9,Table1[Date],$A9,Table1[Bill No.],$C9),IF($K9="PETROL",AVERAGEIFS(Table14[RSP],Table14[Customer],$B9,Table14[Date],$A9,Table14[Bill No.],$C9),IF($K9="XtraGreen",AVERAGEIFS(Table146[RSP],Table146[Company],$B9,Table146[Date],$A9,Table146[Bill No.],$C9),IFERROR($F9/$D9,"")))))</f>
        <v>91.36</v>
      </c>
      <c r="F9" s="330">
        <f>IF($A9="","",IF($K9="DIESEL",SUMIFS(Table1[Amount],Table1[Customer],$B9,Table1[Date],$A9,Table1[Bill No.],$C9),IF($K9="PETROL",SUMIFS(Table14[Amount],Table14[Customer],$B9,Table14[Date],$A9,Table14[Bill No.],$C9),IF($K9="XtraGreen",SUMIFS(Table146[Amount],Table146[Company],$B9,Table146[Date],$A9,Table146[Bill No.],$C9),SUMIFS('Other Sale'!$D:$D,'Other Sale'!$E:$E,$B9,'Other Sale'!$C:$C,$K9,'Other Sale'!$A:$A,$A9)))))</f>
        <v>1096320</v>
      </c>
      <c r="G9" s="330" cm="1">
        <f t="array" ref="G9">IF($A9="","",IF($K9="Payment",IFERROR(INDEX(_xlfn._xlws.FILTER(MasterPaid[Amount Paid],(MasterPaid[Customer]=$B9)*(MasterPaid[Date]=$A9)),COUNTIFS($A$6:$A9,$A9,$B$6:$B9,$B9,$K$6:$K9,"Payment")),0),0))</f>
        <v>0</v>
      </c>
      <c r="H9" s="331"/>
      <c r="I9" s="331"/>
      <c r="J9" s="330">
        <f t="shared" si="0"/>
        <v>-747440</v>
      </c>
      <c r="K9" s="289" t="str" cm="1">
        <f t="array" ref="K9">IFERROR(INDEX(_xlfn.ANCHORARRAY($Q$6),ROW()-5,4),"")</f>
        <v>DIESEL</v>
      </c>
      <c r="L9" s="290"/>
      <c r="N9" s="294" t="s">
        <v>2035</v>
      </c>
      <c r="O9" s="333">
        <f>SUM(G6:G355)</f>
        <v>8621959</v>
      </c>
      <c r="Q9">
        <v>46123</v>
      </c>
      <c r="R9" t="str">
        <v>Great River Coy Private Limited</v>
      </c>
      <c r="S9" t="str">
        <v>134</v>
      </c>
      <c r="T9" t="str">
        <v>DIESEL</v>
      </c>
      <c r="U9">
        <f>IF(OR($A9="",$F9=""),0,MAX(0,MIN($F9,SUMIFS($F$6:$F9,$B$6:$B9,$B9)-(SUMIFS($G$6:$G$355,$B$6:$B$355,$B9)+SUMIFS($H$6:$H$355,$B$6:$B$355,$B9)+SUMIFS($I$6:$I$355,$B$6:$B$355,$B9)))))</f>
        <v>0</v>
      </c>
      <c r="Y9" s="295" t="str">
        <v>Grk Logistics Private Limited</v>
      </c>
      <c r="Z9" s="220">
        <v>46258</v>
      </c>
      <c r="AA9" s="296" t="str">
        <v>2332</v>
      </c>
      <c r="AB9" s="334">
        <v>398000</v>
      </c>
      <c r="AD9" s="358" t="str">
        <v>Grk Logistics Private Limited</v>
      </c>
      <c r="AE9" s="472">
        <v>398000</v>
      </c>
      <c r="AF9" s="472">
        <v>398000</v>
      </c>
      <c r="AG9" s="472"/>
      <c r="AH9" s="472"/>
      <c r="AI9" s="472"/>
      <c r="AJ9" s="472"/>
      <c r="AK9" s="472"/>
      <c r="AL9" s="472"/>
      <c r="AM9" s="472"/>
      <c r="AN9" s="472"/>
      <c r="AO9" s="472"/>
      <c r="AP9" s="472"/>
      <c r="AQ9" s="472"/>
      <c r="AR9" s="472"/>
      <c r="AS9" s="472"/>
      <c r="AT9" s="472"/>
      <c r="AU9" s="472"/>
      <c r="AV9" s="472"/>
      <c r="AW9" s="472"/>
      <c r="AX9" s="472"/>
      <c r="AY9" s="472"/>
      <c r="AZ9" s="472"/>
      <c r="BA9" s="472"/>
      <c r="BB9" s="472"/>
      <c r="BC9" s="472"/>
      <c r="BD9" s="472"/>
      <c r="BE9" s="472"/>
      <c r="BF9" s="472"/>
      <c r="BG9" s="472"/>
      <c r="BH9" s="472"/>
      <c r="BI9" s="472"/>
      <c r="BJ9" s="472"/>
      <c r="BK9" s="472"/>
      <c r="BL9" s="472"/>
    </row>
    <row r="10" spans="1:64" ht="21.75" x14ac:dyDescent="0.25">
      <c r="A10" s="217" cm="1">
        <f t="array" ref="A10">IFERROR(INDEX(_xlfn.ANCHORARRAY($Q$6),ROW()-5,1),"")</f>
        <v>46134</v>
      </c>
      <c r="B10" s="288" t="str" cm="1">
        <f t="array" ref="B10">IFERROR(INDEX(_xlfn.ANCHORARRAY($Q$6),ROW()-5,2),"")</f>
        <v>Bkd Logistics Private Limited</v>
      </c>
      <c r="C10" s="289" t="str" cm="1">
        <f t="array" ref="C10">IFERROR(INDEX(_xlfn.ANCHORARRAY($Q$6),ROW()-5,3),"")</f>
        <v/>
      </c>
      <c r="D10" s="218" t="str">
        <f>IF($A10="","",IF($K10="DIESEL",SUMIFS(Table1[Quantity],Table1[Customer],$B10,Table1[Date],$A10,Table1[Bill No.],$C10),IF($K10="PETROL",SUMIFS(Table14[Quantity],Table14[Customer],$B10,Table14[Date],$A10,Table14[Bill No.],$C10),IF($K10="XtraGreen",SUMIFS(Table146[Quantity],Table146[Company],$B10,Table146[Date],$A10,Table146[Bill No.],$C10),""))))</f>
        <v/>
      </c>
      <c r="E10" s="219" t="str">
        <f>IF($A10="","",IF($K10="DIESEL",AVERAGEIFS(Table1[RSP],Table1[Customer],$B10,Table1[Date],$A10,Table1[Bill No.],$C10),IF($K10="PETROL",AVERAGEIFS(Table14[RSP],Table14[Customer],$B10,Table14[Date],$A10,Table14[Bill No.],$C10),IF($K10="XtraGreen",AVERAGEIFS(Table146[RSP],Table146[Company],$B10,Table146[Date],$A10,Table146[Bill No.],$C10),IFERROR($F10/$D10,"")))))</f>
        <v/>
      </c>
      <c r="F10" s="330">
        <f>IF($A10="","",IF($K10="DIESEL",SUMIFS(Table1[Amount],Table1[Customer],$B10,Table1[Date],$A10,Table1[Bill No.],$C10),IF($K10="PETROL",SUMIFS(Table14[Amount],Table14[Customer],$B10,Table14[Date],$A10,Table14[Bill No.],$C10),IF($K10="XtraGreen",SUMIFS(Table146[Amount],Table146[Company],$B10,Table146[Date],$A10,Table146[Bill No.],$C10),SUMIFS('Other Sale'!$D:$D,'Other Sale'!$E:$E,$B10,'Other Sale'!$C:$C,$K10,'Other Sale'!$A:$A,$A10)))))</f>
        <v>0</v>
      </c>
      <c r="G10" s="330" cm="1">
        <f t="array" ref="G10">IF($A10="","",IF($K10="Payment",IFERROR(INDEX(_xlfn._xlws.FILTER(MasterPaid[Amount Paid],(MasterPaid[Customer]=$B10)*(MasterPaid[Date]=$A10)),COUNTIFS($A$6:$A10,$A10,$B$6:$B10,$B10,$K$6:$K10,"Payment")),0),0))</f>
        <v>365074</v>
      </c>
      <c r="H10" s="331">
        <v>366</v>
      </c>
      <c r="I10" s="331"/>
      <c r="J10" s="330">
        <f t="shared" si="0"/>
        <v>-1112880</v>
      </c>
      <c r="K10" s="289" t="str" cm="1">
        <f t="array" ref="K10">IFERROR(INDEX(_xlfn.ANCHORARRAY($Q$6),ROW()-5,4),"")</f>
        <v>Payment</v>
      </c>
      <c r="L10" s="290"/>
      <c r="N10" s="294" t="s">
        <v>2036</v>
      </c>
      <c r="O10" s="333">
        <f>SUM(H6:H355)</f>
        <v>6851</v>
      </c>
      <c r="Q10">
        <v>46134</v>
      </c>
      <c r="R10" t="str">
        <v>Bkd Logistics Private Limited</v>
      </c>
      <c r="S10" t="str">
        <v/>
      </c>
      <c r="T10" t="str">
        <v>Payment</v>
      </c>
      <c r="U10">
        <f>IF(OR($A10="",$F10=""),0,MAX(0,MIN($F10,SUMIFS($F$6:$F10,$B$6:$B10,$B10)-(SUMIFS($G$6:$G$355,$B$6:$B$355,$B10)+SUMIFS($H$6:$H$355,$B$6:$B$355,$B10)+SUMIFS($I$6:$I$355,$B$6:$B$355,$B10)))))</f>
        <v>0</v>
      </c>
      <c r="Y10" s="295" t="str">
        <v>Harnoor Logistics Private Limited</v>
      </c>
      <c r="Z10" s="220">
        <v>46258</v>
      </c>
      <c r="AA10" s="296" t="str">
        <v>2333</v>
      </c>
      <c r="AB10" s="334">
        <v>398000</v>
      </c>
      <c r="AD10" s="358" t="str">
        <v>Harnoor Logistics Private Limited</v>
      </c>
      <c r="AE10" s="472">
        <v>398000</v>
      </c>
      <c r="AF10" s="472">
        <v>398000</v>
      </c>
      <c r="AG10" s="472"/>
      <c r="AH10" s="472"/>
      <c r="AI10" s="472"/>
      <c r="AJ10" s="472"/>
      <c r="AK10" s="472"/>
      <c r="AL10" s="472"/>
      <c r="AM10" s="472"/>
      <c r="AN10" s="472"/>
      <c r="AO10" s="472"/>
      <c r="AP10" s="472"/>
      <c r="AQ10" s="472"/>
      <c r="AR10" s="472"/>
      <c r="AS10" s="472"/>
      <c r="AT10" s="472"/>
      <c r="AU10" s="472"/>
      <c r="AV10" s="472"/>
      <c r="AW10" s="472"/>
      <c r="AX10" s="472"/>
      <c r="AY10" s="472"/>
      <c r="AZ10" s="472"/>
      <c r="BA10" s="472"/>
      <c r="BB10" s="472"/>
      <c r="BC10" s="472"/>
      <c r="BD10" s="472"/>
      <c r="BE10" s="472"/>
      <c r="BF10" s="472"/>
      <c r="BG10" s="472"/>
      <c r="BH10" s="472"/>
      <c r="BI10" s="472"/>
      <c r="BJ10" s="472"/>
      <c r="BK10" s="472"/>
      <c r="BL10" s="472"/>
    </row>
    <row r="11" spans="1:64" ht="21.75" x14ac:dyDescent="0.25">
      <c r="A11" s="217" cm="1">
        <f t="array" ref="A11">IFERROR(INDEX(_xlfn.ANCHORARRAY($Q$6),ROW()-5,1),"")</f>
        <v>46135</v>
      </c>
      <c r="B11" s="288" t="str" cm="1">
        <f t="array" ref="B11">IFERROR(INDEX(_xlfn.ANCHORARRAY($Q$6),ROW()-5,2),"")</f>
        <v>Virendra Logistics Private Limited</v>
      </c>
      <c r="C11" s="289" t="str" cm="1">
        <f t="array" ref="C11">IFERROR(INDEX(_xlfn.ANCHORARRAY($Q$6),ROW()-5,3),"")</f>
        <v>302</v>
      </c>
      <c r="D11" s="218">
        <f>IF($A11="","",IF($K11="DIESEL",SUMIFS(Table1[Quantity],Table1[Customer],$B11,Table1[Date],$A11,Table1[Bill No.],$C11),IF($K11="PETROL",SUMIFS(Table14[Quantity],Table14[Customer],$B11,Table14[Date],$A11,Table14[Bill No.],$C11),IF($K11="XtraGreen",SUMIFS(Table146[Quantity],Table146[Company],$B11,Table146[Date],$A11,Table146[Bill No.],$C11),""))))</f>
        <v>12000</v>
      </c>
      <c r="E11" s="219">
        <f>IF($A11="","",IF($K11="DIESEL",AVERAGEIFS(Table1[RSP],Table1[Customer],$B11,Table1[Date],$A11,Table1[Bill No.],$C11),IF($K11="PETROL",AVERAGEIFS(Table14[RSP],Table14[Customer],$B11,Table14[Date],$A11,Table14[Bill No.],$C11),IF($K11="XtraGreen",AVERAGEIFS(Table146[RSP],Table146[Company],$B11,Table146[Date],$A11,Table146[Bill No.],$C11),IFERROR($F11/$D11,"")))))</f>
        <v>92.74</v>
      </c>
      <c r="F11" s="330">
        <f>IF($A11="","",IF($K11="DIESEL",SUMIFS(Table1[Amount],Table1[Customer],$B11,Table1[Date],$A11,Table1[Bill No.],$C11),IF($K11="PETROL",SUMIFS(Table14[Amount],Table14[Customer],$B11,Table14[Date],$A11,Table14[Bill No.],$C11),IF($K11="XtraGreen",SUMIFS(Table146[Amount],Table146[Company],$B11,Table146[Date],$A11,Table146[Bill No.],$C11),SUMIFS('Other Sale'!$D:$D,'Other Sale'!$E:$E,$B11,'Other Sale'!$C:$C,$K11,'Other Sale'!$A:$A,$A11)))))</f>
        <v>1112880</v>
      </c>
      <c r="G11" s="330" cm="1">
        <f t="array" ref="G11">IF($A11="","",IF($K11="Payment",IFERROR(INDEX(_xlfn._xlws.FILTER(MasterPaid[Amount Paid],(MasterPaid[Customer]=$B11)*(MasterPaid[Date]=$A11)),COUNTIFS($A$6:$A11,$A11,$B$6:$B11,$B11,$K$6:$K11,"Payment")),0),0))</f>
        <v>0</v>
      </c>
      <c r="H11" s="331"/>
      <c r="I11" s="331"/>
      <c r="J11" s="330">
        <f t="shared" si="0"/>
        <v>0</v>
      </c>
      <c r="K11" s="289" t="str" cm="1">
        <f t="array" ref="K11">IFERROR(INDEX(_xlfn.ANCHORARRAY($Q$6),ROW()-5,4),"")</f>
        <v>DIESEL</v>
      </c>
      <c r="L11" s="290"/>
      <c r="N11" s="294" t="s">
        <v>2037</v>
      </c>
      <c r="O11" s="333">
        <f>SUM(I6:I355)</f>
        <v>0</v>
      </c>
      <c r="Q11">
        <v>46135</v>
      </c>
      <c r="R11" t="str">
        <v>Virendra Logistics Private Limited</v>
      </c>
      <c r="S11" t="str">
        <v>302</v>
      </c>
      <c r="T11" t="str">
        <v>DIESEL</v>
      </c>
      <c r="U11">
        <f>IF(OR($A11="",$F11=""),0,MAX(0,MIN($F11,SUMIFS($F$6:$F11,$B$6:$B11,$B11)-(SUMIFS($G$6:$G$355,$B$6:$B$355,$B11)+SUMIFS($H$6:$H$355,$B$6:$B$355,$B11)+SUMIFS($I$6:$I$355,$B$6:$B$355,$B11)))))</f>
        <v>0</v>
      </c>
      <c r="Y11" s="295"/>
      <c r="Z11" s="220"/>
      <c r="AA11" s="296"/>
      <c r="AB11" s="334"/>
      <c r="AD11" s="358" t="str">
        <v>Total</v>
      </c>
      <c r="AE11" s="472">
        <v>1194000</v>
      </c>
      <c r="AF11" s="472">
        <v>1194000</v>
      </c>
      <c r="AG11" s="472"/>
      <c r="AH11" s="472"/>
      <c r="AI11" s="472"/>
      <c r="AJ11" s="472"/>
      <c r="AK11" s="472"/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</row>
    <row r="12" spans="1:64" ht="21.75" x14ac:dyDescent="0.25">
      <c r="A12" s="217" cm="1">
        <f t="array" ref="A12">IFERROR(INDEX(_xlfn.ANCHORARRAY($Q$6),ROW()-5,1),"")</f>
        <v>46142</v>
      </c>
      <c r="B12" s="288" t="str" cm="1">
        <f t="array" ref="B12">IFERROR(INDEX(_xlfn.ANCHORARRAY($Q$6),ROW()-5,2),"")</f>
        <v>Great River Coy Private Limited</v>
      </c>
      <c r="C12" s="289" t="str" cm="1">
        <f t="array" ref="C12">IFERROR(INDEX(_xlfn.ANCHORARRAY($Q$6),ROW()-5,3),"")</f>
        <v>364</v>
      </c>
      <c r="D12" s="218">
        <f>IF($A12="","",IF($K12="DIESEL",SUMIFS(Table1[Quantity],Table1[Customer],$B12,Table1[Date],$A12,Table1[Bill No.],$C12),IF($K12="PETROL",SUMIFS(Table14[Quantity],Table14[Customer],$B12,Table14[Date],$A12,Table14[Bill No.],$C12),IF($K12="XtraGreen",SUMIFS(Table146[Quantity],Table146[Company],$B12,Table146[Date],$A12,Table146[Bill No.],$C12),""))))</f>
        <v>12000</v>
      </c>
      <c r="E12" s="219">
        <f>IF($A12="","",IF($K12="DIESEL",AVERAGEIFS(Table1[RSP],Table1[Customer],$B12,Table1[Date],$A12,Table1[Bill No.],$C12),IF($K12="PETROL",AVERAGEIFS(Table14[RSP],Table14[Customer],$B12,Table14[Date],$A12,Table14[Bill No.],$C12),IF($K12="XtraGreen",AVERAGEIFS(Table146[RSP],Table146[Company],$B12,Table146[Date],$A12,Table146[Bill No.],$C12),IFERROR($F12/$D12,"")))))</f>
        <v>92.74</v>
      </c>
      <c r="F12" s="330">
        <f>IF($A12="","",IF($K12="DIESEL",SUMIFS(Table1[Amount],Table1[Customer],$B12,Table1[Date],$A12,Table1[Bill No.],$C12),IF($K12="PETROL",SUMIFS(Table14[Amount],Table14[Customer],$B12,Table14[Date],$A12,Table14[Bill No.],$C12),IF($K12="XtraGreen",SUMIFS(Table146[Amount],Table146[Company],$B12,Table146[Date],$A12,Table146[Bill No.],$C12),SUMIFS('Other Sale'!$D:$D,'Other Sale'!$E:$E,$B12,'Other Sale'!$C:$C,$K12,'Other Sale'!$A:$A,$A12)))))</f>
        <v>1112880</v>
      </c>
      <c r="G12" s="330" cm="1">
        <f t="array" ref="G12">IF($A12="","",IF($K12="Payment",IFERROR(INDEX(_xlfn._xlws.FILTER(MasterPaid[Amount Paid],(MasterPaid[Customer]=$B12)*(MasterPaid[Date]=$A12)),COUNTIFS($A$6:$A12,$A12,$B$6:$B12,$B12,$K$6:$K12,"Payment")),0),0))</f>
        <v>0</v>
      </c>
      <c r="H12" s="331"/>
      <c r="I12" s="331"/>
      <c r="J12" s="330">
        <f t="shared" si="0"/>
        <v>1112880</v>
      </c>
      <c r="K12" s="289" t="str" cm="1">
        <f t="array" ref="K12">IFERROR(INDEX(_xlfn.ANCHORARRAY($Q$6),ROW()-5,4),"")</f>
        <v>DIESEL</v>
      </c>
      <c r="L12" s="290"/>
      <c r="N12" s="297" t="s">
        <v>2038</v>
      </c>
      <c r="O12" s="335">
        <f>O4+O8-O9-O10-O11</f>
        <v>1194000</v>
      </c>
      <c r="Q12">
        <v>46142</v>
      </c>
      <c r="R12" t="str">
        <v>Great River Coy Private Limited</v>
      </c>
      <c r="S12" t="str">
        <v>364</v>
      </c>
      <c r="T12" t="str">
        <v>DIESEL</v>
      </c>
      <c r="U12">
        <f>IF(OR($A12="",$F12=""),0,MAX(0,MIN($F12,SUMIFS($F$6:$F12,$B$6:$B12,$B12)-(SUMIFS($G$6:$G$355,$B$6:$B$355,$B12)+SUMIFS($H$6:$H$355,$B$6:$B$355,$B12)+SUMIFS($I$6:$I$355,$B$6:$B$355,$B12)))))</f>
        <v>0</v>
      </c>
      <c r="Y12" s="295"/>
      <c r="Z12" s="220"/>
      <c r="AA12" s="296"/>
      <c r="AB12" s="334"/>
      <c r="AD12" s="468"/>
      <c r="AE12" s="342"/>
      <c r="AF12" s="342"/>
      <c r="AG12" s="342"/>
      <c r="AH12" s="342"/>
      <c r="AI12" s="342"/>
      <c r="AJ12" s="342"/>
      <c r="AK12" s="342"/>
      <c r="AL12" s="342"/>
      <c r="AM12" s="342"/>
      <c r="AN12" s="342"/>
      <c r="AO12" s="342"/>
      <c r="AP12" s="342"/>
      <c r="AQ12" s="342"/>
      <c r="AR12" s="342"/>
      <c r="AS12" s="342"/>
      <c r="AT12" s="342"/>
      <c r="AU12" s="342"/>
      <c r="AV12" s="342"/>
      <c r="AW12" s="342"/>
      <c r="AX12" s="342"/>
      <c r="AY12" s="342"/>
      <c r="AZ12" s="342"/>
      <c r="BA12" s="342"/>
      <c r="BB12" s="342"/>
      <c r="BC12" s="342"/>
      <c r="BD12" s="342"/>
      <c r="BE12" s="342"/>
      <c r="BF12" s="342"/>
      <c r="BG12" s="342"/>
      <c r="BH12" s="342"/>
      <c r="BI12" s="342"/>
      <c r="BJ12" s="342"/>
      <c r="BK12" s="342"/>
      <c r="BL12" s="342"/>
    </row>
    <row r="13" spans="1:64" ht="21.75" x14ac:dyDescent="0.25">
      <c r="A13" s="217" cm="1">
        <f t="array" ref="A13">IFERROR(INDEX(_xlfn.ANCHORARRAY($Q$6),ROW()-5,1),"")</f>
        <v>46143</v>
      </c>
      <c r="B13" s="288" t="str" cm="1">
        <f t="array" ref="B13">IFERROR(INDEX(_xlfn.ANCHORARRAY($Q$6),ROW()-5,2),"")</f>
        <v>Great River Coy Private Limited</v>
      </c>
      <c r="C13" s="289" t="str" cm="1">
        <f t="array" ref="C13">IFERROR(INDEX(_xlfn.ANCHORARRAY($Q$6),ROW()-5,3),"")</f>
        <v/>
      </c>
      <c r="D13" s="218" t="str">
        <f>IF($A13="","",IF($K13="DIESEL",SUMIFS(Table1[Quantity],Table1[Customer],$B13,Table1[Date],$A13,Table1[Bill No.],$C13),IF($K13="PETROL",SUMIFS(Table14[Quantity],Table14[Customer],$B13,Table14[Date],$A13,Table14[Bill No.],$C13),IF($K13="XtraGreen",SUMIFS(Table146[Quantity],Table146[Company],$B13,Table146[Date],$A13,Table146[Bill No.],$C13),""))))</f>
        <v/>
      </c>
      <c r="E13" s="219" t="str">
        <f>IF($A13="","",IF($K13="DIESEL",AVERAGEIFS(Table1[RSP],Table1[Customer],$B13,Table1[Date],$A13,Table1[Bill No.],$C13),IF($K13="PETROL",AVERAGEIFS(Table14[RSP],Table14[Customer],$B13,Table14[Date],$A13,Table14[Bill No.],$C13),IF($K13="XtraGreen",AVERAGEIFS(Table146[RSP],Table146[Company],$B13,Table146[Date],$A13,Table146[Bill No.],$C13),IFERROR($F13/$D13,"")))))</f>
        <v/>
      </c>
      <c r="F13" s="330">
        <f>IF($A13="","",IF($K13="DIESEL",SUMIFS(Table1[Amount],Table1[Customer],$B13,Table1[Date],$A13,Table1[Bill No.],$C13),IF($K13="PETROL",SUMIFS(Table14[Amount],Table14[Customer],$B13,Table14[Date],$A13,Table14[Bill No.],$C13),IF($K13="XtraGreen",SUMIFS(Table146[Amount],Table146[Company],$B13,Table146[Date],$A13,Table146[Bill No.],$C13),SUMIFS('Other Sale'!$D:$D,'Other Sale'!$E:$E,$B13,'Other Sale'!$C:$C,$K13,'Other Sale'!$A:$A,$A13)))))</f>
        <v>0</v>
      </c>
      <c r="G13" s="330" cm="1">
        <f t="array" ref="G13">IF($A13="","",IF($K13="Payment",IFERROR(INDEX(_xlfn._xlws.FILTER(MasterPaid[Amount Paid],(MasterPaid[Customer]=$B13)*(MasterPaid[Date]=$A13)),COUNTIFS($A$6:$A13,$A13,$B$6:$B13,$B13,$K$6:$K13,"Payment")),0),0))</f>
        <v>1111765</v>
      </c>
      <c r="H13" s="331">
        <v>1115</v>
      </c>
      <c r="I13" s="331"/>
      <c r="J13" s="330">
        <f t="shared" si="0"/>
        <v>0</v>
      </c>
      <c r="K13" s="289" t="str" cm="1">
        <f t="array" ref="K13">IFERROR(INDEX(_xlfn.ANCHORARRAY($Q$6),ROW()-5,4),"")</f>
        <v>Payment</v>
      </c>
      <c r="L13" s="290"/>
      <c r="Q13">
        <v>46143</v>
      </c>
      <c r="R13" t="str">
        <v>Great River Coy Private Limited</v>
      </c>
      <c r="S13" t="str">
        <v/>
      </c>
      <c r="T13" t="str">
        <v>Payment</v>
      </c>
      <c r="U13">
        <f>IF(OR($A13="",$F13=""),0,MAX(0,MIN($F13,SUMIFS($F$6:$F13,$B$6:$B13,$B13)-(SUMIFS($G$6:$G$355,$B$6:$B$355,$B13)+SUMIFS($H$6:$H$355,$B$6:$B$355,$B13)+SUMIFS($I$6:$I$355,$B$6:$B$355,$B13)))))</f>
        <v>0</v>
      </c>
      <c r="Y13" s="295"/>
      <c r="Z13" s="220"/>
      <c r="AA13" s="296"/>
      <c r="AB13" s="334"/>
      <c r="AD13" s="468"/>
      <c r="AE13" s="342"/>
      <c r="AF13" s="342"/>
      <c r="AG13" s="342"/>
      <c r="AH13" s="342"/>
      <c r="AI13" s="342"/>
      <c r="AJ13" s="342"/>
      <c r="AK13" s="342"/>
      <c r="AL13" s="342"/>
      <c r="AM13" s="342"/>
      <c r="AN13" s="342"/>
      <c r="AO13" s="342"/>
      <c r="AP13" s="342"/>
      <c r="AQ13" s="342"/>
      <c r="AR13" s="342"/>
      <c r="AS13" s="342"/>
      <c r="AT13" s="342"/>
      <c r="AU13" s="342"/>
      <c r="AV13" s="342"/>
      <c r="AW13" s="342"/>
      <c r="AX13" s="342"/>
      <c r="AY13" s="342"/>
      <c r="AZ13" s="342"/>
      <c r="BA13" s="342"/>
      <c r="BB13" s="342"/>
      <c r="BC13" s="342"/>
      <c r="BD13" s="342"/>
      <c r="BE13" s="342"/>
      <c r="BF13" s="342"/>
      <c r="BG13" s="342"/>
      <c r="BH13" s="342"/>
      <c r="BI13" s="342"/>
      <c r="BJ13" s="342"/>
      <c r="BK13" s="342"/>
      <c r="BL13" s="342"/>
    </row>
    <row r="14" spans="1:64" ht="21.75" x14ac:dyDescent="0.25">
      <c r="A14" s="217" cm="1">
        <f t="array" ref="A14">IFERROR(INDEX(_xlfn.ANCHORARRAY($Q$6),ROW()-5,1),"")</f>
        <v>46148</v>
      </c>
      <c r="B14" s="288" t="str" cm="1">
        <f t="array" ref="B14">IFERROR(INDEX(_xlfn.ANCHORARRAY($Q$6),ROW()-5,2),"")</f>
        <v>Virendra Logistics Private Limited</v>
      </c>
      <c r="C14" s="289" t="str" cm="1">
        <f t="array" ref="C14">IFERROR(INDEX(_xlfn.ANCHORARRAY($Q$6),ROW()-5,3),"")</f>
        <v>436</v>
      </c>
      <c r="D14" s="218">
        <f>IF($A14="","",IF($K14="DIESEL",SUMIFS(Table1[Quantity],Table1[Customer],$B14,Table1[Date],$A14,Table1[Bill No.],$C14),IF($K14="PETROL",SUMIFS(Table14[Quantity],Table14[Customer],$B14,Table14[Date],$A14,Table14[Bill No.],$C14),IF($K14="XtraGreen",SUMIFS(Table146[Quantity],Table146[Company],$B14,Table146[Date],$A14,Table146[Bill No.],$C14),""))))</f>
        <v>3000</v>
      </c>
      <c r="E14" s="219">
        <f>IF($A14="","",IF($K14="DIESEL",AVERAGEIFS(Table1[RSP],Table1[Customer],$B14,Table1[Date],$A14,Table1[Bill No.],$C14),IF($K14="PETROL",AVERAGEIFS(Table14[RSP],Table14[Customer],$B14,Table14[Date],$A14,Table14[Bill No.],$C14),IF($K14="XtraGreen",AVERAGEIFS(Table146[RSP],Table146[Company],$B14,Table146[Date],$A14,Table146[Bill No.],$C14),IFERROR($F14/$D14,"")))))</f>
        <v>92.74</v>
      </c>
      <c r="F14" s="330">
        <f>IF($A14="","",IF($K14="DIESEL",SUMIFS(Table1[Amount],Table1[Customer],$B14,Table1[Date],$A14,Table1[Bill No.],$C14),IF($K14="PETROL",SUMIFS(Table14[Amount],Table14[Customer],$B14,Table14[Date],$A14,Table14[Bill No.],$C14),IF($K14="XtraGreen",SUMIFS(Table146[Amount],Table146[Company],$B14,Table146[Date],$A14,Table146[Bill No.],$C14),SUMIFS('Other Sale'!$D:$D,'Other Sale'!$E:$E,$B14,'Other Sale'!$C:$C,$K14,'Other Sale'!$A:$A,$A14)))))</f>
        <v>278220</v>
      </c>
      <c r="G14" s="330" cm="1">
        <f t="array" ref="G14">IF($A14="","",IF($K14="Payment",IFERROR(INDEX(_xlfn._xlws.FILTER(MasterPaid[Amount Paid],(MasterPaid[Customer]=$B14)*(MasterPaid[Date]=$A14)),COUNTIFS($A$6:$A14,$A14,$B$6:$B14,$B14,$K$6:$K14,"Payment")),0),0))</f>
        <v>0</v>
      </c>
      <c r="H14" s="331"/>
      <c r="I14" s="331"/>
      <c r="J14" s="330">
        <f t="shared" si="0"/>
        <v>278220</v>
      </c>
      <c r="K14" s="289" t="str" cm="1">
        <f t="array" ref="K14">IFERROR(INDEX(_xlfn.ANCHORARRAY($Q$6),ROW()-5,4),"")</f>
        <v>DIESEL</v>
      </c>
      <c r="L14" s="290"/>
      <c r="Q14">
        <v>46148</v>
      </c>
      <c r="R14" t="str">
        <v>Virendra Logistics Private Limited</v>
      </c>
      <c r="S14" t="str">
        <v>436</v>
      </c>
      <c r="T14" t="str">
        <v>DIESEL</v>
      </c>
      <c r="U14">
        <f>IF(OR($A14="",$F14=""),0,MAX(0,MIN($F14,SUMIFS($F$6:$F14,$B$6:$B14,$B14)-(SUMIFS($G$6:$G$355,$B$6:$B$355,$B14)+SUMIFS($H$6:$H$355,$B$6:$B$355,$B14)+SUMIFS($I$6:$I$355,$B$6:$B$355,$B14)))))</f>
        <v>0</v>
      </c>
      <c r="Y14" s="295"/>
      <c r="Z14" s="220"/>
      <c r="AA14" s="296"/>
      <c r="AB14" s="334"/>
      <c r="AD14" s="468"/>
      <c r="AE14" s="342"/>
      <c r="AF14" s="342"/>
      <c r="AG14" s="342"/>
      <c r="AH14" s="342"/>
      <c r="AI14" s="342"/>
      <c r="AJ14" s="342"/>
      <c r="AK14" s="342"/>
      <c r="AL14" s="342"/>
      <c r="AM14" s="342"/>
      <c r="AN14" s="342"/>
      <c r="AO14" s="342"/>
      <c r="AP14" s="342"/>
      <c r="AQ14" s="342"/>
      <c r="AR14" s="342"/>
      <c r="AS14" s="342"/>
      <c r="AT14" s="342"/>
      <c r="AU14" s="342"/>
      <c r="AV14" s="342"/>
      <c r="AW14" s="342"/>
      <c r="AX14" s="342"/>
      <c r="AY14" s="342"/>
      <c r="AZ14" s="342"/>
      <c r="BA14" s="342"/>
      <c r="BB14" s="342"/>
      <c r="BC14" s="342"/>
      <c r="BD14" s="342"/>
      <c r="BE14" s="342"/>
      <c r="BF14" s="342"/>
      <c r="BG14" s="342"/>
      <c r="BH14" s="342"/>
      <c r="BI14" s="342"/>
      <c r="BJ14" s="342"/>
      <c r="BK14" s="342"/>
      <c r="BL14" s="342"/>
    </row>
    <row r="15" spans="1:64" ht="21.75" x14ac:dyDescent="0.25">
      <c r="A15" s="217" cm="1">
        <f t="array" ref="A15">IFERROR(INDEX(_xlfn.ANCHORARRAY($Q$6),ROW()-5,1),"")</f>
        <v>46149</v>
      </c>
      <c r="B15" s="288" t="str" cm="1">
        <f t="array" ref="B15">IFERROR(INDEX(_xlfn.ANCHORARRAY($Q$6),ROW()-5,2),"")</f>
        <v>Virendra Logistics Private Limited</v>
      </c>
      <c r="C15" s="289" t="str" cm="1">
        <f t="array" ref="C15">IFERROR(INDEX(_xlfn.ANCHORARRAY($Q$6),ROW()-5,3),"")</f>
        <v/>
      </c>
      <c r="D15" s="218" t="str">
        <f>IF($A15="","",IF($K15="DIESEL",SUMIFS(Table1[Quantity],Table1[Customer],$B15,Table1[Date],$A15,Table1[Bill No.],$C15),IF($K15="PETROL",SUMIFS(Table14[Quantity],Table14[Customer],$B15,Table14[Date],$A15,Table14[Bill No.],$C15),IF($K15="XtraGreen",SUMIFS(Table146[Quantity],Table146[Company],$B15,Table146[Date],$A15,Table146[Bill No.],$C15),""))))</f>
        <v/>
      </c>
      <c r="E15" s="219" t="str">
        <f>IF($A15="","",IF($K15="DIESEL",AVERAGEIFS(Table1[RSP],Table1[Customer],$B15,Table1[Date],$A15,Table1[Bill No.],$C15),IF($K15="PETROL",AVERAGEIFS(Table14[RSP],Table14[Customer],$B15,Table14[Date],$A15,Table14[Bill No.],$C15),IF($K15="XtraGreen",AVERAGEIFS(Table146[RSP],Table146[Company],$B15,Table146[Date],$A15,Table146[Bill No.],$C15),IFERROR($F15/$D15,"")))))</f>
        <v/>
      </c>
      <c r="F15" s="330">
        <f>IF($A15="","",IF($K15="DIESEL",SUMIFS(Table1[Amount],Table1[Customer],$B15,Table1[Date],$A15,Table1[Bill No.],$C15),IF($K15="PETROL",SUMIFS(Table14[Amount],Table14[Customer],$B15,Table14[Date],$A15,Table14[Bill No.],$C15),IF($K15="XtraGreen",SUMIFS(Table146[Amount],Table146[Company],$B15,Table146[Date],$A15,Table146[Bill No.],$C15),SUMIFS('Other Sale'!$D:$D,'Other Sale'!$E:$E,$B15,'Other Sale'!$C:$C,$K15,'Other Sale'!$A:$A,$A15)))))</f>
        <v>0</v>
      </c>
      <c r="G15" s="330" cm="1">
        <f t="array" ref="G15">IF($A15="","",IF($K15="Payment",IFERROR(INDEX(_xlfn._xlws.FILTER(MasterPaid[Amount Paid],(MasterPaid[Customer]=$B15)*(MasterPaid[Date]=$A15)),COUNTIFS($A$6:$A15,$A15,$B$6:$B15,$B15,$K$6:$K15,"Payment")),0),0))</f>
        <v>277941</v>
      </c>
      <c r="H15" s="331">
        <v>279</v>
      </c>
      <c r="I15" s="331"/>
      <c r="J15" s="330">
        <f t="shared" si="0"/>
        <v>0</v>
      </c>
      <c r="K15" s="289" t="str" cm="1">
        <f t="array" ref="K15">IFERROR(INDEX(_xlfn.ANCHORARRAY($Q$6),ROW()-5,4),"")</f>
        <v>Payment</v>
      </c>
      <c r="L15" s="290"/>
      <c r="Q15">
        <v>46149</v>
      </c>
      <c r="R15" t="str">
        <v>Virendra Logistics Private Limited</v>
      </c>
      <c r="S15" t="str">
        <v/>
      </c>
      <c r="T15" t="str">
        <v>Payment</v>
      </c>
      <c r="U15">
        <f>IF(OR($A15="",$F15=""),0,MAX(0,MIN($F15,SUMIFS($F$6:$F15,$B$6:$B15,$B15)-(SUMIFS($G$6:$G$355,$B$6:$B$355,$B15)+SUMIFS($H$6:$H$355,$B$6:$B$355,$B15)+SUMIFS($I$6:$I$355,$B$6:$B$355,$B15)))))</f>
        <v>0</v>
      </c>
      <c r="Y15" s="295"/>
      <c r="Z15" s="220"/>
      <c r="AA15" s="296"/>
      <c r="AB15" s="334"/>
      <c r="AD15" s="468"/>
      <c r="AE15" s="342"/>
      <c r="AF15" s="342"/>
      <c r="AG15" s="342"/>
      <c r="AH15" s="342"/>
      <c r="AI15" s="342"/>
      <c r="AJ15" s="342"/>
      <c r="AK15" s="342"/>
      <c r="AL15" s="342"/>
      <c r="AM15" s="342"/>
      <c r="AN15" s="342"/>
      <c r="AO15" s="342"/>
      <c r="AP15" s="342"/>
      <c r="AQ15" s="342"/>
      <c r="AR15" s="342"/>
      <c r="AS15" s="342"/>
      <c r="AT15" s="342"/>
      <c r="AU15" s="342"/>
      <c r="AV15" s="342"/>
      <c r="AW15" s="342"/>
      <c r="AX15" s="342"/>
      <c r="AY15" s="342"/>
      <c r="AZ15" s="342"/>
      <c r="BA15" s="342"/>
      <c r="BB15" s="342"/>
      <c r="BC15" s="342"/>
      <c r="BD15" s="342"/>
      <c r="BE15" s="342"/>
      <c r="BF15" s="342"/>
      <c r="BG15" s="342"/>
      <c r="BH15" s="342"/>
      <c r="BI15" s="342"/>
      <c r="BJ15" s="342"/>
      <c r="BK15" s="342"/>
      <c r="BL15" s="342"/>
    </row>
    <row r="16" spans="1:64" ht="21.75" x14ac:dyDescent="0.25">
      <c r="A16" s="217" cm="1">
        <f t="array" ref="A16">IFERROR(INDEX(_xlfn.ANCHORARRAY($Q$6),ROW()-5,1),"")</f>
        <v>46154</v>
      </c>
      <c r="B16" s="288" t="str" cm="1">
        <f t="array" ref="B16">IFERROR(INDEX(_xlfn.ANCHORARRAY($Q$6),ROW()-5,2),"")</f>
        <v>SAMARPAN LOGISTICS PVT LTD</v>
      </c>
      <c r="C16" s="289" t="str" cm="1">
        <f t="array" ref="C16">IFERROR(INDEX(_xlfn.ANCHORARRAY($Q$6),ROW()-5,3),"")</f>
        <v>488</v>
      </c>
      <c r="D16" s="218">
        <f>IF($A16="","",IF($K16="DIESEL",SUMIFS(Table1[Quantity],Table1[Customer],$B16,Table1[Date],$A16,Table1[Bill No.],$C16),IF($K16="PETROL",SUMIFS(Table14[Quantity],Table14[Customer],$B16,Table14[Date],$A16,Table14[Bill No.],$C16),IF($K16="XtraGreen",SUMIFS(Table146[Quantity],Table146[Company],$B16,Table146[Date],$A16,Table146[Bill No.],$C16),""))))</f>
        <v>2000</v>
      </c>
      <c r="E16" s="219">
        <f>IF($A16="","",IF($K16="DIESEL",AVERAGEIFS(Table1[RSP],Table1[Customer],$B16,Table1[Date],$A16,Table1[Bill No.],$C16),IF($K16="PETROL",AVERAGEIFS(Table14[RSP],Table14[Customer],$B16,Table14[Date],$A16,Table14[Bill No.],$C16),IF($K16="XtraGreen",AVERAGEIFS(Table146[RSP],Table146[Company],$B16,Table146[Date],$A16,Table146[Bill No.],$C16),IFERROR($F16/$D16,"")))))</f>
        <v>92.74</v>
      </c>
      <c r="F16" s="330">
        <f>IF($A16="","",IF($K16="DIESEL",SUMIFS(Table1[Amount],Table1[Customer],$B16,Table1[Date],$A16,Table1[Bill No.],$C16),IF($K16="PETROL",SUMIFS(Table14[Amount],Table14[Customer],$B16,Table14[Date],$A16,Table14[Bill No.],$C16),IF($K16="XtraGreen",SUMIFS(Table146[Amount],Table146[Company],$B16,Table146[Date],$A16,Table146[Bill No.],$C16),SUMIFS('Other Sale'!$D:$D,'Other Sale'!$E:$E,$B16,'Other Sale'!$C:$C,$K16,'Other Sale'!$A:$A,$A16)))))</f>
        <v>185480</v>
      </c>
      <c r="G16" s="330" cm="1">
        <f t="array" ref="G16">IF($A16="","",IF($K16="Payment",IFERROR(INDEX(_xlfn._xlws.FILTER(MasterPaid[Amount Paid],(MasterPaid[Customer]=$B16)*(MasterPaid[Date]=$A16)),COUNTIFS($A$6:$A16,$A16,$B$6:$B16,$B16,$K$6:$K16,"Payment")),0),0))</f>
        <v>0</v>
      </c>
      <c r="H16" s="331"/>
      <c r="I16" s="331"/>
      <c r="J16" s="330">
        <f t="shared" si="0"/>
        <v>185480</v>
      </c>
      <c r="K16" s="289" t="str" cm="1">
        <f t="array" ref="K16">IFERROR(INDEX(_xlfn.ANCHORARRAY($Q$6),ROW()-5,4),"")</f>
        <v>DIESEL</v>
      </c>
      <c r="L16" s="290"/>
      <c r="Q16">
        <v>46154</v>
      </c>
      <c r="R16" t="str">
        <v>SAMARPAN LOGISTICS PVT LTD</v>
      </c>
      <c r="S16" t="str">
        <v>488</v>
      </c>
      <c r="T16" t="str">
        <v>DIESEL</v>
      </c>
      <c r="U16">
        <f>IF(OR($A16="",$F16=""),0,MAX(0,MIN($F16,SUMIFS($F$6:$F16,$B$6:$B16,$B16)-(SUMIFS($G$6:$G$355,$B$6:$B$355,$B16)+SUMIFS($H$6:$H$355,$B$6:$B$355,$B16)+SUMIFS($I$6:$I$355,$B$6:$B$355,$B16)))))</f>
        <v>0</v>
      </c>
      <c r="Y16" s="295"/>
      <c r="Z16" s="220"/>
      <c r="AA16" s="296"/>
      <c r="AB16" s="334"/>
      <c r="AD16" s="468"/>
      <c r="AE16" s="342"/>
      <c r="AF16" s="342"/>
      <c r="AG16" s="342"/>
      <c r="AH16" s="342"/>
      <c r="AI16" s="342"/>
      <c r="AJ16" s="342"/>
      <c r="AK16" s="342"/>
      <c r="AL16" s="342"/>
      <c r="AM16" s="342"/>
      <c r="AN16" s="342"/>
      <c r="AO16" s="342"/>
      <c r="AP16" s="342"/>
      <c r="AQ16" s="342"/>
      <c r="AR16" s="342"/>
      <c r="AS16" s="342"/>
      <c r="AT16" s="342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  <c r="BE16" s="342"/>
      <c r="BF16" s="342"/>
      <c r="BG16" s="342"/>
      <c r="BH16" s="342"/>
      <c r="BI16" s="342"/>
      <c r="BJ16" s="342"/>
      <c r="BK16" s="342"/>
      <c r="BL16" s="342"/>
    </row>
    <row r="17" spans="1:64" ht="21.75" x14ac:dyDescent="0.25">
      <c r="A17" s="217" cm="1">
        <f t="array" ref="A17">IFERROR(INDEX(_xlfn.ANCHORARRAY($Q$6),ROW()-5,1),"")</f>
        <v>46155</v>
      </c>
      <c r="B17" s="288" t="str" cm="1">
        <f t="array" ref="B17">IFERROR(INDEX(_xlfn.ANCHORARRAY($Q$6),ROW()-5,2),"")</f>
        <v>SAMARPAN LOGISTICS PVT LTD</v>
      </c>
      <c r="C17" s="289" t="str" cm="1">
        <f t="array" ref="C17">IFERROR(INDEX(_xlfn.ANCHORARRAY($Q$6),ROW()-5,3),"")</f>
        <v/>
      </c>
      <c r="D17" s="218" t="str">
        <f>IF($A17="","",IF($K17="DIESEL",SUMIFS(Table1[Quantity],Table1[Customer],$B17,Table1[Date],$A17,Table1[Bill No.],$C17),IF($K17="PETROL",SUMIFS(Table14[Quantity],Table14[Customer],$B17,Table14[Date],$A17,Table14[Bill No.],$C17),IF($K17="XtraGreen",SUMIFS(Table146[Quantity],Table146[Company],$B17,Table146[Date],$A17,Table146[Bill No.],$C17),""))))</f>
        <v/>
      </c>
      <c r="E17" s="219" t="str">
        <f>IF($A17="","",IF($K17="DIESEL",AVERAGEIFS(Table1[RSP],Table1[Customer],$B17,Table1[Date],$A17,Table1[Bill No.],$C17),IF($K17="PETROL",AVERAGEIFS(Table14[RSP],Table14[Customer],$B17,Table14[Date],$A17,Table14[Bill No.],$C17),IF($K17="XtraGreen",AVERAGEIFS(Table146[RSP],Table146[Company],$B17,Table146[Date],$A17,Table146[Bill No.],$C17),IFERROR($F17/$D17,"")))))</f>
        <v/>
      </c>
      <c r="F17" s="330">
        <f>IF($A17="","",IF($K17="DIESEL",SUMIFS(Table1[Amount],Table1[Customer],$B17,Table1[Date],$A17,Table1[Bill No.],$C17),IF($K17="PETROL",SUMIFS(Table14[Amount],Table14[Customer],$B17,Table14[Date],$A17,Table14[Bill No.],$C17),IF($K17="XtraGreen",SUMIFS(Table146[Amount],Table146[Company],$B17,Table146[Date],$A17,Table146[Bill No.],$C17),SUMIFS('Other Sale'!$D:$D,'Other Sale'!$E:$E,$B17,'Other Sale'!$C:$C,$K17,'Other Sale'!$A:$A,$A17)))))</f>
        <v>0</v>
      </c>
      <c r="G17" s="330" cm="1">
        <f t="array" ref="G17">IF($A17="","",IF($K17="Payment",IFERROR(INDEX(_xlfn._xlws.FILTER(MasterPaid[Amount Paid],(MasterPaid[Customer]=$B17)*(MasterPaid[Date]=$A17)),COUNTIFS($A$6:$A17,$A17,$B$6:$B17,$B17,$K$6:$K17,"Payment")),0),0))</f>
        <v>185480</v>
      </c>
      <c r="H17" s="331"/>
      <c r="I17" s="331"/>
      <c r="J17" s="330">
        <f t="shared" si="0"/>
        <v>0</v>
      </c>
      <c r="K17" s="289" t="str" cm="1">
        <f t="array" ref="K17">IFERROR(INDEX(_xlfn.ANCHORARRAY($Q$6),ROW()-5,4),"")</f>
        <v>Payment</v>
      </c>
      <c r="L17" s="290"/>
      <c r="Q17">
        <v>46155</v>
      </c>
      <c r="R17" t="str">
        <v>SAMARPAN LOGISTICS PVT LTD</v>
      </c>
      <c r="S17" t="str">
        <v/>
      </c>
      <c r="T17" t="str">
        <v>Payment</v>
      </c>
      <c r="U17">
        <f>IF(OR($A17="",$F17=""),0,MAX(0,MIN($F17,SUMIFS($F$6:$F17,$B$6:$B17,$B17)-(SUMIFS($G$6:$G$355,$B$6:$B$355,$B17)+SUMIFS($H$6:$H$355,$B$6:$B$355,$B17)+SUMIFS($I$6:$I$355,$B$6:$B$355,$B17)))))</f>
        <v>0</v>
      </c>
      <c r="Y17" s="295"/>
      <c r="Z17" s="220"/>
      <c r="AA17" s="296"/>
      <c r="AB17" s="334"/>
      <c r="AD17" s="468"/>
      <c r="AE17" s="342"/>
      <c r="AF17" s="342"/>
      <c r="AG17" s="342"/>
      <c r="AH17" s="342"/>
      <c r="AI17" s="342"/>
      <c r="AJ17" s="342"/>
      <c r="AK17" s="342"/>
      <c r="AL17" s="342"/>
      <c r="AM17" s="342"/>
      <c r="AN17" s="342"/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  <c r="BA17" s="342"/>
      <c r="BB17" s="342"/>
      <c r="BC17" s="342"/>
      <c r="BD17" s="342"/>
      <c r="BE17" s="342"/>
      <c r="BF17" s="342"/>
      <c r="BG17" s="342"/>
      <c r="BH17" s="342"/>
      <c r="BI17" s="342"/>
      <c r="BJ17" s="342"/>
      <c r="BK17" s="342"/>
      <c r="BL17" s="342"/>
    </row>
    <row r="18" spans="1:64" ht="21.75" x14ac:dyDescent="0.25">
      <c r="A18" s="217" cm="1">
        <f t="array" ref="A18">IFERROR(INDEX(_xlfn.ANCHORARRAY($Q$6),ROW()-5,1),"")</f>
        <v>46157</v>
      </c>
      <c r="B18" s="288" t="str" cm="1">
        <f t="array" ref="B18">IFERROR(INDEX(_xlfn.ANCHORARRAY($Q$6),ROW()-5,2),"")</f>
        <v>Great River Coy Private Limited</v>
      </c>
      <c r="C18" s="289" t="str" cm="1">
        <f t="array" ref="C18">IFERROR(INDEX(_xlfn.ANCHORARRAY($Q$6),ROW()-5,3),"")</f>
        <v>538</v>
      </c>
      <c r="D18" s="218">
        <f>IF($A18="","",IF($K18="DIESEL",SUMIFS(Table1[Quantity],Table1[Customer],$B18,Table1[Date],$A18,Table1[Bill No.],$C18),IF($K18="PETROL",SUMIFS(Table14[Quantity],Table14[Customer],$B18,Table14[Date],$A18,Table14[Bill No.],$C18),IF($K18="XtraGreen",SUMIFS(Table146[Quantity],Table146[Company],$B18,Table146[Date],$A18,Table146[Bill No.],$C18),""))))</f>
        <v>2000</v>
      </c>
      <c r="E18" s="219">
        <f>IF($A18="","",IF($K18="DIESEL",AVERAGEIFS(Table1[RSP],Table1[Customer],$B18,Table1[Date],$A18,Table1[Bill No.],$C18),IF($K18="PETROL",AVERAGEIFS(Table14[RSP],Table14[Customer],$B18,Table14[Date],$A18,Table14[Bill No.],$C18),IF($K18="XtraGreen",AVERAGEIFS(Table146[RSP],Table146[Company],$B18,Table146[Date],$A18,Table146[Bill No.],$C18),IFERROR($F18/$D18,"")))))</f>
        <v>95.93</v>
      </c>
      <c r="F18" s="330">
        <f>IF($A18="","",IF($K18="DIESEL",SUMIFS(Table1[Amount],Table1[Customer],$B18,Table1[Date],$A18,Table1[Bill No.],$C18),IF($K18="PETROL",SUMIFS(Table14[Amount],Table14[Customer],$B18,Table14[Date],$A18,Table14[Bill No.],$C18),IF($K18="XtraGreen",SUMIFS(Table146[Amount],Table146[Company],$B18,Table146[Date],$A18,Table146[Bill No.],$C18),SUMIFS('Other Sale'!$D:$D,'Other Sale'!$E:$E,$B18,'Other Sale'!$C:$C,$K18,'Other Sale'!$A:$A,$A18)))))</f>
        <v>191860</v>
      </c>
      <c r="G18" s="330" cm="1">
        <f t="array" ref="G18">IF($A18="","",IF($K18="Payment",IFERROR(INDEX(_xlfn._xlws.FILTER(MasterPaid[Amount Paid],(MasterPaid[Customer]=$B18)*(MasterPaid[Date]=$A18)),COUNTIFS($A$6:$A18,$A18,$B$6:$B18,$B18,$K$6:$K18,"Payment")),0),0))</f>
        <v>0</v>
      </c>
      <c r="H18" s="331"/>
      <c r="I18" s="331"/>
      <c r="J18" s="330">
        <f t="shared" si="0"/>
        <v>191860</v>
      </c>
      <c r="K18" s="289" t="str" cm="1">
        <f t="array" ref="K18">IFERROR(INDEX(_xlfn.ANCHORARRAY($Q$6),ROW()-5,4),"")</f>
        <v>DIESEL</v>
      </c>
      <c r="L18" s="290"/>
      <c r="Q18">
        <v>46157</v>
      </c>
      <c r="R18" t="str">
        <v>Great River Coy Private Limited</v>
      </c>
      <c r="S18" t="str">
        <v>538</v>
      </c>
      <c r="T18" t="str">
        <v>DIESEL</v>
      </c>
      <c r="U18">
        <f>IF(OR($A18="",$F18=""),0,MAX(0,MIN($F18,SUMIFS($F$6:$F18,$B$6:$B18,$B18)-(SUMIFS($G$6:$G$355,$B$6:$B$355,$B18)+SUMIFS($H$6:$H$355,$B$6:$B$355,$B18)+SUMIFS($I$6:$I$355,$B$6:$B$355,$B18)))))</f>
        <v>0</v>
      </c>
      <c r="Y18" s="295"/>
      <c r="Z18" s="220"/>
      <c r="AA18" s="296"/>
      <c r="AB18" s="334"/>
      <c r="AD18" s="468"/>
      <c r="AE18" s="342"/>
      <c r="AF18" s="342"/>
      <c r="AG18" s="342"/>
      <c r="AH18" s="342"/>
      <c r="AI18" s="342"/>
      <c r="AJ18" s="342"/>
      <c r="AK18" s="342"/>
      <c r="AL18" s="342"/>
      <c r="AM18" s="342"/>
      <c r="AN18" s="342"/>
      <c r="AO18" s="342"/>
      <c r="AP18" s="342"/>
      <c r="AQ18" s="342"/>
      <c r="AR18" s="342"/>
      <c r="AS18" s="342"/>
      <c r="AT18" s="342"/>
      <c r="AU18" s="342"/>
      <c r="AV18" s="342"/>
      <c r="AW18" s="342"/>
      <c r="AX18" s="342"/>
      <c r="AY18" s="342"/>
      <c r="AZ18" s="342"/>
      <c r="BA18" s="342"/>
      <c r="BB18" s="342"/>
      <c r="BC18" s="342"/>
      <c r="BD18" s="342"/>
      <c r="BE18" s="342"/>
      <c r="BF18" s="342"/>
      <c r="BG18" s="342"/>
      <c r="BH18" s="342"/>
      <c r="BI18" s="342"/>
      <c r="BJ18" s="342"/>
      <c r="BK18" s="342"/>
      <c r="BL18" s="342"/>
    </row>
    <row r="19" spans="1:64" ht="21.75" x14ac:dyDescent="0.25">
      <c r="A19" s="217" cm="1">
        <f t="array" ref="A19">IFERROR(INDEX(_xlfn.ANCHORARRAY($Q$6),ROW()-5,1),"")</f>
        <v>46158</v>
      </c>
      <c r="B19" s="288" t="str" cm="1">
        <f t="array" ref="B19">IFERROR(INDEX(_xlfn.ANCHORARRAY($Q$6),ROW()-5,2),"")</f>
        <v>Great River Coy Private Limited</v>
      </c>
      <c r="C19" s="289" t="str" cm="1">
        <f t="array" ref="C19">IFERROR(INDEX(_xlfn.ANCHORARRAY($Q$6),ROW()-5,3),"")</f>
        <v/>
      </c>
      <c r="D19" s="218" t="str">
        <f>IF($A19="","",IF($K19="DIESEL",SUMIFS(Table1[Quantity],Table1[Customer],$B19,Table1[Date],$A19,Table1[Bill No.],$C19),IF($K19="PETROL",SUMIFS(Table14[Quantity],Table14[Customer],$B19,Table14[Date],$A19,Table14[Bill No.],$C19),IF($K19="XtraGreen",SUMIFS(Table146[Quantity],Table146[Company],$B19,Table146[Date],$A19,Table146[Bill No.],$C19),""))))</f>
        <v/>
      </c>
      <c r="E19" s="219" t="str">
        <f>IF($A19="","",IF($K19="DIESEL",AVERAGEIFS(Table1[RSP],Table1[Customer],$B19,Table1[Date],$A19,Table1[Bill No.],$C19),IF($K19="PETROL",AVERAGEIFS(Table14[RSP],Table14[Customer],$B19,Table14[Date],$A19,Table14[Bill No.],$C19),IF($K19="XtraGreen",AVERAGEIFS(Table146[RSP],Table146[Company],$B19,Table146[Date],$A19,Table146[Bill No.],$C19),IFERROR($F19/$D19,"")))))</f>
        <v/>
      </c>
      <c r="F19" s="330">
        <f>IF($A19="","",IF($K19="DIESEL",SUMIFS(Table1[Amount],Table1[Customer],$B19,Table1[Date],$A19,Table1[Bill No.],$C19),IF($K19="PETROL",SUMIFS(Table14[Amount],Table14[Customer],$B19,Table14[Date],$A19,Table14[Bill No.],$C19),IF($K19="XtraGreen",SUMIFS(Table146[Amount],Table146[Company],$B19,Table146[Date],$A19,Table146[Bill No.],$C19),SUMIFS('Other Sale'!$D:$D,'Other Sale'!$E:$E,$B19,'Other Sale'!$C:$C,$K19,'Other Sale'!$A:$A,$A19)))))</f>
        <v>0</v>
      </c>
      <c r="G19" s="330" cm="1">
        <f t="array" ref="G19">IF($A19="","",IF($K19="Payment",IFERROR(INDEX(_xlfn._xlws.FILTER(MasterPaid[Amount Paid],(MasterPaid[Customer]=$B19)*(MasterPaid[Date]=$A19)),COUNTIFS($A$6:$A19,$A19,$B$6:$B19,$B19,$K$6:$K19,"Payment")),0),0))</f>
        <v>191668</v>
      </c>
      <c r="H19" s="331">
        <v>192</v>
      </c>
      <c r="I19" s="331"/>
      <c r="J19" s="330">
        <f t="shared" si="0"/>
        <v>0</v>
      </c>
      <c r="K19" s="289" t="str" cm="1">
        <f t="array" ref="K19">IFERROR(INDEX(_xlfn.ANCHORARRAY($Q$6),ROW()-5,4),"")</f>
        <v>Payment</v>
      </c>
      <c r="L19" s="290"/>
      <c r="Q19">
        <v>46158</v>
      </c>
      <c r="R19" t="str">
        <v>Great River Coy Private Limited</v>
      </c>
      <c r="S19" t="str">
        <v/>
      </c>
      <c r="T19" t="str">
        <v>Payment</v>
      </c>
      <c r="U19">
        <f>IF(OR($A19="",$F19=""),0,MAX(0,MIN($F19,SUMIFS($F$6:$F19,$B$6:$B19,$B19)-(SUMIFS($G$6:$G$355,$B$6:$B$355,$B19)+SUMIFS($H$6:$H$355,$B$6:$B$355,$B19)+SUMIFS($I$6:$I$355,$B$6:$B$355,$B19)))))</f>
        <v>0</v>
      </c>
      <c r="Y19" s="295"/>
      <c r="Z19" s="220"/>
      <c r="AA19" s="296"/>
      <c r="AB19" s="334"/>
      <c r="AD19" s="468"/>
      <c r="AE19" s="342"/>
      <c r="AF19" s="342"/>
      <c r="AG19" s="342"/>
      <c r="AH19" s="342"/>
      <c r="AI19" s="342"/>
      <c r="AJ19" s="342"/>
      <c r="AK19" s="342"/>
      <c r="AL19" s="342"/>
      <c r="AM19" s="342"/>
      <c r="AN19" s="342"/>
      <c r="AO19" s="342"/>
      <c r="AP19" s="342"/>
      <c r="AQ19" s="342"/>
      <c r="AR19" s="342"/>
      <c r="AS19" s="342"/>
      <c r="AT19" s="342"/>
      <c r="AU19" s="342"/>
      <c r="AV19" s="342"/>
      <c r="AW19" s="342"/>
      <c r="AX19" s="342"/>
      <c r="AY19" s="342"/>
      <c r="AZ19" s="342"/>
      <c r="BA19" s="342"/>
      <c r="BB19" s="342"/>
      <c r="BC19" s="342"/>
      <c r="BD19" s="342"/>
      <c r="BE19" s="342"/>
      <c r="BF19" s="342"/>
      <c r="BG19" s="342"/>
      <c r="BH19" s="342"/>
      <c r="BI19" s="342"/>
      <c r="BJ19" s="342"/>
      <c r="BK19" s="342"/>
      <c r="BL19" s="342"/>
    </row>
    <row r="20" spans="1:64" ht="21.75" x14ac:dyDescent="0.25">
      <c r="A20" s="217" cm="1">
        <f t="array" ref="A20">IFERROR(INDEX(_xlfn.ANCHORARRAY($Q$6),ROW()-5,1),"")</f>
        <v>46159</v>
      </c>
      <c r="B20" s="288" t="str" cm="1">
        <f t="array" ref="B20">IFERROR(INDEX(_xlfn.ANCHORARRAY($Q$6),ROW()-5,2),"")</f>
        <v>Great River Coy Private Limited</v>
      </c>
      <c r="C20" s="289" t="str" cm="1">
        <f t="array" ref="C20">IFERROR(INDEX(_xlfn.ANCHORARRAY($Q$6),ROW()-5,3),"")</f>
        <v>544</v>
      </c>
      <c r="D20" s="218">
        <f>IF($A20="","",IF($K20="DIESEL",SUMIFS(Table1[Quantity],Table1[Customer],$B20,Table1[Date],$A20,Table1[Bill No.],$C20),IF($K20="PETROL",SUMIFS(Table14[Quantity],Table14[Customer],$B20,Table14[Date],$A20,Table14[Bill No.],$C20),IF($K20="XtraGreen",SUMIFS(Table146[Quantity],Table146[Company],$B20,Table146[Date],$A20,Table146[Bill No.],$C20),""))))</f>
        <v>1000</v>
      </c>
      <c r="E20" s="219">
        <f>IF($A20="","",IF($K20="DIESEL",AVERAGEIFS(Table1[RSP],Table1[Customer],$B20,Table1[Date],$A20,Table1[Bill No.],$C20),IF($K20="PETROL",AVERAGEIFS(Table14[RSP],Table14[Customer],$B20,Table14[Date],$A20,Table14[Bill No.],$C20),IF($K20="XtraGreen",AVERAGEIFS(Table146[RSP],Table146[Company],$B20,Table146[Date],$A20,Table146[Bill No.],$C20),IFERROR($F20/$D20,"")))))</f>
        <v>95.93</v>
      </c>
      <c r="F20" s="330">
        <f>IF($A20="","",IF($K20="DIESEL",SUMIFS(Table1[Amount],Table1[Customer],$B20,Table1[Date],$A20,Table1[Bill No.],$C20),IF($K20="PETROL",SUMIFS(Table14[Amount],Table14[Customer],$B20,Table14[Date],$A20,Table14[Bill No.],$C20),IF($K20="XtraGreen",SUMIFS(Table146[Amount],Table146[Company],$B20,Table146[Date],$A20,Table146[Bill No.],$C20),SUMIFS('Other Sale'!$D:$D,'Other Sale'!$E:$E,$B20,'Other Sale'!$C:$C,$K20,'Other Sale'!$A:$A,$A20)))))</f>
        <v>95930</v>
      </c>
      <c r="G20" s="330" cm="1">
        <f t="array" ref="G20">IF($A20="","",IF($K20="Payment",IFERROR(INDEX(_xlfn._xlws.FILTER(MasterPaid[Amount Paid],(MasterPaid[Customer]=$B20)*(MasterPaid[Date]=$A20)),COUNTIFS($A$6:$A20,$A20,$B$6:$B20,$B20,$K$6:$K20,"Payment")),0),0))</f>
        <v>0</v>
      </c>
      <c r="H20" s="331"/>
      <c r="I20" s="331"/>
      <c r="J20" s="330">
        <f t="shared" si="0"/>
        <v>95930</v>
      </c>
      <c r="K20" s="289" t="str" cm="1">
        <f t="array" ref="K20">IFERROR(INDEX(_xlfn.ANCHORARRAY($Q$6),ROW()-5,4),"")</f>
        <v>DIESEL</v>
      </c>
      <c r="L20" s="290"/>
      <c r="Q20">
        <v>46159</v>
      </c>
      <c r="R20" t="str">
        <v>Great River Coy Private Limited</v>
      </c>
      <c r="S20" t="str">
        <v>544</v>
      </c>
      <c r="T20" t="str">
        <v>DIESEL</v>
      </c>
      <c r="U20">
        <f>IF(OR($A20="",$F20=""),0,MAX(0,MIN($F20,SUMIFS($F$6:$F20,$B$6:$B20,$B20)-(SUMIFS($G$6:$G$355,$B$6:$B$355,$B20)+SUMIFS($H$6:$H$355,$B$6:$B$355,$B20)+SUMIFS($I$6:$I$355,$B$6:$B$355,$B20)))))</f>
        <v>0</v>
      </c>
      <c r="Y20" s="295"/>
      <c r="Z20" s="220"/>
      <c r="AA20" s="296"/>
      <c r="AB20" s="334"/>
      <c r="AD20" s="468"/>
      <c r="AE20" s="342"/>
      <c r="AF20" s="342"/>
      <c r="AG20" s="342"/>
      <c r="AH20" s="342"/>
      <c r="AI20" s="342"/>
      <c r="AJ20" s="342"/>
      <c r="AK20" s="342"/>
      <c r="AL20" s="342"/>
      <c r="AM20" s="342"/>
      <c r="AN20" s="342"/>
      <c r="AO20" s="342"/>
      <c r="AP20" s="342"/>
      <c r="AQ20" s="342"/>
      <c r="AR20" s="342"/>
      <c r="AS20" s="342"/>
      <c r="AT20" s="342"/>
      <c r="AU20" s="342"/>
      <c r="AV20" s="342"/>
      <c r="AW20" s="342"/>
      <c r="AX20" s="342"/>
      <c r="AY20" s="342"/>
      <c r="AZ20" s="342"/>
      <c r="BA20" s="342"/>
      <c r="BB20" s="342"/>
      <c r="BC20" s="342"/>
      <c r="BD20" s="342"/>
      <c r="BE20" s="342"/>
      <c r="BF20" s="342"/>
      <c r="BG20" s="342"/>
      <c r="BH20" s="342"/>
      <c r="BI20" s="342"/>
      <c r="BJ20" s="342"/>
      <c r="BK20" s="342"/>
      <c r="BL20" s="342"/>
    </row>
    <row r="21" spans="1:64" ht="21.75" x14ac:dyDescent="0.25">
      <c r="A21" s="217" cm="1">
        <f t="array" ref="A21">IFERROR(INDEX(_xlfn.ANCHORARRAY($Q$6),ROW()-5,1),"")</f>
        <v>46161</v>
      </c>
      <c r="B21" s="288" t="str" cm="1">
        <f t="array" ref="B21">IFERROR(INDEX(_xlfn.ANCHORARRAY($Q$6),ROW()-5,2),"")</f>
        <v>Great River Coy Private Limited</v>
      </c>
      <c r="C21" s="289" t="str" cm="1">
        <f t="array" ref="C21">IFERROR(INDEX(_xlfn.ANCHORARRAY($Q$6),ROW()-5,3),"")</f>
        <v/>
      </c>
      <c r="D21" s="218" t="str">
        <f>IF($A21="","",IF($K21="DIESEL",SUMIFS(Table1[Quantity],Table1[Customer],$B21,Table1[Date],$A21,Table1[Bill No.],$C21),IF($K21="PETROL",SUMIFS(Table14[Quantity],Table14[Customer],$B21,Table14[Date],$A21,Table14[Bill No.],$C21),IF($K21="XtraGreen",SUMIFS(Table146[Quantity],Table146[Company],$B21,Table146[Date],$A21,Table146[Bill No.],$C21),""))))</f>
        <v/>
      </c>
      <c r="E21" s="219" t="str">
        <f>IF($A21="","",IF($K21="DIESEL",AVERAGEIFS(Table1[RSP],Table1[Customer],$B21,Table1[Date],$A21,Table1[Bill No.],$C21),IF($K21="PETROL",AVERAGEIFS(Table14[RSP],Table14[Customer],$B21,Table14[Date],$A21,Table14[Bill No.],$C21),IF($K21="XtraGreen",AVERAGEIFS(Table146[RSP],Table146[Company],$B21,Table146[Date],$A21,Table146[Bill No.],$C21),IFERROR($F21/$D21,"")))))</f>
        <v/>
      </c>
      <c r="F21" s="330">
        <f>IF($A21="","",IF($K21="DIESEL",SUMIFS(Table1[Amount],Table1[Customer],$B21,Table1[Date],$A21,Table1[Bill No.],$C21),IF($K21="PETROL",SUMIFS(Table14[Amount],Table14[Customer],$B21,Table14[Date],$A21,Table14[Bill No.],$C21),IF($K21="XtraGreen",SUMIFS(Table146[Amount],Table146[Company],$B21,Table146[Date],$A21,Table146[Bill No.],$C21),SUMIFS('Other Sale'!$D:$D,'Other Sale'!$E:$E,$B21,'Other Sale'!$C:$C,$K21,'Other Sale'!$A:$A,$A21)))))</f>
        <v>0</v>
      </c>
      <c r="G21" s="330" cm="1">
        <f t="array" ref="G21">IF($A21="","",IF($K21="Payment",IFERROR(INDEX(_xlfn._xlws.FILTER(MasterPaid[Amount Paid],(MasterPaid[Customer]=$B21)*(MasterPaid[Date]=$A21)),COUNTIFS($A$6:$A21,$A21,$B$6:$B21,$B21,$K$6:$K21,"Payment")),0),0))</f>
        <v>95834</v>
      </c>
      <c r="H21" s="331">
        <v>96</v>
      </c>
      <c r="I21" s="331"/>
      <c r="J21" s="330">
        <f t="shared" si="0"/>
        <v>0</v>
      </c>
      <c r="K21" s="289" t="str" cm="1">
        <f t="array" ref="K21">IFERROR(INDEX(_xlfn.ANCHORARRAY($Q$6),ROW()-5,4),"")</f>
        <v>Payment</v>
      </c>
      <c r="L21" s="290"/>
      <c r="Q21">
        <v>46161</v>
      </c>
      <c r="R21" t="str">
        <v>Great River Coy Private Limited</v>
      </c>
      <c r="S21" t="str">
        <v/>
      </c>
      <c r="T21" t="str">
        <v>Payment</v>
      </c>
      <c r="U21">
        <f>IF(OR($A21="",$F21=""),0,MAX(0,MIN($F21,SUMIFS($F$6:$F21,$B$6:$B21,$B21)-(SUMIFS($G$6:$G$355,$B$6:$B$355,$B21)+SUMIFS($H$6:$H$355,$B$6:$B$355,$B21)+SUMIFS($I$6:$I$355,$B$6:$B$355,$B21)))))</f>
        <v>0</v>
      </c>
      <c r="Y21" s="295"/>
      <c r="Z21" s="220"/>
      <c r="AA21" s="296"/>
      <c r="AB21" s="334"/>
      <c r="AD21" s="468"/>
      <c r="AE21" s="342"/>
      <c r="AF21" s="342"/>
      <c r="AG21" s="342"/>
      <c r="AH21" s="342"/>
      <c r="AI21" s="342"/>
      <c r="AJ21" s="342"/>
      <c r="AK21" s="342"/>
      <c r="AL21" s="342"/>
      <c r="AM21" s="342"/>
      <c r="AN21" s="342"/>
      <c r="AO21" s="342"/>
      <c r="AP21" s="342"/>
      <c r="AQ21" s="342"/>
      <c r="AR21" s="342"/>
      <c r="AS21" s="342"/>
      <c r="AT21" s="342"/>
      <c r="AU21" s="342"/>
      <c r="AV21" s="342"/>
      <c r="AW21" s="342"/>
      <c r="AX21" s="342"/>
      <c r="AY21" s="342"/>
      <c r="AZ21" s="342"/>
      <c r="BA21" s="342"/>
      <c r="BB21" s="342"/>
      <c r="BC21" s="342"/>
      <c r="BD21" s="342"/>
      <c r="BE21" s="342"/>
      <c r="BF21" s="342"/>
      <c r="BG21" s="342"/>
      <c r="BH21" s="342"/>
      <c r="BI21" s="342"/>
      <c r="BJ21" s="342"/>
      <c r="BK21" s="342"/>
      <c r="BL21" s="342"/>
    </row>
    <row r="22" spans="1:64" ht="21.75" x14ac:dyDescent="0.25">
      <c r="A22" s="217" cm="1">
        <f t="array" ref="A22">IFERROR(INDEX(_xlfn.ANCHORARRAY($Q$6),ROW()-5,1),"")</f>
        <v>46164</v>
      </c>
      <c r="B22" s="288" t="str" cm="1">
        <f t="array" ref="B22">IFERROR(INDEX(_xlfn.ANCHORARRAY($Q$6),ROW()-5,2),"")</f>
        <v>Harnoor Logistics Private Limited</v>
      </c>
      <c r="C22" s="289" t="str" cm="1">
        <f t="array" ref="C22">IFERROR(INDEX(_xlfn.ANCHORARRAY($Q$6),ROW()-5,3),"")</f>
        <v/>
      </c>
      <c r="D22" s="218" t="str">
        <f>IF($A22="","",IF($K22="DIESEL",SUMIFS(Table1[Quantity],Table1[Customer],$B22,Table1[Date],$A22,Table1[Bill No.],$C22),IF($K22="PETROL",SUMIFS(Table14[Quantity],Table14[Customer],$B22,Table14[Date],$A22,Table14[Bill No.],$C22),IF($K22="XtraGreen",SUMIFS(Table146[Quantity],Table146[Company],$B22,Table146[Date],$A22,Table146[Bill No.],$C22),""))))</f>
        <v/>
      </c>
      <c r="E22" s="219" t="str">
        <f>IF($A22="","",IF($K22="DIESEL",AVERAGEIFS(Table1[RSP],Table1[Customer],$B22,Table1[Date],$A22,Table1[Bill No.],$C22),IF($K22="PETROL",AVERAGEIFS(Table14[RSP],Table14[Customer],$B22,Table14[Date],$A22,Table14[Bill No.],$C22),IF($K22="XtraGreen",AVERAGEIFS(Table146[RSP],Table146[Company],$B22,Table146[Date],$A22,Table146[Bill No.],$C22),IFERROR($F22/$D22,"")))))</f>
        <v/>
      </c>
      <c r="F22" s="330">
        <f>IF($A22="","",IF($K22="DIESEL",SUMIFS(Table1[Amount],Table1[Customer],$B22,Table1[Date],$A22,Table1[Bill No.],$C22),IF($K22="PETROL",SUMIFS(Table14[Amount],Table14[Customer],$B22,Table14[Date],$A22,Table14[Bill No.],$C22),IF($K22="XtraGreen",SUMIFS(Table146[Amount],Table146[Company],$B22,Table146[Date],$A22,Table146[Bill No.],$C22),SUMIFS('Other Sale'!$D:$D,'Other Sale'!$E:$E,$B22,'Other Sale'!$C:$C,$K22,'Other Sale'!$A:$A,$A22)))))</f>
        <v>0</v>
      </c>
      <c r="G22" s="330" cm="1">
        <f t="array" ref="G22">IF($A22="","",IF($K22="Payment",IFERROR(INDEX(_xlfn._xlws.FILTER(MasterPaid[Amount Paid],(MasterPaid[Customer]=$B22)*(MasterPaid[Date]=$A22)),COUNTIFS($A$6:$A22,$A22,$B$6:$B22,$B22,$K$6:$K22,"Payment")),0),0))</f>
        <v>290700</v>
      </c>
      <c r="H22" s="331"/>
      <c r="I22" s="331"/>
      <c r="J22" s="330">
        <f t="shared" si="0"/>
        <v>-290700</v>
      </c>
      <c r="K22" s="289" t="str" cm="1">
        <f t="array" ref="K22">IFERROR(INDEX(_xlfn.ANCHORARRAY($Q$6),ROW()-5,4),"")</f>
        <v>Payment</v>
      </c>
      <c r="L22" s="290"/>
      <c r="Q22">
        <v>46164</v>
      </c>
      <c r="R22" t="str">
        <v>Harnoor Logistics Private Limited</v>
      </c>
      <c r="S22" t="str">
        <v/>
      </c>
      <c r="T22" t="str">
        <v>Payment</v>
      </c>
      <c r="U22">
        <f>IF(OR($A22="",$F22=""),0,MAX(0,MIN($F22,SUMIFS($F$6:$F22,$B$6:$B22,$B22)-(SUMIFS($G$6:$G$355,$B$6:$B$355,$B22)+SUMIFS($H$6:$H$355,$B$6:$B$355,$B22)+SUMIFS($I$6:$I$355,$B$6:$B$355,$B22)))))</f>
        <v>0</v>
      </c>
      <c r="Y22" s="295"/>
      <c r="Z22" s="220"/>
      <c r="AA22" s="296"/>
      <c r="AB22" s="334"/>
      <c r="AD22" s="468"/>
      <c r="AE22" s="342"/>
      <c r="AF22" s="342"/>
      <c r="AG22" s="342"/>
      <c r="AH22" s="342"/>
      <c r="AI22" s="342"/>
      <c r="AJ22" s="342"/>
      <c r="AK22" s="342"/>
      <c r="AL22" s="342"/>
      <c r="AM22" s="342"/>
      <c r="AN22" s="342"/>
      <c r="AO22" s="342"/>
      <c r="AP22" s="342"/>
      <c r="AQ22" s="342"/>
      <c r="AR22" s="342"/>
      <c r="AS22" s="342"/>
      <c r="AT22" s="342"/>
      <c r="AU22" s="342"/>
      <c r="AV22" s="342"/>
      <c r="AW22" s="342"/>
      <c r="AX22" s="342"/>
      <c r="AY22" s="342"/>
      <c r="AZ22" s="342"/>
      <c r="BA22" s="342"/>
      <c r="BB22" s="342"/>
      <c r="BC22" s="342"/>
      <c r="BD22" s="342"/>
      <c r="BE22" s="342"/>
      <c r="BF22" s="342"/>
      <c r="BG22" s="342"/>
      <c r="BH22" s="342"/>
      <c r="BI22" s="342"/>
      <c r="BJ22" s="342"/>
      <c r="BK22" s="342"/>
      <c r="BL22" s="342"/>
    </row>
    <row r="23" spans="1:64" ht="21.75" x14ac:dyDescent="0.25">
      <c r="A23" s="217" cm="1">
        <f t="array" ref="A23">IFERROR(INDEX(_xlfn.ANCHORARRAY($Q$6),ROW()-5,1),"")</f>
        <v>46164</v>
      </c>
      <c r="B23" s="288" t="str" cm="1">
        <f t="array" ref="B23">IFERROR(INDEX(_xlfn.ANCHORARRAY($Q$6),ROW()-5,2),"")</f>
        <v>Harnoor Logistics Private Limited</v>
      </c>
      <c r="C23" s="289" t="str" cm="1">
        <f t="array" ref="C23">IFERROR(INDEX(_xlfn.ANCHORARRAY($Q$6),ROW()-5,3),"")</f>
        <v>588</v>
      </c>
      <c r="D23" s="218">
        <f>IF($A23="","",IF($K23="DIESEL",SUMIFS(Table1[Quantity],Table1[Customer],$B23,Table1[Date],$A23,Table1[Bill No.],$C23),IF($K23="PETROL",SUMIFS(Table14[Quantity],Table14[Customer],$B23,Table14[Date],$A23,Table14[Bill No.],$C23),IF($K23="XtraGreen",SUMIFS(Table146[Quantity],Table146[Company],$B23,Table146[Date],$A23,Table146[Bill No.],$C23),""))))</f>
        <v>3000</v>
      </c>
      <c r="E23" s="219">
        <f>IF($A23="","",IF($K23="DIESEL",AVERAGEIFS(Table1[RSP],Table1[Customer],$B23,Table1[Date],$A23,Table1[Bill No.],$C23),IF($K23="PETROL",AVERAGEIFS(Table14[RSP],Table14[Customer],$B23,Table14[Date],$A23,Table14[Bill No.],$C23),IF($K23="XtraGreen",AVERAGEIFS(Table146[RSP],Table146[Company],$B23,Table146[Date],$A23,Table146[Bill No.],$C23),IFERROR($F23/$D23,"")))))</f>
        <v>96.9</v>
      </c>
      <c r="F23" s="330">
        <f>IF($A23="","",IF($K23="DIESEL",SUMIFS(Table1[Amount],Table1[Customer],$B23,Table1[Date],$A23,Table1[Bill No.],$C23),IF($K23="PETROL",SUMIFS(Table14[Amount],Table14[Customer],$B23,Table14[Date],$A23,Table14[Bill No.],$C23),IF($K23="XtraGreen",SUMIFS(Table146[Amount],Table146[Company],$B23,Table146[Date],$A23,Table146[Bill No.],$C23),SUMIFS('Other Sale'!$D:$D,'Other Sale'!$E:$E,$B23,'Other Sale'!$C:$C,$K23,'Other Sale'!$A:$A,$A23)))))</f>
        <v>290700</v>
      </c>
      <c r="G23" s="330" cm="1">
        <f t="array" ref="G23">IF($A23="","",IF($K23="Payment",IFERROR(INDEX(_xlfn._xlws.FILTER(MasterPaid[Amount Paid],(MasterPaid[Customer]=$B23)*(MasterPaid[Date]=$A23)),COUNTIFS($A$6:$A23,$A23,$B$6:$B23,$B23,$K$6:$K23,"Payment")),0),0))</f>
        <v>0</v>
      </c>
      <c r="H23" s="331"/>
      <c r="I23" s="331"/>
      <c r="J23" s="330">
        <f t="shared" si="0"/>
        <v>0</v>
      </c>
      <c r="K23" s="289" t="str" cm="1">
        <f t="array" ref="K23">IFERROR(INDEX(_xlfn.ANCHORARRAY($Q$6),ROW()-5,4),"")</f>
        <v>DIESEL</v>
      </c>
      <c r="L23" s="290"/>
      <c r="Q23">
        <v>46164</v>
      </c>
      <c r="R23" t="str">
        <v>Harnoor Logistics Private Limited</v>
      </c>
      <c r="S23" t="str">
        <v>588</v>
      </c>
      <c r="T23" t="str">
        <v>DIESEL</v>
      </c>
      <c r="U23">
        <f>IF(OR($A23="",$F23=""),0,MAX(0,MIN($F23,SUMIFS($F$6:$F23,$B$6:$B23,$B23)-(SUMIFS($G$6:$G$355,$B$6:$B$355,$B23)+SUMIFS($H$6:$H$355,$B$6:$B$355,$B23)+SUMIFS($I$6:$I$355,$B$6:$B$355,$B23)))))</f>
        <v>0</v>
      </c>
      <c r="Y23" s="295"/>
      <c r="Z23" s="220"/>
      <c r="AA23" s="296"/>
      <c r="AB23" s="334"/>
      <c r="AD23" s="468"/>
      <c r="AE23" s="342"/>
      <c r="AF23" s="342"/>
      <c r="AG23" s="342"/>
      <c r="AH23" s="342"/>
      <c r="AI23" s="342"/>
      <c r="AJ23" s="342"/>
      <c r="AK23" s="342"/>
      <c r="AL23" s="342"/>
      <c r="AM23" s="342"/>
      <c r="AN23" s="342"/>
      <c r="AO23" s="342"/>
      <c r="AP23" s="342"/>
      <c r="AQ23" s="342"/>
      <c r="AR23" s="342"/>
      <c r="AS23" s="342"/>
      <c r="AT23" s="342"/>
      <c r="AU23" s="342"/>
      <c r="AV23" s="342"/>
      <c r="AW23" s="342"/>
      <c r="AX23" s="342"/>
      <c r="AY23" s="342"/>
      <c r="AZ23" s="342"/>
      <c r="BA23" s="342"/>
      <c r="BB23" s="342"/>
      <c r="BC23" s="342"/>
      <c r="BD23" s="342"/>
      <c r="BE23" s="342"/>
      <c r="BF23" s="342"/>
      <c r="BG23" s="342"/>
      <c r="BH23" s="342"/>
      <c r="BI23" s="342"/>
      <c r="BJ23" s="342"/>
      <c r="BK23" s="342"/>
      <c r="BL23" s="342"/>
    </row>
    <row r="24" spans="1:64" ht="21.75" x14ac:dyDescent="0.25">
      <c r="A24" s="217" cm="1">
        <f t="array" ref="A24">IFERROR(INDEX(_xlfn.ANCHORARRAY($Q$6),ROW()-5,1),"")</f>
        <v>46171</v>
      </c>
      <c r="B24" s="288" t="str" cm="1">
        <f t="array" ref="B24">IFERROR(INDEX(_xlfn.ANCHORARRAY($Q$6),ROW()-5,2),"")</f>
        <v>SAMARPAN LOGISTICS PVT LTD</v>
      </c>
      <c r="C24" s="289" t="str" cm="1">
        <f t="array" ref="C24">IFERROR(INDEX(_xlfn.ANCHORARRAY($Q$6),ROW()-5,3),"")</f>
        <v>669</v>
      </c>
      <c r="D24" s="218">
        <f>IF($A24="","",IF($K24="DIESEL",SUMIFS(Table1[Quantity],Table1[Customer],$B24,Table1[Date],$A24,Table1[Bill No.],$C24),IF($K24="PETROL",SUMIFS(Table14[Quantity],Table14[Customer],$B24,Table14[Date],$A24,Table14[Bill No.],$C24),IF($K24="XtraGreen",SUMIFS(Table146[Quantity],Table146[Company],$B24,Table146[Date],$A24,Table146[Bill No.],$C24),""))))</f>
        <v>3000</v>
      </c>
      <c r="E24" s="219">
        <f>IF($A24="","",IF($K24="DIESEL",AVERAGEIFS(Table1[RSP],Table1[Customer],$B24,Table1[Date],$A24,Table1[Bill No.],$C24),IF($K24="PETROL",AVERAGEIFS(Table14[RSP],Table14[Customer],$B24,Table14[Date],$A24,Table14[Bill No.],$C24),IF($K24="XtraGreen",AVERAGEIFS(Table146[RSP],Table146[Company],$B24,Table146[Date],$A24,Table146[Bill No.],$C24),IFERROR($F24/$D24,"")))))</f>
        <v>100.74</v>
      </c>
      <c r="F24" s="330">
        <f>IF($A24="","",IF($K24="DIESEL",SUMIFS(Table1[Amount],Table1[Customer],$B24,Table1[Date],$A24,Table1[Bill No.],$C24),IF($K24="PETROL",SUMIFS(Table14[Amount],Table14[Customer],$B24,Table14[Date],$A24,Table14[Bill No.],$C24),IF($K24="XtraGreen",SUMIFS(Table146[Amount],Table146[Company],$B24,Table146[Date],$A24,Table146[Bill No.],$C24),SUMIFS('Other Sale'!$D:$D,'Other Sale'!$E:$E,$B24,'Other Sale'!$C:$C,$K24,'Other Sale'!$A:$A,$A24)))))</f>
        <v>302220</v>
      </c>
      <c r="G24" s="330" cm="1">
        <f t="array" ref="G24">IF($A24="","",IF($K24="Payment",IFERROR(INDEX(_xlfn._xlws.FILTER(MasterPaid[Amount Paid],(MasterPaid[Customer]=$B24)*(MasterPaid[Date]=$A24)),COUNTIFS($A$6:$A24,$A24,$B$6:$B24,$B24,$K$6:$K24,"Payment")),0),0))</f>
        <v>0</v>
      </c>
      <c r="H24" s="331"/>
      <c r="I24" s="331"/>
      <c r="J24" s="330">
        <f t="shared" si="0"/>
        <v>302220</v>
      </c>
      <c r="K24" s="289" t="str" cm="1">
        <f t="array" ref="K24">IFERROR(INDEX(_xlfn.ANCHORARRAY($Q$6),ROW()-5,4),"")</f>
        <v>DIESEL</v>
      </c>
      <c r="L24" s="290"/>
      <c r="Q24">
        <v>46171</v>
      </c>
      <c r="R24" t="str">
        <v>SAMARPAN LOGISTICS PVT LTD</v>
      </c>
      <c r="S24" t="str">
        <v>669</v>
      </c>
      <c r="T24" t="str">
        <v>DIESEL</v>
      </c>
      <c r="U24">
        <f>IF(OR($A24="",$F24=""),0,MAX(0,MIN($F24,SUMIFS($F$6:$F24,$B$6:$B24,$B24)-(SUMIFS($G$6:$G$355,$B$6:$B$355,$B24)+SUMIFS($H$6:$H$355,$B$6:$B$355,$B24)+SUMIFS($I$6:$I$355,$B$6:$B$355,$B24)))))</f>
        <v>0</v>
      </c>
      <c r="Y24" s="295"/>
      <c r="Z24" s="220"/>
      <c r="AA24" s="296"/>
      <c r="AB24" s="334"/>
      <c r="AD24" s="468"/>
      <c r="AE24" s="342"/>
      <c r="AF24" s="342"/>
      <c r="AG24" s="342"/>
      <c r="AH24" s="342"/>
      <c r="AI24" s="342"/>
      <c r="AJ24" s="342"/>
      <c r="AK24" s="342"/>
      <c r="AL24" s="342"/>
      <c r="AM24" s="342"/>
      <c r="AN24" s="342"/>
      <c r="AO24" s="342"/>
      <c r="AP24" s="342"/>
      <c r="AQ24" s="342"/>
      <c r="AR24" s="342"/>
      <c r="AS24" s="342"/>
      <c r="AT24" s="342"/>
      <c r="AU24" s="342"/>
      <c r="AV24" s="342"/>
      <c r="AW24" s="342"/>
      <c r="AX24" s="342"/>
      <c r="AY24" s="342"/>
      <c r="AZ24" s="342"/>
      <c r="BA24" s="342"/>
      <c r="BB24" s="342"/>
      <c r="BC24" s="342"/>
      <c r="BD24" s="342"/>
      <c r="BE24" s="342"/>
      <c r="BF24" s="342"/>
      <c r="BG24" s="342"/>
      <c r="BH24" s="342"/>
      <c r="BI24" s="342"/>
      <c r="BJ24" s="342"/>
      <c r="BK24" s="342"/>
      <c r="BL24" s="342"/>
    </row>
    <row r="25" spans="1:64" ht="21.75" x14ac:dyDescent="0.25">
      <c r="A25" s="217" cm="1">
        <f t="array" ref="A25">IFERROR(INDEX(_xlfn.ANCHORARRAY($Q$6),ROW()-5,1),"")</f>
        <v>46173</v>
      </c>
      <c r="B25" s="288" t="str" cm="1">
        <f t="array" ref="B25">IFERROR(INDEX(_xlfn.ANCHORARRAY($Q$6),ROW()-5,2),"")</f>
        <v>SAMARPAN LOGISTICS PVT LTD</v>
      </c>
      <c r="C25" s="289" t="str" cm="1">
        <f t="array" ref="C25">IFERROR(INDEX(_xlfn.ANCHORARRAY($Q$6),ROW()-5,3),"")</f>
        <v/>
      </c>
      <c r="D25" s="218" t="str">
        <f>IF($A25="","",IF($K25="DIESEL",SUMIFS(Table1[Quantity],Table1[Customer],$B25,Table1[Date],$A25,Table1[Bill No.],$C25),IF($K25="PETROL",SUMIFS(Table14[Quantity],Table14[Customer],$B25,Table14[Date],$A25,Table14[Bill No.],$C25),IF($K25="XtraGreen",SUMIFS(Table146[Quantity],Table146[Company],$B25,Table146[Date],$A25,Table146[Bill No.],$C25),""))))</f>
        <v/>
      </c>
      <c r="E25" s="219" t="str">
        <f>IF($A25="","",IF($K25="DIESEL",AVERAGEIFS(Table1[RSP],Table1[Customer],$B25,Table1[Date],$A25,Table1[Bill No.],$C25),IF($K25="PETROL",AVERAGEIFS(Table14[RSP],Table14[Customer],$B25,Table14[Date],$A25,Table14[Bill No.],$C25),IF($K25="XtraGreen",AVERAGEIFS(Table146[RSP],Table146[Company],$B25,Table146[Date],$A25,Table146[Bill No.],$C25),IFERROR($F25/$D25,"")))))</f>
        <v/>
      </c>
      <c r="F25" s="330">
        <f>IF($A25="","",IF($K25="DIESEL",SUMIFS(Table1[Amount],Table1[Customer],$B25,Table1[Date],$A25,Table1[Bill No.],$C25),IF($K25="PETROL",SUMIFS(Table14[Amount],Table14[Customer],$B25,Table14[Date],$A25,Table14[Bill No.],$C25),IF($K25="XtraGreen",SUMIFS(Table146[Amount],Table146[Company],$B25,Table146[Date],$A25,Table146[Bill No.],$C25),SUMIFS('Other Sale'!$D:$D,'Other Sale'!$E:$E,$B25,'Other Sale'!$C:$C,$K25,'Other Sale'!$A:$A,$A25)))))</f>
        <v>0</v>
      </c>
      <c r="G25" s="330" cm="1">
        <f t="array" ref="G25">IF($A25="","",IF($K25="Payment",IFERROR(INDEX(_xlfn._xlws.FILTER(MasterPaid[Amount Paid],(MasterPaid[Customer]=$B25)*(MasterPaid[Date]=$A25)),COUNTIFS($A$6:$A25,$A25,$B$6:$B25,$B25,$K$6:$K25,"Payment")),0),0))</f>
        <v>301918</v>
      </c>
      <c r="H25" s="331">
        <v>302</v>
      </c>
      <c r="I25" s="331"/>
      <c r="J25" s="330">
        <f t="shared" si="0"/>
        <v>0</v>
      </c>
      <c r="K25" s="289" t="str" cm="1">
        <f t="array" ref="K25">IFERROR(INDEX(_xlfn.ANCHORARRAY($Q$6),ROW()-5,4),"")</f>
        <v>Payment</v>
      </c>
      <c r="L25" s="290"/>
      <c r="Q25">
        <v>46173</v>
      </c>
      <c r="R25" t="str">
        <v>SAMARPAN LOGISTICS PVT LTD</v>
      </c>
      <c r="S25" t="str">
        <v/>
      </c>
      <c r="T25" t="str">
        <v>Payment</v>
      </c>
      <c r="U25">
        <f>IF(OR($A25="",$F25=""),0,MAX(0,MIN($F25,SUMIFS($F$6:$F25,$B$6:$B25,$B25)-(SUMIFS($G$6:$G$355,$B$6:$B$355,$B25)+SUMIFS($H$6:$H$355,$B$6:$B$355,$B25)+SUMIFS($I$6:$I$355,$B$6:$B$355,$B25)))))</f>
        <v>0</v>
      </c>
      <c r="Y25" s="295"/>
      <c r="Z25" s="220"/>
      <c r="AA25" s="296"/>
      <c r="AB25" s="334"/>
      <c r="AD25" s="468"/>
      <c r="AE25" s="342"/>
      <c r="AF25" s="342"/>
      <c r="AG25" s="342"/>
      <c r="AH25" s="342"/>
      <c r="AI25" s="342"/>
      <c r="AJ25" s="342"/>
      <c r="AK25" s="342"/>
      <c r="AL25" s="342"/>
      <c r="AM25" s="342"/>
      <c r="AN25" s="342"/>
      <c r="AO25" s="342"/>
      <c r="AP25" s="342"/>
      <c r="AQ25" s="342"/>
      <c r="AR25" s="342"/>
      <c r="AS25" s="342"/>
      <c r="AT25" s="342"/>
      <c r="AU25" s="342"/>
      <c r="AV25" s="342"/>
      <c r="AW25" s="342"/>
      <c r="AX25" s="342"/>
      <c r="AY25" s="342"/>
      <c r="AZ25" s="342"/>
      <c r="BA25" s="342"/>
      <c r="BB25" s="342"/>
      <c r="BC25" s="342"/>
      <c r="BD25" s="342"/>
      <c r="BE25" s="342"/>
      <c r="BF25" s="342"/>
      <c r="BG25" s="342"/>
      <c r="BH25" s="342"/>
      <c r="BI25" s="342"/>
      <c r="BJ25" s="342"/>
      <c r="BK25" s="342"/>
      <c r="BL25" s="342"/>
    </row>
    <row r="26" spans="1:64" ht="21.75" x14ac:dyDescent="0.25">
      <c r="A26" s="217" cm="1">
        <f t="array" ref="A26">IFERROR(INDEX(_xlfn.ANCHORARRAY($Q$6),ROW()-5,1),"")</f>
        <v>46183</v>
      </c>
      <c r="B26" s="288" t="str" cm="1">
        <f t="array" ref="B26">IFERROR(INDEX(_xlfn.ANCHORARRAY($Q$6),ROW()-5,2),"")</f>
        <v>Bkd Logistics Private Limited</v>
      </c>
      <c r="C26" s="289" t="str" cm="1">
        <f t="array" ref="C26">IFERROR(INDEX(_xlfn.ANCHORARRAY($Q$6),ROW()-5,3),"")</f>
        <v>808</v>
      </c>
      <c r="D26" s="218">
        <f>IF($A26="","",IF($K26="DIESEL",SUMIFS(Table1[Quantity],Table1[Customer],$B26,Table1[Date],$A26,Table1[Bill No.],$C26),IF($K26="PETROL",SUMIFS(Table14[Quantity],Table14[Customer],$B26,Table14[Date],$A26,Table14[Bill No.],$C26),IF($K26="XtraGreen",SUMIFS(Table146[Quantity],Table146[Company],$B26,Table146[Date],$A26,Table146[Bill No.],$C26),""))))</f>
        <v>1500</v>
      </c>
      <c r="E26" s="219">
        <f>IF($A26="","",IF($K26="DIESEL",AVERAGEIFS(Table1[RSP],Table1[Customer],$B26,Table1[Date],$A26,Table1[Bill No.],$C26),IF($K26="PETROL",AVERAGEIFS(Table14[RSP],Table14[Customer],$B26,Table14[Date],$A26,Table14[Bill No.],$C26),IF($K26="XtraGreen",AVERAGEIFS(Table146[RSP],Table146[Company],$B26,Table146[Date],$A26,Table146[Bill No.],$C26),IFERROR($F26/$D26,"")))))</f>
        <v>100.74</v>
      </c>
      <c r="F26" s="330">
        <f>IF($A26="","",IF($K26="DIESEL",SUMIFS(Table1[Amount],Table1[Customer],$B26,Table1[Date],$A26,Table1[Bill No.],$C26),IF($K26="PETROL",SUMIFS(Table14[Amount],Table14[Customer],$B26,Table14[Date],$A26,Table14[Bill No.],$C26),IF($K26="XtraGreen",SUMIFS(Table146[Amount],Table146[Company],$B26,Table146[Date],$A26,Table146[Bill No.],$C26),SUMIFS('Other Sale'!$D:$D,'Other Sale'!$E:$E,$B26,'Other Sale'!$C:$C,$K26,'Other Sale'!$A:$A,$A26)))))</f>
        <v>151110</v>
      </c>
      <c r="G26" s="330" cm="1">
        <f t="array" ref="G26">IF($A26="","",IF($K26="Payment",IFERROR(INDEX(_xlfn._xlws.FILTER(MasterPaid[Amount Paid],(MasterPaid[Customer]=$B26)*(MasterPaid[Date]=$A26)),COUNTIFS($A$6:$A26,$A26,$B$6:$B26,$B26,$K$6:$K26,"Payment")),0),0))</f>
        <v>0</v>
      </c>
      <c r="H26" s="331"/>
      <c r="I26" s="331"/>
      <c r="J26" s="330">
        <f t="shared" si="0"/>
        <v>151110</v>
      </c>
      <c r="K26" s="289" t="str" cm="1">
        <f t="array" ref="K26">IFERROR(INDEX(_xlfn.ANCHORARRAY($Q$6),ROW()-5,4),"")</f>
        <v>DIESEL</v>
      </c>
      <c r="L26" s="290"/>
      <c r="Q26">
        <v>46183</v>
      </c>
      <c r="R26" t="str">
        <v>Bkd Logistics Private Limited</v>
      </c>
      <c r="S26" t="str">
        <v>808</v>
      </c>
      <c r="T26" t="str">
        <v>DIESEL</v>
      </c>
      <c r="U26">
        <f>IF(OR($A26="",$F26=""),0,MAX(0,MIN($F26,SUMIFS($F$6:$F26,$B$6:$B26,$B26)-(SUMIFS($G$6:$G$355,$B$6:$B$355,$B26)+SUMIFS($H$6:$H$355,$B$6:$B$355,$B26)+SUMIFS($I$6:$I$355,$B$6:$B$355,$B26)))))</f>
        <v>0</v>
      </c>
      <c r="AD26" s="468"/>
      <c r="AE26" s="342"/>
      <c r="AF26" s="342"/>
      <c r="AG26" s="342"/>
      <c r="AH26" s="342"/>
      <c r="AI26" s="342"/>
      <c r="AJ26" s="342"/>
      <c r="AK26" s="342"/>
      <c r="AL26" s="342"/>
      <c r="AM26" s="342"/>
      <c r="AN26" s="342"/>
      <c r="AO26" s="342"/>
      <c r="AP26" s="342"/>
      <c r="AQ26" s="342"/>
      <c r="AR26" s="342"/>
      <c r="AS26" s="342"/>
      <c r="AT26" s="342"/>
      <c r="AU26" s="342"/>
      <c r="AV26" s="342"/>
      <c r="AW26" s="342"/>
      <c r="AX26" s="342"/>
      <c r="AY26" s="342"/>
      <c r="AZ26" s="342"/>
      <c r="BA26" s="342"/>
      <c r="BB26" s="342"/>
      <c r="BC26" s="342"/>
      <c r="BD26" s="342"/>
      <c r="BE26" s="342"/>
      <c r="BF26" s="342"/>
      <c r="BG26" s="342"/>
      <c r="BH26" s="342"/>
      <c r="BI26" s="342"/>
      <c r="BJ26" s="342"/>
      <c r="BK26" s="342"/>
      <c r="BL26" s="342"/>
    </row>
    <row r="27" spans="1:64" ht="21.75" x14ac:dyDescent="0.25">
      <c r="A27" s="217" cm="1">
        <f t="array" ref="A27">IFERROR(INDEX(_xlfn.ANCHORARRAY($Q$6),ROW()-5,1),"")</f>
        <v>46183</v>
      </c>
      <c r="B27" s="288" t="str" cm="1">
        <f t="array" ref="B27">IFERROR(INDEX(_xlfn.ANCHORARRAY($Q$6),ROW()-5,2),"")</f>
        <v>Maa Karni Earthmover Private Limited</v>
      </c>
      <c r="C27" s="289" t="str" cm="1">
        <f t="array" ref="C27">IFERROR(INDEX(_xlfn.ANCHORARRAY($Q$6),ROW()-5,3),"")</f>
        <v>809</v>
      </c>
      <c r="D27" s="218">
        <f>IF($A27="","",IF($K27="DIESEL",SUMIFS(Table1[Quantity],Table1[Customer],$B27,Table1[Date],$A27,Table1[Bill No.],$C27),IF($K27="PETROL",SUMIFS(Table14[Quantity],Table14[Customer],$B27,Table14[Date],$A27,Table14[Bill No.],$C27),IF($K27="XtraGreen",SUMIFS(Table146[Quantity],Table146[Company],$B27,Table146[Date],$A27,Table146[Bill No.],$C27),""))))</f>
        <v>1500</v>
      </c>
      <c r="E27" s="219">
        <f>IF($A27="","",IF($K27="DIESEL",AVERAGEIFS(Table1[RSP],Table1[Customer],$B27,Table1[Date],$A27,Table1[Bill No.],$C27),IF($K27="PETROL",AVERAGEIFS(Table14[RSP],Table14[Customer],$B27,Table14[Date],$A27,Table14[Bill No.],$C27),IF($K27="XtraGreen",AVERAGEIFS(Table146[RSP],Table146[Company],$B27,Table146[Date],$A27,Table146[Bill No.],$C27),IFERROR($F27/$D27,"")))))</f>
        <v>100.74</v>
      </c>
      <c r="F27" s="330">
        <f>IF($A27="","",IF($K27="DIESEL",SUMIFS(Table1[Amount],Table1[Customer],$B27,Table1[Date],$A27,Table1[Bill No.],$C27),IF($K27="PETROL",SUMIFS(Table14[Amount],Table14[Customer],$B27,Table14[Date],$A27,Table14[Bill No.],$C27),IF($K27="XtraGreen",SUMIFS(Table146[Amount],Table146[Company],$B27,Table146[Date],$A27,Table146[Bill No.],$C27),SUMIFS('Other Sale'!$D:$D,'Other Sale'!$E:$E,$B27,'Other Sale'!$C:$C,$K27,'Other Sale'!$A:$A,$A27)))))</f>
        <v>151110</v>
      </c>
      <c r="G27" s="330" cm="1">
        <f t="array" ref="G27">IF($A27="","",IF($K27="Payment",IFERROR(INDEX(_xlfn._xlws.FILTER(MasterPaid[Amount Paid],(MasterPaid[Customer]=$B27)*(MasterPaid[Date]=$A27)),COUNTIFS($A$6:$A27,$A27,$B$6:$B27,$B27,$K$6:$K27,"Payment")),0),0))</f>
        <v>0</v>
      </c>
      <c r="H27" s="331"/>
      <c r="I27" s="331"/>
      <c r="J27" s="330">
        <f t="shared" si="0"/>
        <v>302220</v>
      </c>
      <c r="K27" s="289" t="str" cm="1">
        <f t="array" ref="K27">IFERROR(INDEX(_xlfn.ANCHORARRAY($Q$6),ROW()-5,4),"")</f>
        <v>DIESEL</v>
      </c>
      <c r="L27" s="290"/>
      <c r="Q27">
        <v>46183</v>
      </c>
      <c r="R27" t="str">
        <v>Maa Karni Earthmover Private Limited</v>
      </c>
      <c r="S27" t="str">
        <v>809</v>
      </c>
      <c r="T27" t="str">
        <v>DIESEL</v>
      </c>
      <c r="U27">
        <f>IF(OR($A27="",$F27=""),0,MAX(0,MIN($F27,SUMIFS($F$6:$F27,$B$6:$B27,$B27)-(SUMIFS($G$6:$G$355,$B$6:$B$355,$B27)+SUMIFS($H$6:$H$355,$B$6:$B$355,$B27)+SUMIFS($I$6:$I$355,$B$6:$B$355,$B27)))))</f>
        <v>0</v>
      </c>
      <c r="AD27" s="468"/>
      <c r="AE27" s="342"/>
      <c r="AF27" s="342"/>
      <c r="AG27" s="342"/>
      <c r="AH27" s="342"/>
      <c r="AI27" s="342"/>
      <c r="AJ27" s="342"/>
      <c r="AK27" s="342"/>
      <c r="AL27" s="342"/>
      <c r="AM27" s="342"/>
      <c r="AN27" s="342"/>
      <c r="AO27" s="342"/>
      <c r="AP27" s="342"/>
      <c r="AQ27" s="342"/>
      <c r="AR27" s="342"/>
      <c r="AS27" s="342"/>
      <c r="AT27" s="342"/>
      <c r="AU27" s="342"/>
      <c r="AV27" s="342"/>
      <c r="AW27" s="342"/>
      <c r="AX27" s="342"/>
      <c r="AY27" s="342"/>
      <c r="AZ27" s="342"/>
      <c r="BA27" s="342"/>
      <c r="BB27" s="342"/>
      <c r="BC27" s="342"/>
      <c r="BD27" s="342"/>
      <c r="BE27" s="342"/>
      <c r="BF27" s="342"/>
      <c r="BG27" s="342"/>
      <c r="BH27" s="342"/>
      <c r="BI27" s="342"/>
      <c r="BJ27" s="342"/>
      <c r="BK27" s="342"/>
      <c r="BL27" s="342"/>
    </row>
    <row r="28" spans="1:64" ht="21.75" x14ac:dyDescent="0.25">
      <c r="A28" s="217" cm="1">
        <f t="array" ref="A28">IFERROR(INDEX(_xlfn.ANCHORARRAY($Q$6),ROW()-5,1),"")</f>
        <v>46185</v>
      </c>
      <c r="B28" s="288" t="str" cm="1">
        <f t="array" ref="B28">IFERROR(INDEX(_xlfn.ANCHORARRAY($Q$6),ROW()-5,2),"")</f>
        <v>Bkd Logistics Private Limited</v>
      </c>
      <c r="C28" s="289" t="str" cm="1">
        <f t="array" ref="C28">IFERROR(INDEX(_xlfn.ANCHORARRAY($Q$6),ROW()-5,3),"")</f>
        <v/>
      </c>
      <c r="D28" s="218" t="str">
        <f>IF($A28="","",IF($K28="DIESEL",SUMIFS(Table1[Quantity],Table1[Customer],$B28,Table1[Date],$A28,Table1[Bill No.],$C28),IF($K28="PETROL",SUMIFS(Table14[Quantity],Table14[Customer],$B28,Table14[Date],$A28,Table14[Bill No.],$C28),IF($K28="XtraGreen",SUMIFS(Table146[Quantity],Table146[Company],$B28,Table146[Date],$A28,Table146[Bill No.],$C28),""))))</f>
        <v/>
      </c>
      <c r="E28" s="219" t="str">
        <f>IF($A28="","",IF($K28="DIESEL",AVERAGEIFS(Table1[RSP],Table1[Customer],$B28,Table1[Date],$A28,Table1[Bill No.],$C28),IF($K28="PETROL",AVERAGEIFS(Table14[RSP],Table14[Customer],$B28,Table14[Date],$A28,Table14[Bill No.],$C28),IF($K28="XtraGreen",AVERAGEIFS(Table146[RSP],Table146[Company],$B28,Table146[Date],$A28,Table146[Bill No.],$C28),IFERROR($F28/$D28,"")))))</f>
        <v/>
      </c>
      <c r="F28" s="330">
        <f>IF($A28="","",IF($K28="DIESEL",SUMIFS(Table1[Amount],Table1[Customer],$B28,Table1[Date],$A28,Table1[Bill No.],$C28),IF($K28="PETROL",SUMIFS(Table14[Amount],Table14[Customer],$B28,Table14[Date],$A28,Table14[Bill No.],$C28),IF($K28="XtraGreen",SUMIFS(Table146[Amount],Table146[Company],$B28,Table146[Date],$A28,Table146[Bill No.],$C28),SUMIFS('Other Sale'!$D:$D,'Other Sale'!$E:$E,$B28,'Other Sale'!$C:$C,$K28,'Other Sale'!$A:$A,$A28)))))</f>
        <v>0</v>
      </c>
      <c r="G28" s="330" cm="1">
        <f t="array" ref="G28">IF($A28="","",IF($K28="Payment",IFERROR(INDEX(_xlfn._xlws.FILTER(MasterPaid[Amount Paid],(MasterPaid[Customer]=$B28)*(MasterPaid[Date]=$A28)),COUNTIFS($A$6:$A28,$A28,$B$6:$B28,$B28,$K$6:$K28,"Payment")),0),0))</f>
        <v>150958</v>
      </c>
      <c r="H28" s="331">
        <v>152</v>
      </c>
      <c r="I28" s="331"/>
      <c r="J28" s="330">
        <f t="shared" si="0"/>
        <v>151110</v>
      </c>
      <c r="K28" s="289" t="str" cm="1">
        <f t="array" ref="K28">IFERROR(INDEX(_xlfn.ANCHORARRAY($Q$6),ROW()-5,4),"")</f>
        <v>Payment</v>
      </c>
      <c r="L28" s="290"/>
      <c r="Q28">
        <v>46185</v>
      </c>
      <c r="R28" t="str">
        <v>Bkd Logistics Private Limited</v>
      </c>
      <c r="S28" t="str">
        <v/>
      </c>
      <c r="T28" t="str">
        <v>Payment</v>
      </c>
      <c r="U28">
        <f>IF(OR($A28="",$F28=""),0,MAX(0,MIN($F28,SUMIFS($F$6:$F28,$B$6:$B28,$B28)-(SUMIFS($G$6:$G$355,$B$6:$B$355,$B28)+SUMIFS($H$6:$H$355,$B$6:$B$355,$B28)+SUMIFS($I$6:$I$355,$B$6:$B$355,$B28)))))</f>
        <v>0</v>
      </c>
      <c r="AD28" s="468"/>
      <c r="AE28" s="342"/>
      <c r="AF28" s="342"/>
      <c r="AG28" s="342"/>
      <c r="AH28" s="342"/>
      <c r="AI28" s="342"/>
      <c r="AJ28" s="342"/>
      <c r="AK28" s="342"/>
      <c r="AL28" s="342"/>
      <c r="AM28" s="342"/>
      <c r="AN28" s="342"/>
      <c r="AO28" s="342"/>
      <c r="AP28" s="342"/>
      <c r="AQ28" s="342"/>
      <c r="AR28" s="342"/>
      <c r="AS28" s="342"/>
      <c r="AT28" s="342"/>
      <c r="AU28" s="342"/>
      <c r="AV28" s="342"/>
      <c r="AW28" s="342"/>
      <c r="AX28" s="342"/>
      <c r="AY28" s="342"/>
      <c r="AZ28" s="342"/>
      <c r="BA28" s="342"/>
      <c r="BB28" s="342"/>
      <c r="BC28" s="342"/>
      <c r="BD28" s="342"/>
      <c r="BE28" s="342"/>
      <c r="BF28" s="342"/>
      <c r="BG28" s="342"/>
      <c r="BH28" s="342"/>
      <c r="BI28" s="342"/>
      <c r="BJ28" s="342"/>
      <c r="BK28" s="342"/>
      <c r="BL28" s="342"/>
    </row>
    <row r="29" spans="1:64" ht="21.75" x14ac:dyDescent="0.25">
      <c r="A29" s="217" cm="1">
        <f t="array" ref="A29">IFERROR(INDEX(_xlfn.ANCHORARRAY($Q$6),ROW()-5,1),"")</f>
        <v>46185</v>
      </c>
      <c r="B29" s="288" t="str" cm="1">
        <f t="array" ref="B29">IFERROR(INDEX(_xlfn.ANCHORARRAY($Q$6),ROW()-5,2),"")</f>
        <v>Maa Karni Earthmover Private Limited</v>
      </c>
      <c r="C29" s="289" t="str" cm="1">
        <f t="array" ref="C29">IFERROR(INDEX(_xlfn.ANCHORARRAY($Q$6),ROW()-5,3),"")</f>
        <v/>
      </c>
      <c r="D29" s="218" t="str">
        <f>IF($A29="","",IF($K29="DIESEL",SUMIFS(Table1[Quantity],Table1[Customer],$B29,Table1[Date],$A29,Table1[Bill No.],$C29),IF($K29="PETROL",SUMIFS(Table14[Quantity],Table14[Customer],$B29,Table14[Date],$A29,Table14[Bill No.],$C29),IF($K29="XtraGreen",SUMIFS(Table146[Quantity],Table146[Company],$B29,Table146[Date],$A29,Table146[Bill No.],$C29),""))))</f>
        <v/>
      </c>
      <c r="E29" s="219" t="str">
        <f>IF($A29="","",IF($K29="DIESEL",AVERAGEIFS(Table1[RSP],Table1[Customer],$B29,Table1[Date],$A29,Table1[Bill No.],$C29),IF($K29="PETROL",AVERAGEIFS(Table14[RSP],Table14[Customer],$B29,Table14[Date],$A29,Table14[Bill No.],$C29),IF($K29="XtraGreen",AVERAGEIFS(Table146[RSP],Table146[Company],$B29,Table146[Date],$A29,Table146[Bill No.],$C29),IFERROR($F29/$D29,"")))))</f>
        <v/>
      </c>
      <c r="F29" s="330">
        <f>IF($A29="","",IF($K29="DIESEL",SUMIFS(Table1[Amount],Table1[Customer],$B29,Table1[Date],$A29,Table1[Bill No.],$C29),IF($K29="PETROL",SUMIFS(Table14[Amount],Table14[Customer],$B29,Table14[Date],$A29,Table14[Bill No.],$C29),IF($K29="XtraGreen",SUMIFS(Table146[Amount],Table146[Company],$B29,Table146[Date],$A29,Table146[Bill No.],$C29),SUMIFS('Other Sale'!$D:$D,'Other Sale'!$E:$E,$B29,'Other Sale'!$C:$C,$K29,'Other Sale'!$A:$A,$A29)))))</f>
        <v>0</v>
      </c>
      <c r="G29" s="330" cm="1">
        <f t="array" ref="G29">IF($A29="","",IF($K29="Payment",IFERROR(INDEX(_xlfn._xlws.FILTER(MasterPaid[Amount Paid],(MasterPaid[Customer]=$B29)*(MasterPaid[Date]=$A29)),COUNTIFS($A$6:$A29,$A29,$B$6:$B29,$B29,$K$6:$K29,"Payment")),0),0))</f>
        <v>150958</v>
      </c>
      <c r="H29" s="331">
        <v>152</v>
      </c>
      <c r="I29" s="331"/>
      <c r="J29" s="330">
        <f t="shared" si="0"/>
        <v>0</v>
      </c>
      <c r="K29" s="289" t="str" cm="1">
        <f t="array" ref="K29">IFERROR(INDEX(_xlfn.ANCHORARRAY($Q$6),ROW()-5,4),"")</f>
        <v>Payment</v>
      </c>
      <c r="L29" s="290"/>
      <c r="Q29">
        <v>46185</v>
      </c>
      <c r="R29" t="str">
        <v>Maa Karni Earthmover Private Limited</v>
      </c>
      <c r="S29" t="str">
        <v/>
      </c>
      <c r="T29" t="str">
        <v>Payment</v>
      </c>
      <c r="U29">
        <f>IF(OR($A29="",$F29=""),0,MAX(0,MIN($F29,SUMIFS($F$6:$F29,$B$6:$B29,$B29)-(SUMIFS($G$6:$G$355,$B$6:$B$355,$B29)+SUMIFS($H$6:$H$355,$B$6:$B$355,$B29)+SUMIFS($I$6:$I$355,$B$6:$B$355,$B29)))))</f>
        <v>0</v>
      </c>
      <c r="AD29" s="468"/>
      <c r="AE29" s="342"/>
      <c r="AF29" s="342"/>
      <c r="AG29" s="342"/>
      <c r="AH29" s="342"/>
      <c r="AI29" s="342"/>
      <c r="AJ29" s="342"/>
      <c r="AK29" s="342"/>
      <c r="AL29" s="342"/>
      <c r="AM29" s="342"/>
      <c r="AN29" s="342"/>
      <c r="AO29" s="342"/>
      <c r="AP29" s="342"/>
      <c r="AQ29" s="342"/>
      <c r="AR29" s="342"/>
      <c r="AS29" s="342"/>
      <c r="AT29" s="342"/>
      <c r="AU29" s="342"/>
      <c r="AV29" s="342"/>
      <c r="AW29" s="342"/>
      <c r="AX29" s="342"/>
      <c r="AY29" s="342"/>
      <c r="AZ29" s="342"/>
      <c r="BA29" s="342"/>
      <c r="BB29" s="342"/>
      <c r="BC29" s="342"/>
      <c r="BD29" s="342"/>
      <c r="BE29" s="342"/>
      <c r="BF29" s="342"/>
      <c r="BG29" s="342"/>
      <c r="BH29" s="342"/>
      <c r="BI29" s="342"/>
      <c r="BJ29" s="342"/>
      <c r="BK29" s="342"/>
      <c r="BL29" s="342"/>
    </row>
    <row r="30" spans="1:64" ht="21.75" x14ac:dyDescent="0.25">
      <c r="A30" s="217" cm="1">
        <f t="array" ref="A30">IFERROR(INDEX(_xlfn.ANCHORARRAY($Q$6),ROW()-5,1),"")</f>
        <v>46187</v>
      </c>
      <c r="B30" s="288" t="str" cm="1">
        <f t="array" ref="B30">IFERROR(INDEX(_xlfn.ANCHORARRAY($Q$6),ROW()-5,2),"")</f>
        <v>Grk Logistics Private Limited</v>
      </c>
      <c r="C30" s="289" t="str" cm="1">
        <f t="array" ref="C30">IFERROR(INDEX(_xlfn.ANCHORARRAY($Q$6),ROW()-5,3),"")</f>
        <v>857</v>
      </c>
      <c r="D30" s="218">
        <f>IF($A30="","",IF($K30="DIESEL",SUMIFS(Table1[Quantity],Table1[Customer],$B30,Table1[Date],$A30,Table1[Bill No.],$C30),IF($K30="PETROL",SUMIFS(Table14[Quantity],Table14[Customer],$B30,Table14[Date],$A30,Table14[Bill No.],$C30),IF($K30="XtraGreen",SUMIFS(Table146[Quantity],Table146[Company],$B30,Table146[Date],$A30,Table146[Bill No.],$C30),""))))</f>
        <v>2000</v>
      </c>
      <c r="E30" s="219">
        <f>IF($A30="","",IF($K30="DIESEL",AVERAGEIFS(Table1[RSP],Table1[Customer],$B30,Table1[Date],$A30,Table1[Bill No.],$C30),IF($K30="PETROL",AVERAGEIFS(Table14[RSP],Table14[Customer],$B30,Table14[Date],$A30,Table14[Bill No.],$C30),IF($K30="XtraGreen",AVERAGEIFS(Table146[RSP],Table146[Company],$B30,Table146[Date],$A30,Table146[Bill No.],$C30),IFERROR($F30/$D30,"")))))</f>
        <v>100.74</v>
      </c>
      <c r="F30" s="330">
        <f>IF($A30="","",IF($K30="DIESEL",SUMIFS(Table1[Amount],Table1[Customer],$B30,Table1[Date],$A30,Table1[Bill No.],$C30),IF($K30="PETROL",SUMIFS(Table14[Amount],Table14[Customer],$B30,Table14[Date],$A30,Table14[Bill No.],$C30),IF($K30="XtraGreen",SUMIFS(Table146[Amount],Table146[Company],$B30,Table146[Date],$A30,Table146[Bill No.],$C30),SUMIFS('Other Sale'!$D:$D,'Other Sale'!$E:$E,$B30,'Other Sale'!$C:$C,$K30,'Other Sale'!$A:$A,$A30)))))</f>
        <v>201480</v>
      </c>
      <c r="G30" s="330" cm="1">
        <f t="array" ref="G30">IF($A30="","",IF($K30="Payment",IFERROR(INDEX(_xlfn._xlws.FILTER(MasterPaid[Amount Paid],(MasterPaid[Customer]=$B30)*(MasterPaid[Date]=$A30)),COUNTIFS($A$6:$A30,$A30,$B$6:$B30,$B30,$K$6:$K30,"Payment")),0),0))</f>
        <v>0</v>
      </c>
      <c r="H30" s="331"/>
      <c r="I30" s="331"/>
      <c r="J30" s="330">
        <f t="shared" si="0"/>
        <v>201480</v>
      </c>
      <c r="K30" s="289" t="str" cm="1">
        <f t="array" ref="K30">IFERROR(INDEX(_xlfn.ANCHORARRAY($Q$6),ROW()-5,4),"")</f>
        <v>DIESEL</v>
      </c>
      <c r="L30" s="290"/>
      <c r="Q30">
        <v>46187</v>
      </c>
      <c r="R30" t="str">
        <v>Grk Logistics Private Limited</v>
      </c>
      <c r="S30" t="str">
        <v>857</v>
      </c>
      <c r="T30" t="str">
        <v>DIESEL</v>
      </c>
      <c r="U30">
        <f>IF(OR($A30="",$F30=""),0,MAX(0,MIN($F30,SUMIFS($F$6:$F30,$B$6:$B30,$B30)-(SUMIFS($G$6:$G$355,$B$6:$B$355,$B30)+SUMIFS($H$6:$H$355,$B$6:$B$355,$B30)+SUMIFS($I$6:$I$355,$B$6:$B$355,$B30)))))</f>
        <v>0</v>
      </c>
      <c r="AD30" s="468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</row>
    <row r="31" spans="1:64" ht="21.75" x14ac:dyDescent="0.25">
      <c r="A31" s="217" cm="1">
        <f t="array" ref="A31">IFERROR(INDEX(_xlfn.ANCHORARRAY($Q$6),ROW()-5,1),"")</f>
        <v>46187</v>
      </c>
      <c r="B31" s="288" t="str" cm="1">
        <f t="array" ref="B31">IFERROR(INDEX(_xlfn.ANCHORARRAY($Q$6),ROW()-5,2),"")</f>
        <v>S K Trading</v>
      </c>
      <c r="C31" s="289" t="str" cm="1">
        <f t="array" ref="C31">IFERROR(INDEX(_xlfn.ANCHORARRAY($Q$6),ROW()-5,3),"")</f>
        <v>858</v>
      </c>
      <c r="D31" s="218">
        <f>IF($A31="","",IF($K31="DIESEL",SUMIFS(Table1[Quantity],Table1[Customer],$B31,Table1[Date],$A31,Table1[Bill No.],$C31),IF($K31="PETROL",SUMIFS(Table14[Quantity],Table14[Customer],$B31,Table14[Date],$A31,Table14[Bill No.],$C31),IF($K31="XtraGreen",SUMIFS(Table146[Quantity],Table146[Company],$B31,Table146[Date],$A31,Table146[Bill No.],$C31),""))))</f>
        <v>2000</v>
      </c>
      <c r="E31" s="219">
        <f>IF($A31="","",IF($K31="DIESEL",AVERAGEIFS(Table1[RSP],Table1[Customer],$B31,Table1[Date],$A31,Table1[Bill No.],$C31),IF($K31="PETROL",AVERAGEIFS(Table14[RSP],Table14[Customer],$B31,Table14[Date],$A31,Table14[Bill No.],$C31),IF($K31="XtraGreen",AVERAGEIFS(Table146[RSP],Table146[Company],$B31,Table146[Date],$A31,Table146[Bill No.],$C31),IFERROR($F31/$D31,"")))))</f>
        <v>100.74</v>
      </c>
      <c r="F31" s="330">
        <f>IF($A31="","",IF($K31="DIESEL",SUMIFS(Table1[Amount],Table1[Customer],$B31,Table1[Date],$A31,Table1[Bill No.],$C31),IF($K31="PETROL",SUMIFS(Table14[Amount],Table14[Customer],$B31,Table14[Date],$A31,Table14[Bill No.],$C31),IF($K31="XtraGreen",SUMIFS(Table146[Amount],Table146[Company],$B31,Table146[Date],$A31,Table146[Bill No.],$C31),SUMIFS('Other Sale'!$D:$D,'Other Sale'!$E:$E,$B31,'Other Sale'!$C:$C,$K31,'Other Sale'!$A:$A,$A31)))))</f>
        <v>201480</v>
      </c>
      <c r="G31" s="330" cm="1">
        <f t="array" ref="G31">IF($A31="","",IF($K31="Payment",IFERROR(INDEX(_xlfn._xlws.FILTER(MasterPaid[Amount Paid],(MasterPaid[Customer]=$B31)*(MasterPaid[Date]=$A31)),COUNTIFS($A$6:$A31,$A31,$B$6:$B31,$B31,$K$6:$K31,"Payment")),0),0))</f>
        <v>0</v>
      </c>
      <c r="H31" s="331"/>
      <c r="I31" s="331"/>
      <c r="J31" s="330">
        <f t="shared" si="0"/>
        <v>402960</v>
      </c>
      <c r="K31" s="289" t="str" cm="1">
        <f t="array" ref="K31">IFERROR(INDEX(_xlfn.ANCHORARRAY($Q$6),ROW()-5,4),"")</f>
        <v>DIESEL</v>
      </c>
      <c r="L31" s="290"/>
      <c r="Q31">
        <v>46187</v>
      </c>
      <c r="R31" t="str">
        <v>S K Trading</v>
      </c>
      <c r="S31" t="str">
        <v>858</v>
      </c>
      <c r="T31" t="str">
        <v>DIESEL</v>
      </c>
      <c r="U31">
        <f>IF(OR($A31="",$F31=""),0,MAX(0,MIN($F31,SUMIFS($F$6:$F31,$B$6:$B31,$B31)-(SUMIFS($G$6:$G$355,$B$6:$B$355,$B31)+SUMIFS($H$6:$H$355,$B$6:$B$355,$B31)+SUMIFS($I$6:$I$355,$B$6:$B$355,$B31)))))</f>
        <v>0</v>
      </c>
      <c r="AD31" s="468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2"/>
      <c r="AQ31" s="342"/>
      <c r="AR31" s="342"/>
      <c r="AS31" s="342"/>
      <c r="AT31" s="342"/>
      <c r="AU31" s="342"/>
      <c r="AV31" s="342"/>
      <c r="AW31" s="342"/>
      <c r="AX31" s="342"/>
      <c r="AY31" s="342"/>
      <c r="AZ31" s="342"/>
      <c r="BA31" s="342"/>
      <c r="BB31" s="342"/>
      <c r="BC31" s="342"/>
      <c r="BD31" s="342"/>
      <c r="BE31" s="342"/>
      <c r="BF31" s="342"/>
      <c r="BG31" s="342"/>
      <c r="BH31" s="342"/>
      <c r="BI31" s="342"/>
      <c r="BJ31" s="342"/>
      <c r="BK31" s="342"/>
      <c r="BL31" s="342"/>
    </row>
    <row r="32" spans="1:64" ht="21.75" x14ac:dyDescent="0.25">
      <c r="A32" s="217" cm="1">
        <f t="array" ref="A32">IFERROR(INDEX(_xlfn.ANCHORARRAY($Q$6),ROW()-5,1),"")</f>
        <v>46187</v>
      </c>
      <c r="B32" s="288" t="str" cm="1">
        <f t="array" ref="B32">IFERROR(INDEX(_xlfn.ANCHORARRAY($Q$6),ROW()-5,2),"")</f>
        <v>Virendra Logistics Private Limited</v>
      </c>
      <c r="C32" s="289" t="str" cm="1">
        <f t="array" ref="C32">IFERROR(INDEX(_xlfn.ANCHORARRAY($Q$6),ROW()-5,3),"")</f>
        <v>856</v>
      </c>
      <c r="D32" s="218">
        <f>IF($A32="","",IF($K32="DIESEL",SUMIFS(Table1[Quantity],Table1[Customer],$B32,Table1[Date],$A32,Table1[Bill No.],$C32),IF($K32="PETROL",SUMIFS(Table14[Quantity],Table14[Customer],$B32,Table14[Date],$A32,Table14[Bill No.],$C32),IF($K32="XtraGreen",SUMIFS(Table146[Quantity],Table146[Company],$B32,Table146[Date],$A32,Table146[Bill No.],$C32),""))))</f>
        <v>2000</v>
      </c>
      <c r="E32" s="219">
        <f>IF($A32="","",IF($K32="DIESEL",AVERAGEIFS(Table1[RSP],Table1[Customer],$B32,Table1[Date],$A32,Table1[Bill No.],$C32),IF($K32="PETROL",AVERAGEIFS(Table14[RSP],Table14[Customer],$B32,Table14[Date],$A32,Table14[Bill No.],$C32),IF($K32="XtraGreen",AVERAGEIFS(Table146[RSP],Table146[Company],$B32,Table146[Date],$A32,Table146[Bill No.],$C32),IFERROR($F32/$D32,"")))))</f>
        <v>100.74</v>
      </c>
      <c r="F32" s="330">
        <f>IF($A32="","",IF($K32="DIESEL",SUMIFS(Table1[Amount],Table1[Customer],$B32,Table1[Date],$A32,Table1[Bill No.],$C32),IF($K32="PETROL",SUMIFS(Table14[Amount],Table14[Customer],$B32,Table14[Date],$A32,Table14[Bill No.],$C32),IF($K32="XtraGreen",SUMIFS(Table146[Amount],Table146[Company],$B32,Table146[Date],$A32,Table146[Bill No.],$C32),SUMIFS('Other Sale'!$D:$D,'Other Sale'!$E:$E,$B32,'Other Sale'!$C:$C,$K32,'Other Sale'!$A:$A,$A32)))))</f>
        <v>201480</v>
      </c>
      <c r="G32" s="330" cm="1">
        <f t="array" ref="G32">IF($A32="","",IF($K32="Payment",IFERROR(INDEX(_xlfn._xlws.FILTER(MasterPaid[Amount Paid],(MasterPaid[Customer]=$B32)*(MasterPaid[Date]=$A32)),COUNTIFS($A$6:$A32,$A32,$B$6:$B32,$B32,$K$6:$K32,"Payment")),0),0))</f>
        <v>0</v>
      </c>
      <c r="H32" s="331"/>
      <c r="I32" s="331"/>
      <c r="J32" s="330">
        <f t="shared" si="0"/>
        <v>604440</v>
      </c>
      <c r="K32" s="289" t="str" cm="1">
        <f t="array" ref="K32">IFERROR(INDEX(_xlfn.ANCHORARRAY($Q$6),ROW()-5,4),"")</f>
        <v>DIESEL</v>
      </c>
      <c r="L32" s="290"/>
      <c r="Q32">
        <v>46187</v>
      </c>
      <c r="R32" t="str">
        <v>Virendra Logistics Private Limited</v>
      </c>
      <c r="S32" t="str">
        <v>856</v>
      </c>
      <c r="T32" t="str">
        <v>DIESEL</v>
      </c>
      <c r="U32">
        <f>IF(OR($A32="",$F32=""),0,MAX(0,MIN($F32,SUMIFS($F$6:$F32,$B$6:$B32,$B32)-(SUMIFS($G$6:$G$355,$B$6:$B$355,$B32)+SUMIFS($H$6:$H$355,$B$6:$B$355,$B32)+SUMIFS($I$6:$I$355,$B$6:$B$355,$B32)))))</f>
        <v>0</v>
      </c>
      <c r="AD32" s="468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342"/>
      <c r="AP32" s="342"/>
      <c r="AQ32" s="342"/>
      <c r="AR32" s="342"/>
      <c r="AS32" s="342"/>
      <c r="AT32" s="342"/>
      <c r="AU32" s="342"/>
      <c r="AV32" s="342"/>
      <c r="AW32" s="342"/>
      <c r="AX32" s="342"/>
      <c r="AY32" s="342"/>
      <c r="AZ32" s="342"/>
      <c r="BA32" s="342"/>
      <c r="BB32" s="342"/>
      <c r="BC32" s="342"/>
      <c r="BD32" s="342"/>
      <c r="BE32" s="342"/>
      <c r="BF32" s="342"/>
      <c r="BG32" s="342"/>
      <c r="BH32" s="342"/>
      <c r="BI32" s="342"/>
      <c r="BJ32" s="342"/>
      <c r="BK32" s="342"/>
      <c r="BL32" s="342"/>
    </row>
    <row r="33" spans="1:64" ht="21.75" x14ac:dyDescent="0.25">
      <c r="A33" s="217" cm="1">
        <f t="array" ref="A33">IFERROR(INDEX(_xlfn.ANCHORARRAY($Q$6),ROW()-5,1),"")</f>
        <v>46190</v>
      </c>
      <c r="B33" s="288" t="str" cm="1">
        <f t="array" ref="B33">IFERROR(INDEX(_xlfn.ANCHORARRAY($Q$6),ROW()-5,2),"")</f>
        <v>Virendra Logistics Private Limited</v>
      </c>
      <c r="C33" s="289" t="str" cm="1">
        <f t="array" ref="C33">IFERROR(INDEX(_xlfn.ANCHORARRAY($Q$6),ROW()-5,3),"")</f>
        <v/>
      </c>
      <c r="D33" s="218" t="str">
        <f>IF($A33="","",IF($K33="DIESEL",SUMIFS(Table1[Quantity],Table1[Customer],$B33,Table1[Date],$A33,Table1[Bill No.],$C33),IF($K33="PETROL",SUMIFS(Table14[Quantity],Table14[Customer],$B33,Table14[Date],$A33,Table14[Bill No.],$C33),IF($K33="XtraGreen",SUMIFS(Table146[Quantity],Table146[Company],$B33,Table146[Date],$A33,Table146[Bill No.],$C33),""))))</f>
        <v/>
      </c>
      <c r="E33" s="219" t="str">
        <f>IF($A33="","",IF($K33="DIESEL",AVERAGEIFS(Table1[RSP],Table1[Customer],$B33,Table1[Date],$A33,Table1[Bill No.],$C33),IF($K33="PETROL",AVERAGEIFS(Table14[RSP],Table14[Customer],$B33,Table14[Date],$A33,Table14[Bill No.],$C33),IF($K33="XtraGreen",AVERAGEIFS(Table146[RSP],Table146[Company],$B33,Table146[Date],$A33,Table146[Bill No.],$C33),IFERROR($F33/$D33,"")))))</f>
        <v/>
      </c>
      <c r="F33" s="330">
        <f>IF($A33="","",IF($K33="DIESEL",SUMIFS(Table1[Amount],Table1[Customer],$B33,Table1[Date],$A33,Table1[Bill No.],$C33),IF($K33="PETROL",SUMIFS(Table14[Amount],Table14[Customer],$B33,Table14[Date],$A33,Table14[Bill No.],$C33),IF($K33="XtraGreen",SUMIFS(Table146[Amount],Table146[Company],$B33,Table146[Date],$A33,Table146[Bill No.],$C33),SUMIFS('Other Sale'!$D:$D,'Other Sale'!$E:$E,$B33,'Other Sale'!$C:$C,$K33,'Other Sale'!$A:$A,$A33)))))</f>
        <v>0</v>
      </c>
      <c r="G33" s="330" cm="1">
        <f t="array" ref="G33">IF($A33="","",IF($K33="Payment",IFERROR(INDEX(_xlfn._xlws.FILTER(MasterPaid[Amount Paid],(MasterPaid[Customer]=$B33)*(MasterPaid[Date]=$A33)),COUNTIFS($A$6:$A33,$A33,$B$6:$B33,$B33,$K$6:$K33,"Payment")),0),0))</f>
        <v>201278</v>
      </c>
      <c r="H33" s="331">
        <v>202</v>
      </c>
      <c r="I33" s="331"/>
      <c r="J33" s="330">
        <f t="shared" si="0"/>
        <v>402960</v>
      </c>
      <c r="K33" s="289" t="str" cm="1">
        <f t="array" ref="K33">IFERROR(INDEX(_xlfn.ANCHORARRAY($Q$6),ROW()-5,4),"")</f>
        <v>Payment</v>
      </c>
      <c r="L33" s="290"/>
      <c r="Q33">
        <v>46190</v>
      </c>
      <c r="R33" t="str">
        <v>Virendra Logistics Private Limited</v>
      </c>
      <c r="S33" t="str">
        <v/>
      </c>
      <c r="T33" t="str">
        <v>Payment</v>
      </c>
      <c r="U33">
        <f>IF(OR($A33="",$F33=""),0,MAX(0,MIN($F33,SUMIFS($F$6:$F33,$B$6:$B33,$B33)-(SUMIFS($G$6:$G$355,$B$6:$B$355,$B33)+SUMIFS($H$6:$H$355,$B$6:$B$355,$B33)+SUMIFS($I$6:$I$355,$B$6:$B$355,$B33)))))</f>
        <v>0</v>
      </c>
      <c r="AD33" s="468"/>
      <c r="AE33" s="342"/>
      <c r="AF33" s="342"/>
      <c r="AG33" s="342"/>
      <c r="AH33" s="342"/>
      <c r="AI33" s="342"/>
      <c r="AJ33" s="342"/>
      <c r="AK33" s="342"/>
      <c r="AL33" s="342"/>
      <c r="AM33" s="342"/>
      <c r="AN33" s="342"/>
      <c r="AO33" s="342"/>
      <c r="AP33" s="342"/>
      <c r="AQ33" s="342"/>
      <c r="AR33" s="342"/>
      <c r="AS33" s="342"/>
      <c r="AT33" s="342"/>
      <c r="AU33" s="342"/>
      <c r="AV33" s="342"/>
      <c r="AW33" s="342"/>
      <c r="AX33" s="342"/>
      <c r="AY33" s="342"/>
      <c r="AZ33" s="342"/>
      <c r="BA33" s="342"/>
      <c r="BB33" s="342"/>
      <c r="BC33" s="342"/>
      <c r="BD33" s="342"/>
      <c r="BE33" s="342"/>
      <c r="BF33" s="342"/>
      <c r="BG33" s="342"/>
      <c r="BH33" s="342"/>
      <c r="BI33" s="342"/>
      <c r="BJ33" s="342"/>
      <c r="BK33" s="342"/>
      <c r="BL33" s="342"/>
    </row>
    <row r="34" spans="1:64" ht="21.75" x14ac:dyDescent="0.25">
      <c r="A34" s="217" cm="1">
        <f t="array" ref="A34">IFERROR(INDEX(_xlfn.ANCHORARRAY($Q$6),ROW()-5,1),"")</f>
        <v>46191</v>
      </c>
      <c r="B34" s="288" t="str" cm="1">
        <f t="array" ref="B34">IFERROR(INDEX(_xlfn.ANCHORARRAY($Q$6),ROW()-5,2),"")</f>
        <v>S K Trading</v>
      </c>
      <c r="C34" s="289" t="str" cm="1">
        <f t="array" ref="C34">IFERROR(INDEX(_xlfn.ANCHORARRAY($Q$6),ROW()-5,3),"")</f>
        <v/>
      </c>
      <c r="D34" s="218" t="str">
        <f>IF($A34="","",IF($K34="DIESEL",SUMIFS(Table1[Quantity],Table1[Customer],$B34,Table1[Date],$A34,Table1[Bill No.],$C34),IF($K34="PETROL",SUMIFS(Table14[Quantity],Table14[Customer],$B34,Table14[Date],$A34,Table14[Bill No.],$C34),IF($K34="XtraGreen",SUMIFS(Table146[Quantity],Table146[Company],$B34,Table146[Date],$A34,Table146[Bill No.],$C34),""))))</f>
        <v/>
      </c>
      <c r="E34" s="219" t="str">
        <f>IF($A34="","",IF($K34="DIESEL",AVERAGEIFS(Table1[RSP],Table1[Customer],$B34,Table1[Date],$A34,Table1[Bill No.],$C34),IF($K34="PETROL",AVERAGEIFS(Table14[RSP],Table14[Customer],$B34,Table14[Date],$A34,Table14[Bill No.],$C34),IF($K34="XtraGreen",AVERAGEIFS(Table146[RSP],Table146[Company],$B34,Table146[Date],$A34,Table146[Bill No.],$C34),IFERROR($F34/$D34,"")))))</f>
        <v/>
      </c>
      <c r="F34" s="330">
        <f>IF($A34="","",IF($K34="DIESEL",SUMIFS(Table1[Amount],Table1[Customer],$B34,Table1[Date],$A34,Table1[Bill No.],$C34),IF($K34="PETROL",SUMIFS(Table14[Amount],Table14[Customer],$B34,Table14[Date],$A34,Table14[Bill No.],$C34),IF($K34="XtraGreen",SUMIFS(Table146[Amount],Table146[Company],$B34,Table146[Date],$A34,Table146[Bill No.],$C34),SUMIFS('Other Sale'!$D:$D,'Other Sale'!$E:$E,$B34,'Other Sale'!$C:$C,$K34,'Other Sale'!$A:$A,$A34)))))</f>
        <v>0</v>
      </c>
      <c r="G34" s="330" cm="1">
        <f t="array" ref="G34">IF($A34="","",IF($K34="Payment",IFERROR(INDEX(_xlfn._xlws.FILTER(MasterPaid[Amount Paid],(MasterPaid[Customer]=$B34)*(MasterPaid[Date]=$A34)),COUNTIFS($A$6:$A34,$A34,$B$6:$B34,$B34,$K$6:$K34,"Payment")),0),0))</f>
        <v>201480</v>
      </c>
      <c r="H34" s="331"/>
      <c r="I34" s="331"/>
      <c r="J34" s="330">
        <f t="shared" si="0"/>
        <v>201480</v>
      </c>
      <c r="K34" s="289" t="str" cm="1">
        <f t="array" ref="K34">IFERROR(INDEX(_xlfn.ANCHORARRAY($Q$6),ROW()-5,4),"")</f>
        <v>Payment</v>
      </c>
      <c r="L34" s="290"/>
      <c r="Q34">
        <v>46191</v>
      </c>
      <c r="R34" t="str">
        <v>S K Trading</v>
      </c>
      <c r="S34" t="str">
        <v/>
      </c>
      <c r="T34" t="str">
        <v>Payment</v>
      </c>
      <c r="U34">
        <f>IF(OR($A34="",$F34=""),0,MAX(0,MIN($F34,SUMIFS($F$6:$F34,$B$6:$B34,$B34)-(SUMIFS($G$6:$G$355,$B$6:$B$355,$B34)+SUMIFS($H$6:$H$355,$B$6:$B$355,$B34)+SUMIFS($I$6:$I$355,$B$6:$B$355,$B34)))))</f>
        <v>0</v>
      </c>
      <c r="AD34" s="468"/>
      <c r="AE34" s="342"/>
      <c r="AF34" s="342"/>
      <c r="AG34" s="342"/>
      <c r="AH34" s="342"/>
      <c r="AI34" s="342"/>
      <c r="AJ34" s="342"/>
      <c r="AK34" s="342"/>
      <c r="AL34" s="342"/>
      <c r="AM34" s="342"/>
      <c r="AN34" s="342"/>
      <c r="AO34" s="342"/>
      <c r="AP34" s="342"/>
      <c r="AQ34" s="342"/>
      <c r="AR34" s="342"/>
      <c r="AS34" s="342"/>
      <c r="AT34" s="342"/>
      <c r="AU34" s="342"/>
      <c r="AV34" s="342"/>
      <c r="AW34" s="342"/>
      <c r="AX34" s="342"/>
      <c r="AY34" s="342"/>
      <c r="AZ34" s="342"/>
      <c r="BA34" s="342"/>
      <c r="BB34" s="342"/>
      <c r="BC34" s="342"/>
      <c r="BD34" s="342"/>
      <c r="BE34" s="342"/>
      <c r="BF34" s="342"/>
      <c r="BG34" s="342"/>
      <c r="BH34" s="342"/>
      <c r="BI34" s="342"/>
      <c r="BJ34" s="342"/>
      <c r="BK34" s="342"/>
      <c r="BL34" s="342"/>
    </row>
    <row r="35" spans="1:64" ht="21.75" x14ac:dyDescent="0.25">
      <c r="A35" s="217" cm="1">
        <f t="array" ref="A35">IFERROR(INDEX(_xlfn.ANCHORARRAY($Q$6),ROW()-5,1),"")</f>
        <v>46198</v>
      </c>
      <c r="B35" s="288" t="str" cm="1">
        <f t="array" ref="B35">IFERROR(INDEX(_xlfn.ANCHORARRAY($Q$6),ROW()-5,2),"")</f>
        <v>Grk Logistics Private Limited</v>
      </c>
      <c r="C35" s="289" t="str" cm="1">
        <f t="array" ref="C35">IFERROR(INDEX(_xlfn.ANCHORARRAY($Q$6),ROW()-5,3),"")</f>
        <v/>
      </c>
      <c r="D35" s="218" t="str">
        <f>IF($A35="","",IF($K35="DIESEL",SUMIFS(Table1[Quantity],Table1[Customer],$B35,Table1[Date],$A35,Table1[Bill No.],$C35),IF($K35="PETROL",SUMIFS(Table14[Quantity],Table14[Customer],$B35,Table14[Date],$A35,Table14[Bill No.],$C35),IF($K35="XtraGreen",SUMIFS(Table146[Quantity],Table146[Company],$B35,Table146[Date],$A35,Table146[Bill No.],$C35),""))))</f>
        <v/>
      </c>
      <c r="E35" s="219" t="str">
        <f>IF($A35="","",IF($K35="DIESEL",AVERAGEIFS(Table1[RSP],Table1[Customer],$B35,Table1[Date],$A35,Table1[Bill No.],$C35),IF($K35="PETROL",AVERAGEIFS(Table14[RSP],Table14[Customer],$B35,Table14[Date],$A35,Table14[Bill No.],$C35),IF($K35="XtraGreen",AVERAGEIFS(Table146[RSP],Table146[Company],$B35,Table146[Date],$A35,Table146[Bill No.],$C35),IFERROR($F35/$D35,"")))))</f>
        <v/>
      </c>
      <c r="F35" s="330">
        <f>IF($A35="","",IF($K35="DIESEL",SUMIFS(Table1[Amount],Table1[Customer],$B35,Table1[Date],$A35,Table1[Bill No.],$C35),IF($K35="PETROL",SUMIFS(Table14[Amount],Table14[Customer],$B35,Table14[Date],$A35,Table14[Bill No.],$C35),IF($K35="XtraGreen",SUMIFS(Table146[Amount],Table146[Company],$B35,Table146[Date],$A35,Table146[Bill No.],$C35),SUMIFS('Other Sale'!$D:$D,'Other Sale'!$E:$E,$B35,'Other Sale'!$C:$C,$K35,'Other Sale'!$A:$A,$A35)))))</f>
        <v>0</v>
      </c>
      <c r="G35" s="330" cm="1">
        <f t="array" ref="G35">IF($A35="","",IF($K35="Payment",IFERROR(INDEX(_xlfn._xlws.FILTER(MasterPaid[Amount Paid],(MasterPaid[Customer]=$B35)*(MasterPaid[Date]=$A35)),COUNTIFS($A$6:$A35,$A35,$B$6:$B35,$B35,$K$6:$K35,"Payment")),0),0))</f>
        <v>200183</v>
      </c>
      <c r="H35" s="331">
        <v>201</v>
      </c>
      <c r="I35" s="331"/>
      <c r="J35" s="330">
        <f t="shared" si="0"/>
        <v>1096</v>
      </c>
      <c r="K35" s="289" t="str" cm="1">
        <f t="array" ref="K35">IFERROR(INDEX(_xlfn.ANCHORARRAY($Q$6),ROW()-5,4),"")</f>
        <v>Payment</v>
      </c>
      <c r="L35" s="290"/>
      <c r="Q35">
        <v>46198</v>
      </c>
      <c r="R35" t="str">
        <v>Grk Logistics Private Limited</v>
      </c>
      <c r="S35" t="str">
        <v/>
      </c>
      <c r="T35" t="str">
        <v>Payment</v>
      </c>
      <c r="U35">
        <f>IF(OR($A35="",$F35=""),0,MAX(0,MIN($F35,SUMIFS($F$6:$F35,$B$6:$B35,$B35)-(SUMIFS($G$6:$G$355,$B$6:$B$355,$B35)+SUMIFS($H$6:$H$355,$B$6:$B$355,$B35)+SUMIFS($I$6:$I$355,$B$6:$B$355,$B35)))))</f>
        <v>0</v>
      </c>
      <c r="AD35" s="468"/>
      <c r="AE35" s="342"/>
      <c r="AF35" s="342"/>
      <c r="AG35" s="342"/>
      <c r="AH35" s="342"/>
      <c r="AI35" s="342"/>
      <c r="AJ35" s="342"/>
      <c r="AK35" s="342"/>
      <c r="AL35" s="342"/>
      <c r="AM35" s="342"/>
      <c r="AN35" s="342"/>
      <c r="AO35" s="342"/>
      <c r="AP35" s="342"/>
      <c r="AQ35" s="342"/>
      <c r="AR35" s="342"/>
      <c r="AS35" s="342"/>
      <c r="AT35" s="342"/>
      <c r="AU35" s="342"/>
      <c r="AV35" s="342"/>
      <c r="AW35" s="342"/>
      <c r="AX35" s="342"/>
      <c r="AY35" s="342"/>
      <c r="AZ35" s="342"/>
      <c r="BA35" s="342"/>
      <c r="BB35" s="342"/>
      <c r="BC35" s="342"/>
      <c r="BD35" s="342"/>
      <c r="BE35" s="342"/>
      <c r="BF35" s="342"/>
      <c r="BG35" s="342"/>
      <c r="BH35" s="342"/>
      <c r="BI35" s="342"/>
      <c r="BJ35" s="342"/>
      <c r="BK35" s="342"/>
      <c r="BL35" s="342"/>
    </row>
    <row r="36" spans="1:64" ht="21.75" x14ac:dyDescent="0.25">
      <c r="A36" s="217" cm="1">
        <f t="array" ref="A36">IFERROR(INDEX(_xlfn.ANCHORARRAY($Q$6),ROW()-5,1),"")</f>
        <v>46204</v>
      </c>
      <c r="B36" s="288" t="str" cm="1">
        <f t="array" ref="B36">IFERROR(INDEX(_xlfn.ANCHORARRAY($Q$6),ROW()-5,2),"")</f>
        <v>Great River Coy Private Limited</v>
      </c>
      <c r="C36" s="289" t="str" cm="1">
        <f t="array" ref="C36">IFERROR(INDEX(_xlfn.ANCHORARRAY($Q$6),ROW()-5,3),"")</f>
        <v>1257</v>
      </c>
      <c r="D36" s="218">
        <f>IF($A36="","",IF($K36="DIESEL",SUMIFS(Table1[Quantity],Table1[Customer],$B36,Table1[Date],$A36,Table1[Bill No.],$C36),IF($K36="PETROL",SUMIFS(Table14[Quantity],Table14[Customer],$B36,Table14[Date],$A36,Table14[Bill No.],$C36),IF($K36="XtraGreen",SUMIFS(Table146[Quantity],Table146[Company],$B36,Table146[Date],$A36,Table146[Bill No.],$C36),""))))</f>
        <v>1000</v>
      </c>
      <c r="E36" s="219">
        <f>IF($A36="","",IF($K36="DIESEL",AVERAGEIFS(Table1[RSP],Table1[Customer],$B36,Table1[Date],$A36,Table1[Bill No.],$C36),IF($K36="PETROL",AVERAGEIFS(Table14[RSP],Table14[Customer],$B36,Table14[Date],$A36,Table14[Bill No.],$C36),IF($K36="XtraGreen",AVERAGEIFS(Table146[RSP],Table146[Company],$B36,Table146[Date],$A36,Table146[Bill No.],$C36),IFERROR($F36/$D36,"")))))</f>
        <v>100.74</v>
      </c>
      <c r="F36" s="330">
        <f>IF($A36="","",IF($K36="DIESEL",SUMIFS(Table1[Amount],Table1[Customer],$B36,Table1[Date],$A36,Table1[Bill No.],$C36),IF($K36="PETROL",SUMIFS(Table14[Amount],Table14[Customer],$B36,Table14[Date],$A36,Table14[Bill No.],$C36),IF($K36="XtraGreen",SUMIFS(Table146[Amount],Table146[Company],$B36,Table146[Date],$A36,Table146[Bill No.],$C36),SUMIFS('Other Sale'!$D:$D,'Other Sale'!$E:$E,$B36,'Other Sale'!$C:$C,$K36,'Other Sale'!$A:$A,$A36)))))</f>
        <v>100740</v>
      </c>
      <c r="G36" s="330" cm="1">
        <f t="array" ref="G36">IF($A36="","",IF($K36="Payment",IFERROR(INDEX(_xlfn._xlws.FILTER(MasterPaid[Amount Paid],(MasterPaid[Customer]=$B36)*(MasterPaid[Date]=$A36)),COUNTIFS($A$6:$A36,$A36,$B$6:$B36,$B36,$K$6:$K36,"Payment")),0),0))</f>
        <v>0</v>
      </c>
      <c r="H36" s="331"/>
      <c r="I36" s="331"/>
      <c r="J36" s="330">
        <f t="shared" si="0"/>
        <v>101836</v>
      </c>
      <c r="K36" s="289" t="str" cm="1">
        <f t="array" ref="K36">IFERROR(INDEX(_xlfn.ANCHORARRAY($Q$6),ROW()-5,4),"")</f>
        <v>DIESEL</v>
      </c>
      <c r="L36" s="290"/>
      <c r="Q36">
        <v>46204</v>
      </c>
      <c r="R36" t="str">
        <v>Great River Coy Private Limited</v>
      </c>
      <c r="S36" t="str">
        <v>1257</v>
      </c>
      <c r="T36" t="str">
        <v>DIESEL</v>
      </c>
      <c r="U36">
        <f>IF(OR($A36="",$F36=""),0,MAX(0,MIN($F36,SUMIFS($F$6:$F36,$B$6:$B36,$B36)-(SUMIFS($G$6:$G$355,$B$6:$B$355,$B36)+SUMIFS($H$6:$H$355,$B$6:$B$355,$B36)+SUMIFS($I$6:$I$355,$B$6:$B$355,$B36)))))</f>
        <v>0</v>
      </c>
      <c r="AD36" s="468"/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342"/>
      <c r="AP36" s="342"/>
      <c r="AQ36" s="342"/>
      <c r="AR36" s="342"/>
      <c r="AS36" s="342"/>
      <c r="AT36" s="342"/>
      <c r="AU36" s="342"/>
      <c r="AV36" s="342"/>
      <c r="AW36" s="342"/>
      <c r="AX36" s="342"/>
      <c r="AY36" s="342"/>
      <c r="AZ36" s="342"/>
      <c r="BA36" s="342"/>
      <c r="BB36" s="342"/>
      <c r="BC36" s="342"/>
      <c r="BD36" s="342"/>
      <c r="BE36" s="342"/>
      <c r="BF36" s="342"/>
      <c r="BG36" s="342"/>
      <c r="BH36" s="342"/>
      <c r="BI36" s="342"/>
      <c r="BJ36" s="342"/>
      <c r="BK36" s="342"/>
      <c r="BL36" s="342"/>
    </row>
    <row r="37" spans="1:64" ht="21.75" x14ac:dyDescent="0.25">
      <c r="A37" s="217" cm="1">
        <f t="array" ref="A37">IFERROR(INDEX(_xlfn.ANCHORARRAY($Q$6),ROW()-5,1),"")</f>
        <v>46204</v>
      </c>
      <c r="B37" s="288" t="str" cm="1">
        <f t="array" ref="B37">IFERROR(INDEX(_xlfn.ANCHORARRAY($Q$6),ROW()-5,2),"")</f>
        <v>Grk Logistics Private Limited</v>
      </c>
      <c r="C37" s="289" t="str" cm="1">
        <f t="array" ref="C37">IFERROR(INDEX(_xlfn.ANCHORARRAY($Q$6),ROW()-5,3),"")</f>
        <v>1256</v>
      </c>
      <c r="D37" s="218">
        <f>IF($A37="","",IF($K37="DIESEL",SUMIFS(Table1[Quantity],Table1[Customer],$B37,Table1[Date],$A37,Table1[Bill No.],$C37),IF($K37="PETROL",SUMIFS(Table14[Quantity],Table14[Customer],$B37,Table14[Date],$A37,Table14[Bill No.],$C37),IF($K37="XtraGreen",SUMIFS(Table146[Quantity],Table146[Company],$B37,Table146[Date],$A37,Table146[Bill No.],$C37),""))))</f>
        <v>1000</v>
      </c>
      <c r="E37" s="219">
        <f>IF($A37="","",IF($K37="DIESEL",AVERAGEIFS(Table1[RSP],Table1[Customer],$B37,Table1[Date],$A37,Table1[Bill No.],$C37),IF($K37="PETROL",AVERAGEIFS(Table14[RSP],Table14[Customer],$B37,Table14[Date],$A37,Table14[Bill No.],$C37),IF($K37="XtraGreen",AVERAGEIFS(Table146[RSP],Table146[Company],$B37,Table146[Date],$A37,Table146[Bill No.],$C37),IFERROR($F37/$D37,"")))))</f>
        <v>100.74</v>
      </c>
      <c r="F37" s="330">
        <f>IF($A37="","",IF($K37="DIESEL",SUMIFS(Table1[Amount],Table1[Customer],$B37,Table1[Date],$A37,Table1[Bill No.],$C37),IF($K37="PETROL",SUMIFS(Table14[Amount],Table14[Customer],$B37,Table14[Date],$A37,Table14[Bill No.],$C37),IF($K37="XtraGreen",SUMIFS(Table146[Amount],Table146[Company],$B37,Table146[Date],$A37,Table146[Bill No.],$C37),SUMIFS('Other Sale'!$D:$D,'Other Sale'!$E:$E,$B37,'Other Sale'!$C:$C,$K37,'Other Sale'!$A:$A,$A37)))))</f>
        <v>100740</v>
      </c>
      <c r="G37" s="330" cm="1">
        <f t="array" ref="G37">IF($A37="","",IF($K37="Payment",IFERROR(INDEX(_xlfn._xlws.FILTER(MasterPaid[Amount Paid],(MasterPaid[Customer]=$B37)*(MasterPaid[Date]=$A37)),COUNTIFS($A$6:$A37,$A37,$B$6:$B37,$B37,$K$6:$K37,"Payment")),0),0))</f>
        <v>0</v>
      </c>
      <c r="H37" s="331"/>
      <c r="I37" s="331"/>
      <c r="J37" s="330">
        <f t="shared" si="0"/>
        <v>202576</v>
      </c>
      <c r="K37" s="289" t="str" cm="1">
        <f t="array" ref="K37">IFERROR(INDEX(_xlfn.ANCHORARRAY($Q$6),ROW()-5,4),"")</f>
        <v>DIESEL</v>
      </c>
      <c r="L37" s="290"/>
      <c r="Q37">
        <v>46204</v>
      </c>
      <c r="R37" t="str">
        <v>Grk Logistics Private Limited</v>
      </c>
      <c r="S37" t="str">
        <v>1256</v>
      </c>
      <c r="T37" t="str">
        <v>DIESEL</v>
      </c>
      <c r="U37">
        <f>IF(OR($A37="",$F37=""),0,MAX(0,MIN($F37,SUMIFS($F$6:$F37,$B$6:$B37,$B37)-(SUMIFS($G$6:$G$355,$B$6:$B$355,$B37)+SUMIFS($H$6:$H$355,$B$6:$B$355,$B37)+SUMIFS($I$6:$I$355,$B$6:$B$355,$B37)))))</f>
        <v>0</v>
      </c>
      <c r="AD37" s="468"/>
      <c r="AE37" s="342"/>
      <c r="AF37" s="342"/>
      <c r="AG37" s="342"/>
      <c r="AH37" s="342"/>
      <c r="AI37" s="342"/>
      <c r="AJ37" s="342"/>
      <c r="AK37" s="342"/>
      <c r="AL37" s="342"/>
      <c r="AM37" s="342"/>
      <c r="AN37" s="342"/>
      <c r="AO37" s="342"/>
      <c r="AP37" s="342"/>
      <c r="AQ37" s="342"/>
      <c r="AR37" s="342"/>
      <c r="AS37" s="342"/>
      <c r="AT37" s="342"/>
      <c r="AU37" s="342"/>
      <c r="AV37" s="342"/>
      <c r="AW37" s="342"/>
      <c r="AX37" s="342"/>
      <c r="AY37" s="342"/>
      <c r="AZ37" s="342"/>
      <c r="BA37" s="342"/>
      <c r="BB37" s="342"/>
      <c r="BC37" s="342"/>
      <c r="BD37" s="342"/>
      <c r="BE37" s="342"/>
      <c r="BF37" s="342"/>
      <c r="BG37" s="342"/>
      <c r="BH37" s="342"/>
      <c r="BI37" s="342"/>
      <c r="BJ37" s="342"/>
      <c r="BK37" s="342"/>
      <c r="BL37" s="342"/>
    </row>
    <row r="38" spans="1:64" ht="21.75" x14ac:dyDescent="0.25">
      <c r="A38" s="217" cm="1">
        <f t="array" ref="A38">IFERROR(INDEX(_xlfn.ANCHORARRAY($Q$6),ROW()-5,1),"")</f>
        <v>46204</v>
      </c>
      <c r="B38" s="288" t="str" cm="1">
        <f t="array" ref="B38">IFERROR(INDEX(_xlfn.ANCHORARRAY($Q$6),ROW()-5,2),"")</f>
        <v>SAMARPAN LOGISTICS PVT LTD</v>
      </c>
      <c r="C38" s="289" t="str" cm="1">
        <f t="array" ref="C38">IFERROR(INDEX(_xlfn.ANCHORARRAY($Q$6),ROW()-5,3),"")</f>
        <v>1258</v>
      </c>
      <c r="D38" s="218">
        <f>IF($A38="","",IF($K38="DIESEL",SUMIFS(Table1[Quantity],Table1[Customer],$B38,Table1[Date],$A38,Table1[Bill No.],$C38),IF($K38="PETROL",SUMIFS(Table14[Quantity],Table14[Customer],$B38,Table14[Date],$A38,Table14[Bill No.],$C38),IF($K38="XtraGreen",SUMIFS(Table146[Quantity],Table146[Company],$B38,Table146[Date],$A38,Table146[Bill No.],$C38),""))))</f>
        <v>1000</v>
      </c>
      <c r="E38" s="219">
        <f>IF($A38="","",IF($K38="DIESEL",AVERAGEIFS(Table1[RSP],Table1[Customer],$B38,Table1[Date],$A38,Table1[Bill No.],$C38),IF($K38="PETROL",AVERAGEIFS(Table14[RSP],Table14[Customer],$B38,Table14[Date],$A38,Table14[Bill No.],$C38),IF($K38="XtraGreen",AVERAGEIFS(Table146[RSP],Table146[Company],$B38,Table146[Date],$A38,Table146[Bill No.],$C38),IFERROR($F38/$D38,"")))))</f>
        <v>100.74</v>
      </c>
      <c r="F38" s="330">
        <f>IF($A38="","",IF($K38="DIESEL",SUMIFS(Table1[Amount],Table1[Customer],$B38,Table1[Date],$A38,Table1[Bill No.],$C38),IF($K38="PETROL",SUMIFS(Table14[Amount],Table14[Customer],$B38,Table14[Date],$A38,Table14[Bill No.],$C38),IF($K38="XtraGreen",SUMIFS(Table146[Amount],Table146[Company],$B38,Table146[Date],$A38,Table146[Bill No.],$C38),SUMIFS('Other Sale'!$D:$D,'Other Sale'!$E:$E,$B38,'Other Sale'!$C:$C,$K38,'Other Sale'!$A:$A,$A38)))))</f>
        <v>100740</v>
      </c>
      <c r="G38" s="330" cm="1">
        <f t="array" ref="G38">IF($A38="","",IF($K38="Payment",IFERROR(INDEX(_xlfn._xlws.FILTER(MasterPaid[Amount Paid],(MasterPaid[Customer]=$B38)*(MasterPaid[Date]=$A38)),COUNTIFS($A$6:$A38,$A38,$B$6:$B38,$B38,$K$6:$K38,"Payment")),0),0))</f>
        <v>0</v>
      </c>
      <c r="H38" s="331"/>
      <c r="I38" s="331"/>
      <c r="J38" s="330">
        <f t="shared" si="0"/>
        <v>303316</v>
      </c>
      <c r="K38" s="289" t="str" cm="1">
        <f t="array" ref="K38">IFERROR(INDEX(_xlfn.ANCHORARRAY($Q$6),ROW()-5,4),"")</f>
        <v>DIESEL</v>
      </c>
      <c r="L38" s="290"/>
      <c r="Q38">
        <v>46204</v>
      </c>
      <c r="R38" t="str">
        <v>SAMARPAN LOGISTICS PVT LTD</v>
      </c>
      <c r="S38" t="str">
        <v>1258</v>
      </c>
      <c r="T38" t="str">
        <v>DIESEL</v>
      </c>
      <c r="U38">
        <f>IF(OR($A38="",$F38=""),0,MAX(0,MIN($F38,SUMIFS($F$6:$F38,$B$6:$B38,$B38)-(SUMIFS($G$6:$G$355,$B$6:$B$355,$B38)+SUMIFS($H$6:$H$355,$B$6:$B$355,$B38)+SUMIFS($I$6:$I$355,$B$6:$B$355,$B38)))))</f>
        <v>0</v>
      </c>
      <c r="AD38" s="468"/>
      <c r="AE38" s="342"/>
      <c r="AF38" s="342"/>
      <c r="AG38" s="342"/>
      <c r="AH38" s="342"/>
      <c r="AI38" s="342"/>
      <c r="AJ38" s="342"/>
      <c r="AK38" s="342"/>
      <c r="AL38" s="342"/>
      <c r="AM38" s="342"/>
      <c r="AN38" s="342"/>
      <c r="AO38" s="342"/>
      <c r="AP38" s="342"/>
      <c r="AQ38" s="342"/>
      <c r="AR38" s="342"/>
      <c r="AS38" s="342"/>
      <c r="AT38" s="342"/>
      <c r="AU38" s="342"/>
      <c r="AV38" s="342"/>
      <c r="AW38" s="342"/>
      <c r="AX38" s="342"/>
      <c r="AY38" s="342"/>
      <c r="AZ38" s="342"/>
      <c r="BA38" s="342"/>
      <c r="BB38" s="342"/>
      <c r="BC38" s="342"/>
      <c r="BD38" s="342"/>
      <c r="BE38" s="342"/>
      <c r="BF38" s="342"/>
      <c r="BG38" s="342"/>
      <c r="BH38" s="342"/>
      <c r="BI38" s="342"/>
      <c r="BJ38" s="342"/>
      <c r="BK38" s="342"/>
      <c r="BL38" s="342"/>
    </row>
    <row r="39" spans="1:64" ht="21.75" x14ac:dyDescent="0.25">
      <c r="A39" s="217" cm="1">
        <f t="array" ref="A39">IFERROR(INDEX(_xlfn.ANCHORARRAY($Q$6),ROW()-5,1),"")</f>
        <v>46206</v>
      </c>
      <c r="B39" s="288" t="str" cm="1">
        <f t="array" ref="B39">IFERROR(INDEX(_xlfn.ANCHORARRAY($Q$6),ROW()-5,2),"")</f>
        <v>Great River Coy Private Limited</v>
      </c>
      <c r="C39" s="289" t="str" cm="1">
        <f t="array" ref="C39">IFERROR(INDEX(_xlfn.ANCHORARRAY($Q$6),ROW()-5,3),"")</f>
        <v/>
      </c>
      <c r="D39" s="218" t="str">
        <f>IF($A39="","",IF($K39="DIESEL",SUMIFS(Table1[Quantity],Table1[Customer],$B39,Table1[Date],$A39,Table1[Bill No.],$C39),IF($K39="PETROL",SUMIFS(Table14[Quantity],Table14[Customer],$B39,Table14[Date],$A39,Table14[Bill No.],$C39),IF($K39="XtraGreen",SUMIFS(Table146[Quantity],Table146[Company],$B39,Table146[Date],$A39,Table146[Bill No.],$C39),""))))</f>
        <v/>
      </c>
      <c r="E39" s="219" t="str">
        <f>IF($A39="","",IF($K39="DIESEL",AVERAGEIFS(Table1[RSP],Table1[Customer],$B39,Table1[Date],$A39,Table1[Bill No.],$C39),IF($K39="PETROL",AVERAGEIFS(Table14[RSP],Table14[Customer],$B39,Table14[Date],$A39,Table14[Bill No.],$C39),IF($K39="XtraGreen",AVERAGEIFS(Table146[RSP],Table146[Company],$B39,Table146[Date],$A39,Table146[Bill No.],$C39),IFERROR($F39/$D39,"")))))</f>
        <v/>
      </c>
      <c r="F39" s="330">
        <f>IF($A39="","",IF($K39="DIESEL",SUMIFS(Table1[Amount],Table1[Customer],$B39,Table1[Date],$A39,Table1[Bill No.],$C39),IF($K39="PETROL",SUMIFS(Table14[Amount],Table14[Customer],$B39,Table14[Date],$A39,Table14[Bill No.],$C39),IF($K39="XtraGreen",SUMIFS(Table146[Amount],Table146[Company],$B39,Table146[Date],$A39,Table146[Bill No.],$C39),SUMIFS('Other Sale'!$D:$D,'Other Sale'!$E:$E,$B39,'Other Sale'!$C:$C,$K39,'Other Sale'!$A:$A,$A39)))))</f>
        <v>0</v>
      </c>
      <c r="G39" s="330" cm="1">
        <f t="array" ref="G39">IF($A39="","",IF($K39="Payment",IFERROR(INDEX(_xlfn._xlws.FILTER(MasterPaid[Amount Paid],(MasterPaid[Customer]=$B39)*(MasterPaid[Date]=$A39)),COUNTIFS($A$6:$A39,$A39,$B$6:$B39,$B39,$K$6:$K39,"Payment")),0),0))</f>
        <v>100639</v>
      </c>
      <c r="H39" s="331">
        <v>101</v>
      </c>
      <c r="I39" s="331"/>
      <c r="J39" s="330">
        <f t="shared" si="0"/>
        <v>202576</v>
      </c>
      <c r="K39" s="289" t="str" cm="1">
        <f t="array" ref="K39">IFERROR(INDEX(_xlfn.ANCHORARRAY($Q$6),ROW()-5,4),"")</f>
        <v>Payment</v>
      </c>
      <c r="L39" s="290"/>
      <c r="Q39">
        <v>46206</v>
      </c>
      <c r="R39" t="str">
        <v>Great River Coy Private Limited</v>
      </c>
      <c r="S39" t="str">
        <v/>
      </c>
      <c r="T39" t="str">
        <v>Payment</v>
      </c>
      <c r="U39">
        <f>IF(OR($A39="",$F39=""),0,MAX(0,MIN($F39,SUMIFS($F$6:$F39,$B$6:$B39,$B39)-(SUMIFS($G$6:$G$355,$B$6:$B$355,$B39)+SUMIFS($H$6:$H$355,$B$6:$B$355,$B39)+SUMIFS($I$6:$I$355,$B$6:$B$355,$B39)))))</f>
        <v>0</v>
      </c>
      <c r="AD39" s="468"/>
      <c r="AE39" s="342"/>
      <c r="AF39" s="342"/>
      <c r="AG39" s="342"/>
      <c r="AH39" s="342"/>
      <c r="AI39" s="342"/>
      <c r="AJ39" s="342"/>
      <c r="AK39" s="342"/>
      <c r="AL39" s="342"/>
      <c r="AM39" s="342"/>
      <c r="AN39" s="342"/>
      <c r="AO39" s="342"/>
      <c r="AP39" s="342"/>
      <c r="AQ39" s="342"/>
      <c r="AR39" s="342"/>
      <c r="AS39" s="342"/>
      <c r="AT39" s="342"/>
      <c r="AU39" s="342"/>
      <c r="AV39" s="342"/>
      <c r="AW39" s="342"/>
      <c r="AX39" s="342"/>
      <c r="AY39" s="342"/>
      <c r="AZ39" s="342"/>
      <c r="BA39" s="342"/>
      <c r="BB39" s="342"/>
      <c r="BC39" s="342"/>
      <c r="BD39" s="342"/>
      <c r="BE39" s="342"/>
      <c r="BF39" s="342"/>
      <c r="BG39" s="342"/>
      <c r="BH39" s="342"/>
      <c r="BI39" s="342"/>
      <c r="BJ39" s="342"/>
      <c r="BK39" s="342"/>
      <c r="BL39" s="342"/>
    </row>
    <row r="40" spans="1:64" ht="21.75" x14ac:dyDescent="0.25">
      <c r="A40" s="217" cm="1">
        <f t="array" ref="A40">IFERROR(INDEX(_xlfn.ANCHORARRAY($Q$6),ROW()-5,1),"")</f>
        <v>46207</v>
      </c>
      <c r="B40" s="288" t="str" cm="1">
        <f t="array" ref="B40">IFERROR(INDEX(_xlfn.ANCHORARRAY($Q$6),ROW()-5,2),"")</f>
        <v>Grk Logistics Private Limited</v>
      </c>
      <c r="C40" s="289" t="str" cm="1">
        <f t="array" ref="C40">IFERROR(INDEX(_xlfn.ANCHORARRAY($Q$6),ROW()-5,3),"")</f>
        <v/>
      </c>
      <c r="D40" s="218" t="str">
        <f>IF($A40="","",IF($K40="DIESEL",SUMIFS(Table1[Quantity],Table1[Customer],$B40,Table1[Date],$A40,Table1[Bill No.],$C40),IF($K40="PETROL",SUMIFS(Table14[Quantity],Table14[Customer],$B40,Table14[Date],$A40,Table14[Bill No.],$C40),IF($K40="XtraGreen",SUMIFS(Table146[Quantity],Table146[Company],$B40,Table146[Date],$A40,Table146[Bill No.],$C40),""))))</f>
        <v/>
      </c>
      <c r="E40" s="219" t="str">
        <f>IF($A40="","",IF($K40="DIESEL",AVERAGEIFS(Table1[RSP],Table1[Customer],$B40,Table1[Date],$A40,Table1[Bill No.],$C40),IF($K40="PETROL",AVERAGEIFS(Table14[RSP],Table14[Customer],$B40,Table14[Date],$A40,Table14[Bill No.],$C40),IF($K40="XtraGreen",AVERAGEIFS(Table146[RSP],Table146[Company],$B40,Table146[Date],$A40,Table146[Bill No.],$C40),IFERROR($F40/$D40,"")))))</f>
        <v/>
      </c>
      <c r="F40" s="330">
        <f>IF($A40="","",IF($K40="DIESEL",SUMIFS(Table1[Amount],Table1[Customer],$B40,Table1[Date],$A40,Table1[Bill No.],$C40),IF($K40="PETROL",SUMIFS(Table14[Amount],Table14[Customer],$B40,Table14[Date],$A40,Table14[Bill No.],$C40),IF($K40="XtraGreen",SUMIFS(Table146[Amount],Table146[Company],$B40,Table146[Date],$A40,Table146[Bill No.],$C40),SUMIFS('Other Sale'!$D:$D,'Other Sale'!$E:$E,$B40,'Other Sale'!$C:$C,$K40,'Other Sale'!$A:$A,$A40)))))</f>
        <v>0</v>
      </c>
      <c r="G40" s="330" cm="1">
        <f t="array" ref="G40">IF($A40="","",IF($K40="Payment",IFERROR(INDEX(_xlfn._xlws.FILTER(MasterPaid[Amount Paid],(MasterPaid[Customer]=$B40)*(MasterPaid[Date]=$A40)),COUNTIFS($A$6:$A40,$A40,$B$6:$B40,$B40,$K$6:$K40,"Payment")),0),0))</f>
        <v>101745</v>
      </c>
      <c r="H40" s="331">
        <v>91</v>
      </c>
      <c r="I40" s="331"/>
      <c r="J40" s="330">
        <f t="shared" si="0"/>
        <v>100740</v>
      </c>
      <c r="K40" s="289" t="str" cm="1">
        <f t="array" ref="K40">IFERROR(INDEX(_xlfn.ANCHORARRAY($Q$6),ROW()-5,4),"")</f>
        <v>Payment</v>
      </c>
      <c r="L40" s="290"/>
      <c r="Q40">
        <v>46207</v>
      </c>
      <c r="R40" t="str">
        <v>Grk Logistics Private Limited</v>
      </c>
      <c r="S40" t="str">
        <v/>
      </c>
      <c r="T40" t="str">
        <v>Payment</v>
      </c>
      <c r="U40">
        <f>IF(OR($A40="",$F40=""),0,MAX(0,MIN($F40,SUMIFS($F$6:$F40,$B$6:$B40,$B40)-(SUMIFS($G$6:$G$355,$B$6:$B$355,$B40)+SUMIFS($H$6:$H$355,$B$6:$B$355,$B40)+SUMIFS($I$6:$I$355,$B$6:$B$355,$B40)))))</f>
        <v>0</v>
      </c>
      <c r="AD40" s="468"/>
      <c r="AE40" s="342"/>
      <c r="AF40" s="342"/>
      <c r="AG40" s="342"/>
      <c r="AH40" s="342"/>
      <c r="AI40" s="342"/>
      <c r="AJ40" s="342"/>
      <c r="AK40" s="342"/>
      <c r="AL40" s="342"/>
      <c r="AM40" s="342"/>
      <c r="AN40" s="342"/>
      <c r="AO40" s="342"/>
      <c r="AP40" s="342"/>
      <c r="AQ40" s="342"/>
      <c r="AR40" s="342"/>
      <c r="AS40" s="342"/>
      <c r="AT40" s="342"/>
      <c r="AU40" s="342"/>
      <c r="AV40" s="342"/>
      <c r="AW40" s="342"/>
      <c r="AX40" s="342"/>
      <c r="AY40" s="342"/>
      <c r="AZ40" s="342"/>
      <c r="BA40" s="342"/>
      <c r="BB40" s="342"/>
      <c r="BC40" s="342"/>
      <c r="BD40" s="342"/>
      <c r="BE40" s="342"/>
      <c r="BF40" s="342"/>
      <c r="BG40" s="342"/>
      <c r="BH40" s="342"/>
      <c r="BI40" s="342"/>
      <c r="BJ40" s="342"/>
      <c r="BK40" s="342"/>
      <c r="BL40" s="342"/>
    </row>
    <row r="41" spans="1:64" ht="21.75" x14ac:dyDescent="0.25">
      <c r="A41" s="217" cm="1">
        <f t="array" ref="A41">IFERROR(INDEX(_xlfn.ANCHORARRAY($Q$6),ROW()-5,1),"")</f>
        <v>46220</v>
      </c>
      <c r="B41" s="288" t="str" cm="1">
        <f t="array" ref="B41">IFERROR(INDEX(_xlfn.ANCHORARRAY($Q$6),ROW()-5,2),"")</f>
        <v>SAMARPAN LOGISTICS PVT LTD</v>
      </c>
      <c r="C41" s="289" t="str" cm="1">
        <f t="array" ref="C41">IFERROR(INDEX(_xlfn.ANCHORARRAY($Q$6),ROW()-5,3),"")</f>
        <v/>
      </c>
      <c r="D41" s="218" t="str">
        <f>IF($A41="","",IF($K41="DIESEL",SUMIFS(Table1[Quantity],Table1[Customer],$B41,Table1[Date],$A41,Table1[Bill No.],$C41),IF($K41="PETROL",SUMIFS(Table14[Quantity],Table14[Customer],$B41,Table14[Date],$A41,Table14[Bill No.],$C41),IF($K41="XtraGreen",SUMIFS(Table146[Quantity],Table146[Company],$B41,Table146[Date],$A41,Table146[Bill No.],$C41),""))))</f>
        <v/>
      </c>
      <c r="E41" s="219" t="str">
        <f>IF($A41="","",IF($K41="DIESEL",AVERAGEIFS(Table1[RSP],Table1[Customer],$B41,Table1[Date],$A41,Table1[Bill No.],$C41),IF($K41="PETROL",AVERAGEIFS(Table14[RSP],Table14[Customer],$B41,Table14[Date],$A41,Table14[Bill No.],$C41),IF($K41="XtraGreen",AVERAGEIFS(Table146[RSP],Table146[Company],$B41,Table146[Date],$A41,Table146[Bill No.],$C41),IFERROR($F41/$D41,"")))))</f>
        <v/>
      </c>
      <c r="F41" s="330">
        <f>IF($A41="","",IF($K41="DIESEL",SUMIFS(Table1[Amount],Table1[Customer],$B41,Table1[Date],$A41,Table1[Bill No.],$C41),IF($K41="PETROL",SUMIFS(Table14[Amount],Table14[Customer],$B41,Table14[Date],$A41,Table14[Bill No.],$C41),IF($K41="XtraGreen",SUMIFS(Table146[Amount],Table146[Company],$B41,Table146[Date],$A41,Table146[Bill No.],$C41),SUMIFS('Other Sale'!$D:$D,'Other Sale'!$E:$E,$B41,'Other Sale'!$C:$C,$K41,'Other Sale'!$A:$A,$A41)))))</f>
        <v>0</v>
      </c>
      <c r="G41" s="330" cm="1">
        <f t="array" ref="G41">IF($A41="","",IF($K41="Payment",IFERROR(INDEX(_xlfn._xlws.FILTER(MasterPaid[Amount Paid],(MasterPaid[Customer]=$B41)*(MasterPaid[Date]=$A41)),COUNTIFS($A$6:$A41,$A41,$B$6:$B41,$B41,$K$6:$K41,"Payment")),0),0))</f>
        <v>100639</v>
      </c>
      <c r="H41" s="331">
        <v>101</v>
      </c>
      <c r="I41" s="331"/>
      <c r="J41" s="330">
        <f t="shared" si="0"/>
        <v>0</v>
      </c>
      <c r="K41" s="289" t="str" cm="1">
        <f t="array" ref="K41">IFERROR(INDEX(_xlfn.ANCHORARRAY($Q$6),ROW()-5,4),"")</f>
        <v>Payment</v>
      </c>
      <c r="L41" s="290"/>
      <c r="Q41">
        <v>46220</v>
      </c>
      <c r="R41" t="str">
        <v>SAMARPAN LOGISTICS PVT LTD</v>
      </c>
      <c r="S41" t="str">
        <v/>
      </c>
      <c r="T41" t="str">
        <v>Payment</v>
      </c>
      <c r="U41">
        <f>IF(OR($A41="",$F41=""),0,MAX(0,MIN($F41,SUMIFS($F$6:$F41,$B$6:$B41,$B41)-(SUMIFS($G$6:$G$355,$B$6:$B$355,$B41)+SUMIFS($H$6:$H$355,$B$6:$B$355,$B41)+SUMIFS($I$6:$I$355,$B$6:$B$355,$B41)))))</f>
        <v>0</v>
      </c>
      <c r="AD41" s="468"/>
      <c r="AE41" s="342"/>
      <c r="AF41" s="342"/>
      <c r="AG41" s="342"/>
      <c r="AH41" s="342"/>
      <c r="AI41" s="342"/>
      <c r="AJ41" s="342"/>
      <c r="AK41" s="342"/>
      <c r="AL41" s="342"/>
      <c r="AM41" s="342"/>
      <c r="AN41" s="342"/>
      <c r="AO41" s="342"/>
      <c r="AP41" s="342"/>
      <c r="AQ41" s="342"/>
      <c r="AR41" s="342"/>
      <c r="AS41" s="342"/>
      <c r="AT41" s="342"/>
      <c r="AU41" s="342"/>
      <c r="AV41" s="342"/>
      <c r="AW41" s="342"/>
      <c r="AX41" s="342"/>
      <c r="AY41" s="342"/>
      <c r="AZ41" s="342"/>
      <c r="BA41" s="342"/>
      <c r="BB41" s="342"/>
      <c r="BC41" s="342"/>
      <c r="BD41" s="342"/>
      <c r="BE41" s="342"/>
      <c r="BF41" s="342"/>
      <c r="BG41" s="342"/>
      <c r="BH41" s="342"/>
      <c r="BI41" s="342"/>
      <c r="BJ41" s="342"/>
      <c r="BK41" s="342"/>
      <c r="BL41" s="342"/>
    </row>
    <row r="42" spans="1:64" ht="21.75" x14ac:dyDescent="0.25">
      <c r="A42" s="217" cm="1">
        <f t="array" ref="A42">IFERROR(INDEX(_xlfn.ANCHORARRAY($Q$6),ROW()-5,1),"")</f>
        <v>46239</v>
      </c>
      <c r="B42" s="288" t="str" cm="1">
        <f t="array" ref="B42">IFERROR(INDEX(_xlfn.ANCHORARRAY($Q$6),ROW()-5,2),"")</f>
        <v>Great River Coy Private Limited</v>
      </c>
      <c r="C42" s="289" t="str" cm="1">
        <f t="array" ref="C42">IFERROR(INDEX(_xlfn.ANCHORARRAY($Q$6),ROW()-5,3),"")</f>
        <v>1992</v>
      </c>
      <c r="D42" s="218">
        <f>IF($A42="","",IF($K42="DIESEL",SUMIFS(Table1[Quantity],Table1[Customer],$B42,Table1[Date],$A42,Table1[Bill No.],$C42),IF($K42="PETROL",SUMIFS(Table14[Quantity],Table14[Customer],$B42,Table14[Date],$A42,Table14[Bill No.],$C42),IF($K42="XtraGreen",SUMIFS(Table146[Quantity],Table146[Company],$B42,Table146[Date],$A42,Table146[Bill No.],$C42),""))))</f>
        <v>4000</v>
      </c>
      <c r="E42" s="219">
        <f>IF($A42="","",IF($K42="DIESEL",AVERAGEIFS(Table1[RSP],Table1[Customer],$B42,Table1[Date],$A42,Table1[Bill No.],$C42),IF($K42="PETROL",AVERAGEIFS(Table14[RSP],Table14[Customer],$B42,Table14[Date],$A42,Table14[Bill No.],$C42),IF($K42="XtraGreen",AVERAGEIFS(Table146[RSP],Table146[Company],$B42,Table146[Date],$A42,Table146[Bill No.],$C42),IFERROR($F42/$D42,"")))))</f>
        <v>99.5</v>
      </c>
      <c r="F42" s="330">
        <f>IF($A42="","",IF($K42="DIESEL",SUMIFS(Table1[Amount],Table1[Customer],$B42,Table1[Date],$A42,Table1[Bill No.],$C42),IF($K42="PETROL",SUMIFS(Table14[Amount],Table14[Customer],$B42,Table14[Date],$A42,Table14[Bill No.],$C42),IF($K42="XtraGreen",SUMIFS(Table146[Amount],Table146[Company],$B42,Table146[Date],$A42,Table146[Bill No.],$C42),SUMIFS('Other Sale'!$D:$D,'Other Sale'!$E:$E,$B42,'Other Sale'!$C:$C,$K42,'Other Sale'!$A:$A,$A42)))))</f>
        <v>398000</v>
      </c>
      <c r="G42" s="330" cm="1">
        <f t="array" ref="G42">IF($A42="","",IF($K42="Payment",IFERROR(INDEX(_xlfn._xlws.FILTER(MasterPaid[Amount Paid],(MasterPaid[Customer]=$B42)*(MasterPaid[Date]=$A42)),COUNTIFS($A$6:$A42,$A42,$B$6:$B42,$B42,$K$6:$K42,"Payment")),0),0))</f>
        <v>0</v>
      </c>
      <c r="H42" s="331"/>
      <c r="I42" s="331"/>
      <c r="J42" s="330">
        <f t="shared" si="0"/>
        <v>398000</v>
      </c>
      <c r="K42" s="289" t="str" cm="1">
        <f t="array" ref="K42">IFERROR(INDEX(_xlfn.ANCHORARRAY($Q$6),ROW()-5,4),"")</f>
        <v>DIESEL</v>
      </c>
      <c r="L42" s="290"/>
      <c r="Q42">
        <v>46239</v>
      </c>
      <c r="R42" t="str">
        <v>Great River Coy Private Limited</v>
      </c>
      <c r="S42" t="str">
        <v>1992</v>
      </c>
      <c r="T42" t="str">
        <v>DIESEL</v>
      </c>
      <c r="U42">
        <f>IF(OR($A42="",$F42=""),0,MAX(0,MIN($F42,SUMIFS($F$6:$F42,$B$6:$B42,$B42)-(SUMIFS($G$6:$G$355,$B$6:$B$355,$B42)+SUMIFS($H$6:$H$355,$B$6:$B$355,$B42)+SUMIFS($I$6:$I$355,$B$6:$B$355,$B42)))))</f>
        <v>0</v>
      </c>
      <c r="AD42" s="468"/>
      <c r="AE42" s="342"/>
      <c r="AF42" s="342"/>
      <c r="AG42" s="342"/>
      <c r="AH42" s="342"/>
      <c r="AI42" s="342"/>
      <c r="AJ42" s="342"/>
      <c r="AK42" s="342"/>
      <c r="AL42" s="342"/>
      <c r="AM42" s="342"/>
      <c r="AN42" s="342"/>
      <c r="AO42" s="342"/>
      <c r="AP42" s="342"/>
      <c r="AQ42" s="342"/>
      <c r="AR42" s="342"/>
      <c r="AS42" s="342"/>
      <c r="AT42" s="342"/>
      <c r="AU42" s="342"/>
      <c r="AV42" s="342"/>
      <c r="AW42" s="342"/>
      <c r="AX42" s="342"/>
      <c r="AY42" s="342"/>
      <c r="AZ42" s="342"/>
      <c r="BA42" s="342"/>
      <c r="BB42" s="342"/>
      <c r="BC42" s="342"/>
      <c r="BD42" s="342"/>
      <c r="BE42" s="342"/>
      <c r="BF42" s="342"/>
      <c r="BG42" s="342"/>
      <c r="BH42" s="342"/>
      <c r="BI42" s="342"/>
      <c r="BJ42" s="342"/>
      <c r="BK42" s="342"/>
      <c r="BL42" s="342"/>
    </row>
    <row r="43" spans="1:64" ht="21.75" x14ac:dyDescent="0.25">
      <c r="A43" s="217" cm="1">
        <f t="array" ref="A43">IFERROR(INDEX(_xlfn.ANCHORARRAY($Q$6),ROW()-5,1),"")</f>
        <v>46239</v>
      </c>
      <c r="B43" s="288" t="str" cm="1">
        <f t="array" ref="B43">IFERROR(INDEX(_xlfn.ANCHORARRAY($Q$6),ROW()-5,2),"")</f>
        <v>Great River Coy Private Limited</v>
      </c>
      <c r="C43" s="289" t="str" cm="1">
        <f t="array" ref="C43">IFERROR(INDEX(_xlfn.ANCHORARRAY($Q$6),ROW()-5,3),"")</f>
        <v>1995</v>
      </c>
      <c r="D43" s="218">
        <f>IF($A43="","",IF($K43="DIESEL",SUMIFS(Table1[Quantity],Table1[Customer],$B43,Table1[Date],$A43,Table1[Bill No.],$C43),IF($K43="PETROL",SUMIFS(Table14[Quantity],Table14[Customer],$B43,Table14[Date],$A43,Table14[Bill No.],$C43),IF($K43="XtraGreen",SUMIFS(Table146[Quantity],Table146[Company],$B43,Table146[Date],$A43,Table146[Bill No.],$C43),""))))</f>
        <v>4000</v>
      </c>
      <c r="E43" s="219">
        <f>IF($A43="","",IF($K43="DIESEL",AVERAGEIFS(Table1[RSP],Table1[Customer],$B43,Table1[Date],$A43,Table1[Bill No.],$C43),IF($K43="PETROL",AVERAGEIFS(Table14[RSP],Table14[Customer],$B43,Table14[Date],$A43,Table14[Bill No.],$C43),IF($K43="XtraGreen",AVERAGEIFS(Table146[RSP],Table146[Company],$B43,Table146[Date],$A43,Table146[Bill No.],$C43),IFERROR($F43/$D43,"")))))</f>
        <v>99.5</v>
      </c>
      <c r="F43" s="330">
        <f>IF($A43="","",IF($K43="DIESEL",SUMIFS(Table1[Amount],Table1[Customer],$B43,Table1[Date],$A43,Table1[Bill No.],$C43),IF($K43="PETROL",SUMIFS(Table14[Amount],Table14[Customer],$B43,Table14[Date],$A43,Table14[Bill No.],$C43),IF($K43="XtraGreen",SUMIFS(Table146[Amount],Table146[Company],$B43,Table146[Date],$A43,Table146[Bill No.],$C43),SUMIFS('Other Sale'!$D:$D,'Other Sale'!$E:$E,$B43,'Other Sale'!$C:$C,$K43,'Other Sale'!$A:$A,$A43)))))</f>
        <v>398000</v>
      </c>
      <c r="G43" s="330" cm="1">
        <f t="array" ref="G43">IF($A43="","",IF($K43="Payment",IFERROR(INDEX(_xlfn._xlws.FILTER(MasterPaid[Amount Paid],(MasterPaid[Customer]=$B43)*(MasterPaid[Date]=$A43)),COUNTIFS($A$6:$A43,$A43,$B$6:$B43,$B43,$K$6:$K43,"Payment")),0),0))</f>
        <v>0</v>
      </c>
      <c r="H43" s="331"/>
      <c r="I43" s="331"/>
      <c r="J43" s="330">
        <f t="shared" si="0"/>
        <v>796000</v>
      </c>
      <c r="K43" s="289" t="str" cm="1">
        <f t="array" ref="K43">IFERROR(INDEX(_xlfn.ANCHORARRAY($Q$6),ROW()-5,4),"")</f>
        <v>DIESEL</v>
      </c>
      <c r="L43" s="290"/>
      <c r="Q43">
        <v>46239</v>
      </c>
      <c r="R43" t="str">
        <v>Great River Coy Private Limited</v>
      </c>
      <c r="S43" t="str">
        <v>1995</v>
      </c>
      <c r="T43" t="str">
        <v>DIESEL</v>
      </c>
      <c r="U43">
        <f>IF(OR($A43="",$F43=""),0,MAX(0,MIN($F43,SUMIFS($F$6:$F43,$B$6:$B43,$B43)-(SUMIFS($G$6:$G$355,$B$6:$B$355,$B43)+SUMIFS($H$6:$H$355,$B$6:$B$355,$B43)+SUMIFS($I$6:$I$355,$B$6:$B$355,$B43)))))</f>
        <v>0</v>
      </c>
      <c r="AD43" s="468"/>
      <c r="AE43" s="342"/>
      <c r="AF43" s="342"/>
      <c r="AG43" s="342"/>
      <c r="AH43" s="342"/>
      <c r="AI43" s="342"/>
      <c r="AJ43" s="342"/>
      <c r="AK43" s="342"/>
      <c r="AL43" s="342"/>
      <c r="AM43" s="342"/>
      <c r="AN43" s="342"/>
      <c r="AO43" s="342"/>
      <c r="AP43" s="342"/>
      <c r="AQ43" s="342"/>
      <c r="AR43" s="342"/>
      <c r="AS43" s="342"/>
      <c r="AT43" s="342"/>
      <c r="AU43" s="342"/>
      <c r="AV43" s="342"/>
      <c r="AW43" s="342"/>
      <c r="AX43" s="342"/>
      <c r="AY43" s="342"/>
      <c r="AZ43" s="342"/>
      <c r="BA43" s="342"/>
      <c r="BB43" s="342"/>
      <c r="BC43" s="342"/>
      <c r="BD43" s="342"/>
      <c r="BE43" s="342"/>
      <c r="BF43" s="342"/>
      <c r="BG43" s="342"/>
      <c r="BH43" s="342"/>
      <c r="BI43" s="342"/>
      <c r="BJ43" s="342"/>
      <c r="BK43" s="342"/>
      <c r="BL43" s="342"/>
    </row>
    <row r="44" spans="1:64" ht="21.75" x14ac:dyDescent="0.25">
      <c r="A44" s="217" cm="1">
        <f t="array" ref="A44">IFERROR(INDEX(_xlfn.ANCHORARRAY($Q$6),ROW()-5,1),"")</f>
        <v>46239</v>
      </c>
      <c r="B44" s="288" t="str" cm="1">
        <f t="array" ref="B44">IFERROR(INDEX(_xlfn.ANCHORARRAY($Q$6),ROW()-5,2),"")</f>
        <v>Harnoor Logistics Private Limited</v>
      </c>
      <c r="C44" s="289" t="str" cm="1">
        <f t="array" ref="C44">IFERROR(INDEX(_xlfn.ANCHORARRAY($Q$6),ROW()-5,3),"")</f>
        <v>1993</v>
      </c>
      <c r="D44" s="218">
        <f>IF($A44="","",IF($K44="DIESEL",SUMIFS(Table1[Quantity],Table1[Customer],$B44,Table1[Date],$A44,Table1[Bill No.],$C44),IF($K44="PETROL",SUMIFS(Table14[Quantity],Table14[Customer],$B44,Table14[Date],$A44,Table14[Bill No.],$C44),IF($K44="XtraGreen",SUMIFS(Table146[Quantity],Table146[Company],$B44,Table146[Date],$A44,Table146[Bill No.],$C44),""))))</f>
        <v>4000</v>
      </c>
      <c r="E44" s="219">
        <f>IF($A44="","",IF($K44="DIESEL",AVERAGEIFS(Table1[RSP],Table1[Customer],$B44,Table1[Date],$A44,Table1[Bill No.],$C44),IF($K44="PETROL",AVERAGEIFS(Table14[RSP],Table14[Customer],$B44,Table14[Date],$A44,Table14[Bill No.],$C44),IF($K44="XtraGreen",AVERAGEIFS(Table146[RSP],Table146[Company],$B44,Table146[Date],$A44,Table146[Bill No.],$C44),IFERROR($F44/$D44,"")))))</f>
        <v>99.5</v>
      </c>
      <c r="F44" s="330">
        <f>IF($A44="","",IF($K44="DIESEL",SUMIFS(Table1[Amount],Table1[Customer],$B44,Table1[Date],$A44,Table1[Bill No.],$C44),IF($K44="PETROL",SUMIFS(Table14[Amount],Table14[Customer],$B44,Table14[Date],$A44,Table14[Bill No.],$C44),IF($K44="XtraGreen",SUMIFS(Table146[Amount],Table146[Company],$B44,Table146[Date],$A44,Table146[Bill No.],$C44),SUMIFS('Other Sale'!$D:$D,'Other Sale'!$E:$E,$B44,'Other Sale'!$C:$C,$K44,'Other Sale'!$A:$A,$A44)))))</f>
        <v>398000</v>
      </c>
      <c r="G44" s="330" cm="1">
        <f t="array" ref="G44">IF($A44="","",IF($K44="Payment",IFERROR(INDEX(_xlfn._xlws.FILTER(MasterPaid[Amount Paid],(MasterPaid[Customer]=$B44)*(MasterPaid[Date]=$A44)),COUNTIFS($A$6:$A44,$A44,$B$6:$B44,$B44,$K$6:$K44,"Payment")),0),0))</f>
        <v>0</v>
      </c>
      <c r="H44" s="331"/>
      <c r="I44" s="331"/>
      <c r="J44" s="330">
        <f t="shared" si="0"/>
        <v>1194000</v>
      </c>
      <c r="K44" s="289" t="str" cm="1">
        <f t="array" ref="K44">IFERROR(INDEX(_xlfn.ANCHORARRAY($Q$6),ROW()-5,4),"")</f>
        <v>DIESEL</v>
      </c>
      <c r="L44" s="290"/>
      <c r="Q44">
        <v>46239</v>
      </c>
      <c r="R44" t="str">
        <v>Harnoor Logistics Private Limited</v>
      </c>
      <c r="S44" t="str">
        <v>1993</v>
      </c>
      <c r="T44" t="str">
        <v>DIESEL</v>
      </c>
      <c r="U44">
        <f>IF(OR($A44="",$F44=""),0,MAX(0,MIN($F44,SUMIFS($F$6:$F44,$B$6:$B44,$B44)-(SUMIFS($G$6:$G$355,$B$6:$B$355,$B44)+SUMIFS($H$6:$H$355,$B$6:$B$355,$B44)+SUMIFS($I$6:$I$355,$B$6:$B$355,$B44)))))</f>
        <v>0</v>
      </c>
      <c r="AD44" s="468"/>
      <c r="AE44" s="342"/>
      <c r="AF44" s="342"/>
      <c r="AG44" s="342"/>
      <c r="AH44" s="342"/>
      <c r="AI44" s="342"/>
      <c r="AJ44" s="342"/>
      <c r="AK44" s="342"/>
      <c r="AL44" s="342"/>
      <c r="AM44" s="342"/>
      <c r="AN44" s="342"/>
      <c r="AO44" s="342"/>
      <c r="AP44" s="342"/>
      <c r="AQ44" s="342"/>
      <c r="AR44" s="342"/>
      <c r="AS44" s="342"/>
      <c r="AT44" s="342"/>
      <c r="AU44" s="342"/>
      <c r="AV44" s="342"/>
      <c r="AW44" s="342"/>
      <c r="AX44" s="342"/>
      <c r="AY44" s="342"/>
      <c r="AZ44" s="342"/>
      <c r="BA44" s="342"/>
      <c r="BB44" s="342"/>
      <c r="BC44" s="342"/>
      <c r="BD44" s="342"/>
      <c r="BE44" s="342"/>
      <c r="BF44" s="342"/>
      <c r="BG44" s="342"/>
      <c r="BH44" s="342"/>
      <c r="BI44" s="342"/>
      <c r="BJ44" s="342"/>
      <c r="BK44" s="342"/>
      <c r="BL44" s="342"/>
    </row>
    <row r="45" spans="1:64" ht="21.75" x14ac:dyDescent="0.25">
      <c r="A45" s="217" cm="1">
        <f t="array" ref="A45">IFERROR(INDEX(_xlfn.ANCHORARRAY($Q$6),ROW()-5,1),"")</f>
        <v>46239</v>
      </c>
      <c r="B45" s="288" t="str" cm="1">
        <f t="array" ref="B45">IFERROR(INDEX(_xlfn.ANCHORARRAY($Q$6),ROW()-5,2),"")</f>
        <v>Harnoor Logistics Private Limited</v>
      </c>
      <c r="C45" s="289" t="str" cm="1">
        <f t="array" ref="C45">IFERROR(INDEX(_xlfn.ANCHORARRAY($Q$6),ROW()-5,3),"")</f>
        <v>1996</v>
      </c>
      <c r="D45" s="218">
        <f>IF($A45="","",IF($K45="DIESEL",SUMIFS(Table1[Quantity],Table1[Customer],$B45,Table1[Date],$A45,Table1[Bill No.],$C45),IF($K45="PETROL",SUMIFS(Table14[Quantity],Table14[Customer],$B45,Table14[Date],$A45,Table14[Bill No.],$C45),IF($K45="XtraGreen",SUMIFS(Table146[Quantity],Table146[Company],$B45,Table146[Date],$A45,Table146[Bill No.],$C45),""))))</f>
        <v>4000</v>
      </c>
      <c r="E45" s="219">
        <f>IF($A45="","",IF($K45="DIESEL",AVERAGEIFS(Table1[RSP],Table1[Customer],$B45,Table1[Date],$A45,Table1[Bill No.],$C45),IF($K45="PETROL",AVERAGEIFS(Table14[RSP],Table14[Customer],$B45,Table14[Date],$A45,Table14[Bill No.],$C45),IF($K45="XtraGreen",AVERAGEIFS(Table146[RSP],Table146[Company],$B45,Table146[Date],$A45,Table146[Bill No.],$C45),IFERROR($F45/$D45,"")))))</f>
        <v>99.5</v>
      </c>
      <c r="F45" s="330">
        <f>IF($A45="","",IF($K45="DIESEL",SUMIFS(Table1[Amount],Table1[Customer],$B45,Table1[Date],$A45,Table1[Bill No.],$C45),IF($K45="PETROL",SUMIFS(Table14[Amount],Table14[Customer],$B45,Table14[Date],$A45,Table14[Bill No.],$C45),IF($K45="XtraGreen",SUMIFS(Table146[Amount],Table146[Company],$B45,Table146[Date],$A45,Table146[Bill No.],$C45),SUMIFS('Other Sale'!$D:$D,'Other Sale'!$E:$E,$B45,'Other Sale'!$C:$C,$K45,'Other Sale'!$A:$A,$A45)))))</f>
        <v>398000</v>
      </c>
      <c r="G45" s="330" cm="1">
        <f t="array" ref="G45">IF($A45="","",IF($K45="Payment",IFERROR(INDEX(_xlfn._xlws.FILTER(MasterPaid[Amount Paid],(MasterPaid[Customer]=$B45)*(MasterPaid[Date]=$A45)),COUNTIFS($A$6:$A45,$A45,$B$6:$B45,$B45,$K$6:$K45,"Payment")),0),0))</f>
        <v>0</v>
      </c>
      <c r="H45" s="331"/>
      <c r="I45" s="331"/>
      <c r="J45" s="330">
        <f t="shared" si="0"/>
        <v>1592000</v>
      </c>
      <c r="K45" s="289" t="str" cm="1">
        <f t="array" ref="K45">IFERROR(INDEX(_xlfn.ANCHORARRAY($Q$6),ROW()-5,4),"")</f>
        <v>DIESEL</v>
      </c>
      <c r="L45" s="290"/>
      <c r="Q45">
        <v>46239</v>
      </c>
      <c r="R45" t="str">
        <v>Harnoor Logistics Private Limited</v>
      </c>
      <c r="S45" t="str">
        <v>1996</v>
      </c>
      <c r="T45" t="str">
        <v>DIESEL</v>
      </c>
      <c r="U45">
        <f>IF(OR($A45="",$F45=""),0,MAX(0,MIN($F45,SUMIFS($F$6:$F45,$B$6:$B45,$B45)-(SUMIFS($G$6:$G$355,$B$6:$B$355,$B45)+SUMIFS($H$6:$H$355,$B$6:$B$355,$B45)+SUMIFS($I$6:$I$355,$B$6:$B$355,$B45)))))</f>
        <v>0</v>
      </c>
      <c r="AD45" s="468"/>
      <c r="AE45" s="342"/>
      <c r="AF45" s="342"/>
      <c r="AG45" s="342"/>
      <c r="AH45" s="342"/>
      <c r="AI45" s="342"/>
      <c r="AJ45" s="342"/>
      <c r="AK45" s="342"/>
      <c r="AL45" s="342"/>
      <c r="AM45" s="342"/>
      <c r="AN45" s="342"/>
      <c r="AO45" s="342"/>
      <c r="AP45" s="342"/>
      <c r="AQ45" s="342"/>
      <c r="AR45" s="342"/>
      <c r="AS45" s="342"/>
      <c r="AT45" s="342"/>
      <c r="AU45" s="342"/>
      <c r="AV45" s="342"/>
      <c r="AW45" s="342"/>
      <c r="AX45" s="342"/>
      <c r="AY45" s="342"/>
      <c r="AZ45" s="342"/>
      <c r="BA45" s="342"/>
      <c r="BB45" s="342"/>
      <c r="BC45" s="342"/>
      <c r="BD45" s="342"/>
      <c r="BE45" s="342"/>
      <c r="BF45" s="342"/>
      <c r="BG45" s="342"/>
      <c r="BH45" s="342"/>
      <c r="BI45" s="342"/>
      <c r="BJ45" s="342"/>
      <c r="BK45" s="342"/>
      <c r="BL45" s="342"/>
    </row>
    <row r="46" spans="1:64" ht="21.75" x14ac:dyDescent="0.25">
      <c r="A46" s="217" cm="1">
        <f t="array" ref="A46">IFERROR(INDEX(_xlfn.ANCHORARRAY($Q$6),ROW()-5,1),"")</f>
        <v>46239</v>
      </c>
      <c r="B46" s="288" t="str" cm="1">
        <f t="array" ref="B46">IFERROR(INDEX(_xlfn.ANCHORARRAY($Q$6),ROW()-5,2),"")</f>
        <v>SAMARPAN LOGISTICS PVT LTD</v>
      </c>
      <c r="C46" s="289" t="str" cm="1">
        <f t="array" ref="C46">IFERROR(INDEX(_xlfn.ANCHORARRAY($Q$6),ROW()-5,3),"")</f>
        <v>1991</v>
      </c>
      <c r="D46" s="218">
        <f>IF($A46="","",IF($K46="DIESEL",SUMIFS(Table1[Quantity],Table1[Customer],$B46,Table1[Date],$A46,Table1[Bill No.],$C46),IF($K46="PETROL",SUMIFS(Table14[Quantity],Table14[Customer],$B46,Table14[Date],$A46,Table14[Bill No.],$C46),IF($K46="XtraGreen",SUMIFS(Table146[Quantity],Table146[Company],$B46,Table146[Date],$A46,Table146[Bill No.],$C46),""))))</f>
        <v>4000</v>
      </c>
      <c r="E46" s="219">
        <f>IF($A46="","",IF($K46="DIESEL",AVERAGEIFS(Table1[RSP],Table1[Customer],$B46,Table1[Date],$A46,Table1[Bill No.],$C46),IF($K46="PETROL",AVERAGEIFS(Table14[RSP],Table14[Customer],$B46,Table14[Date],$A46,Table14[Bill No.],$C46),IF($K46="XtraGreen",AVERAGEIFS(Table146[RSP],Table146[Company],$B46,Table146[Date],$A46,Table146[Bill No.],$C46),IFERROR($F46/$D46,"")))))</f>
        <v>99.5</v>
      </c>
      <c r="F46" s="330">
        <f>IF($A46="","",IF($K46="DIESEL",SUMIFS(Table1[Amount],Table1[Customer],$B46,Table1[Date],$A46,Table1[Bill No.],$C46),IF($K46="PETROL",SUMIFS(Table14[Amount],Table14[Customer],$B46,Table14[Date],$A46,Table14[Bill No.],$C46),IF($K46="XtraGreen",SUMIFS(Table146[Amount],Table146[Company],$B46,Table146[Date],$A46,Table146[Bill No.],$C46),SUMIFS('Other Sale'!$D:$D,'Other Sale'!$E:$E,$B46,'Other Sale'!$C:$C,$K46,'Other Sale'!$A:$A,$A46)))))</f>
        <v>398000</v>
      </c>
      <c r="G46" s="330" cm="1">
        <f t="array" ref="G46">IF($A46="","",IF($K46="Payment",IFERROR(INDEX(_xlfn._xlws.FILTER(MasterPaid[Amount Paid],(MasterPaid[Customer]=$B46)*(MasterPaid[Date]=$A46)),COUNTIFS($A$6:$A46,$A46,$B$6:$B46,$B46,$K$6:$K46,"Payment")),0),0))</f>
        <v>0</v>
      </c>
      <c r="H46" s="331"/>
      <c r="I46" s="331"/>
      <c r="J46" s="330">
        <f t="shared" si="0"/>
        <v>1990000</v>
      </c>
      <c r="K46" s="289" t="str" cm="1">
        <f t="array" ref="K46">IFERROR(INDEX(_xlfn.ANCHORARRAY($Q$6),ROW()-5,4),"")</f>
        <v>DIESEL</v>
      </c>
      <c r="L46" s="290"/>
      <c r="Q46">
        <v>46239</v>
      </c>
      <c r="R46" t="str">
        <v>SAMARPAN LOGISTICS PVT LTD</v>
      </c>
      <c r="S46" t="str">
        <v>1991</v>
      </c>
      <c r="T46" t="str">
        <v>DIESEL</v>
      </c>
      <c r="U46">
        <f>IF(OR($A46="",$F46=""),0,MAX(0,MIN($F46,SUMIFS($F$6:$F46,$B$6:$B46,$B46)-(SUMIFS($G$6:$G$355,$B$6:$B$355,$B46)+SUMIFS($H$6:$H$355,$B$6:$B$355,$B46)+SUMIFS($I$6:$I$355,$B$6:$B$355,$B46)))))</f>
        <v>0</v>
      </c>
      <c r="AD46" s="468"/>
      <c r="AE46" s="342"/>
      <c r="AF46" s="342"/>
      <c r="AG46" s="342"/>
      <c r="AH46" s="342"/>
      <c r="AI46" s="342"/>
      <c r="AJ46" s="342"/>
      <c r="AK46" s="342"/>
      <c r="AL46" s="342"/>
      <c r="AM46" s="342"/>
      <c r="AN46" s="342"/>
      <c r="AO46" s="342"/>
      <c r="AP46" s="342"/>
      <c r="AQ46" s="342"/>
      <c r="AR46" s="342"/>
      <c r="AS46" s="342"/>
      <c r="AT46" s="342"/>
      <c r="AU46" s="342"/>
      <c r="AV46" s="342"/>
      <c r="AW46" s="342"/>
      <c r="AX46" s="342"/>
      <c r="AY46" s="342"/>
      <c r="AZ46" s="342"/>
      <c r="BA46" s="342"/>
      <c r="BB46" s="342"/>
      <c r="BC46" s="342"/>
      <c r="BD46" s="342"/>
      <c r="BE46" s="342"/>
      <c r="BF46" s="342"/>
      <c r="BG46" s="342"/>
      <c r="BH46" s="342"/>
      <c r="BI46" s="342"/>
      <c r="BJ46" s="342"/>
      <c r="BK46" s="342"/>
      <c r="BL46" s="342"/>
    </row>
    <row r="47" spans="1:64" ht="23" x14ac:dyDescent="0.25">
      <c r="A47" s="217" cm="1">
        <f t="array" ref="A47">IFERROR(INDEX(_xlfn.ANCHORARRAY($Q$6),ROW()-5,1),"")</f>
        <v>46239</v>
      </c>
      <c r="B47" s="288" t="str" cm="1">
        <f t="array" ref="B47">IFERROR(INDEX(_xlfn.ANCHORARRAY($Q$6),ROW()-5,2),"")</f>
        <v>SAMARPAN LOGISTICS PVT LTD</v>
      </c>
      <c r="C47" s="289" t="str" cm="1">
        <f t="array" ref="C47">IFERROR(INDEX(_xlfn.ANCHORARRAY($Q$6),ROW()-5,3),"")</f>
        <v>1994</v>
      </c>
      <c r="D47" s="218">
        <f>IF($A47="","",IF($K47="DIESEL",SUMIFS(Table1[Quantity],Table1[Customer],$B47,Table1[Date],$A47,Table1[Bill No.],$C47),IF($K47="PETROL",SUMIFS(Table14[Quantity],Table14[Customer],$B47,Table14[Date],$A47,Table14[Bill No.],$C47),IF($K47="XtraGreen",SUMIFS(Table146[Quantity],Table146[Company],$B47,Table146[Date],$A47,Table146[Bill No.],$C47),""))))</f>
        <v>4000</v>
      </c>
      <c r="E47" s="219">
        <f>IF($A47="","",IF($K47="DIESEL",AVERAGEIFS(Table1[RSP],Table1[Customer],$B47,Table1[Date],$A47,Table1[Bill No.],$C47),IF($K47="PETROL",AVERAGEIFS(Table14[RSP],Table14[Customer],$B47,Table14[Date],$A47,Table14[Bill No.],$C47),IF($K47="XtraGreen",AVERAGEIFS(Table146[RSP],Table146[Company],$B47,Table146[Date],$A47,Table146[Bill No.],$C47),IFERROR($F47/$D47,"")))))</f>
        <v>99.5</v>
      </c>
      <c r="F47" s="330">
        <f>IF($A47="","",IF($K47="DIESEL",SUMIFS(Table1[Amount],Table1[Customer],$B47,Table1[Date],$A47,Table1[Bill No.],$C47),IF($K47="PETROL",SUMIFS(Table14[Amount],Table14[Customer],$B47,Table14[Date],$A47,Table14[Bill No.],$C47),IF($K47="XtraGreen",SUMIFS(Table146[Amount],Table146[Company],$B47,Table146[Date],$A47,Table146[Bill No.],$C47),SUMIFS('Other Sale'!$D:$D,'Other Sale'!$E:$E,$B47,'Other Sale'!$C:$C,$K47,'Other Sale'!$A:$A,$A47)))))</f>
        <v>398000</v>
      </c>
      <c r="G47" s="330" cm="1">
        <f t="array" ref="G47">IF($A47="","",IF($K47="Payment",IFERROR(INDEX(_xlfn._xlws.FILTER(MasterPaid[Amount Paid],(MasterPaid[Customer]=$B47)*(MasterPaid[Date]=$A47)),COUNTIFS($A$6:$A47,$A47,$B$6:$B47,$B47,$K$6:$K47,"Payment")),0),0))</f>
        <v>0</v>
      </c>
      <c r="H47" s="331"/>
      <c r="I47" s="331"/>
      <c r="J47" s="330">
        <f t="shared" si="0"/>
        <v>2388000</v>
      </c>
      <c r="K47" s="289" t="str" cm="1">
        <f t="array" ref="K47">IFERROR(INDEX(_xlfn.ANCHORARRAY($Q$6),ROW()-5,4),"")</f>
        <v>DIESEL</v>
      </c>
      <c r="L47" s="290"/>
      <c r="Q47">
        <v>46239</v>
      </c>
      <c r="R47" t="str">
        <v>SAMARPAN LOGISTICS PVT LTD</v>
      </c>
      <c r="S47" t="str">
        <v>1994</v>
      </c>
      <c r="T47" t="str">
        <v>DIESEL</v>
      </c>
      <c r="U47">
        <f>IF(OR($A47="",$F47=""),0,MAX(0,MIN($F47,SUMIFS($F$6:$F47,$B$6:$B47,$B47)-(SUMIFS($G$6:$G$355,$B$6:$B$355,$B47)+SUMIFS($H$6:$H$355,$B$6:$B$355,$B47)+SUMIFS($I$6:$I$355,$B$6:$B$355,$B47)))))</f>
        <v>0</v>
      </c>
      <c r="AD47" s="468"/>
      <c r="AE47" s="342"/>
      <c r="AF47" s="342"/>
      <c r="AG47" s="342"/>
      <c r="AH47" s="342"/>
      <c r="AI47" s="342"/>
      <c r="AJ47" s="342"/>
      <c r="AK47" s="342"/>
      <c r="AL47" s="342"/>
      <c r="AM47" s="342"/>
      <c r="AN47" s="342"/>
      <c r="AO47" s="342"/>
      <c r="AP47" s="342"/>
      <c r="AQ47" s="342"/>
      <c r="AR47" s="342"/>
      <c r="AS47" s="342"/>
      <c r="AT47" s="342"/>
      <c r="AU47" s="342"/>
      <c r="AV47" s="342"/>
      <c r="AW47" s="342"/>
      <c r="AX47" s="342"/>
      <c r="AY47" s="342"/>
      <c r="AZ47" s="342"/>
      <c r="BA47" s="342"/>
      <c r="BB47" s="342"/>
      <c r="BC47" s="342"/>
      <c r="BD47" s="342"/>
      <c r="BE47" s="342"/>
      <c r="BF47" s="342"/>
      <c r="BG47" s="342"/>
      <c r="BH47" s="342"/>
      <c r="BI47" s="342"/>
      <c r="BJ47" s="342"/>
      <c r="BK47" s="342"/>
      <c r="BL47" s="342"/>
    </row>
    <row r="48" spans="1:64" ht="23" x14ac:dyDescent="0.25">
      <c r="A48" s="217" cm="1">
        <f t="array" ref="A48">IFERROR(INDEX(_xlfn.ANCHORARRAY($Q$6),ROW()-5,1),"")</f>
        <v>46241</v>
      </c>
      <c r="B48" s="288" t="str" cm="1">
        <f t="array" ref="B48">IFERROR(INDEX(_xlfn.ANCHORARRAY($Q$6),ROW()-5,2),"")</f>
        <v>Great River Coy Private Limited</v>
      </c>
      <c r="C48" s="289" t="str" cm="1">
        <f t="array" ref="C48">IFERROR(INDEX(_xlfn.ANCHORARRAY($Q$6),ROW()-5,3),"")</f>
        <v/>
      </c>
      <c r="D48" s="218" t="str">
        <f>IF($A48="","",IF($K48="DIESEL",SUMIFS(Table1[Quantity],Table1[Customer],$B48,Table1[Date],$A48,Table1[Bill No.],$C48),IF($K48="PETROL",SUMIFS(Table14[Quantity],Table14[Customer],$B48,Table14[Date],$A48,Table14[Bill No.],$C48),IF($K48="XtraGreen",SUMIFS(Table146[Quantity],Table146[Company],$B48,Table146[Date],$A48,Table146[Bill No.],$C48),""))))</f>
        <v/>
      </c>
      <c r="E48" s="219" t="str">
        <f>IF($A48="","",IF($K48="DIESEL",AVERAGEIFS(Table1[RSP],Table1[Customer],$B48,Table1[Date],$A48,Table1[Bill No.],$C48),IF($K48="PETROL",AVERAGEIFS(Table14[RSP],Table14[Customer],$B48,Table14[Date],$A48,Table14[Bill No.],$C48),IF($K48="XtraGreen",AVERAGEIFS(Table146[RSP],Table146[Company],$B48,Table146[Date],$A48,Table146[Bill No.],$C48),IFERROR($F48/$D48,"")))))</f>
        <v/>
      </c>
      <c r="F48" s="330">
        <f>IF($A48="","",IF($K48="DIESEL",SUMIFS(Table1[Amount],Table1[Customer],$B48,Table1[Date],$A48,Table1[Bill No.],$C48),IF($K48="PETROL",SUMIFS(Table14[Amount],Table14[Customer],$B48,Table14[Date],$A48,Table14[Bill No.],$C48),IF($K48="XtraGreen",SUMIFS(Table146[Amount],Table146[Company],$B48,Table146[Date],$A48,Table146[Bill No.],$C48),SUMIFS('Other Sale'!$D:$D,'Other Sale'!$E:$E,$B48,'Other Sale'!$C:$C,$K48,'Other Sale'!$A:$A,$A48)))))</f>
        <v>0</v>
      </c>
      <c r="G48" s="330" cm="1">
        <f t="array" ref="G48">IF($A48="","",IF($K48="Payment",IFERROR(INDEX(_xlfn._xlws.FILTER(MasterPaid[Amount Paid],(MasterPaid[Customer]=$B48)*(MasterPaid[Date]=$A48)),COUNTIFS($A$6:$A48,$A48,$B$6:$B48,$B48,$K$6:$K48,"Payment")),0),0))</f>
        <v>795204</v>
      </c>
      <c r="H48" s="331">
        <v>796</v>
      </c>
      <c r="I48" s="331"/>
      <c r="J48" s="330">
        <f t="shared" si="0"/>
        <v>1592000</v>
      </c>
      <c r="K48" s="289" t="str" cm="1">
        <f t="array" ref="K48">IFERROR(INDEX(_xlfn.ANCHORARRAY($Q$6),ROW()-5,4),"")</f>
        <v>Payment</v>
      </c>
      <c r="L48" s="290"/>
      <c r="Q48">
        <v>46241</v>
      </c>
      <c r="R48" t="str">
        <v>Great River Coy Private Limited</v>
      </c>
      <c r="S48" t="str">
        <v/>
      </c>
      <c r="T48" t="str">
        <v>Payment</v>
      </c>
      <c r="U48">
        <f>IF(OR($A48="",$F48=""),0,MAX(0,MIN($F48,SUMIFS($F$6:$F48,$B$6:$B48,$B48)-(SUMIFS($G$6:$G$355,$B$6:$B$355,$B48)+SUMIFS($H$6:$H$355,$B$6:$B$355,$B48)+SUMIFS($I$6:$I$355,$B$6:$B$355,$B48)))))</f>
        <v>0</v>
      </c>
      <c r="AD48" s="468"/>
      <c r="AE48" s="342"/>
      <c r="AF48" s="342"/>
      <c r="AG48" s="342"/>
      <c r="AH48" s="342"/>
      <c r="AI48" s="342"/>
      <c r="AJ48" s="342"/>
      <c r="AK48" s="342"/>
      <c r="AL48" s="342"/>
      <c r="AM48" s="342"/>
      <c r="AN48" s="342"/>
      <c r="AO48" s="342"/>
      <c r="AP48" s="342"/>
      <c r="AQ48" s="342"/>
      <c r="AR48" s="342"/>
      <c r="AS48" s="342"/>
      <c r="AT48" s="342"/>
      <c r="AU48" s="342"/>
      <c r="AV48" s="342"/>
      <c r="AW48" s="342"/>
      <c r="AX48" s="342"/>
      <c r="AY48" s="342"/>
      <c r="AZ48" s="342"/>
      <c r="BA48" s="342"/>
      <c r="BB48" s="342"/>
      <c r="BC48" s="342"/>
      <c r="BD48" s="342"/>
      <c r="BE48" s="342"/>
      <c r="BF48" s="342"/>
      <c r="BG48" s="342"/>
      <c r="BH48" s="342"/>
      <c r="BI48" s="342"/>
      <c r="BJ48" s="342"/>
      <c r="BK48" s="342"/>
      <c r="BL48" s="342"/>
    </row>
    <row r="49" spans="1:64" ht="23" x14ac:dyDescent="0.25">
      <c r="A49" s="217" cm="1">
        <f t="array" ref="A49">IFERROR(INDEX(_xlfn.ANCHORARRAY($Q$6),ROW()-5,1),"")</f>
        <v>46244</v>
      </c>
      <c r="B49" s="288" t="str" cm="1">
        <f t="array" ref="B49">IFERROR(INDEX(_xlfn.ANCHORARRAY($Q$6),ROW()-5,2),"")</f>
        <v>Harnoor Logistics Private Limited</v>
      </c>
      <c r="C49" s="289" t="str" cm="1">
        <f t="array" ref="C49">IFERROR(INDEX(_xlfn.ANCHORARRAY($Q$6),ROW()-5,3),"")</f>
        <v/>
      </c>
      <c r="D49" s="218" t="str">
        <f>IF($A49="","",IF($K49="DIESEL",SUMIFS(Table1[Quantity],Table1[Customer],$B49,Table1[Date],$A49,Table1[Bill No.],$C49),IF($K49="PETROL",SUMIFS(Table14[Quantity],Table14[Customer],$B49,Table14[Date],$A49,Table14[Bill No.],$C49),IF($K49="XtraGreen",SUMIFS(Table146[Quantity],Table146[Company],$B49,Table146[Date],$A49,Table146[Bill No.],$C49),""))))</f>
        <v/>
      </c>
      <c r="E49" s="219" t="str">
        <f>IF($A49="","",IF($K49="DIESEL",AVERAGEIFS(Table1[RSP],Table1[Customer],$B49,Table1[Date],$A49,Table1[Bill No.],$C49),IF($K49="PETROL",AVERAGEIFS(Table14[RSP],Table14[Customer],$B49,Table14[Date],$A49,Table14[Bill No.],$C49),IF($K49="XtraGreen",AVERAGEIFS(Table146[RSP],Table146[Company],$B49,Table146[Date],$A49,Table146[Bill No.],$C49),IFERROR($F49/$D49,"")))))</f>
        <v/>
      </c>
      <c r="F49" s="330">
        <f>IF($A49="","",IF($K49="DIESEL",SUMIFS(Table1[Amount],Table1[Customer],$B49,Table1[Date],$A49,Table1[Bill No.],$C49),IF($K49="PETROL",SUMIFS(Table14[Amount],Table14[Customer],$B49,Table14[Date],$A49,Table14[Bill No.],$C49),IF($K49="XtraGreen",SUMIFS(Table146[Amount],Table146[Company],$B49,Table146[Date],$A49,Table146[Bill No.],$C49),SUMIFS('Other Sale'!$D:$D,'Other Sale'!$E:$E,$B49,'Other Sale'!$C:$C,$K49,'Other Sale'!$A:$A,$A49)))))</f>
        <v>0</v>
      </c>
      <c r="G49" s="330" cm="1">
        <f t="array" ref="G49">IF($A49="","",IF($K49="Payment",IFERROR(INDEX(_xlfn._xlws.FILTER(MasterPaid[Amount Paid],(MasterPaid[Customer]=$B49)*(MasterPaid[Date]=$A49)),COUNTIFS($A$6:$A49,$A49,$B$6:$B49,$B49,$K$6:$K49,"Payment")),0),0))</f>
        <v>795204</v>
      </c>
      <c r="H49" s="331">
        <v>796</v>
      </c>
      <c r="I49" s="331"/>
      <c r="J49" s="330">
        <f t="shared" si="0"/>
        <v>796000</v>
      </c>
      <c r="K49" s="289" t="str" cm="1">
        <f t="array" ref="K49">IFERROR(INDEX(_xlfn.ANCHORARRAY($Q$6),ROW()-5,4),"")</f>
        <v>Payment</v>
      </c>
      <c r="L49" s="290"/>
      <c r="Q49">
        <v>46244</v>
      </c>
      <c r="R49" t="str">
        <v>Harnoor Logistics Private Limited</v>
      </c>
      <c r="S49" t="str">
        <v/>
      </c>
      <c r="T49" t="str">
        <v>Payment</v>
      </c>
      <c r="U49">
        <f>IF(OR($A49="",$F49=""),0,MAX(0,MIN($F49,SUMIFS($F$6:$F49,$B$6:$B49,$B49)-(SUMIFS($G$6:$G$355,$B$6:$B$355,$B49)+SUMIFS($H$6:$H$355,$B$6:$B$355,$B49)+SUMIFS($I$6:$I$355,$B$6:$B$355,$B49)))))</f>
        <v>0</v>
      </c>
      <c r="AD49" s="468"/>
      <c r="AE49" s="342"/>
      <c r="AF49" s="342"/>
      <c r="AG49" s="342"/>
      <c r="AH49" s="342"/>
      <c r="AI49" s="342"/>
      <c r="AJ49" s="342"/>
      <c r="AK49" s="342"/>
      <c r="AL49" s="342"/>
      <c r="AM49" s="342"/>
      <c r="AN49" s="342"/>
      <c r="AO49" s="342"/>
      <c r="AP49" s="342"/>
      <c r="AQ49" s="342"/>
      <c r="AR49" s="342"/>
      <c r="AS49" s="342"/>
      <c r="AT49" s="342"/>
      <c r="AU49" s="342"/>
      <c r="AV49" s="342"/>
      <c r="AW49" s="342"/>
      <c r="AX49" s="342"/>
      <c r="AY49" s="342"/>
      <c r="AZ49" s="342"/>
      <c r="BA49" s="342"/>
      <c r="BB49" s="342"/>
      <c r="BC49" s="342"/>
      <c r="BD49" s="342"/>
      <c r="BE49" s="342"/>
      <c r="BF49" s="342"/>
      <c r="BG49" s="342"/>
      <c r="BH49" s="342"/>
      <c r="BI49" s="342"/>
      <c r="BJ49" s="342"/>
      <c r="BK49" s="342"/>
      <c r="BL49" s="342"/>
    </row>
    <row r="50" spans="1:64" ht="23" x14ac:dyDescent="0.25">
      <c r="A50" s="217" cm="1">
        <f t="array" ref="A50">IFERROR(INDEX(_xlfn.ANCHORARRAY($Q$6),ROW()-5,1),"")</f>
        <v>46251</v>
      </c>
      <c r="B50" s="288" t="str" cm="1">
        <f t="array" ref="B50">IFERROR(INDEX(_xlfn.ANCHORARRAY($Q$6),ROW()-5,2),"")</f>
        <v>SAMARPAN LOGISTICS PVT LTD</v>
      </c>
      <c r="C50" s="289" t="str" cm="1">
        <f t="array" ref="C50">IFERROR(INDEX(_xlfn.ANCHORARRAY($Q$6),ROW()-5,3),"")</f>
        <v/>
      </c>
      <c r="D50" s="218" t="str">
        <f>IF($A50="","",IF($K50="DIESEL",SUMIFS(Table1[Quantity],Table1[Customer],$B50,Table1[Date],$A50,Table1[Bill No.],$C50),IF($K50="PETROL",SUMIFS(Table14[Quantity],Table14[Customer],$B50,Table14[Date],$A50,Table14[Bill No.],$C50),IF($K50="XtraGreen",SUMIFS(Table146[Quantity],Table146[Company],$B50,Table146[Date],$A50,Table146[Bill No.],$C50),""))))</f>
        <v/>
      </c>
      <c r="E50" s="219" t="str">
        <f>IF($A50="","",IF($K50="DIESEL",AVERAGEIFS(Table1[RSP],Table1[Customer],$B50,Table1[Date],$A50,Table1[Bill No.],$C50),IF($K50="PETROL",AVERAGEIFS(Table14[RSP],Table14[Customer],$B50,Table14[Date],$A50,Table14[Bill No.],$C50),IF($K50="XtraGreen",AVERAGEIFS(Table146[RSP],Table146[Company],$B50,Table146[Date],$A50,Table146[Bill No.],$C50),IFERROR($F50/$D50,"")))))</f>
        <v/>
      </c>
      <c r="F50" s="330">
        <f>IF($A50="","",IF($K50="DIESEL",SUMIFS(Table1[Amount],Table1[Customer],$B50,Table1[Date],$A50,Table1[Bill No.],$C50),IF($K50="PETROL",SUMIFS(Table14[Amount],Table14[Customer],$B50,Table14[Date],$A50,Table14[Bill No.],$C50),IF($K50="XtraGreen",SUMIFS(Table146[Amount],Table146[Company],$B50,Table146[Date],$A50,Table146[Bill No.],$C50),SUMIFS('Other Sale'!$D:$D,'Other Sale'!$E:$E,$B50,'Other Sale'!$C:$C,$K50,'Other Sale'!$A:$A,$A50)))))</f>
        <v>0</v>
      </c>
      <c r="G50" s="330" cm="1">
        <f t="array" ref="G50">IF($A50="","",IF($K50="Payment",IFERROR(INDEX(_xlfn._xlws.FILTER(MasterPaid[Amount Paid],(MasterPaid[Customer]=$B50)*(MasterPaid[Date]=$A50)),COUNTIFS($A$6:$A50,$A50,$B$6:$B50,$B50,$K$6:$K50,"Payment")),0),0))</f>
        <v>795204</v>
      </c>
      <c r="H50" s="331">
        <v>796</v>
      </c>
      <c r="I50" s="331"/>
      <c r="J50" s="330">
        <f t="shared" si="0"/>
        <v>0</v>
      </c>
      <c r="K50" s="289" t="str" cm="1">
        <f t="array" ref="K50">IFERROR(INDEX(_xlfn.ANCHORARRAY($Q$6),ROW()-5,4),"")</f>
        <v>Payment</v>
      </c>
      <c r="L50" s="290"/>
      <c r="Q50">
        <v>46251</v>
      </c>
      <c r="R50" t="str">
        <v>SAMARPAN LOGISTICS PVT LTD</v>
      </c>
      <c r="S50" t="str">
        <v/>
      </c>
      <c r="T50" t="str">
        <v>Payment</v>
      </c>
      <c r="U50">
        <f>IF(OR($A50="",$F50=""),0,MAX(0,MIN($F50,SUMIFS($F$6:$F50,$B$6:$B50,$B50)-(SUMIFS($G$6:$G$355,$B$6:$B$355,$B50)+SUMIFS($H$6:$H$355,$B$6:$B$355,$B50)+SUMIFS($I$6:$I$355,$B$6:$B$355,$B50)))))</f>
        <v>0</v>
      </c>
      <c r="AD50" s="468"/>
      <c r="AE50" s="342"/>
      <c r="AF50" s="342"/>
      <c r="AG50" s="342"/>
      <c r="AH50" s="342"/>
      <c r="AI50" s="342"/>
      <c r="AJ50" s="342"/>
      <c r="AK50" s="342"/>
      <c r="AL50" s="342"/>
      <c r="AM50" s="342"/>
      <c r="AN50" s="342"/>
      <c r="AO50" s="342"/>
      <c r="AP50" s="342"/>
      <c r="AQ50" s="342"/>
      <c r="AR50" s="342"/>
      <c r="AS50" s="342"/>
      <c r="AT50" s="342"/>
      <c r="AU50" s="342"/>
      <c r="AV50" s="342"/>
      <c r="AW50" s="342"/>
      <c r="AX50" s="342"/>
      <c r="AY50" s="342"/>
      <c r="AZ50" s="342"/>
      <c r="BA50" s="342"/>
      <c r="BB50" s="342"/>
      <c r="BC50" s="342"/>
      <c r="BD50" s="342"/>
      <c r="BE50" s="342"/>
      <c r="BF50" s="342"/>
      <c r="BG50" s="342"/>
      <c r="BH50" s="342"/>
      <c r="BI50" s="342"/>
      <c r="BJ50" s="342"/>
      <c r="BK50" s="342"/>
      <c r="BL50" s="342"/>
    </row>
    <row r="51" spans="1:64" ht="23" x14ac:dyDescent="0.25">
      <c r="A51" s="217" cm="1">
        <f t="array" ref="A51">IFERROR(INDEX(_xlfn.ANCHORARRAY($Q$6),ROW()-5,1),"")</f>
        <v>46258</v>
      </c>
      <c r="B51" s="288" t="str" cm="1">
        <f t="array" ref="B51">IFERROR(INDEX(_xlfn.ANCHORARRAY($Q$6),ROW()-5,2),"")</f>
        <v>Great River Coy Private Limited</v>
      </c>
      <c r="C51" s="289" t="str" cm="1">
        <f t="array" ref="C51">IFERROR(INDEX(_xlfn.ANCHORARRAY($Q$6),ROW()-5,3),"")</f>
        <v>2331</v>
      </c>
      <c r="D51" s="218">
        <f>IF($A51="","",IF($K51="DIESEL",SUMIFS(Table1[Quantity],Table1[Customer],$B51,Table1[Date],$A51,Table1[Bill No.],$C51),IF($K51="PETROL",SUMIFS(Table14[Quantity],Table14[Customer],$B51,Table14[Date],$A51,Table14[Bill No.],$C51),IF($K51="XtraGreen",SUMIFS(Table146[Quantity],Table146[Company],$B51,Table146[Date],$A51,Table146[Bill No.],$C51),""))))</f>
        <v>4000</v>
      </c>
      <c r="E51" s="219">
        <f>IF($A51="","",IF($K51="DIESEL",AVERAGEIFS(Table1[RSP],Table1[Customer],$B51,Table1[Date],$A51,Table1[Bill No.],$C51),IF($K51="PETROL",AVERAGEIFS(Table14[RSP],Table14[Customer],$B51,Table14[Date],$A51,Table14[Bill No.],$C51),IF($K51="XtraGreen",AVERAGEIFS(Table146[RSP],Table146[Company],$B51,Table146[Date],$A51,Table146[Bill No.],$C51),IFERROR($F51/$D51,"")))))</f>
        <v>99.5</v>
      </c>
      <c r="F51" s="330">
        <f>IF($A51="","",IF($K51="DIESEL",SUMIFS(Table1[Amount],Table1[Customer],$B51,Table1[Date],$A51,Table1[Bill No.],$C51),IF($K51="PETROL",SUMIFS(Table14[Amount],Table14[Customer],$B51,Table14[Date],$A51,Table14[Bill No.],$C51),IF($K51="XtraGreen",SUMIFS(Table146[Amount],Table146[Company],$B51,Table146[Date],$A51,Table146[Bill No.],$C51),SUMIFS('Other Sale'!$D:$D,'Other Sale'!$E:$E,$B51,'Other Sale'!$C:$C,$K51,'Other Sale'!$A:$A,$A51)))))</f>
        <v>398000</v>
      </c>
      <c r="G51" s="330" cm="1">
        <f t="array" ref="G51">IF($A51="","",IF($K51="Payment",IFERROR(INDEX(_xlfn._xlws.FILTER(MasterPaid[Amount Paid],(MasterPaid[Customer]=$B51)*(MasterPaid[Date]=$A51)),COUNTIFS($A$6:$A51,$A51,$B$6:$B51,$B51,$K$6:$K51,"Payment")),0),0))</f>
        <v>0</v>
      </c>
      <c r="H51" s="331"/>
      <c r="I51" s="331"/>
      <c r="J51" s="330">
        <f t="shared" si="0"/>
        <v>398000</v>
      </c>
      <c r="K51" s="289" t="str" cm="1">
        <f t="array" ref="K51">IFERROR(INDEX(_xlfn.ANCHORARRAY($Q$6),ROW()-5,4),"")</f>
        <v>DIESEL</v>
      </c>
      <c r="L51" s="290"/>
      <c r="Q51">
        <v>46258</v>
      </c>
      <c r="R51" t="str">
        <v>Great River Coy Private Limited</v>
      </c>
      <c r="S51" t="str">
        <v>2331</v>
      </c>
      <c r="T51" t="str">
        <v>DIESEL</v>
      </c>
      <c r="U51">
        <f>IF(OR($A51="",$F51=""),0,MAX(0,MIN($F51,SUMIFS($F$6:$F51,$B$6:$B51,$B51)-(SUMIFS($G$6:$G$355,$B$6:$B$355,$B51)+SUMIFS($H$6:$H$355,$B$6:$B$355,$B51)+SUMIFS($I$6:$I$355,$B$6:$B$355,$B51)))))</f>
        <v>398000</v>
      </c>
      <c r="AD51" s="468"/>
      <c r="AE51" s="342"/>
      <c r="AF51" s="342"/>
      <c r="AG51" s="342"/>
      <c r="AH51" s="342"/>
      <c r="AI51" s="342"/>
      <c r="AJ51" s="342"/>
      <c r="AK51" s="342"/>
      <c r="AL51" s="342"/>
      <c r="AM51" s="342"/>
      <c r="AN51" s="342"/>
      <c r="AO51" s="342"/>
      <c r="AP51" s="342"/>
      <c r="AQ51" s="342"/>
      <c r="AR51" s="342"/>
      <c r="AS51" s="342"/>
      <c r="AT51" s="342"/>
      <c r="AU51" s="342"/>
      <c r="AV51" s="342"/>
      <c r="AW51" s="342"/>
      <c r="AX51" s="342"/>
      <c r="AY51" s="342"/>
      <c r="AZ51" s="342"/>
      <c r="BA51" s="342"/>
      <c r="BB51" s="342"/>
      <c r="BC51" s="342"/>
      <c r="BD51" s="342"/>
      <c r="BE51" s="342"/>
      <c r="BF51" s="342"/>
      <c r="BG51" s="342"/>
      <c r="BH51" s="342"/>
      <c r="BI51" s="342"/>
      <c r="BJ51" s="342"/>
      <c r="BK51" s="342"/>
      <c r="BL51" s="342"/>
    </row>
    <row r="52" spans="1:64" ht="23" x14ac:dyDescent="0.25">
      <c r="A52" s="217" cm="1">
        <f t="array" ref="A52">IFERROR(INDEX(_xlfn.ANCHORARRAY($Q$6),ROW()-5,1),"")</f>
        <v>46258</v>
      </c>
      <c r="B52" s="288" t="str" cm="1">
        <f t="array" ref="B52">IFERROR(INDEX(_xlfn.ANCHORARRAY($Q$6),ROW()-5,2),"")</f>
        <v>Grk Logistics Private Limited</v>
      </c>
      <c r="C52" s="289" t="str" cm="1">
        <f t="array" ref="C52">IFERROR(INDEX(_xlfn.ANCHORARRAY($Q$6),ROW()-5,3),"")</f>
        <v>2332</v>
      </c>
      <c r="D52" s="218">
        <f>IF($A52="","",IF($K52="DIESEL",SUMIFS(Table1[Quantity],Table1[Customer],$B52,Table1[Date],$A52,Table1[Bill No.],$C52),IF($K52="PETROL",SUMIFS(Table14[Quantity],Table14[Customer],$B52,Table14[Date],$A52,Table14[Bill No.],$C52),IF($K52="XtraGreen",SUMIFS(Table146[Quantity],Table146[Company],$B52,Table146[Date],$A52,Table146[Bill No.],$C52),""))))</f>
        <v>4000</v>
      </c>
      <c r="E52" s="219">
        <f>IF($A52="","",IF($K52="DIESEL",AVERAGEIFS(Table1[RSP],Table1[Customer],$B52,Table1[Date],$A52,Table1[Bill No.],$C52),IF($K52="PETROL",AVERAGEIFS(Table14[RSP],Table14[Customer],$B52,Table14[Date],$A52,Table14[Bill No.],$C52),IF($K52="XtraGreen",AVERAGEIFS(Table146[RSP],Table146[Company],$B52,Table146[Date],$A52,Table146[Bill No.],$C52),IFERROR($F52/$D52,"")))))</f>
        <v>99.5</v>
      </c>
      <c r="F52" s="330">
        <f>IF($A52="","",IF($K52="DIESEL",SUMIFS(Table1[Amount],Table1[Customer],$B52,Table1[Date],$A52,Table1[Bill No.],$C52),IF($K52="PETROL",SUMIFS(Table14[Amount],Table14[Customer],$B52,Table14[Date],$A52,Table14[Bill No.],$C52),IF($K52="XtraGreen",SUMIFS(Table146[Amount],Table146[Company],$B52,Table146[Date],$A52,Table146[Bill No.],$C52),SUMIFS('Other Sale'!$D:$D,'Other Sale'!$E:$E,$B52,'Other Sale'!$C:$C,$K52,'Other Sale'!$A:$A,$A52)))))</f>
        <v>398000</v>
      </c>
      <c r="G52" s="330" cm="1">
        <f t="array" ref="G52">IF($A52="","",IF($K52="Payment",IFERROR(INDEX(_xlfn._xlws.FILTER(MasterPaid[Amount Paid],(MasterPaid[Customer]=$B52)*(MasterPaid[Date]=$A52)),COUNTIFS($A$6:$A52,$A52,$B$6:$B52,$B52,$K$6:$K52,"Payment")),0),0))</f>
        <v>0</v>
      </c>
      <c r="H52" s="331"/>
      <c r="I52" s="331"/>
      <c r="J52" s="330">
        <f t="shared" si="0"/>
        <v>796000</v>
      </c>
      <c r="K52" s="289" t="str" cm="1">
        <f t="array" ref="K52">IFERROR(INDEX(_xlfn.ANCHORARRAY($Q$6),ROW()-5,4),"")</f>
        <v>DIESEL</v>
      </c>
      <c r="L52" s="290"/>
      <c r="Q52">
        <v>46258</v>
      </c>
      <c r="R52" t="str">
        <v>Grk Logistics Private Limited</v>
      </c>
      <c r="S52" t="str">
        <v>2332</v>
      </c>
      <c r="T52" t="str">
        <v>DIESEL</v>
      </c>
      <c r="U52">
        <f>IF(OR($A52="",$F52=""),0,MAX(0,MIN($F52,SUMIFS($F$6:$F52,$B$6:$B52,$B52)-(SUMIFS($G$6:$G$355,$B$6:$B$355,$B52)+SUMIFS($H$6:$H$355,$B$6:$B$355,$B52)+SUMIFS($I$6:$I$355,$B$6:$B$355,$B52)))))</f>
        <v>398000</v>
      </c>
      <c r="AD52" s="468"/>
      <c r="AE52" s="342"/>
      <c r="AF52" s="342"/>
      <c r="AG52" s="342"/>
      <c r="AH52" s="342"/>
      <c r="AI52" s="342"/>
      <c r="AJ52" s="342"/>
      <c r="AK52" s="342"/>
      <c r="AL52" s="342"/>
      <c r="AM52" s="342"/>
      <c r="AN52" s="342"/>
      <c r="AO52" s="342"/>
      <c r="AP52" s="342"/>
      <c r="AQ52" s="342"/>
      <c r="AR52" s="342"/>
      <c r="AS52" s="342"/>
      <c r="AT52" s="342"/>
      <c r="AU52" s="342"/>
      <c r="AV52" s="342"/>
      <c r="AW52" s="342"/>
      <c r="AX52" s="342"/>
      <c r="AY52" s="342"/>
      <c r="AZ52" s="342"/>
      <c r="BA52" s="342"/>
      <c r="BB52" s="342"/>
      <c r="BC52" s="342"/>
      <c r="BD52" s="342"/>
      <c r="BE52" s="342"/>
      <c r="BF52" s="342"/>
      <c r="BG52" s="342"/>
      <c r="BH52" s="342"/>
      <c r="BI52" s="342"/>
      <c r="BJ52" s="342"/>
      <c r="BK52" s="342"/>
      <c r="BL52" s="342"/>
    </row>
    <row r="53" spans="1:64" ht="23" x14ac:dyDescent="0.25">
      <c r="A53" s="217" cm="1">
        <f t="array" ref="A53">IFERROR(INDEX(_xlfn.ANCHORARRAY($Q$6),ROW()-5,1),"")</f>
        <v>46258</v>
      </c>
      <c r="B53" s="288" t="str" cm="1">
        <f t="array" ref="B53">IFERROR(INDEX(_xlfn.ANCHORARRAY($Q$6),ROW()-5,2),"")</f>
        <v>Harnoor Logistics Private Limited</v>
      </c>
      <c r="C53" s="289" t="str" cm="1">
        <f t="array" ref="C53">IFERROR(INDEX(_xlfn.ANCHORARRAY($Q$6),ROW()-5,3),"")</f>
        <v>2333</v>
      </c>
      <c r="D53" s="218">
        <f>IF($A53="","",IF($K53="DIESEL",SUMIFS(Table1[Quantity],Table1[Customer],$B53,Table1[Date],$A53,Table1[Bill No.],$C53),IF($K53="PETROL",SUMIFS(Table14[Quantity],Table14[Customer],$B53,Table14[Date],$A53,Table14[Bill No.],$C53),IF($K53="XtraGreen",SUMIFS(Table146[Quantity],Table146[Company],$B53,Table146[Date],$A53,Table146[Bill No.],$C53),""))))</f>
        <v>4000</v>
      </c>
      <c r="E53" s="219">
        <f>IF($A53="","",IF($K53="DIESEL",AVERAGEIFS(Table1[RSP],Table1[Customer],$B53,Table1[Date],$A53,Table1[Bill No.],$C53),IF($K53="PETROL",AVERAGEIFS(Table14[RSP],Table14[Customer],$B53,Table14[Date],$A53,Table14[Bill No.],$C53),IF($K53="XtraGreen",AVERAGEIFS(Table146[RSP],Table146[Company],$B53,Table146[Date],$A53,Table146[Bill No.],$C53),IFERROR($F53/$D53,"")))))</f>
        <v>99.5</v>
      </c>
      <c r="F53" s="330">
        <f>IF($A53="","",IF($K53="DIESEL",SUMIFS(Table1[Amount],Table1[Customer],$B53,Table1[Date],$A53,Table1[Bill No.],$C53),IF($K53="PETROL",SUMIFS(Table14[Amount],Table14[Customer],$B53,Table14[Date],$A53,Table14[Bill No.],$C53),IF($K53="XtraGreen",SUMIFS(Table146[Amount],Table146[Company],$B53,Table146[Date],$A53,Table146[Bill No.],$C53),SUMIFS('Other Sale'!$D:$D,'Other Sale'!$E:$E,$B53,'Other Sale'!$C:$C,$K53,'Other Sale'!$A:$A,$A53)))))</f>
        <v>398000</v>
      </c>
      <c r="G53" s="330" cm="1">
        <f t="array" ref="G53">IF($A53="","",IF($K53="Payment",IFERROR(INDEX(_xlfn._xlws.FILTER(MasterPaid[Amount Paid],(MasterPaid[Customer]=$B53)*(MasterPaid[Date]=$A53)),COUNTIFS($A$6:$A53,$A53,$B$6:$B53,$B53,$K$6:$K53,"Payment")),0),0))</f>
        <v>0</v>
      </c>
      <c r="H53" s="331"/>
      <c r="I53" s="331"/>
      <c r="J53" s="330">
        <f t="shared" si="0"/>
        <v>1194000</v>
      </c>
      <c r="K53" s="289" t="str" cm="1">
        <f t="array" ref="K53">IFERROR(INDEX(_xlfn.ANCHORARRAY($Q$6),ROW()-5,4),"")</f>
        <v>DIESEL</v>
      </c>
      <c r="L53" s="290"/>
      <c r="Q53">
        <v>46258</v>
      </c>
      <c r="R53" t="str">
        <v>Harnoor Logistics Private Limited</v>
      </c>
      <c r="S53" t="str">
        <v>2333</v>
      </c>
      <c r="T53" t="str">
        <v>DIESEL</v>
      </c>
      <c r="U53">
        <f>IF(OR($A53="",$F53=""),0,MAX(0,MIN($F53,SUMIFS($F$6:$F53,$B$6:$B53,$B53)-(SUMIFS($G$6:$G$355,$B$6:$B$355,$B53)+SUMIFS($H$6:$H$355,$B$6:$B$355,$B53)+SUMIFS($I$6:$I$355,$B$6:$B$355,$B53)))))</f>
        <v>398000</v>
      </c>
      <c r="AD53" s="468"/>
      <c r="AE53" s="342"/>
      <c r="AF53" s="342"/>
      <c r="AG53" s="342"/>
      <c r="AH53" s="342"/>
      <c r="AI53" s="342"/>
      <c r="AJ53" s="342"/>
      <c r="AK53" s="342"/>
      <c r="AL53" s="342"/>
      <c r="AM53" s="342"/>
      <c r="AN53" s="342"/>
      <c r="AO53" s="342"/>
      <c r="AP53" s="342"/>
      <c r="AQ53" s="342"/>
      <c r="AR53" s="342"/>
      <c r="AS53" s="342"/>
      <c r="AT53" s="342"/>
      <c r="AU53" s="342"/>
      <c r="AV53" s="342"/>
      <c r="AW53" s="342"/>
      <c r="AX53" s="342"/>
      <c r="AY53" s="342"/>
      <c r="AZ53" s="342"/>
      <c r="BA53" s="342"/>
      <c r="BB53" s="342"/>
      <c r="BC53" s="342"/>
      <c r="BD53" s="342"/>
      <c r="BE53" s="342"/>
      <c r="BF53" s="342"/>
      <c r="BG53" s="342"/>
      <c r="BH53" s="342"/>
      <c r="BI53" s="342"/>
      <c r="BJ53" s="342"/>
      <c r="BK53" s="342"/>
      <c r="BL53" s="342"/>
    </row>
    <row r="54" spans="1:64" ht="23" x14ac:dyDescent="0.25">
      <c r="A54" s="217" t="str" cm="1">
        <f t="array" ref="A54">IFERROR(INDEX(_xlfn.ANCHORARRAY($Q$6),ROW()-5,1),"")</f>
        <v/>
      </c>
      <c r="B54" s="288" t="str" cm="1">
        <f t="array" ref="B54">IFERROR(INDEX(_xlfn.ANCHORARRAY($Q$6),ROW()-5,2),"")</f>
        <v/>
      </c>
      <c r="C54" s="289" t="str" cm="1">
        <f t="array" ref="C54">IFERROR(INDEX(_xlfn.ANCHORARRAY($Q$6),ROW()-5,3),"")</f>
        <v/>
      </c>
      <c r="D54" s="218" t="str">
        <f>IF($A54="","",IF($K54="DIESEL",SUMIFS(Table1[Quantity],Table1[Customer],$B54,Table1[Date],$A54,Table1[Bill No.],$C54),IF($K54="PETROL",SUMIFS(Table14[Quantity],Table14[Customer],$B54,Table14[Date],$A54,Table14[Bill No.],$C54),IF($K54="XtraGreen",SUMIFS(Table146[Quantity],Table146[Company],$B54,Table146[Date],$A54,Table146[Bill No.],$C54),""))))</f>
        <v/>
      </c>
      <c r="E54" s="219" t="str">
        <f>IF($A54="","",IF($K54="DIESEL",AVERAGEIFS(Table1[RSP],Table1[Customer],$B54,Table1[Date],$A54,Table1[Bill No.],$C54),IF($K54="PETROL",AVERAGEIFS(Table14[RSP],Table14[Customer],$B54,Table14[Date],$A54,Table14[Bill No.],$C54),IF($K54="XtraGreen",AVERAGEIFS(Table146[RSP],Table146[Company],$B54,Table146[Date],$A54,Table146[Bill No.],$C54),IFERROR($F54/$D54,"")))))</f>
        <v/>
      </c>
      <c r="F54" s="330" t="str">
        <f>IF($A54="","",IF($K54="DIESEL",SUMIFS(Table1[Amount],Table1[Customer],$B54,Table1[Date],$A54,Table1[Bill No.],$C54),IF($K54="PETROL",SUMIFS(Table14[Amount],Table14[Customer],$B54,Table14[Date],$A54,Table14[Bill No.],$C54),IF($K54="XtraGreen",SUMIFS(Table146[Amount],Table146[Company],$B54,Table146[Date],$A54,Table146[Bill No.],$C54),SUMIFS('Other Sale'!$D:$D,'Other Sale'!$E:$E,$B54,'Other Sale'!$C:$C,$K54,'Other Sale'!$A:$A,$A54)))))</f>
        <v/>
      </c>
      <c r="G54" s="330" t="str" cm="1">
        <f t="array" ref="G54">IF($A54="","",IF($K54="Payment",IFERROR(INDEX(_xlfn._xlws.FILTER(MasterPaid[Amount Paid],(MasterPaid[Customer]=$B54)*(MasterPaid[Date]=$A54)),COUNTIFS($A$6:$A54,$A54,$B$6:$B54,$B54,$K$6:$K54,"Payment")),0),0))</f>
        <v/>
      </c>
      <c r="H54" s="331"/>
      <c r="I54" s="331"/>
      <c r="J54" s="330" t="str">
        <f t="shared" si="0"/>
        <v/>
      </c>
      <c r="K54" s="289" t="str" cm="1">
        <f t="array" ref="K54">IFERROR(INDEX(_xlfn.ANCHORARRAY($Q$6),ROW()-5,4),"")</f>
        <v/>
      </c>
      <c r="L54" s="290"/>
      <c r="U54">
        <f>IF(OR($A54="",$F54=""),0,MAX(0,MIN($F54,SUMIFS($F$6:$F54,$B$6:$B54,$B54)-(SUMIFS($G$6:$G$355,$B$6:$B$355,$B54)+SUMIFS($H$6:$H$355,$B$6:$B$355,$B54)+SUMIFS($I$6:$I$355,$B$6:$B$355,$B54)))))</f>
        <v>0</v>
      </c>
      <c r="AD54" s="468"/>
      <c r="AE54" s="342"/>
      <c r="AF54" s="342"/>
      <c r="AG54" s="342"/>
      <c r="AH54" s="342"/>
      <c r="AI54" s="342"/>
      <c r="AJ54" s="342"/>
      <c r="AK54" s="342"/>
      <c r="AL54" s="342"/>
      <c r="AM54" s="342"/>
      <c r="AN54" s="342"/>
      <c r="AO54" s="342"/>
      <c r="AP54" s="342"/>
      <c r="AQ54" s="342"/>
      <c r="AR54" s="342"/>
      <c r="AS54" s="342"/>
      <c r="AT54" s="342"/>
      <c r="AU54" s="342"/>
      <c r="AV54" s="342"/>
      <c r="AW54" s="342"/>
      <c r="AX54" s="342"/>
      <c r="AY54" s="342"/>
      <c r="AZ54" s="342"/>
      <c r="BA54" s="342"/>
      <c r="BB54" s="342"/>
      <c r="BC54" s="342"/>
      <c r="BD54" s="342"/>
      <c r="BE54" s="342"/>
      <c r="BF54" s="342"/>
      <c r="BG54" s="342"/>
      <c r="BH54" s="342"/>
      <c r="BI54" s="342"/>
      <c r="BJ54" s="342"/>
      <c r="BK54" s="342"/>
      <c r="BL54" s="342"/>
    </row>
    <row r="55" spans="1:64" ht="23" x14ac:dyDescent="0.25">
      <c r="A55" s="217" t="str" cm="1">
        <f t="array" ref="A55">IFERROR(INDEX(_xlfn.ANCHORARRAY($Q$6),ROW()-5,1),"")</f>
        <v/>
      </c>
      <c r="B55" s="288" t="str" cm="1">
        <f t="array" ref="B55">IFERROR(INDEX(_xlfn.ANCHORARRAY($Q$6),ROW()-5,2),"")</f>
        <v/>
      </c>
      <c r="C55" s="289" t="str" cm="1">
        <f t="array" ref="C55">IFERROR(INDEX(_xlfn.ANCHORARRAY($Q$6),ROW()-5,3),"")</f>
        <v/>
      </c>
      <c r="D55" s="218" t="str">
        <f>IF($A55="","",IF($K55="DIESEL",SUMIFS(Table1[Quantity],Table1[Customer],$B55,Table1[Date],$A55,Table1[Bill No.],$C55),IF($K55="PETROL",SUMIFS(Table14[Quantity],Table14[Customer],$B55,Table14[Date],$A55,Table14[Bill No.],$C55),IF($K55="XtraGreen",SUMIFS(Table146[Quantity],Table146[Company],$B55,Table146[Date],$A55,Table146[Bill No.],$C55),""))))</f>
        <v/>
      </c>
      <c r="E55" s="219" t="str">
        <f>IF($A55="","",IF($K55="DIESEL",AVERAGEIFS(Table1[RSP],Table1[Customer],$B55,Table1[Date],$A55,Table1[Bill No.],$C55),IF($K55="PETROL",AVERAGEIFS(Table14[RSP],Table14[Customer],$B55,Table14[Date],$A55,Table14[Bill No.],$C55),IF($K55="XtraGreen",AVERAGEIFS(Table146[RSP],Table146[Company],$B55,Table146[Date],$A55,Table146[Bill No.],$C55),IFERROR($F55/$D55,"")))))</f>
        <v/>
      </c>
      <c r="F55" s="330" t="str">
        <f>IF($A55="","",IF($K55="DIESEL",SUMIFS(Table1[Amount],Table1[Customer],$B55,Table1[Date],$A55,Table1[Bill No.],$C55),IF($K55="PETROL",SUMIFS(Table14[Amount],Table14[Customer],$B55,Table14[Date],$A55,Table14[Bill No.],$C55),IF($K55="XtraGreen",SUMIFS(Table146[Amount],Table146[Company],$B55,Table146[Date],$A55,Table146[Bill No.],$C55),SUMIFS('Other Sale'!$D:$D,'Other Sale'!$E:$E,$B55,'Other Sale'!$C:$C,$K55,'Other Sale'!$A:$A,$A55)))))</f>
        <v/>
      </c>
      <c r="G55" s="330" t="str" cm="1">
        <f t="array" ref="G55">IF($A55="","",IF($K55="Payment",IFERROR(INDEX(_xlfn._xlws.FILTER(MasterPaid[Amount Paid],(MasterPaid[Customer]=$B55)*(MasterPaid[Date]=$A55)),COUNTIFS($A$6:$A55,$A55,$B$6:$B55,$B55,$K$6:$K55,"Payment")),0),0))</f>
        <v/>
      </c>
      <c r="H55" s="331"/>
      <c r="I55" s="331"/>
      <c r="J55" s="330" t="str">
        <f t="shared" si="0"/>
        <v/>
      </c>
      <c r="K55" s="289" t="str" cm="1">
        <f t="array" ref="K55">IFERROR(INDEX(_xlfn.ANCHORARRAY($Q$6),ROW()-5,4),"")</f>
        <v/>
      </c>
      <c r="L55" s="290"/>
      <c r="U55">
        <f>IF(OR($A55="",$F55=""),0,MAX(0,MIN($F55,SUMIFS($F$6:$F55,$B$6:$B55,$B55)-(SUMIFS($G$6:$G$355,$B$6:$B$355,$B55)+SUMIFS($H$6:$H$355,$B$6:$B$355,$B55)+SUMIFS($I$6:$I$355,$B$6:$B$355,$B55)))))</f>
        <v>0</v>
      </c>
      <c r="AD55" s="468"/>
      <c r="AE55" s="342"/>
      <c r="AF55" s="342"/>
      <c r="AG55" s="342"/>
      <c r="AH55" s="342"/>
      <c r="AI55" s="342"/>
      <c r="AJ55" s="342"/>
      <c r="AK55" s="342"/>
      <c r="AL55" s="342"/>
      <c r="AM55" s="342"/>
      <c r="AN55" s="342"/>
      <c r="AO55" s="342"/>
      <c r="AP55" s="342"/>
      <c r="AQ55" s="342"/>
      <c r="AR55" s="342"/>
      <c r="AS55" s="342"/>
      <c r="AT55" s="342"/>
      <c r="AU55" s="342"/>
      <c r="AV55" s="342"/>
      <c r="AW55" s="342"/>
      <c r="AX55" s="342"/>
      <c r="AY55" s="342"/>
      <c r="AZ55" s="342"/>
      <c r="BA55" s="342"/>
      <c r="BB55" s="342"/>
      <c r="BC55" s="342"/>
      <c r="BD55" s="342"/>
      <c r="BE55" s="342"/>
      <c r="BF55" s="342"/>
      <c r="BG55" s="342"/>
      <c r="BH55" s="342"/>
      <c r="BI55" s="342"/>
      <c r="BJ55" s="342"/>
      <c r="BK55" s="342"/>
      <c r="BL55" s="342"/>
    </row>
    <row r="56" spans="1:64" ht="23" x14ac:dyDescent="0.25">
      <c r="A56" s="217" t="str" cm="1">
        <f t="array" ref="A56">IFERROR(INDEX(_xlfn.ANCHORARRAY($Q$6),ROW()-5,1),"")</f>
        <v/>
      </c>
      <c r="B56" s="288" t="str" cm="1">
        <f t="array" ref="B56">IFERROR(INDEX(_xlfn.ANCHORARRAY($Q$6),ROW()-5,2),"")</f>
        <v/>
      </c>
      <c r="C56" s="289" t="str" cm="1">
        <f t="array" ref="C56">IFERROR(INDEX(_xlfn.ANCHORARRAY($Q$6),ROW()-5,3),"")</f>
        <v/>
      </c>
      <c r="D56" s="218" t="str">
        <f>IF($A56="","",IF($K56="DIESEL",SUMIFS(Table1[Quantity],Table1[Customer],$B56,Table1[Date],$A56,Table1[Bill No.],$C56),IF($K56="PETROL",SUMIFS(Table14[Quantity],Table14[Customer],$B56,Table14[Date],$A56,Table14[Bill No.],$C56),IF($K56="XtraGreen",SUMIFS(Table146[Quantity],Table146[Company],$B56,Table146[Date],$A56,Table146[Bill No.],$C56),""))))</f>
        <v/>
      </c>
      <c r="E56" s="219" t="str">
        <f>IF($A56="","",IF($K56="DIESEL",AVERAGEIFS(Table1[RSP],Table1[Customer],$B56,Table1[Date],$A56,Table1[Bill No.],$C56),IF($K56="PETROL",AVERAGEIFS(Table14[RSP],Table14[Customer],$B56,Table14[Date],$A56,Table14[Bill No.],$C56),IF($K56="XtraGreen",AVERAGEIFS(Table146[RSP],Table146[Company],$B56,Table146[Date],$A56,Table146[Bill No.],$C56),IFERROR($F56/$D56,"")))))</f>
        <v/>
      </c>
      <c r="F56" s="330" t="str">
        <f>IF($A56="","",IF($K56="DIESEL",SUMIFS(Table1[Amount],Table1[Customer],$B56,Table1[Date],$A56,Table1[Bill No.],$C56),IF($K56="PETROL",SUMIFS(Table14[Amount],Table14[Customer],$B56,Table14[Date],$A56,Table14[Bill No.],$C56),IF($K56="XtraGreen",SUMIFS(Table146[Amount],Table146[Company],$B56,Table146[Date],$A56,Table146[Bill No.],$C56),SUMIFS('Other Sale'!$D:$D,'Other Sale'!$E:$E,$B56,'Other Sale'!$C:$C,$K56,'Other Sale'!$A:$A,$A56)))))</f>
        <v/>
      </c>
      <c r="G56" s="330" t="str" cm="1">
        <f t="array" ref="G56">IF($A56="","",IF($K56="Payment",IFERROR(INDEX(_xlfn._xlws.FILTER(MasterPaid[Amount Paid],(MasterPaid[Customer]=$B56)*(MasterPaid[Date]=$A56)),COUNTIFS($A$6:$A56,$A56,$B$6:$B56,$B56,$K$6:$K56,"Payment")),0),0))</f>
        <v/>
      </c>
      <c r="H56" s="331"/>
      <c r="I56" s="331"/>
      <c r="J56" s="330" t="str">
        <f t="shared" si="0"/>
        <v/>
      </c>
      <c r="K56" s="289" t="str" cm="1">
        <f t="array" ref="K56">IFERROR(INDEX(_xlfn.ANCHORARRAY($Q$6),ROW()-5,4),"")</f>
        <v/>
      </c>
      <c r="L56" s="290"/>
      <c r="U56">
        <f>IF(OR($A56="",$F56=""),0,MAX(0,MIN($F56,SUMIFS($F$6:$F56,$B$6:$B56,$B56)-(SUMIFS($G$6:$G$355,$B$6:$B$355,$B56)+SUMIFS($H$6:$H$355,$B$6:$B$355,$B56)+SUMIFS($I$6:$I$355,$B$6:$B$355,$B56)))))</f>
        <v>0</v>
      </c>
      <c r="AD56" s="468"/>
      <c r="AE56" s="342"/>
      <c r="AF56" s="342"/>
      <c r="AG56" s="342"/>
      <c r="AH56" s="342"/>
      <c r="AI56" s="342"/>
      <c r="AJ56" s="342"/>
      <c r="AK56" s="342"/>
      <c r="AL56" s="342"/>
      <c r="AM56" s="342"/>
      <c r="AN56" s="342"/>
      <c r="AO56" s="342"/>
      <c r="AP56" s="342"/>
      <c r="AQ56" s="342"/>
      <c r="AR56" s="342"/>
      <c r="AS56" s="342"/>
      <c r="AT56" s="342"/>
      <c r="AU56" s="342"/>
      <c r="AV56" s="342"/>
      <c r="AW56" s="342"/>
      <c r="AX56" s="342"/>
      <c r="AY56" s="342"/>
      <c r="AZ56" s="342"/>
      <c r="BA56" s="342"/>
      <c r="BB56" s="342"/>
      <c r="BC56" s="342"/>
      <c r="BD56" s="342"/>
      <c r="BE56" s="342"/>
      <c r="BF56" s="342"/>
      <c r="BG56" s="342"/>
      <c r="BH56" s="342"/>
      <c r="BI56" s="342"/>
      <c r="BJ56" s="342"/>
      <c r="BK56" s="342"/>
      <c r="BL56" s="342"/>
    </row>
    <row r="57" spans="1:64" ht="23" x14ac:dyDescent="0.25">
      <c r="A57" s="217" t="str" cm="1">
        <f t="array" ref="A57">IFERROR(INDEX(_xlfn.ANCHORARRAY($Q$6),ROW()-5,1),"")</f>
        <v/>
      </c>
      <c r="B57" s="288" t="str" cm="1">
        <f t="array" ref="B57">IFERROR(INDEX(_xlfn.ANCHORARRAY($Q$6),ROW()-5,2),"")</f>
        <v/>
      </c>
      <c r="C57" s="289" t="str" cm="1">
        <f t="array" ref="C57">IFERROR(INDEX(_xlfn.ANCHORARRAY($Q$6),ROW()-5,3),"")</f>
        <v/>
      </c>
      <c r="D57" s="218" t="str">
        <f>IF($A57="","",IF($K57="DIESEL",SUMIFS(Table1[Quantity],Table1[Customer],$B57,Table1[Date],$A57,Table1[Bill No.],$C57),IF($K57="PETROL",SUMIFS(Table14[Quantity],Table14[Customer],$B57,Table14[Date],$A57,Table14[Bill No.],$C57),IF($K57="XtraGreen",SUMIFS(Table146[Quantity],Table146[Company],$B57,Table146[Date],$A57,Table146[Bill No.],$C57),""))))</f>
        <v/>
      </c>
      <c r="E57" s="219" t="str">
        <f>IF($A57="","",IF($K57="DIESEL",AVERAGEIFS(Table1[RSP],Table1[Customer],$B57,Table1[Date],$A57,Table1[Bill No.],$C57),IF($K57="PETROL",AVERAGEIFS(Table14[RSP],Table14[Customer],$B57,Table14[Date],$A57,Table14[Bill No.],$C57),IF($K57="XtraGreen",AVERAGEIFS(Table146[RSP],Table146[Company],$B57,Table146[Date],$A57,Table146[Bill No.],$C57),IFERROR($F57/$D57,"")))))</f>
        <v/>
      </c>
      <c r="F57" s="330" t="str">
        <f>IF($A57="","",IF($K57="DIESEL",SUMIFS(Table1[Amount],Table1[Customer],$B57,Table1[Date],$A57,Table1[Bill No.],$C57),IF($K57="PETROL",SUMIFS(Table14[Amount],Table14[Customer],$B57,Table14[Date],$A57,Table14[Bill No.],$C57),IF($K57="XtraGreen",SUMIFS(Table146[Amount],Table146[Company],$B57,Table146[Date],$A57,Table146[Bill No.],$C57),SUMIFS('Other Sale'!$D:$D,'Other Sale'!$E:$E,$B57,'Other Sale'!$C:$C,$K57,'Other Sale'!$A:$A,$A57)))))</f>
        <v/>
      </c>
      <c r="G57" s="330" t="str" cm="1">
        <f t="array" ref="G57">IF($A57="","",IF($K57="Payment",IFERROR(INDEX(_xlfn._xlws.FILTER(MasterPaid[Amount Paid],(MasterPaid[Customer]=$B57)*(MasterPaid[Date]=$A57)),COUNTIFS($A$6:$A57,$A57,$B$6:$B57,$B57,$K$6:$K57,"Payment")),0),0))</f>
        <v/>
      </c>
      <c r="H57" s="331"/>
      <c r="I57" s="331"/>
      <c r="J57" s="330" t="str">
        <f t="shared" si="0"/>
        <v/>
      </c>
      <c r="K57" s="289" t="str" cm="1">
        <f t="array" ref="K57">IFERROR(INDEX(_xlfn.ANCHORARRAY($Q$6),ROW()-5,4),"")</f>
        <v/>
      </c>
      <c r="L57" s="290"/>
      <c r="U57">
        <f>IF(OR($A57="",$F57=""),0,MAX(0,MIN($F57,SUMIFS($F$6:$F57,$B$6:$B57,$B57)-(SUMIFS($G$6:$G$355,$B$6:$B$355,$B57)+SUMIFS($H$6:$H$355,$B$6:$B$355,$B57)+SUMIFS($I$6:$I$355,$B$6:$B$355,$B57)))))</f>
        <v>0</v>
      </c>
      <c r="AD57" s="468"/>
      <c r="AE57" s="342"/>
      <c r="AF57" s="342"/>
      <c r="AG57" s="342"/>
      <c r="AH57" s="342"/>
      <c r="AI57" s="342"/>
      <c r="AJ57" s="342"/>
      <c r="AK57" s="342"/>
      <c r="AL57" s="342"/>
      <c r="AM57" s="342"/>
      <c r="AN57" s="342"/>
      <c r="AO57" s="342"/>
      <c r="AP57" s="342"/>
      <c r="AQ57" s="342"/>
      <c r="AR57" s="342"/>
      <c r="AS57" s="342"/>
      <c r="AT57" s="342"/>
      <c r="AU57" s="342"/>
      <c r="AV57" s="342"/>
      <c r="AW57" s="342"/>
      <c r="AX57" s="342"/>
      <c r="AY57" s="342"/>
      <c r="AZ57" s="342"/>
      <c r="BA57" s="342"/>
      <c r="BB57" s="342"/>
      <c r="BC57" s="342"/>
      <c r="BD57" s="342"/>
      <c r="BE57" s="342"/>
      <c r="BF57" s="342"/>
      <c r="BG57" s="342"/>
      <c r="BH57" s="342"/>
      <c r="BI57" s="342"/>
      <c r="BJ57" s="342"/>
      <c r="BK57" s="342"/>
      <c r="BL57" s="342"/>
    </row>
    <row r="58" spans="1:64" ht="23" x14ac:dyDescent="0.25">
      <c r="A58" s="217" t="str" cm="1">
        <f t="array" ref="A58">IFERROR(INDEX(_xlfn.ANCHORARRAY($Q$6),ROW()-5,1),"")</f>
        <v/>
      </c>
      <c r="B58" s="288" t="str" cm="1">
        <f t="array" ref="B58">IFERROR(INDEX(_xlfn.ANCHORARRAY($Q$6),ROW()-5,2),"")</f>
        <v/>
      </c>
      <c r="C58" s="289" t="str" cm="1">
        <f t="array" ref="C58">IFERROR(INDEX(_xlfn.ANCHORARRAY($Q$6),ROW()-5,3),"")</f>
        <v/>
      </c>
      <c r="D58" s="218" t="str">
        <f>IF($A58="","",IF($K58="DIESEL",SUMIFS(Table1[Quantity],Table1[Customer],$B58,Table1[Date],$A58,Table1[Bill No.],$C58),IF($K58="PETROL",SUMIFS(Table14[Quantity],Table14[Customer],$B58,Table14[Date],$A58,Table14[Bill No.],$C58),IF($K58="XtraGreen",SUMIFS(Table146[Quantity],Table146[Company],$B58,Table146[Date],$A58,Table146[Bill No.],$C58),""))))</f>
        <v/>
      </c>
      <c r="E58" s="219" t="str">
        <f>IF($A58="","",IF($K58="DIESEL",AVERAGEIFS(Table1[RSP],Table1[Customer],$B58,Table1[Date],$A58,Table1[Bill No.],$C58),IF($K58="PETROL",AVERAGEIFS(Table14[RSP],Table14[Customer],$B58,Table14[Date],$A58,Table14[Bill No.],$C58),IF($K58="XtraGreen",AVERAGEIFS(Table146[RSP],Table146[Company],$B58,Table146[Date],$A58,Table146[Bill No.],$C58),IFERROR($F58/$D58,"")))))</f>
        <v/>
      </c>
      <c r="F58" s="330" t="str">
        <f>IF($A58="","",IF($K58="DIESEL",SUMIFS(Table1[Amount],Table1[Customer],$B58,Table1[Date],$A58,Table1[Bill No.],$C58),IF($K58="PETROL",SUMIFS(Table14[Amount],Table14[Customer],$B58,Table14[Date],$A58,Table14[Bill No.],$C58),IF($K58="XtraGreen",SUMIFS(Table146[Amount],Table146[Company],$B58,Table146[Date],$A58,Table146[Bill No.],$C58),SUMIFS('Other Sale'!$D:$D,'Other Sale'!$E:$E,$B58,'Other Sale'!$C:$C,$K58,'Other Sale'!$A:$A,$A58)))))</f>
        <v/>
      </c>
      <c r="G58" s="330" t="str" cm="1">
        <f t="array" ref="G58">IF($A58="","",IF($K58="Payment",IFERROR(INDEX(_xlfn._xlws.FILTER(MasterPaid[Amount Paid],(MasterPaid[Customer]=$B58)*(MasterPaid[Date]=$A58)),COUNTIFS($A$6:$A58,$A58,$B$6:$B58,$B58,$K$6:$K58,"Payment")),0),0))</f>
        <v/>
      </c>
      <c r="H58" s="331"/>
      <c r="I58" s="331"/>
      <c r="J58" s="330" t="str">
        <f t="shared" si="0"/>
        <v/>
      </c>
      <c r="K58" s="289" t="str" cm="1">
        <f t="array" ref="K58">IFERROR(INDEX(_xlfn.ANCHORARRAY($Q$6),ROW()-5,4),"")</f>
        <v/>
      </c>
      <c r="L58" s="290"/>
      <c r="U58">
        <f>IF(OR($A58="",$F58=""),0,MAX(0,MIN($F58,SUMIFS($F$6:$F58,$B$6:$B58,$B58)-(SUMIFS($G$6:$G$355,$B$6:$B$355,$B58)+SUMIFS($H$6:$H$355,$B$6:$B$355,$B58)+SUMIFS($I$6:$I$355,$B$6:$B$355,$B58)))))</f>
        <v>0</v>
      </c>
      <c r="AD58" s="468"/>
      <c r="AE58" s="342"/>
      <c r="AF58" s="342"/>
      <c r="AG58" s="342"/>
      <c r="AH58" s="342"/>
      <c r="AI58" s="342"/>
      <c r="AJ58" s="342"/>
      <c r="AK58" s="342"/>
      <c r="AL58" s="342"/>
      <c r="AM58" s="342"/>
      <c r="AN58" s="342"/>
      <c r="AO58" s="342"/>
      <c r="AP58" s="342"/>
      <c r="AQ58" s="342"/>
      <c r="AR58" s="342"/>
      <c r="AS58" s="342"/>
      <c r="AT58" s="342"/>
      <c r="AU58" s="342"/>
      <c r="AV58" s="342"/>
      <c r="AW58" s="342"/>
      <c r="AX58" s="342"/>
      <c r="AY58" s="342"/>
      <c r="AZ58" s="342"/>
      <c r="BA58" s="342"/>
      <c r="BB58" s="342"/>
      <c r="BC58" s="342"/>
      <c r="BD58" s="342"/>
      <c r="BE58" s="342"/>
      <c r="BF58" s="342"/>
      <c r="BG58" s="342"/>
      <c r="BH58" s="342"/>
      <c r="BI58" s="342"/>
      <c r="BJ58" s="342"/>
      <c r="BK58" s="342"/>
      <c r="BL58" s="342"/>
    </row>
    <row r="59" spans="1:64" ht="23" x14ac:dyDescent="0.25">
      <c r="A59" s="217" t="str" cm="1">
        <f t="array" ref="A59">IFERROR(INDEX(_xlfn.ANCHORARRAY($Q$6),ROW()-5,1),"")</f>
        <v/>
      </c>
      <c r="B59" s="288" t="str" cm="1">
        <f t="array" ref="B59">IFERROR(INDEX(_xlfn.ANCHORARRAY($Q$6),ROW()-5,2),"")</f>
        <v/>
      </c>
      <c r="C59" s="289" t="str" cm="1">
        <f t="array" ref="C59">IFERROR(INDEX(_xlfn.ANCHORARRAY($Q$6),ROW()-5,3),"")</f>
        <v/>
      </c>
      <c r="D59" s="218" t="str">
        <f>IF($A59="","",IF($K59="DIESEL",SUMIFS(Table1[Quantity],Table1[Customer],$B59,Table1[Date],$A59,Table1[Bill No.],$C59),IF($K59="PETROL",SUMIFS(Table14[Quantity],Table14[Customer],$B59,Table14[Date],$A59,Table14[Bill No.],$C59),IF($K59="XtraGreen",SUMIFS(Table146[Quantity],Table146[Company],$B59,Table146[Date],$A59,Table146[Bill No.],$C59),""))))</f>
        <v/>
      </c>
      <c r="E59" s="219" t="str">
        <f>IF($A59="","",IF($K59="DIESEL",AVERAGEIFS(Table1[RSP],Table1[Customer],$B59,Table1[Date],$A59,Table1[Bill No.],$C59),IF($K59="PETROL",AVERAGEIFS(Table14[RSP],Table14[Customer],$B59,Table14[Date],$A59,Table14[Bill No.],$C59),IF($K59="XtraGreen",AVERAGEIFS(Table146[RSP],Table146[Company],$B59,Table146[Date],$A59,Table146[Bill No.],$C59),IFERROR($F59/$D59,"")))))</f>
        <v/>
      </c>
      <c r="F59" s="330" t="str">
        <f>IF($A59="","",IF($K59="DIESEL",SUMIFS(Table1[Amount],Table1[Customer],$B59,Table1[Date],$A59,Table1[Bill No.],$C59),IF($K59="PETROL",SUMIFS(Table14[Amount],Table14[Customer],$B59,Table14[Date],$A59,Table14[Bill No.],$C59),IF($K59="XtraGreen",SUMIFS(Table146[Amount],Table146[Company],$B59,Table146[Date],$A59,Table146[Bill No.],$C59),SUMIFS('Other Sale'!$D:$D,'Other Sale'!$E:$E,$B59,'Other Sale'!$C:$C,$K59,'Other Sale'!$A:$A,$A59)))))</f>
        <v/>
      </c>
      <c r="G59" s="330" t="str" cm="1">
        <f t="array" ref="G59">IF($A59="","",IF($K59="Payment",IFERROR(INDEX(_xlfn._xlws.FILTER(MasterPaid[Amount Paid],(MasterPaid[Customer]=$B59)*(MasterPaid[Date]=$A59)),COUNTIFS($A$6:$A59,$A59,$B$6:$B59,$B59,$K$6:$K59,"Payment")),0),0))</f>
        <v/>
      </c>
      <c r="H59" s="331"/>
      <c r="I59" s="331"/>
      <c r="J59" s="330" t="str">
        <f t="shared" si="0"/>
        <v/>
      </c>
      <c r="K59" s="289" t="str" cm="1">
        <f t="array" ref="K59">IFERROR(INDEX(_xlfn.ANCHORARRAY($Q$6),ROW()-5,4),"")</f>
        <v/>
      </c>
      <c r="L59" s="290"/>
      <c r="U59">
        <f>IF(OR($A59="",$F59=""),0,MAX(0,MIN($F59,SUMIFS($F$6:$F59,$B$6:$B59,$B59)-(SUMIFS($G$6:$G$355,$B$6:$B$355,$B59)+SUMIFS($H$6:$H$355,$B$6:$B$355,$B59)+SUMIFS($I$6:$I$355,$B$6:$B$355,$B59)))))</f>
        <v>0</v>
      </c>
      <c r="AD59" s="468"/>
      <c r="AE59" s="342"/>
      <c r="AF59" s="342"/>
      <c r="AG59" s="342"/>
      <c r="AH59" s="342"/>
      <c r="AI59" s="342"/>
      <c r="AJ59" s="342"/>
      <c r="AK59" s="342"/>
      <c r="AL59" s="342"/>
      <c r="AM59" s="342"/>
      <c r="AN59" s="342"/>
      <c r="AO59" s="342"/>
      <c r="AP59" s="342"/>
      <c r="AQ59" s="342"/>
      <c r="AR59" s="342"/>
      <c r="AS59" s="342"/>
      <c r="AT59" s="342"/>
      <c r="AU59" s="342"/>
      <c r="AV59" s="342"/>
      <c r="AW59" s="342"/>
      <c r="AX59" s="342"/>
      <c r="AY59" s="342"/>
      <c r="AZ59" s="342"/>
      <c r="BA59" s="342"/>
      <c r="BB59" s="342"/>
      <c r="BC59" s="342"/>
      <c r="BD59" s="342"/>
      <c r="BE59" s="342"/>
      <c r="BF59" s="342"/>
      <c r="BG59" s="342"/>
      <c r="BH59" s="342"/>
      <c r="BI59" s="342"/>
      <c r="BJ59" s="342"/>
      <c r="BK59" s="342"/>
      <c r="BL59" s="342"/>
    </row>
    <row r="60" spans="1:64" ht="23" x14ac:dyDescent="0.25">
      <c r="A60" s="217" t="str" cm="1">
        <f t="array" ref="A60">IFERROR(INDEX(_xlfn.ANCHORARRAY($Q$6),ROW()-5,1),"")</f>
        <v/>
      </c>
      <c r="B60" s="288" t="str" cm="1">
        <f t="array" ref="B60">IFERROR(INDEX(_xlfn.ANCHORARRAY($Q$6),ROW()-5,2),"")</f>
        <v/>
      </c>
      <c r="C60" s="289" t="str" cm="1">
        <f t="array" ref="C60">IFERROR(INDEX(_xlfn.ANCHORARRAY($Q$6),ROW()-5,3),"")</f>
        <v/>
      </c>
      <c r="D60" s="218" t="str">
        <f>IF($A60="","",IF($K60="DIESEL",SUMIFS(Table1[Quantity],Table1[Customer],$B60,Table1[Date],$A60,Table1[Bill No.],$C60),IF($K60="PETROL",SUMIFS(Table14[Quantity],Table14[Customer],$B60,Table14[Date],$A60,Table14[Bill No.],$C60),IF($K60="XtraGreen",SUMIFS(Table146[Quantity],Table146[Company],$B60,Table146[Date],$A60,Table146[Bill No.],$C60),""))))</f>
        <v/>
      </c>
      <c r="E60" s="219" t="str">
        <f>IF($A60="","",IF($K60="DIESEL",AVERAGEIFS(Table1[RSP],Table1[Customer],$B60,Table1[Date],$A60,Table1[Bill No.],$C60),IF($K60="PETROL",AVERAGEIFS(Table14[RSP],Table14[Customer],$B60,Table14[Date],$A60,Table14[Bill No.],$C60),IF($K60="XtraGreen",AVERAGEIFS(Table146[RSP],Table146[Company],$B60,Table146[Date],$A60,Table146[Bill No.],$C60),IFERROR($F60/$D60,"")))))</f>
        <v/>
      </c>
      <c r="F60" s="330" t="str">
        <f>IF($A60="","",IF($K60="DIESEL",SUMIFS(Table1[Amount],Table1[Customer],$B60,Table1[Date],$A60,Table1[Bill No.],$C60),IF($K60="PETROL",SUMIFS(Table14[Amount],Table14[Customer],$B60,Table14[Date],$A60,Table14[Bill No.],$C60),IF($K60="XtraGreen",SUMIFS(Table146[Amount],Table146[Company],$B60,Table146[Date],$A60,Table146[Bill No.],$C60),SUMIFS('Other Sale'!$D:$D,'Other Sale'!$E:$E,$B60,'Other Sale'!$C:$C,$K60,'Other Sale'!$A:$A,$A60)))))</f>
        <v/>
      </c>
      <c r="G60" s="330" t="str" cm="1">
        <f t="array" ref="G60">IF($A60="","",IF($K60="Payment",IFERROR(INDEX(_xlfn._xlws.FILTER(MasterPaid[Amount Paid],(MasterPaid[Customer]=$B60)*(MasterPaid[Date]=$A60)),COUNTIFS($A$6:$A60,$A60,$B$6:$B60,$B60,$K$6:$K60,"Payment")),0),0))</f>
        <v/>
      </c>
      <c r="H60" s="331"/>
      <c r="I60" s="331"/>
      <c r="J60" s="330" t="str">
        <f t="shared" si="0"/>
        <v/>
      </c>
      <c r="K60" s="289" t="str" cm="1">
        <f t="array" ref="K60">IFERROR(INDEX(_xlfn.ANCHORARRAY($Q$6),ROW()-5,4),"")</f>
        <v/>
      </c>
      <c r="L60" s="290"/>
      <c r="U60">
        <f>IF(OR($A60="",$F60=""),0,MAX(0,MIN($F60,SUMIFS($F$6:$F60,$B$6:$B60,$B60)-(SUMIFS($G$6:$G$355,$B$6:$B$355,$B60)+SUMIFS($H$6:$H$355,$B$6:$B$355,$B60)+SUMIFS($I$6:$I$355,$B$6:$B$355,$B60)))))</f>
        <v>0</v>
      </c>
      <c r="AD60" s="468"/>
      <c r="AE60" s="342"/>
      <c r="AF60" s="342"/>
      <c r="AG60" s="342"/>
      <c r="AH60" s="342"/>
      <c r="AI60" s="342"/>
      <c r="AJ60" s="342"/>
      <c r="AK60" s="342"/>
      <c r="AL60" s="342"/>
      <c r="AM60" s="342"/>
      <c r="AN60" s="342"/>
      <c r="AO60" s="342"/>
      <c r="AP60" s="342"/>
      <c r="AQ60" s="342"/>
      <c r="AR60" s="342"/>
      <c r="AS60" s="342"/>
      <c r="AT60" s="342"/>
      <c r="AU60" s="342"/>
      <c r="AV60" s="342"/>
      <c r="AW60" s="342"/>
      <c r="AX60" s="342"/>
      <c r="AY60" s="342"/>
      <c r="AZ60" s="342"/>
      <c r="BA60" s="342"/>
      <c r="BB60" s="342"/>
      <c r="BC60" s="342"/>
      <c r="BD60" s="342"/>
      <c r="BE60" s="342"/>
      <c r="BF60" s="342"/>
      <c r="BG60" s="342"/>
      <c r="BH60" s="342"/>
      <c r="BI60" s="342"/>
      <c r="BJ60" s="342"/>
      <c r="BK60" s="342"/>
      <c r="BL60" s="342"/>
    </row>
    <row r="61" spans="1:64" ht="23" x14ac:dyDescent="0.25">
      <c r="A61" s="217" t="str" cm="1">
        <f t="array" ref="A61">IFERROR(INDEX(_xlfn.ANCHORARRAY($Q$6),ROW()-5,1),"")</f>
        <v/>
      </c>
      <c r="B61" s="288" t="str" cm="1">
        <f t="array" ref="B61">IFERROR(INDEX(_xlfn.ANCHORARRAY($Q$6),ROW()-5,2),"")</f>
        <v/>
      </c>
      <c r="C61" s="289" t="str" cm="1">
        <f t="array" ref="C61">IFERROR(INDEX(_xlfn.ANCHORARRAY($Q$6),ROW()-5,3),"")</f>
        <v/>
      </c>
      <c r="D61" s="218" t="str">
        <f>IF($A61="","",IF($K61="DIESEL",SUMIFS(Table1[Quantity],Table1[Customer],$B61,Table1[Date],$A61,Table1[Bill No.],$C61),IF($K61="PETROL",SUMIFS(Table14[Quantity],Table14[Customer],$B61,Table14[Date],$A61,Table14[Bill No.],$C61),IF($K61="XtraGreen",SUMIFS(Table146[Quantity],Table146[Company],$B61,Table146[Date],$A61,Table146[Bill No.],$C61),""))))</f>
        <v/>
      </c>
      <c r="E61" s="219" t="str">
        <f>IF($A61="","",IF($K61="DIESEL",AVERAGEIFS(Table1[RSP],Table1[Customer],$B61,Table1[Date],$A61,Table1[Bill No.],$C61),IF($K61="PETROL",AVERAGEIFS(Table14[RSP],Table14[Customer],$B61,Table14[Date],$A61,Table14[Bill No.],$C61),IF($K61="XtraGreen",AVERAGEIFS(Table146[RSP],Table146[Company],$B61,Table146[Date],$A61,Table146[Bill No.],$C61),IFERROR($F61/$D61,"")))))</f>
        <v/>
      </c>
      <c r="F61" s="330" t="str">
        <f>IF($A61="","",IF($K61="DIESEL",SUMIFS(Table1[Amount],Table1[Customer],$B61,Table1[Date],$A61,Table1[Bill No.],$C61),IF($K61="PETROL",SUMIFS(Table14[Amount],Table14[Customer],$B61,Table14[Date],$A61,Table14[Bill No.],$C61),IF($K61="XtraGreen",SUMIFS(Table146[Amount],Table146[Company],$B61,Table146[Date],$A61,Table146[Bill No.],$C61),SUMIFS('Other Sale'!$D:$D,'Other Sale'!$E:$E,$B61,'Other Sale'!$C:$C,$K61,'Other Sale'!$A:$A,$A61)))))</f>
        <v/>
      </c>
      <c r="G61" s="330" t="str" cm="1">
        <f t="array" ref="G61">IF($A61="","",IF($K61="Payment",IFERROR(INDEX(_xlfn._xlws.FILTER(MasterPaid[Amount Paid],(MasterPaid[Customer]=$B61)*(MasterPaid[Date]=$A61)),COUNTIFS($A$6:$A61,$A61,$B$6:$B61,$B61,$K$6:$K61,"Payment")),0),0))</f>
        <v/>
      </c>
      <c r="H61" s="331"/>
      <c r="I61" s="331"/>
      <c r="J61" s="330" t="str">
        <f t="shared" si="0"/>
        <v/>
      </c>
      <c r="K61" s="289" t="str" cm="1">
        <f t="array" ref="K61">IFERROR(INDEX(_xlfn.ANCHORARRAY($Q$6),ROW()-5,4),"")</f>
        <v/>
      </c>
      <c r="L61" s="290"/>
      <c r="U61">
        <f>IF(OR($A61="",$F61=""),0,MAX(0,MIN($F61,SUMIFS($F$6:$F61,$B$6:$B61,$B61)-(SUMIFS($G$6:$G$355,$B$6:$B$355,$B61)+SUMIFS($H$6:$H$355,$B$6:$B$355,$B61)+SUMIFS($I$6:$I$355,$B$6:$B$355,$B61)))))</f>
        <v>0</v>
      </c>
      <c r="AD61" s="468"/>
      <c r="AE61" s="342"/>
      <c r="AF61" s="342"/>
      <c r="AG61" s="342"/>
      <c r="AH61" s="342"/>
      <c r="AI61" s="342"/>
      <c r="AJ61" s="342"/>
      <c r="AK61" s="342"/>
      <c r="AL61" s="342"/>
      <c r="AM61" s="342"/>
      <c r="AN61" s="342"/>
      <c r="AO61" s="342"/>
      <c r="AP61" s="342"/>
      <c r="AQ61" s="342"/>
      <c r="AR61" s="342"/>
      <c r="AS61" s="342"/>
      <c r="AT61" s="342"/>
      <c r="AU61" s="342"/>
      <c r="AV61" s="342"/>
      <c r="AW61" s="342"/>
      <c r="AX61" s="342"/>
      <c r="AY61" s="342"/>
      <c r="AZ61" s="342"/>
      <c r="BA61" s="342"/>
      <c r="BB61" s="342"/>
      <c r="BC61" s="342"/>
      <c r="BD61" s="342"/>
      <c r="BE61" s="342"/>
      <c r="BF61" s="342"/>
      <c r="BG61" s="342"/>
      <c r="BH61" s="342"/>
      <c r="BI61" s="342"/>
      <c r="BJ61" s="342"/>
      <c r="BK61" s="342"/>
      <c r="BL61" s="342"/>
    </row>
    <row r="62" spans="1:64" ht="23" x14ac:dyDescent="0.25">
      <c r="A62" s="217" t="str" cm="1">
        <f t="array" ref="A62">IFERROR(INDEX(_xlfn.ANCHORARRAY($Q$6),ROW()-5,1),"")</f>
        <v/>
      </c>
      <c r="B62" s="288" t="str" cm="1">
        <f t="array" ref="B62">IFERROR(INDEX(_xlfn.ANCHORARRAY($Q$6),ROW()-5,2),"")</f>
        <v/>
      </c>
      <c r="C62" s="289" t="str" cm="1">
        <f t="array" ref="C62">IFERROR(INDEX(_xlfn.ANCHORARRAY($Q$6),ROW()-5,3),"")</f>
        <v/>
      </c>
      <c r="D62" s="218" t="str">
        <f>IF($A62="","",IF($K62="DIESEL",SUMIFS(Table1[Quantity],Table1[Customer],$B62,Table1[Date],$A62,Table1[Bill No.],$C62),IF($K62="PETROL",SUMIFS(Table14[Quantity],Table14[Customer],$B62,Table14[Date],$A62,Table14[Bill No.],$C62),IF($K62="XtraGreen",SUMIFS(Table146[Quantity],Table146[Company],$B62,Table146[Date],$A62,Table146[Bill No.],$C62),""))))</f>
        <v/>
      </c>
      <c r="E62" s="219" t="str">
        <f>IF($A62="","",IF($K62="DIESEL",AVERAGEIFS(Table1[RSP],Table1[Customer],$B62,Table1[Date],$A62,Table1[Bill No.],$C62),IF($K62="PETROL",AVERAGEIFS(Table14[RSP],Table14[Customer],$B62,Table14[Date],$A62,Table14[Bill No.],$C62),IF($K62="XtraGreen",AVERAGEIFS(Table146[RSP],Table146[Company],$B62,Table146[Date],$A62,Table146[Bill No.],$C62),IFERROR($F62/$D62,"")))))</f>
        <v/>
      </c>
      <c r="F62" s="330" t="str">
        <f>IF($A62="","",IF($K62="DIESEL",SUMIFS(Table1[Amount],Table1[Customer],$B62,Table1[Date],$A62,Table1[Bill No.],$C62),IF($K62="PETROL",SUMIFS(Table14[Amount],Table14[Customer],$B62,Table14[Date],$A62,Table14[Bill No.],$C62),IF($K62="XtraGreen",SUMIFS(Table146[Amount],Table146[Company],$B62,Table146[Date],$A62,Table146[Bill No.],$C62),SUMIFS('Other Sale'!$D:$D,'Other Sale'!$E:$E,$B62,'Other Sale'!$C:$C,$K62,'Other Sale'!$A:$A,$A62)))))</f>
        <v/>
      </c>
      <c r="G62" s="330" t="str" cm="1">
        <f t="array" ref="G62">IF($A62="","",IF($K62="Payment",IFERROR(INDEX(_xlfn._xlws.FILTER(MasterPaid[Amount Paid],(MasterPaid[Customer]=$B62)*(MasterPaid[Date]=$A62)),COUNTIFS($A$6:$A62,$A62,$B$6:$B62,$B62,$K$6:$K62,"Payment")),0),0))</f>
        <v/>
      </c>
      <c r="H62" s="331"/>
      <c r="I62" s="331"/>
      <c r="J62" s="330" t="str">
        <f t="shared" si="0"/>
        <v/>
      </c>
      <c r="K62" s="289" t="str" cm="1">
        <f t="array" ref="K62">IFERROR(INDEX(_xlfn.ANCHORARRAY($Q$6),ROW()-5,4),"")</f>
        <v/>
      </c>
      <c r="L62" s="290"/>
      <c r="U62">
        <f>IF(OR($A62="",$F62=""),0,MAX(0,MIN($F62,SUMIFS($F$6:$F62,$B$6:$B62,$B62)-(SUMIFS($G$6:$G$355,$B$6:$B$355,$B62)+SUMIFS($H$6:$H$355,$B$6:$B$355,$B62)+SUMIFS($I$6:$I$355,$B$6:$B$355,$B62)))))</f>
        <v>0</v>
      </c>
      <c r="AD62" s="468"/>
      <c r="AE62" s="342"/>
      <c r="AF62" s="342"/>
      <c r="AG62" s="342"/>
      <c r="AH62" s="342"/>
      <c r="AI62" s="342"/>
      <c r="AJ62" s="342"/>
      <c r="AK62" s="342"/>
      <c r="AL62" s="342"/>
      <c r="AM62" s="342"/>
      <c r="AN62" s="342"/>
      <c r="AO62" s="342"/>
      <c r="AP62" s="342"/>
      <c r="AQ62" s="342"/>
      <c r="AR62" s="342"/>
      <c r="AS62" s="342"/>
      <c r="AT62" s="342"/>
      <c r="AU62" s="342"/>
      <c r="AV62" s="342"/>
      <c r="AW62" s="342"/>
      <c r="AX62" s="342"/>
      <c r="AY62" s="342"/>
      <c r="AZ62" s="342"/>
      <c r="BA62" s="342"/>
      <c r="BB62" s="342"/>
      <c r="BC62" s="342"/>
      <c r="BD62" s="342"/>
      <c r="BE62" s="342"/>
      <c r="BF62" s="342"/>
      <c r="BG62" s="342"/>
      <c r="BH62" s="342"/>
      <c r="BI62" s="342"/>
      <c r="BJ62" s="342"/>
      <c r="BK62" s="342"/>
      <c r="BL62" s="342"/>
    </row>
    <row r="63" spans="1:64" ht="23" x14ac:dyDescent="0.25">
      <c r="A63" s="217" t="str" cm="1">
        <f t="array" ref="A63">IFERROR(INDEX(_xlfn.ANCHORARRAY($Q$6),ROW()-5,1),"")</f>
        <v/>
      </c>
      <c r="B63" s="288" t="str" cm="1">
        <f t="array" ref="B63">IFERROR(INDEX(_xlfn.ANCHORARRAY($Q$6),ROW()-5,2),"")</f>
        <v/>
      </c>
      <c r="C63" s="289" t="str" cm="1">
        <f t="array" ref="C63">IFERROR(INDEX(_xlfn.ANCHORARRAY($Q$6),ROW()-5,3),"")</f>
        <v/>
      </c>
      <c r="D63" s="218" t="str">
        <f>IF($A63="","",IF($K63="DIESEL",SUMIFS(Table1[Quantity],Table1[Customer],$B63,Table1[Date],$A63,Table1[Bill No.],$C63),IF($K63="PETROL",SUMIFS(Table14[Quantity],Table14[Customer],$B63,Table14[Date],$A63,Table14[Bill No.],$C63),IF($K63="XtraGreen",SUMIFS(Table146[Quantity],Table146[Company],$B63,Table146[Date],$A63,Table146[Bill No.],$C63),""))))</f>
        <v/>
      </c>
      <c r="E63" s="219" t="str">
        <f>IF($A63="","",IF($K63="DIESEL",AVERAGEIFS(Table1[RSP],Table1[Customer],$B63,Table1[Date],$A63,Table1[Bill No.],$C63),IF($K63="PETROL",AVERAGEIFS(Table14[RSP],Table14[Customer],$B63,Table14[Date],$A63,Table14[Bill No.],$C63),IF($K63="XtraGreen",AVERAGEIFS(Table146[RSP],Table146[Company],$B63,Table146[Date],$A63,Table146[Bill No.],$C63),IFERROR($F63/$D63,"")))))</f>
        <v/>
      </c>
      <c r="F63" s="330" t="str">
        <f>IF($A63="","",IF($K63="DIESEL",SUMIFS(Table1[Amount],Table1[Customer],$B63,Table1[Date],$A63,Table1[Bill No.],$C63),IF($K63="PETROL",SUMIFS(Table14[Amount],Table14[Customer],$B63,Table14[Date],$A63,Table14[Bill No.],$C63),IF($K63="XtraGreen",SUMIFS(Table146[Amount],Table146[Company],$B63,Table146[Date],$A63,Table146[Bill No.],$C63),SUMIFS('Other Sale'!$D:$D,'Other Sale'!$E:$E,$B63,'Other Sale'!$C:$C,$K63,'Other Sale'!$A:$A,$A63)))))</f>
        <v/>
      </c>
      <c r="G63" s="330" t="str" cm="1">
        <f t="array" ref="G63">IF($A63="","",IF($K63="Payment",IFERROR(INDEX(_xlfn._xlws.FILTER(MasterPaid[Amount Paid],(MasterPaid[Customer]=$B63)*(MasterPaid[Date]=$A63)),COUNTIFS($A$6:$A63,$A63,$B$6:$B63,$B63,$K$6:$K63,"Payment")),0),0))</f>
        <v/>
      </c>
      <c r="H63" s="331"/>
      <c r="I63" s="331"/>
      <c r="J63" s="330" t="str">
        <f t="shared" si="0"/>
        <v/>
      </c>
      <c r="K63" s="289" t="str" cm="1">
        <f t="array" ref="K63">IFERROR(INDEX(_xlfn.ANCHORARRAY($Q$6),ROW()-5,4),"")</f>
        <v/>
      </c>
      <c r="L63" s="290"/>
      <c r="U63">
        <f>IF(OR($A63="",$F63=""),0,MAX(0,MIN($F63,SUMIFS($F$6:$F63,$B$6:$B63,$B63)-(SUMIFS($G$6:$G$355,$B$6:$B$355,$B63)+SUMIFS($H$6:$H$355,$B$6:$B$355,$B63)+SUMIFS($I$6:$I$355,$B$6:$B$355,$B63)))))</f>
        <v>0</v>
      </c>
      <c r="AD63" s="468"/>
      <c r="AE63" s="342"/>
      <c r="AF63" s="342"/>
      <c r="AG63" s="342"/>
      <c r="AH63" s="342"/>
      <c r="AI63" s="342"/>
      <c r="AJ63" s="342"/>
      <c r="AK63" s="342"/>
      <c r="AL63" s="342"/>
      <c r="AM63" s="342"/>
      <c r="AN63" s="342"/>
      <c r="AO63" s="342"/>
      <c r="AP63" s="342"/>
      <c r="AQ63" s="342"/>
      <c r="AR63" s="342"/>
      <c r="AS63" s="342"/>
      <c r="AT63" s="342"/>
      <c r="AU63" s="342"/>
      <c r="AV63" s="342"/>
      <c r="AW63" s="342"/>
      <c r="AX63" s="342"/>
      <c r="AY63" s="342"/>
      <c r="AZ63" s="342"/>
      <c r="BA63" s="342"/>
      <c r="BB63" s="342"/>
      <c r="BC63" s="342"/>
      <c r="BD63" s="342"/>
      <c r="BE63" s="342"/>
      <c r="BF63" s="342"/>
      <c r="BG63" s="342"/>
      <c r="BH63" s="342"/>
      <c r="BI63" s="342"/>
      <c r="BJ63" s="342"/>
      <c r="BK63" s="342"/>
      <c r="BL63" s="342"/>
    </row>
    <row r="64" spans="1:64" ht="23" x14ac:dyDescent="0.25">
      <c r="A64" s="217" t="str" cm="1">
        <f t="array" ref="A64">IFERROR(INDEX(_xlfn.ANCHORARRAY($Q$6),ROW()-5,1),"")</f>
        <v/>
      </c>
      <c r="B64" s="288" t="str" cm="1">
        <f t="array" ref="B64">IFERROR(INDEX(_xlfn.ANCHORARRAY($Q$6),ROW()-5,2),"")</f>
        <v/>
      </c>
      <c r="C64" s="289" t="str" cm="1">
        <f t="array" ref="C64">IFERROR(INDEX(_xlfn.ANCHORARRAY($Q$6),ROW()-5,3),"")</f>
        <v/>
      </c>
      <c r="D64" s="218" t="str">
        <f>IF($A64="","",IF($K64="DIESEL",SUMIFS(Table1[Quantity],Table1[Customer],$B64,Table1[Date],$A64,Table1[Bill No.],$C64),IF($K64="PETROL",SUMIFS(Table14[Quantity],Table14[Customer],$B64,Table14[Date],$A64,Table14[Bill No.],$C64),IF($K64="XtraGreen",SUMIFS(Table146[Quantity],Table146[Company],$B64,Table146[Date],$A64,Table146[Bill No.],$C64),""))))</f>
        <v/>
      </c>
      <c r="E64" s="219" t="str">
        <f>IF($A64="","",IF($K64="DIESEL",AVERAGEIFS(Table1[RSP],Table1[Customer],$B64,Table1[Date],$A64,Table1[Bill No.],$C64),IF($K64="PETROL",AVERAGEIFS(Table14[RSP],Table14[Customer],$B64,Table14[Date],$A64,Table14[Bill No.],$C64),IF($K64="XtraGreen",AVERAGEIFS(Table146[RSP],Table146[Company],$B64,Table146[Date],$A64,Table146[Bill No.],$C64),IFERROR($F64/$D64,"")))))</f>
        <v/>
      </c>
      <c r="F64" s="330" t="str">
        <f>IF($A64="","",IF($K64="DIESEL",SUMIFS(Table1[Amount],Table1[Customer],$B64,Table1[Date],$A64,Table1[Bill No.],$C64),IF($K64="PETROL",SUMIFS(Table14[Amount],Table14[Customer],$B64,Table14[Date],$A64,Table14[Bill No.],$C64),IF($K64="XtraGreen",SUMIFS(Table146[Amount],Table146[Company],$B64,Table146[Date],$A64,Table146[Bill No.],$C64),SUMIFS('Other Sale'!$D:$D,'Other Sale'!$E:$E,$B64,'Other Sale'!$C:$C,$K64,'Other Sale'!$A:$A,$A64)))))</f>
        <v/>
      </c>
      <c r="G64" s="330" t="str" cm="1">
        <f t="array" ref="G64">IF($A64="","",IF($K64="Payment",IFERROR(INDEX(_xlfn._xlws.FILTER(MasterPaid[Amount Paid],(MasterPaid[Customer]=$B64)*(MasterPaid[Date]=$A64)),COUNTIFS($A$6:$A64,$A64,$B$6:$B64,$B64,$K$6:$K64,"Payment")),0),0))</f>
        <v/>
      </c>
      <c r="H64" s="331"/>
      <c r="I64" s="331"/>
      <c r="J64" s="330" t="str">
        <f t="shared" si="0"/>
        <v/>
      </c>
      <c r="K64" s="289" t="str" cm="1">
        <f t="array" ref="K64">IFERROR(INDEX(_xlfn.ANCHORARRAY($Q$6),ROW()-5,4),"")</f>
        <v/>
      </c>
      <c r="L64" s="290"/>
      <c r="U64">
        <f>IF(OR($A64="",$F64=""),0,MAX(0,MIN($F64,SUMIFS($F$6:$F64,$B$6:$B64,$B64)-(SUMIFS($G$6:$G$355,$B$6:$B$355,$B64)+SUMIFS($H$6:$H$355,$B$6:$B$355,$B64)+SUMIFS($I$6:$I$355,$B$6:$B$355,$B64)))))</f>
        <v>0</v>
      </c>
      <c r="AD64" s="468"/>
      <c r="AE64" s="342"/>
      <c r="AF64" s="342"/>
      <c r="AG64" s="342"/>
      <c r="AH64" s="342"/>
      <c r="AI64" s="342"/>
      <c r="AJ64" s="342"/>
      <c r="AK64" s="342"/>
      <c r="AL64" s="342"/>
      <c r="AM64" s="342"/>
      <c r="AN64" s="342"/>
      <c r="AO64" s="342"/>
      <c r="AP64" s="342"/>
      <c r="AQ64" s="342"/>
      <c r="AR64" s="342"/>
      <c r="AS64" s="342"/>
      <c r="AT64" s="342"/>
      <c r="AU64" s="342"/>
      <c r="AV64" s="342"/>
      <c r="AW64" s="342"/>
      <c r="AX64" s="342"/>
      <c r="AY64" s="342"/>
      <c r="AZ64" s="342"/>
      <c r="BA64" s="342"/>
      <c r="BB64" s="342"/>
      <c r="BC64" s="342"/>
      <c r="BD64" s="342"/>
      <c r="BE64" s="342"/>
      <c r="BF64" s="342"/>
      <c r="BG64" s="342"/>
      <c r="BH64" s="342"/>
      <c r="BI64" s="342"/>
      <c r="BJ64" s="342"/>
      <c r="BK64" s="342"/>
      <c r="BL64" s="342"/>
    </row>
    <row r="65" spans="1:64" ht="23" x14ac:dyDescent="0.25">
      <c r="A65" s="217" t="str" cm="1">
        <f t="array" ref="A65">IFERROR(INDEX(_xlfn.ANCHORARRAY($Q$6),ROW()-5,1),"")</f>
        <v/>
      </c>
      <c r="B65" s="288" t="str" cm="1">
        <f t="array" ref="B65">IFERROR(INDEX(_xlfn.ANCHORARRAY($Q$6),ROW()-5,2),"")</f>
        <v/>
      </c>
      <c r="C65" s="289" t="str" cm="1">
        <f t="array" ref="C65">IFERROR(INDEX(_xlfn.ANCHORARRAY($Q$6),ROW()-5,3),"")</f>
        <v/>
      </c>
      <c r="D65" s="218" t="str">
        <f>IF($A65="","",IF($K65="DIESEL",SUMIFS(Table1[Quantity],Table1[Customer],$B65,Table1[Date],$A65,Table1[Bill No.],$C65),IF($K65="PETROL",SUMIFS(Table14[Quantity],Table14[Customer],$B65,Table14[Date],$A65,Table14[Bill No.],$C65),IF($K65="XtraGreen",SUMIFS(Table146[Quantity],Table146[Company],$B65,Table146[Date],$A65,Table146[Bill No.],$C65),""))))</f>
        <v/>
      </c>
      <c r="E65" s="219" t="str">
        <f>IF($A65="","",IF($K65="DIESEL",AVERAGEIFS(Table1[RSP],Table1[Customer],$B65,Table1[Date],$A65,Table1[Bill No.],$C65),IF($K65="PETROL",AVERAGEIFS(Table14[RSP],Table14[Customer],$B65,Table14[Date],$A65,Table14[Bill No.],$C65),IF($K65="XtraGreen",AVERAGEIFS(Table146[RSP],Table146[Company],$B65,Table146[Date],$A65,Table146[Bill No.],$C65),IFERROR($F65/$D65,"")))))</f>
        <v/>
      </c>
      <c r="F65" s="330" t="str">
        <f>IF($A65="","",IF($K65="DIESEL",SUMIFS(Table1[Amount],Table1[Customer],$B65,Table1[Date],$A65,Table1[Bill No.],$C65),IF($K65="PETROL",SUMIFS(Table14[Amount],Table14[Customer],$B65,Table14[Date],$A65,Table14[Bill No.],$C65),IF($K65="XtraGreen",SUMIFS(Table146[Amount],Table146[Company],$B65,Table146[Date],$A65,Table146[Bill No.],$C65),SUMIFS('Other Sale'!$D:$D,'Other Sale'!$E:$E,$B65,'Other Sale'!$C:$C,$K65,'Other Sale'!$A:$A,$A65)))))</f>
        <v/>
      </c>
      <c r="G65" s="330" t="str" cm="1">
        <f t="array" ref="G65">IF($A65="","",IF($K65="Payment",IFERROR(INDEX(_xlfn._xlws.FILTER(MasterPaid[Amount Paid],(MasterPaid[Customer]=$B65)*(MasterPaid[Date]=$A65)),COUNTIFS($A$6:$A65,$A65,$B$6:$B65,$B65,$K$6:$K65,"Payment")),0),0))</f>
        <v/>
      </c>
      <c r="H65" s="331"/>
      <c r="I65" s="331"/>
      <c r="J65" s="330" t="str">
        <f t="shared" si="0"/>
        <v/>
      </c>
      <c r="K65" s="289" t="str" cm="1">
        <f t="array" ref="K65">IFERROR(INDEX(_xlfn.ANCHORARRAY($Q$6),ROW()-5,4),"")</f>
        <v/>
      </c>
      <c r="L65" s="290"/>
      <c r="U65">
        <f>IF(OR($A65="",$F65=""),0,MAX(0,MIN($F65,SUMIFS($F$6:$F65,$B$6:$B65,$B65)-(SUMIFS($G$6:$G$355,$B$6:$B$355,$B65)+SUMIFS($H$6:$H$355,$B$6:$B$355,$B65)+SUMIFS($I$6:$I$355,$B$6:$B$355,$B65)))))</f>
        <v>0</v>
      </c>
      <c r="AD65" s="468"/>
      <c r="AE65" s="342"/>
      <c r="AF65" s="342"/>
      <c r="AG65" s="342"/>
      <c r="AH65" s="342"/>
      <c r="AI65" s="342"/>
      <c r="AJ65" s="342"/>
      <c r="AK65" s="342"/>
      <c r="AL65" s="342"/>
      <c r="AM65" s="342"/>
      <c r="AN65" s="342"/>
      <c r="AO65" s="342"/>
      <c r="AP65" s="342"/>
      <c r="AQ65" s="342"/>
      <c r="AR65" s="342"/>
      <c r="AS65" s="342"/>
      <c r="AT65" s="342"/>
      <c r="AU65" s="342"/>
      <c r="AV65" s="342"/>
      <c r="AW65" s="342"/>
      <c r="AX65" s="342"/>
      <c r="AY65" s="342"/>
      <c r="AZ65" s="342"/>
      <c r="BA65" s="342"/>
      <c r="BB65" s="342"/>
      <c r="BC65" s="342"/>
      <c r="BD65" s="342"/>
      <c r="BE65" s="342"/>
      <c r="BF65" s="342"/>
      <c r="BG65" s="342"/>
      <c r="BH65" s="342"/>
      <c r="BI65" s="342"/>
      <c r="BJ65" s="342"/>
      <c r="BK65" s="342"/>
      <c r="BL65" s="342"/>
    </row>
    <row r="66" spans="1:64" ht="23" x14ac:dyDescent="0.25">
      <c r="A66" s="217" t="str" cm="1">
        <f t="array" ref="A66">IFERROR(INDEX(_xlfn.ANCHORARRAY($Q$6),ROW()-5,1),"")</f>
        <v/>
      </c>
      <c r="B66" s="288" t="str" cm="1">
        <f t="array" ref="B66">IFERROR(INDEX(_xlfn.ANCHORARRAY($Q$6),ROW()-5,2),"")</f>
        <v/>
      </c>
      <c r="C66" s="289" t="str" cm="1">
        <f t="array" ref="C66">IFERROR(INDEX(_xlfn.ANCHORARRAY($Q$6),ROW()-5,3),"")</f>
        <v/>
      </c>
      <c r="D66" s="218" t="str">
        <f>IF($A66="","",IF($K66="DIESEL",SUMIFS(Table1[Quantity],Table1[Customer],$B66,Table1[Date],$A66,Table1[Bill No.],$C66),IF($K66="PETROL",SUMIFS(Table14[Quantity],Table14[Customer],$B66,Table14[Date],$A66,Table14[Bill No.],$C66),IF($K66="XtraGreen",SUMIFS(Table146[Quantity],Table146[Company],$B66,Table146[Date],$A66,Table146[Bill No.],$C66),""))))</f>
        <v/>
      </c>
      <c r="E66" s="219" t="str">
        <f>IF($A66="","",IF($K66="DIESEL",AVERAGEIFS(Table1[RSP],Table1[Customer],$B66,Table1[Date],$A66,Table1[Bill No.],$C66),IF($K66="PETROL",AVERAGEIFS(Table14[RSP],Table14[Customer],$B66,Table14[Date],$A66,Table14[Bill No.],$C66),IF($K66="XtraGreen",AVERAGEIFS(Table146[RSP],Table146[Company],$B66,Table146[Date],$A66,Table146[Bill No.],$C66),IFERROR($F66/$D66,"")))))</f>
        <v/>
      </c>
      <c r="F66" s="330" t="str">
        <f>IF($A66="","",IF($K66="DIESEL",SUMIFS(Table1[Amount],Table1[Customer],$B66,Table1[Date],$A66,Table1[Bill No.],$C66),IF($K66="PETROL",SUMIFS(Table14[Amount],Table14[Customer],$B66,Table14[Date],$A66,Table14[Bill No.],$C66),IF($K66="XtraGreen",SUMIFS(Table146[Amount],Table146[Company],$B66,Table146[Date],$A66,Table146[Bill No.],$C66),SUMIFS('Other Sale'!$D:$D,'Other Sale'!$E:$E,$B66,'Other Sale'!$C:$C,$K66,'Other Sale'!$A:$A,$A66)))))</f>
        <v/>
      </c>
      <c r="G66" s="330" t="str" cm="1">
        <f t="array" ref="G66">IF($A66="","",IF($K66="Payment",IFERROR(INDEX(_xlfn._xlws.FILTER(MasterPaid[Amount Paid],(MasterPaid[Customer]=$B66)*(MasterPaid[Date]=$A66)),COUNTIFS($A$6:$A66,$A66,$B$6:$B66,$B66,$K$6:$K66,"Payment")),0),0))</f>
        <v/>
      </c>
      <c r="H66" s="331"/>
      <c r="I66" s="331"/>
      <c r="J66" s="330" t="str">
        <f t="shared" si="0"/>
        <v/>
      </c>
      <c r="K66" s="289" t="str" cm="1">
        <f t="array" ref="K66">IFERROR(INDEX(_xlfn.ANCHORARRAY($Q$6),ROW()-5,4),"")</f>
        <v/>
      </c>
      <c r="L66" s="290"/>
      <c r="U66">
        <f>IF(OR($A66="",$F66=""),0,MAX(0,MIN($F66,SUMIFS($F$6:$F66,$B$6:$B66,$B66)-(SUMIFS($G$6:$G$355,$B$6:$B$355,$B66)+SUMIFS($H$6:$H$355,$B$6:$B$355,$B66)+SUMIFS($I$6:$I$355,$B$6:$B$355,$B66)))))</f>
        <v>0</v>
      </c>
      <c r="AD66" s="468"/>
      <c r="AE66" s="342"/>
      <c r="AF66" s="342"/>
      <c r="AG66" s="342"/>
      <c r="AH66" s="342"/>
      <c r="AI66" s="342"/>
      <c r="AJ66" s="342"/>
      <c r="AK66" s="342"/>
      <c r="AL66" s="342"/>
      <c r="AM66" s="342"/>
      <c r="AN66" s="342"/>
      <c r="AO66" s="342"/>
      <c r="AP66" s="342"/>
      <c r="AQ66" s="342"/>
      <c r="AR66" s="342"/>
      <c r="AS66" s="342"/>
      <c r="AT66" s="342"/>
      <c r="AU66" s="342"/>
      <c r="AV66" s="342"/>
      <c r="AW66" s="342"/>
      <c r="AX66" s="342"/>
      <c r="AY66" s="342"/>
      <c r="AZ66" s="342"/>
      <c r="BA66" s="342"/>
      <c r="BB66" s="342"/>
      <c r="BC66" s="342"/>
      <c r="BD66" s="342"/>
      <c r="BE66" s="342"/>
      <c r="BF66" s="342"/>
      <c r="BG66" s="342"/>
      <c r="BH66" s="342"/>
      <c r="BI66" s="342"/>
      <c r="BJ66" s="342"/>
      <c r="BK66" s="342"/>
      <c r="BL66" s="342"/>
    </row>
    <row r="67" spans="1:64" ht="23" x14ac:dyDescent="0.25">
      <c r="A67" s="217" t="str" cm="1">
        <f t="array" ref="A67">IFERROR(INDEX(_xlfn.ANCHORARRAY($Q$6),ROW()-5,1),"")</f>
        <v/>
      </c>
      <c r="B67" s="288" t="str" cm="1">
        <f t="array" ref="B67">IFERROR(INDEX(_xlfn.ANCHORARRAY($Q$6),ROW()-5,2),"")</f>
        <v/>
      </c>
      <c r="C67" s="289" t="str" cm="1">
        <f t="array" ref="C67">IFERROR(INDEX(_xlfn.ANCHORARRAY($Q$6),ROW()-5,3),"")</f>
        <v/>
      </c>
      <c r="D67" s="218" t="str">
        <f>IF($A67="","",IF($K67="DIESEL",SUMIFS(Table1[Quantity],Table1[Customer],$B67,Table1[Date],$A67,Table1[Bill No.],$C67),IF($K67="PETROL",SUMIFS(Table14[Quantity],Table14[Customer],$B67,Table14[Date],$A67,Table14[Bill No.],$C67),IF($K67="XtraGreen",SUMIFS(Table146[Quantity],Table146[Company],$B67,Table146[Date],$A67,Table146[Bill No.],$C67),""))))</f>
        <v/>
      </c>
      <c r="E67" s="219" t="str">
        <f>IF($A67="","",IF($K67="DIESEL",AVERAGEIFS(Table1[RSP],Table1[Customer],$B67,Table1[Date],$A67,Table1[Bill No.],$C67),IF($K67="PETROL",AVERAGEIFS(Table14[RSP],Table14[Customer],$B67,Table14[Date],$A67,Table14[Bill No.],$C67),IF($K67="XtraGreen",AVERAGEIFS(Table146[RSP],Table146[Company],$B67,Table146[Date],$A67,Table146[Bill No.],$C67),IFERROR($F67/$D67,"")))))</f>
        <v/>
      </c>
      <c r="F67" s="330" t="str">
        <f>IF($A67="","",IF($K67="DIESEL",SUMIFS(Table1[Amount],Table1[Customer],$B67,Table1[Date],$A67,Table1[Bill No.],$C67),IF($K67="PETROL",SUMIFS(Table14[Amount],Table14[Customer],$B67,Table14[Date],$A67,Table14[Bill No.],$C67),IF($K67="XtraGreen",SUMIFS(Table146[Amount],Table146[Company],$B67,Table146[Date],$A67,Table146[Bill No.],$C67),SUMIFS('Other Sale'!$D:$D,'Other Sale'!$E:$E,$B67,'Other Sale'!$C:$C,$K67,'Other Sale'!$A:$A,$A67)))))</f>
        <v/>
      </c>
      <c r="G67" s="330" t="str" cm="1">
        <f t="array" ref="G67">IF($A67="","",IF($K67="Payment",IFERROR(INDEX(_xlfn._xlws.FILTER(MasterPaid[Amount Paid],(MasterPaid[Customer]=$B67)*(MasterPaid[Date]=$A67)),COUNTIFS($A$6:$A67,$A67,$B$6:$B67,$B67,$K$6:$K67,"Payment")),0),0))</f>
        <v/>
      </c>
      <c r="H67" s="331"/>
      <c r="I67" s="331"/>
      <c r="J67" s="330" t="str">
        <f t="shared" si="0"/>
        <v/>
      </c>
      <c r="K67" s="289" t="str" cm="1">
        <f t="array" ref="K67">IFERROR(INDEX(_xlfn.ANCHORARRAY($Q$6),ROW()-5,4),"")</f>
        <v/>
      </c>
      <c r="L67" s="290"/>
      <c r="U67">
        <f>IF(OR($A67="",$F67=""),0,MAX(0,MIN($F67,SUMIFS($F$6:$F67,$B$6:$B67,$B67)-(SUMIFS($G$6:$G$355,$B$6:$B$355,$B67)+SUMIFS($H$6:$H$355,$B$6:$B$355,$B67)+SUMIFS($I$6:$I$355,$B$6:$B$355,$B67)))))</f>
        <v>0</v>
      </c>
      <c r="AD67" s="468"/>
      <c r="AE67" s="342"/>
      <c r="AF67" s="342"/>
      <c r="AG67" s="342"/>
      <c r="AH67" s="342"/>
      <c r="AI67" s="342"/>
      <c r="AJ67" s="342"/>
      <c r="AK67" s="342"/>
      <c r="AL67" s="342"/>
      <c r="AM67" s="342"/>
      <c r="AN67" s="342"/>
      <c r="AO67" s="342"/>
      <c r="AP67" s="342"/>
      <c r="AQ67" s="342"/>
      <c r="AR67" s="342"/>
      <c r="AS67" s="342"/>
      <c r="AT67" s="342"/>
      <c r="AU67" s="342"/>
      <c r="AV67" s="342"/>
      <c r="AW67" s="342"/>
      <c r="AX67" s="342"/>
      <c r="AY67" s="342"/>
      <c r="AZ67" s="342"/>
      <c r="BA67" s="342"/>
      <c r="BB67" s="342"/>
      <c r="BC67" s="342"/>
      <c r="BD67" s="342"/>
      <c r="BE67" s="342"/>
      <c r="BF67" s="342"/>
      <c r="BG67" s="342"/>
      <c r="BH67" s="342"/>
      <c r="BI67" s="342"/>
      <c r="BJ67" s="342"/>
      <c r="BK67" s="342"/>
      <c r="BL67" s="342"/>
    </row>
    <row r="68" spans="1:64" ht="23" x14ac:dyDescent="0.25">
      <c r="A68" s="217" t="str" cm="1">
        <f t="array" ref="A68">IFERROR(INDEX(_xlfn.ANCHORARRAY($Q$6),ROW()-5,1),"")</f>
        <v/>
      </c>
      <c r="B68" s="288" t="str" cm="1">
        <f t="array" ref="B68">IFERROR(INDEX(_xlfn.ANCHORARRAY($Q$6),ROW()-5,2),"")</f>
        <v/>
      </c>
      <c r="C68" s="289" t="str" cm="1">
        <f t="array" ref="C68">IFERROR(INDEX(_xlfn.ANCHORARRAY($Q$6),ROW()-5,3),"")</f>
        <v/>
      </c>
      <c r="D68" s="218" t="str">
        <f>IF($A68="","",IF($K68="DIESEL",SUMIFS(Table1[Quantity],Table1[Customer],$B68,Table1[Date],$A68,Table1[Bill No.],$C68),IF($K68="PETROL",SUMIFS(Table14[Quantity],Table14[Customer],$B68,Table14[Date],$A68,Table14[Bill No.],$C68),IF($K68="XtraGreen",SUMIFS(Table146[Quantity],Table146[Company],$B68,Table146[Date],$A68,Table146[Bill No.],$C68),""))))</f>
        <v/>
      </c>
      <c r="E68" s="219" t="str">
        <f>IF($A68="","",IF($K68="DIESEL",AVERAGEIFS(Table1[RSP],Table1[Customer],$B68,Table1[Date],$A68,Table1[Bill No.],$C68),IF($K68="PETROL",AVERAGEIFS(Table14[RSP],Table14[Customer],$B68,Table14[Date],$A68,Table14[Bill No.],$C68),IF($K68="XtraGreen",AVERAGEIFS(Table146[RSP],Table146[Company],$B68,Table146[Date],$A68,Table146[Bill No.],$C68),IFERROR($F68/$D68,"")))))</f>
        <v/>
      </c>
      <c r="F68" s="330" t="str">
        <f>IF($A68="","",IF($K68="DIESEL",SUMIFS(Table1[Amount],Table1[Customer],$B68,Table1[Date],$A68,Table1[Bill No.],$C68),IF($K68="PETROL",SUMIFS(Table14[Amount],Table14[Customer],$B68,Table14[Date],$A68,Table14[Bill No.],$C68),IF($K68="XtraGreen",SUMIFS(Table146[Amount],Table146[Company],$B68,Table146[Date],$A68,Table146[Bill No.],$C68),SUMIFS('Other Sale'!$D:$D,'Other Sale'!$E:$E,$B68,'Other Sale'!$C:$C,$K68,'Other Sale'!$A:$A,$A68)))))</f>
        <v/>
      </c>
      <c r="G68" s="330" t="str" cm="1">
        <f t="array" ref="G68">IF($A68="","",IF($K68="Payment",IFERROR(INDEX(_xlfn._xlws.FILTER(MasterPaid[Amount Paid],(MasterPaid[Customer]=$B68)*(MasterPaid[Date]=$A68)),COUNTIFS($A$6:$A68,$A68,$B$6:$B68,$B68,$K$6:$K68,"Payment")),0),0))</f>
        <v/>
      </c>
      <c r="H68" s="331"/>
      <c r="I68" s="331"/>
      <c r="J68" s="330" t="str">
        <f t="shared" si="0"/>
        <v/>
      </c>
      <c r="K68" s="289" t="str" cm="1">
        <f t="array" ref="K68">IFERROR(INDEX(_xlfn.ANCHORARRAY($Q$6),ROW()-5,4),"")</f>
        <v/>
      </c>
      <c r="L68" s="290"/>
      <c r="U68">
        <f>IF(OR($A68="",$F68=""),0,MAX(0,MIN($F68,SUMIFS($F$6:$F68,$B$6:$B68,$B68)-(SUMIFS($G$6:$G$355,$B$6:$B$355,$B68)+SUMIFS($H$6:$H$355,$B$6:$B$355,$B68)+SUMIFS($I$6:$I$355,$B$6:$B$355,$B68)))))</f>
        <v>0</v>
      </c>
      <c r="AD68" s="468"/>
      <c r="AE68" s="342"/>
      <c r="AF68" s="342"/>
      <c r="AG68" s="342"/>
      <c r="AH68" s="342"/>
      <c r="AI68" s="342"/>
      <c r="AJ68" s="342"/>
      <c r="AK68" s="342"/>
      <c r="AL68" s="342"/>
      <c r="AM68" s="342"/>
      <c r="AN68" s="342"/>
      <c r="AO68" s="342"/>
      <c r="AP68" s="342"/>
      <c r="AQ68" s="342"/>
      <c r="AR68" s="342"/>
      <c r="AS68" s="342"/>
      <c r="AT68" s="342"/>
      <c r="AU68" s="342"/>
      <c r="AV68" s="342"/>
      <c r="AW68" s="342"/>
      <c r="AX68" s="342"/>
      <c r="AY68" s="342"/>
      <c r="AZ68" s="342"/>
      <c r="BA68" s="342"/>
      <c r="BB68" s="342"/>
      <c r="BC68" s="342"/>
      <c r="BD68" s="342"/>
      <c r="BE68" s="342"/>
      <c r="BF68" s="342"/>
      <c r="BG68" s="342"/>
      <c r="BH68" s="342"/>
      <c r="BI68" s="342"/>
      <c r="BJ68" s="342"/>
      <c r="BK68" s="342"/>
      <c r="BL68" s="342"/>
    </row>
    <row r="69" spans="1:64" ht="23" x14ac:dyDescent="0.25">
      <c r="A69" s="217" t="str" cm="1">
        <f t="array" ref="A69">IFERROR(INDEX(_xlfn.ANCHORARRAY($Q$6),ROW()-5,1),"")</f>
        <v/>
      </c>
      <c r="B69" s="288" t="str" cm="1">
        <f t="array" ref="B69">IFERROR(INDEX(_xlfn.ANCHORARRAY($Q$6),ROW()-5,2),"")</f>
        <v/>
      </c>
      <c r="C69" s="289" t="str" cm="1">
        <f t="array" ref="C69">IFERROR(INDEX(_xlfn.ANCHORARRAY($Q$6),ROW()-5,3),"")</f>
        <v/>
      </c>
      <c r="D69" s="218" t="str">
        <f>IF($A69="","",IF($K69="DIESEL",SUMIFS(Table1[Quantity],Table1[Customer],$B69,Table1[Date],$A69,Table1[Bill No.],$C69),IF($K69="PETROL",SUMIFS(Table14[Quantity],Table14[Customer],$B69,Table14[Date],$A69,Table14[Bill No.],$C69),IF($K69="XtraGreen",SUMIFS(Table146[Quantity],Table146[Company],$B69,Table146[Date],$A69,Table146[Bill No.],$C69),""))))</f>
        <v/>
      </c>
      <c r="E69" s="219" t="str">
        <f>IF($A69="","",IF($K69="DIESEL",AVERAGEIFS(Table1[RSP],Table1[Customer],$B69,Table1[Date],$A69,Table1[Bill No.],$C69),IF($K69="PETROL",AVERAGEIFS(Table14[RSP],Table14[Customer],$B69,Table14[Date],$A69,Table14[Bill No.],$C69),IF($K69="XtraGreen",AVERAGEIFS(Table146[RSP],Table146[Company],$B69,Table146[Date],$A69,Table146[Bill No.],$C69),IFERROR($F69/$D69,"")))))</f>
        <v/>
      </c>
      <c r="F69" s="330" t="str">
        <f>IF($A69="","",IF($K69="DIESEL",SUMIFS(Table1[Amount],Table1[Customer],$B69,Table1[Date],$A69,Table1[Bill No.],$C69),IF($K69="PETROL",SUMIFS(Table14[Amount],Table14[Customer],$B69,Table14[Date],$A69,Table14[Bill No.],$C69),IF($K69="XtraGreen",SUMIFS(Table146[Amount],Table146[Company],$B69,Table146[Date],$A69,Table146[Bill No.],$C69),SUMIFS('Other Sale'!$D:$D,'Other Sale'!$E:$E,$B69,'Other Sale'!$C:$C,$K69,'Other Sale'!$A:$A,$A69)))))</f>
        <v/>
      </c>
      <c r="G69" s="330" t="str" cm="1">
        <f t="array" ref="G69">IF($A69="","",IF($K69="Payment",IFERROR(INDEX(_xlfn._xlws.FILTER(MasterPaid[Amount Paid],(MasterPaid[Customer]=$B69)*(MasterPaid[Date]=$A69)),COUNTIFS($A$6:$A69,$A69,$B$6:$B69,$B69,$K$6:$K69,"Payment")),0),0))</f>
        <v/>
      </c>
      <c r="H69" s="331"/>
      <c r="I69" s="331"/>
      <c r="J69" s="330" t="str">
        <f t="shared" si="0"/>
        <v/>
      </c>
      <c r="K69" s="289" t="str" cm="1">
        <f t="array" ref="K69">IFERROR(INDEX(_xlfn.ANCHORARRAY($Q$6),ROW()-5,4),"")</f>
        <v/>
      </c>
      <c r="L69" s="290"/>
      <c r="U69">
        <f>IF(OR($A69="",$F69=""),0,MAX(0,MIN($F69,SUMIFS($F$6:$F69,$B$6:$B69,$B69)-(SUMIFS($G$6:$G$355,$B$6:$B$355,$B69)+SUMIFS($H$6:$H$355,$B$6:$B$355,$B69)+SUMIFS($I$6:$I$355,$B$6:$B$355,$B69)))))</f>
        <v>0</v>
      </c>
      <c r="AD69" s="468"/>
      <c r="AE69" s="342"/>
      <c r="AF69" s="342"/>
      <c r="AG69" s="342"/>
      <c r="AH69" s="342"/>
      <c r="AI69" s="342"/>
      <c r="AJ69" s="342"/>
      <c r="AK69" s="342"/>
      <c r="AL69" s="342"/>
      <c r="AM69" s="342"/>
      <c r="AN69" s="342"/>
      <c r="AO69" s="342"/>
      <c r="AP69" s="342"/>
      <c r="AQ69" s="342"/>
      <c r="AR69" s="342"/>
      <c r="AS69" s="342"/>
      <c r="AT69" s="342"/>
      <c r="AU69" s="342"/>
      <c r="AV69" s="342"/>
      <c r="AW69" s="342"/>
      <c r="AX69" s="342"/>
      <c r="AY69" s="342"/>
      <c r="AZ69" s="342"/>
      <c r="BA69" s="342"/>
      <c r="BB69" s="342"/>
      <c r="BC69" s="342"/>
      <c r="BD69" s="342"/>
      <c r="BE69" s="342"/>
      <c r="BF69" s="342"/>
      <c r="BG69" s="342"/>
      <c r="BH69" s="342"/>
      <c r="BI69" s="342"/>
      <c r="BJ69" s="342"/>
      <c r="BK69" s="342"/>
      <c r="BL69" s="342"/>
    </row>
    <row r="70" spans="1:64" ht="23" x14ac:dyDescent="0.25">
      <c r="A70" s="217" t="str" cm="1">
        <f t="array" ref="A70">IFERROR(INDEX(_xlfn.ANCHORARRAY($Q$6),ROW()-5,1),"")</f>
        <v/>
      </c>
      <c r="B70" s="288" t="str" cm="1">
        <f t="array" ref="B70">IFERROR(INDEX(_xlfn.ANCHORARRAY($Q$6),ROW()-5,2),"")</f>
        <v/>
      </c>
      <c r="C70" s="289" t="str" cm="1">
        <f t="array" ref="C70">IFERROR(INDEX(_xlfn.ANCHORARRAY($Q$6),ROW()-5,3),"")</f>
        <v/>
      </c>
      <c r="D70" s="218" t="str">
        <f>IF($A70="","",IF($K70="DIESEL",SUMIFS(Table1[Quantity],Table1[Customer],$B70,Table1[Date],$A70,Table1[Bill No.],$C70),IF($K70="PETROL",SUMIFS(Table14[Quantity],Table14[Customer],$B70,Table14[Date],$A70,Table14[Bill No.],$C70),IF($K70="XtraGreen",SUMIFS(Table146[Quantity],Table146[Company],$B70,Table146[Date],$A70,Table146[Bill No.],$C70),""))))</f>
        <v/>
      </c>
      <c r="E70" s="219" t="str">
        <f>IF($A70="","",IF($K70="DIESEL",AVERAGEIFS(Table1[RSP],Table1[Customer],$B70,Table1[Date],$A70,Table1[Bill No.],$C70),IF($K70="PETROL",AVERAGEIFS(Table14[RSP],Table14[Customer],$B70,Table14[Date],$A70,Table14[Bill No.],$C70),IF($K70="XtraGreen",AVERAGEIFS(Table146[RSP],Table146[Company],$B70,Table146[Date],$A70,Table146[Bill No.],$C70),IFERROR($F70/$D70,"")))))</f>
        <v/>
      </c>
      <c r="F70" s="330" t="str">
        <f>IF($A70="","",IF($K70="DIESEL",SUMIFS(Table1[Amount],Table1[Customer],$B70,Table1[Date],$A70,Table1[Bill No.],$C70),IF($K70="PETROL",SUMIFS(Table14[Amount],Table14[Customer],$B70,Table14[Date],$A70,Table14[Bill No.],$C70),IF($K70="XtraGreen",SUMIFS(Table146[Amount],Table146[Company],$B70,Table146[Date],$A70,Table146[Bill No.],$C70),SUMIFS('Other Sale'!$D:$D,'Other Sale'!$E:$E,$B70,'Other Sale'!$C:$C,$K70,'Other Sale'!$A:$A,$A70)))))</f>
        <v/>
      </c>
      <c r="G70" s="330" t="str" cm="1">
        <f t="array" ref="G70">IF($A70="","",IF($K70="Payment",IFERROR(INDEX(_xlfn._xlws.FILTER(MasterPaid[Amount Paid],(MasterPaid[Customer]=$B70)*(MasterPaid[Date]=$A70)),COUNTIFS($A$6:$A70,$A70,$B$6:$B70,$B70,$K$6:$K70,"Payment")),0),0))</f>
        <v/>
      </c>
      <c r="H70" s="331"/>
      <c r="I70" s="331"/>
      <c r="J70" s="330" t="str">
        <f t="shared" si="0"/>
        <v/>
      </c>
      <c r="K70" s="289" t="str" cm="1">
        <f t="array" ref="K70">IFERROR(INDEX(_xlfn.ANCHORARRAY($Q$6),ROW()-5,4),"")</f>
        <v/>
      </c>
      <c r="L70" s="290"/>
      <c r="U70">
        <f>IF(OR($A70="",$F70=""),0,MAX(0,MIN($F70,SUMIFS($F$6:$F70,$B$6:$B70,$B70)-(SUMIFS($G$6:$G$355,$B$6:$B$355,$B70)+SUMIFS($H$6:$H$355,$B$6:$B$355,$B70)+SUMIFS($I$6:$I$355,$B$6:$B$355,$B70)))))</f>
        <v>0</v>
      </c>
      <c r="AD70" s="468"/>
      <c r="AE70" s="342"/>
      <c r="AF70" s="342"/>
      <c r="AG70" s="342"/>
      <c r="AH70" s="342"/>
      <c r="AI70" s="342"/>
      <c r="AJ70" s="342"/>
      <c r="AK70" s="342"/>
      <c r="AL70" s="342"/>
      <c r="AM70" s="342"/>
      <c r="AN70" s="342"/>
      <c r="AO70" s="342"/>
      <c r="AP70" s="342"/>
      <c r="AQ70" s="342"/>
      <c r="AR70" s="342"/>
      <c r="AS70" s="342"/>
      <c r="AT70" s="342"/>
      <c r="AU70" s="342"/>
      <c r="AV70" s="342"/>
      <c r="AW70" s="342"/>
      <c r="AX70" s="342"/>
      <c r="AY70" s="342"/>
      <c r="AZ70" s="342"/>
      <c r="BA70" s="342"/>
      <c r="BB70" s="342"/>
      <c r="BC70" s="342"/>
      <c r="BD70" s="342"/>
      <c r="BE70" s="342"/>
      <c r="BF70" s="342"/>
      <c r="BG70" s="342"/>
      <c r="BH70" s="342"/>
      <c r="BI70" s="342"/>
      <c r="BJ70" s="342"/>
      <c r="BK70" s="342"/>
      <c r="BL70" s="342"/>
    </row>
    <row r="71" spans="1:64" ht="23" x14ac:dyDescent="0.25">
      <c r="A71" s="217" t="str" cm="1">
        <f t="array" ref="A71">IFERROR(INDEX(_xlfn.ANCHORARRAY($Q$6),ROW()-5,1),"")</f>
        <v/>
      </c>
      <c r="B71" s="288" t="str" cm="1">
        <f t="array" ref="B71">IFERROR(INDEX(_xlfn.ANCHORARRAY($Q$6),ROW()-5,2),"")</f>
        <v/>
      </c>
      <c r="C71" s="289" t="str" cm="1">
        <f t="array" ref="C71">IFERROR(INDEX(_xlfn.ANCHORARRAY($Q$6),ROW()-5,3),"")</f>
        <v/>
      </c>
      <c r="D71" s="218" t="str">
        <f>IF($A71="","",IF($K71="DIESEL",SUMIFS(Table1[Quantity],Table1[Customer],$B71,Table1[Date],$A71,Table1[Bill No.],$C71),IF($K71="PETROL",SUMIFS(Table14[Quantity],Table14[Customer],$B71,Table14[Date],$A71,Table14[Bill No.],$C71),IF($K71="XtraGreen",SUMIFS(Table146[Quantity],Table146[Company],$B71,Table146[Date],$A71,Table146[Bill No.],$C71),""))))</f>
        <v/>
      </c>
      <c r="E71" s="219" t="str">
        <f>IF($A71="","",IF($K71="DIESEL",AVERAGEIFS(Table1[RSP],Table1[Customer],$B71,Table1[Date],$A71,Table1[Bill No.],$C71),IF($K71="PETROL",AVERAGEIFS(Table14[RSP],Table14[Customer],$B71,Table14[Date],$A71,Table14[Bill No.],$C71),IF($K71="XtraGreen",AVERAGEIFS(Table146[RSP],Table146[Company],$B71,Table146[Date],$A71,Table146[Bill No.],$C71),IFERROR($F71/$D71,"")))))</f>
        <v/>
      </c>
      <c r="F71" s="330" t="str">
        <f>IF($A71="","",IF($K71="DIESEL",SUMIFS(Table1[Amount],Table1[Customer],$B71,Table1[Date],$A71,Table1[Bill No.],$C71),IF($K71="PETROL",SUMIFS(Table14[Amount],Table14[Customer],$B71,Table14[Date],$A71,Table14[Bill No.],$C71),IF($K71="XtraGreen",SUMIFS(Table146[Amount],Table146[Company],$B71,Table146[Date],$A71,Table146[Bill No.],$C71),SUMIFS('Other Sale'!$D:$D,'Other Sale'!$E:$E,$B71,'Other Sale'!$C:$C,$K71,'Other Sale'!$A:$A,$A71)))))</f>
        <v/>
      </c>
      <c r="G71" s="330" t="str" cm="1">
        <f t="array" ref="G71">IF($A71="","",IF($K71="Payment",IFERROR(INDEX(_xlfn._xlws.FILTER(MasterPaid[Amount Paid],(MasterPaid[Customer]=$B71)*(MasterPaid[Date]=$A71)),COUNTIFS($A$6:$A71,$A71,$B$6:$B71,$B71,$K$6:$K71,"Payment")),0),0))</f>
        <v/>
      </c>
      <c r="H71" s="331"/>
      <c r="I71" s="331"/>
      <c r="J71" s="330" t="str">
        <f t="shared" si="0"/>
        <v/>
      </c>
      <c r="K71" s="289" t="str" cm="1">
        <f t="array" ref="K71">IFERROR(INDEX(_xlfn.ANCHORARRAY($Q$6),ROW()-5,4),"")</f>
        <v/>
      </c>
      <c r="L71" s="290"/>
      <c r="U71">
        <f>IF(OR($A71="",$F71=""),0,MAX(0,MIN($F71,SUMIFS($F$6:$F71,$B$6:$B71,$B71)-(SUMIFS($G$6:$G$355,$B$6:$B$355,$B71)+SUMIFS($H$6:$H$355,$B$6:$B$355,$B71)+SUMIFS($I$6:$I$355,$B$6:$B$355,$B71)))))</f>
        <v>0</v>
      </c>
      <c r="AD71" s="468"/>
      <c r="AE71" s="342"/>
      <c r="AF71" s="342"/>
      <c r="AG71" s="342"/>
      <c r="AH71" s="342"/>
      <c r="AI71" s="342"/>
      <c r="AJ71" s="342"/>
      <c r="AK71" s="342"/>
      <c r="AL71" s="342"/>
      <c r="AM71" s="342"/>
      <c r="AN71" s="342"/>
      <c r="AO71" s="342"/>
      <c r="AP71" s="342"/>
      <c r="AQ71" s="342"/>
      <c r="AR71" s="342"/>
      <c r="AS71" s="342"/>
      <c r="AT71" s="342"/>
      <c r="AU71" s="342"/>
      <c r="AV71" s="342"/>
      <c r="AW71" s="342"/>
      <c r="AX71" s="342"/>
      <c r="AY71" s="342"/>
      <c r="AZ71" s="342"/>
      <c r="BA71" s="342"/>
      <c r="BB71" s="342"/>
      <c r="BC71" s="342"/>
      <c r="BD71" s="342"/>
      <c r="BE71" s="342"/>
      <c r="BF71" s="342"/>
      <c r="BG71" s="342"/>
      <c r="BH71" s="342"/>
      <c r="BI71" s="342"/>
      <c r="BJ71" s="342"/>
      <c r="BK71" s="342"/>
      <c r="BL71" s="342"/>
    </row>
    <row r="72" spans="1:64" ht="23" x14ac:dyDescent="0.25">
      <c r="A72" s="217" t="str" cm="1">
        <f t="array" ref="A72">IFERROR(INDEX(_xlfn.ANCHORARRAY($Q$6),ROW()-5,1),"")</f>
        <v/>
      </c>
      <c r="B72" s="288" t="str" cm="1">
        <f t="array" ref="B72">IFERROR(INDEX(_xlfn.ANCHORARRAY($Q$6),ROW()-5,2),"")</f>
        <v/>
      </c>
      <c r="C72" s="289" t="str" cm="1">
        <f t="array" ref="C72">IFERROR(INDEX(_xlfn.ANCHORARRAY($Q$6),ROW()-5,3),"")</f>
        <v/>
      </c>
      <c r="D72" s="218" t="str">
        <f>IF($A72="","",IF($K72="DIESEL",SUMIFS(Table1[Quantity],Table1[Customer],$B72,Table1[Date],$A72,Table1[Bill No.],$C72),IF($K72="PETROL",SUMIFS(Table14[Quantity],Table14[Customer],$B72,Table14[Date],$A72,Table14[Bill No.],$C72),IF($K72="XtraGreen",SUMIFS(Table146[Quantity],Table146[Company],$B72,Table146[Date],$A72,Table146[Bill No.],$C72),""))))</f>
        <v/>
      </c>
      <c r="E72" s="219" t="str">
        <f>IF($A72="","",IF($K72="DIESEL",AVERAGEIFS(Table1[RSP],Table1[Customer],$B72,Table1[Date],$A72,Table1[Bill No.],$C72),IF($K72="PETROL",AVERAGEIFS(Table14[RSP],Table14[Customer],$B72,Table14[Date],$A72,Table14[Bill No.],$C72),IF($K72="XtraGreen",AVERAGEIFS(Table146[RSP],Table146[Company],$B72,Table146[Date],$A72,Table146[Bill No.],$C72),IFERROR($F72/$D72,"")))))</f>
        <v/>
      </c>
      <c r="F72" s="330" t="str">
        <f>IF($A72="","",IF($K72="DIESEL",SUMIFS(Table1[Amount],Table1[Customer],$B72,Table1[Date],$A72,Table1[Bill No.],$C72),IF($K72="PETROL",SUMIFS(Table14[Amount],Table14[Customer],$B72,Table14[Date],$A72,Table14[Bill No.],$C72),IF($K72="XtraGreen",SUMIFS(Table146[Amount],Table146[Company],$B72,Table146[Date],$A72,Table146[Bill No.],$C72),SUMIFS('Other Sale'!$D:$D,'Other Sale'!$E:$E,$B72,'Other Sale'!$C:$C,$K72,'Other Sale'!$A:$A,$A72)))))</f>
        <v/>
      </c>
      <c r="G72" s="330" t="str" cm="1">
        <f t="array" ref="G72">IF($A72="","",IF($K72="Payment",IFERROR(INDEX(_xlfn._xlws.FILTER(MasterPaid[Amount Paid],(MasterPaid[Customer]=$B72)*(MasterPaid[Date]=$A72)),COUNTIFS($A$6:$A72,$A72,$B$6:$B72,$B72,$K$6:$K72,"Payment")),0),0))</f>
        <v/>
      </c>
      <c r="H72" s="331"/>
      <c r="I72" s="331"/>
      <c r="J72" s="330" t="str">
        <f t="shared" ref="J72:J85" si="1">IF($A72="","",J71+N(F72)-N(G72)-N(H72)-N(I72))</f>
        <v/>
      </c>
      <c r="K72" s="289" t="str" cm="1">
        <f t="array" ref="K72">IFERROR(INDEX(_xlfn.ANCHORARRAY($Q$6),ROW()-5,4),"")</f>
        <v/>
      </c>
      <c r="L72" s="290"/>
      <c r="U72">
        <f>IF(OR($A72="",$F72=""),0,MAX(0,MIN($F72,SUMIFS($F$6:$F72,$B$6:$B72,$B72)-(SUMIFS($G$6:$G$355,$B$6:$B$355,$B72)+SUMIFS($H$6:$H$355,$B$6:$B$355,$B72)+SUMIFS($I$6:$I$355,$B$6:$B$355,$B72)))))</f>
        <v>0</v>
      </c>
      <c r="AD72" s="468"/>
      <c r="AE72" s="342"/>
      <c r="AF72" s="342"/>
      <c r="AG72" s="342"/>
      <c r="AH72" s="342"/>
      <c r="AI72" s="342"/>
      <c r="AJ72" s="342"/>
      <c r="AK72" s="342"/>
      <c r="AL72" s="342"/>
      <c r="AM72" s="342"/>
      <c r="AN72" s="342"/>
      <c r="AO72" s="342"/>
      <c r="AP72" s="342"/>
      <c r="AQ72" s="342"/>
      <c r="AR72" s="342"/>
      <c r="AS72" s="342"/>
      <c r="AT72" s="342"/>
      <c r="AU72" s="342"/>
      <c r="AV72" s="342"/>
      <c r="AW72" s="342"/>
      <c r="AX72" s="342"/>
      <c r="AY72" s="342"/>
      <c r="AZ72" s="342"/>
      <c r="BA72" s="342"/>
      <c r="BB72" s="342"/>
      <c r="BC72" s="342"/>
      <c r="BD72" s="342"/>
      <c r="BE72" s="342"/>
      <c r="BF72" s="342"/>
      <c r="BG72" s="342"/>
      <c r="BH72" s="342"/>
      <c r="BI72" s="342"/>
      <c r="BJ72" s="342"/>
      <c r="BK72" s="342"/>
      <c r="BL72" s="342"/>
    </row>
    <row r="73" spans="1:64" ht="23" x14ac:dyDescent="0.25">
      <c r="A73" s="217" t="str" cm="1">
        <f t="array" ref="A73">IFERROR(INDEX(_xlfn.ANCHORARRAY($Q$6),ROW()-5,1),"")</f>
        <v/>
      </c>
      <c r="B73" s="288" t="str" cm="1">
        <f t="array" ref="B73">IFERROR(INDEX(_xlfn.ANCHORARRAY($Q$6),ROW()-5,2),"")</f>
        <v/>
      </c>
      <c r="C73" s="289" t="str" cm="1">
        <f t="array" ref="C73">IFERROR(INDEX(_xlfn.ANCHORARRAY($Q$6),ROW()-5,3),"")</f>
        <v/>
      </c>
      <c r="D73" s="218" t="str">
        <f>IF($A73="","",IF($K73="DIESEL",SUMIFS(Table1[Quantity],Table1[Customer],$B73,Table1[Date],$A73,Table1[Bill No.],$C73),IF($K73="PETROL",SUMIFS(Table14[Quantity],Table14[Customer],$B73,Table14[Date],$A73,Table14[Bill No.],$C73),IF($K73="XtraGreen",SUMIFS(Table146[Quantity],Table146[Company],$B73,Table146[Date],$A73,Table146[Bill No.],$C73),""))))</f>
        <v/>
      </c>
      <c r="E73" s="219" t="str">
        <f>IF($A73="","",IF($K73="DIESEL",AVERAGEIFS(Table1[RSP],Table1[Customer],$B73,Table1[Date],$A73,Table1[Bill No.],$C73),IF($K73="PETROL",AVERAGEIFS(Table14[RSP],Table14[Customer],$B73,Table14[Date],$A73,Table14[Bill No.],$C73),IF($K73="XtraGreen",AVERAGEIFS(Table146[RSP],Table146[Company],$B73,Table146[Date],$A73,Table146[Bill No.],$C73),IFERROR($F73/$D73,"")))))</f>
        <v/>
      </c>
      <c r="F73" s="330" t="str">
        <f>IF($A73="","",IF($K73="DIESEL",SUMIFS(Table1[Amount],Table1[Customer],$B73,Table1[Date],$A73,Table1[Bill No.],$C73),IF($K73="PETROL",SUMIFS(Table14[Amount],Table14[Customer],$B73,Table14[Date],$A73,Table14[Bill No.],$C73),IF($K73="XtraGreen",SUMIFS(Table146[Amount],Table146[Company],$B73,Table146[Date],$A73,Table146[Bill No.],$C73),SUMIFS('Other Sale'!$D:$D,'Other Sale'!$E:$E,$B73,'Other Sale'!$C:$C,$K73,'Other Sale'!$A:$A,$A73)))))</f>
        <v/>
      </c>
      <c r="G73" s="330" t="str" cm="1">
        <f t="array" ref="G73">IF($A73="","",IF($K73="Payment",IFERROR(INDEX(_xlfn._xlws.FILTER(MasterPaid[Amount Paid],(MasterPaid[Customer]=$B73)*(MasterPaid[Date]=$A73)),COUNTIFS($A$6:$A73,$A73,$B$6:$B73,$B73,$K$6:$K73,"Payment")),0),0))</f>
        <v/>
      </c>
      <c r="H73" s="331"/>
      <c r="I73" s="331"/>
      <c r="J73" s="330" t="str">
        <f t="shared" si="1"/>
        <v/>
      </c>
      <c r="K73" s="289" t="str" cm="1">
        <f t="array" ref="K73">IFERROR(INDEX(_xlfn.ANCHORARRAY($Q$6),ROW()-5,4),"")</f>
        <v/>
      </c>
      <c r="L73" s="290"/>
      <c r="U73">
        <f>IF(OR($A73="",$F73=""),0,MAX(0,MIN($F73,SUMIFS($F$6:$F73,$B$6:$B73,$B73)-(SUMIFS($G$6:$G$355,$B$6:$B$355,$B73)+SUMIFS($H$6:$H$355,$B$6:$B$355,$B73)+SUMIFS($I$6:$I$355,$B$6:$B$355,$B73)))))</f>
        <v>0</v>
      </c>
      <c r="AD73" s="468"/>
      <c r="AE73" s="342"/>
      <c r="AF73" s="342"/>
      <c r="AG73" s="342"/>
      <c r="AH73" s="342"/>
      <c r="AI73" s="342"/>
      <c r="AJ73" s="342"/>
      <c r="AK73" s="342"/>
      <c r="AL73" s="342"/>
      <c r="AM73" s="342"/>
      <c r="AN73" s="342"/>
      <c r="AO73" s="342"/>
      <c r="AP73" s="342"/>
      <c r="AQ73" s="342"/>
      <c r="AR73" s="342"/>
      <c r="AS73" s="342"/>
      <c r="AT73" s="342"/>
      <c r="AU73" s="342"/>
      <c r="AV73" s="342"/>
      <c r="AW73" s="342"/>
      <c r="AX73" s="342"/>
      <c r="AY73" s="342"/>
      <c r="AZ73" s="342"/>
      <c r="BA73" s="342"/>
      <c r="BB73" s="342"/>
      <c r="BC73" s="342"/>
      <c r="BD73" s="342"/>
      <c r="BE73" s="342"/>
      <c r="BF73" s="342"/>
      <c r="BG73" s="342"/>
      <c r="BH73" s="342"/>
      <c r="BI73" s="342"/>
      <c r="BJ73" s="342"/>
      <c r="BK73" s="342"/>
      <c r="BL73" s="342"/>
    </row>
    <row r="74" spans="1:64" ht="23" x14ac:dyDescent="0.25">
      <c r="A74" s="217" t="str" cm="1">
        <f t="array" ref="A74">IFERROR(INDEX(_xlfn.ANCHORARRAY($Q$6),ROW()-5,1),"")</f>
        <v/>
      </c>
      <c r="B74" s="288" t="str" cm="1">
        <f t="array" ref="B74">IFERROR(INDEX(_xlfn.ANCHORARRAY($Q$6),ROW()-5,2),"")</f>
        <v/>
      </c>
      <c r="C74" s="289" t="str" cm="1">
        <f t="array" ref="C74">IFERROR(INDEX(_xlfn.ANCHORARRAY($Q$6),ROW()-5,3),"")</f>
        <v/>
      </c>
      <c r="D74" s="218" t="str">
        <f>IF($A74="","",IF($K74="DIESEL",SUMIFS(Table1[Quantity],Table1[Customer],$B74,Table1[Date],$A74,Table1[Bill No.],$C74),IF($K74="PETROL",SUMIFS(Table14[Quantity],Table14[Customer],$B74,Table14[Date],$A74,Table14[Bill No.],$C74),IF($K74="XtraGreen",SUMIFS(Table146[Quantity],Table146[Company],$B74,Table146[Date],$A74,Table146[Bill No.],$C74),""))))</f>
        <v/>
      </c>
      <c r="E74" s="219" t="str">
        <f>IF($A74="","",IF($K74="DIESEL",AVERAGEIFS(Table1[RSP],Table1[Customer],$B74,Table1[Date],$A74,Table1[Bill No.],$C74),IF($K74="PETROL",AVERAGEIFS(Table14[RSP],Table14[Customer],$B74,Table14[Date],$A74,Table14[Bill No.],$C74),IF($K74="XtraGreen",AVERAGEIFS(Table146[RSP],Table146[Company],$B74,Table146[Date],$A74,Table146[Bill No.],$C74),IFERROR($F74/$D74,"")))))</f>
        <v/>
      </c>
      <c r="F74" s="330" t="str">
        <f>IF($A74="","",IF($K74="DIESEL",SUMIFS(Table1[Amount],Table1[Customer],$B74,Table1[Date],$A74,Table1[Bill No.],$C74),IF($K74="PETROL",SUMIFS(Table14[Amount],Table14[Customer],$B74,Table14[Date],$A74,Table14[Bill No.],$C74),IF($K74="XtraGreen",SUMIFS(Table146[Amount],Table146[Company],$B74,Table146[Date],$A74,Table146[Bill No.],$C74),SUMIFS('Other Sale'!$D:$D,'Other Sale'!$E:$E,$B74,'Other Sale'!$C:$C,$K74,'Other Sale'!$A:$A,$A74)))))</f>
        <v/>
      </c>
      <c r="G74" s="330" t="str" cm="1">
        <f t="array" ref="G74">IF($A74="","",IF($K74="Payment",IFERROR(INDEX(_xlfn._xlws.FILTER(MasterPaid[Amount Paid],(MasterPaid[Customer]=$B74)*(MasterPaid[Date]=$A74)),COUNTIFS($A$6:$A74,$A74,$B$6:$B74,$B74,$K$6:$K74,"Payment")),0),0))</f>
        <v/>
      </c>
      <c r="H74" s="331"/>
      <c r="I74" s="331"/>
      <c r="J74" s="330" t="str">
        <f t="shared" si="1"/>
        <v/>
      </c>
      <c r="K74" s="289" t="str" cm="1">
        <f t="array" ref="K74">IFERROR(INDEX(_xlfn.ANCHORARRAY($Q$6),ROW()-5,4),"")</f>
        <v/>
      </c>
      <c r="L74" s="290"/>
      <c r="U74">
        <f>IF(OR($A74="",$F74=""),0,MAX(0,MIN($F74,SUMIFS($F$6:$F74,$B$6:$B74,$B74)-(SUMIFS($G$6:$G$355,$B$6:$B$355,$B74)+SUMIFS($H$6:$H$355,$B$6:$B$355,$B74)+SUMIFS($I$6:$I$355,$B$6:$B$355,$B74)))))</f>
        <v>0</v>
      </c>
      <c r="AD74" s="468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</row>
    <row r="75" spans="1:64" ht="23" x14ac:dyDescent="0.25">
      <c r="A75" s="217" t="str" cm="1">
        <f t="array" ref="A75">IFERROR(INDEX(_xlfn.ANCHORARRAY($Q$6),ROW()-5,1),"")</f>
        <v/>
      </c>
      <c r="B75" s="288" t="str" cm="1">
        <f t="array" ref="B75">IFERROR(INDEX(_xlfn.ANCHORARRAY($Q$6),ROW()-5,2),"")</f>
        <v/>
      </c>
      <c r="C75" s="289" t="str" cm="1">
        <f t="array" ref="C75">IFERROR(INDEX(_xlfn.ANCHORARRAY($Q$6),ROW()-5,3),"")</f>
        <v/>
      </c>
      <c r="D75" s="218" t="str">
        <f>IF($A75="","",IF($K75="DIESEL",SUMIFS(Table1[Quantity],Table1[Customer],$B75,Table1[Date],$A75,Table1[Bill No.],$C75),IF($K75="PETROL",SUMIFS(Table14[Quantity],Table14[Customer],$B75,Table14[Date],$A75,Table14[Bill No.],$C75),IF($K75="XtraGreen",SUMIFS(Table146[Quantity],Table146[Company],$B75,Table146[Date],$A75,Table146[Bill No.],$C75),""))))</f>
        <v/>
      </c>
      <c r="E75" s="219" t="str">
        <f>IF($A75="","",IF($K75="DIESEL",AVERAGEIFS(Table1[RSP],Table1[Customer],$B75,Table1[Date],$A75,Table1[Bill No.],$C75),IF($K75="PETROL",AVERAGEIFS(Table14[RSP],Table14[Customer],$B75,Table14[Date],$A75,Table14[Bill No.],$C75),IF($K75="XtraGreen",AVERAGEIFS(Table146[RSP],Table146[Company],$B75,Table146[Date],$A75,Table146[Bill No.],$C75),IFERROR($F75/$D75,"")))))</f>
        <v/>
      </c>
      <c r="F75" s="330" t="str">
        <f>IF($A75="","",IF($K75="DIESEL",SUMIFS(Table1[Amount],Table1[Customer],$B75,Table1[Date],$A75,Table1[Bill No.],$C75),IF($K75="PETROL",SUMIFS(Table14[Amount],Table14[Customer],$B75,Table14[Date],$A75,Table14[Bill No.],$C75),IF($K75="XtraGreen",SUMIFS(Table146[Amount],Table146[Company],$B75,Table146[Date],$A75,Table146[Bill No.],$C75),SUMIFS('Other Sale'!$D:$D,'Other Sale'!$E:$E,$B75,'Other Sale'!$C:$C,$K75,'Other Sale'!$A:$A,$A75)))))</f>
        <v/>
      </c>
      <c r="G75" s="330" t="str" cm="1">
        <f t="array" ref="G75">IF($A75="","",IF($K75="Payment",IFERROR(INDEX(_xlfn._xlws.FILTER(MasterPaid[Amount Paid],(MasterPaid[Customer]=$B75)*(MasterPaid[Date]=$A75)),COUNTIFS($A$6:$A75,$A75,$B$6:$B75,$B75,$K$6:$K75,"Payment")),0),0))</f>
        <v/>
      </c>
      <c r="H75" s="331"/>
      <c r="I75" s="331"/>
      <c r="J75" s="330" t="str">
        <f t="shared" si="1"/>
        <v/>
      </c>
      <c r="K75" s="289" t="str" cm="1">
        <f t="array" ref="K75">IFERROR(INDEX(_xlfn.ANCHORARRAY($Q$6),ROW()-5,4),"")</f>
        <v/>
      </c>
      <c r="L75" s="290"/>
      <c r="U75">
        <f>IF(OR($A75="",$F75=""),0,MAX(0,MIN($F75,SUMIFS($F$6:$F75,$B$6:$B75,$B75)-(SUMIFS($G$6:$G$355,$B$6:$B$355,$B75)+SUMIFS($H$6:$H$355,$B$6:$B$355,$B75)+SUMIFS($I$6:$I$355,$B$6:$B$355,$B75)))))</f>
        <v>0</v>
      </c>
      <c r="AD75" s="468"/>
      <c r="AE75" s="342"/>
      <c r="AF75" s="342"/>
      <c r="AG75" s="342"/>
      <c r="AH75" s="342"/>
      <c r="AI75" s="342"/>
      <c r="AJ75" s="342"/>
      <c r="AK75" s="342"/>
      <c r="AL75" s="342"/>
      <c r="AM75" s="342"/>
      <c r="AN75" s="342"/>
      <c r="AO75" s="342"/>
      <c r="AP75" s="342"/>
      <c r="AQ75" s="342"/>
      <c r="AR75" s="342"/>
      <c r="AS75" s="342"/>
      <c r="AT75" s="342"/>
      <c r="AU75" s="342"/>
      <c r="AV75" s="342"/>
      <c r="AW75" s="342"/>
      <c r="AX75" s="342"/>
      <c r="AY75" s="342"/>
      <c r="AZ75" s="342"/>
      <c r="BA75" s="342"/>
      <c r="BB75" s="342"/>
      <c r="BC75" s="342"/>
      <c r="BD75" s="342"/>
      <c r="BE75" s="342"/>
      <c r="BF75" s="342"/>
      <c r="BG75" s="342"/>
      <c r="BH75" s="342"/>
      <c r="BI75" s="342"/>
      <c r="BJ75" s="342"/>
      <c r="BK75" s="342"/>
      <c r="BL75" s="342"/>
    </row>
    <row r="76" spans="1:64" ht="23" x14ac:dyDescent="0.25">
      <c r="A76" s="217" t="str" cm="1">
        <f t="array" ref="A76">IFERROR(INDEX(_xlfn.ANCHORARRAY($Q$6),ROW()-5,1),"")</f>
        <v/>
      </c>
      <c r="B76" s="288" t="str" cm="1">
        <f t="array" ref="B76">IFERROR(INDEX(_xlfn.ANCHORARRAY($Q$6),ROW()-5,2),"")</f>
        <v/>
      </c>
      <c r="C76" s="289" t="str" cm="1">
        <f t="array" ref="C76">IFERROR(INDEX(_xlfn.ANCHORARRAY($Q$6),ROW()-5,3),"")</f>
        <v/>
      </c>
      <c r="D76" s="218" t="str">
        <f>IF($A76="","",IF($K76="DIESEL",SUMIFS(Table1[Quantity],Table1[Customer],$B76,Table1[Date],$A76,Table1[Bill No.],$C76),IF($K76="PETROL",SUMIFS(Table14[Quantity],Table14[Customer],$B76,Table14[Date],$A76,Table14[Bill No.],$C76),IF($K76="XtraGreen",SUMIFS(Table146[Quantity],Table146[Company],$B76,Table146[Date],$A76,Table146[Bill No.],$C76),""))))</f>
        <v/>
      </c>
      <c r="E76" s="219" t="str">
        <f>IF($A76="","",IF($K76="DIESEL",AVERAGEIFS(Table1[RSP],Table1[Customer],$B76,Table1[Date],$A76,Table1[Bill No.],$C76),IF($K76="PETROL",AVERAGEIFS(Table14[RSP],Table14[Customer],$B76,Table14[Date],$A76,Table14[Bill No.],$C76),IF($K76="XtraGreen",AVERAGEIFS(Table146[RSP],Table146[Company],$B76,Table146[Date],$A76,Table146[Bill No.],$C76),IFERROR($F76/$D76,"")))))</f>
        <v/>
      </c>
      <c r="F76" s="330" t="str">
        <f>IF($A76="","",IF($K76="DIESEL",SUMIFS(Table1[Amount],Table1[Customer],$B76,Table1[Date],$A76,Table1[Bill No.],$C76),IF($K76="PETROL",SUMIFS(Table14[Amount],Table14[Customer],$B76,Table14[Date],$A76,Table14[Bill No.],$C76),IF($K76="XtraGreen",SUMIFS(Table146[Amount],Table146[Company],$B76,Table146[Date],$A76,Table146[Bill No.],$C76),SUMIFS('Other Sale'!$D:$D,'Other Sale'!$E:$E,$B76,'Other Sale'!$C:$C,$K76,'Other Sale'!$A:$A,$A76)))))</f>
        <v/>
      </c>
      <c r="G76" s="330" t="str" cm="1">
        <f t="array" ref="G76">IF($A76="","",IF($K76="Payment",IFERROR(INDEX(_xlfn._xlws.FILTER(MasterPaid[Amount Paid],(MasterPaid[Customer]=$B76)*(MasterPaid[Date]=$A76)),COUNTIFS($A$6:$A76,$A76,$B$6:$B76,$B76,$K$6:$K76,"Payment")),0),0))</f>
        <v/>
      </c>
      <c r="H76" s="331"/>
      <c r="I76" s="331"/>
      <c r="J76" s="330" t="str">
        <f t="shared" si="1"/>
        <v/>
      </c>
      <c r="K76" s="289" t="str" cm="1">
        <f t="array" ref="K76">IFERROR(INDEX(_xlfn.ANCHORARRAY($Q$6),ROW()-5,4),"")</f>
        <v/>
      </c>
      <c r="L76" s="290"/>
      <c r="U76">
        <f>IF(OR($A76="",$F76=""),0,MAX(0,MIN($F76,SUMIFS($F$6:$F76,$B$6:$B76,$B76)-(SUMIFS($G$6:$G$355,$B$6:$B$355,$B76)+SUMIFS($H$6:$H$355,$B$6:$B$355,$B76)+SUMIFS($I$6:$I$355,$B$6:$B$355,$B76)))))</f>
        <v>0</v>
      </c>
      <c r="AD76" s="468"/>
      <c r="AE76" s="342"/>
      <c r="AF76" s="342"/>
      <c r="AG76" s="342"/>
      <c r="AH76" s="342"/>
      <c r="AI76" s="342"/>
      <c r="AJ76" s="342"/>
      <c r="AK76" s="342"/>
      <c r="AL76" s="342"/>
      <c r="AM76" s="342"/>
      <c r="AN76" s="342"/>
      <c r="AO76" s="342"/>
      <c r="AP76" s="342"/>
      <c r="AQ76" s="342"/>
      <c r="AR76" s="342"/>
      <c r="AS76" s="342"/>
      <c r="AT76" s="342"/>
      <c r="AU76" s="342"/>
      <c r="AV76" s="342"/>
      <c r="AW76" s="342"/>
      <c r="AX76" s="342"/>
      <c r="AY76" s="342"/>
      <c r="AZ76" s="342"/>
      <c r="BA76" s="342"/>
      <c r="BB76" s="342"/>
      <c r="BC76" s="342"/>
      <c r="BD76" s="342"/>
      <c r="BE76" s="342"/>
      <c r="BF76" s="342"/>
      <c r="BG76" s="342"/>
      <c r="BH76" s="342"/>
      <c r="BI76" s="342"/>
      <c r="BJ76" s="342"/>
      <c r="BK76" s="342"/>
      <c r="BL76" s="342"/>
    </row>
    <row r="77" spans="1:64" ht="23" x14ac:dyDescent="0.25">
      <c r="A77" s="217" t="str" cm="1">
        <f t="array" ref="A77">IFERROR(INDEX(_xlfn.ANCHORARRAY($Q$6),ROW()-5,1),"")</f>
        <v/>
      </c>
      <c r="B77" s="288" t="str" cm="1">
        <f t="array" ref="B77">IFERROR(INDEX(_xlfn.ANCHORARRAY($Q$6),ROW()-5,2),"")</f>
        <v/>
      </c>
      <c r="C77" s="289" t="str" cm="1">
        <f t="array" ref="C77">IFERROR(INDEX(_xlfn.ANCHORARRAY($Q$6),ROW()-5,3),"")</f>
        <v/>
      </c>
      <c r="D77" s="218" t="str">
        <f>IF($A77="","",IF($K77="DIESEL",SUMIFS(Table1[Quantity],Table1[Customer],$B77,Table1[Date],$A77,Table1[Bill No.],$C77),IF($K77="PETROL",SUMIFS(Table14[Quantity],Table14[Customer],$B77,Table14[Date],$A77,Table14[Bill No.],$C77),IF($K77="XtraGreen",SUMIFS(Table146[Quantity],Table146[Company],$B77,Table146[Date],$A77,Table146[Bill No.],$C77),""))))</f>
        <v/>
      </c>
      <c r="E77" s="219" t="str">
        <f>IF($A77="","",IF($K77="DIESEL",AVERAGEIFS(Table1[RSP],Table1[Customer],$B77,Table1[Date],$A77,Table1[Bill No.],$C77),IF($K77="PETROL",AVERAGEIFS(Table14[RSP],Table14[Customer],$B77,Table14[Date],$A77,Table14[Bill No.],$C77),IF($K77="XtraGreen",AVERAGEIFS(Table146[RSP],Table146[Company],$B77,Table146[Date],$A77,Table146[Bill No.],$C77),IFERROR($F77/$D77,"")))))</f>
        <v/>
      </c>
      <c r="F77" s="330" t="str">
        <f>IF($A77="","",IF($K77="DIESEL",SUMIFS(Table1[Amount],Table1[Customer],$B77,Table1[Date],$A77,Table1[Bill No.],$C77),IF($K77="PETROL",SUMIFS(Table14[Amount],Table14[Customer],$B77,Table14[Date],$A77,Table14[Bill No.],$C77),IF($K77="XtraGreen",SUMIFS(Table146[Amount],Table146[Company],$B77,Table146[Date],$A77,Table146[Bill No.],$C77),SUMIFS('Other Sale'!$D:$D,'Other Sale'!$E:$E,$B77,'Other Sale'!$C:$C,$K77,'Other Sale'!$A:$A,$A77)))))</f>
        <v/>
      </c>
      <c r="G77" s="330" t="str" cm="1">
        <f t="array" ref="G77">IF($A77="","",IF($K77="Payment",IFERROR(INDEX(_xlfn._xlws.FILTER(MasterPaid[Amount Paid],(MasterPaid[Customer]=$B77)*(MasterPaid[Date]=$A77)),COUNTIFS($A$6:$A77,$A77,$B$6:$B77,$B77,$K$6:$K77,"Payment")),0),0))</f>
        <v/>
      </c>
      <c r="H77" s="331"/>
      <c r="I77" s="331"/>
      <c r="J77" s="330" t="str">
        <f t="shared" si="1"/>
        <v/>
      </c>
      <c r="K77" s="289" t="str" cm="1">
        <f t="array" ref="K77">IFERROR(INDEX(_xlfn.ANCHORARRAY($Q$6),ROW()-5,4),"")</f>
        <v/>
      </c>
      <c r="L77" s="290"/>
      <c r="U77">
        <f>IF(OR($A77="",$F77=""),0,MAX(0,MIN($F77,SUMIFS($F$6:$F77,$B$6:$B77,$B77)-(SUMIFS($G$6:$G$355,$B$6:$B$355,$B77)+SUMIFS($H$6:$H$355,$B$6:$B$355,$B77)+SUMIFS($I$6:$I$355,$B$6:$B$355,$B77)))))</f>
        <v>0</v>
      </c>
      <c r="AD77" s="468"/>
      <c r="AE77" s="342"/>
      <c r="AF77" s="342"/>
      <c r="AG77" s="342"/>
      <c r="AH77" s="342"/>
      <c r="AI77" s="342"/>
      <c r="AJ77" s="342"/>
      <c r="AK77" s="342"/>
      <c r="AL77" s="342"/>
      <c r="AM77" s="342"/>
      <c r="AN77" s="342"/>
      <c r="AO77" s="342"/>
      <c r="AP77" s="342"/>
      <c r="AQ77" s="342"/>
      <c r="AR77" s="342"/>
      <c r="AS77" s="342"/>
      <c r="AT77" s="342"/>
      <c r="AU77" s="342"/>
      <c r="AV77" s="342"/>
      <c r="AW77" s="342"/>
      <c r="AX77" s="342"/>
      <c r="AY77" s="342"/>
      <c r="AZ77" s="342"/>
      <c r="BA77" s="342"/>
      <c r="BB77" s="342"/>
      <c r="BC77" s="342"/>
      <c r="BD77" s="342"/>
      <c r="BE77" s="342"/>
      <c r="BF77" s="342"/>
      <c r="BG77" s="342"/>
      <c r="BH77" s="342"/>
      <c r="BI77" s="342"/>
      <c r="BJ77" s="342"/>
      <c r="BK77" s="342"/>
      <c r="BL77" s="342"/>
    </row>
    <row r="78" spans="1:64" ht="23" x14ac:dyDescent="0.25">
      <c r="A78" s="217" t="str" cm="1">
        <f t="array" ref="A78">IFERROR(INDEX(_xlfn.ANCHORARRAY($Q$6),ROW()-5,1),"")</f>
        <v/>
      </c>
      <c r="B78" s="288" t="str" cm="1">
        <f t="array" ref="B78">IFERROR(INDEX(_xlfn.ANCHORARRAY($Q$6),ROW()-5,2),"")</f>
        <v/>
      </c>
      <c r="C78" s="289" t="str" cm="1">
        <f t="array" ref="C78">IFERROR(INDEX(_xlfn.ANCHORARRAY($Q$6),ROW()-5,3),"")</f>
        <v/>
      </c>
      <c r="D78" s="218" t="str">
        <f>IF($A78="","",IF($K78="DIESEL",SUMIFS(Table1[Quantity],Table1[Customer],$B78,Table1[Date],$A78,Table1[Bill No.],$C78),IF($K78="PETROL",SUMIFS(Table14[Quantity],Table14[Customer],$B78,Table14[Date],$A78,Table14[Bill No.],$C78),IF($K78="XtraGreen",SUMIFS(Table146[Quantity],Table146[Company],$B78,Table146[Date],$A78,Table146[Bill No.],$C78),""))))</f>
        <v/>
      </c>
      <c r="E78" s="219" t="str">
        <f>IF($A78="","",IF($K78="DIESEL",AVERAGEIFS(Table1[RSP],Table1[Customer],$B78,Table1[Date],$A78,Table1[Bill No.],$C78),IF($K78="PETROL",AVERAGEIFS(Table14[RSP],Table14[Customer],$B78,Table14[Date],$A78,Table14[Bill No.],$C78),IF($K78="XtraGreen",AVERAGEIFS(Table146[RSP],Table146[Company],$B78,Table146[Date],$A78,Table146[Bill No.],$C78),IFERROR($F78/$D78,"")))))</f>
        <v/>
      </c>
      <c r="F78" s="330" t="str">
        <f>IF($A78="","",IF($K78="DIESEL",SUMIFS(Table1[Amount],Table1[Customer],$B78,Table1[Date],$A78,Table1[Bill No.],$C78),IF($K78="PETROL",SUMIFS(Table14[Amount],Table14[Customer],$B78,Table14[Date],$A78,Table14[Bill No.],$C78),IF($K78="XtraGreen",SUMIFS(Table146[Amount],Table146[Company],$B78,Table146[Date],$A78,Table146[Bill No.],$C78),SUMIFS('Other Sale'!$D:$D,'Other Sale'!$E:$E,$B78,'Other Sale'!$C:$C,$K78,'Other Sale'!$A:$A,$A78)))))</f>
        <v/>
      </c>
      <c r="G78" s="330" t="str" cm="1">
        <f t="array" ref="G78">IF($A78="","",IF($K78="Payment",IFERROR(INDEX(_xlfn._xlws.FILTER(MasterPaid[Amount Paid],(MasterPaid[Customer]=$B78)*(MasterPaid[Date]=$A78)),COUNTIFS($A$6:$A78,$A78,$B$6:$B78,$B78,$K$6:$K78,"Payment")),0),0))</f>
        <v/>
      </c>
      <c r="H78" s="331"/>
      <c r="I78" s="331"/>
      <c r="J78" s="330" t="str">
        <f t="shared" si="1"/>
        <v/>
      </c>
      <c r="K78" s="289" t="str" cm="1">
        <f t="array" ref="K78">IFERROR(INDEX(_xlfn.ANCHORARRAY($Q$6),ROW()-5,4),"")</f>
        <v/>
      </c>
      <c r="L78" s="290"/>
      <c r="U78">
        <f>IF(OR($A78="",$F78=""),0,MAX(0,MIN($F78,SUMIFS($F$6:$F78,$B$6:$B78,$B78)-(SUMIFS($G$6:$G$355,$B$6:$B$355,$B78)+SUMIFS($H$6:$H$355,$B$6:$B$355,$B78)+SUMIFS($I$6:$I$355,$B$6:$B$355,$B78)))))</f>
        <v>0</v>
      </c>
      <c r="AD78" s="468"/>
      <c r="AE78" s="342"/>
      <c r="AF78" s="342"/>
      <c r="AG78" s="342"/>
      <c r="AH78" s="342"/>
      <c r="AI78" s="342"/>
      <c r="AJ78" s="342"/>
      <c r="AK78" s="342"/>
      <c r="AL78" s="342"/>
      <c r="AM78" s="342"/>
      <c r="AN78" s="342"/>
      <c r="AO78" s="342"/>
      <c r="AP78" s="342"/>
      <c r="AQ78" s="342"/>
      <c r="AR78" s="342"/>
      <c r="AS78" s="342"/>
      <c r="AT78" s="342"/>
      <c r="AU78" s="342"/>
      <c r="AV78" s="342"/>
      <c r="AW78" s="342"/>
      <c r="AX78" s="342"/>
      <c r="AY78" s="342"/>
      <c r="AZ78" s="342"/>
      <c r="BA78" s="342"/>
      <c r="BB78" s="342"/>
      <c r="BC78" s="342"/>
      <c r="BD78" s="342"/>
      <c r="BE78" s="342"/>
      <c r="BF78" s="342"/>
      <c r="BG78" s="342"/>
      <c r="BH78" s="342"/>
      <c r="BI78" s="342"/>
      <c r="BJ78" s="342"/>
      <c r="BK78" s="342"/>
      <c r="BL78" s="342"/>
    </row>
    <row r="79" spans="1:64" ht="23" x14ac:dyDescent="0.25">
      <c r="A79" s="217" t="str" cm="1">
        <f t="array" ref="A79">IFERROR(INDEX(_xlfn.ANCHORARRAY($Q$6),ROW()-5,1),"")</f>
        <v/>
      </c>
      <c r="B79" s="288" t="str" cm="1">
        <f t="array" ref="B79">IFERROR(INDEX(_xlfn.ANCHORARRAY($Q$6),ROW()-5,2),"")</f>
        <v/>
      </c>
      <c r="C79" s="289" t="str" cm="1">
        <f t="array" ref="C79">IFERROR(INDEX(_xlfn.ANCHORARRAY($Q$6),ROW()-5,3),"")</f>
        <v/>
      </c>
      <c r="D79" s="218" t="str">
        <f>IF($A79="","",IF($K79="DIESEL",SUMIFS(Table1[Quantity],Table1[Customer],$B79,Table1[Date],$A79,Table1[Bill No.],$C79),IF($K79="PETROL",SUMIFS(Table14[Quantity],Table14[Customer],$B79,Table14[Date],$A79,Table14[Bill No.],$C79),IF($K79="XtraGreen",SUMIFS(Table146[Quantity],Table146[Company],$B79,Table146[Date],$A79,Table146[Bill No.],$C79),""))))</f>
        <v/>
      </c>
      <c r="E79" s="219" t="str">
        <f>IF($A79="","",IF($K79="DIESEL",AVERAGEIFS(Table1[RSP],Table1[Customer],$B79,Table1[Date],$A79,Table1[Bill No.],$C79),IF($K79="PETROL",AVERAGEIFS(Table14[RSP],Table14[Customer],$B79,Table14[Date],$A79,Table14[Bill No.],$C79),IF($K79="XtraGreen",AVERAGEIFS(Table146[RSP],Table146[Company],$B79,Table146[Date],$A79,Table146[Bill No.],$C79),IFERROR($F79/$D79,"")))))</f>
        <v/>
      </c>
      <c r="F79" s="330" t="str">
        <f>IF($A79="","",IF($K79="DIESEL",SUMIFS(Table1[Amount],Table1[Customer],$B79,Table1[Date],$A79,Table1[Bill No.],$C79),IF($K79="PETROL",SUMIFS(Table14[Amount],Table14[Customer],$B79,Table14[Date],$A79,Table14[Bill No.],$C79),IF($K79="XtraGreen",SUMIFS(Table146[Amount],Table146[Company],$B79,Table146[Date],$A79,Table146[Bill No.],$C79),SUMIFS('Other Sale'!$D:$D,'Other Sale'!$E:$E,$B79,'Other Sale'!$C:$C,$K79,'Other Sale'!$A:$A,$A79)))))</f>
        <v/>
      </c>
      <c r="G79" s="330" t="str" cm="1">
        <f t="array" ref="G79">IF($A79="","",IF($K79="Payment",IFERROR(INDEX(_xlfn._xlws.FILTER(MasterPaid[Amount Paid],(MasterPaid[Customer]=$B79)*(MasterPaid[Date]=$A79)),COUNTIFS($A$6:$A79,$A79,$B$6:$B79,$B79,$K$6:$K79,"Payment")),0),0))</f>
        <v/>
      </c>
      <c r="H79" s="331"/>
      <c r="I79" s="331"/>
      <c r="J79" s="330" t="str">
        <f t="shared" si="1"/>
        <v/>
      </c>
      <c r="K79" s="289" t="str" cm="1">
        <f t="array" ref="K79">IFERROR(INDEX(_xlfn.ANCHORARRAY($Q$6),ROW()-5,4),"")</f>
        <v/>
      </c>
      <c r="L79" s="290"/>
      <c r="U79">
        <f>IF(OR($A79="",$F79=""),0,MAX(0,MIN($F79,SUMIFS($F$6:$F79,$B$6:$B79,$B79)-(SUMIFS($G$6:$G$355,$B$6:$B$355,$B79)+SUMIFS($H$6:$H$355,$B$6:$B$355,$B79)+SUMIFS($I$6:$I$355,$B$6:$B$355,$B79)))))</f>
        <v>0</v>
      </c>
      <c r="AD79" s="468"/>
      <c r="AE79" s="342"/>
      <c r="AF79" s="342"/>
      <c r="AG79" s="342"/>
      <c r="AH79" s="342"/>
      <c r="AI79" s="342"/>
      <c r="AJ79" s="342"/>
      <c r="AK79" s="342"/>
      <c r="AL79" s="342"/>
      <c r="AM79" s="342"/>
      <c r="AN79" s="342"/>
      <c r="AO79" s="342"/>
      <c r="AP79" s="342"/>
      <c r="AQ79" s="342"/>
      <c r="AR79" s="342"/>
      <c r="AS79" s="342"/>
      <c r="AT79" s="342"/>
      <c r="AU79" s="342"/>
      <c r="AV79" s="342"/>
      <c r="AW79" s="342"/>
      <c r="AX79" s="342"/>
      <c r="AY79" s="342"/>
      <c r="AZ79" s="342"/>
      <c r="BA79" s="342"/>
      <c r="BB79" s="342"/>
      <c r="BC79" s="342"/>
      <c r="BD79" s="342"/>
      <c r="BE79" s="342"/>
      <c r="BF79" s="342"/>
      <c r="BG79" s="342"/>
      <c r="BH79" s="342"/>
      <c r="BI79" s="342"/>
      <c r="BJ79" s="342"/>
      <c r="BK79" s="342"/>
      <c r="BL79" s="342"/>
    </row>
    <row r="80" spans="1:64" ht="23" x14ac:dyDescent="0.25">
      <c r="A80" s="217" t="str" cm="1">
        <f t="array" ref="A80">IFERROR(INDEX(_xlfn.ANCHORARRAY($Q$6),ROW()-5,1),"")</f>
        <v/>
      </c>
      <c r="B80" s="288" t="str" cm="1">
        <f t="array" ref="B80">IFERROR(INDEX(_xlfn.ANCHORARRAY($Q$6),ROW()-5,2),"")</f>
        <v/>
      </c>
      <c r="C80" s="289" t="str" cm="1">
        <f t="array" ref="C80">IFERROR(INDEX(_xlfn.ANCHORARRAY($Q$6),ROW()-5,3),"")</f>
        <v/>
      </c>
      <c r="D80" s="218" t="str">
        <f>IF($A80="","",IF($K80="DIESEL",SUMIFS(Table1[Quantity],Table1[Customer],$B80,Table1[Date],$A80,Table1[Bill No.],$C80),IF($K80="PETROL",SUMIFS(Table14[Quantity],Table14[Customer],$B80,Table14[Date],$A80,Table14[Bill No.],$C80),IF($K80="XtraGreen",SUMIFS(Table146[Quantity],Table146[Company],$B80,Table146[Date],$A80,Table146[Bill No.],$C80),""))))</f>
        <v/>
      </c>
      <c r="E80" s="219" t="str">
        <f>IF($A80="","",IF($K80="DIESEL",AVERAGEIFS(Table1[RSP],Table1[Customer],$B80,Table1[Date],$A80,Table1[Bill No.],$C80),IF($K80="PETROL",AVERAGEIFS(Table14[RSP],Table14[Customer],$B80,Table14[Date],$A80,Table14[Bill No.],$C80),IF($K80="XtraGreen",AVERAGEIFS(Table146[RSP],Table146[Company],$B80,Table146[Date],$A80,Table146[Bill No.],$C80),IFERROR($F80/$D80,"")))))</f>
        <v/>
      </c>
      <c r="F80" s="330" t="str">
        <f>IF($A80="","",IF($K80="DIESEL",SUMIFS(Table1[Amount],Table1[Customer],$B80,Table1[Date],$A80,Table1[Bill No.],$C80),IF($K80="PETROL",SUMIFS(Table14[Amount],Table14[Customer],$B80,Table14[Date],$A80,Table14[Bill No.],$C80),IF($K80="XtraGreen",SUMIFS(Table146[Amount],Table146[Company],$B80,Table146[Date],$A80,Table146[Bill No.],$C80),SUMIFS('Other Sale'!$D:$D,'Other Sale'!$E:$E,$B80,'Other Sale'!$C:$C,$K80,'Other Sale'!$A:$A,$A80)))))</f>
        <v/>
      </c>
      <c r="G80" s="330" t="str" cm="1">
        <f t="array" ref="G80">IF($A80="","",IF($K80="Payment",IFERROR(INDEX(_xlfn._xlws.FILTER(MasterPaid[Amount Paid],(MasterPaid[Customer]=$B80)*(MasterPaid[Date]=$A80)),COUNTIFS($A$6:$A80,$A80,$B$6:$B80,$B80,$K$6:$K80,"Payment")),0),0))</f>
        <v/>
      </c>
      <c r="H80" s="331"/>
      <c r="I80" s="331"/>
      <c r="J80" s="330" t="str">
        <f t="shared" si="1"/>
        <v/>
      </c>
      <c r="K80" s="289" t="str" cm="1">
        <f t="array" ref="K80">IFERROR(INDEX(_xlfn.ANCHORARRAY($Q$6),ROW()-5,4),"")</f>
        <v/>
      </c>
      <c r="L80" s="290"/>
      <c r="U80">
        <f>IF(OR($A80="",$F80=""),0,MAX(0,MIN($F80,SUMIFS($F$6:$F80,$B$6:$B80,$B80)-(SUMIFS($G$6:$G$355,$B$6:$B$355,$B80)+SUMIFS($H$6:$H$355,$B$6:$B$355,$B80)+SUMIFS($I$6:$I$355,$B$6:$B$355,$B80)))))</f>
        <v>0</v>
      </c>
      <c r="AD80" s="468"/>
      <c r="AE80" s="342"/>
      <c r="AF80" s="342"/>
      <c r="AG80" s="342"/>
      <c r="AH80" s="342"/>
      <c r="AI80" s="342"/>
      <c r="AJ80" s="342"/>
      <c r="AK80" s="342"/>
      <c r="AL80" s="342"/>
      <c r="AM80" s="342"/>
      <c r="AN80" s="342"/>
      <c r="AO80" s="342"/>
      <c r="AP80" s="342"/>
      <c r="AQ80" s="342"/>
      <c r="AR80" s="342"/>
      <c r="AS80" s="342"/>
      <c r="AT80" s="342"/>
      <c r="AU80" s="342"/>
      <c r="AV80" s="342"/>
      <c r="AW80" s="342"/>
      <c r="AX80" s="342"/>
      <c r="AY80" s="342"/>
      <c r="AZ80" s="342"/>
      <c r="BA80" s="342"/>
      <c r="BB80" s="342"/>
      <c r="BC80" s="342"/>
      <c r="BD80" s="342"/>
      <c r="BE80" s="342"/>
      <c r="BF80" s="342"/>
      <c r="BG80" s="342"/>
      <c r="BH80" s="342"/>
      <c r="BI80" s="342"/>
      <c r="BJ80" s="342"/>
      <c r="BK80" s="342"/>
      <c r="BL80" s="342"/>
    </row>
    <row r="81" spans="1:64" ht="23" x14ac:dyDescent="0.25">
      <c r="A81" s="217" t="str" cm="1">
        <f t="array" ref="A81">IFERROR(INDEX(_xlfn.ANCHORARRAY($Q$6),ROW()-5,1),"")</f>
        <v/>
      </c>
      <c r="B81" s="288" t="str" cm="1">
        <f t="array" ref="B81">IFERROR(INDEX(_xlfn.ANCHORARRAY($Q$6),ROW()-5,2),"")</f>
        <v/>
      </c>
      <c r="C81" s="289" t="str" cm="1">
        <f t="array" ref="C81">IFERROR(INDEX(_xlfn.ANCHORARRAY($Q$6),ROW()-5,3),"")</f>
        <v/>
      </c>
      <c r="D81" s="218" t="str">
        <f>IF($A81="","",IF($K81="DIESEL",SUMIFS(Table1[Quantity],Table1[Customer],$B81,Table1[Date],$A81,Table1[Bill No.],$C81),IF($K81="PETROL",SUMIFS(Table14[Quantity],Table14[Customer],$B81,Table14[Date],$A81,Table14[Bill No.],$C81),IF($K81="XtraGreen",SUMIFS(Table146[Quantity],Table146[Company],$B81,Table146[Date],$A81,Table146[Bill No.],$C81),""))))</f>
        <v/>
      </c>
      <c r="E81" s="219" t="str">
        <f>IF($A81="","",IF($K81="DIESEL",AVERAGEIFS(Table1[RSP],Table1[Customer],$B81,Table1[Date],$A81,Table1[Bill No.],$C81),IF($K81="PETROL",AVERAGEIFS(Table14[RSP],Table14[Customer],$B81,Table14[Date],$A81,Table14[Bill No.],$C81),IF($K81="XtraGreen",AVERAGEIFS(Table146[RSP],Table146[Company],$B81,Table146[Date],$A81,Table146[Bill No.],$C81),IFERROR($F81/$D81,"")))))</f>
        <v/>
      </c>
      <c r="F81" s="330" t="str">
        <f>IF($A81="","",IF($K81="DIESEL",SUMIFS(Table1[Amount],Table1[Customer],$B81,Table1[Date],$A81,Table1[Bill No.],$C81),IF($K81="PETROL",SUMIFS(Table14[Amount],Table14[Customer],$B81,Table14[Date],$A81,Table14[Bill No.],$C81),IF($K81="XtraGreen",SUMIFS(Table146[Amount],Table146[Company],$B81,Table146[Date],$A81,Table146[Bill No.],$C81),SUMIFS('Other Sale'!$D:$D,'Other Sale'!$E:$E,$B81,'Other Sale'!$C:$C,$K81,'Other Sale'!$A:$A,$A81)))))</f>
        <v/>
      </c>
      <c r="G81" s="330" t="str" cm="1">
        <f t="array" ref="G81">IF($A81="","",IF($K81="Payment",IFERROR(INDEX(_xlfn._xlws.FILTER(MasterPaid[Amount Paid],(MasterPaid[Customer]=$B81)*(MasterPaid[Date]=$A81)),COUNTIFS($A$6:$A81,$A81,$B$6:$B81,$B81,$K$6:$K81,"Payment")),0),0))</f>
        <v/>
      </c>
      <c r="H81" s="331"/>
      <c r="I81" s="331"/>
      <c r="J81" s="330" t="str">
        <f t="shared" si="1"/>
        <v/>
      </c>
      <c r="K81" s="289" t="str" cm="1">
        <f t="array" ref="K81">IFERROR(INDEX(_xlfn.ANCHORARRAY($Q$6),ROW()-5,4),"")</f>
        <v/>
      </c>
      <c r="L81" s="290"/>
      <c r="U81">
        <f>IF(OR($A81="",$F81=""),0,MAX(0,MIN($F81,SUMIFS($F$6:$F81,$B$6:$B81,$B81)-(SUMIFS($G$6:$G$355,$B$6:$B$355,$B81)+SUMIFS($H$6:$H$355,$B$6:$B$355,$B81)+SUMIFS($I$6:$I$355,$B$6:$B$355,$B81)))))</f>
        <v>0</v>
      </c>
      <c r="AD81" s="468"/>
      <c r="AE81" s="342"/>
      <c r="AF81" s="342"/>
      <c r="AG81" s="342"/>
      <c r="AH81" s="342"/>
      <c r="AI81" s="342"/>
      <c r="AJ81" s="342"/>
      <c r="AK81" s="342"/>
      <c r="AL81" s="342"/>
      <c r="AM81" s="342"/>
      <c r="AN81" s="342"/>
      <c r="AO81" s="342"/>
      <c r="AP81" s="342"/>
      <c r="AQ81" s="342"/>
      <c r="AR81" s="342"/>
      <c r="AS81" s="342"/>
      <c r="AT81" s="342"/>
      <c r="AU81" s="342"/>
      <c r="AV81" s="342"/>
      <c r="AW81" s="342"/>
      <c r="AX81" s="342"/>
      <c r="AY81" s="342"/>
      <c r="AZ81" s="342"/>
      <c r="BA81" s="342"/>
      <c r="BB81" s="342"/>
      <c r="BC81" s="342"/>
      <c r="BD81" s="342"/>
      <c r="BE81" s="342"/>
      <c r="BF81" s="342"/>
      <c r="BG81" s="342"/>
      <c r="BH81" s="342"/>
      <c r="BI81" s="342"/>
      <c r="BJ81" s="342"/>
      <c r="BK81" s="342"/>
      <c r="BL81" s="342"/>
    </row>
    <row r="82" spans="1:64" ht="23" x14ac:dyDescent="0.25">
      <c r="A82" s="217" t="str" cm="1">
        <f t="array" ref="A82">IFERROR(INDEX(_xlfn.ANCHORARRAY($Q$6),ROW()-5,1),"")</f>
        <v/>
      </c>
      <c r="B82" s="288" t="str" cm="1">
        <f t="array" ref="B82">IFERROR(INDEX(_xlfn.ANCHORARRAY($Q$6),ROW()-5,2),"")</f>
        <v/>
      </c>
      <c r="C82" s="289" t="str" cm="1">
        <f t="array" ref="C82">IFERROR(INDEX(_xlfn.ANCHORARRAY($Q$6),ROW()-5,3),"")</f>
        <v/>
      </c>
      <c r="D82" s="218" t="str">
        <f>IF($A82="","",IF($K82="DIESEL",SUMIFS(Table1[Quantity],Table1[Customer],$B82,Table1[Date],$A82,Table1[Bill No.],$C82),IF($K82="PETROL",SUMIFS(Table14[Quantity],Table14[Customer],$B82,Table14[Date],$A82,Table14[Bill No.],$C82),IF($K82="XtraGreen",SUMIFS(Table146[Quantity],Table146[Company],$B82,Table146[Date],$A82,Table146[Bill No.],$C82),""))))</f>
        <v/>
      </c>
      <c r="E82" s="219" t="str">
        <f>IF($A82="","",IF($K82="DIESEL",AVERAGEIFS(Table1[RSP],Table1[Customer],$B82,Table1[Date],$A82,Table1[Bill No.],$C82),IF($K82="PETROL",AVERAGEIFS(Table14[RSP],Table14[Customer],$B82,Table14[Date],$A82,Table14[Bill No.],$C82),IF($K82="XtraGreen",AVERAGEIFS(Table146[RSP],Table146[Company],$B82,Table146[Date],$A82,Table146[Bill No.],$C82),IFERROR($F82/$D82,"")))))</f>
        <v/>
      </c>
      <c r="F82" s="330" t="str">
        <f>IF($A82="","",IF($K82="DIESEL",SUMIFS(Table1[Amount],Table1[Customer],$B82,Table1[Date],$A82,Table1[Bill No.],$C82),IF($K82="PETROL",SUMIFS(Table14[Amount],Table14[Customer],$B82,Table14[Date],$A82,Table14[Bill No.],$C82),IF($K82="XtraGreen",SUMIFS(Table146[Amount],Table146[Company],$B82,Table146[Date],$A82,Table146[Bill No.],$C82),SUMIFS('Other Sale'!$D:$D,'Other Sale'!$E:$E,$B82,'Other Sale'!$C:$C,$K82,'Other Sale'!$A:$A,$A82)))))</f>
        <v/>
      </c>
      <c r="G82" s="330" t="str" cm="1">
        <f t="array" ref="G82">IF($A82="","",IF($K82="Payment",IFERROR(INDEX(_xlfn._xlws.FILTER(MasterPaid[Amount Paid],(MasterPaid[Customer]=$B82)*(MasterPaid[Date]=$A82)),COUNTIFS($A$6:$A82,$A82,$B$6:$B82,$B82,$K$6:$K82,"Payment")),0),0))</f>
        <v/>
      </c>
      <c r="H82" s="331"/>
      <c r="I82" s="331"/>
      <c r="J82" s="330" t="str">
        <f t="shared" si="1"/>
        <v/>
      </c>
      <c r="K82" s="289" t="str" cm="1">
        <f t="array" ref="K82">IFERROR(INDEX(_xlfn.ANCHORARRAY($Q$6),ROW()-5,4),"")</f>
        <v/>
      </c>
      <c r="L82" s="290"/>
      <c r="U82">
        <f>IF(OR($A82="",$F82=""),0,MAX(0,MIN($F82,SUMIFS($F$6:$F82,$B$6:$B82,$B82)-(SUMIFS($G$6:$G$355,$B$6:$B$355,$B82)+SUMIFS($H$6:$H$355,$B$6:$B$355,$B82)+SUMIFS($I$6:$I$355,$B$6:$B$355,$B82)))))</f>
        <v>0</v>
      </c>
      <c r="AD82" s="468"/>
      <c r="AE82" s="342"/>
      <c r="AF82" s="342"/>
      <c r="AG82" s="342"/>
      <c r="AH82" s="342"/>
      <c r="AI82" s="342"/>
      <c r="AJ82" s="342"/>
      <c r="AK82" s="342"/>
      <c r="AL82" s="342"/>
      <c r="AM82" s="342"/>
      <c r="AN82" s="342"/>
      <c r="AO82" s="342"/>
      <c r="AP82" s="342"/>
      <c r="AQ82" s="342"/>
      <c r="AR82" s="342"/>
      <c r="AS82" s="342"/>
      <c r="AT82" s="342"/>
      <c r="AU82" s="342"/>
      <c r="AV82" s="342"/>
      <c r="AW82" s="342"/>
      <c r="AX82" s="342"/>
      <c r="AY82" s="342"/>
      <c r="AZ82" s="342"/>
      <c r="BA82" s="342"/>
      <c r="BB82" s="342"/>
      <c r="BC82" s="342"/>
      <c r="BD82" s="342"/>
      <c r="BE82" s="342"/>
      <c r="BF82" s="342"/>
      <c r="BG82" s="342"/>
      <c r="BH82" s="342"/>
      <c r="BI82" s="342"/>
      <c r="BJ82" s="342"/>
      <c r="BK82" s="342"/>
      <c r="BL82" s="342"/>
    </row>
    <row r="83" spans="1:64" ht="23" x14ac:dyDescent="0.25">
      <c r="A83" s="217" t="str" cm="1">
        <f t="array" ref="A83">IFERROR(INDEX(_xlfn.ANCHORARRAY($Q$6),ROW()-5,1),"")</f>
        <v/>
      </c>
      <c r="B83" s="288" t="str" cm="1">
        <f t="array" ref="B83">IFERROR(INDEX(_xlfn.ANCHORARRAY($Q$6),ROW()-5,2),"")</f>
        <v/>
      </c>
      <c r="C83" s="289" t="str" cm="1">
        <f t="array" ref="C83">IFERROR(INDEX(_xlfn.ANCHORARRAY($Q$6),ROW()-5,3),"")</f>
        <v/>
      </c>
      <c r="D83" s="218" t="str">
        <f>IF($A83="","",IF($K83="DIESEL",SUMIFS(Table1[Quantity],Table1[Customer],$B83,Table1[Date],$A83,Table1[Bill No.],$C83),IF($K83="PETROL",SUMIFS(Table14[Quantity],Table14[Customer],$B83,Table14[Date],$A83,Table14[Bill No.],$C83),IF($K83="XtraGreen",SUMIFS(Table146[Quantity],Table146[Company],$B83,Table146[Date],$A83,Table146[Bill No.],$C83),""))))</f>
        <v/>
      </c>
      <c r="E83" s="219" t="str">
        <f>IF($A83="","",IF($K83="DIESEL",AVERAGEIFS(Table1[RSP],Table1[Customer],$B83,Table1[Date],$A83,Table1[Bill No.],$C83),IF($K83="PETROL",AVERAGEIFS(Table14[RSP],Table14[Customer],$B83,Table14[Date],$A83,Table14[Bill No.],$C83),IF($K83="XtraGreen",AVERAGEIFS(Table146[RSP],Table146[Company],$B83,Table146[Date],$A83,Table146[Bill No.],$C83),IFERROR($F83/$D83,"")))))</f>
        <v/>
      </c>
      <c r="F83" s="330" t="str">
        <f>IF($A83="","",IF($K83="DIESEL",SUMIFS(Table1[Amount],Table1[Customer],$B83,Table1[Date],$A83,Table1[Bill No.],$C83),IF($K83="PETROL",SUMIFS(Table14[Amount],Table14[Customer],$B83,Table14[Date],$A83,Table14[Bill No.],$C83),IF($K83="XtraGreen",SUMIFS(Table146[Amount],Table146[Company],$B83,Table146[Date],$A83,Table146[Bill No.],$C83),SUMIFS('Other Sale'!$D:$D,'Other Sale'!$E:$E,$B83,'Other Sale'!$C:$C,$K83,'Other Sale'!$A:$A,$A83)))))</f>
        <v/>
      </c>
      <c r="G83" s="330" t="str" cm="1">
        <f t="array" ref="G83">IF($A83="","",IF($K83="Payment",IFERROR(INDEX(_xlfn._xlws.FILTER(MasterPaid[Amount Paid],(MasterPaid[Customer]=$B83)*(MasterPaid[Date]=$A83)),COUNTIFS($A$6:$A83,$A83,$B$6:$B83,$B83,$K$6:$K83,"Payment")),0),0))</f>
        <v/>
      </c>
      <c r="H83" s="331"/>
      <c r="I83" s="331"/>
      <c r="J83" s="330" t="str">
        <f t="shared" si="1"/>
        <v/>
      </c>
      <c r="K83" s="289" t="str" cm="1">
        <f t="array" ref="K83">IFERROR(INDEX(_xlfn.ANCHORARRAY($Q$6),ROW()-5,4),"")</f>
        <v/>
      </c>
      <c r="L83" s="290"/>
      <c r="U83">
        <f>IF(OR($A83="",$F83=""),0,MAX(0,MIN($F83,SUMIFS($F$6:$F83,$B$6:$B83,$B83)-(SUMIFS($G$6:$G$355,$B$6:$B$355,$B83)+SUMIFS($H$6:$H$355,$B$6:$B$355,$B83)+SUMIFS($I$6:$I$355,$B$6:$B$355,$B83)))))</f>
        <v>0</v>
      </c>
      <c r="AD83" s="468"/>
      <c r="AE83" s="342"/>
      <c r="AF83" s="342"/>
      <c r="AG83" s="342"/>
      <c r="AH83" s="342"/>
      <c r="AI83" s="342"/>
      <c r="AJ83" s="342"/>
      <c r="AK83" s="342"/>
      <c r="AL83" s="342"/>
      <c r="AM83" s="342"/>
      <c r="AN83" s="342"/>
      <c r="AO83" s="342"/>
      <c r="AP83" s="342"/>
      <c r="AQ83" s="342"/>
      <c r="AR83" s="342"/>
      <c r="AS83" s="342"/>
      <c r="AT83" s="342"/>
      <c r="AU83" s="342"/>
      <c r="AV83" s="342"/>
      <c r="AW83" s="342"/>
      <c r="AX83" s="342"/>
      <c r="AY83" s="342"/>
      <c r="AZ83" s="342"/>
      <c r="BA83" s="342"/>
      <c r="BB83" s="342"/>
      <c r="BC83" s="342"/>
      <c r="BD83" s="342"/>
      <c r="BE83" s="342"/>
      <c r="BF83" s="342"/>
      <c r="BG83" s="342"/>
      <c r="BH83" s="342"/>
      <c r="BI83" s="342"/>
      <c r="BJ83" s="342"/>
      <c r="BK83" s="342"/>
      <c r="BL83" s="342"/>
    </row>
    <row r="84" spans="1:64" ht="23" x14ac:dyDescent="0.25">
      <c r="A84" s="217" t="str" cm="1">
        <f t="array" ref="A84">IFERROR(INDEX(_xlfn.ANCHORARRAY($Q$6),ROW()-5,1),"")</f>
        <v/>
      </c>
      <c r="B84" s="288" t="str" cm="1">
        <f t="array" ref="B84">IFERROR(INDEX(_xlfn.ANCHORARRAY($Q$6),ROW()-5,2),"")</f>
        <v/>
      </c>
      <c r="C84" s="289" t="str" cm="1">
        <f t="array" ref="C84">IFERROR(INDEX(_xlfn.ANCHORARRAY($Q$6),ROW()-5,3),"")</f>
        <v/>
      </c>
      <c r="D84" s="218" t="str">
        <f>IF($A84="","",IF($K84="DIESEL",SUMIFS(Table1[Quantity],Table1[Customer],$B84,Table1[Date],$A84,Table1[Bill No.],$C84),IF($K84="PETROL",SUMIFS(Table14[Quantity],Table14[Customer],$B84,Table14[Date],$A84,Table14[Bill No.],$C84),IF($K84="XtraGreen",SUMIFS(Table146[Quantity],Table146[Company],$B84,Table146[Date],$A84,Table146[Bill No.],$C84),""))))</f>
        <v/>
      </c>
      <c r="E84" s="219" t="str">
        <f>IF($A84="","",IF($K84="DIESEL",AVERAGEIFS(Table1[RSP],Table1[Customer],$B84,Table1[Date],$A84,Table1[Bill No.],$C84),IF($K84="PETROL",AVERAGEIFS(Table14[RSP],Table14[Customer],$B84,Table14[Date],$A84,Table14[Bill No.],$C84),IF($K84="XtraGreen",AVERAGEIFS(Table146[RSP],Table146[Company],$B84,Table146[Date],$A84,Table146[Bill No.],$C84),IFERROR($F84/$D84,"")))))</f>
        <v/>
      </c>
      <c r="F84" s="330" t="str">
        <f>IF($A84="","",IF($K84="DIESEL",SUMIFS(Table1[Amount],Table1[Customer],$B84,Table1[Date],$A84,Table1[Bill No.],$C84),IF($K84="PETROL",SUMIFS(Table14[Amount],Table14[Customer],$B84,Table14[Date],$A84,Table14[Bill No.],$C84),IF($K84="XtraGreen",SUMIFS(Table146[Amount],Table146[Company],$B84,Table146[Date],$A84,Table146[Bill No.],$C84),SUMIFS('Other Sale'!$D:$D,'Other Sale'!$E:$E,$B84,'Other Sale'!$C:$C,$K84,'Other Sale'!$A:$A,$A84)))))</f>
        <v/>
      </c>
      <c r="G84" s="330" t="str" cm="1">
        <f t="array" ref="G84">IF($A84="","",IF($K84="Payment",IFERROR(INDEX(_xlfn._xlws.FILTER(MasterPaid[Amount Paid],(MasterPaid[Customer]=$B84)*(MasterPaid[Date]=$A84)),COUNTIFS($A$6:$A84,$A84,$B$6:$B84,$B84,$K$6:$K84,"Payment")),0),0))</f>
        <v/>
      </c>
      <c r="H84" s="331"/>
      <c r="I84" s="331"/>
      <c r="J84" s="330" t="str">
        <f t="shared" si="1"/>
        <v/>
      </c>
      <c r="K84" s="289" t="str" cm="1">
        <f t="array" ref="K84">IFERROR(INDEX(_xlfn.ANCHORARRAY($Q$6),ROW()-5,4),"")</f>
        <v/>
      </c>
      <c r="L84" s="290"/>
      <c r="U84">
        <f>IF(OR($A84="",$F84=""),0,MAX(0,MIN($F84,SUMIFS($F$6:$F84,$B$6:$B84,$B84)-(SUMIFS($G$6:$G$355,$B$6:$B$355,$B84)+SUMIFS($H$6:$H$355,$B$6:$B$355,$B84)+SUMIFS($I$6:$I$355,$B$6:$B$355,$B84)))))</f>
        <v>0</v>
      </c>
      <c r="AD84" s="468"/>
      <c r="AE84" s="342"/>
      <c r="AF84" s="342"/>
      <c r="AG84" s="342"/>
      <c r="AH84" s="342"/>
      <c r="AI84" s="342"/>
      <c r="AJ84" s="342"/>
      <c r="AK84" s="342"/>
      <c r="AL84" s="342"/>
      <c r="AM84" s="342"/>
      <c r="AN84" s="342"/>
      <c r="AO84" s="342"/>
      <c r="AP84" s="342"/>
      <c r="AQ84" s="342"/>
      <c r="AR84" s="342"/>
      <c r="AS84" s="342"/>
      <c r="AT84" s="342"/>
      <c r="AU84" s="342"/>
      <c r="AV84" s="342"/>
      <c r="AW84" s="342"/>
      <c r="AX84" s="342"/>
      <c r="AY84" s="342"/>
      <c r="AZ84" s="342"/>
      <c r="BA84" s="342"/>
      <c r="BB84" s="342"/>
      <c r="BC84" s="342"/>
      <c r="BD84" s="342"/>
      <c r="BE84" s="342"/>
      <c r="BF84" s="342"/>
      <c r="BG84" s="342"/>
      <c r="BH84" s="342"/>
      <c r="BI84" s="342"/>
      <c r="BJ84" s="342"/>
      <c r="BK84" s="342"/>
      <c r="BL84" s="342"/>
    </row>
    <row r="85" spans="1:64" ht="23" x14ac:dyDescent="0.25">
      <c r="A85" s="217" t="str" cm="1">
        <f t="array" ref="A85">IFERROR(INDEX(_xlfn.ANCHORARRAY($Q$6),ROW()-5,1),"")</f>
        <v/>
      </c>
      <c r="B85" s="288" t="str" cm="1">
        <f t="array" ref="B85">IFERROR(INDEX(_xlfn.ANCHORARRAY($Q$6),ROW()-5,2),"")</f>
        <v/>
      </c>
      <c r="C85" s="289" t="str" cm="1">
        <f t="array" ref="C85">IFERROR(INDEX(_xlfn.ANCHORARRAY($Q$6),ROW()-5,3),"")</f>
        <v/>
      </c>
      <c r="D85" s="218" t="str">
        <f>IF($A85="","",IF($K85="DIESEL",SUMIFS(Table1[Quantity],Table1[Customer],$B85,Table1[Date],$A85,Table1[Bill No.],$C85),IF($K85="PETROL",SUMIFS(Table14[Quantity],Table14[Customer],$B85,Table14[Date],$A85,Table14[Bill No.],$C85),IF($K85="XtraGreen",SUMIFS(Table146[Quantity],Table146[Company],$B85,Table146[Date],$A85,Table146[Bill No.],$C85),""))))</f>
        <v/>
      </c>
      <c r="E85" s="219" t="str">
        <f>IF($A85="","",IF($K85="DIESEL",AVERAGEIFS(Table1[RSP],Table1[Customer],$B85,Table1[Date],$A85,Table1[Bill No.],$C85),IF($K85="PETROL",AVERAGEIFS(Table14[RSP],Table14[Customer],$B85,Table14[Date],$A85,Table14[Bill No.],$C85),IF($K85="XtraGreen",AVERAGEIFS(Table146[RSP],Table146[Company],$B85,Table146[Date],$A85,Table146[Bill No.],$C85),IFERROR($F85/$D85,"")))))</f>
        <v/>
      </c>
      <c r="F85" s="330" t="str">
        <f>IF($A85="","",IF($K85="DIESEL",SUMIFS(Table1[Amount],Table1[Customer],$B85,Table1[Date],$A85,Table1[Bill No.],$C85),IF($K85="PETROL",SUMIFS(Table14[Amount],Table14[Customer],$B85,Table14[Date],$A85,Table14[Bill No.],$C85),IF($K85="XtraGreen",SUMIFS(Table146[Amount],Table146[Company],$B85,Table146[Date],$A85,Table146[Bill No.],$C85),SUMIFS('Other Sale'!$D:$D,'Other Sale'!$E:$E,$B85,'Other Sale'!$C:$C,$K85,'Other Sale'!$A:$A,$A85)))))</f>
        <v/>
      </c>
      <c r="G85" s="330" t="str" cm="1">
        <f t="array" ref="G85">IF($A85="","",IF($K85="Payment",IFERROR(INDEX(_xlfn._xlws.FILTER(MasterPaid[Amount Paid],(MasterPaid[Customer]=$B85)*(MasterPaid[Date]=$A85)),COUNTIFS($A$6:$A85,$A85,$B$6:$B85,$B85,$K$6:$K85,"Payment")),0),0))</f>
        <v/>
      </c>
      <c r="H85" s="331"/>
      <c r="I85" s="331"/>
      <c r="J85" s="330" t="str">
        <f t="shared" si="1"/>
        <v/>
      </c>
      <c r="K85" s="289" t="str" cm="1">
        <f t="array" ref="K85">IFERROR(INDEX(_xlfn.ANCHORARRAY($Q$6),ROW()-5,4),"")</f>
        <v/>
      </c>
      <c r="L85" s="290"/>
      <c r="U85">
        <f>IF(OR($A85="",$F85=""),0,MAX(0,MIN($F85,SUMIFS($F$6:$F85,$B$6:$B85,$B85)-(SUMIFS($G$6:$G$355,$B$6:$B$355,$B85)+SUMIFS($H$6:$H$355,$B$6:$B$355,$B85)+SUMIFS($I$6:$I$355,$B$6:$B$355,$B85)))))</f>
        <v>0</v>
      </c>
      <c r="AD85" s="468"/>
      <c r="AE85" s="342"/>
      <c r="AF85" s="342"/>
      <c r="AG85" s="342"/>
      <c r="AH85" s="342"/>
      <c r="AI85" s="342"/>
      <c r="AJ85" s="342"/>
      <c r="AK85" s="342"/>
      <c r="AL85" s="342"/>
      <c r="AM85" s="342"/>
      <c r="AN85" s="342"/>
      <c r="AO85" s="342"/>
      <c r="AP85" s="342"/>
      <c r="AQ85" s="342"/>
      <c r="AR85" s="342"/>
      <c r="AS85" s="342"/>
      <c r="AT85" s="342"/>
      <c r="AU85" s="342"/>
      <c r="AV85" s="342"/>
      <c r="AW85" s="342"/>
      <c r="AX85" s="342"/>
      <c r="AY85" s="342"/>
      <c r="AZ85" s="342"/>
      <c r="BA85" s="342"/>
      <c r="BB85" s="342"/>
      <c r="BC85" s="342"/>
      <c r="BD85" s="342"/>
      <c r="BE85" s="342"/>
      <c r="BF85" s="342"/>
      <c r="BG85" s="342"/>
      <c r="BH85" s="342"/>
      <c r="BI85" s="342"/>
      <c r="BJ85" s="342"/>
      <c r="BK85" s="342"/>
      <c r="BL85" s="342"/>
    </row>
    <row r="86" spans="1:64" ht="23" x14ac:dyDescent="0.25">
      <c r="A86" s="217" t="str" cm="1">
        <f t="array" ref="A86">IFERROR(INDEX(_xlfn.ANCHORARRAY($Q$6),ROW()-5,1),"")</f>
        <v/>
      </c>
      <c r="B86" s="288" t="str" cm="1">
        <f t="array" ref="B86">IFERROR(INDEX(_xlfn.ANCHORARRAY($Q$6),ROW()-5,2),"")</f>
        <v/>
      </c>
      <c r="C86" s="289" t="str" cm="1">
        <f t="array" ref="C86">IFERROR(INDEX(_xlfn.ANCHORARRAY($Q$6),ROW()-5,3),"")</f>
        <v/>
      </c>
      <c r="D86" s="218" t="str">
        <f>IF($A86="","",IF($K86="DIESEL",SUMIFS(Table1[Quantity],Table1[Customer],$B86,Table1[Date],$A86,Table1[Bill No.],$C86),IF($K86="PETROL",SUMIFS(Table14[Quantity],Table14[Customer],$B86,Table14[Date],$A86,Table14[Bill No.],$C86),IF($K86="XtraGreen",SUMIFS(Table146[Quantity],Table146[Company],$B86,Table146[Date],$A86,Table146[Bill No.],$C86),""))))</f>
        <v/>
      </c>
      <c r="E86" s="219" t="str">
        <f>IF($A86="","",IF($K86="DIESEL",AVERAGEIFS(Table1[RSP],Table1[Customer],$B86,Table1[Date],$A86,Table1[Bill No.],$C86),IF($K86="PETROL",AVERAGEIFS(Table14[RSP],Table14[Customer],$B86,Table14[Date],$A86,Table14[Bill No.],$C86),IF($K86="XtraGreen",AVERAGEIFS(Table146[RSP],Table146[Company],$B86,Table146[Date],$A86,Table146[Bill No.],$C86),IFERROR($F86/$D86,"")))))</f>
        <v/>
      </c>
      <c r="F86" s="330" t="str">
        <f>IF($A86="","",IF($K86="DIESEL",SUMIFS(Table1[Amount],Table1[Customer],$B86,Table1[Date],$A86,Table1[Bill No.],$C86),IF($K86="PETROL",SUMIFS(Table14[Amount],Table14[Customer],$B86,Table14[Date],$A86,Table14[Bill No.],$C86),IF($K86="XtraGreen",SUMIFS(Table146[Amount],Table146[Company],$B86,Table146[Date],$A86,Table146[Bill No.],$C86),SUMIFS('Other Sale'!$D:$D,'Other Sale'!$E:$E,$B86,'Other Sale'!$C:$C,$K86,'Other Sale'!$A:$A,$A86)))))</f>
        <v/>
      </c>
      <c r="G86" s="330" t="str" cm="1">
        <f t="array" ref="G86">IF($A86="","",IF($K86="Payment",IFERROR(INDEX(_xlfn._xlws.FILTER(MasterPaid[Amount Paid],(MasterPaid[Customer]=$B86)*(MasterPaid[Date]=$A86)),COUNTIFS($A$6:$A86,$A86,$B$6:$B86,$B86,$K$6:$K86,"Payment")),0),0))</f>
        <v/>
      </c>
      <c r="H86" s="331"/>
      <c r="I86" s="331"/>
      <c r="J86" s="330" t="str">
        <f t="shared" ref="J86:J149" si="2">IF($A86="","",J85+N(F86)-N(G86)-N(H86)-N(I86))</f>
        <v/>
      </c>
      <c r="K86" s="289" t="str" cm="1">
        <f t="array" ref="K86">IFERROR(INDEX(_xlfn.ANCHORARRAY($Q$6),ROW()-5,4),"")</f>
        <v/>
      </c>
      <c r="L86" s="290"/>
      <c r="U86">
        <f>IF(OR($A86="",$F86=""),0,MAX(0,MIN($F86,SUMIFS($F$6:$F86,$B$6:$B86,$B86)-(SUMIFS($G$6:$G$355,$B$6:$B$355,$B86)+SUMIFS($H$6:$H$355,$B$6:$B$355,$B86)+SUMIFS($I$6:$I$355,$B$6:$B$355,$B86)))))</f>
        <v>0</v>
      </c>
      <c r="AD86" s="468"/>
      <c r="AE86" s="342"/>
      <c r="AF86" s="342"/>
      <c r="AG86" s="342"/>
      <c r="AH86" s="342"/>
      <c r="AI86" s="342"/>
      <c r="AJ86" s="342"/>
      <c r="AK86" s="342"/>
      <c r="AL86" s="342"/>
      <c r="AM86" s="342"/>
      <c r="AN86" s="342"/>
      <c r="AO86" s="342"/>
      <c r="AP86" s="342"/>
      <c r="AQ86" s="342"/>
      <c r="AR86" s="342"/>
      <c r="AS86" s="342"/>
      <c r="AT86" s="342"/>
      <c r="AU86" s="342"/>
      <c r="AV86" s="342"/>
      <c r="AW86" s="342"/>
      <c r="AX86" s="342"/>
      <c r="AY86" s="342"/>
      <c r="AZ86" s="342"/>
      <c r="BA86" s="342"/>
      <c r="BB86" s="342"/>
      <c r="BC86" s="342"/>
      <c r="BD86" s="342"/>
      <c r="BE86" s="342"/>
      <c r="BF86" s="342"/>
      <c r="BG86" s="342"/>
      <c r="BH86" s="342"/>
      <c r="BI86" s="342"/>
      <c r="BJ86" s="342"/>
      <c r="BK86" s="342"/>
      <c r="BL86" s="342"/>
    </row>
    <row r="87" spans="1:64" ht="23" x14ac:dyDescent="0.25">
      <c r="A87" s="217" t="str" cm="1">
        <f t="array" ref="A87">IFERROR(INDEX(_xlfn.ANCHORARRAY($Q$6),ROW()-5,1),"")</f>
        <v/>
      </c>
      <c r="B87" s="288" t="str" cm="1">
        <f t="array" ref="B87">IFERROR(INDEX(_xlfn.ANCHORARRAY($Q$6),ROW()-5,2),"")</f>
        <v/>
      </c>
      <c r="C87" s="289" t="str" cm="1">
        <f t="array" ref="C87">IFERROR(INDEX(_xlfn.ANCHORARRAY($Q$6),ROW()-5,3),"")</f>
        <v/>
      </c>
      <c r="D87" s="218" t="str">
        <f>IF($A87="","",IF($K87="DIESEL",SUMIFS(Table1[Quantity],Table1[Customer],$B87,Table1[Date],$A87,Table1[Bill No.],$C87),IF($K87="PETROL",SUMIFS(Table14[Quantity],Table14[Customer],$B87,Table14[Date],$A87,Table14[Bill No.],$C87),IF($K87="XtraGreen",SUMIFS(Table146[Quantity],Table146[Company],$B87,Table146[Date],$A87,Table146[Bill No.],$C87),""))))</f>
        <v/>
      </c>
      <c r="E87" s="219" t="str">
        <f>IF($A87="","",IF($K87="DIESEL",AVERAGEIFS(Table1[RSP],Table1[Customer],$B87,Table1[Date],$A87,Table1[Bill No.],$C87),IF($K87="PETROL",AVERAGEIFS(Table14[RSP],Table14[Customer],$B87,Table14[Date],$A87,Table14[Bill No.],$C87),IF($K87="XtraGreen",AVERAGEIFS(Table146[RSP],Table146[Company],$B87,Table146[Date],$A87,Table146[Bill No.],$C87),IFERROR($F87/$D87,"")))))</f>
        <v/>
      </c>
      <c r="F87" s="330" t="str">
        <f>IF($A87="","",IF($K87="DIESEL",SUMIFS(Table1[Amount],Table1[Customer],$B87,Table1[Date],$A87,Table1[Bill No.],$C87),IF($K87="PETROL",SUMIFS(Table14[Amount],Table14[Customer],$B87,Table14[Date],$A87,Table14[Bill No.],$C87),IF($K87="XtraGreen",SUMIFS(Table146[Amount],Table146[Company],$B87,Table146[Date],$A87,Table146[Bill No.],$C87),SUMIFS('Other Sale'!$D:$D,'Other Sale'!$E:$E,$B87,'Other Sale'!$C:$C,$K87,'Other Sale'!$A:$A,$A87)))))</f>
        <v/>
      </c>
      <c r="G87" s="330" t="str" cm="1">
        <f t="array" ref="G87">IF($A87="","",IF($K87="Payment",IFERROR(INDEX(_xlfn._xlws.FILTER(MasterPaid[Amount Paid],(MasterPaid[Customer]=$B87)*(MasterPaid[Date]=$A87)),COUNTIFS($A$6:$A87,$A87,$B$6:$B87,$B87,$K$6:$K87,"Payment")),0),0))</f>
        <v/>
      </c>
      <c r="H87" s="331"/>
      <c r="I87" s="331"/>
      <c r="J87" s="330" t="str">
        <f t="shared" si="2"/>
        <v/>
      </c>
      <c r="K87" s="289" t="str" cm="1">
        <f t="array" ref="K87">IFERROR(INDEX(_xlfn.ANCHORARRAY($Q$6),ROW()-5,4),"")</f>
        <v/>
      </c>
      <c r="L87" s="290"/>
      <c r="U87">
        <f>IF(OR($A87="",$F87=""),0,MAX(0,MIN($F87,SUMIFS($F$6:$F87,$B$6:$B87,$B87)-(SUMIFS($G$6:$G$355,$B$6:$B$355,$B87)+SUMIFS($H$6:$H$355,$B$6:$B$355,$B87)+SUMIFS($I$6:$I$355,$B$6:$B$355,$B87)))))</f>
        <v>0</v>
      </c>
      <c r="AD87" s="468"/>
      <c r="AE87" s="342"/>
      <c r="AF87" s="342"/>
      <c r="AG87" s="342"/>
      <c r="AH87" s="342"/>
      <c r="AI87" s="342"/>
      <c r="AJ87" s="342"/>
      <c r="AK87" s="342"/>
      <c r="AL87" s="342"/>
      <c r="AM87" s="342"/>
      <c r="AN87" s="342"/>
      <c r="AO87" s="342"/>
      <c r="AP87" s="342"/>
      <c r="AQ87" s="342"/>
      <c r="AR87" s="342"/>
      <c r="AS87" s="342"/>
      <c r="AT87" s="342"/>
      <c r="AU87" s="342"/>
      <c r="AV87" s="342"/>
      <c r="AW87" s="342"/>
      <c r="AX87" s="342"/>
      <c r="AY87" s="342"/>
      <c r="AZ87" s="342"/>
      <c r="BA87" s="342"/>
      <c r="BB87" s="342"/>
      <c r="BC87" s="342"/>
      <c r="BD87" s="342"/>
      <c r="BE87" s="342"/>
      <c r="BF87" s="342"/>
      <c r="BG87" s="342"/>
      <c r="BH87" s="342"/>
      <c r="BI87" s="342"/>
      <c r="BJ87" s="342"/>
      <c r="BK87" s="342"/>
      <c r="BL87" s="342"/>
    </row>
    <row r="88" spans="1:64" ht="23" x14ac:dyDescent="0.25">
      <c r="A88" s="217" t="str" cm="1">
        <f t="array" ref="A88">IFERROR(INDEX(_xlfn.ANCHORARRAY($Q$6),ROW()-5,1),"")</f>
        <v/>
      </c>
      <c r="B88" s="288" t="str" cm="1">
        <f t="array" ref="B88">IFERROR(INDEX(_xlfn.ANCHORARRAY($Q$6),ROW()-5,2),"")</f>
        <v/>
      </c>
      <c r="C88" s="289" t="str" cm="1">
        <f t="array" ref="C88">IFERROR(INDEX(_xlfn.ANCHORARRAY($Q$6),ROW()-5,3),"")</f>
        <v/>
      </c>
      <c r="D88" s="218" t="str">
        <f>IF($A88="","",IF($K88="DIESEL",SUMIFS(Table1[Quantity],Table1[Customer],$B88,Table1[Date],$A88,Table1[Bill No.],$C88),IF($K88="PETROL",SUMIFS(Table14[Quantity],Table14[Customer],$B88,Table14[Date],$A88,Table14[Bill No.],$C88),IF($K88="XtraGreen",SUMIFS(Table146[Quantity],Table146[Company],$B88,Table146[Date],$A88,Table146[Bill No.],$C88),""))))</f>
        <v/>
      </c>
      <c r="E88" s="219" t="str">
        <f>IF($A88="","",IF($K88="DIESEL",AVERAGEIFS(Table1[RSP],Table1[Customer],$B88,Table1[Date],$A88,Table1[Bill No.],$C88),IF($K88="PETROL",AVERAGEIFS(Table14[RSP],Table14[Customer],$B88,Table14[Date],$A88,Table14[Bill No.],$C88),IF($K88="XtraGreen",AVERAGEIFS(Table146[RSP],Table146[Company],$B88,Table146[Date],$A88,Table146[Bill No.],$C88),IFERROR($F88/$D88,"")))))</f>
        <v/>
      </c>
      <c r="F88" s="330" t="str">
        <f>IF($A88="","",IF($K88="DIESEL",SUMIFS(Table1[Amount],Table1[Customer],$B88,Table1[Date],$A88,Table1[Bill No.],$C88),IF($K88="PETROL",SUMIFS(Table14[Amount],Table14[Customer],$B88,Table14[Date],$A88,Table14[Bill No.],$C88),IF($K88="XtraGreen",SUMIFS(Table146[Amount],Table146[Company],$B88,Table146[Date],$A88,Table146[Bill No.],$C88),SUMIFS('Other Sale'!$D:$D,'Other Sale'!$E:$E,$B88,'Other Sale'!$C:$C,$K88,'Other Sale'!$A:$A,$A88)))))</f>
        <v/>
      </c>
      <c r="G88" s="330" t="str" cm="1">
        <f t="array" ref="G88">IF($A88="","",IF($K88="Payment",IFERROR(INDEX(_xlfn._xlws.FILTER(MasterPaid[Amount Paid],(MasterPaid[Customer]=$B88)*(MasterPaid[Date]=$A88)),COUNTIFS($A$6:$A88,$A88,$B$6:$B88,$B88,$K$6:$K88,"Payment")),0),0))</f>
        <v/>
      </c>
      <c r="H88" s="331"/>
      <c r="I88" s="331"/>
      <c r="J88" s="330" t="str">
        <f t="shared" si="2"/>
        <v/>
      </c>
      <c r="K88" s="289" t="str" cm="1">
        <f t="array" ref="K88">IFERROR(INDEX(_xlfn.ANCHORARRAY($Q$6),ROW()-5,4),"")</f>
        <v/>
      </c>
      <c r="L88" s="290"/>
      <c r="U88">
        <f>IF(OR($A88="",$F88=""),0,MAX(0,MIN($F88,SUMIFS($F$6:$F88,$B$6:$B88,$B88)-(SUMIFS($G$6:$G$355,$B$6:$B$355,$B88)+SUMIFS($H$6:$H$355,$B$6:$B$355,$B88)+SUMIFS($I$6:$I$355,$B$6:$B$355,$B88)))))</f>
        <v>0</v>
      </c>
      <c r="AD88" s="468"/>
      <c r="AE88" s="342"/>
      <c r="AF88" s="342"/>
      <c r="AG88" s="342"/>
      <c r="AH88" s="342"/>
      <c r="AI88" s="342"/>
      <c r="AJ88" s="342"/>
      <c r="AK88" s="342"/>
      <c r="AL88" s="342"/>
      <c r="AM88" s="342"/>
      <c r="AN88" s="342"/>
      <c r="AO88" s="342"/>
      <c r="AP88" s="342"/>
      <c r="AQ88" s="342"/>
      <c r="AR88" s="342"/>
      <c r="AS88" s="342"/>
      <c r="AT88" s="342"/>
      <c r="AU88" s="342"/>
      <c r="AV88" s="342"/>
      <c r="AW88" s="342"/>
      <c r="AX88" s="342"/>
      <c r="AY88" s="342"/>
      <c r="AZ88" s="342"/>
      <c r="BA88" s="342"/>
      <c r="BB88" s="342"/>
      <c r="BC88" s="342"/>
      <c r="BD88" s="342"/>
      <c r="BE88" s="342"/>
      <c r="BF88" s="342"/>
      <c r="BG88" s="342"/>
      <c r="BH88" s="342"/>
      <c r="BI88" s="342"/>
      <c r="BJ88" s="342"/>
      <c r="BK88" s="342"/>
      <c r="BL88" s="342"/>
    </row>
    <row r="89" spans="1:64" ht="23" x14ac:dyDescent="0.25">
      <c r="A89" s="217" t="str" cm="1">
        <f t="array" ref="A89">IFERROR(INDEX(_xlfn.ANCHORARRAY($Q$6),ROW()-5,1),"")</f>
        <v/>
      </c>
      <c r="B89" s="288" t="str" cm="1">
        <f t="array" ref="B89">IFERROR(INDEX(_xlfn.ANCHORARRAY($Q$6),ROW()-5,2),"")</f>
        <v/>
      </c>
      <c r="C89" s="289" t="str" cm="1">
        <f t="array" ref="C89">IFERROR(INDEX(_xlfn.ANCHORARRAY($Q$6),ROW()-5,3),"")</f>
        <v/>
      </c>
      <c r="D89" s="218" t="str">
        <f>IF($A89="","",IF($K89="DIESEL",SUMIFS(Table1[Quantity],Table1[Customer],$B89,Table1[Date],$A89,Table1[Bill No.],$C89),IF($K89="PETROL",SUMIFS(Table14[Quantity],Table14[Customer],$B89,Table14[Date],$A89,Table14[Bill No.],$C89),IF($K89="XtraGreen",SUMIFS(Table146[Quantity],Table146[Company],$B89,Table146[Date],$A89,Table146[Bill No.],$C89),""))))</f>
        <v/>
      </c>
      <c r="E89" s="219" t="str">
        <f>IF($A89="","",IF($K89="DIESEL",AVERAGEIFS(Table1[RSP],Table1[Customer],$B89,Table1[Date],$A89,Table1[Bill No.],$C89),IF($K89="PETROL",AVERAGEIFS(Table14[RSP],Table14[Customer],$B89,Table14[Date],$A89,Table14[Bill No.],$C89),IF($K89="XtraGreen",AVERAGEIFS(Table146[RSP],Table146[Company],$B89,Table146[Date],$A89,Table146[Bill No.],$C89),IFERROR($F89/$D89,"")))))</f>
        <v/>
      </c>
      <c r="F89" s="330" t="str">
        <f>IF($A89="","",IF($K89="DIESEL",SUMIFS(Table1[Amount],Table1[Customer],$B89,Table1[Date],$A89,Table1[Bill No.],$C89),IF($K89="PETROL",SUMIFS(Table14[Amount],Table14[Customer],$B89,Table14[Date],$A89,Table14[Bill No.],$C89),IF($K89="XtraGreen",SUMIFS(Table146[Amount],Table146[Company],$B89,Table146[Date],$A89,Table146[Bill No.],$C89),SUMIFS('Other Sale'!$D:$D,'Other Sale'!$E:$E,$B89,'Other Sale'!$C:$C,$K89,'Other Sale'!$A:$A,$A89)))))</f>
        <v/>
      </c>
      <c r="G89" s="330" t="str" cm="1">
        <f t="array" ref="G89">IF($A89="","",IF($K89="Payment",IFERROR(INDEX(_xlfn._xlws.FILTER(MasterPaid[Amount Paid],(MasterPaid[Customer]=$B89)*(MasterPaid[Date]=$A89)),COUNTIFS($A$6:$A89,$A89,$B$6:$B89,$B89,$K$6:$K89,"Payment")),0),0))</f>
        <v/>
      </c>
      <c r="H89" s="331"/>
      <c r="I89" s="331"/>
      <c r="J89" s="330" t="str">
        <f t="shared" si="2"/>
        <v/>
      </c>
      <c r="K89" s="289" t="str" cm="1">
        <f t="array" ref="K89">IFERROR(INDEX(_xlfn.ANCHORARRAY($Q$6),ROW()-5,4),"")</f>
        <v/>
      </c>
      <c r="L89" s="290"/>
      <c r="U89">
        <f>IF(OR($A89="",$F89=""),0,MAX(0,MIN($F89,SUMIFS($F$6:$F89,$B$6:$B89,$B89)-(SUMIFS($G$6:$G$355,$B$6:$B$355,$B89)+SUMIFS($H$6:$H$355,$B$6:$B$355,$B89)+SUMIFS($I$6:$I$355,$B$6:$B$355,$B89)))))</f>
        <v>0</v>
      </c>
      <c r="AD89" s="468"/>
      <c r="AE89" s="342"/>
      <c r="AF89" s="342"/>
      <c r="AG89" s="342"/>
      <c r="AH89" s="342"/>
      <c r="AI89" s="342"/>
      <c r="AJ89" s="342"/>
      <c r="AK89" s="342"/>
      <c r="AL89" s="342"/>
      <c r="AM89" s="342"/>
      <c r="AN89" s="342"/>
      <c r="AO89" s="342"/>
      <c r="AP89" s="342"/>
      <c r="AQ89" s="342"/>
      <c r="AR89" s="342"/>
      <c r="AS89" s="342"/>
      <c r="AT89" s="342"/>
      <c r="AU89" s="342"/>
      <c r="AV89" s="342"/>
      <c r="AW89" s="342"/>
      <c r="AX89" s="342"/>
      <c r="AY89" s="342"/>
      <c r="AZ89" s="342"/>
      <c r="BA89" s="342"/>
      <c r="BB89" s="342"/>
      <c r="BC89" s="342"/>
      <c r="BD89" s="342"/>
      <c r="BE89" s="342"/>
      <c r="BF89" s="342"/>
      <c r="BG89" s="342"/>
      <c r="BH89" s="342"/>
      <c r="BI89" s="342"/>
      <c r="BJ89" s="342"/>
      <c r="BK89" s="342"/>
      <c r="BL89" s="342"/>
    </row>
    <row r="90" spans="1:64" ht="23" x14ac:dyDescent="0.25">
      <c r="A90" s="217" t="str" cm="1">
        <f t="array" ref="A90">IFERROR(INDEX(_xlfn.ANCHORARRAY($Q$6),ROW()-5,1),"")</f>
        <v/>
      </c>
      <c r="B90" s="288" t="str" cm="1">
        <f t="array" ref="B90">IFERROR(INDEX(_xlfn.ANCHORARRAY($Q$6),ROW()-5,2),"")</f>
        <v/>
      </c>
      <c r="C90" s="289" t="str" cm="1">
        <f t="array" ref="C90">IFERROR(INDEX(_xlfn.ANCHORARRAY($Q$6),ROW()-5,3),"")</f>
        <v/>
      </c>
      <c r="D90" s="218" t="str">
        <f>IF($A90="","",IF($K90="DIESEL",SUMIFS(Table1[Quantity],Table1[Customer],$B90,Table1[Date],$A90,Table1[Bill No.],$C90),IF($K90="PETROL",SUMIFS(Table14[Quantity],Table14[Customer],$B90,Table14[Date],$A90,Table14[Bill No.],$C90),IF($K90="XtraGreen",SUMIFS(Table146[Quantity],Table146[Company],$B90,Table146[Date],$A90,Table146[Bill No.],$C90),""))))</f>
        <v/>
      </c>
      <c r="E90" s="219" t="str">
        <f>IF($A90="","",IF($K90="DIESEL",AVERAGEIFS(Table1[RSP],Table1[Customer],$B90,Table1[Date],$A90,Table1[Bill No.],$C90),IF($K90="PETROL",AVERAGEIFS(Table14[RSP],Table14[Customer],$B90,Table14[Date],$A90,Table14[Bill No.],$C90),IF($K90="XtraGreen",AVERAGEIFS(Table146[RSP],Table146[Company],$B90,Table146[Date],$A90,Table146[Bill No.],$C90),IFERROR($F90/$D90,"")))))</f>
        <v/>
      </c>
      <c r="F90" s="330" t="str">
        <f>IF($A90="","",IF($K90="DIESEL",SUMIFS(Table1[Amount],Table1[Customer],$B90,Table1[Date],$A90,Table1[Bill No.],$C90),IF($K90="PETROL",SUMIFS(Table14[Amount],Table14[Customer],$B90,Table14[Date],$A90,Table14[Bill No.],$C90),IF($K90="XtraGreen",SUMIFS(Table146[Amount],Table146[Company],$B90,Table146[Date],$A90,Table146[Bill No.],$C90),SUMIFS('Other Sale'!$D:$D,'Other Sale'!$E:$E,$B90,'Other Sale'!$C:$C,$K90,'Other Sale'!$A:$A,$A90)))))</f>
        <v/>
      </c>
      <c r="G90" s="330" t="str" cm="1">
        <f t="array" ref="G90">IF($A90="","",IF($K90="Payment",IFERROR(INDEX(_xlfn._xlws.FILTER(MasterPaid[Amount Paid],(MasterPaid[Customer]=$B90)*(MasterPaid[Date]=$A90)),COUNTIFS($A$6:$A90,$A90,$B$6:$B90,$B90,$K$6:$K90,"Payment")),0),0))</f>
        <v/>
      </c>
      <c r="H90" s="331"/>
      <c r="I90" s="331"/>
      <c r="J90" s="330" t="str">
        <f t="shared" si="2"/>
        <v/>
      </c>
      <c r="K90" s="289" t="str" cm="1">
        <f t="array" ref="K90">IFERROR(INDEX(_xlfn.ANCHORARRAY($Q$6),ROW()-5,4),"")</f>
        <v/>
      </c>
      <c r="L90" s="290"/>
      <c r="U90">
        <f>IF(OR($A90="",$F90=""),0,MAX(0,MIN($F90,SUMIFS($F$6:$F90,$B$6:$B90,$B90)-(SUMIFS($G$6:$G$355,$B$6:$B$355,$B90)+SUMIFS($H$6:$H$355,$B$6:$B$355,$B90)+SUMIFS($I$6:$I$355,$B$6:$B$355,$B90)))))</f>
        <v>0</v>
      </c>
      <c r="AD90" s="468"/>
      <c r="AE90" s="342"/>
      <c r="AF90" s="342"/>
      <c r="AG90" s="342"/>
      <c r="AH90" s="342"/>
      <c r="AI90" s="342"/>
      <c r="AJ90" s="342"/>
      <c r="AK90" s="342"/>
      <c r="AL90" s="342"/>
      <c r="AM90" s="342"/>
      <c r="AN90" s="342"/>
      <c r="AO90" s="342"/>
      <c r="AP90" s="342"/>
      <c r="AQ90" s="342"/>
      <c r="AR90" s="342"/>
      <c r="AS90" s="342"/>
      <c r="AT90" s="342"/>
      <c r="AU90" s="342"/>
      <c r="AV90" s="342"/>
      <c r="AW90" s="342"/>
      <c r="AX90" s="342"/>
      <c r="AY90" s="342"/>
      <c r="AZ90" s="342"/>
      <c r="BA90" s="342"/>
      <c r="BB90" s="342"/>
      <c r="BC90" s="342"/>
      <c r="BD90" s="342"/>
      <c r="BE90" s="342"/>
      <c r="BF90" s="342"/>
      <c r="BG90" s="342"/>
      <c r="BH90" s="342"/>
      <c r="BI90" s="342"/>
      <c r="BJ90" s="342"/>
      <c r="BK90" s="342"/>
      <c r="BL90" s="342"/>
    </row>
    <row r="91" spans="1:64" ht="23" x14ac:dyDescent="0.25">
      <c r="A91" s="217" t="str" cm="1">
        <f t="array" ref="A91">IFERROR(INDEX(_xlfn.ANCHORARRAY($Q$6),ROW()-5,1),"")</f>
        <v/>
      </c>
      <c r="B91" s="288" t="str" cm="1">
        <f t="array" ref="B91">IFERROR(INDEX(_xlfn.ANCHORARRAY($Q$6),ROW()-5,2),"")</f>
        <v/>
      </c>
      <c r="C91" s="289" t="str" cm="1">
        <f t="array" ref="C91">IFERROR(INDEX(_xlfn.ANCHORARRAY($Q$6),ROW()-5,3),"")</f>
        <v/>
      </c>
      <c r="D91" s="218" t="str">
        <f>IF($A91="","",IF($K91="DIESEL",SUMIFS(Table1[Quantity],Table1[Customer],$B91,Table1[Date],$A91,Table1[Bill No.],$C91),IF($K91="PETROL",SUMIFS(Table14[Quantity],Table14[Customer],$B91,Table14[Date],$A91,Table14[Bill No.],$C91),IF($K91="XtraGreen",SUMIFS(Table146[Quantity],Table146[Company],$B91,Table146[Date],$A91,Table146[Bill No.],$C91),""))))</f>
        <v/>
      </c>
      <c r="E91" s="219" t="str">
        <f>IF($A91="","",IF($K91="DIESEL",AVERAGEIFS(Table1[RSP],Table1[Customer],$B91,Table1[Date],$A91,Table1[Bill No.],$C91),IF($K91="PETROL",AVERAGEIFS(Table14[RSP],Table14[Customer],$B91,Table14[Date],$A91,Table14[Bill No.],$C91),IF($K91="XtraGreen",AVERAGEIFS(Table146[RSP],Table146[Company],$B91,Table146[Date],$A91,Table146[Bill No.],$C91),IFERROR($F91/$D91,"")))))</f>
        <v/>
      </c>
      <c r="F91" s="330" t="str">
        <f>IF($A91="","",IF($K91="DIESEL",SUMIFS(Table1[Amount],Table1[Customer],$B91,Table1[Date],$A91,Table1[Bill No.],$C91),IF($K91="PETROL",SUMIFS(Table14[Amount],Table14[Customer],$B91,Table14[Date],$A91,Table14[Bill No.],$C91),IF($K91="XtraGreen",SUMIFS(Table146[Amount],Table146[Company],$B91,Table146[Date],$A91,Table146[Bill No.],$C91),SUMIFS('Other Sale'!$D:$D,'Other Sale'!$E:$E,$B91,'Other Sale'!$C:$C,$K91,'Other Sale'!$A:$A,$A91)))))</f>
        <v/>
      </c>
      <c r="G91" s="330" t="str" cm="1">
        <f t="array" ref="G91">IF($A91="","",IF($K91="Payment",IFERROR(INDEX(_xlfn._xlws.FILTER(MasterPaid[Amount Paid],(MasterPaid[Customer]=$B91)*(MasterPaid[Date]=$A91)),COUNTIFS($A$6:$A91,$A91,$B$6:$B91,$B91,$K$6:$K91,"Payment")),0),0))</f>
        <v/>
      </c>
      <c r="H91" s="331"/>
      <c r="I91" s="331"/>
      <c r="J91" s="330" t="str">
        <f t="shared" si="2"/>
        <v/>
      </c>
      <c r="K91" s="289" t="str" cm="1">
        <f t="array" ref="K91">IFERROR(INDEX(_xlfn.ANCHORARRAY($Q$6),ROW()-5,4),"")</f>
        <v/>
      </c>
      <c r="L91" s="290"/>
      <c r="U91">
        <f>IF(OR($A91="",$F91=""),0,MAX(0,MIN($F91,SUMIFS($F$6:$F91,$B$6:$B91,$B91)-(SUMIFS($G$6:$G$355,$B$6:$B$355,$B91)+SUMIFS($H$6:$H$355,$B$6:$B$355,$B91)+SUMIFS($I$6:$I$355,$B$6:$B$355,$B91)))))</f>
        <v>0</v>
      </c>
      <c r="AD91" s="468"/>
      <c r="AE91" s="342"/>
      <c r="AF91" s="342"/>
      <c r="AG91" s="342"/>
      <c r="AH91" s="342"/>
      <c r="AI91" s="342"/>
      <c r="AJ91" s="342"/>
      <c r="AK91" s="342"/>
      <c r="AL91" s="342"/>
      <c r="AM91" s="342"/>
      <c r="AN91" s="342"/>
      <c r="AO91" s="342"/>
      <c r="AP91" s="342"/>
      <c r="AQ91" s="342"/>
      <c r="AR91" s="342"/>
      <c r="AS91" s="342"/>
      <c r="AT91" s="342"/>
      <c r="AU91" s="342"/>
      <c r="AV91" s="342"/>
      <c r="AW91" s="342"/>
      <c r="AX91" s="342"/>
      <c r="AY91" s="342"/>
      <c r="AZ91" s="342"/>
      <c r="BA91" s="342"/>
      <c r="BB91" s="342"/>
      <c r="BC91" s="342"/>
      <c r="BD91" s="342"/>
      <c r="BE91" s="342"/>
      <c r="BF91" s="342"/>
      <c r="BG91" s="342"/>
      <c r="BH91" s="342"/>
      <c r="BI91" s="342"/>
      <c r="BJ91" s="342"/>
      <c r="BK91" s="342"/>
      <c r="BL91" s="342"/>
    </row>
    <row r="92" spans="1:64" ht="23" x14ac:dyDescent="0.25">
      <c r="A92" s="217" t="str" cm="1">
        <f t="array" ref="A92">IFERROR(INDEX(_xlfn.ANCHORARRAY($Q$6),ROW()-5,1),"")</f>
        <v/>
      </c>
      <c r="B92" s="288" t="str" cm="1">
        <f t="array" ref="B92">IFERROR(INDEX(_xlfn.ANCHORARRAY($Q$6),ROW()-5,2),"")</f>
        <v/>
      </c>
      <c r="C92" s="289" t="str" cm="1">
        <f t="array" ref="C92">IFERROR(INDEX(_xlfn.ANCHORARRAY($Q$6),ROW()-5,3),"")</f>
        <v/>
      </c>
      <c r="D92" s="218" t="str">
        <f>IF($A92="","",IF($K92="DIESEL",SUMIFS(Table1[Quantity],Table1[Customer],$B92,Table1[Date],$A92,Table1[Bill No.],$C92),IF($K92="PETROL",SUMIFS(Table14[Quantity],Table14[Customer],$B92,Table14[Date],$A92,Table14[Bill No.],$C92),IF($K92="XtraGreen",SUMIFS(Table146[Quantity],Table146[Company],$B92,Table146[Date],$A92,Table146[Bill No.],$C92),""))))</f>
        <v/>
      </c>
      <c r="E92" s="219" t="str">
        <f>IF($A92="","",IF($K92="DIESEL",AVERAGEIFS(Table1[RSP],Table1[Customer],$B92,Table1[Date],$A92,Table1[Bill No.],$C92),IF($K92="PETROL",AVERAGEIFS(Table14[RSP],Table14[Customer],$B92,Table14[Date],$A92,Table14[Bill No.],$C92),IF($K92="XtraGreen",AVERAGEIFS(Table146[RSP],Table146[Company],$B92,Table146[Date],$A92,Table146[Bill No.],$C92),IFERROR($F92/$D92,"")))))</f>
        <v/>
      </c>
      <c r="F92" s="330" t="str">
        <f>IF($A92="","",IF($K92="DIESEL",SUMIFS(Table1[Amount],Table1[Customer],$B92,Table1[Date],$A92,Table1[Bill No.],$C92),IF($K92="PETROL",SUMIFS(Table14[Amount],Table14[Customer],$B92,Table14[Date],$A92,Table14[Bill No.],$C92),IF($K92="XtraGreen",SUMIFS(Table146[Amount],Table146[Company],$B92,Table146[Date],$A92,Table146[Bill No.],$C92),SUMIFS('Other Sale'!$D:$D,'Other Sale'!$E:$E,$B92,'Other Sale'!$C:$C,$K92,'Other Sale'!$A:$A,$A92)))))</f>
        <v/>
      </c>
      <c r="G92" s="330" t="str" cm="1">
        <f t="array" ref="G92">IF($A92="","",IF($K92="Payment",IFERROR(INDEX(_xlfn._xlws.FILTER(MasterPaid[Amount Paid],(MasterPaid[Customer]=$B92)*(MasterPaid[Date]=$A92)),COUNTIFS($A$6:$A92,$A92,$B$6:$B92,$B92,$K$6:$K92,"Payment")),0),0))</f>
        <v/>
      </c>
      <c r="H92" s="331"/>
      <c r="I92" s="331"/>
      <c r="J92" s="330" t="str">
        <f t="shared" si="2"/>
        <v/>
      </c>
      <c r="K92" s="289" t="str" cm="1">
        <f t="array" ref="K92">IFERROR(INDEX(_xlfn.ANCHORARRAY($Q$6),ROW()-5,4),"")</f>
        <v/>
      </c>
      <c r="L92" s="290"/>
      <c r="U92">
        <f>IF(OR($A92="",$F92=""),0,MAX(0,MIN($F92,SUMIFS($F$6:$F92,$B$6:$B92,$B92)-(SUMIFS($G$6:$G$355,$B$6:$B$355,$B92)+SUMIFS($H$6:$H$355,$B$6:$B$355,$B92)+SUMIFS($I$6:$I$355,$B$6:$B$355,$B92)))))</f>
        <v>0</v>
      </c>
      <c r="AD92" s="468"/>
      <c r="AE92" s="342"/>
      <c r="AF92" s="342"/>
      <c r="AG92" s="342"/>
      <c r="AH92" s="342"/>
      <c r="AI92" s="342"/>
      <c r="AJ92" s="342"/>
      <c r="AK92" s="342"/>
      <c r="AL92" s="342"/>
      <c r="AM92" s="342"/>
      <c r="AN92" s="342"/>
      <c r="AO92" s="342"/>
      <c r="AP92" s="342"/>
      <c r="AQ92" s="342"/>
      <c r="AR92" s="342"/>
      <c r="AS92" s="342"/>
      <c r="AT92" s="342"/>
      <c r="AU92" s="342"/>
      <c r="AV92" s="342"/>
      <c r="AW92" s="342"/>
      <c r="AX92" s="342"/>
      <c r="AY92" s="342"/>
      <c r="AZ92" s="342"/>
      <c r="BA92" s="342"/>
      <c r="BB92" s="342"/>
      <c r="BC92" s="342"/>
      <c r="BD92" s="342"/>
      <c r="BE92" s="342"/>
      <c r="BF92" s="342"/>
      <c r="BG92" s="342"/>
      <c r="BH92" s="342"/>
      <c r="BI92" s="342"/>
      <c r="BJ92" s="342"/>
      <c r="BK92" s="342"/>
      <c r="BL92" s="342"/>
    </row>
    <row r="93" spans="1:64" ht="23" x14ac:dyDescent="0.25">
      <c r="A93" s="217" t="str" cm="1">
        <f t="array" ref="A93">IFERROR(INDEX(_xlfn.ANCHORARRAY($Q$6),ROW()-5,1),"")</f>
        <v/>
      </c>
      <c r="B93" s="288" t="str" cm="1">
        <f t="array" ref="B93">IFERROR(INDEX(_xlfn.ANCHORARRAY($Q$6),ROW()-5,2),"")</f>
        <v/>
      </c>
      <c r="C93" s="289" t="str" cm="1">
        <f t="array" ref="C93">IFERROR(INDEX(_xlfn.ANCHORARRAY($Q$6),ROW()-5,3),"")</f>
        <v/>
      </c>
      <c r="D93" s="218" t="str">
        <f>IF($A93="","",IF($K93="DIESEL",SUMIFS(Table1[Quantity],Table1[Customer],$B93,Table1[Date],$A93,Table1[Bill No.],$C93),IF($K93="PETROL",SUMIFS(Table14[Quantity],Table14[Customer],$B93,Table14[Date],$A93,Table14[Bill No.],$C93),IF($K93="XtraGreen",SUMIFS(Table146[Quantity],Table146[Company],$B93,Table146[Date],$A93,Table146[Bill No.],$C93),""))))</f>
        <v/>
      </c>
      <c r="E93" s="219" t="str">
        <f>IF($A93="","",IF($K93="DIESEL",AVERAGEIFS(Table1[RSP],Table1[Customer],$B93,Table1[Date],$A93,Table1[Bill No.],$C93),IF($K93="PETROL",AVERAGEIFS(Table14[RSP],Table14[Customer],$B93,Table14[Date],$A93,Table14[Bill No.],$C93),IF($K93="XtraGreen",AVERAGEIFS(Table146[RSP],Table146[Company],$B93,Table146[Date],$A93,Table146[Bill No.],$C93),IFERROR($F93/$D93,"")))))</f>
        <v/>
      </c>
      <c r="F93" s="330" t="str">
        <f>IF($A93="","",IF($K93="DIESEL",SUMIFS(Table1[Amount],Table1[Customer],$B93,Table1[Date],$A93,Table1[Bill No.],$C93),IF($K93="PETROL",SUMIFS(Table14[Amount],Table14[Customer],$B93,Table14[Date],$A93,Table14[Bill No.],$C93),IF($K93="XtraGreen",SUMIFS(Table146[Amount],Table146[Company],$B93,Table146[Date],$A93,Table146[Bill No.],$C93),SUMIFS('Other Sale'!$D:$D,'Other Sale'!$E:$E,$B93,'Other Sale'!$C:$C,$K93,'Other Sale'!$A:$A,$A93)))))</f>
        <v/>
      </c>
      <c r="G93" s="330" t="str" cm="1">
        <f t="array" ref="G93">IF($A93="","",IF($K93="Payment",IFERROR(INDEX(_xlfn._xlws.FILTER(MasterPaid[Amount Paid],(MasterPaid[Customer]=$B93)*(MasterPaid[Date]=$A93)),COUNTIFS($A$6:$A93,$A93,$B$6:$B93,$B93,$K$6:$K93,"Payment")),0),0))</f>
        <v/>
      </c>
      <c r="H93" s="331"/>
      <c r="I93" s="331"/>
      <c r="J93" s="330" t="str">
        <f t="shared" si="2"/>
        <v/>
      </c>
      <c r="K93" s="289" t="str" cm="1">
        <f t="array" ref="K93">IFERROR(INDEX(_xlfn.ANCHORARRAY($Q$6),ROW()-5,4),"")</f>
        <v/>
      </c>
      <c r="L93" s="290"/>
      <c r="U93">
        <f>IF(OR($A93="",$F93=""),0,MAX(0,MIN($F93,SUMIFS($F$6:$F93,$B$6:$B93,$B93)-(SUMIFS($G$6:$G$355,$B$6:$B$355,$B93)+SUMIFS($H$6:$H$355,$B$6:$B$355,$B93)+SUMIFS($I$6:$I$355,$B$6:$B$355,$B93)))))</f>
        <v>0</v>
      </c>
      <c r="AD93" s="468"/>
      <c r="AE93" s="342"/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  <c r="AZ93" s="342"/>
      <c r="BA93" s="342"/>
      <c r="BB93" s="342"/>
      <c r="BC93" s="342"/>
      <c r="BD93" s="342"/>
      <c r="BE93" s="342"/>
      <c r="BF93" s="342"/>
      <c r="BG93" s="342"/>
      <c r="BH93" s="342"/>
      <c r="BI93" s="342"/>
      <c r="BJ93" s="342"/>
      <c r="BK93" s="342"/>
      <c r="BL93" s="342"/>
    </row>
    <row r="94" spans="1:64" ht="23" x14ac:dyDescent="0.25">
      <c r="A94" s="217" t="str" cm="1">
        <f t="array" ref="A94">IFERROR(INDEX(_xlfn.ANCHORARRAY($Q$6),ROW()-5,1),"")</f>
        <v/>
      </c>
      <c r="B94" s="288" t="str" cm="1">
        <f t="array" ref="B94">IFERROR(INDEX(_xlfn.ANCHORARRAY($Q$6),ROW()-5,2),"")</f>
        <v/>
      </c>
      <c r="C94" s="289" t="str" cm="1">
        <f t="array" ref="C94">IFERROR(INDEX(_xlfn.ANCHORARRAY($Q$6),ROW()-5,3),"")</f>
        <v/>
      </c>
      <c r="D94" s="218" t="str">
        <f>IF($A94="","",IF($K94="DIESEL",SUMIFS(Table1[Quantity],Table1[Customer],$B94,Table1[Date],$A94,Table1[Bill No.],$C94),IF($K94="PETROL",SUMIFS(Table14[Quantity],Table14[Customer],$B94,Table14[Date],$A94,Table14[Bill No.],$C94),IF($K94="XtraGreen",SUMIFS(Table146[Quantity],Table146[Company],$B94,Table146[Date],$A94,Table146[Bill No.],$C94),""))))</f>
        <v/>
      </c>
      <c r="E94" s="219" t="str">
        <f>IF($A94="","",IF($K94="DIESEL",AVERAGEIFS(Table1[RSP],Table1[Customer],$B94,Table1[Date],$A94,Table1[Bill No.],$C94),IF($K94="PETROL",AVERAGEIFS(Table14[RSP],Table14[Customer],$B94,Table14[Date],$A94,Table14[Bill No.],$C94),IF($K94="XtraGreen",AVERAGEIFS(Table146[RSP],Table146[Company],$B94,Table146[Date],$A94,Table146[Bill No.],$C94),IFERROR($F94/$D94,"")))))</f>
        <v/>
      </c>
      <c r="F94" s="330" t="str">
        <f>IF($A94="","",IF($K94="DIESEL",SUMIFS(Table1[Amount],Table1[Customer],$B94,Table1[Date],$A94,Table1[Bill No.],$C94),IF($K94="PETROL",SUMIFS(Table14[Amount],Table14[Customer],$B94,Table14[Date],$A94,Table14[Bill No.],$C94),IF($K94="XtraGreen",SUMIFS(Table146[Amount],Table146[Company],$B94,Table146[Date],$A94,Table146[Bill No.],$C94),SUMIFS('Other Sale'!$D:$D,'Other Sale'!$E:$E,$B94,'Other Sale'!$C:$C,$K94,'Other Sale'!$A:$A,$A94)))))</f>
        <v/>
      </c>
      <c r="G94" s="330" t="str" cm="1">
        <f t="array" ref="G94">IF($A94="","",IF($K94="Payment",IFERROR(INDEX(_xlfn._xlws.FILTER(MasterPaid[Amount Paid],(MasterPaid[Customer]=$B94)*(MasterPaid[Date]=$A94)),COUNTIFS($A$6:$A94,$A94,$B$6:$B94,$B94,$K$6:$K94,"Payment")),0),0))</f>
        <v/>
      </c>
      <c r="H94" s="331"/>
      <c r="I94" s="331"/>
      <c r="J94" s="330" t="str">
        <f t="shared" si="2"/>
        <v/>
      </c>
      <c r="K94" s="289" t="str" cm="1">
        <f t="array" ref="K94">IFERROR(INDEX(_xlfn.ANCHORARRAY($Q$6),ROW()-5,4),"")</f>
        <v/>
      </c>
      <c r="L94" s="290"/>
      <c r="U94">
        <f>IF(OR($A94="",$F94=""),0,MAX(0,MIN($F94,SUMIFS($F$6:$F94,$B$6:$B94,$B94)-(SUMIFS($G$6:$G$355,$B$6:$B$355,$B94)+SUMIFS($H$6:$H$355,$B$6:$B$355,$B94)+SUMIFS($I$6:$I$355,$B$6:$B$355,$B94)))))</f>
        <v>0</v>
      </c>
      <c r="AD94" s="468"/>
      <c r="AE94" s="342"/>
      <c r="AF94" s="342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2"/>
      <c r="AR94" s="342"/>
      <c r="AS94" s="342"/>
      <c r="AT94" s="342"/>
      <c r="AU94" s="342"/>
      <c r="AV94" s="342"/>
      <c r="AW94" s="342"/>
      <c r="AX94" s="342"/>
      <c r="AY94" s="342"/>
      <c r="AZ94" s="342"/>
      <c r="BA94" s="342"/>
      <c r="BB94" s="342"/>
      <c r="BC94" s="342"/>
      <c r="BD94" s="342"/>
      <c r="BE94" s="342"/>
      <c r="BF94" s="342"/>
      <c r="BG94" s="342"/>
      <c r="BH94" s="342"/>
      <c r="BI94" s="342"/>
      <c r="BJ94" s="342"/>
      <c r="BK94" s="342"/>
      <c r="BL94" s="342"/>
    </row>
    <row r="95" spans="1:64" ht="23" x14ac:dyDescent="0.25">
      <c r="A95" s="217" t="str" cm="1">
        <f t="array" ref="A95">IFERROR(INDEX(_xlfn.ANCHORARRAY($Q$6),ROW()-5,1),"")</f>
        <v/>
      </c>
      <c r="B95" s="288" t="str" cm="1">
        <f t="array" ref="B95">IFERROR(INDEX(_xlfn.ANCHORARRAY($Q$6),ROW()-5,2),"")</f>
        <v/>
      </c>
      <c r="C95" s="289" t="str" cm="1">
        <f t="array" ref="C95">IFERROR(INDEX(_xlfn.ANCHORARRAY($Q$6),ROW()-5,3),"")</f>
        <v/>
      </c>
      <c r="D95" s="218" t="str">
        <f>IF($A95="","",IF($K95="DIESEL",SUMIFS(Table1[Quantity],Table1[Customer],$B95,Table1[Date],$A95,Table1[Bill No.],$C95),IF($K95="PETROL",SUMIFS(Table14[Quantity],Table14[Customer],$B95,Table14[Date],$A95,Table14[Bill No.],$C95),IF($K95="XtraGreen",SUMIFS(Table146[Quantity],Table146[Company],$B95,Table146[Date],$A95,Table146[Bill No.],$C95),""))))</f>
        <v/>
      </c>
      <c r="E95" s="219" t="str">
        <f>IF($A95="","",IF($K95="DIESEL",AVERAGEIFS(Table1[RSP],Table1[Customer],$B95,Table1[Date],$A95,Table1[Bill No.],$C95),IF($K95="PETROL",AVERAGEIFS(Table14[RSP],Table14[Customer],$B95,Table14[Date],$A95,Table14[Bill No.],$C95),IF($K95="XtraGreen",AVERAGEIFS(Table146[RSP],Table146[Company],$B95,Table146[Date],$A95,Table146[Bill No.],$C95),IFERROR($F95/$D95,"")))))</f>
        <v/>
      </c>
      <c r="F95" s="330" t="str">
        <f>IF($A95="","",IF($K95="DIESEL",SUMIFS(Table1[Amount],Table1[Customer],$B95,Table1[Date],$A95,Table1[Bill No.],$C95),IF($K95="PETROL",SUMIFS(Table14[Amount],Table14[Customer],$B95,Table14[Date],$A95,Table14[Bill No.],$C95),IF($K95="XtraGreen",SUMIFS(Table146[Amount],Table146[Company],$B95,Table146[Date],$A95,Table146[Bill No.],$C95),SUMIFS('Other Sale'!$D:$D,'Other Sale'!$E:$E,$B95,'Other Sale'!$C:$C,$K95,'Other Sale'!$A:$A,$A95)))))</f>
        <v/>
      </c>
      <c r="G95" s="330" t="str" cm="1">
        <f t="array" ref="G95">IF($A95="","",IF($K95="Payment",IFERROR(INDEX(_xlfn._xlws.FILTER(MasterPaid[Amount Paid],(MasterPaid[Customer]=$B95)*(MasterPaid[Date]=$A95)),COUNTIFS($A$6:$A95,$A95,$B$6:$B95,$B95,$K$6:$K95,"Payment")),0),0))</f>
        <v/>
      </c>
      <c r="H95" s="331"/>
      <c r="I95" s="331"/>
      <c r="J95" s="330" t="str">
        <f t="shared" si="2"/>
        <v/>
      </c>
      <c r="K95" s="289" t="str" cm="1">
        <f t="array" ref="K95">IFERROR(INDEX(_xlfn.ANCHORARRAY($Q$6),ROW()-5,4),"")</f>
        <v/>
      </c>
      <c r="L95" s="290"/>
      <c r="U95">
        <f>IF(OR($A95="",$F95=""),0,MAX(0,MIN($F95,SUMIFS($F$6:$F95,$B$6:$B95,$B95)-(SUMIFS($G$6:$G$355,$B$6:$B$355,$B95)+SUMIFS($H$6:$H$355,$B$6:$B$355,$B95)+SUMIFS($I$6:$I$355,$B$6:$B$355,$B95)))))</f>
        <v>0</v>
      </c>
      <c r="AD95" s="468"/>
      <c r="AE95" s="342"/>
      <c r="AF95" s="342"/>
      <c r="AG95" s="342"/>
      <c r="AH95" s="342"/>
      <c r="AI95" s="342"/>
      <c r="AJ95" s="342"/>
      <c r="AK95" s="342"/>
      <c r="AL95" s="342"/>
      <c r="AM95" s="342"/>
      <c r="AN95" s="342"/>
      <c r="AO95" s="342"/>
      <c r="AP95" s="342"/>
      <c r="AQ95" s="342"/>
      <c r="AR95" s="342"/>
      <c r="AS95" s="342"/>
      <c r="AT95" s="342"/>
      <c r="AU95" s="342"/>
      <c r="AV95" s="342"/>
      <c r="AW95" s="342"/>
      <c r="AX95" s="342"/>
      <c r="AY95" s="342"/>
      <c r="AZ95" s="342"/>
      <c r="BA95" s="342"/>
      <c r="BB95" s="342"/>
      <c r="BC95" s="342"/>
      <c r="BD95" s="342"/>
      <c r="BE95" s="342"/>
      <c r="BF95" s="342"/>
      <c r="BG95" s="342"/>
      <c r="BH95" s="342"/>
      <c r="BI95" s="342"/>
      <c r="BJ95" s="342"/>
      <c r="BK95" s="342"/>
      <c r="BL95" s="342"/>
    </row>
    <row r="96" spans="1:64" ht="23" x14ac:dyDescent="0.25">
      <c r="A96" s="217" t="str" cm="1">
        <f t="array" ref="A96">IFERROR(INDEX(_xlfn.ANCHORARRAY($Q$6),ROW()-5,1),"")</f>
        <v/>
      </c>
      <c r="B96" s="288" t="str" cm="1">
        <f t="array" ref="B96">IFERROR(INDEX(_xlfn.ANCHORARRAY($Q$6),ROW()-5,2),"")</f>
        <v/>
      </c>
      <c r="C96" s="289" t="str" cm="1">
        <f t="array" ref="C96">IFERROR(INDEX(_xlfn.ANCHORARRAY($Q$6),ROW()-5,3),"")</f>
        <v/>
      </c>
      <c r="D96" s="218" t="str">
        <f>IF($A96="","",IF($K96="DIESEL",SUMIFS(Table1[Quantity],Table1[Customer],$B96,Table1[Date],$A96,Table1[Bill No.],$C96),IF($K96="PETROL",SUMIFS(Table14[Quantity],Table14[Customer],$B96,Table14[Date],$A96,Table14[Bill No.],$C96),IF($K96="XtraGreen",SUMIFS(Table146[Quantity],Table146[Company],$B96,Table146[Date],$A96,Table146[Bill No.],$C96),""))))</f>
        <v/>
      </c>
      <c r="E96" s="219" t="str">
        <f>IF($A96="","",IF($K96="DIESEL",AVERAGEIFS(Table1[RSP],Table1[Customer],$B96,Table1[Date],$A96,Table1[Bill No.],$C96),IF($K96="PETROL",AVERAGEIFS(Table14[RSP],Table14[Customer],$B96,Table14[Date],$A96,Table14[Bill No.],$C96),IF($K96="XtraGreen",AVERAGEIFS(Table146[RSP],Table146[Company],$B96,Table146[Date],$A96,Table146[Bill No.],$C96),IFERROR($F96/$D96,"")))))</f>
        <v/>
      </c>
      <c r="F96" s="330" t="str">
        <f>IF($A96="","",IF($K96="DIESEL",SUMIFS(Table1[Amount],Table1[Customer],$B96,Table1[Date],$A96,Table1[Bill No.],$C96),IF($K96="PETROL",SUMIFS(Table14[Amount],Table14[Customer],$B96,Table14[Date],$A96,Table14[Bill No.],$C96),IF($K96="XtraGreen",SUMIFS(Table146[Amount],Table146[Company],$B96,Table146[Date],$A96,Table146[Bill No.],$C96),SUMIFS('Other Sale'!$D:$D,'Other Sale'!$E:$E,$B96,'Other Sale'!$C:$C,$K96,'Other Sale'!$A:$A,$A96)))))</f>
        <v/>
      </c>
      <c r="G96" s="330" t="str" cm="1">
        <f t="array" ref="G96">IF($A96="","",IF($K96="Payment",IFERROR(INDEX(_xlfn._xlws.FILTER(MasterPaid[Amount Paid],(MasterPaid[Customer]=$B96)*(MasterPaid[Date]=$A96)),COUNTIFS($A$6:$A96,$A96,$B$6:$B96,$B96,$K$6:$K96,"Payment")),0),0))</f>
        <v/>
      </c>
      <c r="H96" s="331"/>
      <c r="I96" s="331"/>
      <c r="J96" s="330" t="str">
        <f t="shared" si="2"/>
        <v/>
      </c>
      <c r="K96" s="289" t="str" cm="1">
        <f t="array" ref="K96">IFERROR(INDEX(_xlfn.ANCHORARRAY($Q$6),ROW()-5,4),"")</f>
        <v/>
      </c>
      <c r="L96" s="290"/>
      <c r="U96">
        <f>IF(OR($A96="",$F96=""),0,MAX(0,MIN($F96,SUMIFS($F$6:$F96,$B$6:$B96,$B96)-(SUMIFS($G$6:$G$355,$B$6:$B$355,$B96)+SUMIFS($H$6:$H$355,$B$6:$B$355,$B96)+SUMIFS($I$6:$I$355,$B$6:$B$355,$B96)))))</f>
        <v>0</v>
      </c>
      <c r="AD96" s="468"/>
      <c r="AE96" s="342"/>
      <c r="AF96" s="342"/>
      <c r="AG96" s="342"/>
      <c r="AH96" s="342"/>
      <c r="AI96" s="342"/>
      <c r="AJ96" s="342"/>
      <c r="AK96" s="342"/>
      <c r="AL96" s="342"/>
      <c r="AM96" s="342"/>
      <c r="AN96" s="342"/>
      <c r="AO96" s="342"/>
      <c r="AP96" s="342"/>
      <c r="AQ96" s="342"/>
      <c r="AR96" s="342"/>
      <c r="AS96" s="342"/>
      <c r="AT96" s="342"/>
      <c r="AU96" s="342"/>
      <c r="AV96" s="342"/>
      <c r="AW96" s="342"/>
      <c r="AX96" s="342"/>
      <c r="AY96" s="342"/>
      <c r="AZ96" s="342"/>
      <c r="BA96" s="342"/>
      <c r="BB96" s="342"/>
      <c r="BC96" s="342"/>
      <c r="BD96" s="342"/>
      <c r="BE96" s="342"/>
      <c r="BF96" s="342"/>
      <c r="BG96" s="342"/>
      <c r="BH96" s="342"/>
      <c r="BI96" s="342"/>
      <c r="BJ96" s="342"/>
      <c r="BK96" s="342"/>
      <c r="BL96" s="342"/>
    </row>
    <row r="97" spans="1:64" ht="23" x14ac:dyDescent="0.25">
      <c r="A97" s="217" t="str" cm="1">
        <f t="array" ref="A97">IFERROR(INDEX(_xlfn.ANCHORARRAY($Q$6),ROW()-5,1),"")</f>
        <v/>
      </c>
      <c r="B97" s="288" t="str" cm="1">
        <f t="array" ref="B97">IFERROR(INDEX(_xlfn.ANCHORARRAY($Q$6),ROW()-5,2),"")</f>
        <v/>
      </c>
      <c r="C97" s="289" t="str" cm="1">
        <f t="array" ref="C97">IFERROR(INDEX(_xlfn.ANCHORARRAY($Q$6),ROW()-5,3),"")</f>
        <v/>
      </c>
      <c r="D97" s="218" t="str">
        <f>IF($A97="","",IF($K97="DIESEL",SUMIFS(Table1[Quantity],Table1[Customer],$B97,Table1[Date],$A97,Table1[Bill No.],$C97),IF($K97="PETROL",SUMIFS(Table14[Quantity],Table14[Customer],$B97,Table14[Date],$A97,Table14[Bill No.],$C97),IF($K97="XtraGreen",SUMIFS(Table146[Quantity],Table146[Company],$B97,Table146[Date],$A97,Table146[Bill No.],$C97),""))))</f>
        <v/>
      </c>
      <c r="E97" s="219" t="str">
        <f>IF($A97="","",IF($K97="DIESEL",AVERAGEIFS(Table1[RSP],Table1[Customer],$B97,Table1[Date],$A97,Table1[Bill No.],$C97),IF($K97="PETROL",AVERAGEIFS(Table14[RSP],Table14[Customer],$B97,Table14[Date],$A97,Table14[Bill No.],$C97),IF($K97="XtraGreen",AVERAGEIFS(Table146[RSP],Table146[Company],$B97,Table146[Date],$A97,Table146[Bill No.],$C97),IFERROR($F97/$D97,"")))))</f>
        <v/>
      </c>
      <c r="F97" s="330" t="str">
        <f>IF($A97="","",IF($K97="DIESEL",SUMIFS(Table1[Amount],Table1[Customer],$B97,Table1[Date],$A97,Table1[Bill No.],$C97),IF($K97="PETROL",SUMIFS(Table14[Amount],Table14[Customer],$B97,Table14[Date],$A97,Table14[Bill No.],$C97),IF($K97="XtraGreen",SUMIFS(Table146[Amount],Table146[Company],$B97,Table146[Date],$A97,Table146[Bill No.],$C97),SUMIFS('Other Sale'!$D:$D,'Other Sale'!$E:$E,$B97,'Other Sale'!$C:$C,$K97,'Other Sale'!$A:$A,$A97)))))</f>
        <v/>
      </c>
      <c r="G97" s="330" t="str" cm="1">
        <f t="array" ref="G97">IF($A97="","",IF($K97="Payment",IFERROR(INDEX(_xlfn._xlws.FILTER(MasterPaid[Amount Paid],(MasterPaid[Customer]=$B97)*(MasterPaid[Date]=$A97)),COUNTIFS($A$6:$A97,$A97,$B$6:$B97,$B97,$K$6:$K97,"Payment")),0),0))</f>
        <v/>
      </c>
      <c r="H97" s="331"/>
      <c r="I97" s="331"/>
      <c r="J97" s="330" t="str">
        <f t="shared" si="2"/>
        <v/>
      </c>
      <c r="K97" s="289" t="str" cm="1">
        <f t="array" ref="K97">IFERROR(INDEX(_xlfn.ANCHORARRAY($Q$6),ROW()-5,4),"")</f>
        <v/>
      </c>
      <c r="L97" s="290"/>
      <c r="U97">
        <f>IF(OR($A97="",$F97=""),0,MAX(0,MIN($F97,SUMIFS($F$6:$F97,$B$6:$B97,$B97)-(SUMIFS($G$6:$G$355,$B$6:$B$355,$B97)+SUMIFS($H$6:$H$355,$B$6:$B$355,$B97)+SUMIFS($I$6:$I$355,$B$6:$B$355,$B97)))))</f>
        <v>0</v>
      </c>
      <c r="AD97" s="468"/>
      <c r="AE97" s="342"/>
      <c r="AF97" s="342"/>
      <c r="AG97" s="342"/>
      <c r="AH97" s="342"/>
      <c r="AI97" s="342"/>
      <c r="AJ97" s="342"/>
      <c r="AK97" s="342"/>
      <c r="AL97" s="342"/>
      <c r="AM97" s="342"/>
      <c r="AN97" s="342"/>
      <c r="AO97" s="342"/>
      <c r="AP97" s="342"/>
      <c r="AQ97" s="342"/>
      <c r="AR97" s="342"/>
      <c r="AS97" s="342"/>
      <c r="AT97" s="342"/>
      <c r="AU97" s="342"/>
      <c r="AV97" s="342"/>
      <c r="AW97" s="342"/>
      <c r="AX97" s="342"/>
      <c r="AY97" s="342"/>
      <c r="AZ97" s="342"/>
      <c r="BA97" s="342"/>
      <c r="BB97" s="342"/>
      <c r="BC97" s="342"/>
      <c r="BD97" s="342"/>
      <c r="BE97" s="342"/>
      <c r="BF97" s="342"/>
      <c r="BG97" s="342"/>
      <c r="BH97" s="342"/>
      <c r="BI97" s="342"/>
      <c r="BJ97" s="342"/>
      <c r="BK97" s="342"/>
      <c r="BL97" s="342"/>
    </row>
    <row r="98" spans="1:64" ht="23" x14ac:dyDescent="0.25">
      <c r="A98" s="217" t="str" cm="1">
        <f t="array" ref="A98">IFERROR(INDEX(_xlfn.ANCHORARRAY($Q$6),ROW()-5,1),"")</f>
        <v/>
      </c>
      <c r="B98" s="288" t="str" cm="1">
        <f t="array" ref="B98">IFERROR(INDEX(_xlfn.ANCHORARRAY($Q$6),ROW()-5,2),"")</f>
        <v/>
      </c>
      <c r="C98" s="289" t="str" cm="1">
        <f t="array" ref="C98">IFERROR(INDEX(_xlfn.ANCHORARRAY($Q$6),ROW()-5,3),"")</f>
        <v/>
      </c>
      <c r="D98" s="218" t="str">
        <f>IF($A98="","",IF($K98="DIESEL",SUMIFS(Table1[Quantity],Table1[Customer],$B98,Table1[Date],$A98,Table1[Bill No.],$C98),IF($K98="PETROL",SUMIFS(Table14[Quantity],Table14[Customer],$B98,Table14[Date],$A98,Table14[Bill No.],$C98),IF($K98="XtraGreen",SUMIFS(Table146[Quantity],Table146[Company],$B98,Table146[Date],$A98,Table146[Bill No.],$C98),""))))</f>
        <v/>
      </c>
      <c r="E98" s="219" t="str">
        <f>IF($A98="","",IF($K98="DIESEL",AVERAGEIFS(Table1[RSP],Table1[Customer],$B98,Table1[Date],$A98,Table1[Bill No.],$C98),IF($K98="PETROL",AVERAGEIFS(Table14[RSP],Table14[Customer],$B98,Table14[Date],$A98,Table14[Bill No.],$C98),IF($K98="XtraGreen",AVERAGEIFS(Table146[RSP],Table146[Company],$B98,Table146[Date],$A98,Table146[Bill No.],$C98),IFERROR($F98/$D98,"")))))</f>
        <v/>
      </c>
      <c r="F98" s="330" t="str">
        <f>IF($A98="","",IF($K98="DIESEL",SUMIFS(Table1[Amount],Table1[Customer],$B98,Table1[Date],$A98,Table1[Bill No.],$C98),IF($K98="PETROL",SUMIFS(Table14[Amount],Table14[Customer],$B98,Table14[Date],$A98,Table14[Bill No.],$C98),IF($K98="XtraGreen",SUMIFS(Table146[Amount],Table146[Company],$B98,Table146[Date],$A98,Table146[Bill No.],$C98),SUMIFS('Other Sale'!$D:$D,'Other Sale'!$E:$E,$B98,'Other Sale'!$C:$C,$K98,'Other Sale'!$A:$A,$A98)))))</f>
        <v/>
      </c>
      <c r="G98" s="330" t="str" cm="1">
        <f t="array" ref="G98">IF($A98="","",IF($K98="Payment",IFERROR(INDEX(_xlfn._xlws.FILTER(MasterPaid[Amount Paid],(MasterPaid[Customer]=$B98)*(MasterPaid[Date]=$A98)),COUNTIFS($A$6:$A98,$A98,$B$6:$B98,$B98,$K$6:$K98,"Payment")),0),0))</f>
        <v/>
      </c>
      <c r="H98" s="331"/>
      <c r="I98" s="331"/>
      <c r="J98" s="330" t="str">
        <f t="shared" si="2"/>
        <v/>
      </c>
      <c r="K98" s="289" t="str" cm="1">
        <f t="array" ref="K98">IFERROR(INDEX(_xlfn.ANCHORARRAY($Q$6),ROW()-5,4),"")</f>
        <v/>
      </c>
      <c r="L98" s="290"/>
      <c r="U98">
        <f>IF(OR($A98="",$F98=""),0,MAX(0,MIN($F98,SUMIFS($F$6:$F98,$B$6:$B98,$B98)-(SUMIFS($G$6:$G$355,$B$6:$B$355,$B98)+SUMIFS($H$6:$H$355,$B$6:$B$355,$B98)+SUMIFS($I$6:$I$355,$B$6:$B$355,$B98)))))</f>
        <v>0</v>
      </c>
      <c r="AD98" s="468"/>
      <c r="AE98" s="342"/>
      <c r="AF98" s="342"/>
      <c r="AG98" s="342"/>
      <c r="AH98" s="342"/>
      <c r="AI98" s="342"/>
      <c r="AJ98" s="342"/>
      <c r="AK98" s="342"/>
      <c r="AL98" s="342"/>
      <c r="AM98" s="342"/>
      <c r="AN98" s="342"/>
      <c r="AO98" s="342"/>
      <c r="AP98" s="342"/>
      <c r="AQ98" s="342"/>
      <c r="AR98" s="342"/>
      <c r="AS98" s="342"/>
      <c r="AT98" s="342"/>
      <c r="AU98" s="342"/>
      <c r="AV98" s="342"/>
      <c r="AW98" s="342"/>
      <c r="AX98" s="342"/>
      <c r="AY98" s="342"/>
      <c r="AZ98" s="342"/>
      <c r="BA98" s="342"/>
      <c r="BB98" s="342"/>
      <c r="BC98" s="342"/>
      <c r="BD98" s="342"/>
      <c r="BE98" s="342"/>
      <c r="BF98" s="342"/>
      <c r="BG98" s="342"/>
      <c r="BH98" s="342"/>
      <c r="BI98" s="342"/>
      <c r="BJ98" s="342"/>
      <c r="BK98" s="342"/>
      <c r="BL98" s="342"/>
    </row>
    <row r="99" spans="1:64" ht="23" x14ac:dyDescent="0.25">
      <c r="A99" s="217" t="str" cm="1">
        <f t="array" ref="A99">IFERROR(INDEX(_xlfn.ANCHORARRAY($Q$6),ROW()-5,1),"")</f>
        <v/>
      </c>
      <c r="B99" s="288" t="str" cm="1">
        <f t="array" ref="B99">IFERROR(INDEX(_xlfn.ANCHORARRAY($Q$6),ROW()-5,2),"")</f>
        <v/>
      </c>
      <c r="C99" s="289" t="str" cm="1">
        <f t="array" ref="C99">IFERROR(INDEX(_xlfn.ANCHORARRAY($Q$6),ROW()-5,3),"")</f>
        <v/>
      </c>
      <c r="D99" s="218" t="str">
        <f>IF($A99="","",IF($K99="DIESEL",SUMIFS(Table1[Quantity],Table1[Customer],$B99,Table1[Date],$A99,Table1[Bill No.],$C99),IF($K99="PETROL",SUMIFS(Table14[Quantity],Table14[Customer],$B99,Table14[Date],$A99,Table14[Bill No.],$C99),IF($K99="XtraGreen",SUMIFS(Table146[Quantity],Table146[Company],$B99,Table146[Date],$A99,Table146[Bill No.],$C99),""))))</f>
        <v/>
      </c>
      <c r="E99" s="219" t="str">
        <f>IF($A99="","",IF($K99="DIESEL",AVERAGEIFS(Table1[RSP],Table1[Customer],$B99,Table1[Date],$A99,Table1[Bill No.],$C99),IF($K99="PETROL",AVERAGEIFS(Table14[RSP],Table14[Customer],$B99,Table14[Date],$A99,Table14[Bill No.],$C99),IF($K99="XtraGreen",AVERAGEIFS(Table146[RSP],Table146[Company],$B99,Table146[Date],$A99,Table146[Bill No.],$C99),IFERROR($F99/$D99,"")))))</f>
        <v/>
      </c>
      <c r="F99" s="330" t="str">
        <f>IF($A99="","",IF($K99="DIESEL",SUMIFS(Table1[Amount],Table1[Customer],$B99,Table1[Date],$A99,Table1[Bill No.],$C99),IF($K99="PETROL",SUMIFS(Table14[Amount],Table14[Customer],$B99,Table14[Date],$A99,Table14[Bill No.],$C99),IF($K99="XtraGreen",SUMIFS(Table146[Amount],Table146[Company],$B99,Table146[Date],$A99,Table146[Bill No.],$C99),SUMIFS('Other Sale'!$D:$D,'Other Sale'!$E:$E,$B99,'Other Sale'!$C:$C,$K99,'Other Sale'!$A:$A,$A99)))))</f>
        <v/>
      </c>
      <c r="G99" s="330" t="str" cm="1">
        <f t="array" ref="G99">IF($A99="","",IF($K99="Payment",IFERROR(INDEX(_xlfn._xlws.FILTER(MasterPaid[Amount Paid],(MasterPaid[Customer]=$B99)*(MasterPaid[Date]=$A99)),COUNTIFS($A$6:$A99,$A99,$B$6:$B99,$B99,$K$6:$K99,"Payment")),0),0))</f>
        <v/>
      </c>
      <c r="H99" s="331"/>
      <c r="I99" s="331"/>
      <c r="J99" s="330" t="str">
        <f t="shared" si="2"/>
        <v/>
      </c>
      <c r="K99" s="289" t="str" cm="1">
        <f t="array" ref="K99">IFERROR(INDEX(_xlfn.ANCHORARRAY($Q$6),ROW()-5,4),"")</f>
        <v/>
      </c>
      <c r="L99" s="290"/>
      <c r="U99">
        <f>IF(OR($A99="",$F99=""),0,MAX(0,MIN($F99,SUMIFS($F$6:$F99,$B$6:$B99,$B99)-(SUMIFS($G$6:$G$355,$B$6:$B$355,$B99)+SUMIFS($H$6:$H$355,$B$6:$B$355,$B99)+SUMIFS($I$6:$I$355,$B$6:$B$355,$B99)))))</f>
        <v>0</v>
      </c>
      <c r="AD99" s="468"/>
      <c r="AE99" s="342"/>
      <c r="AF99" s="342"/>
      <c r="AG99" s="342"/>
      <c r="AH99" s="342"/>
      <c r="AI99" s="342"/>
      <c r="AJ99" s="342"/>
      <c r="AK99" s="342"/>
      <c r="AL99" s="342"/>
      <c r="AM99" s="342"/>
      <c r="AN99" s="342"/>
      <c r="AO99" s="342"/>
      <c r="AP99" s="342"/>
      <c r="AQ99" s="342"/>
      <c r="AR99" s="342"/>
      <c r="AS99" s="342"/>
      <c r="AT99" s="342"/>
      <c r="AU99" s="342"/>
      <c r="AV99" s="342"/>
      <c r="AW99" s="342"/>
      <c r="AX99" s="342"/>
      <c r="AY99" s="342"/>
      <c r="AZ99" s="342"/>
      <c r="BA99" s="342"/>
      <c r="BB99" s="342"/>
      <c r="BC99" s="342"/>
      <c r="BD99" s="342"/>
      <c r="BE99" s="342"/>
      <c r="BF99" s="342"/>
      <c r="BG99" s="342"/>
      <c r="BH99" s="342"/>
      <c r="BI99" s="342"/>
      <c r="BJ99" s="342"/>
      <c r="BK99" s="342"/>
      <c r="BL99" s="342"/>
    </row>
    <row r="100" spans="1:64" ht="23" x14ac:dyDescent="0.25">
      <c r="A100" s="217" t="str" cm="1">
        <f t="array" ref="A100">IFERROR(INDEX(_xlfn.ANCHORARRAY($Q$6),ROW()-5,1),"")</f>
        <v/>
      </c>
      <c r="B100" s="288" t="str" cm="1">
        <f t="array" ref="B100">IFERROR(INDEX(_xlfn.ANCHORARRAY($Q$6),ROW()-5,2),"")</f>
        <v/>
      </c>
      <c r="C100" s="289" t="str" cm="1">
        <f t="array" ref="C100">IFERROR(INDEX(_xlfn.ANCHORARRAY($Q$6),ROW()-5,3),"")</f>
        <v/>
      </c>
      <c r="D100" s="218" t="str">
        <f>IF($A100="","",IF($K100="DIESEL",SUMIFS(Table1[Quantity],Table1[Customer],$B100,Table1[Date],$A100,Table1[Bill No.],$C100),IF($K100="PETROL",SUMIFS(Table14[Quantity],Table14[Customer],$B100,Table14[Date],$A100,Table14[Bill No.],$C100),IF($K100="XtraGreen",SUMIFS(Table146[Quantity],Table146[Company],$B100,Table146[Date],$A100,Table146[Bill No.],$C100),""))))</f>
        <v/>
      </c>
      <c r="E100" s="219" t="str">
        <f>IF($A100="","",IF($K100="DIESEL",AVERAGEIFS(Table1[RSP],Table1[Customer],$B100,Table1[Date],$A100,Table1[Bill No.],$C100),IF($K100="PETROL",AVERAGEIFS(Table14[RSP],Table14[Customer],$B100,Table14[Date],$A100,Table14[Bill No.],$C100),IF($K100="XtraGreen",AVERAGEIFS(Table146[RSP],Table146[Company],$B100,Table146[Date],$A100,Table146[Bill No.],$C100),IFERROR($F100/$D100,"")))))</f>
        <v/>
      </c>
      <c r="F100" s="330" t="str">
        <f>IF($A100="","",IF($K100="DIESEL",SUMIFS(Table1[Amount],Table1[Customer],$B100,Table1[Date],$A100,Table1[Bill No.],$C100),IF($K100="PETROL",SUMIFS(Table14[Amount],Table14[Customer],$B100,Table14[Date],$A100,Table14[Bill No.],$C100),IF($K100="XtraGreen",SUMIFS(Table146[Amount],Table146[Company],$B100,Table146[Date],$A100,Table146[Bill No.],$C100),SUMIFS('Other Sale'!$D:$D,'Other Sale'!$E:$E,$B100,'Other Sale'!$C:$C,$K100,'Other Sale'!$A:$A,$A100)))))</f>
        <v/>
      </c>
      <c r="G100" s="330" t="str" cm="1">
        <f t="array" ref="G100">IF($A100="","",IF($K100="Payment",IFERROR(INDEX(_xlfn._xlws.FILTER(MasterPaid[Amount Paid],(MasterPaid[Customer]=$B100)*(MasterPaid[Date]=$A100)),COUNTIFS($A$6:$A100,$A100,$B$6:$B100,$B100,$K$6:$K100,"Payment")),0),0))</f>
        <v/>
      </c>
      <c r="H100" s="331"/>
      <c r="I100" s="331"/>
      <c r="J100" s="330" t="str">
        <f t="shared" si="2"/>
        <v/>
      </c>
      <c r="K100" s="289" t="str" cm="1">
        <f t="array" ref="K100">IFERROR(INDEX(_xlfn.ANCHORARRAY($Q$6),ROW()-5,4),"")</f>
        <v/>
      </c>
      <c r="L100" s="290"/>
      <c r="U100">
        <f>IF(OR($A100="",$F100=""),0,MAX(0,MIN($F100,SUMIFS($F$6:$F100,$B$6:$B100,$B100)-(SUMIFS($G$6:$G$355,$B$6:$B$355,$B100)+SUMIFS($H$6:$H$355,$B$6:$B$355,$B100)+SUMIFS($I$6:$I$355,$B$6:$B$355,$B100)))))</f>
        <v>0</v>
      </c>
      <c r="AD100" s="468"/>
      <c r="AE100" s="342"/>
      <c r="AF100" s="342"/>
      <c r="AG100" s="342"/>
      <c r="AH100" s="342"/>
      <c r="AI100" s="342"/>
      <c r="AJ100" s="342"/>
      <c r="AK100" s="342"/>
      <c r="AL100" s="342"/>
      <c r="AM100" s="342"/>
      <c r="AN100" s="342"/>
      <c r="AO100" s="342"/>
      <c r="AP100" s="342"/>
      <c r="AQ100" s="342"/>
      <c r="AR100" s="342"/>
      <c r="AS100" s="342"/>
      <c r="AT100" s="342"/>
      <c r="AU100" s="342"/>
      <c r="AV100" s="342"/>
      <c r="AW100" s="342"/>
      <c r="AX100" s="342"/>
      <c r="AY100" s="342"/>
      <c r="AZ100" s="342"/>
      <c r="BA100" s="342"/>
      <c r="BB100" s="342"/>
      <c r="BC100" s="342"/>
      <c r="BD100" s="342"/>
      <c r="BE100" s="342"/>
      <c r="BF100" s="342"/>
      <c r="BG100" s="342"/>
      <c r="BH100" s="342"/>
      <c r="BI100" s="342"/>
      <c r="BJ100" s="342"/>
      <c r="BK100" s="342"/>
      <c r="BL100" s="342"/>
    </row>
    <row r="101" spans="1:64" ht="23" x14ac:dyDescent="0.25">
      <c r="A101" s="217" t="str" cm="1">
        <f t="array" ref="A101">IFERROR(INDEX(_xlfn.ANCHORARRAY($Q$6),ROW()-5,1),"")</f>
        <v/>
      </c>
      <c r="B101" s="288" t="str" cm="1">
        <f t="array" ref="B101">IFERROR(INDEX(_xlfn.ANCHORARRAY($Q$6),ROW()-5,2),"")</f>
        <v/>
      </c>
      <c r="C101" s="289" t="str" cm="1">
        <f t="array" ref="C101">IFERROR(INDEX(_xlfn.ANCHORARRAY($Q$6),ROW()-5,3),"")</f>
        <v/>
      </c>
      <c r="D101" s="218" t="str">
        <f>IF($A101="","",IF($K101="DIESEL",SUMIFS(Table1[Quantity],Table1[Customer],$B101,Table1[Date],$A101,Table1[Bill No.],$C101),IF($K101="PETROL",SUMIFS(Table14[Quantity],Table14[Customer],$B101,Table14[Date],$A101,Table14[Bill No.],$C101),IF($K101="XtraGreen",SUMIFS(Table146[Quantity],Table146[Company],$B101,Table146[Date],$A101,Table146[Bill No.],$C101),""))))</f>
        <v/>
      </c>
      <c r="E101" s="219" t="str">
        <f>IF($A101="","",IF($K101="DIESEL",AVERAGEIFS(Table1[RSP],Table1[Customer],$B101,Table1[Date],$A101,Table1[Bill No.],$C101),IF($K101="PETROL",AVERAGEIFS(Table14[RSP],Table14[Customer],$B101,Table14[Date],$A101,Table14[Bill No.],$C101),IF($K101="XtraGreen",AVERAGEIFS(Table146[RSP],Table146[Company],$B101,Table146[Date],$A101,Table146[Bill No.],$C101),IFERROR($F101/$D101,"")))))</f>
        <v/>
      </c>
      <c r="F101" s="330" t="str">
        <f>IF($A101="","",IF($K101="DIESEL",SUMIFS(Table1[Amount],Table1[Customer],$B101,Table1[Date],$A101,Table1[Bill No.],$C101),IF($K101="PETROL",SUMIFS(Table14[Amount],Table14[Customer],$B101,Table14[Date],$A101,Table14[Bill No.],$C101),IF($K101="XtraGreen",SUMIFS(Table146[Amount],Table146[Company],$B101,Table146[Date],$A101,Table146[Bill No.],$C101),SUMIFS('Other Sale'!$D:$D,'Other Sale'!$E:$E,$B101,'Other Sale'!$C:$C,$K101,'Other Sale'!$A:$A,$A101)))))</f>
        <v/>
      </c>
      <c r="G101" s="330" t="str" cm="1">
        <f t="array" ref="G101">IF($A101="","",IF($K101="Payment",IFERROR(INDEX(_xlfn._xlws.FILTER(MasterPaid[Amount Paid],(MasterPaid[Customer]=$B101)*(MasterPaid[Date]=$A101)),COUNTIFS($A$6:$A101,$A101,$B$6:$B101,$B101,$K$6:$K101,"Payment")),0),0))</f>
        <v/>
      </c>
      <c r="H101" s="331"/>
      <c r="I101" s="331"/>
      <c r="J101" s="330" t="str">
        <f t="shared" si="2"/>
        <v/>
      </c>
      <c r="K101" s="289" t="str" cm="1">
        <f t="array" ref="K101">IFERROR(INDEX(_xlfn.ANCHORARRAY($Q$6),ROW()-5,4),"")</f>
        <v/>
      </c>
      <c r="L101" s="290"/>
      <c r="U101">
        <f>IF(OR($A101="",$F101=""),0,MAX(0,MIN($F101,SUMIFS($F$6:$F101,$B$6:$B101,$B101)-(SUMIFS($G$6:$G$355,$B$6:$B$355,$B101)+SUMIFS($H$6:$H$355,$B$6:$B$355,$B101)+SUMIFS($I$6:$I$355,$B$6:$B$355,$B101)))))</f>
        <v>0</v>
      </c>
      <c r="AD101" s="468"/>
      <c r="AE101" s="342"/>
      <c r="AF101" s="342"/>
      <c r="AG101" s="342"/>
      <c r="AH101" s="342"/>
      <c r="AI101" s="342"/>
      <c r="AJ101" s="342"/>
      <c r="AK101" s="342"/>
      <c r="AL101" s="342"/>
      <c r="AM101" s="342"/>
      <c r="AN101" s="342"/>
      <c r="AO101" s="342"/>
      <c r="AP101" s="342"/>
      <c r="AQ101" s="342"/>
      <c r="AR101" s="342"/>
      <c r="AS101" s="342"/>
      <c r="AT101" s="342"/>
      <c r="AU101" s="342"/>
      <c r="AV101" s="342"/>
      <c r="AW101" s="342"/>
      <c r="AX101" s="342"/>
      <c r="AY101" s="342"/>
      <c r="AZ101" s="342"/>
      <c r="BA101" s="342"/>
      <c r="BB101" s="342"/>
      <c r="BC101" s="342"/>
      <c r="BD101" s="342"/>
      <c r="BE101" s="342"/>
      <c r="BF101" s="342"/>
      <c r="BG101" s="342"/>
      <c r="BH101" s="342"/>
      <c r="BI101" s="342"/>
      <c r="BJ101" s="342"/>
      <c r="BK101" s="342"/>
      <c r="BL101" s="342"/>
    </row>
    <row r="102" spans="1:64" ht="23" x14ac:dyDescent="0.25">
      <c r="A102" s="217" t="str" cm="1">
        <f t="array" ref="A102">IFERROR(INDEX(_xlfn.ANCHORARRAY($Q$6),ROW()-5,1),"")</f>
        <v/>
      </c>
      <c r="B102" s="288" t="str" cm="1">
        <f t="array" ref="B102">IFERROR(INDEX(_xlfn.ANCHORARRAY($Q$6),ROW()-5,2),"")</f>
        <v/>
      </c>
      <c r="C102" s="289" t="str" cm="1">
        <f t="array" ref="C102">IFERROR(INDEX(_xlfn.ANCHORARRAY($Q$6),ROW()-5,3),"")</f>
        <v/>
      </c>
      <c r="D102" s="218" t="str">
        <f>IF($A102="","",IF($K102="DIESEL",SUMIFS(Table1[Quantity],Table1[Customer],$B102,Table1[Date],$A102,Table1[Bill No.],$C102),IF($K102="PETROL",SUMIFS(Table14[Quantity],Table14[Customer],$B102,Table14[Date],$A102,Table14[Bill No.],$C102),IF($K102="XtraGreen",SUMIFS(Table146[Quantity],Table146[Company],$B102,Table146[Date],$A102,Table146[Bill No.],$C102),""))))</f>
        <v/>
      </c>
      <c r="E102" s="219" t="str">
        <f>IF($A102="","",IF($K102="DIESEL",AVERAGEIFS(Table1[RSP],Table1[Customer],$B102,Table1[Date],$A102,Table1[Bill No.],$C102),IF($K102="PETROL",AVERAGEIFS(Table14[RSP],Table14[Customer],$B102,Table14[Date],$A102,Table14[Bill No.],$C102),IF($K102="XtraGreen",AVERAGEIFS(Table146[RSP],Table146[Company],$B102,Table146[Date],$A102,Table146[Bill No.],$C102),IFERROR($F102/$D102,"")))))</f>
        <v/>
      </c>
      <c r="F102" s="330" t="str">
        <f>IF($A102="","",IF($K102="DIESEL",SUMIFS(Table1[Amount],Table1[Customer],$B102,Table1[Date],$A102,Table1[Bill No.],$C102),IF($K102="PETROL",SUMIFS(Table14[Amount],Table14[Customer],$B102,Table14[Date],$A102,Table14[Bill No.],$C102),IF($K102="XtraGreen",SUMIFS(Table146[Amount],Table146[Company],$B102,Table146[Date],$A102,Table146[Bill No.],$C102),SUMIFS('Other Sale'!$D:$D,'Other Sale'!$E:$E,$B102,'Other Sale'!$C:$C,$K102,'Other Sale'!$A:$A,$A102)))))</f>
        <v/>
      </c>
      <c r="G102" s="330" t="str" cm="1">
        <f t="array" ref="G102">IF($A102="","",IF($K102="Payment",IFERROR(INDEX(_xlfn._xlws.FILTER(MasterPaid[Amount Paid],(MasterPaid[Customer]=$B102)*(MasterPaid[Date]=$A102)),COUNTIFS($A$6:$A102,$A102,$B$6:$B102,$B102,$K$6:$K102,"Payment")),0),0))</f>
        <v/>
      </c>
      <c r="H102" s="331"/>
      <c r="I102" s="331"/>
      <c r="J102" s="330" t="str">
        <f t="shared" si="2"/>
        <v/>
      </c>
      <c r="K102" s="289" t="str" cm="1">
        <f t="array" ref="K102">IFERROR(INDEX(_xlfn.ANCHORARRAY($Q$6),ROW()-5,4),"")</f>
        <v/>
      </c>
      <c r="L102" s="290"/>
      <c r="U102">
        <f>IF(OR($A102="",$F102=""),0,MAX(0,MIN($F102,SUMIFS($F$6:$F102,$B$6:$B102,$B102)-(SUMIFS($G$6:$G$355,$B$6:$B$355,$B102)+SUMIFS($H$6:$H$355,$B$6:$B$355,$B102)+SUMIFS($I$6:$I$355,$B$6:$B$355,$B102)))))</f>
        <v>0</v>
      </c>
      <c r="AD102" s="468"/>
      <c r="AE102" s="342"/>
      <c r="AF102" s="342"/>
      <c r="AG102" s="342"/>
      <c r="AH102" s="342"/>
      <c r="AI102" s="342"/>
      <c r="AJ102" s="342"/>
      <c r="AK102" s="342"/>
      <c r="AL102" s="342"/>
      <c r="AM102" s="342"/>
      <c r="AN102" s="342"/>
      <c r="AO102" s="342"/>
      <c r="AP102" s="342"/>
      <c r="AQ102" s="342"/>
      <c r="AR102" s="342"/>
      <c r="AS102" s="342"/>
      <c r="AT102" s="342"/>
      <c r="AU102" s="342"/>
      <c r="AV102" s="342"/>
      <c r="AW102" s="342"/>
      <c r="AX102" s="342"/>
      <c r="AY102" s="342"/>
      <c r="AZ102" s="342"/>
      <c r="BA102" s="342"/>
      <c r="BB102" s="342"/>
      <c r="BC102" s="342"/>
      <c r="BD102" s="342"/>
      <c r="BE102" s="342"/>
      <c r="BF102" s="342"/>
      <c r="BG102" s="342"/>
      <c r="BH102" s="342"/>
      <c r="BI102" s="342"/>
      <c r="BJ102" s="342"/>
      <c r="BK102" s="342"/>
      <c r="BL102" s="342"/>
    </row>
    <row r="103" spans="1:64" ht="23" x14ac:dyDescent="0.25">
      <c r="A103" s="217" t="str" cm="1">
        <f t="array" ref="A103">IFERROR(INDEX(_xlfn.ANCHORARRAY($Q$6),ROW()-5,1),"")</f>
        <v/>
      </c>
      <c r="B103" s="288" t="str" cm="1">
        <f t="array" ref="B103">IFERROR(INDEX(_xlfn.ANCHORARRAY($Q$6),ROW()-5,2),"")</f>
        <v/>
      </c>
      <c r="C103" s="289" t="str" cm="1">
        <f t="array" ref="C103">IFERROR(INDEX(_xlfn.ANCHORARRAY($Q$6),ROW()-5,3),"")</f>
        <v/>
      </c>
      <c r="D103" s="218" t="str">
        <f>IF($A103="","",IF($K103="DIESEL",SUMIFS(Table1[Quantity],Table1[Customer],$B103,Table1[Date],$A103,Table1[Bill No.],$C103),IF($K103="PETROL",SUMIFS(Table14[Quantity],Table14[Customer],$B103,Table14[Date],$A103,Table14[Bill No.],$C103),IF($K103="XtraGreen",SUMIFS(Table146[Quantity],Table146[Company],$B103,Table146[Date],$A103,Table146[Bill No.],$C103),""))))</f>
        <v/>
      </c>
      <c r="E103" s="219" t="str">
        <f>IF($A103="","",IF($K103="DIESEL",AVERAGEIFS(Table1[RSP],Table1[Customer],$B103,Table1[Date],$A103,Table1[Bill No.],$C103),IF($K103="PETROL",AVERAGEIFS(Table14[RSP],Table14[Customer],$B103,Table14[Date],$A103,Table14[Bill No.],$C103),IF($K103="XtraGreen",AVERAGEIFS(Table146[RSP],Table146[Company],$B103,Table146[Date],$A103,Table146[Bill No.],$C103),IFERROR($F103/$D103,"")))))</f>
        <v/>
      </c>
      <c r="F103" s="330" t="str">
        <f>IF($A103="","",IF($K103="DIESEL",SUMIFS(Table1[Amount],Table1[Customer],$B103,Table1[Date],$A103,Table1[Bill No.],$C103),IF($K103="PETROL",SUMIFS(Table14[Amount],Table14[Customer],$B103,Table14[Date],$A103,Table14[Bill No.],$C103),IF($K103="XtraGreen",SUMIFS(Table146[Amount],Table146[Company],$B103,Table146[Date],$A103,Table146[Bill No.],$C103),SUMIFS('Other Sale'!$D:$D,'Other Sale'!$E:$E,$B103,'Other Sale'!$C:$C,$K103,'Other Sale'!$A:$A,$A103)))))</f>
        <v/>
      </c>
      <c r="G103" s="330" t="str" cm="1">
        <f t="array" ref="G103">IF($A103="","",IF($K103="Payment",IFERROR(INDEX(_xlfn._xlws.FILTER(MasterPaid[Amount Paid],(MasterPaid[Customer]=$B103)*(MasterPaid[Date]=$A103)),COUNTIFS($A$6:$A103,$A103,$B$6:$B103,$B103,$K$6:$K103,"Payment")),0),0))</f>
        <v/>
      </c>
      <c r="H103" s="331"/>
      <c r="I103" s="331"/>
      <c r="J103" s="330" t="str">
        <f t="shared" si="2"/>
        <v/>
      </c>
      <c r="K103" s="289" t="str" cm="1">
        <f t="array" ref="K103">IFERROR(INDEX(_xlfn.ANCHORARRAY($Q$6),ROW()-5,4),"")</f>
        <v/>
      </c>
      <c r="L103" s="290"/>
      <c r="U103">
        <f>IF(OR($A103="",$F103=""),0,MAX(0,MIN($F103,SUMIFS($F$6:$F103,$B$6:$B103,$B103)-(SUMIFS($G$6:$G$355,$B$6:$B$355,$B103)+SUMIFS($H$6:$H$355,$B$6:$B$355,$B103)+SUMIFS($I$6:$I$355,$B$6:$B$355,$B103)))))</f>
        <v>0</v>
      </c>
      <c r="AD103" s="468"/>
      <c r="AE103" s="342"/>
      <c r="AF103" s="342"/>
      <c r="AG103" s="342"/>
      <c r="AH103" s="342"/>
      <c r="AI103" s="342"/>
      <c r="AJ103" s="342"/>
      <c r="AK103" s="342"/>
      <c r="AL103" s="342"/>
      <c r="AM103" s="342"/>
      <c r="AN103" s="342"/>
      <c r="AO103" s="342"/>
      <c r="AP103" s="342"/>
      <c r="AQ103" s="342"/>
      <c r="AR103" s="342"/>
      <c r="AS103" s="342"/>
      <c r="AT103" s="342"/>
      <c r="AU103" s="342"/>
      <c r="AV103" s="342"/>
      <c r="AW103" s="342"/>
      <c r="AX103" s="342"/>
      <c r="AY103" s="342"/>
      <c r="AZ103" s="342"/>
      <c r="BA103" s="342"/>
      <c r="BB103" s="342"/>
      <c r="BC103" s="342"/>
      <c r="BD103" s="342"/>
      <c r="BE103" s="342"/>
      <c r="BF103" s="342"/>
      <c r="BG103" s="342"/>
      <c r="BH103" s="342"/>
      <c r="BI103" s="342"/>
      <c r="BJ103" s="342"/>
      <c r="BK103" s="342"/>
      <c r="BL103" s="342"/>
    </row>
    <row r="104" spans="1:64" ht="23" x14ac:dyDescent="0.25">
      <c r="A104" s="217" t="str" cm="1">
        <f t="array" ref="A104">IFERROR(INDEX(_xlfn.ANCHORARRAY($Q$6),ROW()-5,1),"")</f>
        <v/>
      </c>
      <c r="B104" s="288" t="str" cm="1">
        <f t="array" ref="B104">IFERROR(INDEX(_xlfn.ANCHORARRAY($Q$6),ROW()-5,2),"")</f>
        <v/>
      </c>
      <c r="C104" s="289" t="str" cm="1">
        <f t="array" ref="C104">IFERROR(INDEX(_xlfn.ANCHORARRAY($Q$6),ROW()-5,3),"")</f>
        <v/>
      </c>
      <c r="D104" s="218" t="str">
        <f>IF($A104="","",IF($K104="DIESEL",SUMIFS(Table1[Quantity],Table1[Customer],$B104,Table1[Date],$A104,Table1[Bill No.],$C104),IF($K104="PETROL",SUMIFS(Table14[Quantity],Table14[Customer],$B104,Table14[Date],$A104,Table14[Bill No.],$C104),IF($K104="XtraGreen",SUMIFS(Table146[Quantity],Table146[Company],$B104,Table146[Date],$A104,Table146[Bill No.],$C104),""))))</f>
        <v/>
      </c>
      <c r="E104" s="219" t="str">
        <f>IF($A104="","",IF($K104="DIESEL",AVERAGEIFS(Table1[RSP],Table1[Customer],$B104,Table1[Date],$A104,Table1[Bill No.],$C104),IF($K104="PETROL",AVERAGEIFS(Table14[RSP],Table14[Customer],$B104,Table14[Date],$A104,Table14[Bill No.],$C104),IF($K104="XtraGreen",AVERAGEIFS(Table146[RSP],Table146[Company],$B104,Table146[Date],$A104,Table146[Bill No.],$C104),IFERROR($F104/$D104,"")))))</f>
        <v/>
      </c>
      <c r="F104" s="330" t="str">
        <f>IF($A104="","",IF($K104="DIESEL",SUMIFS(Table1[Amount],Table1[Customer],$B104,Table1[Date],$A104,Table1[Bill No.],$C104),IF($K104="PETROL",SUMIFS(Table14[Amount],Table14[Customer],$B104,Table14[Date],$A104,Table14[Bill No.],$C104),IF($K104="XtraGreen",SUMIFS(Table146[Amount],Table146[Company],$B104,Table146[Date],$A104,Table146[Bill No.],$C104),SUMIFS('Other Sale'!$D:$D,'Other Sale'!$E:$E,$B104,'Other Sale'!$C:$C,$K104,'Other Sale'!$A:$A,$A104)))))</f>
        <v/>
      </c>
      <c r="G104" s="330" t="str" cm="1">
        <f t="array" ref="G104">IF($A104="","",IF($K104="Payment",IFERROR(INDEX(_xlfn._xlws.FILTER(MasterPaid[Amount Paid],(MasterPaid[Customer]=$B104)*(MasterPaid[Date]=$A104)),COUNTIFS($A$6:$A104,$A104,$B$6:$B104,$B104,$K$6:$K104,"Payment")),0),0))</f>
        <v/>
      </c>
      <c r="H104" s="331"/>
      <c r="I104" s="331"/>
      <c r="J104" s="330" t="str">
        <f t="shared" si="2"/>
        <v/>
      </c>
      <c r="K104" s="289" t="str" cm="1">
        <f t="array" ref="K104">IFERROR(INDEX(_xlfn.ANCHORARRAY($Q$6),ROW()-5,4),"")</f>
        <v/>
      </c>
      <c r="L104" s="290"/>
      <c r="U104">
        <f>IF(OR($A104="",$F104=""),0,MAX(0,MIN($F104,SUMIFS($F$6:$F104,$B$6:$B104,$B104)-(SUMIFS($G$6:$G$355,$B$6:$B$355,$B104)+SUMIFS($H$6:$H$355,$B$6:$B$355,$B104)+SUMIFS($I$6:$I$355,$B$6:$B$355,$B104)))))</f>
        <v>0</v>
      </c>
      <c r="AD104" s="468"/>
      <c r="AE104" s="342"/>
      <c r="AF104" s="342"/>
      <c r="AG104" s="342"/>
      <c r="AH104" s="342"/>
      <c r="AI104" s="342"/>
      <c r="AJ104" s="342"/>
      <c r="AK104" s="342"/>
      <c r="AL104" s="342"/>
      <c r="AM104" s="342"/>
      <c r="AN104" s="342"/>
      <c r="AO104" s="342"/>
      <c r="AP104" s="342"/>
      <c r="AQ104" s="342"/>
      <c r="AR104" s="342"/>
      <c r="AS104" s="342"/>
      <c r="AT104" s="342"/>
      <c r="AU104" s="342"/>
      <c r="AV104" s="342"/>
      <c r="AW104" s="342"/>
      <c r="AX104" s="342"/>
      <c r="AY104" s="342"/>
      <c r="AZ104" s="342"/>
      <c r="BA104" s="342"/>
      <c r="BB104" s="342"/>
      <c r="BC104" s="342"/>
      <c r="BD104" s="342"/>
      <c r="BE104" s="342"/>
      <c r="BF104" s="342"/>
      <c r="BG104" s="342"/>
      <c r="BH104" s="342"/>
      <c r="BI104" s="342"/>
      <c r="BJ104" s="342"/>
      <c r="BK104" s="342"/>
      <c r="BL104" s="342"/>
    </row>
    <row r="105" spans="1:64" ht="23" x14ac:dyDescent="0.25">
      <c r="A105" s="217" t="str" cm="1">
        <f t="array" ref="A105">IFERROR(INDEX(_xlfn.ANCHORARRAY($Q$6),ROW()-5,1),"")</f>
        <v/>
      </c>
      <c r="B105" s="288" t="str" cm="1">
        <f t="array" ref="B105">IFERROR(INDEX(_xlfn.ANCHORARRAY($Q$6),ROW()-5,2),"")</f>
        <v/>
      </c>
      <c r="C105" s="289" t="str" cm="1">
        <f t="array" ref="C105">IFERROR(INDEX(_xlfn.ANCHORARRAY($Q$6),ROW()-5,3),"")</f>
        <v/>
      </c>
      <c r="D105" s="218" t="str">
        <f>IF($A105="","",IF($K105="DIESEL",SUMIFS(Table1[Quantity],Table1[Customer],$B105,Table1[Date],$A105,Table1[Bill No.],$C105),IF($K105="PETROL",SUMIFS(Table14[Quantity],Table14[Customer],$B105,Table14[Date],$A105,Table14[Bill No.],$C105),IF($K105="XtraGreen",SUMIFS(Table146[Quantity],Table146[Company],$B105,Table146[Date],$A105,Table146[Bill No.],$C105),""))))</f>
        <v/>
      </c>
      <c r="E105" s="219" t="str">
        <f>IF($A105="","",IF($K105="DIESEL",AVERAGEIFS(Table1[RSP],Table1[Customer],$B105,Table1[Date],$A105,Table1[Bill No.],$C105),IF($K105="PETROL",AVERAGEIFS(Table14[RSP],Table14[Customer],$B105,Table14[Date],$A105,Table14[Bill No.],$C105),IF($K105="XtraGreen",AVERAGEIFS(Table146[RSP],Table146[Company],$B105,Table146[Date],$A105,Table146[Bill No.],$C105),IFERROR($F105/$D105,"")))))</f>
        <v/>
      </c>
      <c r="F105" s="330" t="str">
        <f>IF($A105="","",IF($K105="DIESEL",SUMIFS(Table1[Amount],Table1[Customer],$B105,Table1[Date],$A105,Table1[Bill No.],$C105),IF($K105="PETROL",SUMIFS(Table14[Amount],Table14[Customer],$B105,Table14[Date],$A105,Table14[Bill No.],$C105),IF($K105="XtraGreen",SUMIFS(Table146[Amount],Table146[Company],$B105,Table146[Date],$A105,Table146[Bill No.],$C105),SUMIFS('Other Sale'!$D:$D,'Other Sale'!$E:$E,$B105,'Other Sale'!$C:$C,$K105,'Other Sale'!$A:$A,$A105)))))</f>
        <v/>
      </c>
      <c r="G105" s="330" t="str" cm="1">
        <f t="array" ref="G105">IF($A105="","",IF($K105="Payment",IFERROR(INDEX(_xlfn._xlws.FILTER(MasterPaid[Amount Paid],(MasterPaid[Customer]=$B105)*(MasterPaid[Date]=$A105)),COUNTIFS($A$6:$A105,$A105,$B$6:$B105,$B105,$K$6:$K105,"Payment")),0),0))</f>
        <v/>
      </c>
      <c r="H105" s="331"/>
      <c r="I105" s="331"/>
      <c r="J105" s="330" t="str">
        <f t="shared" si="2"/>
        <v/>
      </c>
      <c r="K105" s="289" t="str" cm="1">
        <f t="array" ref="K105">IFERROR(INDEX(_xlfn.ANCHORARRAY($Q$6),ROW()-5,4),"")</f>
        <v/>
      </c>
      <c r="L105" s="290"/>
      <c r="U105">
        <f>IF(OR($A105="",$F105=""),0,MAX(0,MIN($F105,SUMIFS($F$6:$F105,$B$6:$B105,$B105)-(SUMIFS($G$6:$G$355,$B$6:$B$355,$B105)+SUMIFS($H$6:$H$355,$B$6:$B$355,$B105)+SUMIFS($I$6:$I$355,$B$6:$B$355,$B105)))))</f>
        <v>0</v>
      </c>
      <c r="AD105" s="468"/>
      <c r="AE105" s="342"/>
      <c r="AF105" s="342"/>
      <c r="AG105" s="342"/>
      <c r="AH105" s="342"/>
      <c r="AI105" s="342"/>
      <c r="AJ105" s="342"/>
      <c r="AK105" s="342"/>
      <c r="AL105" s="342"/>
      <c r="AM105" s="342"/>
      <c r="AN105" s="342"/>
      <c r="AO105" s="342"/>
      <c r="AP105" s="342"/>
      <c r="AQ105" s="342"/>
      <c r="AR105" s="342"/>
      <c r="AS105" s="342"/>
      <c r="AT105" s="342"/>
      <c r="AU105" s="342"/>
      <c r="AV105" s="342"/>
      <c r="AW105" s="342"/>
      <c r="AX105" s="342"/>
      <c r="AY105" s="342"/>
      <c r="AZ105" s="342"/>
      <c r="BA105" s="342"/>
      <c r="BB105" s="342"/>
      <c r="BC105" s="342"/>
      <c r="BD105" s="342"/>
      <c r="BE105" s="342"/>
      <c r="BF105" s="342"/>
      <c r="BG105" s="342"/>
      <c r="BH105" s="342"/>
      <c r="BI105" s="342"/>
      <c r="BJ105" s="342"/>
      <c r="BK105" s="342"/>
      <c r="BL105" s="342"/>
    </row>
    <row r="106" spans="1:64" ht="23" x14ac:dyDescent="0.25">
      <c r="A106" s="217" t="str" cm="1">
        <f t="array" ref="A106">IFERROR(INDEX(_xlfn.ANCHORARRAY($Q$6),ROW()-5,1),"")</f>
        <v/>
      </c>
      <c r="B106" s="288" t="str" cm="1">
        <f t="array" ref="B106">IFERROR(INDEX(_xlfn.ANCHORARRAY($Q$6),ROW()-5,2),"")</f>
        <v/>
      </c>
      <c r="C106" s="289" t="str" cm="1">
        <f t="array" ref="C106">IFERROR(INDEX(_xlfn.ANCHORARRAY($Q$6),ROW()-5,3),"")</f>
        <v/>
      </c>
      <c r="D106" s="218" t="str">
        <f>IF($A106="","",IF($K106="DIESEL",SUMIFS(Table1[Quantity],Table1[Customer],$B106,Table1[Date],$A106,Table1[Bill No.],$C106),IF($K106="PETROL",SUMIFS(Table14[Quantity],Table14[Customer],$B106,Table14[Date],$A106,Table14[Bill No.],$C106),IF($K106="XtraGreen",SUMIFS(Table146[Quantity],Table146[Company],$B106,Table146[Date],$A106,Table146[Bill No.],$C106),""))))</f>
        <v/>
      </c>
      <c r="E106" s="219" t="str">
        <f>IF($A106="","",IF($K106="DIESEL",AVERAGEIFS(Table1[RSP],Table1[Customer],$B106,Table1[Date],$A106,Table1[Bill No.],$C106),IF($K106="PETROL",AVERAGEIFS(Table14[RSP],Table14[Customer],$B106,Table14[Date],$A106,Table14[Bill No.],$C106),IF($K106="XtraGreen",AVERAGEIFS(Table146[RSP],Table146[Company],$B106,Table146[Date],$A106,Table146[Bill No.],$C106),IFERROR($F106/$D106,"")))))</f>
        <v/>
      </c>
      <c r="F106" s="330" t="str">
        <f>IF($A106="","",IF($K106="DIESEL",SUMIFS(Table1[Amount],Table1[Customer],$B106,Table1[Date],$A106,Table1[Bill No.],$C106),IF($K106="PETROL",SUMIFS(Table14[Amount],Table14[Customer],$B106,Table14[Date],$A106,Table14[Bill No.],$C106),IF($K106="XtraGreen",SUMIFS(Table146[Amount],Table146[Company],$B106,Table146[Date],$A106,Table146[Bill No.],$C106),SUMIFS('Other Sale'!$D:$D,'Other Sale'!$E:$E,$B106,'Other Sale'!$C:$C,$K106,'Other Sale'!$A:$A,$A106)))))</f>
        <v/>
      </c>
      <c r="G106" s="330" t="str" cm="1">
        <f t="array" ref="G106">IF($A106="","",IF($K106="Payment",IFERROR(INDEX(_xlfn._xlws.FILTER(MasterPaid[Amount Paid],(MasterPaid[Customer]=$B106)*(MasterPaid[Date]=$A106)),COUNTIFS($A$6:$A106,$A106,$B$6:$B106,$B106,$K$6:$K106,"Payment")),0),0))</f>
        <v/>
      </c>
      <c r="H106" s="331"/>
      <c r="I106" s="331"/>
      <c r="J106" s="330" t="str">
        <f t="shared" si="2"/>
        <v/>
      </c>
      <c r="K106" s="289" t="str" cm="1">
        <f t="array" ref="K106">IFERROR(INDEX(_xlfn.ANCHORARRAY($Q$6),ROW()-5,4),"")</f>
        <v/>
      </c>
      <c r="L106" s="290"/>
      <c r="U106">
        <f>IF(OR($A106="",$F106=""),0,MAX(0,MIN($F106,SUMIFS($F$6:$F106,$B$6:$B106,$B106)-(SUMIFS($G$6:$G$355,$B$6:$B$355,$B106)+SUMIFS($H$6:$H$355,$B$6:$B$355,$B106)+SUMIFS($I$6:$I$355,$B$6:$B$355,$B106)))))</f>
        <v>0</v>
      </c>
      <c r="AD106" s="468"/>
      <c r="AE106" s="342"/>
      <c r="AF106" s="342"/>
      <c r="AG106" s="342"/>
      <c r="AH106" s="342"/>
      <c r="AI106" s="342"/>
      <c r="AJ106" s="342"/>
      <c r="AK106" s="342"/>
      <c r="AL106" s="342"/>
      <c r="AM106" s="342"/>
      <c r="AN106" s="342"/>
      <c r="AO106" s="342"/>
      <c r="AP106" s="342"/>
      <c r="AQ106" s="342"/>
      <c r="AR106" s="342"/>
      <c r="AS106" s="342"/>
      <c r="AT106" s="342"/>
      <c r="AU106" s="342"/>
      <c r="AV106" s="342"/>
      <c r="AW106" s="342"/>
      <c r="AX106" s="342"/>
      <c r="AY106" s="342"/>
      <c r="AZ106" s="342"/>
      <c r="BA106" s="342"/>
      <c r="BB106" s="342"/>
      <c r="BC106" s="342"/>
      <c r="BD106" s="342"/>
      <c r="BE106" s="342"/>
      <c r="BF106" s="342"/>
      <c r="BG106" s="342"/>
      <c r="BH106" s="342"/>
      <c r="BI106" s="342"/>
      <c r="BJ106" s="342"/>
      <c r="BK106" s="342"/>
      <c r="BL106" s="342"/>
    </row>
    <row r="107" spans="1:64" ht="23" x14ac:dyDescent="0.25">
      <c r="A107" s="217" t="str" cm="1">
        <f t="array" ref="A107">IFERROR(INDEX(_xlfn.ANCHORARRAY($Q$6),ROW()-5,1),"")</f>
        <v/>
      </c>
      <c r="B107" s="288" t="str" cm="1">
        <f t="array" ref="B107">IFERROR(INDEX(_xlfn.ANCHORARRAY($Q$6),ROW()-5,2),"")</f>
        <v/>
      </c>
      <c r="C107" s="289" t="str" cm="1">
        <f t="array" ref="C107">IFERROR(INDEX(_xlfn.ANCHORARRAY($Q$6),ROW()-5,3),"")</f>
        <v/>
      </c>
      <c r="D107" s="218" t="str">
        <f>IF($A107="","",IF($K107="DIESEL",SUMIFS(Table1[Quantity],Table1[Customer],$B107,Table1[Date],$A107,Table1[Bill No.],$C107),IF($K107="PETROL",SUMIFS(Table14[Quantity],Table14[Customer],$B107,Table14[Date],$A107,Table14[Bill No.],$C107),IF($K107="XtraGreen",SUMIFS(Table146[Quantity],Table146[Company],$B107,Table146[Date],$A107,Table146[Bill No.],$C107),""))))</f>
        <v/>
      </c>
      <c r="E107" s="219" t="str">
        <f>IF($A107="","",IF($K107="DIESEL",AVERAGEIFS(Table1[RSP],Table1[Customer],$B107,Table1[Date],$A107,Table1[Bill No.],$C107),IF($K107="PETROL",AVERAGEIFS(Table14[RSP],Table14[Customer],$B107,Table14[Date],$A107,Table14[Bill No.],$C107),IF($K107="XtraGreen",AVERAGEIFS(Table146[RSP],Table146[Company],$B107,Table146[Date],$A107,Table146[Bill No.],$C107),IFERROR($F107/$D107,"")))))</f>
        <v/>
      </c>
      <c r="F107" s="330" t="str">
        <f>IF($A107="","",IF($K107="DIESEL",SUMIFS(Table1[Amount],Table1[Customer],$B107,Table1[Date],$A107,Table1[Bill No.],$C107),IF($K107="PETROL",SUMIFS(Table14[Amount],Table14[Customer],$B107,Table14[Date],$A107,Table14[Bill No.],$C107),IF($K107="XtraGreen",SUMIFS(Table146[Amount],Table146[Company],$B107,Table146[Date],$A107,Table146[Bill No.],$C107),SUMIFS('Other Sale'!$D:$D,'Other Sale'!$E:$E,$B107,'Other Sale'!$C:$C,$K107,'Other Sale'!$A:$A,$A107)))))</f>
        <v/>
      </c>
      <c r="G107" s="330" t="str" cm="1">
        <f t="array" ref="G107">IF($A107="","",IF($K107="Payment",IFERROR(INDEX(_xlfn._xlws.FILTER(MasterPaid[Amount Paid],(MasterPaid[Customer]=$B107)*(MasterPaid[Date]=$A107)),COUNTIFS($A$6:$A107,$A107,$B$6:$B107,$B107,$K$6:$K107,"Payment")),0),0))</f>
        <v/>
      </c>
      <c r="H107" s="331"/>
      <c r="I107" s="331"/>
      <c r="J107" s="330" t="str">
        <f t="shared" si="2"/>
        <v/>
      </c>
      <c r="K107" s="289" t="str" cm="1">
        <f t="array" ref="K107">IFERROR(INDEX(_xlfn.ANCHORARRAY($Q$6),ROW()-5,4),"")</f>
        <v/>
      </c>
      <c r="L107" s="290"/>
      <c r="U107">
        <f>IF(OR($A107="",$F107=""),0,MAX(0,MIN($F107,SUMIFS($F$6:$F107,$B$6:$B107,$B107)-(SUMIFS($G$6:$G$355,$B$6:$B$355,$B107)+SUMIFS($H$6:$H$355,$B$6:$B$355,$B107)+SUMIFS($I$6:$I$355,$B$6:$B$355,$B107)))))</f>
        <v>0</v>
      </c>
      <c r="AD107" s="468"/>
      <c r="AE107" s="342"/>
      <c r="AF107" s="342"/>
      <c r="AG107" s="342"/>
      <c r="AH107" s="342"/>
      <c r="AI107" s="342"/>
      <c r="AJ107" s="342"/>
      <c r="AK107" s="342"/>
      <c r="AL107" s="342"/>
      <c r="AM107" s="342"/>
      <c r="AN107" s="342"/>
      <c r="AO107" s="342"/>
      <c r="AP107" s="342"/>
      <c r="AQ107" s="342"/>
      <c r="AR107" s="342"/>
      <c r="AS107" s="342"/>
      <c r="AT107" s="342"/>
      <c r="AU107" s="342"/>
      <c r="AV107" s="342"/>
      <c r="AW107" s="342"/>
      <c r="AX107" s="342"/>
      <c r="AY107" s="342"/>
      <c r="AZ107" s="342"/>
      <c r="BA107" s="342"/>
      <c r="BB107" s="342"/>
      <c r="BC107" s="342"/>
      <c r="BD107" s="342"/>
      <c r="BE107" s="342"/>
      <c r="BF107" s="342"/>
      <c r="BG107" s="342"/>
      <c r="BH107" s="342"/>
      <c r="BI107" s="342"/>
      <c r="BJ107" s="342"/>
      <c r="BK107" s="342"/>
      <c r="BL107" s="342"/>
    </row>
    <row r="108" spans="1:64" ht="23" x14ac:dyDescent="0.25">
      <c r="A108" s="217" t="str" cm="1">
        <f t="array" ref="A108">IFERROR(INDEX(_xlfn.ANCHORARRAY($Q$6),ROW()-5,1),"")</f>
        <v/>
      </c>
      <c r="B108" s="288" t="str" cm="1">
        <f t="array" ref="B108">IFERROR(INDEX(_xlfn.ANCHORARRAY($Q$6),ROW()-5,2),"")</f>
        <v/>
      </c>
      <c r="C108" s="289" t="str" cm="1">
        <f t="array" ref="C108">IFERROR(INDEX(_xlfn.ANCHORARRAY($Q$6),ROW()-5,3),"")</f>
        <v/>
      </c>
      <c r="D108" s="218" t="str">
        <f>IF($A108="","",IF($K108="DIESEL",SUMIFS(Table1[Quantity],Table1[Customer],$B108,Table1[Date],$A108,Table1[Bill No.],$C108),IF($K108="PETROL",SUMIFS(Table14[Quantity],Table14[Customer],$B108,Table14[Date],$A108,Table14[Bill No.],$C108),IF($K108="XtraGreen",SUMIFS(Table146[Quantity],Table146[Company],$B108,Table146[Date],$A108,Table146[Bill No.],$C108),""))))</f>
        <v/>
      </c>
      <c r="E108" s="219" t="str">
        <f>IF($A108="","",IF($K108="DIESEL",AVERAGEIFS(Table1[RSP],Table1[Customer],$B108,Table1[Date],$A108,Table1[Bill No.],$C108),IF($K108="PETROL",AVERAGEIFS(Table14[RSP],Table14[Customer],$B108,Table14[Date],$A108,Table14[Bill No.],$C108),IF($K108="XtraGreen",AVERAGEIFS(Table146[RSP],Table146[Company],$B108,Table146[Date],$A108,Table146[Bill No.],$C108),IFERROR($F108/$D108,"")))))</f>
        <v/>
      </c>
      <c r="F108" s="330" t="str">
        <f>IF($A108="","",IF($K108="DIESEL",SUMIFS(Table1[Amount],Table1[Customer],$B108,Table1[Date],$A108,Table1[Bill No.],$C108),IF($K108="PETROL",SUMIFS(Table14[Amount],Table14[Customer],$B108,Table14[Date],$A108,Table14[Bill No.],$C108),IF($K108="XtraGreen",SUMIFS(Table146[Amount],Table146[Company],$B108,Table146[Date],$A108,Table146[Bill No.],$C108),SUMIFS('Other Sale'!$D:$D,'Other Sale'!$E:$E,$B108,'Other Sale'!$C:$C,$K108,'Other Sale'!$A:$A,$A108)))))</f>
        <v/>
      </c>
      <c r="G108" s="330" t="str" cm="1">
        <f t="array" ref="G108">IF($A108="","",IF($K108="Payment",IFERROR(INDEX(_xlfn._xlws.FILTER(MasterPaid[Amount Paid],(MasterPaid[Customer]=$B108)*(MasterPaid[Date]=$A108)),COUNTIFS($A$6:$A108,$A108,$B$6:$B108,$B108,$K$6:$K108,"Payment")),0),0))</f>
        <v/>
      </c>
      <c r="H108" s="331"/>
      <c r="I108" s="331"/>
      <c r="J108" s="330" t="str">
        <f t="shared" si="2"/>
        <v/>
      </c>
      <c r="K108" s="289" t="str" cm="1">
        <f t="array" ref="K108">IFERROR(INDEX(_xlfn.ANCHORARRAY($Q$6),ROW()-5,4),"")</f>
        <v/>
      </c>
      <c r="L108" s="290"/>
      <c r="U108">
        <f>IF(OR($A108="",$F108=""),0,MAX(0,MIN($F108,SUMIFS($F$6:$F108,$B$6:$B108,$B108)-(SUMIFS($G$6:$G$355,$B$6:$B$355,$B108)+SUMIFS($H$6:$H$355,$B$6:$B$355,$B108)+SUMIFS($I$6:$I$355,$B$6:$B$355,$B108)))))</f>
        <v>0</v>
      </c>
      <c r="AD108" s="468"/>
      <c r="AE108" s="342"/>
      <c r="AF108" s="342"/>
      <c r="AG108" s="342"/>
      <c r="AH108" s="342"/>
      <c r="AI108" s="342"/>
      <c r="AJ108" s="342"/>
      <c r="AK108" s="342"/>
      <c r="AL108" s="342"/>
      <c r="AM108" s="342"/>
      <c r="AN108" s="342"/>
      <c r="AO108" s="342"/>
      <c r="AP108" s="342"/>
      <c r="AQ108" s="342"/>
      <c r="AR108" s="342"/>
      <c r="AS108" s="342"/>
      <c r="AT108" s="342"/>
      <c r="AU108" s="342"/>
      <c r="AV108" s="342"/>
      <c r="AW108" s="342"/>
      <c r="AX108" s="342"/>
      <c r="AY108" s="342"/>
      <c r="AZ108" s="342"/>
      <c r="BA108" s="342"/>
      <c r="BB108" s="342"/>
      <c r="BC108" s="342"/>
      <c r="BD108" s="342"/>
      <c r="BE108" s="342"/>
      <c r="BF108" s="342"/>
      <c r="BG108" s="342"/>
      <c r="BH108" s="342"/>
      <c r="BI108" s="342"/>
      <c r="BJ108" s="342"/>
      <c r="BK108" s="342"/>
      <c r="BL108" s="342"/>
    </row>
    <row r="109" spans="1:64" ht="23" x14ac:dyDescent="0.25">
      <c r="A109" s="217" t="str" cm="1">
        <f t="array" ref="A109">IFERROR(INDEX(_xlfn.ANCHORARRAY($Q$6),ROW()-5,1),"")</f>
        <v/>
      </c>
      <c r="B109" s="288" t="str" cm="1">
        <f t="array" ref="B109">IFERROR(INDEX(_xlfn.ANCHORARRAY($Q$6),ROW()-5,2),"")</f>
        <v/>
      </c>
      <c r="C109" s="289" t="str" cm="1">
        <f t="array" ref="C109">IFERROR(INDEX(_xlfn.ANCHORARRAY($Q$6),ROW()-5,3),"")</f>
        <v/>
      </c>
      <c r="D109" s="218" t="str">
        <f>IF($A109="","",IF($K109="DIESEL",SUMIFS(Table1[Quantity],Table1[Customer],$B109,Table1[Date],$A109,Table1[Bill No.],$C109),IF($K109="PETROL",SUMIFS(Table14[Quantity],Table14[Customer],$B109,Table14[Date],$A109,Table14[Bill No.],$C109),IF($K109="XtraGreen",SUMIFS(Table146[Quantity],Table146[Company],$B109,Table146[Date],$A109,Table146[Bill No.],$C109),""))))</f>
        <v/>
      </c>
      <c r="E109" s="219" t="str">
        <f>IF($A109="","",IF($K109="DIESEL",AVERAGEIFS(Table1[RSP],Table1[Customer],$B109,Table1[Date],$A109,Table1[Bill No.],$C109),IF($K109="PETROL",AVERAGEIFS(Table14[RSP],Table14[Customer],$B109,Table14[Date],$A109,Table14[Bill No.],$C109),IF($K109="XtraGreen",AVERAGEIFS(Table146[RSP],Table146[Company],$B109,Table146[Date],$A109,Table146[Bill No.],$C109),IFERROR($F109/$D109,"")))))</f>
        <v/>
      </c>
      <c r="F109" s="330" t="str">
        <f>IF($A109="","",IF($K109="DIESEL",SUMIFS(Table1[Amount],Table1[Customer],$B109,Table1[Date],$A109,Table1[Bill No.],$C109),IF($K109="PETROL",SUMIFS(Table14[Amount],Table14[Customer],$B109,Table14[Date],$A109,Table14[Bill No.],$C109),IF($K109="XtraGreen",SUMIFS(Table146[Amount],Table146[Company],$B109,Table146[Date],$A109,Table146[Bill No.],$C109),SUMIFS('Other Sale'!$D:$D,'Other Sale'!$E:$E,$B109,'Other Sale'!$C:$C,$K109,'Other Sale'!$A:$A,$A109)))))</f>
        <v/>
      </c>
      <c r="G109" s="330" t="str" cm="1">
        <f t="array" ref="G109">IF($A109="","",IF($K109="Payment",IFERROR(INDEX(_xlfn._xlws.FILTER(MasterPaid[Amount Paid],(MasterPaid[Customer]=$B109)*(MasterPaid[Date]=$A109)),COUNTIFS($A$6:$A109,$A109,$B$6:$B109,$B109,$K$6:$K109,"Payment")),0),0))</f>
        <v/>
      </c>
      <c r="H109" s="331"/>
      <c r="I109" s="331"/>
      <c r="J109" s="330" t="str">
        <f t="shared" si="2"/>
        <v/>
      </c>
      <c r="K109" s="289" t="str" cm="1">
        <f t="array" ref="K109">IFERROR(INDEX(_xlfn.ANCHORARRAY($Q$6),ROW()-5,4),"")</f>
        <v/>
      </c>
      <c r="L109" s="290"/>
      <c r="U109">
        <f>IF(OR($A109="",$F109=""),0,MAX(0,MIN($F109,SUMIFS($F$6:$F109,$B$6:$B109,$B109)-(SUMIFS($G$6:$G$355,$B$6:$B$355,$B109)+SUMIFS($H$6:$H$355,$B$6:$B$355,$B109)+SUMIFS($I$6:$I$355,$B$6:$B$355,$B109)))))</f>
        <v>0</v>
      </c>
      <c r="AD109" s="468"/>
      <c r="AE109" s="342"/>
      <c r="AF109" s="342"/>
      <c r="AG109" s="342"/>
      <c r="AH109" s="342"/>
      <c r="AI109" s="342"/>
      <c r="AJ109" s="342"/>
      <c r="AK109" s="342"/>
      <c r="AL109" s="342"/>
      <c r="AM109" s="342"/>
      <c r="AN109" s="342"/>
      <c r="AO109" s="342"/>
      <c r="AP109" s="342"/>
      <c r="AQ109" s="342"/>
      <c r="AR109" s="342"/>
      <c r="AS109" s="342"/>
      <c r="AT109" s="342"/>
      <c r="AU109" s="342"/>
      <c r="AV109" s="342"/>
      <c r="AW109" s="342"/>
      <c r="AX109" s="342"/>
      <c r="AY109" s="342"/>
      <c r="AZ109" s="342"/>
      <c r="BA109" s="342"/>
      <c r="BB109" s="342"/>
      <c r="BC109" s="342"/>
      <c r="BD109" s="342"/>
      <c r="BE109" s="342"/>
      <c r="BF109" s="342"/>
      <c r="BG109" s="342"/>
      <c r="BH109" s="342"/>
      <c r="BI109" s="342"/>
      <c r="BJ109" s="342"/>
      <c r="BK109" s="342"/>
      <c r="BL109" s="342"/>
    </row>
    <row r="110" spans="1:64" ht="23" x14ac:dyDescent="0.25">
      <c r="A110" s="217" t="str" cm="1">
        <f t="array" ref="A110">IFERROR(INDEX(_xlfn.ANCHORARRAY($Q$6),ROW()-5,1),"")</f>
        <v/>
      </c>
      <c r="B110" s="288" t="str" cm="1">
        <f t="array" ref="B110">IFERROR(INDEX(_xlfn.ANCHORARRAY($Q$6),ROW()-5,2),"")</f>
        <v/>
      </c>
      <c r="C110" s="289" t="str" cm="1">
        <f t="array" ref="C110">IFERROR(INDEX(_xlfn.ANCHORARRAY($Q$6),ROW()-5,3),"")</f>
        <v/>
      </c>
      <c r="D110" s="218" t="str">
        <f>IF($A110="","",IF($K110="DIESEL",SUMIFS(Table1[Quantity],Table1[Customer],$B110,Table1[Date],$A110,Table1[Bill No.],$C110),IF($K110="PETROL",SUMIFS(Table14[Quantity],Table14[Customer],$B110,Table14[Date],$A110,Table14[Bill No.],$C110),IF($K110="XtraGreen",SUMIFS(Table146[Quantity],Table146[Company],$B110,Table146[Date],$A110,Table146[Bill No.],$C110),""))))</f>
        <v/>
      </c>
      <c r="E110" s="219" t="str">
        <f>IF($A110="","",IF($K110="DIESEL",AVERAGEIFS(Table1[RSP],Table1[Customer],$B110,Table1[Date],$A110,Table1[Bill No.],$C110),IF($K110="PETROL",AVERAGEIFS(Table14[RSP],Table14[Customer],$B110,Table14[Date],$A110,Table14[Bill No.],$C110),IF($K110="XtraGreen",AVERAGEIFS(Table146[RSP],Table146[Company],$B110,Table146[Date],$A110,Table146[Bill No.],$C110),IFERROR($F110/$D110,"")))))</f>
        <v/>
      </c>
      <c r="F110" s="330" t="str">
        <f>IF($A110="","",IF($K110="DIESEL",SUMIFS(Table1[Amount],Table1[Customer],$B110,Table1[Date],$A110,Table1[Bill No.],$C110),IF($K110="PETROL",SUMIFS(Table14[Amount],Table14[Customer],$B110,Table14[Date],$A110,Table14[Bill No.],$C110),IF($K110="XtraGreen",SUMIFS(Table146[Amount],Table146[Company],$B110,Table146[Date],$A110,Table146[Bill No.],$C110),SUMIFS('Other Sale'!$D:$D,'Other Sale'!$E:$E,$B110,'Other Sale'!$C:$C,$K110,'Other Sale'!$A:$A,$A110)))))</f>
        <v/>
      </c>
      <c r="G110" s="330" t="str" cm="1">
        <f t="array" ref="G110">IF($A110="","",IF($K110="Payment",IFERROR(INDEX(_xlfn._xlws.FILTER(MasterPaid[Amount Paid],(MasterPaid[Customer]=$B110)*(MasterPaid[Date]=$A110)),COUNTIFS($A$6:$A110,$A110,$B$6:$B110,$B110,$K$6:$K110,"Payment")),0),0))</f>
        <v/>
      </c>
      <c r="H110" s="331"/>
      <c r="I110" s="331"/>
      <c r="J110" s="330" t="str">
        <f t="shared" si="2"/>
        <v/>
      </c>
      <c r="K110" s="289" t="str" cm="1">
        <f t="array" ref="K110">IFERROR(INDEX(_xlfn.ANCHORARRAY($Q$6),ROW()-5,4),"")</f>
        <v/>
      </c>
      <c r="L110" s="290"/>
      <c r="U110">
        <f>IF(OR($A110="",$F110=""),0,MAX(0,MIN($F110,SUMIFS($F$6:$F110,$B$6:$B110,$B110)-(SUMIFS($G$6:$G$355,$B$6:$B$355,$B110)+SUMIFS($H$6:$H$355,$B$6:$B$355,$B110)+SUMIFS($I$6:$I$355,$B$6:$B$355,$B110)))))</f>
        <v>0</v>
      </c>
      <c r="AD110" s="468"/>
      <c r="AE110" s="342"/>
      <c r="AF110" s="342"/>
      <c r="AG110" s="342"/>
      <c r="AH110" s="342"/>
      <c r="AI110" s="342"/>
      <c r="AJ110" s="342"/>
      <c r="AK110" s="342"/>
      <c r="AL110" s="342"/>
      <c r="AM110" s="342"/>
      <c r="AN110" s="342"/>
      <c r="AO110" s="342"/>
      <c r="AP110" s="342"/>
      <c r="AQ110" s="342"/>
      <c r="AR110" s="342"/>
      <c r="AS110" s="342"/>
      <c r="AT110" s="342"/>
      <c r="AU110" s="342"/>
      <c r="AV110" s="342"/>
      <c r="AW110" s="342"/>
      <c r="AX110" s="342"/>
      <c r="AY110" s="342"/>
      <c r="AZ110" s="342"/>
      <c r="BA110" s="342"/>
      <c r="BB110" s="342"/>
      <c r="BC110" s="342"/>
      <c r="BD110" s="342"/>
      <c r="BE110" s="342"/>
      <c r="BF110" s="342"/>
      <c r="BG110" s="342"/>
      <c r="BH110" s="342"/>
      <c r="BI110" s="342"/>
      <c r="BJ110" s="342"/>
      <c r="BK110" s="342"/>
      <c r="BL110" s="342"/>
    </row>
    <row r="111" spans="1:64" ht="23" x14ac:dyDescent="0.25">
      <c r="A111" s="217" t="str" cm="1">
        <f t="array" ref="A111">IFERROR(INDEX(_xlfn.ANCHORARRAY($Q$6),ROW()-5,1),"")</f>
        <v/>
      </c>
      <c r="B111" s="288" t="str" cm="1">
        <f t="array" ref="B111">IFERROR(INDEX(_xlfn.ANCHORARRAY($Q$6),ROW()-5,2),"")</f>
        <v/>
      </c>
      <c r="C111" s="289" t="str" cm="1">
        <f t="array" ref="C111">IFERROR(INDEX(_xlfn.ANCHORARRAY($Q$6),ROW()-5,3),"")</f>
        <v/>
      </c>
      <c r="D111" s="218" t="str">
        <f>IF($A111="","",IF($K111="DIESEL",SUMIFS(Table1[Quantity],Table1[Customer],$B111,Table1[Date],$A111,Table1[Bill No.],$C111),IF($K111="PETROL",SUMIFS(Table14[Quantity],Table14[Customer],$B111,Table14[Date],$A111,Table14[Bill No.],$C111),IF($K111="XtraGreen",SUMIFS(Table146[Quantity],Table146[Company],$B111,Table146[Date],$A111,Table146[Bill No.],$C111),""))))</f>
        <v/>
      </c>
      <c r="E111" s="219" t="str">
        <f>IF($A111="","",IF($K111="DIESEL",AVERAGEIFS(Table1[RSP],Table1[Customer],$B111,Table1[Date],$A111,Table1[Bill No.],$C111),IF($K111="PETROL",AVERAGEIFS(Table14[RSP],Table14[Customer],$B111,Table14[Date],$A111,Table14[Bill No.],$C111),IF($K111="XtraGreen",AVERAGEIFS(Table146[RSP],Table146[Company],$B111,Table146[Date],$A111,Table146[Bill No.],$C111),IFERROR($F111/$D111,"")))))</f>
        <v/>
      </c>
      <c r="F111" s="330" t="str">
        <f>IF($A111="","",IF($K111="DIESEL",SUMIFS(Table1[Amount],Table1[Customer],$B111,Table1[Date],$A111,Table1[Bill No.],$C111),IF($K111="PETROL",SUMIFS(Table14[Amount],Table14[Customer],$B111,Table14[Date],$A111,Table14[Bill No.],$C111),IF($K111="XtraGreen",SUMIFS(Table146[Amount],Table146[Company],$B111,Table146[Date],$A111,Table146[Bill No.],$C111),SUMIFS('Other Sale'!$D:$D,'Other Sale'!$E:$E,$B111,'Other Sale'!$C:$C,$K111,'Other Sale'!$A:$A,$A111)))))</f>
        <v/>
      </c>
      <c r="G111" s="330" t="str" cm="1">
        <f t="array" ref="G111">IF($A111="","",IF($K111="Payment",IFERROR(INDEX(_xlfn._xlws.FILTER(MasterPaid[Amount Paid],(MasterPaid[Customer]=$B111)*(MasterPaid[Date]=$A111)),COUNTIFS($A$6:$A111,$A111,$B$6:$B111,$B111,$K$6:$K111,"Payment")),0),0))</f>
        <v/>
      </c>
      <c r="H111" s="331"/>
      <c r="I111" s="331"/>
      <c r="J111" s="330" t="str">
        <f t="shared" si="2"/>
        <v/>
      </c>
      <c r="K111" s="289" t="str" cm="1">
        <f t="array" ref="K111">IFERROR(INDEX(_xlfn.ANCHORARRAY($Q$6),ROW()-5,4),"")</f>
        <v/>
      </c>
      <c r="L111" s="290"/>
      <c r="U111">
        <f>IF(OR($A111="",$F111=""),0,MAX(0,MIN($F111,SUMIFS($F$6:$F111,$B$6:$B111,$B111)-(SUMIFS($G$6:$G$355,$B$6:$B$355,$B111)+SUMIFS($H$6:$H$355,$B$6:$B$355,$B111)+SUMIFS($I$6:$I$355,$B$6:$B$355,$B111)))))</f>
        <v>0</v>
      </c>
      <c r="AD111" s="468"/>
      <c r="AE111" s="342"/>
      <c r="AF111" s="342"/>
      <c r="AG111" s="342"/>
      <c r="AH111" s="342"/>
      <c r="AI111" s="342"/>
      <c r="AJ111" s="342"/>
      <c r="AK111" s="342"/>
      <c r="AL111" s="342"/>
      <c r="AM111" s="342"/>
      <c r="AN111" s="342"/>
      <c r="AO111" s="342"/>
      <c r="AP111" s="342"/>
      <c r="AQ111" s="342"/>
      <c r="AR111" s="342"/>
      <c r="AS111" s="342"/>
      <c r="AT111" s="342"/>
      <c r="AU111" s="342"/>
      <c r="AV111" s="342"/>
      <c r="AW111" s="342"/>
      <c r="AX111" s="342"/>
      <c r="AY111" s="342"/>
      <c r="AZ111" s="342"/>
      <c r="BA111" s="342"/>
      <c r="BB111" s="342"/>
      <c r="BC111" s="342"/>
      <c r="BD111" s="342"/>
      <c r="BE111" s="342"/>
      <c r="BF111" s="342"/>
      <c r="BG111" s="342"/>
      <c r="BH111" s="342"/>
      <c r="BI111" s="342"/>
      <c r="BJ111" s="342"/>
      <c r="BK111" s="342"/>
      <c r="BL111" s="342"/>
    </row>
    <row r="112" spans="1:64" ht="23" x14ac:dyDescent="0.25">
      <c r="A112" s="217" t="str" cm="1">
        <f t="array" ref="A112">IFERROR(INDEX(_xlfn.ANCHORARRAY($Q$6),ROW()-5,1),"")</f>
        <v/>
      </c>
      <c r="B112" s="288" t="str" cm="1">
        <f t="array" ref="B112">IFERROR(INDEX(_xlfn.ANCHORARRAY($Q$6),ROW()-5,2),"")</f>
        <v/>
      </c>
      <c r="C112" s="289" t="str" cm="1">
        <f t="array" ref="C112">IFERROR(INDEX(_xlfn.ANCHORARRAY($Q$6),ROW()-5,3),"")</f>
        <v/>
      </c>
      <c r="D112" s="218" t="str">
        <f>IF($A112="","",IF($K112="DIESEL",SUMIFS(Table1[Quantity],Table1[Customer],$B112,Table1[Date],$A112,Table1[Bill No.],$C112),IF($K112="PETROL",SUMIFS(Table14[Quantity],Table14[Customer],$B112,Table14[Date],$A112,Table14[Bill No.],$C112),IF($K112="XtraGreen",SUMIFS(Table146[Quantity],Table146[Company],$B112,Table146[Date],$A112,Table146[Bill No.],$C112),""))))</f>
        <v/>
      </c>
      <c r="E112" s="219" t="str">
        <f>IF($A112="","",IF($K112="DIESEL",AVERAGEIFS(Table1[RSP],Table1[Customer],$B112,Table1[Date],$A112,Table1[Bill No.],$C112),IF($K112="PETROL",AVERAGEIFS(Table14[RSP],Table14[Customer],$B112,Table14[Date],$A112,Table14[Bill No.],$C112),IF($K112="XtraGreen",AVERAGEIFS(Table146[RSP],Table146[Company],$B112,Table146[Date],$A112,Table146[Bill No.],$C112),IFERROR($F112/$D112,"")))))</f>
        <v/>
      </c>
      <c r="F112" s="330" t="str">
        <f>IF($A112="","",IF($K112="DIESEL",SUMIFS(Table1[Amount],Table1[Customer],$B112,Table1[Date],$A112,Table1[Bill No.],$C112),IF($K112="PETROL",SUMIFS(Table14[Amount],Table14[Customer],$B112,Table14[Date],$A112,Table14[Bill No.],$C112),IF($K112="XtraGreen",SUMIFS(Table146[Amount],Table146[Company],$B112,Table146[Date],$A112,Table146[Bill No.],$C112),SUMIFS('Other Sale'!$D:$D,'Other Sale'!$E:$E,$B112,'Other Sale'!$C:$C,$K112,'Other Sale'!$A:$A,$A112)))))</f>
        <v/>
      </c>
      <c r="G112" s="330" t="str" cm="1">
        <f t="array" ref="G112">IF($A112="","",IF($K112="Payment",IFERROR(INDEX(_xlfn._xlws.FILTER(MasterPaid[Amount Paid],(MasterPaid[Customer]=$B112)*(MasterPaid[Date]=$A112)),COUNTIFS($A$6:$A112,$A112,$B$6:$B112,$B112,$K$6:$K112,"Payment")),0),0))</f>
        <v/>
      </c>
      <c r="H112" s="331"/>
      <c r="I112" s="331"/>
      <c r="J112" s="330" t="str">
        <f t="shared" si="2"/>
        <v/>
      </c>
      <c r="K112" s="289" t="str" cm="1">
        <f t="array" ref="K112">IFERROR(INDEX(_xlfn.ANCHORARRAY($Q$6),ROW()-5,4),"")</f>
        <v/>
      </c>
      <c r="L112" s="290"/>
      <c r="U112">
        <f>IF(OR($A112="",$F112=""),0,MAX(0,MIN($F112,SUMIFS($F$6:$F112,$B$6:$B112,$B112)-(SUMIFS($G$6:$G$355,$B$6:$B$355,$B112)+SUMIFS($H$6:$H$355,$B$6:$B$355,$B112)+SUMIFS($I$6:$I$355,$B$6:$B$355,$B112)))))</f>
        <v>0</v>
      </c>
      <c r="AD112" s="468"/>
      <c r="AE112" s="342"/>
      <c r="AF112" s="342"/>
      <c r="AG112" s="342"/>
      <c r="AH112" s="342"/>
      <c r="AI112" s="342"/>
      <c r="AJ112" s="342"/>
      <c r="AK112" s="342"/>
      <c r="AL112" s="342"/>
      <c r="AM112" s="342"/>
      <c r="AN112" s="342"/>
      <c r="AO112" s="342"/>
      <c r="AP112" s="342"/>
      <c r="AQ112" s="342"/>
      <c r="AR112" s="342"/>
      <c r="AS112" s="342"/>
      <c r="AT112" s="342"/>
      <c r="AU112" s="342"/>
      <c r="AV112" s="342"/>
      <c r="AW112" s="342"/>
      <c r="AX112" s="342"/>
      <c r="AY112" s="342"/>
      <c r="AZ112" s="342"/>
      <c r="BA112" s="342"/>
      <c r="BB112" s="342"/>
      <c r="BC112" s="342"/>
      <c r="BD112" s="342"/>
      <c r="BE112" s="342"/>
      <c r="BF112" s="342"/>
      <c r="BG112" s="342"/>
      <c r="BH112" s="342"/>
      <c r="BI112" s="342"/>
      <c r="BJ112" s="342"/>
      <c r="BK112" s="342"/>
      <c r="BL112" s="342"/>
    </row>
    <row r="113" spans="1:64" ht="23" x14ac:dyDescent="0.25">
      <c r="A113" s="217" t="str" cm="1">
        <f t="array" ref="A113">IFERROR(INDEX(_xlfn.ANCHORARRAY($Q$6),ROW()-5,1),"")</f>
        <v/>
      </c>
      <c r="B113" s="288" t="str" cm="1">
        <f t="array" ref="B113">IFERROR(INDEX(_xlfn.ANCHORARRAY($Q$6),ROW()-5,2),"")</f>
        <v/>
      </c>
      <c r="C113" s="289" t="str" cm="1">
        <f t="array" ref="C113">IFERROR(INDEX(_xlfn.ANCHORARRAY($Q$6),ROW()-5,3),"")</f>
        <v/>
      </c>
      <c r="D113" s="218" t="str">
        <f>IF($A113="","",IF($K113="DIESEL",SUMIFS(Table1[Quantity],Table1[Customer],$B113,Table1[Date],$A113,Table1[Bill No.],$C113),IF($K113="PETROL",SUMIFS(Table14[Quantity],Table14[Customer],$B113,Table14[Date],$A113,Table14[Bill No.],$C113),IF($K113="XtraGreen",SUMIFS(Table146[Quantity],Table146[Company],$B113,Table146[Date],$A113,Table146[Bill No.],$C113),""))))</f>
        <v/>
      </c>
      <c r="E113" s="219" t="str">
        <f>IF($A113="","",IF($K113="DIESEL",AVERAGEIFS(Table1[RSP],Table1[Customer],$B113,Table1[Date],$A113,Table1[Bill No.],$C113),IF($K113="PETROL",AVERAGEIFS(Table14[RSP],Table14[Customer],$B113,Table14[Date],$A113,Table14[Bill No.],$C113),IF($K113="XtraGreen",AVERAGEIFS(Table146[RSP],Table146[Company],$B113,Table146[Date],$A113,Table146[Bill No.],$C113),IFERROR($F113/$D113,"")))))</f>
        <v/>
      </c>
      <c r="F113" s="330" t="str">
        <f>IF($A113="","",IF($K113="DIESEL",SUMIFS(Table1[Amount],Table1[Customer],$B113,Table1[Date],$A113,Table1[Bill No.],$C113),IF($K113="PETROL",SUMIFS(Table14[Amount],Table14[Customer],$B113,Table14[Date],$A113,Table14[Bill No.],$C113),IF($K113="XtraGreen",SUMIFS(Table146[Amount],Table146[Company],$B113,Table146[Date],$A113,Table146[Bill No.],$C113),SUMIFS('Other Sale'!$D:$D,'Other Sale'!$E:$E,$B113,'Other Sale'!$C:$C,$K113,'Other Sale'!$A:$A,$A113)))))</f>
        <v/>
      </c>
      <c r="G113" s="330" t="str" cm="1">
        <f t="array" ref="G113">IF($A113="","",IF($K113="Payment",IFERROR(INDEX(_xlfn._xlws.FILTER(MasterPaid[Amount Paid],(MasterPaid[Customer]=$B113)*(MasterPaid[Date]=$A113)),COUNTIFS($A$6:$A113,$A113,$B$6:$B113,$B113,$K$6:$K113,"Payment")),0),0))</f>
        <v/>
      </c>
      <c r="H113" s="331"/>
      <c r="I113" s="331"/>
      <c r="J113" s="330" t="str">
        <f t="shared" si="2"/>
        <v/>
      </c>
      <c r="K113" s="289" t="str" cm="1">
        <f t="array" ref="K113">IFERROR(INDEX(_xlfn.ANCHORARRAY($Q$6),ROW()-5,4),"")</f>
        <v/>
      </c>
      <c r="L113" s="290"/>
      <c r="U113">
        <f>IF(OR($A113="",$F113=""),0,MAX(0,MIN($F113,SUMIFS($F$6:$F113,$B$6:$B113,$B113)-(SUMIFS($G$6:$G$355,$B$6:$B$355,$B113)+SUMIFS($H$6:$H$355,$B$6:$B$355,$B113)+SUMIFS($I$6:$I$355,$B$6:$B$355,$B113)))))</f>
        <v>0</v>
      </c>
      <c r="AD113" s="468"/>
      <c r="AE113" s="342"/>
      <c r="AF113" s="342"/>
      <c r="AG113" s="342"/>
      <c r="AH113" s="342"/>
      <c r="AI113" s="342"/>
      <c r="AJ113" s="342"/>
      <c r="AK113" s="342"/>
      <c r="AL113" s="342"/>
      <c r="AM113" s="342"/>
      <c r="AN113" s="342"/>
      <c r="AO113" s="342"/>
      <c r="AP113" s="342"/>
      <c r="AQ113" s="342"/>
      <c r="AR113" s="342"/>
      <c r="AS113" s="342"/>
      <c r="AT113" s="342"/>
      <c r="AU113" s="342"/>
      <c r="AV113" s="342"/>
      <c r="AW113" s="342"/>
      <c r="AX113" s="342"/>
      <c r="AY113" s="342"/>
      <c r="AZ113" s="342"/>
      <c r="BA113" s="342"/>
      <c r="BB113" s="342"/>
      <c r="BC113" s="342"/>
      <c r="BD113" s="342"/>
      <c r="BE113" s="342"/>
      <c r="BF113" s="342"/>
      <c r="BG113" s="342"/>
      <c r="BH113" s="342"/>
      <c r="BI113" s="342"/>
      <c r="BJ113" s="342"/>
      <c r="BK113" s="342"/>
      <c r="BL113" s="342"/>
    </row>
    <row r="114" spans="1:64" ht="23" x14ac:dyDescent="0.25">
      <c r="A114" s="217" t="str" cm="1">
        <f t="array" ref="A114">IFERROR(INDEX(_xlfn.ANCHORARRAY($Q$6),ROW()-5,1),"")</f>
        <v/>
      </c>
      <c r="B114" s="288" t="str" cm="1">
        <f t="array" ref="B114">IFERROR(INDEX(_xlfn.ANCHORARRAY($Q$6),ROW()-5,2),"")</f>
        <v/>
      </c>
      <c r="C114" s="289" t="str" cm="1">
        <f t="array" ref="C114">IFERROR(INDEX(_xlfn.ANCHORARRAY($Q$6),ROW()-5,3),"")</f>
        <v/>
      </c>
      <c r="D114" s="218" t="str">
        <f>IF($A114="","",IF($K114="DIESEL",SUMIFS(Table1[Quantity],Table1[Customer],$B114,Table1[Date],$A114,Table1[Bill No.],$C114),IF($K114="PETROL",SUMIFS(Table14[Quantity],Table14[Customer],$B114,Table14[Date],$A114,Table14[Bill No.],$C114),IF($K114="XtraGreen",SUMIFS(Table146[Quantity],Table146[Company],$B114,Table146[Date],$A114,Table146[Bill No.],$C114),""))))</f>
        <v/>
      </c>
      <c r="E114" s="219" t="str">
        <f>IF($A114="","",IF($K114="DIESEL",AVERAGEIFS(Table1[RSP],Table1[Customer],$B114,Table1[Date],$A114,Table1[Bill No.],$C114),IF($K114="PETROL",AVERAGEIFS(Table14[RSP],Table14[Customer],$B114,Table14[Date],$A114,Table14[Bill No.],$C114),IF($K114="XtraGreen",AVERAGEIFS(Table146[RSP],Table146[Company],$B114,Table146[Date],$A114,Table146[Bill No.],$C114),IFERROR($F114/$D114,"")))))</f>
        <v/>
      </c>
      <c r="F114" s="330" t="str">
        <f>IF($A114="","",IF($K114="DIESEL",SUMIFS(Table1[Amount],Table1[Customer],$B114,Table1[Date],$A114,Table1[Bill No.],$C114),IF($K114="PETROL",SUMIFS(Table14[Amount],Table14[Customer],$B114,Table14[Date],$A114,Table14[Bill No.],$C114),IF($K114="XtraGreen",SUMIFS(Table146[Amount],Table146[Company],$B114,Table146[Date],$A114,Table146[Bill No.],$C114),SUMIFS('Other Sale'!$D:$D,'Other Sale'!$E:$E,$B114,'Other Sale'!$C:$C,$K114,'Other Sale'!$A:$A,$A114)))))</f>
        <v/>
      </c>
      <c r="G114" s="330" t="str" cm="1">
        <f t="array" ref="G114">IF($A114="","",IF($K114="Payment",IFERROR(INDEX(_xlfn._xlws.FILTER(MasterPaid[Amount Paid],(MasterPaid[Customer]=$B114)*(MasterPaid[Date]=$A114)),COUNTIFS($A$6:$A114,$A114,$B$6:$B114,$B114,$K$6:$K114,"Payment")),0),0))</f>
        <v/>
      </c>
      <c r="H114" s="331"/>
      <c r="I114" s="331"/>
      <c r="J114" s="330" t="str">
        <f t="shared" si="2"/>
        <v/>
      </c>
      <c r="K114" s="289" t="str" cm="1">
        <f t="array" ref="K114">IFERROR(INDEX(_xlfn.ANCHORARRAY($Q$6),ROW()-5,4),"")</f>
        <v/>
      </c>
      <c r="L114" s="290"/>
      <c r="U114">
        <f>IF(OR($A114="",$F114=""),0,MAX(0,MIN($F114,SUMIFS($F$6:$F114,$B$6:$B114,$B114)-(SUMIFS($G$6:$G$355,$B$6:$B$355,$B114)+SUMIFS($H$6:$H$355,$B$6:$B$355,$B114)+SUMIFS($I$6:$I$355,$B$6:$B$355,$B114)))))</f>
        <v>0</v>
      </c>
      <c r="AD114" s="468"/>
      <c r="AE114" s="342"/>
      <c r="AF114" s="342"/>
      <c r="AG114" s="342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342"/>
      <c r="AR114" s="342"/>
      <c r="AS114" s="342"/>
      <c r="AT114" s="342"/>
      <c r="AU114" s="342"/>
      <c r="AV114" s="342"/>
      <c r="AW114" s="342"/>
      <c r="AX114" s="342"/>
      <c r="AY114" s="342"/>
      <c r="AZ114" s="342"/>
      <c r="BA114" s="342"/>
      <c r="BB114" s="342"/>
      <c r="BC114" s="342"/>
      <c r="BD114" s="342"/>
      <c r="BE114" s="342"/>
      <c r="BF114" s="342"/>
      <c r="BG114" s="342"/>
      <c r="BH114" s="342"/>
      <c r="BI114" s="342"/>
      <c r="BJ114" s="342"/>
      <c r="BK114" s="342"/>
      <c r="BL114" s="342"/>
    </row>
    <row r="115" spans="1:64" ht="23" x14ac:dyDescent="0.25">
      <c r="A115" s="217" t="str" cm="1">
        <f t="array" ref="A115">IFERROR(INDEX(_xlfn.ANCHORARRAY($Q$6),ROW()-5,1),"")</f>
        <v/>
      </c>
      <c r="B115" s="288" t="str" cm="1">
        <f t="array" ref="B115">IFERROR(INDEX(_xlfn.ANCHORARRAY($Q$6),ROW()-5,2),"")</f>
        <v/>
      </c>
      <c r="C115" s="289" t="str" cm="1">
        <f t="array" ref="C115">IFERROR(INDEX(_xlfn.ANCHORARRAY($Q$6),ROW()-5,3),"")</f>
        <v/>
      </c>
      <c r="D115" s="218" t="str">
        <f>IF($A115="","",IF($K115="DIESEL",SUMIFS(Table1[Quantity],Table1[Customer],$B115,Table1[Date],$A115,Table1[Bill No.],$C115),IF($K115="PETROL",SUMIFS(Table14[Quantity],Table14[Customer],$B115,Table14[Date],$A115,Table14[Bill No.],$C115),IF($K115="XtraGreen",SUMIFS(Table146[Quantity],Table146[Company],$B115,Table146[Date],$A115,Table146[Bill No.],$C115),""))))</f>
        <v/>
      </c>
      <c r="E115" s="219" t="str">
        <f>IF($A115="","",IF($K115="DIESEL",AVERAGEIFS(Table1[RSP],Table1[Customer],$B115,Table1[Date],$A115,Table1[Bill No.],$C115),IF($K115="PETROL",AVERAGEIFS(Table14[RSP],Table14[Customer],$B115,Table14[Date],$A115,Table14[Bill No.],$C115),IF($K115="XtraGreen",AVERAGEIFS(Table146[RSP],Table146[Company],$B115,Table146[Date],$A115,Table146[Bill No.],$C115),IFERROR($F115/$D115,"")))))</f>
        <v/>
      </c>
      <c r="F115" s="330" t="str">
        <f>IF($A115="","",IF($K115="DIESEL",SUMIFS(Table1[Amount],Table1[Customer],$B115,Table1[Date],$A115,Table1[Bill No.],$C115),IF($K115="PETROL",SUMIFS(Table14[Amount],Table14[Customer],$B115,Table14[Date],$A115,Table14[Bill No.],$C115),IF($K115="XtraGreen",SUMIFS(Table146[Amount],Table146[Company],$B115,Table146[Date],$A115,Table146[Bill No.],$C115),SUMIFS('Other Sale'!$D:$D,'Other Sale'!$E:$E,$B115,'Other Sale'!$C:$C,$K115,'Other Sale'!$A:$A,$A115)))))</f>
        <v/>
      </c>
      <c r="G115" s="330" t="str" cm="1">
        <f t="array" ref="G115">IF($A115="","",IF($K115="Payment",IFERROR(INDEX(_xlfn._xlws.FILTER(MasterPaid[Amount Paid],(MasterPaid[Customer]=$B115)*(MasterPaid[Date]=$A115)),COUNTIFS($A$6:$A115,$A115,$B$6:$B115,$B115,$K$6:$K115,"Payment")),0),0))</f>
        <v/>
      </c>
      <c r="H115" s="331"/>
      <c r="I115" s="331"/>
      <c r="J115" s="330" t="str">
        <f t="shared" si="2"/>
        <v/>
      </c>
      <c r="K115" s="289" t="str" cm="1">
        <f t="array" ref="K115">IFERROR(INDEX(_xlfn.ANCHORARRAY($Q$6),ROW()-5,4),"")</f>
        <v/>
      </c>
      <c r="L115" s="290"/>
      <c r="U115">
        <f>IF(OR($A115="",$F115=""),0,MAX(0,MIN($F115,SUMIFS($F$6:$F115,$B$6:$B115,$B115)-(SUMIFS($G$6:$G$355,$B$6:$B$355,$B115)+SUMIFS($H$6:$H$355,$B$6:$B$355,$B115)+SUMIFS($I$6:$I$355,$B$6:$B$355,$B115)))))</f>
        <v>0</v>
      </c>
      <c r="AD115" s="468"/>
      <c r="AE115" s="342"/>
      <c r="AF115" s="342"/>
      <c r="AG115" s="342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342"/>
      <c r="AR115" s="342"/>
      <c r="AS115" s="342"/>
      <c r="AT115" s="342"/>
      <c r="AU115" s="342"/>
      <c r="AV115" s="342"/>
      <c r="AW115" s="342"/>
      <c r="AX115" s="342"/>
      <c r="AY115" s="342"/>
      <c r="AZ115" s="342"/>
      <c r="BA115" s="342"/>
      <c r="BB115" s="342"/>
      <c r="BC115" s="342"/>
      <c r="BD115" s="342"/>
      <c r="BE115" s="342"/>
      <c r="BF115" s="342"/>
      <c r="BG115" s="342"/>
      <c r="BH115" s="342"/>
      <c r="BI115" s="342"/>
      <c r="BJ115" s="342"/>
      <c r="BK115" s="342"/>
      <c r="BL115" s="342"/>
    </row>
    <row r="116" spans="1:64" ht="23" x14ac:dyDescent="0.25">
      <c r="A116" s="217" t="str" cm="1">
        <f t="array" ref="A116">IFERROR(INDEX(_xlfn.ANCHORARRAY($Q$6),ROW()-5,1),"")</f>
        <v/>
      </c>
      <c r="B116" s="288" t="str" cm="1">
        <f t="array" ref="B116">IFERROR(INDEX(_xlfn.ANCHORARRAY($Q$6),ROW()-5,2),"")</f>
        <v/>
      </c>
      <c r="C116" s="289" t="str" cm="1">
        <f t="array" ref="C116">IFERROR(INDEX(_xlfn.ANCHORARRAY($Q$6),ROW()-5,3),"")</f>
        <v/>
      </c>
      <c r="D116" s="218" t="str">
        <f>IF($A116="","",IF($K116="DIESEL",SUMIFS(Table1[Quantity],Table1[Customer],$B116,Table1[Date],$A116,Table1[Bill No.],$C116),IF($K116="PETROL",SUMIFS(Table14[Quantity],Table14[Customer],$B116,Table14[Date],$A116,Table14[Bill No.],$C116),IF($K116="XtraGreen",SUMIFS(Table146[Quantity],Table146[Company],$B116,Table146[Date],$A116,Table146[Bill No.],$C116),""))))</f>
        <v/>
      </c>
      <c r="E116" s="219" t="str">
        <f>IF($A116="","",IF($K116="DIESEL",AVERAGEIFS(Table1[RSP],Table1[Customer],$B116,Table1[Date],$A116,Table1[Bill No.],$C116),IF($K116="PETROL",AVERAGEIFS(Table14[RSP],Table14[Customer],$B116,Table14[Date],$A116,Table14[Bill No.],$C116),IF($K116="XtraGreen",AVERAGEIFS(Table146[RSP],Table146[Company],$B116,Table146[Date],$A116,Table146[Bill No.],$C116),IFERROR($F116/$D116,"")))))</f>
        <v/>
      </c>
      <c r="F116" s="330" t="str">
        <f>IF($A116="","",IF($K116="DIESEL",SUMIFS(Table1[Amount],Table1[Customer],$B116,Table1[Date],$A116,Table1[Bill No.],$C116),IF($K116="PETROL",SUMIFS(Table14[Amount],Table14[Customer],$B116,Table14[Date],$A116,Table14[Bill No.],$C116),IF($K116="XtraGreen",SUMIFS(Table146[Amount],Table146[Company],$B116,Table146[Date],$A116,Table146[Bill No.],$C116),SUMIFS('Other Sale'!$D:$D,'Other Sale'!$E:$E,$B116,'Other Sale'!$C:$C,$K116,'Other Sale'!$A:$A,$A116)))))</f>
        <v/>
      </c>
      <c r="G116" s="330" t="str" cm="1">
        <f t="array" ref="G116">IF($A116="","",IF($K116="Payment",IFERROR(INDEX(_xlfn._xlws.FILTER(MasterPaid[Amount Paid],(MasterPaid[Customer]=$B116)*(MasterPaid[Date]=$A116)),COUNTIFS($A$6:$A116,$A116,$B$6:$B116,$B116,$K$6:$K116,"Payment")),0),0))</f>
        <v/>
      </c>
      <c r="H116" s="331"/>
      <c r="I116" s="331"/>
      <c r="J116" s="330" t="str">
        <f t="shared" si="2"/>
        <v/>
      </c>
      <c r="K116" s="289" t="str" cm="1">
        <f t="array" ref="K116">IFERROR(INDEX(_xlfn.ANCHORARRAY($Q$6),ROW()-5,4),"")</f>
        <v/>
      </c>
      <c r="L116" s="290"/>
      <c r="U116">
        <f>IF(OR($A116="",$F116=""),0,MAX(0,MIN($F116,SUMIFS($F$6:$F116,$B$6:$B116,$B116)-(SUMIFS($G$6:$G$355,$B$6:$B$355,$B116)+SUMIFS($H$6:$H$355,$B$6:$B$355,$B116)+SUMIFS($I$6:$I$355,$B$6:$B$355,$B116)))))</f>
        <v>0</v>
      </c>
      <c r="AD116" s="468"/>
      <c r="AE116" s="342"/>
      <c r="AF116" s="342"/>
      <c r="AG116" s="342"/>
      <c r="AH116" s="342"/>
      <c r="AI116" s="342"/>
      <c r="AJ116" s="342"/>
      <c r="AK116" s="342"/>
      <c r="AL116" s="342"/>
      <c r="AM116" s="342"/>
      <c r="AN116" s="342"/>
      <c r="AO116" s="342"/>
      <c r="AP116" s="342"/>
      <c r="AQ116" s="342"/>
      <c r="AR116" s="342"/>
      <c r="AS116" s="342"/>
      <c r="AT116" s="342"/>
      <c r="AU116" s="342"/>
      <c r="AV116" s="342"/>
      <c r="AW116" s="342"/>
      <c r="AX116" s="342"/>
      <c r="AY116" s="342"/>
      <c r="AZ116" s="342"/>
      <c r="BA116" s="342"/>
      <c r="BB116" s="342"/>
      <c r="BC116" s="342"/>
      <c r="BD116" s="342"/>
      <c r="BE116" s="342"/>
      <c r="BF116" s="342"/>
      <c r="BG116" s="342"/>
      <c r="BH116" s="342"/>
      <c r="BI116" s="342"/>
      <c r="BJ116" s="342"/>
      <c r="BK116" s="342"/>
      <c r="BL116" s="342"/>
    </row>
    <row r="117" spans="1:64" ht="23" x14ac:dyDescent="0.25">
      <c r="A117" s="217" t="str" cm="1">
        <f t="array" ref="A117">IFERROR(INDEX(_xlfn.ANCHORARRAY($Q$6),ROW()-5,1),"")</f>
        <v/>
      </c>
      <c r="B117" s="288" t="str" cm="1">
        <f t="array" ref="B117">IFERROR(INDEX(_xlfn.ANCHORARRAY($Q$6),ROW()-5,2),"")</f>
        <v/>
      </c>
      <c r="C117" s="289" t="str" cm="1">
        <f t="array" ref="C117">IFERROR(INDEX(_xlfn.ANCHORARRAY($Q$6),ROW()-5,3),"")</f>
        <v/>
      </c>
      <c r="D117" s="218" t="str">
        <f>IF($A117="","",IF($K117="DIESEL",SUMIFS(Table1[Quantity],Table1[Customer],$B117,Table1[Date],$A117,Table1[Bill No.],$C117),IF($K117="PETROL",SUMIFS(Table14[Quantity],Table14[Customer],$B117,Table14[Date],$A117,Table14[Bill No.],$C117),IF($K117="XtraGreen",SUMIFS(Table146[Quantity],Table146[Company],$B117,Table146[Date],$A117,Table146[Bill No.],$C117),""))))</f>
        <v/>
      </c>
      <c r="E117" s="219" t="str">
        <f>IF($A117="","",IF($K117="DIESEL",AVERAGEIFS(Table1[RSP],Table1[Customer],$B117,Table1[Date],$A117,Table1[Bill No.],$C117),IF($K117="PETROL",AVERAGEIFS(Table14[RSP],Table14[Customer],$B117,Table14[Date],$A117,Table14[Bill No.],$C117),IF($K117="XtraGreen",AVERAGEIFS(Table146[RSP],Table146[Company],$B117,Table146[Date],$A117,Table146[Bill No.],$C117),IFERROR($F117/$D117,"")))))</f>
        <v/>
      </c>
      <c r="F117" s="330" t="str">
        <f>IF($A117="","",IF($K117="DIESEL",SUMIFS(Table1[Amount],Table1[Customer],$B117,Table1[Date],$A117,Table1[Bill No.],$C117),IF($K117="PETROL",SUMIFS(Table14[Amount],Table14[Customer],$B117,Table14[Date],$A117,Table14[Bill No.],$C117),IF($K117="XtraGreen",SUMIFS(Table146[Amount],Table146[Company],$B117,Table146[Date],$A117,Table146[Bill No.],$C117),SUMIFS('Other Sale'!$D:$D,'Other Sale'!$E:$E,$B117,'Other Sale'!$C:$C,$K117,'Other Sale'!$A:$A,$A117)))))</f>
        <v/>
      </c>
      <c r="G117" s="330" t="str" cm="1">
        <f t="array" ref="G117">IF($A117="","",IF($K117="Payment",IFERROR(INDEX(_xlfn._xlws.FILTER(MasterPaid[Amount Paid],(MasterPaid[Customer]=$B117)*(MasterPaid[Date]=$A117)),COUNTIFS($A$6:$A117,$A117,$B$6:$B117,$B117,$K$6:$K117,"Payment")),0),0))</f>
        <v/>
      </c>
      <c r="H117" s="331"/>
      <c r="I117" s="331"/>
      <c r="J117" s="330" t="str">
        <f t="shared" si="2"/>
        <v/>
      </c>
      <c r="K117" s="289" t="str" cm="1">
        <f t="array" ref="K117">IFERROR(INDEX(_xlfn.ANCHORARRAY($Q$6),ROW()-5,4),"")</f>
        <v/>
      </c>
      <c r="L117" s="290"/>
      <c r="U117">
        <f>IF(OR($A117="",$F117=""),0,MAX(0,MIN($F117,SUMIFS($F$6:$F117,$B$6:$B117,$B117)-(SUMIFS($G$6:$G$355,$B$6:$B$355,$B117)+SUMIFS($H$6:$H$355,$B$6:$B$355,$B117)+SUMIFS($I$6:$I$355,$B$6:$B$355,$B117)))))</f>
        <v>0</v>
      </c>
      <c r="AD117" s="468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2"/>
      <c r="BC117" s="342"/>
      <c r="BD117" s="342"/>
      <c r="BE117" s="342"/>
      <c r="BF117" s="342"/>
      <c r="BG117" s="342"/>
      <c r="BH117" s="342"/>
      <c r="BI117" s="342"/>
      <c r="BJ117" s="342"/>
      <c r="BK117" s="342"/>
      <c r="BL117" s="342"/>
    </row>
    <row r="118" spans="1:64" ht="23" x14ac:dyDescent="0.25">
      <c r="A118" s="217" t="str" cm="1">
        <f t="array" ref="A118">IFERROR(INDEX(_xlfn.ANCHORARRAY($Q$6),ROW()-5,1),"")</f>
        <v/>
      </c>
      <c r="B118" s="288" t="str" cm="1">
        <f t="array" ref="B118">IFERROR(INDEX(_xlfn.ANCHORARRAY($Q$6),ROW()-5,2),"")</f>
        <v/>
      </c>
      <c r="C118" s="289" t="str" cm="1">
        <f t="array" ref="C118">IFERROR(INDEX(_xlfn.ANCHORARRAY($Q$6),ROW()-5,3),"")</f>
        <v/>
      </c>
      <c r="D118" s="218" t="str">
        <f>IF($A118="","",IF($K118="DIESEL",SUMIFS(Table1[Quantity],Table1[Customer],$B118,Table1[Date],$A118,Table1[Bill No.],$C118),IF($K118="PETROL",SUMIFS(Table14[Quantity],Table14[Customer],$B118,Table14[Date],$A118,Table14[Bill No.],$C118),IF($K118="XtraGreen",SUMIFS(Table146[Quantity],Table146[Company],$B118,Table146[Date],$A118,Table146[Bill No.],$C118),""))))</f>
        <v/>
      </c>
      <c r="E118" s="219" t="str">
        <f>IF($A118="","",IF($K118="DIESEL",AVERAGEIFS(Table1[RSP],Table1[Customer],$B118,Table1[Date],$A118,Table1[Bill No.],$C118),IF($K118="PETROL",AVERAGEIFS(Table14[RSP],Table14[Customer],$B118,Table14[Date],$A118,Table14[Bill No.],$C118),IF($K118="XtraGreen",AVERAGEIFS(Table146[RSP],Table146[Company],$B118,Table146[Date],$A118,Table146[Bill No.],$C118),IFERROR($F118/$D118,"")))))</f>
        <v/>
      </c>
      <c r="F118" s="330" t="str">
        <f>IF($A118="","",IF($K118="DIESEL",SUMIFS(Table1[Amount],Table1[Customer],$B118,Table1[Date],$A118,Table1[Bill No.],$C118),IF($K118="PETROL",SUMIFS(Table14[Amount],Table14[Customer],$B118,Table14[Date],$A118,Table14[Bill No.],$C118),IF($K118="XtraGreen",SUMIFS(Table146[Amount],Table146[Company],$B118,Table146[Date],$A118,Table146[Bill No.],$C118),SUMIFS('Other Sale'!$D:$D,'Other Sale'!$E:$E,$B118,'Other Sale'!$C:$C,$K118,'Other Sale'!$A:$A,$A118)))))</f>
        <v/>
      </c>
      <c r="G118" s="330" t="str" cm="1">
        <f t="array" ref="G118">IF($A118="","",IF($K118="Payment",IFERROR(INDEX(_xlfn._xlws.FILTER(MasterPaid[Amount Paid],(MasterPaid[Customer]=$B118)*(MasterPaid[Date]=$A118)),COUNTIFS($A$6:$A118,$A118,$B$6:$B118,$B118,$K$6:$K118,"Payment")),0),0))</f>
        <v/>
      </c>
      <c r="H118" s="331"/>
      <c r="I118" s="331"/>
      <c r="J118" s="330" t="str">
        <f t="shared" si="2"/>
        <v/>
      </c>
      <c r="K118" s="289" t="str" cm="1">
        <f t="array" ref="K118">IFERROR(INDEX(_xlfn.ANCHORARRAY($Q$6),ROW()-5,4),"")</f>
        <v/>
      </c>
      <c r="L118" s="290"/>
      <c r="U118">
        <f>IF(OR($A118="",$F118=""),0,MAX(0,MIN($F118,SUMIFS($F$6:$F118,$B$6:$B118,$B118)-(SUMIFS($G$6:$G$355,$B$6:$B$355,$B118)+SUMIFS($H$6:$H$355,$B$6:$B$355,$B118)+SUMIFS($I$6:$I$355,$B$6:$B$355,$B118)))))</f>
        <v>0</v>
      </c>
      <c r="AD118" s="468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2"/>
      <c r="BC118" s="342"/>
      <c r="BD118" s="342"/>
      <c r="BE118" s="342"/>
      <c r="BF118" s="342"/>
      <c r="BG118" s="342"/>
      <c r="BH118" s="342"/>
      <c r="BI118" s="342"/>
      <c r="BJ118" s="342"/>
      <c r="BK118" s="342"/>
      <c r="BL118" s="342"/>
    </row>
    <row r="119" spans="1:64" ht="23" x14ac:dyDescent="0.25">
      <c r="A119" s="217" t="str" cm="1">
        <f t="array" ref="A119">IFERROR(INDEX(_xlfn.ANCHORARRAY($Q$6),ROW()-5,1),"")</f>
        <v/>
      </c>
      <c r="B119" s="288" t="str" cm="1">
        <f t="array" ref="B119">IFERROR(INDEX(_xlfn.ANCHORARRAY($Q$6),ROW()-5,2),"")</f>
        <v/>
      </c>
      <c r="C119" s="289" t="str" cm="1">
        <f t="array" ref="C119">IFERROR(INDEX(_xlfn.ANCHORARRAY($Q$6),ROW()-5,3),"")</f>
        <v/>
      </c>
      <c r="D119" s="218" t="str">
        <f>IF($A119="","",IF($K119="DIESEL",SUMIFS(Table1[Quantity],Table1[Customer],$B119,Table1[Date],$A119,Table1[Bill No.],$C119),IF($K119="PETROL",SUMIFS(Table14[Quantity],Table14[Customer],$B119,Table14[Date],$A119,Table14[Bill No.],$C119),IF($K119="XtraGreen",SUMIFS(Table146[Quantity],Table146[Company],$B119,Table146[Date],$A119,Table146[Bill No.],$C119),""))))</f>
        <v/>
      </c>
      <c r="E119" s="219" t="str">
        <f>IF($A119="","",IF($K119="DIESEL",AVERAGEIFS(Table1[RSP],Table1[Customer],$B119,Table1[Date],$A119,Table1[Bill No.],$C119),IF($K119="PETROL",AVERAGEIFS(Table14[RSP],Table14[Customer],$B119,Table14[Date],$A119,Table14[Bill No.],$C119),IF($K119="XtraGreen",AVERAGEIFS(Table146[RSP],Table146[Company],$B119,Table146[Date],$A119,Table146[Bill No.],$C119),IFERROR($F119/$D119,"")))))</f>
        <v/>
      </c>
      <c r="F119" s="330" t="str">
        <f>IF($A119="","",IF($K119="DIESEL",SUMIFS(Table1[Amount],Table1[Customer],$B119,Table1[Date],$A119,Table1[Bill No.],$C119),IF($K119="PETROL",SUMIFS(Table14[Amount],Table14[Customer],$B119,Table14[Date],$A119,Table14[Bill No.],$C119),IF($K119="XtraGreen",SUMIFS(Table146[Amount],Table146[Company],$B119,Table146[Date],$A119,Table146[Bill No.],$C119),SUMIFS('Other Sale'!$D:$D,'Other Sale'!$E:$E,$B119,'Other Sale'!$C:$C,$K119,'Other Sale'!$A:$A,$A119)))))</f>
        <v/>
      </c>
      <c r="G119" s="330" t="str" cm="1">
        <f t="array" ref="G119">IF($A119="","",IF($K119="Payment",IFERROR(INDEX(_xlfn._xlws.FILTER(MasterPaid[Amount Paid],(MasterPaid[Customer]=$B119)*(MasterPaid[Date]=$A119)),COUNTIFS($A$6:$A119,$A119,$B$6:$B119,$B119,$K$6:$K119,"Payment")),0),0))</f>
        <v/>
      </c>
      <c r="H119" s="331"/>
      <c r="I119" s="331"/>
      <c r="J119" s="330" t="str">
        <f t="shared" si="2"/>
        <v/>
      </c>
      <c r="K119" s="289" t="str" cm="1">
        <f t="array" ref="K119">IFERROR(INDEX(_xlfn.ANCHORARRAY($Q$6),ROW()-5,4),"")</f>
        <v/>
      </c>
      <c r="L119" s="290"/>
      <c r="U119">
        <f>IF(OR($A119="",$F119=""),0,MAX(0,MIN($F119,SUMIFS($F$6:$F119,$B$6:$B119,$B119)-(SUMIFS($G$6:$G$355,$B$6:$B$355,$B119)+SUMIFS($H$6:$H$355,$B$6:$B$355,$B119)+SUMIFS($I$6:$I$355,$B$6:$B$355,$B119)))))</f>
        <v>0</v>
      </c>
      <c r="AD119" s="468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2"/>
      <c r="BC119" s="342"/>
      <c r="BD119" s="342"/>
      <c r="BE119" s="342"/>
      <c r="BF119" s="342"/>
      <c r="BG119" s="342"/>
      <c r="BH119" s="342"/>
      <c r="BI119" s="342"/>
      <c r="BJ119" s="342"/>
      <c r="BK119" s="342"/>
      <c r="BL119" s="342"/>
    </row>
    <row r="120" spans="1:64" ht="23" x14ac:dyDescent="0.25">
      <c r="A120" s="217" t="str" cm="1">
        <f t="array" ref="A120">IFERROR(INDEX(_xlfn.ANCHORARRAY($Q$6),ROW()-5,1),"")</f>
        <v/>
      </c>
      <c r="B120" s="288" t="str" cm="1">
        <f t="array" ref="B120">IFERROR(INDEX(_xlfn.ANCHORARRAY($Q$6),ROW()-5,2),"")</f>
        <v/>
      </c>
      <c r="C120" s="289" t="str" cm="1">
        <f t="array" ref="C120">IFERROR(INDEX(_xlfn.ANCHORARRAY($Q$6),ROW()-5,3),"")</f>
        <v/>
      </c>
      <c r="D120" s="218" t="str">
        <f>IF($A120="","",IF($K120="DIESEL",SUMIFS(Table1[Quantity],Table1[Customer],$B120,Table1[Date],$A120,Table1[Bill No.],$C120),IF($K120="PETROL",SUMIFS(Table14[Quantity],Table14[Customer],$B120,Table14[Date],$A120,Table14[Bill No.],$C120),IF($K120="XtraGreen",SUMIFS(Table146[Quantity],Table146[Company],$B120,Table146[Date],$A120,Table146[Bill No.],$C120),""))))</f>
        <v/>
      </c>
      <c r="E120" s="219" t="str">
        <f>IF($A120="","",IF($K120="DIESEL",AVERAGEIFS(Table1[RSP],Table1[Customer],$B120,Table1[Date],$A120,Table1[Bill No.],$C120),IF($K120="PETROL",AVERAGEIFS(Table14[RSP],Table14[Customer],$B120,Table14[Date],$A120,Table14[Bill No.],$C120),IF($K120="XtraGreen",AVERAGEIFS(Table146[RSP],Table146[Company],$B120,Table146[Date],$A120,Table146[Bill No.],$C120),IFERROR($F120/$D120,"")))))</f>
        <v/>
      </c>
      <c r="F120" s="330" t="str">
        <f>IF($A120="","",IF($K120="DIESEL",SUMIFS(Table1[Amount],Table1[Customer],$B120,Table1[Date],$A120,Table1[Bill No.],$C120),IF($K120="PETROL",SUMIFS(Table14[Amount],Table14[Customer],$B120,Table14[Date],$A120,Table14[Bill No.],$C120),IF($K120="XtraGreen",SUMIFS(Table146[Amount],Table146[Company],$B120,Table146[Date],$A120,Table146[Bill No.],$C120),SUMIFS('Other Sale'!$D:$D,'Other Sale'!$E:$E,$B120,'Other Sale'!$C:$C,$K120,'Other Sale'!$A:$A,$A120)))))</f>
        <v/>
      </c>
      <c r="G120" s="330" t="str" cm="1">
        <f t="array" ref="G120">IF($A120="","",IF($K120="Payment",IFERROR(INDEX(_xlfn._xlws.FILTER(MasterPaid[Amount Paid],(MasterPaid[Customer]=$B120)*(MasterPaid[Date]=$A120)),COUNTIFS($A$6:$A120,$A120,$B$6:$B120,$B120,$K$6:$K120,"Payment")),0),0))</f>
        <v/>
      </c>
      <c r="H120" s="331"/>
      <c r="I120" s="331"/>
      <c r="J120" s="330" t="str">
        <f t="shared" si="2"/>
        <v/>
      </c>
      <c r="K120" s="289" t="str" cm="1">
        <f t="array" ref="K120">IFERROR(INDEX(_xlfn.ANCHORARRAY($Q$6),ROW()-5,4),"")</f>
        <v/>
      </c>
      <c r="L120" s="290"/>
      <c r="U120">
        <f>IF(OR($A120="",$F120=""),0,MAX(0,MIN($F120,SUMIFS($F$6:$F120,$B$6:$B120,$B120)-(SUMIFS($G$6:$G$355,$B$6:$B$355,$B120)+SUMIFS($H$6:$H$355,$B$6:$B$355,$B120)+SUMIFS($I$6:$I$355,$B$6:$B$355,$B120)))))</f>
        <v>0</v>
      </c>
      <c r="AD120" s="468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2"/>
      <c r="BC120" s="342"/>
      <c r="BD120" s="342"/>
      <c r="BE120" s="342"/>
      <c r="BF120" s="342"/>
      <c r="BG120" s="342"/>
      <c r="BH120" s="342"/>
      <c r="BI120" s="342"/>
      <c r="BJ120" s="342"/>
      <c r="BK120" s="342"/>
      <c r="BL120" s="342"/>
    </row>
    <row r="121" spans="1:64" ht="23" x14ac:dyDescent="0.25">
      <c r="A121" s="217" t="str" cm="1">
        <f t="array" ref="A121">IFERROR(INDEX(_xlfn.ANCHORARRAY($Q$6),ROW()-5,1),"")</f>
        <v/>
      </c>
      <c r="B121" s="288" t="str" cm="1">
        <f t="array" ref="B121">IFERROR(INDEX(_xlfn.ANCHORARRAY($Q$6),ROW()-5,2),"")</f>
        <v/>
      </c>
      <c r="C121" s="289" t="str" cm="1">
        <f t="array" ref="C121">IFERROR(INDEX(_xlfn.ANCHORARRAY($Q$6),ROW()-5,3),"")</f>
        <v/>
      </c>
      <c r="D121" s="218" t="str">
        <f>IF($A121="","",IF($K121="DIESEL",SUMIFS(Table1[Quantity],Table1[Customer],$B121,Table1[Date],$A121,Table1[Bill No.],$C121),IF($K121="PETROL",SUMIFS(Table14[Quantity],Table14[Customer],$B121,Table14[Date],$A121,Table14[Bill No.],$C121),IF($K121="XtraGreen",SUMIFS(Table146[Quantity],Table146[Company],$B121,Table146[Date],$A121,Table146[Bill No.],$C121),""))))</f>
        <v/>
      </c>
      <c r="E121" s="219" t="str">
        <f>IF($A121="","",IF($K121="DIESEL",AVERAGEIFS(Table1[RSP],Table1[Customer],$B121,Table1[Date],$A121,Table1[Bill No.],$C121),IF($K121="PETROL",AVERAGEIFS(Table14[RSP],Table14[Customer],$B121,Table14[Date],$A121,Table14[Bill No.],$C121),IF($K121="XtraGreen",AVERAGEIFS(Table146[RSP],Table146[Company],$B121,Table146[Date],$A121,Table146[Bill No.],$C121),IFERROR($F121/$D121,"")))))</f>
        <v/>
      </c>
      <c r="F121" s="330" t="str">
        <f>IF($A121="","",IF($K121="DIESEL",SUMIFS(Table1[Amount],Table1[Customer],$B121,Table1[Date],$A121,Table1[Bill No.],$C121),IF($K121="PETROL",SUMIFS(Table14[Amount],Table14[Customer],$B121,Table14[Date],$A121,Table14[Bill No.],$C121),IF($K121="XtraGreen",SUMIFS(Table146[Amount],Table146[Company],$B121,Table146[Date],$A121,Table146[Bill No.],$C121),SUMIFS('Other Sale'!$D:$D,'Other Sale'!$E:$E,$B121,'Other Sale'!$C:$C,$K121,'Other Sale'!$A:$A,$A121)))))</f>
        <v/>
      </c>
      <c r="G121" s="330" t="str" cm="1">
        <f t="array" ref="G121">IF($A121="","",IF($K121="Payment",IFERROR(INDEX(_xlfn._xlws.FILTER(MasterPaid[Amount Paid],(MasterPaid[Customer]=$B121)*(MasterPaid[Date]=$A121)),COUNTIFS($A$6:$A121,$A121,$B$6:$B121,$B121,$K$6:$K121,"Payment")),0),0))</f>
        <v/>
      </c>
      <c r="H121" s="331"/>
      <c r="I121" s="331"/>
      <c r="J121" s="330" t="str">
        <f t="shared" si="2"/>
        <v/>
      </c>
      <c r="K121" s="289" t="str" cm="1">
        <f t="array" ref="K121">IFERROR(INDEX(_xlfn.ANCHORARRAY($Q$6),ROW()-5,4),"")</f>
        <v/>
      </c>
      <c r="L121" s="290"/>
      <c r="U121">
        <f>IF(OR($A121="",$F121=""),0,MAX(0,MIN($F121,SUMIFS($F$6:$F121,$B$6:$B121,$B121)-(SUMIFS($G$6:$G$355,$B$6:$B$355,$B121)+SUMIFS($H$6:$H$355,$B$6:$B$355,$B121)+SUMIFS($I$6:$I$355,$B$6:$B$355,$B121)))))</f>
        <v>0</v>
      </c>
      <c r="AD121" s="468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342"/>
      <c r="AR121" s="342"/>
      <c r="AS121" s="342"/>
      <c r="AT121" s="342"/>
      <c r="AU121" s="342"/>
      <c r="AV121" s="342"/>
      <c r="AW121" s="342"/>
      <c r="AX121" s="342"/>
      <c r="AY121" s="342"/>
      <c r="AZ121" s="342"/>
      <c r="BA121" s="342"/>
      <c r="BB121" s="342"/>
      <c r="BC121" s="342"/>
      <c r="BD121" s="342"/>
      <c r="BE121" s="342"/>
      <c r="BF121" s="342"/>
      <c r="BG121" s="342"/>
      <c r="BH121" s="342"/>
      <c r="BI121" s="342"/>
      <c r="BJ121" s="342"/>
      <c r="BK121" s="342"/>
      <c r="BL121" s="342"/>
    </row>
    <row r="122" spans="1:64" ht="23" x14ac:dyDescent="0.25">
      <c r="A122" s="217" t="str" cm="1">
        <f t="array" ref="A122">IFERROR(INDEX(_xlfn.ANCHORARRAY($Q$6),ROW()-5,1),"")</f>
        <v/>
      </c>
      <c r="B122" s="288" t="str" cm="1">
        <f t="array" ref="B122">IFERROR(INDEX(_xlfn.ANCHORARRAY($Q$6),ROW()-5,2),"")</f>
        <v/>
      </c>
      <c r="C122" s="289" t="str" cm="1">
        <f t="array" ref="C122">IFERROR(INDEX(_xlfn.ANCHORARRAY($Q$6),ROW()-5,3),"")</f>
        <v/>
      </c>
      <c r="D122" s="218" t="str">
        <f>IF($A122="","",IF($K122="DIESEL",SUMIFS(Table1[Quantity],Table1[Customer],$B122,Table1[Date],$A122,Table1[Bill No.],$C122),IF($K122="PETROL",SUMIFS(Table14[Quantity],Table14[Customer],$B122,Table14[Date],$A122,Table14[Bill No.],$C122),IF($K122="XtraGreen",SUMIFS(Table146[Quantity],Table146[Company],$B122,Table146[Date],$A122,Table146[Bill No.],$C122),""))))</f>
        <v/>
      </c>
      <c r="E122" s="219" t="str">
        <f>IF($A122="","",IF($K122="DIESEL",AVERAGEIFS(Table1[RSP],Table1[Customer],$B122,Table1[Date],$A122,Table1[Bill No.],$C122),IF($K122="PETROL",AVERAGEIFS(Table14[RSP],Table14[Customer],$B122,Table14[Date],$A122,Table14[Bill No.],$C122),IF($K122="XtraGreen",AVERAGEIFS(Table146[RSP],Table146[Company],$B122,Table146[Date],$A122,Table146[Bill No.],$C122),IFERROR($F122/$D122,"")))))</f>
        <v/>
      </c>
      <c r="F122" s="330" t="str">
        <f>IF($A122="","",IF($K122="DIESEL",SUMIFS(Table1[Amount],Table1[Customer],$B122,Table1[Date],$A122,Table1[Bill No.],$C122),IF($K122="PETROL",SUMIFS(Table14[Amount],Table14[Customer],$B122,Table14[Date],$A122,Table14[Bill No.],$C122),IF($K122="XtraGreen",SUMIFS(Table146[Amount],Table146[Company],$B122,Table146[Date],$A122,Table146[Bill No.],$C122),SUMIFS('Other Sale'!$D:$D,'Other Sale'!$E:$E,$B122,'Other Sale'!$C:$C,$K122,'Other Sale'!$A:$A,$A122)))))</f>
        <v/>
      </c>
      <c r="G122" s="330" t="str" cm="1">
        <f t="array" ref="G122">IF($A122="","",IF($K122="Payment",IFERROR(INDEX(_xlfn._xlws.FILTER(MasterPaid[Amount Paid],(MasterPaid[Customer]=$B122)*(MasterPaid[Date]=$A122)),COUNTIFS($A$6:$A122,$A122,$B$6:$B122,$B122,$K$6:$K122,"Payment")),0),0))</f>
        <v/>
      </c>
      <c r="H122" s="331"/>
      <c r="I122" s="331"/>
      <c r="J122" s="330" t="str">
        <f t="shared" si="2"/>
        <v/>
      </c>
      <c r="K122" s="289" t="str" cm="1">
        <f t="array" ref="K122">IFERROR(INDEX(_xlfn.ANCHORARRAY($Q$6),ROW()-5,4),"")</f>
        <v/>
      </c>
      <c r="L122" s="290"/>
      <c r="U122">
        <f>IF(OR($A122="",$F122=""),0,MAX(0,MIN($F122,SUMIFS($F$6:$F122,$B$6:$B122,$B122)-(SUMIFS($G$6:$G$355,$B$6:$B$355,$B122)+SUMIFS($H$6:$H$355,$B$6:$B$355,$B122)+SUMIFS($I$6:$I$355,$B$6:$B$355,$B122)))))</f>
        <v>0</v>
      </c>
      <c r="AD122" s="468"/>
      <c r="AE122" s="342"/>
      <c r="AF122" s="342"/>
      <c r="AG122" s="342"/>
      <c r="AH122" s="342"/>
      <c r="AI122" s="342"/>
      <c r="AJ122" s="342"/>
      <c r="AK122" s="342"/>
      <c r="AL122" s="342"/>
      <c r="AM122" s="342"/>
      <c r="AN122" s="342"/>
      <c r="AO122" s="342"/>
      <c r="AP122" s="342"/>
      <c r="AQ122" s="342"/>
      <c r="AR122" s="342"/>
      <c r="AS122" s="342"/>
      <c r="AT122" s="342"/>
      <c r="AU122" s="342"/>
      <c r="AV122" s="342"/>
      <c r="AW122" s="342"/>
      <c r="AX122" s="342"/>
      <c r="AY122" s="342"/>
      <c r="AZ122" s="342"/>
      <c r="BA122" s="342"/>
      <c r="BB122" s="342"/>
      <c r="BC122" s="342"/>
      <c r="BD122" s="342"/>
      <c r="BE122" s="342"/>
      <c r="BF122" s="342"/>
      <c r="BG122" s="342"/>
      <c r="BH122" s="342"/>
      <c r="BI122" s="342"/>
      <c r="BJ122" s="342"/>
      <c r="BK122" s="342"/>
      <c r="BL122" s="342"/>
    </row>
    <row r="123" spans="1:64" ht="23" x14ac:dyDescent="0.25">
      <c r="A123" s="217" t="str" cm="1">
        <f t="array" ref="A123">IFERROR(INDEX(_xlfn.ANCHORARRAY($Q$6),ROW()-5,1),"")</f>
        <v/>
      </c>
      <c r="B123" s="288" t="str" cm="1">
        <f t="array" ref="B123">IFERROR(INDEX(_xlfn.ANCHORARRAY($Q$6),ROW()-5,2),"")</f>
        <v/>
      </c>
      <c r="C123" s="289" t="str" cm="1">
        <f t="array" ref="C123">IFERROR(INDEX(_xlfn.ANCHORARRAY($Q$6),ROW()-5,3),"")</f>
        <v/>
      </c>
      <c r="D123" s="218" t="str">
        <f>IF($A123="","",IF($K123="DIESEL",SUMIFS(Table1[Quantity],Table1[Customer],$B123,Table1[Date],$A123,Table1[Bill No.],$C123),IF($K123="PETROL",SUMIFS(Table14[Quantity],Table14[Customer],$B123,Table14[Date],$A123,Table14[Bill No.],$C123),IF($K123="XtraGreen",SUMIFS(Table146[Quantity],Table146[Company],$B123,Table146[Date],$A123,Table146[Bill No.],$C123),""))))</f>
        <v/>
      </c>
      <c r="E123" s="219" t="str">
        <f>IF($A123="","",IF($K123="DIESEL",AVERAGEIFS(Table1[RSP],Table1[Customer],$B123,Table1[Date],$A123,Table1[Bill No.],$C123),IF($K123="PETROL",AVERAGEIFS(Table14[RSP],Table14[Customer],$B123,Table14[Date],$A123,Table14[Bill No.],$C123),IF($K123="XtraGreen",AVERAGEIFS(Table146[RSP],Table146[Company],$B123,Table146[Date],$A123,Table146[Bill No.],$C123),IFERROR($F123/$D123,"")))))</f>
        <v/>
      </c>
      <c r="F123" s="330" t="str">
        <f>IF($A123="","",IF($K123="DIESEL",SUMIFS(Table1[Amount],Table1[Customer],$B123,Table1[Date],$A123,Table1[Bill No.],$C123),IF($K123="PETROL",SUMIFS(Table14[Amount],Table14[Customer],$B123,Table14[Date],$A123,Table14[Bill No.],$C123),IF($K123="XtraGreen",SUMIFS(Table146[Amount],Table146[Company],$B123,Table146[Date],$A123,Table146[Bill No.],$C123),SUMIFS('Other Sale'!$D:$D,'Other Sale'!$E:$E,$B123,'Other Sale'!$C:$C,$K123,'Other Sale'!$A:$A,$A123)))))</f>
        <v/>
      </c>
      <c r="G123" s="330" t="str" cm="1">
        <f t="array" ref="G123">IF($A123="","",IF($K123="Payment",IFERROR(INDEX(_xlfn._xlws.FILTER(MasterPaid[Amount Paid],(MasterPaid[Customer]=$B123)*(MasterPaid[Date]=$A123)),COUNTIFS($A$6:$A123,$A123,$B$6:$B123,$B123,$K$6:$K123,"Payment")),0),0))</f>
        <v/>
      </c>
      <c r="H123" s="331"/>
      <c r="I123" s="331"/>
      <c r="J123" s="330" t="str">
        <f t="shared" si="2"/>
        <v/>
      </c>
      <c r="K123" s="289" t="str" cm="1">
        <f t="array" ref="K123">IFERROR(INDEX(_xlfn.ANCHORARRAY($Q$6),ROW()-5,4),"")</f>
        <v/>
      </c>
      <c r="L123" s="290"/>
      <c r="U123">
        <f>IF(OR($A123="",$F123=""),0,MAX(0,MIN($F123,SUMIFS($F$6:$F123,$B$6:$B123,$B123)-(SUMIFS($G$6:$G$355,$B$6:$B$355,$B123)+SUMIFS($H$6:$H$355,$B$6:$B$355,$B123)+SUMIFS($I$6:$I$355,$B$6:$B$355,$B123)))))</f>
        <v>0</v>
      </c>
      <c r="AD123" s="468"/>
      <c r="AE123" s="342"/>
      <c r="AF123" s="342"/>
      <c r="AG123" s="342"/>
      <c r="AH123" s="342"/>
      <c r="AI123" s="342"/>
      <c r="AJ123" s="342"/>
      <c r="AK123" s="342"/>
      <c r="AL123" s="342"/>
      <c r="AM123" s="342"/>
      <c r="AN123" s="342"/>
      <c r="AO123" s="342"/>
      <c r="AP123" s="342"/>
      <c r="AQ123" s="342"/>
      <c r="AR123" s="342"/>
      <c r="AS123" s="342"/>
      <c r="AT123" s="342"/>
      <c r="AU123" s="342"/>
      <c r="AV123" s="342"/>
      <c r="AW123" s="342"/>
      <c r="AX123" s="342"/>
      <c r="AY123" s="342"/>
      <c r="AZ123" s="342"/>
      <c r="BA123" s="342"/>
      <c r="BB123" s="342"/>
      <c r="BC123" s="342"/>
      <c r="BD123" s="342"/>
      <c r="BE123" s="342"/>
      <c r="BF123" s="342"/>
      <c r="BG123" s="342"/>
      <c r="BH123" s="342"/>
      <c r="BI123" s="342"/>
      <c r="BJ123" s="342"/>
      <c r="BK123" s="342"/>
      <c r="BL123" s="342"/>
    </row>
    <row r="124" spans="1:64" ht="23" x14ac:dyDescent="0.25">
      <c r="A124" s="217" t="str" cm="1">
        <f t="array" ref="A124">IFERROR(INDEX(_xlfn.ANCHORARRAY($Q$6),ROW()-5,1),"")</f>
        <v/>
      </c>
      <c r="B124" s="288" t="str" cm="1">
        <f t="array" ref="B124">IFERROR(INDEX(_xlfn.ANCHORARRAY($Q$6),ROW()-5,2),"")</f>
        <v/>
      </c>
      <c r="C124" s="289" t="str" cm="1">
        <f t="array" ref="C124">IFERROR(INDEX(_xlfn.ANCHORARRAY($Q$6),ROW()-5,3),"")</f>
        <v/>
      </c>
      <c r="D124" s="218" t="str">
        <f>IF($A124="","",IF($K124="DIESEL",SUMIFS(Table1[Quantity],Table1[Customer],$B124,Table1[Date],$A124,Table1[Bill No.],$C124),IF($K124="PETROL",SUMIFS(Table14[Quantity],Table14[Customer],$B124,Table14[Date],$A124,Table14[Bill No.],$C124),IF($K124="XtraGreen",SUMIFS(Table146[Quantity],Table146[Company],$B124,Table146[Date],$A124,Table146[Bill No.],$C124),""))))</f>
        <v/>
      </c>
      <c r="E124" s="219" t="str">
        <f>IF($A124="","",IF($K124="DIESEL",AVERAGEIFS(Table1[RSP],Table1[Customer],$B124,Table1[Date],$A124,Table1[Bill No.],$C124),IF($K124="PETROL",AVERAGEIFS(Table14[RSP],Table14[Customer],$B124,Table14[Date],$A124,Table14[Bill No.],$C124),IF($K124="XtraGreen",AVERAGEIFS(Table146[RSP],Table146[Company],$B124,Table146[Date],$A124,Table146[Bill No.],$C124),IFERROR($F124/$D124,"")))))</f>
        <v/>
      </c>
      <c r="F124" s="330" t="str">
        <f>IF($A124="","",IF($K124="DIESEL",SUMIFS(Table1[Amount],Table1[Customer],$B124,Table1[Date],$A124,Table1[Bill No.],$C124),IF($K124="PETROL",SUMIFS(Table14[Amount],Table14[Customer],$B124,Table14[Date],$A124,Table14[Bill No.],$C124),IF($K124="XtraGreen",SUMIFS(Table146[Amount],Table146[Company],$B124,Table146[Date],$A124,Table146[Bill No.],$C124),SUMIFS('Other Sale'!$D:$D,'Other Sale'!$E:$E,$B124,'Other Sale'!$C:$C,$K124,'Other Sale'!$A:$A,$A124)))))</f>
        <v/>
      </c>
      <c r="G124" s="330" t="str" cm="1">
        <f t="array" ref="G124">IF($A124="","",IF($K124="Payment",IFERROR(INDEX(_xlfn._xlws.FILTER(MasterPaid[Amount Paid],(MasterPaid[Customer]=$B124)*(MasterPaid[Date]=$A124)),COUNTIFS($A$6:$A124,$A124,$B$6:$B124,$B124,$K$6:$K124,"Payment")),0),0))</f>
        <v/>
      </c>
      <c r="H124" s="331"/>
      <c r="I124" s="331"/>
      <c r="J124" s="330" t="str">
        <f t="shared" si="2"/>
        <v/>
      </c>
      <c r="K124" s="289" t="str" cm="1">
        <f t="array" ref="K124">IFERROR(INDEX(_xlfn.ANCHORARRAY($Q$6),ROW()-5,4),"")</f>
        <v/>
      </c>
      <c r="L124" s="290"/>
      <c r="U124">
        <f>IF(OR($A124="",$F124=""),0,MAX(0,MIN($F124,SUMIFS($F$6:$F124,$B$6:$B124,$B124)-(SUMIFS($G$6:$G$355,$B$6:$B$355,$B124)+SUMIFS($H$6:$H$355,$B$6:$B$355,$B124)+SUMIFS($I$6:$I$355,$B$6:$B$355,$B124)))))</f>
        <v>0</v>
      </c>
      <c r="AD124" s="468"/>
      <c r="AE124" s="342"/>
      <c r="AF124" s="342"/>
      <c r="AG124" s="342"/>
      <c r="AH124" s="342"/>
      <c r="AI124" s="342"/>
      <c r="AJ124" s="342"/>
      <c r="AK124" s="342"/>
      <c r="AL124" s="342"/>
      <c r="AM124" s="342"/>
      <c r="AN124" s="342"/>
      <c r="AO124" s="342"/>
      <c r="AP124" s="342"/>
      <c r="AQ124" s="342"/>
      <c r="AR124" s="342"/>
      <c r="AS124" s="342"/>
      <c r="AT124" s="342"/>
      <c r="AU124" s="342"/>
      <c r="AV124" s="342"/>
      <c r="AW124" s="342"/>
      <c r="AX124" s="342"/>
      <c r="AY124" s="342"/>
      <c r="AZ124" s="342"/>
      <c r="BA124" s="342"/>
      <c r="BB124" s="342"/>
      <c r="BC124" s="342"/>
      <c r="BD124" s="342"/>
      <c r="BE124" s="342"/>
      <c r="BF124" s="342"/>
      <c r="BG124" s="342"/>
      <c r="BH124" s="342"/>
      <c r="BI124" s="342"/>
      <c r="BJ124" s="342"/>
      <c r="BK124" s="342"/>
      <c r="BL124" s="342"/>
    </row>
    <row r="125" spans="1:64" ht="23" x14ac:dyDescent="0.25">
      <c r="A125" s="217" t="str" cm="1">
        <f t="array" ref="A125">IFERROR(INDEX(_xlfn.ANCHORARRAY($Q$6),ROW()-5,1),"")</f>
        <v/>
      </c>
      <c r="B125" s="288" t="str" cm="1">
        <f t="array" ref="B125">IFERROR(INDEX(_xlfn.ANCHORARRAY($Q$6),ROW()-5,2),"")</f>
        <v/>
      </c>
      <c r="C125" s="289" t="str" cm="1">
        <f t="array" ref="C125">IFERROR(INDEX(_xlfn.ANCHORARRAY($Q$6),ROW()-5,3),"")</f>
        <v/>
      </c>
      <c r="D125" s="218" t="str">
        <f>IF($A125="","",IF($K125="DIESEL",SUMIFS(Table1[Quantity],Table1[Customer],$B125,Table1[Date],$A125,Table1[Bill No.],$C125),IF($K125="PETROL",SUMIFS(Table14[Quantity],Table14[Customer],$B125,Table14[Date],$A125,Table14[Bill No.],$C125),IF($K125="XtraGreen",SUMIFS(Table146[Quantity],Table146[Company],$B125,Table146[Date],$A125,Table146[Bill No.],$C125),""))))</f>
        <v/>
      </c>
      <c r="E125" s="219" t="str">
        <f>IF($A125="","",IF($K125="DIESEL",AVERAGEIFS(Table1[RSP],Table1[Customer],$B125,Table1[Date],$A125,Table1[Bill No.],$C125),IF($K125="PETROL",AVERAGEIFS(Table14[RSP],Table14[Customer],$B125,Table14[Date],$A125,Table14[Bill No.],$C125),IF($K125="XtraGreen",AVERAGEIFS(Table146[RSP],Table146[Company],$B125,Table146[Date],$A125,Table146[Bill No.],$C125),IFERROR($F125/$D125,"")))))</f>
        <v/>
      </c>
      <c r="F125" s="330" t="str">
        <f>IF($A125="","",IF($K125="DIESEL",SUMIFS(Table1[Amount],Table1[Customer],$B125,Table1[Date],$A125,Table1[Bill No.],$C125),IF($K125="PETROL",SUMIFS(Table14[Amount],Table14[Customer],$B125,Table14[Date],$A125,Table14[Bill No.],$C125),IF($K125="XtraGreen",SUMIFS(Table146[Amount],Table146[Company],$B125,Table146[Date],$A125,Table146[Bill No.],$C125),SUMIFS('Other Sale'!$D:$D,'Other Sale'!$E:$E,$B125,'Other Sale'!$C:$C,$K125,'Other Sale'!$A:$A,$A125)))))</f>
        <v/>
      </c>
      <c r="G125" s="330" t="str" cm="1">
        <f t="array" ref="G125">IF($A125="","",IF($K125="Payment",IFERROR(INDEX(_xlfn._xlws.FILTER(MasterPaid[Amount Paid],(MasterPaid[Customer]=$B125)*(MasterPaid[Date]=$A125)),COUNTIFS($A$6:$A125,$A125,$B$6:$B125,$B125,$K$6:$K125,"Payment")),0),0))</f>
        <v/>
      </c>
      <c r="H125" s="331"/>
      <c r="I125" s="331"/>
      <c r="J125" s="330" t="str">
        <f t="shared" si="2"/>
        <v/>
      </c>
      <c r="K125" s="289" t="str" cm="1">
        <f t="array" ref="K125">IFERROR(INDEX(_xlfn.ANCHORARRAY($Q$6),ROW()-5,4),"")</f>
        <v/>
      </c>
      <c r="L125" s="290"/>
      <c r="U125">
        <f>IF(OR($A125="",$F125=""),0,MAX(0,MIN($F125,SUMIFS($F$6:$F125,$B$6:$B125,$B125)-(SUMIFS($G$6:$G$355,$B$6:$B$355,$B125)+SUMIFS($H$6:$H$355,$B$6:$B$355,$B125)+SUMIFS($I$6:$I$355,$B$6:$B$355,$B125)))))</f>
        <v>0</v>
      </c>
      <c r="AD125" s="468"/>
      <c r="AE125" s="342"/>
      <c r="AF125" s="342"/>
      <c r="AG125" s="342"/>
      <c r="AH125" s="342"/>
      <c r="AI125" s="342"/>
      <c r="AJ125" s="342"/>
      <c r="AK125" s="342"/>
      <c r="AL125" s="342"/>
      <c r="AM125" s="342"/>
      <c r="AN125" s="342"/>
      <c r="AO125" s="342"/>
      <c r="AP125" s="342"/>
      <c r="AQ125" s="342"/>
      <c r="AR125" s="342"/>
      <c r="AS125" s="342"/>
      <c r="AT125" s="342"/>
      <c r="AU125" s="342"/>
      <c r="AV125" s="342"/>
      <c r="AW125" s="342"/>
      <c r="AX125" s="342"/>
      <c r="AY125" s="342"/>
      <c r="AZ125" s="342"/>
      <c r="BA125" s="342"/>
      <c r="BB125" s="342"/>
      <c r="BC125" s="342"/>
      <c r="BD125" s="342"/>
      <c r="BE125" s="342"/>
      <c r="BF125" s="342"/>
      <c r="BG125" s="342"/>
      <c r="BH125" s="342"/>
      <c r="BI125" s="342"/>
      <c r="BJ125" s="342"/>
      <c r="BK125" s="342"/>
      <c r="BL125" s="342"/>
    </row>
    <row r="126" spans="1:64" ht="23" x14ac:dyDescent="0.25">
      <c r="A126" s="217" t="str" cm="1">
        <f t="array" ref="A126">IFERROR(INDEX(_xlfn.ANCHORARRAY($Q$6),ROW()-5,1),"")</f>
        <v/>
      </c>
      <c r="B126" s="288" t="str" cm="1">
        <f t="array" ref="B126">IFERROR(INDEX(_xlfn.ANCHORARRAY($Q$6),ROW()-5,2),"")</f>
        <v/>
      </c>
      <c r="C126" s="289" t="str" cm="1">
        <f t="array" ref="C126">IFERROR(INDEX(_xlfn.ANCHORARRAY($Q$6),ROW()-5,3),"")</f>
        <v/>
      </c>
      <c r="D126" s="218" t="str">
        <f>IF($A126="","",IF($K126="DIESEL",SUMIFS(Table1[Quantity],Table1[Customer],$B126,Table1[Date],$A126,Table1[Bill No.],$C126),IF($K126="PETROL",SUMIFS(Table14[Quantity],Table14[Customer],$B126,Table14[Date],$A126,Table14[Bill No.],$C126),IF($K126="XtraGreen",SUMIFS(Table146[Quantity],Table146[Company],$B126,Table146[Date],$A126,Table146[Bill No.],$C126),""))))</f>
        <v/>
      </c>
      <c r="E126" s="219" t="str">
        <f>IF($A126="","",IF($K126="DIESEL",AVERAGEIFS(Table1[RSP],Table1[Customer],$B126,Table1[Date],$A126,Table1[Bill No.],$C126),IF($K126="PETROL",AVERAGEIFS(Table14[RSP],Table14[Customer],$B126,Table14[Date],$A126,Table14[Bill No.],$C126),IF($K126="XtraGreen",AVERAGEIFS(Table146[RSP],Table146[Company],$B126,Table146[Date],$A126,Table146[Bill No.],$C126),IFERROR($F126/$D126,"")))))</f>
        <v/>
      </c>
      <c r="F126" s="330" t="str">
        <f>IF($A126="","",IF($K126="DIESEL",SUMIFS(Table1[Amount],Table1[Customer],$B126,Table1[Date],$A126,Table1[Bill No.],$C126),IF($K126="PETROL",SUMIFS(Table14[Amount],Table14[Customer],$B126,Table14[Date],$A126,Table14[Bill No.],$C126),IF($K126="XtraGreen",SUMIFS(Table146[Amount],Table146[Company],$B126,Table146[Date],$A126,Table146[Bill No.],$C126),SUMIFS('Other Sale'!$D:$D,'Other Sale'!$E:$E,$B126,'Other Sale'!$C:$C,$K126,'Other Sale'!$A:$A,$A126)))))</f>
        <v/>
      </c>
      <c r="G126" s="330" t="str" cm="1">
        <f t="array" ref="G126">IF($A126="","",IF($K126="Payment",IFERROR(INDEX(_xlfn._xlws.FILTER(MasterPaid[Amount Paid],(MasterPaid[Customer]=$B126)*(MasterPaid[Date]=$A126)),COUNTIFS($A$6:$A126,$A126,$B$6:$B126,$B126,$K$6:$K126,"Payment")),0),0))</f>
        <v/>
      </c>
      <c r="H126" s="331"/>
      <c r="I126" s="331"/>
      <c r="J126" s="330" t="str">
        <f t="shared" si="2"/>
        <v/>
      </c>
      <c r="K126" s="289" t="str" cm="1">
        <f t="array" ref="K126">IFERROR(INDEX(_xlfn.ANCHORARRAY($Q$6),ROW()-5,4),"")</f>
        <v/>
      </c>
      <c r="L126" s="290"/>
      <c r="U126">
        <f>IF(OR($A126="",$F126=""),0,MAX(0,MIN($F126,SUMIFS($F$6:$F126,$B$6:$B126,$B126)-(SUMIFS($G$6:$G$355,$B$6:$B$355,$B126)+SUMIFS($H$6:$H$355,$B$6:$B$355,$B126)+SUMIFS($I$6:$I$355,$B$6:$B$355,$B126)))))</f>
        <v>0</v>
      </c>
      <c r="AD126" s="468"/>
      <c r="AE126" s="342"/>
      <c r="AF126" s="342"/>
      <c r="AG126" s="342"/>
      <c r="AH126" s="342"/>
      <c r="AI126" s="342"/>
      <c r="AJ126" s="342"/>
      <c r="AK126" s="342"/>
      <c r="AL126" s="342"/>
      <c r="AM126" s="342"/>
      <c r="AN126" s="342"/>
      <c r="AO126" s="342"/>
      <c r="AP126" s="342"/>
      <c r="AQ126" s="342"/>
      <c r="AR126" s="342"/>
      <c r="AS126" s="342"/>
      <c r="AT126" s="342"/>
      <c r="AU126" s="342"/>
      <c r="AV126" s="342"/>
      <c r="AW126" s="342"/>
      <c r="AX126" s="342"/>
      <c r="AY126" s="342"/>
      <c r="AZ126" s="342"/>
      <c r="BA126" s="342"/>
      <c r="BB126" s="342"/>
      <c r="BC126" s="342"/>
      <c r="BD126" s="342"/>
      <c r="BE126" s="342"/>
      <c r="BF126" s="342"/>
      <c r="BG126" s="342"/>
      <c r="BH126" s="342"/>
      <c r="BI126" s="342"/>
      <c r="BJ126" s="342"/>
      <c r="BK126" s="342"/>
      <c r="BL126" s="342"/>
    </row>
    <row r="127" spans="1:64" ht="23" x14ac:dyDescent="0.25">
      <c r="A127" s="217" t="str" cm="1">
        <f t="array" ref="A127">IFERROR(INDEX(_xlfn.ANCHORARRAY($Q$6),ROW()-5,1),"")</f>
        <v/>
      </c>
      <c r="B127" s="288" t="str" cm="1">
        <f t="array" ref="B127">IFERROR(INDEX(_xlfn.ANCHORARRAY($Q$6),ROW()-5,2),"")</f>
        <v/>
      </c>
      <c r="C127" s="289" t="str" cm="1">
        <f t="array" ref="C127">IFERROR(INDEX(_xlfn.ANCHORARRAY($Q$6),ROW()-5,3),"")</f>
        <v/>
      </c>
      <c r="D127" s="218" t="str">
        <f>IF($A127="","",IF($K127="DIESEL",SUMIFS(Table1[Quantity],Table1[Customer],$B127,Table1[Date],$A127,Table1[Bill No.],$C127),IF($K127="PETROL",SUMIFS(Table14[Quantity],Table14[Customer],$B127,Table14[Date],$A127,Table14[Bill No.],$C127),IF($K127="XtraGreen",SUMIFS(Table146[Quantity],Table146[Company],$B127,Table146[Date],$A127,Table146[Bill No.],$C127),""))))</f>
        <v/>
      </c>
      <c r="E127" s="219" t="str">
        <f>IF($A127="","",IF($K127="DIESEL",AVERAGEIFS(Table1[RSP],Table1[Customer],$B127,Table1[Date],$A127,Table1[Bill No.],$C127),IF($K127="PETROL",AVERAGEIFS(Table14[RSP],Table14[Customer],$B127,Table14[Date],$A127,Table14[Bill No.],$C127),IF($K127="XtraGreen",AVERAGEIFS(Table146[RSP],Table146[Company],$B127,Table146[Date],$A127,Table146[Bill No.],$C127),IFERROR($F127/$D127,"")))))</f>
        <v/>
      </c>
      <c r="F127" s="330" t="str">
        <f>IF($A127="","",IF($K127="DIESEL",SUMIFS(Table1[Amount],Table1[Customer],$B127,Table1[Date],$A127,Table1[Bill No.],$C127),IF($K127="PETROL",SUMIFS(Table14[Amount],Table14[Customer],$B127,Table14[Date],$A127,Table14[Bill No.],$C127),IF($K127="XtraGreen",SUMIFS(Table146[Amount],Table146[Company],$B127,Table146[Date],$A127,Table146[Bill No.],$C127),SUMIFS('Other Sale'!$D:$D,'Other Sale'!$E:$E,$B127,'Other Sale'!$C:$C,$K127,'Other Sale'!$A:$A,$A127)))))</f>
        <v/>
      </c>
      <c r="G127" s="330" t="str" cm="1">
        <f t="array" ref="G127">IF($A127="","",IF($K127="Payment",IFERROR(INDEX(_xlfn._xlws.FILTER(MasterPaid[Amount Paid],(MasterPaid[Customer]=$B127)*(MasterPaid[Date]=$A127)),COUNTIFS($A$6:$A127,$A127,$B$6:$B127,$B127,$K$6:$K127,"Payment")),0),0))</f>
        <v/>
      </c>
      <c r="H127" s="331"/>
      <c r="I127" s="331"/>
      <c r="J127" s="330" t="str">
        <f t="shared" si="2"/>
        <v/>
      </c>
      <c r="K127" s="289" t="str" cm="1">
        <f t="array" ref="K127">IFERROR(INDEX(_xlfn.ANCHORARRAY($Q$6),ROW()-5,4),"")</f>
        <v/>
      </c>
      <c r="L127" s="290"/>
      <c r="U127">
        <f>IF(OR($A127="",$F127=""),0,MAX(0,MIN($F127,SUMIFS($F$6:$F127,$B$6:$B127,$B127)-(SUMIFS($G$6:$G$355,$B$6:$B$355,$B127)+SUMIFS($H$6:$H$355,$B$6:$B$355,$B127)+SUMIFS($I$6:$I$355,$B$6:$B$355,$B127)))))</f>
        <v>0</v>
      </c>
      <c r="AD127" s="468"/>
      <c r="AE127" s="342"/>
      <c r="AF127" s="342"/>
      <c r="AG127" s="342"/>
      <c r="AH127" s="342"/>
      <c r="AI127" s="342"/>
      <c r="AJ127" s="342"/>
      <c r="AK127" s="342"/>
      <c r="AL127" s="342"/>
      <c r="AM127" s="342"/>
      <c r="AN127" s="342"/>
      <c r="AO127" s="342"/>
      <c r="AP127" s="342"/>
      <c r="AQ127" s="342"/>
      <c r="AR127" s="342"/>
      <c r="AS127" s="342"/>
      <c r="AT127" s="342"/>
      <c r="AU127" s="342"/>
      <c r="AV127" s="342"/>
      <c r="AW127" s="342"/>
      <c r="AX127" s="342"/>
      <c r="AY127" s="342"/>
      <c r="AZ127" s="342"/>
      <c r="BA127" s="342"/>
      <c r="BB127" s="342"/>
      <c r="BC127" s="342"/>
      <c r="BD127" s="342"/>
      <c r="BE127" s="342"/>
      <c r="BF127" s="342"/>
      <c r="BG127" s="342"/>
      <c r="BH127" s="342"/>
      <c r="BI127" s="342"/>
      <c r="BJ127" s="342"/>
      <c r="BK127" s="342"/>
      <c r="BL127" s="342"/>
    </row>
    <row r="128" spans="1:64" ht="23" x14ac:dyDescent="0.25">
      <c r="A128" s="217" t="str" cm="1">
        <f t="array" ref="A128">IFERROR(INDEX(_xlfn.ANCHORARRAY($Q$6),ROW()-5,1),"")</f>
        <v/>
      </c>
      <c r="B128" s="288" t="str" cm="1">
        <f t="array" ref="B128">IFERROR(INDEX(_xlfn.ANCHORARRAY($Q$6),ROW()-5,2),"")</f>
        <v/>
      </c>
      <c r="C128" s="289" t="str" cm="1">
        <f t="array" ref="C128">IFERROR(INDEX(_xlfn.ANCHORARRAY($Q$6),ROW()-5,3),"")</f>
        <v/>
      </c>
      <c r="D128" s="218" t="str">
        <f>IF($A128="","",IF($K128="DIESEL",SUMIFS(Table1[Quantity],Table1[Customer],$B128,Table1[Date],$A128,Table1[Bill No.],$C128),IF($K128="PETROL",SUMIFS(Table14[Quantity],Table14[Customer],$B128,Table14[Date],$A128,Table14[Bill No.],$C128),IF($K128="XtraGreen",SUMIFS(Table146[Quantity],Table146[Company],$B128,Table146[Date],$A128,Table146[Bill No.],$C128),""))))</f>
        <v/>
      </c>
      <c r="E128" s="219" t="str">
        <f>IF($A128="","",IF($K128="DIESEL",AVERAGEIFS(Table1[RSP],Table1[Customer],$B128,Table1[Date],$A128,Table1[Bill No.],$C128),IF($K128="PETROL",AVERAGEIFS(Table14[RSP],Table14[Customer],$B128,Table14[Date],$A128,Table14[Bill No.],$C128),IF($K128="XtraGreen",AVERAGEIFS(Table146[RSP],Table146[Company],$B128,Table146[Date],$A128,Table146[Bill No.],$C128),IFERROR($F128/$D128,"")))))</f>
        <v/>
      </c>
      <c r="F128" s="330" t="str">
        <f>IF($A128="","",IF($K128="DIESEL",SUMIFS(Table1[Amount],Table1[Customer],$B128,Table1[Date],$A128,Table1[Bill No.],$C128),IF($K128="PETROL",SUMIFS(Table14[Amount],Table14[Customer],$B128,Table14[Date],$A128,Table14[Bill No.],$C128),IF($K128="XtraGreen",SUMIFS(Table146[Amount],Table146[Company],$B128,Table146[Date],$A128,Table146[Bill No.],$C128),SUMIFS('Other Sale'!$D:$D,'Other Sale'!$E:$E,$B128,'Other Sale'!$C:$C,$K128,'Other Sale'!$A:$A,$A128)))))</f>
        <v/>
      </c>
      <c r="G128" s="330" t="str" cm="1">
        <f t="array" ref="G128">IF($A128="","",IF($K128="Payment",IFERROR(INDEX(_xlfn._xlws.FILTER(MasterPaid[Amount Paid],(MasterPaid[Customer]=$B128)*(MasterPaid[Date]=$A128)),COUNTIFS($A$6:$A128,$A128,$B$6:$B128,$B128,$K$6:$K128,"Payment")),0),0))</f>
        <v/>
      </c>
      <c r="H128" s="331"/>
      <c r="I128" s="331"/>
      <c r="J128" s="330" t="str">
        <f t="shared" si="2"/>
        <v/>
      </c>
      <c r="K128" s="289" t="str" cm="1">
        <f t="array" ref="K128">IFERROR(INDEX(_xlfn.ANCHORARRAY($Q$6),ROW()-5,4),"")</f>
        <v/>
      </c>
      <c r="L128" s="290"/>
      <c r="U128">
        <f>IF(OR($A128="",$F128=""),0,MAX(0,MIN($F128,SUMIFS($F$6:$F128,$B$6:$B128,$B128)-(SUMIFS($G$6:$G$355,$B$6:$B$355,$B128)+SUMIFS($H$6:$H$355,$B$6:$B$355,$B128)+SUMIFS($I$6:$I$355,$B$6:$B$355,$B128)))))</f>
        <v>0</v>
      </c>
      <c r="AD128" s="468"/>
      <c r="AE128" s="342"/>
      <c r="AF128" s="342"/>
      <c r="AG128" s="342"/>
      <c r="AH128" s="342"/>
      <c r="AI128" s="342"/>
      <c r="AJ128" s="342"/>
      <c r="AK128" s="342"/>
      <c r="AL128" s="342"/>
      <c r="AM128" s="342"/>
      <c r="AN128" s="342"/>
      <c r="AO128" s="342"/>
      <c r="AP128" s="342"/>
      <c r="AQ128" s="342"/>
      <c r="AR128" s="342"/>
      <c r="AS128" s="342"/>
      <c r="AT128" s="342"/>
      <c r="AU128" s="342"/>
      <c r="AV128" s="342"/>
      <c r="AW128" s="342"/>
      <c r="AX128" s="342"/>
      <c r="AY128" s="342"/>
      <c r="AZ128" s="342"/>
      <c r="BA128" s="342"/>
      <c r="BB128" s="342"/>
      <c r="BC128" s="342"/>
      <c r="BD128" s="342"/>
      <c r="BE128" s="342"/>
      <c r="BF128" s="342"/>
      <c r="BG128" s="342"/>
      <c r="BH128" s="342"/>
      <c r="BI128" s="342"/>
      <c r="BJ128" s="342"/>
      <c r="BK128" s="342"/>
      <c r="BL128" s="342"/>
    </row>
    <row r="129" spans="1:64" ht="23" x14ac:dyDescent="0.25">
      <c r="A129" s="217" t="str" cm="1">
        <f t="array" ref="A129">IFERROR(INDEX(_xlfn.ANCHORARRAY($Q$6),ROW()-5,1),"")</f>
        <v/>
      </c>
      <c r="B129" s="288" t="str" cm="1">
        <f t="array" ref="B129">IFERROR(INDEX(_xlfn.ANCHORARRAY($Q$6),ROW()-5,2),"")</f>
        <v/>
      </c>
      <c r="C129" s="289" t="str" cm="1">
        <f t="array" ref="C129">IFERROR(INDEX(_xlfn.ANCHORARRAY($Q$6),ROW()-5,3),"")</f>
        <v/>
      </c>
      <c r="D129" s="218" t="str">
        <f>IF($A129="","",IF($K129="DIESEL",SUMIFS(Table1[Quantity],Table1[Customer],$B129,Table1[Date],$A129,Table1[Bill No.],$C129),IF($K129="PETROL",SUMIFS(Table14[Quantity],Table14[Customer],$B129,Table14[Date],$A129,Table14[Bill No.],$C129),IF($K129="XtraGreen",SUMIFS(Table146[Quantity],Table146[Company],$B129,Table146[Date],$A129,Table146[Bill No.],$C129),""))))</f>
        <v/>
      </c>
      <c r="E129" s="219" t="str">
        <f>IF($A129="","",IF($K129="DIESEL",AVERAGEIFS(Table1[RSP],Table1[Customer],$B129,Table1[Date],$A129,Table1[Bill No.],$C129),IF($K129="PETROL",AVERAGEIFS(Table14[RSP],Table14[Customer],$B129,Table14[Date],$A129,Table14[Bill No.],$C129),IF($K129="XtraGreen",AVERAGEIFS(Table146[RSP],Table146[Company],$B129,Table146[Date],$A129,Table146[Bill No.],$C129),IFERROR($F129/$D129,"")))))</f>
        <v/>
      </c>
      <c r="F129" s="330" t="str">
        <f>IF($A129="","",IF($K129="DIESEL",SUMIFS(Table1[Amount],Table1[Customer],$B129,Table1[Date],$A129,Table1[Bill No.],$C129),IF($K129="PETROL",SUMIFS(Table14[Amount],Table14[Customer],$B129,Table14[Date],$A129,Table14[Bill No.],$C129),IF($K129="XtraGreen",SUMIFS(Table146[Amount],Table146[Company],$B129,Table146[Date],$A129,Table146[Bill No.],$C129),SUMIFS('Other Sale'!$D:$D,'Other Sale'!$E:$E,$B129,'Other Sale'!$C:$C,$K129,'Other Sale'!$A:$A,$A129)))))</f>
        <v/>
      </c>
      <c r="G129" s="330" t="str" cm="1">
        <f t="array" ref="G129">IF($A129="","",IF($K129="Payment",IFERROR(INDEX(_xlfn._xlws.FILTER(MasterPaid[Amount Paid],(MasterPaid[Customer]=$B129)*(MasterPaid[Date]=$A129)),COUNTIFS($A$6:$A129,$A129,$B$6:$B129,$B129,$K$6:$K129,"Payment")),0),0))</f>
        <v/>
      </c>
      <c r="H129" s="331"/>
      <c r="I129" s="331"/>
      <c r="J129" s="330" t="str">
        <f t="shared" si="2"/>
        <v/>
      </c>
      <c r="K129" s="289" t="str" cm="1">
        <f t="array" ref="K129">IFERROR(INDEX(_xlfn.ANCHORARRAY($Q$6),ROW()-5,4),"")</f>
        <v/>
      </c>
      <c r="L129" s="290"/>
      <c r="U129">
        <f>IF(OR($A129="",$F129=""),0,MAX(0,MIN($F129,SUMIFS($F$6:$F129,$B$6:$B129,$B129)-(SUMIFS($G$6:$G$355,$B$6:$B$355,$B129)+SUMIFS($H$6:$H$355,$B$6:$B$355,$B129)+SUMIFS($I$6:$I$355,$B$6:$B$355,$B129)))))</f>
        <v>0</v>
      </c>
      <c r="AD129" s="468"/>
      <c r="AE129" s="342"/>
      <c r="AF129" s="342"/>
      <c r="AG129" s="342"/>
      <c r="AH129" s="342"/>
      <c r="AI129" s="342"/>
      <c r="AJ129" s="342"/>
      <c r="AK129" s="342"/>
      <c r="AL129" s="342"/>
      <c r="AM129" s="342"/>
      <c r="AN129" s="342"/>
      <c r="AO129" s="342"/>
      <c r="AP129" s="342"/>
      <c r="AQ129" s="342"/>
      <c r="AR129" s="342"/>
      <c r="AS129" s="342"/>
      <c r="AT129" s="342"/>
      <c r="AU129" s="342"/>
      <c r="AV129" s="342"/>
      <c r="AW129" s="342"/>
      <c r="AX129" s="342"/>
      <c r="AY129" s="342"/>
      <c r="AZ129" s="342"/>
      <c r="BA129" s="342"/>
      <c r="BB129" s="342"/>
      <c r="BC129" s="342"/>
      <c r="BD129" s="342"/>
      <c r="BE129" s="342"/>
      <c r="BF129" s="342"/>
      <c r="BG129" s="342"/>
      <c r="BH129" s="342"/>
      <c r="BI129" s="342"/>
      <c r="BJ129" s="342"/>
      <c r="BK129" s="342"/>
      <c r="BL129" s="342"/>
    </row>
    <row r="130" spans="1:64" ht="23" x14ac:dyDescent="0.25">
      <c r="A130" s="217" t="str" cm="1">
        <f t="array" ref="A130">IFERROR(INDEX(_xlfn.ANCHORARRAY($Q$6),ROW()-5,1),"")</f>
        <v/>
      </c>
      <c r="B130" s="288" t="str" cm="1">
        <f t="array" ref="B130">IFERROR(INDEX(_xlfn.ANCHORARRAY($Q$6),ROW()-5,2),"")</f>
        <v/>
      </c>
      <c r="C130" s="289" t="str" cm="1">
        <f t="array" ref="C130">IFERROR(INDEX(_xlfn.ANCHORARRAY($Q$6),ROW()-5,3),"")</f>
        <v/>
      </c>
      <c r="D130" s="218" t="str">
        <f>IF($A130="","",IF($K130="DIESEL",SUMIFS(Table1[Quantity],Table1[Customer],$B130,Table1[Date],$A130,Table1[Bill No.],$C130),IF($K130="PETROL",SUMIFS(Table14[Quantity],Table14[Customer],$B130,Table14[Date],$A130,Table14[Bill No.],$C130),IF($K130="XtraGreen",SUMIFS(Table146[Quantity],Table146[Company],$B130,Table146[Date],$A130,Table146[Bill No.],$C130),""))))</f>
        <v/>
      </c>
      <c r="E130" s="219" t="str">
        <f>IF($A130="","",IF($K130="DIESEL",AVERAGEIFS(Table1[RSP],Table1[Customer],$B130,Table1[Date],$A130,Table1[Bill No.],$C130),IF($K130="PETROL",AVERAGEIFS(Table14[RSP],Table14[Customer],$B130,Table14[Date],$A130,Table14[Bill No.],$C130),IF($K130="XtraGreen",AVERAGEIFS(Table146[RSP],Table146[Company],$B130,Table146[Date],$A130,Table146[Bill No.],$C130),IFERROR($F130/$D130,"")))))</f>
        <v/>
      </c>
      <c r="F130" s="330" t="str">
        <f>IF($A130="","",IF($K130="DIESEL",SUMIFS(Table1[Amount],Table1[Customer],$B130,Table1[Date],$A130,Table1[Bill No.],$C130),IF($K130="PETROL",SUMIFS(Table14[Amount],Table14[Customer],$B130,Table14[Date],$A130,Table14[Bill No.],$C130),IF($K130="XtraGreen",SUMIFS(Table146[Amount],Table146[Company],$B130,Table146[Date],$A130,Table146[Bill No.],$C130),SUMIFS('Other Sale'!$D:$D,'Other Sale'!$E:$E,$B130,'Other Sale'!$C:$C,$K130,'Other Sale'!$A:$A,$A130)))))</f>
        <v/>
      </c>
      <c r="G130" s="330" t="str" cm="1">
        <f t="array" ref="G130">IF($A130="","",IF($K130="Payment",IFERROR(INDEX(_xlfn._xlws.FILTER(MasterPaid[Amount Paid],(MasterPaid[Customer]=$B130)*(MasterPaid[Date]=$A130)),COUNTIFS($A$6:$A130,$A130,$B$6:$B130,$B130,$K$6:$K130,"Payment")),0),0))</f>
        <v/>
      </c>
      <c r="H130" s="331"/>
      <c r="I130" s="331"/>
      <c r="J130" s="330" t="str">
        <f t="shared" si="2"/>
        <v/>
      </c>
      <c r="K130" s="289" t="str" cm="1">
        <f t="array" ref="K130">IFERROR(INDEX(_xlfn.ANCHORARRAY($Q$6),ROW()-5,4),"")</f>
        <v/>
      </c>
      <c r="L130" s="290"/>
      <c r="U130">
        <f>IF(OR($A130="",$F130=""),0,MAX(0,MIN($F130,SUMIFS($F$6:$F130,$B$6:$B130,$B130)-(SUMIFS($G$6:$G$355,$B$6:$B$355,$B130)+SUMIFS($H$6:$H$355,$B$6:$B$355,$B130)+SUMIFS($I$6:$I$355,$B$6:$B$355,$B130)))))</f>
        <v>0</v>
      </c>
      <c r="AD130" s="468"/>
      <c r="AE130" s="342"/>
      <c r="AF130" s="342"/>
      <c r="AG130" s="342"/>
      <c r="AH130" s="342"/>
      <c r="AI130" s="342"/>
      <c r="AJ130" s="342"/>
      <c r="AK130" s="342"/>
      <c r="AL130" s="342"/>
      <c r="AM130" s="342"/>
      <c r="AN130" s="342"/>
      <c r="AO130" s="342"/>
      <c r="AP130" s="342"/>
      <c r="AQ130" s="342"/>
      <c r="AR130" s="342"/>
      <c r="AS130" s="342"/>
      <c r="AT130" s="342"/>
      <c r="AU130" s="342"/>
      <c r="AV130" s="342"/>
      <c r="AW130" s="342"/>
      <c r="AX130" s="342"/>
      <c r="AY130" s="342"/>
      <c r="AZ130" s="342"/>
      <c r="BA130" s="342"/>
      <c r="BB130" s="342"/>
      <c r="BC130" s="342"/>
      <c r="BD130" s="342"/>
      <c r="BE130" s="342"/>
      <c r="BF130" s="342"/>
      <c r="BG130" s="342"/>
      <c r="BH130" s="342"/>
      <c r="BI130" s="342"/>
      <c r="BJ130" s="342"/>
      <c r="BK130" s="342"/>
      <c r="BL130" s="342"/>
    </row>
    <row r="131" spans="1:64" ht="23" x14ac:dyDescent="0.25">
      <c r="A131" s="217" t="str" cm="1">
        <f t="array" ref="A131">IFERROR(INDEX(_xlfn.ANCHORARRAY($Q$6),ROW()-5,1),"")</f>
        <v/>
      </c>
      <c r="B131" s="288" t="str" cm="1">
        <f t="array" ref="B131">IFERROR(INDEX(_xlfn.ANCHORARRAY($Q$6),ROW()-5,2),"")</f>
        <v/>
      </c>
      <c r="C131" s="289" t="str" cm="1">
        <f t="array" ref="C131">IFERROR(INDEX(_xlfn.ANCHORARRAY($Q$6),ROW()-5,3),"")</f>
        <v/>
      </c>
      <c r="D131" s="218" t="str">
        <f>IF($A131="","",IF($K131="DIESEL",SUMIFS(Table1[Quantity],Table1[Customer],$B131,Table1[Date],$A131,Table1[Bill No.],$C131),IF($K131="PETROL",SUMIFS(Table14[Quantity],Table14[Customer],$B131,Table14[Date],$A131,Table14[Bill No.],$C131),IF($K131="XtraGreen",SUMIFS(Table146[Quantity],Table146[Company],$B131,Table146[Date],$A131,Table146[Bill No.],$C131),""))))</f>
        <v/>
      </c>
      <c r="E131" s="219" t="str">
        <f>IF($A131="","",IF($K131="DIESEL",AVERAGEIFS(Table1[RSP],Table1[Customer],$B131,Table1[Date],$A131,Table1[Bill No.],$C131),IF($K131="PETROL",AVERAGEIFS(Table14[RSP],Table14[Customer],$B131,Table14[Date],$A131,Table14[Bill No.],$C131),IF($K131="XtraGreen",AVERAGEIFS(Table146[RSP],Table146[Company],$B131,Table146[Date],$A131,Table146[Bill No.],$C131),IFERROR($F131/$D131,"")))))</f>
        <v/>
      </c>
      <c r="F131" s="330" t="str">
        <f>IF($A131="","",IF($K131="DIESEL",SUMIFS(Table1[Amount],Table1[Customer],$B131,Table1[Date],$A131,Table1[Bill No.],$C131),IF($K131="PETROL",SUMIFS(Table14[Amount],Table14[Customer],$B131,Table14[Date],$A131,Table14[Bill No.],$C131),IF($K131="XtraGreen",SUMIFS(Table146[Amount],Table146[Company],$B131,Table146[Date],$A131,Table146[Bill No.],$C131),SUMIFS('Other Sale'!$D:$D,'Other Sale'!$E:$E,$B131,'Other Sale'!$C:$C,$K131,'Other Sale'!$A:$A,$A131)))))</f>
        <v/>
      </c>
      <c r="G131" s="330" t="str" cm="1">
        <f t="array" ref="G131">IF($A131="","",IF($K131="Payment",IFERROR(INDEX(_xlfn._xlws.FILTER(MasterPaid[Amount Paid],(MasterPaid[Customer]=$B131)*(MasterPaid[Date]=$A131)),COUNTIFS($A$6:$A131,$A131,$B$6:$B131,$B131,$K$6:$K131,"Payment")),0),0))</f>
        <v/>
      </c>
      <c r="H131" s="331"/>
      <c r="I131" s="331"/>
      <c r="J131" s="330" t="str">
        <f t="shared" si="2"/>
        <v/>
      </c>
      <c r="K131" s="289" t="str" cm="1">
        <f t="array" ref="K131">IFERROR(INDEX(_xlfn.ANCHORARRAY($Q$6),ROW()-5,4),"")</f>
        <v/>
      </c>
      <c r="L131" s="290"/>
      <c r="U131">
        <f>IF(OR($A131="",$F131=""),0,MAX(0,MIN($F131,SUMIFS($F$6:$F131,$B$6:$B131,$B131)-(SUMIFS($G$6:$G$355,$B$6:$B$355,$B131)+SUMIFS($H$6:$H$355,$B$6:$B$355,$B131)+SUMIFS($I$6:$I$355,$B$6:$B$355,$B131)))))</f>
        <v>0</v>
      </c>
      <c r="AD131" s="468"/>
      <c r="AE131" s="342"/>
      <c r="AF131" s="342"/>
      <c r="AG131" s="342"/>
      <c r="AH131" s="342"/>
      <c r="AI131" s="342"/>
      <c r="AJ131" s="342"/>
      <c r="AK131" s="342"/>
      <c r="AL131" s="342"/>
      <c r="AM131" s="342"/>
      <c r="AN131" s="342"/>
      <c r="AO131" s="342"/>
      <c r="AP131" s="342"/>
      <c r="AQ131" s="342"/>
      <c r="AR131" s="342"/>
      <c r="AS131" s="342"/>
      <c r="AT131" s="342"/>
      <c r="AU131" s="342"/>
      <c r="AV131" s="342"/>
      <c r="AW131" s="342"/>
      <c r="AX131" s="342"/>
      <c r="AY131" s="342"/>
      <c r="AZ131" s="342"/>
      <c r="BA131" s="342"/>
      <c r="BB131" s="342"/>
      <c r="BC131" s="342"/>
      <c r="BD131" s="342"/>
      <c r="BE131" s="342"/>
      <c r="BF131" s="342"/>
      <c r="BG131" s="342"/>
      <c r="BH131" s="342"/>
      <c r="BI131" s="342"/>
      <c r="BJ131" s="342"/>
      <c r="BK131" s="342"/>
      <c r="BL131" s="342"/>
    </row>
    <row r="132" spans="1:64" ht="23" x14ac:dyDescent="0.25">
      <c r="A132" s="217" t="str" cm="1">
        <f t="array" ref="A132">IFERROR(INDEX(_xlfn.ANCHORARRAY($Q$6),ROW()-5,1),"")</f>
        <v/>
      </c>
      <c r="B132" s="288" t="str" cm="1">
        <f t="array" ref="B132">IFERROR(INDEX(_xlfn.ANCHORARRAY($Q$6),ROW()-5,2),"")</f>
        <v/>
      </c>
      <c r="C132" s="289" t="str" cm="1">
        <f t="array" ref="C132">IFERROR(INDEX(_xlfn.ANCHORARRAY($Q$6),ROW()-5,3),"")</f>
        <v/>
      </c>
      <c r="D132" s="218" t="str">
        <f>IF($A132="","",IF($K132="DIESEL",SUMIFS(Table1[Quantity],Table1[Customer],$B132,Table1[Date],$A132,Table1[Bill No.],$C132),IF($K132="PETROL",SUMIFS(Table14[Quantity],Table14[Customer],$B132,Table14[Date],$A132,Table14[Bill No.],$C132),IF($K132="XtraGreen",SUMIFS(Table146[Quantity],Table146[Company],$B132,Table146[Date],$A132,Table146[Bill No.],$C132),""))))</f>
        <v/>
      </c>
      <c r="E132" s="219" t="str">
        <f>IF($A132="","",IF($K132="DIESEL",AVERAGEIFS(Table1[RSP],Table1[Customer],$B132,Table1[Date],$A132,Table1[Bill No.],$C132),IF($K132="PETROL",AVERAGEIFS(Table14[RSP],Table14[Customer],$B132,Table14[Date],$A132,Table14[Bill No.],$C132),IF($K132="XtraGreen",AVERAGEIFS(Table146[RSP],Table146[Company],$B132,Table146[Date],$A132,Table146[Bill No.],$C132),IFERROR($F132/$D132,"")))))</f>
        <v/>
      </c>
      <c r="F132" s="330" t="str">
        <f>IF($A132="","",IF($K132="DIESEL",SUMIFS(Table1[Amount],Table1[Customer],$B132,Table1[Date],$A132,Table1[Bill No.],$C132),IF($K132="PETROL",SUMIFS(Table14[Amount],Table14[Customer],$B132,Table14[Date],$A132,Table14[Bill No.],$C132),IF($K132="XtraGreen",SUMIFS(Table146[Amount],Table146[Company],$B132,Table146[Date],$A132,Table146[Bill No.],$C132),SUMIFS('Other Sale'!$D:$D,'Other Sale'!$E:$E,$B132,'Other Sale'!$C:$C,$K132,'Other Sale'!$A:$A,$A132)))))</f>
        <v/>
      </c>
      <c r="G132" s="330" t="str" cm="1">
        <f t="array" ref="G132">IF($A132="","",IF($K132="Payment",IFERROR(INDEX(_xlfn._xlws.FILTER(MasterPaid[Amount Paid],(MasterPaid[Customer]=$B132)*(MasterPaid[Date]=$A132)),COUNTIFS($A$6:$A132,$A132,$B$6:$B132,$B132,$K$6:$K132,"Payment")),0),0))</f>
        <v/>
      </c>
      <c r="H132" s="331"/>
      <c r="I132" s="331"/>
      <c r="J132" s="330" t="str">
        <f t="shared" si="2"/>
        <v/>
      </c>
      <c r="K132" s="289" t="str" cm="1">
        <f t="array" ref="K132">IFERROR(INDEX(_xlfn.ANCHORARRAY($Q$6),ROW()-5,4),"")</f>
        <v/>
      </c>
      <c r="L132" s="290"/>
      <c r="U132">
        <f>IF(OR($A132="",$F132=""),0,MAX(0,MIN($F132,SUMIFS($F$6:$F132,$B$6:$B132,$B132)-(SUMIFS($G$6:$G$355,$B$6:$B$355,$B132)+SUMIFS($H$6:$H$355,$B$6:$B$355,$B132)+SUMIFS($I$6:$I$355,$B$6:$B$355,$B132)))))</f>
        <v>0</v>
      </c>
      <c r="AD132" s="468"/>
      <c r="AE132" s="342"/>
      <c r="AF132" s="342"/>
      <c r="AG132" s="342"/>
      <c r="AH132" s="342"/>
      <c r="AI132" s="342"/>
      <c r="AJ132" s="342"/>
      <c r="AK132" s="342"/>
      <c r="AL132" s="342"/>
      <c r="AM132" s="342"/>
      <c r="AN132" s="342"/>
      <c r="AO132" s="342"/>
      <c r="AP132" s="342"/>
      <c r="AQ132" s="342"/>
      <c r="AR132" s="342"/>
      <c r="AS132" s="342"/>
      <c r="AT132" s="342"/>
      <c r="AU132" s="342"/>
      <c r="AV132" s="342"/>
      <c r="AW132" s="342"/>
      <c r="AX132" s="342"/>
      <c r="AY132" s="342"/>
      <c r="AZ132" s="342"/>
      <c r="BA132" s="342"/>
      <c r="BB132" s="342"/>
      <c r="BC132" s="342"/>
      <c r="BD132" s="342"/>
      <c r="BE132" s="342"/>
      <c r="BF132" s="342"/>
      <c r="BG132" s="342"/>
      <c r="BH132" s="342"/>
      <c r="BI132" s="342"/>
      <c r="BJ132" s="342"/>
      <c r="BK132" s="342"/>
      <c r="BL132" s="342"/>
    </row>
    <row r="133" spans="1:64" ht="23" x14ac:dyDescent="0.25">
      <c r="A133" s="217" t="str" cm="1">
        <f t="array" ref="A133">IFERROR(INDEX(_xlfn.ANCHORARRAY($Q$6),ROW()-5,1),"")</f>
        <v/>
      </c>
      <c r="B133" s="288" t="str" cm="1">
        <f t="array" ref="B133">IFERROR(INDEX(_xlfn.ANCHORARRAY($Q$6),ROW()-5,2),"")</f>
        <v/>
      </c>
      <c r="C133" s="289" t="str" cm="1">
        <f t="array" ref="C133">IFERROR(INDEX(_xlfn.ANCHORARRAY($Q$6),ROW()-5,3),"")</f>
        <v/>
      </c>
      <c r="D133" s="218" t="str">
        <f>IF($A133="","",IF($K133="DIESEL",SUMIFS(Table1[Quantity],Table1[Customer],$B133,Table1[Date],$A133,Table1[Bill No.],$C133),IF($K133="PETROL",SUMIFS(Table14[Quantity],Table14[Customer],$B133,Table14[Date],$A133,Table14[Bill No.],$C133),IF($K133="XtraGreen",SUMIFS(Table146[Quantity],Table146[Company],$B133,Table146[Date],$A133,Table146[Bill No.],$C133),""))))</f>
        <v/>
      </c>
      <c r="E133" s="219" t="str">
        <f>IF($A133="","",IF($K133="DIESEL",AVERAGEIFS(Table1[RSP],Table1[Customer],$B133,Table1[Date],$A133,Table1[Bill No.],$C133),IF($K133="PETROL",AVERAGEIFS(Table14[RSP],Table14[Customer],$B133,Table14[Date],$A133,Table14[Bill No.],$C133),IF($K133="XtraGreen",AVERAGEIFS(Table146[RSP],Table146[Company],$B133,Table146[Date],$A133,Table146[Bill No.],$C133),IFERROR($F133/$D133,"")))))</f>
        <v/>
      </c>
      <c r="F133" s="330" t="str">
        <f>IF($A133="","",IF($K133="DIESEL",SUMIFS(Table1[Amount],Table1[Customer],$B133,Table1[Date],$A133,Table1[Bill No.],$C133),IF($K133="PETROL",SUMIFS(Table14[Amount],Table14[Customer],$B133,Table14[Date],$A133,Table14[Bill No.],$C133),IF($K133="XtraGreen",SUMIFS(Table146[Amount],Table146[Company],$B133,Table146[Date],$A133,Table146[Bill No.],$C133),SUMIFS('Other Sale'!$D:$D,'Other Sale'!$E:$E,$B133,'Other Sale'!$C:$C,$K133,'Other Sale'!$A:$A,$A133)))))</f>
        <v/>
      </c>
      <c r="G133" s="330" t="str" cm="1">
        <f t="array" ref="G133">IF($A133="","",IF($K133="Payment",IFERROR(INDEX(_xlfn._xlws.FILTER(MasterPaid[Amount Paid],(MasterPaid[Customer]=$B133)*(MasterPaid[Date]=$A133)),COUNTIFS($A$6:$A133,$A133,$B$6:$B133,$B133,$K$6:$K133,"Payment")),0),0))</f>
        <v/>
      </c>
      <c r="H133" s="331"/>
      <c r="I133" s="331"/>
      <c r="J133" s="330" t="str">
        <f t="shared" si="2"/>
        <v/>
      </c>
      <c r="K133" s="289" t="str" cm="1">
        <f t="array" ref="K133">IFERROR(INDEX(_xlfn.ANCHORARRAY($Q$6),ROW()-5,4),"")</f>
        <v/>
      </c>
      <c r="L133" s="290"/>
      <c r="U133">
        <f>IF(OR($A133="",$F133=""),0,MAX(0,MIN($F133,SUMIFS($F$6:$F133,$B$6:$B133,$B133)-(SUMIFS($G$6:$G$355,$B$6:$B$355,$B133)+SUMIFS($H$6:$H$355,$B$6:$B$355,$B133)+SUMIFS($I$6:$I$355,$B$6:$B$355,$B133)))))</f>
        <v>0</v>
      </c>
      <c r="AD133" s="468"/>
      <c r="AE133" s="342"/>
      <c r="AF133" s="342"/>
      <c r="AG133" s="342"/>
      <c r="AH133" s="342"/>
      <c r="AI133" s="342"/>
      <c r="AJ133" s="342"/>
      <c r="AK133" s="342"/>
      <c r="AL133" s="342"/>
      <c r="AM133" s="342"/>
      <c r="AN133" s="342"/>
      <c r="AO133" s="342"/>
      <c r="AP133" s="342"/>
      <c r="AQ133" s="342"/>
      <c r="AR133" s="342"/>
      <c r="AS133" s="342"/>
      <c r="AT133" s="342"/>
      <c r="AU133" s="342"/>
      <c r="AV133" s="342"/>
      <c r="AW133" s="342"/>
      <c r="AX133" s="342"/>
      <c r="AY133" s="342"/>
      <c r="AZ133" s="342"/>
      <c r="BA133" s="342"/>
      <c r="BB133" s="342"/>
      <c r="BC133" s="342"/>
      <c r="BD133" s="342"/>
      <c r="BE133" s="342"/>
      <c r="BF133" s="342"/>
      <c r="BG133" s="342"/>
      <c r="BH133" s="342"/>
      <c r="BI133" s="342"/>
      <c r="BJ133" s="342"/>
      <c r="BK133" s="342"/>
      <c r="BL133" s="342"/>
    </row>
    <row r="134" spans="1:64" ht="23" x14ac:dyDescent="0.25">
      <c r="A134" s="217" t="str" cm="1">
        <f t="array" ref="A134">IFERROR(INDEX(_xlfn.ANCHORARRAY($Q$6),ROW()-5,1),"")</f>
        <v/>
      </c>
      <c r="B134" s="288" t="str" cm="1">
        <f t="array" ref="B134">IFERROR(INDEX(_xlfn.ANCHORARRAY($Q$6),ROW()-5,2),"")</f>
        <v/>
      </c>
      <c r="C134" s="289" t="str" cm="1">
        <f t="array" ref="C134">IFERROR(INDEX(_xlfn.ANCHORARRAY($Q$6),ROW()-5,3),"")</f>
        <v/>
      </c>
      <c r="D134" s="218" t="str">
        <f>IF($A134="","",IF($K134="DIESEL",SUMIFS(Table1[Quantity],Table1[Customer],$B134,Table1[Date],$A134,Table1[Bill No.],$C134),IF($K134="PETROL",SUMIFS(Table14[Quantity],Table14[Customer],$B134,Table14[Date],$A134,Table14[Bill No.],$C134),IF($K134="XtraGreen",SUMIFS(Table146[Quantity],Table146[Company],$B134,Table146[Date],$A134,Table146[Bill No.],$C134),""))))</f>
        <v/>
      </c>
      <c r="E134" s="219" t="str">
        <f>IF($A134="","",IF($K134="DIESEL",AVERAGEIFS(Table1[RSP],Table1[Customer],$B134,Table1[Date],$A134,Table1[Bill No.],$C134),IF($K134="PETROL",AVERAGEIFS(Table14[RSP],Table14[Customer],$B134,Table14[Date],$A134,Table14[Bill No.],$C134),IF($K134="XtraGreen",AVERAGEIFS(Table146[RSP],Table146[Company],$B134,Table146[Date],$A134,Table146[Bill No.],$C134),IFERROR($F134/$D134,"")))))</f>
        <v/>
      </c>
      <c r="F134" s="330" t="str">
        <f>IF($A134="","",IF($K134="DIESEL",SUMIFS(Table1[Amount],Table1[Customer],$B134,Table1[Date],$A134,Table1[Bill No.],$C134),IF($K134="PETROL",SUMIFS(Table14[Amount],Table14[Customer],$B134,Table14[Date],$A134,Table14[Bill No.],$C134),IF($K134="XtraGreen",SUMIFS(Table146[Amount],Table146[Company],$B134,Table146[Date],$A134,Table146[Bill No.],$C134),SUMIFS('Other Sale'!$D:$D,'Other Sale'!$E:$E,$B134,'Other Sale'!$C:$C,$K134,'Other Sale'!$A:$A,$A134)))))</f>
        <v/>
      </c>
      <c r="G134" s="330" t="str" cm="1">
        <f t="array" ref="G134">IF($A134="","",IF($K134="Payment",IFERROR(INDEX(_xlfn._xlws.FILTER(MasterPaid[Amount Paid],(MasterPaid[Customer]=$B134)*(MasterPaid[Date]=$A134)),COUNTIFS($A$6:$A134,$A134,$B$6:$B134,$B134,$K$6:$K134,"Payment")),0),0))</f>
        <v/>
      </c>
      <c r="H134" s="331"/>
      <c r="I134" s="331"/>
      <c r="J134" s="330" t="str">
        <f t="shared" si="2"/>
        <v/>
      </c>
      <c r="K134" s="289" t="str" cm="1">
        <f t="array" ref="K134">IFERROR(INDEX(_xlfn.ANCHORARRAY($Q$6),ROW()-5,4),"")</f>
        <v/>
      </c>
      <c r="L134" s="290"/>
      <c r="U134">
        <f>IF(OR($A134="",$F134=""),0,MAX(0,MIN($F134,SUMIFS($F$6:$F134,$B$6:$B134,$B134)-(SUMIFS($G$6:$G$355,$B$6:$B$355,$B134)+SUMIFS($H$6:$H$355,$B$6:$B$355,$B134)+SUMIFS($I$6:$I$355,$B$6:$B$355,$B134)))))</f>
        <v>0</v>
      </c>
      <c r="AD134" s="468"/>
      <c r="AE134" s="342"/>
      <c r="AF134" s="342"/>
      <c r="AG134" s="342"/>
      <c r="AH134" s="342"/>
      <c r="AI134" s="342"/>
      <c r="AJ134" s="342"/>
      <c r="AK134" s="342"/>
      <c r="AL134" s="342"/>
      <c r="AM134" s="342"/>
      <c r="AN134" s="342"/>
      <c r="AO134" s="342"/>
      <c r="AP134" s="342"/>
      <c r="AQ134" s="342"/>
      <c r="AR134" s="342"/>
      <c r="AS134" s="342"/>
      <c r="AT134" s="342"/>
      <c r="AU134" s="342"/>
      <c r="AV134" s="342"/>
      <c r="AW134" s="342"/>
      <c r="AX134" s="342"/>
      <c r="AY134" s="342"/>
      <c r="AZ134" s="342"/>
      <c r="BA134" s="342"/>
      <c r="BB134" s="342"/>
      <c r="BC134" s="342"/>
      <c r="BD134" s="342"/>
      <c r="BE134" s="342"/>
      <c r="BF134" s="342"/>
      <c r="BG134" s="342"/>
      <c r="BH134" s="342"/>
      <c r="BI134" s="342"/>
      <c r="BJ134" s="342"/>
      <c r="BK134" s="342"/>
      <c r="BL134" s="342"/>
    </row>
    <row r="135" spans="1:64" ht="23" x14ac:dyDescent="0.25">
      <c r="A135" s="217" t="str" cm="1">
        <f t="array" ref="A135">IFERROR(INDEX(_xlfn.ANCHORARRAY($Q$6),ROW()-5,1),"")</f>
        <v/>
      </c>
      <c r="B135" s="288" t="str" cm="1">
        <f t="array" ref="B135">IFERROR(INDEX(_xlfn.ANCHORARRAY($Q$6),ROW()-5,2),"")</f>
        <v/>
      </c>
      <c r="C135" s="289" t="str" cm="1">
        <f t="array" ref="C135">IFERROR(INDEX(_xlfn.ANCHORARRAY($Q$6),ROW()-5,3),"")</f>
        <v/>
      </c>
      <c r="D135" s="218" t="str">
        <f>IF($A135="","",IF($K135="DIESEL",SUMIFS(Table1[Quantity],Table1[Customer],$B135,Table1[Date],$A135,Table1[Bill No.],$C135),IF($K135="PETROL",SUMIFS(Table14[Quantity],Table14[Customer],$B135,Table14[Date],$A135,Table14[Bill No.],$C135),IF($K135="XtraGreen",SUMIFS(Table146[Quantity],Table146[Company],$B135,Table146[Date],$A135,Table146[Bill No.],$C135),""))))</f>
        <v/>
      </c>
      <c r="E135" s="219" t="str">
        <f>IF($A135="","",IF($K135="DIESEL",AVERAGEIFS(Table1[RSP],Table1[Customer],$B135,Table1[Date],$A135,Table1[Bill No.],$C135),IF($K135="PETROL",AVERAGEIFS(Table14[RSP],Table14[Customer],$B135,Table14[Date],$A135,Table14[Bill No.],$C135),IF($K135="XtraGreen",AVERAGEIFS(Table146[RSP],Table146[Company],$B135,Table146[Date],$A135,Table146[Bill No.],$C135),IFERROR($F135/$D135,"")))))</f>
        <v/>
      </c>
      <c r="F135" s="330" t="str">
        <f>IF($A135="","",IF($K135="DIESEL",SUMIFS(Table1[Amount],Table1[Customer],$B135,Table1[Date],$A135,Table1[Bill No.],$C135),IF($K135="PETROL",SUMIFS(Table14[Amount],Table14[Customer],$B135,Table14[Date],$A135,Table14[Bill No.],$C135),IF($K135="XtraGreen",SUMIFS(Table146[Amount],Table146[Company],$B135,Table146[Date],$A135,Table146[Bill No.],$C135),SUMIFS('Other Sale'!$D:$D,'Other Sale'!$E:$E,$B135,'Other Sale'!$C:$C,$K135,'Other Sale'!$A:$A,$A135)))))</f>
        <v/>
      </c>
      <c r="G135" s="330" t="str" cm="1">
        <f t="array" ref="G135">IF($A135="","",IF($K135="Payment",IFERROR(INDEX(_xlfn._xlws.FILTER(MasterPaid[Amount Paid],(MasterPaid[Customer]=$B135)*(MasterPaid[Date]=$A135)),COUNTIFS($A$6:$A135,$A135,$B$6:$B135,$B135,$K$6:$K135,"Payment")),0),0))</f>
        <v/>
      </c>
      <c r="H135" s="331"/>
      <c r="I135" s="331"/>
      <c r="J135" s="330" t="str">
        <f t="shared" si="2"/>
        <v/>
      </c>
      <c r="K135" s="289" t="str" cm="1">
        <f t="array" ref="K135">IFERROR(INDEX(_xlfn.ANCHORARRAY($Q$6),ROW()-5,4),"")</f>
        <v/>
      </c>
      <c r="L135" s="290"/>
      <c r="U135">
        <f>IF(OR($A135="",$F135=""),0,MAX(0,MIN($F135,SUMIFS($F$6:$F135,$B$6:$B135,$B135)-(SUMIFS($G$6:$G$355,$B$6:$B$355,$B135)+SUMIFS($H$6:$H$355,$B$6:$B$355,$B135)+SUMIFS($I$6:$I$355,$B$6:$B$355,$B135)))))</f>
        <v>0</v>
      </c>
      <c r="AD135" s="468"/>
      <c r="AE135" s="342"/>
      <c r="AF135" s="342"/>
      <c r="AG135" s="342"/>
      <c r="AH135" s="342"/>
      <c r="AI135" s="342"/>
      <c r="AJ135" s="342"/>
      <c r="AK135" s="342"/>
      <c r="AL135" s="342"/>
      <c r="AM135" s="342"/>
      <c r="AN135" s="342"/>
      <c r="AO135" s="342"/>
      <c r="AP135" s="342"/>
      <c r="AQ135" s="342"/>
      <c r="AR135" s="342"/>
      <c r="AS135" s="342"/>
      <c r="AT135" s="342"/>
      <c r="AU135" s="342"/>
      <c r="AV135" s="342"/>
      <c r="AW135" s="342"/>
      <c r="AX135" s="342"/>
      <c r="AY135" s="342"/>
      <c r="AZ135" s="342"/>
      <c r="BA135" s="342"/>
      <c r="BB135" s="342"/>
      <c r="BC135" s="342"/>
      <c r="BD135" s="342"/>
      <c r="BE135" s="342"/>
      <c r="BF135" s="342"/>
      <c r="BG135" s="342"/>
      <c r="BH135" s="342"/>
      <c r="BI135" s="342"/>
      <c r="BJ135" s="342"/>
      <c r="BK135" s="342"/>
      <c r="BL135" s="342"/>
    </row>
    <row r="136" spans="1:64" ht="23" x14ac:dyDescent="0.25">
      <c r="A136" s="217" t="str" cm="1">
        <f t="array" ref="A136">IFERROR(INDEX(_xlfn.ANCHORARRAY($Q$6),ROW()-5,1),"")</f>
        <v/>
      </c>
      <c r="B136" s="288" t="str" cm="1">
        <f t="array" ref="B136">IFERROR(INDEX(_xlfn.ANCHORARRAY($Q$6),ROW()-5,2),"")</f>
        <v/>
      </c>
      <c r="C136" s="289" t="str" cm="1">
        <f t="array" ref="C136">IFERROR(INDEX(_xlfn.ANCHORARRAY($Q$6),ROW()-5,3),"")</f>
        <v/>
      </c>
      <c r="D136" s="218" t="str">
        <f>IF($A136="","",IF($K136="DIESEL",SUMIFS(Table1[Quantity],Table1[Customer],$B136,Table1[Date],$A136,Table1[Bill No.],$C136),IF($K136="PETROL",SUMIFS(Table14[Quantity],Table14[Customer],$B136,Table14[Date],$A136,Table14[Bill No.],$C136),IF($K136="XtraGreen",SUMIFS(Table146[Quantity],Table146[Company],$B136,Table146[Date],$A136,Table146[Bill No.],$C136),""))))</f>
        <v/>
      </c>
      <c r="E136" s="219" t="str">
        <f>IF($A136="","",IF($K136="DIESEL",AVERAGEIFS(Table1[RSP],Table1[Customer],$B136,Table1[Date],$A136,Table1[Bill No.],$C136),IF($K136="PETROL",AVERAGEIFS(Table14[RSP],Table14[Customer],$B136,Table14[Date],$A136,Table14[Bill No.],$C136),IF($K136="XtraGreen",AVERAGEIFS(Table146[RSP],Table146[Company],$B136,Table146[Date],$A136,Table146[Bill No.],$C136),IFERROR($F136/$D136,"")))))</f>
        <v/>
      </c>
      <c r="F136" s="330" t="str">
        <f>IF($A136="","",IF($K136="DIESEL",SUMIFS(Table1[Amount],Table1[Customer],$B136,Table1[Date],$A136,Table1[Bill No.],$C136),IF($K136="PETROL",SUMIFS(Table14[Amount],Table14[Customer],$B136,Table14[Date],$A136,Table14[Bill No.],$C136),IF($K136="XtraGreen",SUMIFS(Table146[Amount],Table146[Company],$B136,Table146[Date],$A136,Table146[Bill No.],$C136),SUMIFS('Other Sale'!$D:$D,'Other Sale'!$E:$E,$B136,'Other Sale'!$C:$C,$K136,'Other Sale'!$A:$A,$A136)))))</f>
        <v/>
      </c>
      <c r="G136" s="330" t="str" cm="1">
        <f t="array" ref="G136">IF($A136="","",IF($K136="Payment",IFERROR(INDEX(_xlfn._xlws.FILTER(MasterPaid[Amount Paid],(MasterPaid[Customer]=$B136)*(MasterPaid[Date]=$A136)),COUNTIFS($A$6:$A136,$A136,$B$6:$B136,$B136,$K$6:$K136,"Payment")),0),0))</f>
        <v/>
      </c>
      <c r="H136" s="331"/>
      <c r="I136" s="331"/>
      <c r="J136" s="330" t="str">
        <f t="shared" si="2"/>
        <v/>
      </c>
      <c r="K136" s="289" t="str" cm="1">
        <f t="array" ref="K136">IFERROR(INDEX(_xlfn.ANCHORARRAY($Q$6),ROW()-5,4),"")</f>
        <v/>
      </c>
      <c r="L136" s="290"/>
      <c r="U136">
        <f>IF(OR($A136="",$F136=""),0,MAX(0,MIN($F136,SUMIFS($F$6:$F136,$B$6:$B136,$B136)-(SUMIFS($G$6:$G$355,$B$6:$B$355,$B136)+SUMIFS($H$6:$H$355,$B$6:$B$355,$B136)+SUMIFS($I$6:$I$355,$B$6:$B$355,$B136)))))</f>
        <v>0</v>
      </c>
      <c r="AD136" s="468"/>
      <c r="AE136" s="342"/>
      <c r="AF136" s="342"/>
      <c r="AG136" s="342"/>
      <c r="AH136" s="342"/>
      <c r="AI136" s="342"/>
      <c r="AJ136" s="342"/>
      <c r="AK136" s="342"/>
      <c r="AL136" s="342"/>
      <c r="AM136" s="342"/>
      <c r="AN136" s="342"/>
      <c r="AO136" s="342"/>
      <c r="AP136" s="342"/>
      <c r="AQ136" s="342"/>
      <c r="AR136" s="342"/>
      <c r="AS136" s="342"/>
      <c r="AT136" s="342"/>
      <c r="AU136" s="342"/>
      <c r="AV136" s="342"/>
      <c r="AW136" s="342"/>
      <c r="AX136" s="342"/>
      <c r="AY136" s="342"/>
      <c r="AZ136" s="342"/>
      <c r="BA136" s="342"/>
      <c r="BB136" s="342"/>
      <c r="BC136" s="342"/>
      <c r="BD136" s="342"/>
      <c r="BE136" s="342"/>
      <c r="BF136" s="342"/>
      <c r="BG136" s="342"/>
      <c r="BH136" s="342"/>
      <c r="BI136" s="342"/>
      <c r="BJ136" s="342"/>
      <c r="BK136" s="342"/>
      <c r="BL136" s="342"/>
    </row>
    <row r="137" spans="1:64" ht="23" x14ac:dyDescent="0.25">
      <c r="A137" s="217" t="str" cm="1">
        <f t="array" ref="A137">IFERROR(INDEX(_xlfn.ANCHORARRAY($Q$6),ROW()-5,1),"")</f>
        <v/>
      </c>
      <c r="B137" s="288" t="str" cm="1">
        <f t="array" ref="B137">IFERROR(INDEX(_xlfn.ANCHORARRAY($Q$6),ROW()-5,2),"")</f>
        <v/>
      </c>
      <c r="C137" s="289" t="str" cm="1">
        <f t="array" ref="C137">IFERROR(INDEX(_xlfn.ANCHORARRAY($Q$6),ROW()-5,3),"")</f>
        <v/>
      </c>
      <c r="D137" s="218" t="str">
        <f>IF($A137="","",IF($K137="DIESEL",SUMIFS(Table1[Quantity],Table1[Customer],$B137,Table1[Date],$A137,Table1[Bill No.],$C137),IF($K137="PETROL",SUMIFS(Table14[Quantity],Table14[Customer],$B137,Table14[Date],$A137,Table14[Bill No.],$C137),IF($K137="XtraGreen",SUMIFS(Table146[Quantity],Table146[Company],$B137,Table146[Date],$A137,Table146[Bill No.],$C137),""))))</f>
        <v/>
      </c>
      <c r="E137" s="219" t="str">
        <f>IF($A137="","",IF($K137="DIESEL",AVERAGEIFS(Table1[RSP],Table1[Customer],$B137,Table1[Date],$A137,Table1[Bill No.],$C137),IF($K137="PETROL",AVERAGEIFS(Table14[RSP],Table14[Customer],$B137,Table14[Date],$A137,Table14[Bill No.],$C137),IF($K137="XtraGreen",AVERAGEIFS(Table146[RSP],Table146[Company],$B137,Table146[Date],$A137,Table146[Bill No.],$C137),IFERROR($F137/$D137,"")))))</f>
        <v/>
      </c>
      <c r="F137" s="330" t="str">
        <f>IF($A137="","",IF($K137="DIESEL",SUMIFS(Table1[Amount],Table1[Customer],$B137,Table1[Date],$A137,Table1[Bill No.],$C137),IF($K137="PETROL",SUMIFS(Table14[Amount],Table14[Customer],$B137,Table14[Date],$A137,Table14[Bill No.],$C137),IF($K137="XtraGreen",SUMIFS(Table146[Amount],Table146[Company],$B137,Table146[Date],$A137,Table146[Bill No.],$C137),SUMIFS('Other Sale'!$D:$D,'Other Sale'!$E:$E,$B137,'Other Sale'!$C:$C,$K137,'Other Sale'!$A:$A,$A137)))))</f>
        <v/>
      </c>
      <c r="G137" s="330" t="str" cm="1">
        <f t="array" ref="G137">IF($A137="","",IF($K137="Payment",IFERROR(INDEX(_xlfn._xlws.FILTER(MasterPaid[Amount Paid],(MasterPaid[Customer]=$B137)*(MasterPaid[Date]=$A137)),COUNTIFS($A$6:$A137,$A137,$B$6:$B137,$B137,$K$6:$K137,"Payment")),0),0))</f>
        <v/>
      </c>
      <c r="H137" s="331"/>
      <c r="I137" s="331"/>
      <c r="J137" s="330" t="str">
        <f t="shared" si="2"/>
        <v/>
      </c>
      <c r="K137" s="289" t="str" cm="1">
        <f t="array" ref="K137">IFERROR(INDEX(_xlfn.ANCHORARRAY($Q$6),ROW()-5,4),"")</f>
        <v/>
      </c>
      <c r="L137" s="290"/>
      <c r="U137">
        <f>IF(OR($A137="",$F137=""),0,MAX(0,MIN($F137,SUMIFS($F$6:$F137,$B$6:$B137,$B137)-(SUMIFS($G$6:$G$355,$B$6:$B$355,$B137)+SUMIFS($H$6:$H$355,$B$6:$B$355,$B137)+SUMIFS($I$6:$I$355,$B$6:$B$355,$B137)))))</f>
        <v>0</v>
      </c>
      <c r="AD137" s="468"/>
      <c r="AE137" s="342"/>
      <c r="AF137" s="342"/>
      <c r="AG137" s="342"/>
      <c r="AH137" s="342"/>
      <c r="AI137" s="342"/>
      <c r="AJ137" s="342"/>
      <c r="AK137" s="342"/>
      <c r="AL137" s="342"/>
      <c r="AM137" s="342"/>
      <c r="AN137" s="342"/>
      <c r="AO137" s="342"/>
      <c r="AP137" s="342"/>
      <c r="AQ137" s="342"/>
      <c r="AR137" s="342"/>
      <c r="AS137" s="342"/>
      <c r="AT137" s="342"/>
      <c r="AU137" s="342"/>
      <c r="AV137" s="342"/>
      <c r="AW137" s="342"/>
      <c r="AX137" s="342"/>
      <c r="AY137" s="342"/>
      <c r="AZ137" s="342"/>
      <c r="BA137" s="342"/>
      <c r="BB137" s="342"/>
      <c r="BC137" s="342"/>
      <c r="BD137" s="342"/>
      <c r="BE137" s="342"/>
      <c r="BF137" s="342"/>
      <c r="BG137" s="342"/>
      <c r="BH137" s="342"/>
      <c r="BI137" s="342"/>
      <c r="BJ137" s="342"/>
      <c r="BK137" s="342"/>
      <c r="BL137" s="342"/>
    </row>
    <row r="138" spans="1:64" ht="23" x14ac:dyDescent="0.25">
      <c r="A138" s="217" t="str" cm="1">
        <f t="array" ref="A138">IFERROR(INDEX(_xlfn.ANCHORARRAY($Q$6),ROW()-5,1),"")</f>
        <v/>
      </c>
      <c r="B138" s="288" t="str" cm="1">
        <f t="array" ref="B138">IFERROR(INDEX(_xlfn.ANCHORARRAY($Q$6),ROW()-5,2),"")</f>
        <v/>
      </c>
      <c r="C138" s="289" t="str" cm="1">
        <f t="array" ref="C138">IFERROR(INDEX(_xlfn.ANCHORARRAY($Q$6),ROW()-5,3),"")</f>
        <v/>
      </c>
      <c r="D138" s="218" t="str">
        <f>IF($A138="","",IF($K138="DIESEL",SUMIFS(Table1[Quantity],Table1[Customer],$B138,Table1[Date],$A138,Table1[Bill No.],$C138),IF($K138="PETROL",SUMIFS(Table14[Quantity],Table14[Customer],$B138,Table14[Date],$A138,Table14[Bill No.],$C138),IF($K138="XtraGreen",SUMIFS(Table146[Quantity],Table146[Company],$B138,Table146[Date],$A138,Table146[Bill No.],$C138),""))))</f>
        <v/>
      </c>
      <c r="E138" s="219" t="str">
        <f>IF($A138="","",IF($K138="DIESEL",AVERAGEIFS(Table1[RSP],Table1[Customer],$B138,Table1[Date],$A138,Table1[Bill No.],$C138),IF($K138="PETROL",AVERAGEIFS(Table14[RSP],Table14[Customer],$B138,Table14[Date],$A138,Table14[Bill No.],$C138),IF($K138="XtraGreen",AVERAGEIFS(Table146[RSP],Table146[Company],$B138,Table146[Date],$A138,Table146[Bill No.],$C138),IFERROR($F138/$D138,"")))))</f>
        <v/>
      </c>
      <c r="F138" s="330" t="str">
        <f>IF($A138="","",IF($K138="DIESEL",SUMIFS(Table1[Amount],Table1[Customer],$B138,Table1[Date],$A138,Table1[Bill No.],$C138),IF($K138="PETROL",SUMIFS(Table14[Amount],Table14[Customer],$B138,Table14[Date],$A138,Table14[Bill No.],$C138),IF($K138="XtraGreen",SUMIFS(Table146[Amount],Table146[Company],$B138,Table146[Date],$A138,Table146[Bill No.],$C138),SUMIFS('Other Sale'!$D:$D,'Other Sale'!$E:$E,$B138,'Other Sale'!$C:$C,$K138,'Other Sale'!$A:$A,$A138)))))</f>
        <v/>
      </c>
      <c r="G138" s="330" t="str" cm="1">
        <f t="array" ref="G138">IF($A138="","",IF($K138="Payment",IFERROR(INDEX(_xlfn._xlws.FILTER(MasterPaid[Amount Paid],(MasterPaid[Customer]=$B138)*(MasterPaid[Date]=$A138)),COUNTIFS($A$6:$A138,$A138,$B$6:$B138,$B138,$K$6:$K138,"Payment")),0),0))</f>
        <v/>
      </c>
      <c r="H138" s="331"/>
      <c r="I138" s="331"/>
      <c r="J138" s="330" t="str">
        <f t="shared" si="2"/>
        <v/>
      </c>
      <c r="K138" s="289" t="str" cm="1">
        <f t="array" ref="K138">IFERROR(INDEX(_xlfn.ANCHORARRAY($Q$6),ROW()-5,4),"")</f>
        <v/>
      </c>
      <c r="L138" s="290"/>
      <c r="U138">
        <f>IF(OR($A138="",$F138=""),0,MAX(0,MIN($F138,SUMIFS($F$6:$F138,$B$6:$B138,$B138)-(SUMIFS($G$6:$G$355,$B$6:$B$355,$B138)+SUMIFS($H$6:$H$355,$B$6:$B$355,$B138)+SUMIFS($I$6:$I$355,$B$6:$B$355,$B138)))))</f>
        <v>0</v>
      </c>
      <c r="AD138" s="468"/>
      <c r="AE138" s="342"/>
      <c r="AF138" s="342"/>
      <c r="AG138" s="342"/>
      <c r="AH138" s="342"/>
      <c r="AI138" s="342"/>
      <c r="AJ138" s="342"/>
      <c r="AK138" s="342"/>
      <c r="AL138" s="342"/>
      <c r="AM138" s="342"/>
      <c r="AN138" s="342"/>
      <c r="AO138" s="342"/>
      <c r="AP138" s="342"/>
      <c r="AQ138" s="342"/>
      <c r="AR138" s="342"/>
      <c r="AS138" s="342"/>
      <c r="AT138" s="342"/>
      <c r="AU138" s="342"/>
      <c r="AV138" s="342"/>
      <c r="AW138" s="342"/>
      <c r="AX138" s="342"/>
      <c r="AY138" s="342"/>
      <c r="AZ138" s="342"/>
      <c r="BA138" s="342"/>
      <c r="BB138" s="342"/>
      <c r="BC138" s="342"/>
      <c r="BD138" s="342"/>
      <c r="BE138" s="342"/>
      <c r="BF138" s="342"/>
      <c r="BG138" s="342"/>
      <c r="BH138" s="342"/>
      <c r="BI138" s="342"/>
      <c r="BJ138" s="342"/>
      <c r="BK138" s="342"/>
      <c r="BL138" s="342"/>
    </row>
    <row r="139" spans="1:64" ht="23" x14ac:dyDescent="0.25">
      <c r="A139" s="217" t="str" cm="1">
        <f t="array" ref="A139">IFERROR(INDEX(_xlfn.ANCHORARRAY($Q$6),ROW()-5,1),"")</f>
        <v/>
      </c>
      <c r="B139" s="288" t="str" cm="1">
        <f t="array" ref="B139">IFERROR(INDEX(_xlfn.ANCHORARRAY($Q$6),ROW()-5,2),"")</f>
        <v/>
      </c>
      <c r="C139" s="289" t="str" cm="1">
        <f t="array" ref="C139">IFERROR(INDEX(_xlfn.ANCHORARRAY($Q$6),ROW()-5,3),"")</f>
        <v/>
      </c>
      <c r="D139" s="218" t="str">
        <f>IF($A139="","",IF($K139="DIESEL",SUMIFS(Table1[Quantity],Table1[Customer],$B139,Table1[Date],$A139,Table1[Bill No.],$C139),IF($K139="PETROL",SUMIFS(Table14[Quantity],Table14[Customer],$B139,Table14[Date],$A139,Table14[Bill No.],$C139),IF($K139="XtraGreen",SUMIFS(Table146[Quantity],Table146[Company],$B139,Table146[Date],$A139,Table146[Bill No.],$C139),""))))</f>
        <v/>
      </c>
      <c r="E139" s="219" t="str">
        <f>IF($A139="","",IF($K139="DIESEL",AVERAGEIFS(Table1[RSP],Table1[Customer],$B139,Table1[Date],$A139,Table1[Bill No.],$C139),IF($K139="PETROL",AVERAGEIFS(Table14[RSP],Table14[Customer],$B139,Table14[Date],$A139,Table14[Bill No.],$C139),IF($K139="XtraGreen",AVERAGEIFS(Table146[RSP],Table146[Company],$B139,Table146[Date],$A139,Table146[Bill No.],$C139),IFERROR($F139/$D139,"")))))</f>
        <v/>
      </c>
      <c r="F139" s="330" t="str">
        <f>IF($A139="","",IF($K139="DIESEL",SUMIFS(Table1[Amount],Table1[Customer],$B139,Table1[Date],$A139,Table1[Bill No.],$C139),IF($K139="PETROL",SUMIFS(Table14[Amount],Table14[Customer],$B139,Table14[Date],$A139,Table14[Bill No.],$C139),IF($K139="XtraGreen",SUMIFS(Table146[Amount],Table146[Company],$B139,Table146[Date],$A139,Table146[Bill No.],$C139),SUMIFS('Other Sale'!$D:$D,'Other Sale'!$E:$E,$B139,'Other Sale'!$C:$C,$K139,'Other Sale'!$A:$A,$A139)))))</f>
        <v/>
      </c>
      <c r="G139" s="330" t="str" cm="1">
        <f t="array" ref="G139">IF($A139="","",IF($K139="Payment",IFERROR(INDEX(_xlfn._xlws.FILTER(MasterPaid[Amount Paid],(MasterPaid[Customer]=$B139)*(MasterPaid[Date]=$A139)),COUNTIFS($A$6:$A139,$A139,$B$6:$B139,$B139,$K$6:$K139,"Payment")),0),0))</f>
        <v/>
      </c>
      <c r="H139" s="331"/>
      <c r="I139" s="331"/>
      <c r="J139" s="330" t="str">
        <f t="shared" si="2"/>
        <v/>
      </c>
      <c r="K139" s="289" t="str" cm="1">
        <f t="array" ref="K139">IFERROR(INDEX(_xlfn.ANCHORARRAY($Q$6),ROW()-5,4),"")</f>
        <v/>
      </c>
      <c r="L139" s="290"/>
      <c r="U139">
        <f>IF(OR($A139="",$F139=""),0,MAX(0,MIN($F139,SUMIFS($F$6:$F139,$B$6:$B139,$B139)-(SUMIFS($G$6:$G$355,$B$6:$B$355,$B139)+SUMIFS($H$6:$H$355,$B$6:$B$355,$B139)+SUMIFS($I$6:$I$355,$B$6:$B$355,$B139)))))</f>
        <v>0</v>
      </c>
      <c r="AD139" s="468"/>
      <c r="AE139" s="342"/>
      <c r="AF139" s="342"/>
      <c r="AG139" s="342"/>
      <c r="AH139" s="342"/>
      <c r="AI139" s="342"/>
      <c r="AJ139" s="342"/>
      <c r="AK139" s="342"/>
      <c r="AL139" s="342"/>
      <c r="AM139" s="342"/>
      <c r="AN139" s="342"/>
      <c r="AO139" s="342"/>
      <c r="AP139" s="342"/>
      <c r="AQ139" s="342"/>
      <c r="AR139" s="342"/>
      <c r="AS139" s="342"/>
      <c r="AT139" s="342"/>
      <c r="AU139" s="342"/>
      <c r="AV139" s="342"/>
      <c r="AW139" s="342"/>
      <c r="AX139" s="342"/>
      <c r="AY139" s="342"/>
      <c r="AZ139" s="342"/>
      <c r="BA139" s="342"/>
      <c r="BB139" s="342"/>
      <c r="BC139" s="342"/>
      <c r="BD139" s="342"/>
      <c r="BE139" s="342"/>
      <c r="BF139" s="342"/>
      <c r="BG139" s="342"/>
      <c r="BH139" s="342"/>
      <c r="BI139" s="342"/>
      <c r="BJ139" s="342"/>
      <c r="BK139" s="342"/>
      <c r="BL139" s="342"/>
    </row>
    <row r="140" spans="1:64" ht="23" x14ac:dyDescent="0.25">
      <c r="A140" s="217" t="str" cm="1">
        <f t="array" ref="A140">IFERROR(INDEX(_xlfn.ANCHORARRAY($Q$6),ROW()-5,1),"")</f>
        <v/>
      </c>
      <c r="B140" s="288" t="str" cm="1">
        <f t="array" ref="B140">IFERROR(INDEX(_xlfn.ANCHORARRAY($Q$6),ROW()-5,2),"")</f>
        <v/>
      </c>
      <c r="C140" s="289" t="str" cm="1">
        <f t="array" ref="C140">IFERROR(INDEX(_xlfn.ANCHORARRAY($Q$6),ROW()-5,3),"")</f>
        <v/>
      </c>
      <c r="D140" s="218" t="str">
        <f>IF($A140="","",IF($K140="DIESEL",SUMIFS(Table1[Quantity],Table1[Customer],$B140,Table1[Date],$A140,Table1[Bill No.],$C140),IF($K140="PETROL",SUMIFS(Table14[Quantity],Table14[Customer],$B140,Table14[Date],$A140,Table14[Bill No.],$C140),IF($K140="XtraGreen",SUMIFS(Table146[Quantity],Table146[Company],$B140,Table146[Date],$A140,Table146[Bill No.],$C140),""))))</f>
        <v/>
      </c>
      <c r="E140" s="219" t="str">
        <f>IF($A140="","",IF($K140="DIESEL",AVERAGEIFS(Table1[RSP],Table1[Customer],$B140,Table1[Date],$A140,Table1[Bill No.],$C140),IF($K140="PETROL",AVERAGEIFS(Table14[RSP],Table14[Customer],$B140,Table14[Date],$A140,Table14[Bill No.],$C140),IF($K140="XtraGreen",AVERAGEIFS(Table146[RSP],Table146[Company],$B140,Table146[Date],$A140,Table146[Bill No.],$C140),IFERROR($F140/$D140,"")))))</f>
        <v/>
      </c>
      <c r="F140" s="330" t="str">
        <f>IF($A140="","",IF($K140="DIESEL",SUMIFS(Table1[Amount],Table1[Customer],$B140,Table1[Date],$A140,Table1[Bill No.],$C140),IF($K140="PETROL",SUMIFS(Table14[Amount],Table14[Customer],$B140,Table14[Date],$A140,Table14[Bill No.],$C140),IF($K140="XtraGreen",SUMIFS(Table146[Amount],Table146[Company],$B140,Table146[Date],$A140,Table146[Bill No.],$C140),SUMIFS('Other Sale'!$D:$D,'Other Sale'!$E:$E,$B140,'Other Sale'!$C:$C,$K140,'Other Sale'!$A:$A,$A140)))))</f>
        <v/>
      </c>
      <c r="G140" s="330" t="str" cm="1">
        <f t="array" ref="G140">IF($A140="","",IF($K140="Payment",IFERROR(INDEX(_xlfn._xlws.FILTER(MasterPaid[Amount Paid],(MasterPaid[Customer]=$B140)*(MasterPaid[Date]=$A140)),COUNTIFS($A$6:$A140,$A140,$B$6:$B140,$B140,$K$6:$K140,"Payment")),0),0))</f>
        <v/>
      </c>
      <c r="H140" s="331"/>
      <c r="I140" s="331"/>
      <c r="J140" s="330" t="str">
        <f t="shared" si="2"/>
        <v/>
      </c>
      <c r="K140" s="289" t="str" cm="1">
        <f t="array" ref="K140">IFERROR(INDEX(_xlfn.ANCHORARRAY($Q$6),ROW()-5,4),"")</f>
        <v/>
      </c>
      <c r="L140" s="290"/>
      <c r="U140">
        <f>IF(OR($A140="",$F140=""),0,MAX(0,MIN($F140,SUMIFS($F$6:$F140,$B$6:$B140,$B140)-(SUMIFS($G$6:$G$355,$B$6:$B$355,$B140)+SUMIFS($H$6:$H$355,$B$6:$B$355,$B140)+SUMIFS($I$6:$I$355,$B$6:$B$355,$B140)))))</f>
        <v>0</v>
      </c>
      <c r="AD140" s="468"/>
      <c r="AE140" s="342"/>
      <c r="AF140" s="342"/>
      <c r="AG140" s="342"/>
      <c r="AH140" s="342"/>
      <c r="AI140" s="342"/>
      <c r="AJ140" s="342"/>
      <c r="AK140" s="342"/>
      <c r="AL140" s="342"/>
      <c r="AM140" s="342"/>
      <c r="AN140" s="342"/>
      <c r="AO140" s="342"/>
      <c r="AP140" s="342"/>
      <c r="AQ140" s="342"/>
      <c r="AR140" s="342"/>
      <c r="AS140" s="342"/>
      <c r="AT140" s="342"/>
      <c r="AU140" s="342"/>
      <c r="AV140" s="342"/>
      <c r="AW140" s="342"/>
      <c r="AX140" s="342"/>
      <c r="AY140" s="342"/>
      <c r="AZ140" s="342"/>
      <c r="BA140" s="342"/>
      <c r="BB140" s="342"/>
      <c r="BC140" s="342"/>
      <c r="BD140" s="342"/>
      <c r="BE140" s="342"/>
      <c r="BF140" s="342"/>
      <c r="BG140" s="342"/>
      <c r="BH140" s="342"/>
      <c r="BI140" s="342"/>
      <c r="BJ140" s="342"/>
      <c r="BK140" s="342"/>
      <c r="BL140" s="342"/>
    </row>
    <row r="141" spans="1:64" ht="23" x14ac:dyDescent="0.25">
      <c r="A141" s="217" t="str" cm="1">
        <f t="array" ref="A141">IFERROR(INDEX(_xlfn.ANCHORARRAY($Q$6),ROW()-5,1),"")</f>
        <v/>
      </c>
      <c r="B141" s="288" t="str" cm="1">
        <f t="array" ref="B141">IFERROR(INDEX(_xlfn.ANCHORARRAY($Q$6),ROW()-5,2),"")</f>
        <v/>
      </c>
      <c r="C141" s="289" t="str" cm="1">
        <f t="array" ref="C141">IFERROR(INDEX(_xlfn.ANCHORARRAY($Q$6),ROW()-5,3),"")</f>
        <v/>
      </c>
      <c r="D141" s="218" t="str">
        <f>IF($A141="","",IF($K141="DIESEL",SUMIFS(Table1[Quantity],Table1[Customer],$B141,Table1[Date],$A141,Table1[Bill No.],$C141),IF($K141="PETROL",SUMIFS(Table14[Quantity],Table14[Customer],$B141,Table14[Date],$A141,Table14[Bill No.],$C141),IF($K141="XtraGreen",SUMIFS(Table146[Quantity],Table146[Company],$B141,Table146[Date],$A141,Table146[Bill No.],$C141),""))))</f>
        <v/>
      </c>
      <c r="E141" s="219" t="str">
        <f>IF($A141="","",IF($K141="DIESEL",AVERAGEIFS(Table1[RSP],Table1[Customer],$B141,Table1[Date],$A141,Table1[Bill No.],$C141),IF($K141="PETROL",AVERAGEIFS(Table14[RSP],Table14[Customer],$B141,Table14[Date],$A141,Table14[Bill No.],$C141),IF($K141="XtraGreen",AVERAGEIFS(Table146[RSP],Table146[Company],$B141,Table146[Date],$A141,Table146[Bill No.],$C141),IFERROR($F141/$D141,"")))))</f>
        <v/>
      </c>
      <c r="F141" s="330" t="str">
        <f>IF($A141="","",IF($K141="DIESEL",SUMIFS(Table1[Amount],Table1[Customer],$B141,Table1[Date],$A141,Table1[Bill No.],$C141),IF($K141="PETROL",SUMIFS(Table14[Amount],Table14[Customer],$B141,Table14[Date],$A141,Table14[Bill No.],$C141),IF($K141="XtraGreen",SUMIFS(Table146[Amount],Table146[Company],$B141,Table146[Date],$A141,Table146[Bill No.],$C141),SUMIFS('Other Sale'!$D:$D,'Other Sale'!$E:$E,$B141,'Other Sale'!$C:$C,$K141,'Other Sale'!$A:$A,$A141)))))</f>
        <v/>
      </c>
      <c r="G141" s="330" t="str" cm="1">
        <f t="array" ref="G141">IF($A141="","",IF($K141="Payment",IFERROR(INDEX(_xlfn._xlws.FILTER(MasterPaid[Amount Paid],(MasterPaid[Customer]=$B141)*(MasterPaid[Date]=$A141)),COUNTIFS($A$6:$A141,$A141,$B$6:$B141,$B141,$K$6:$K141,"Payment")),0),0))</f>
        <v/>
      </c>
      <c r="H141" s="331"/>
      <c r="I141" s="331"/>
      <c r="J141" s="330" t="str">
        <f t="shared" si="2"/>
        <v/>
      </c>
      <c r="K141" s="289" t="str" cm="1">
        <f t="array" ref="K141">IFERROR(INDEX(_xlfn.ANCHORARRAY($Q$6),ROW()-5,4),"")</f>
        <v/>
      </c>
      <c r="L141" s="290"/>
      <c r="U141">
        <f>IF(OR($A141="",$F141=""),0,MAX(0,MIN($F141,SUMIFS($F$6:$F141,$B$6:$B141,$B141)-(SUMIFS($G$6:$G$355,$B$6:$B$355,$B141)+SUMIFS($H$6:$H$355,$B$6:$B$355,$B141)+SUMIFS($I$6:$I$355,$B$6:$B$355,$B141)))))</f>
        <v>0</v>
      </c>
      <c r="AD141" s="468"/>
      <c r="AE141" s="342"/>
      <c r="AF141" s="342"/>
      <c r="AG141" s="342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  <c r="AS141" s="342"/>
      <c r="AT141" s="342"/>
      <c r="AU141" s="342"/>
      <c r="AV141" s="342"/>
      <c r="AW141" s="342"/>
      <c r="AX141" s="342"/>
      <c r="AY141" s="342"/>
      <c r="AZ141" s="342"/>
      <c r="BA141" s="342"/>
      <c r="BB141" s="342"/>
      <c r="BC141" s="342"/>
      <c r="BD141" s="342"/>
      <c r="BE141" s="342"/>
      <c r="BF141" s="342"/>
      <c r="BG141" s="342"/>
      <c r="BH141" s="342"/>
      <c r="BI141" s="342"/>
      <c r="BJ141" s="342"/>
      <c r="BK141" s="342"/>
      <c r="BL141" s="342"/>
    </row>
    <row r="142" spans="1:64" ht="23" x14ac:dyDescent="0.25">
      <c r="A142" s="217" t="str" cm="1">
        <f t="array" ref="A142">IFERROR(INDEX(_xlfn.ANCHORARRAY($Q$6),ROW()-5,1),"")</f>
        <v/>
      </c>
      <c r="B142" s="288" t="str" cm="1">
        <f t="array" ref="B142">IFERROR(INDEX(_xlfn.ANCHORARRAY($Q$6),ROW()-5,2),"")</f>
        <v/>
      </c>
      <c r="C142" s="289" t="str" cm="1">
        <f t="array" ref="C142">IFERROR(INDEX(_xlfn.ANCHORARRAY($Q$6),ROW()-5,3),"")</f>
        <v/>
      </c>
      <c r="D142" s="218" t="str">
        <f>IF($A142="","",IF($K142="DIESEL",SUMIFS(Table1[Quantity],Table1[Customer],$B142,Table1[Date],$A142,Table1[Bill No.],$C142),IF($K142="PETROL",SUMIFS(Table14[Quantity],Table14[Customer],$B142,Table14[Date],$A142,Table14[Bill No.],$C142),IF($K142="XtraGreen",SUMIFS(Table146[Quantity],Table146[Company],$B142,Table146[Date],$A142,Table146[Bill No.],$C142),""))))</f>
        <v/>
      </c>
      <c r="E142" s="219" t="str">
        <f>IF($A142="","",IF($K142="DIESEL",AVERAGEIFS(Table1[RSP],Table1[Customer],$B142,Table1[Date],$A142,Table1[Bill No.],$C142),IF($K142="PETROL",AVERAGEIFS(Table14[RSP],Table14[Customer],$B142,Table14[Date],$A142,Table14[Bill No.],$C142),IF($K142="XtraGreen",AVERAGEIFS(Table146[RSP],Table146[Company],$B142,Table146[Date],$A142,Table146[Bill No.],$C142),IFERROR($F142/$D142,"")))))</f>
        <v/>
      </c>
      <c r="F142" s="330" t="str">
        <f>IF($A142="","",IF($K142="DIESEL",SUMIFS(Table1[Amount],Table1[Customer],$B142,Table1[Date],$A142,Table1[Bill No.],$C142),IF($K142="PETROL",SUMIFS(Table14[Amount],Table14[Customer],$B142,Table14[Date],$A142,Table14[Bill No.],$C142),IF($K142="XtraGreen",SUMIFS(Table146[Amount],Table146[Company],$B142,Table146[Date],$A142,Table146[Bill No.],$C142),SUMIFS('Other Sale'!$D:$D,'Other Sale'!$E:$E,$B142,'Other Sale'!$C:$C,$K142,'Other Sale'!$A:$A,$A142)))))</f>
        <v/>
      </c>
      <c r="G142" s="330" t="str" cm="1">
        <f t="array" ref="G142">IF($A142="","",IF($K142="Payment",IFERROR(INDEX(_xlfn._xlws.FILTER(MasterPaid[Amount Paid],(MasterPaid[Customer]=$B142)*(MasterPaid[Date]=$A142)),COUNTIFS($A$6:$A142,$A142,$B$6:$B142,$B142,$K$6:$K142,"Payment")),0),0))</f>
        <v/>
      </c>
      <c r="H142" s="331"/>
      <c r="I142" s="331"/>
      <c r="J142" s="330" t="str">
        <f t="shared" si="2"/>
        <v/>
      </c>
      <c r="K142" s="289" t="str" cm="1">
        <f t="array" ref="K142">IFERROR(INDEX(_xlfn.ANCHORARRAY($Q$6),ROW()-5,4),"")</f>
        <v/>
      </c>
      <c r="L142" s="290"/>
      <c r="U142">
        <f>IF(OR($A142="",$F142=""),0,MAX(0,MIN($F142,SUMIFS($F$6:$F142,$B$6:$B142,$B142)-(SUMIFS($G$6:$G$355,$B$6:$B$355,$B142)+SUMIFS($H$6:$H$355,$B$6:$B$355,$B142)+SUMIFS($I$6:$I$355,$B$6:$B$355,$B142)))))</f>
        <v>0</v>
      </c>
      <c r="AD142" s="468"/>
      <c r="AE142" s="342"/>
      <c r="AF142" s="342"/>
      <c r="AG142" s="342"/>
      <c r="AH142" s="342"/>
      <c r="AI142" s="342"/>
      <c r="AJ142" s="342"/>
      <c r="AK142" s="342"/>
      <c r="AL142" s="342"/>
      <c r="AM142" s="342"/>
      <c r="AN142" s="342"/>
      <c r="AO142" s="342"/>
      <c r="AP142" s="342"/>
      <c r="AQ142" s="342"/>
      <c r="AR142" s="342"/>
      <c r="AS142" s="342"/>
      <c r="AT142" s="342"/>
      <c r="AU142" s="342"/>
      <c r="AV142" s="342"/>
      <c r="AW142" s="342"/>
      <c r="AX142" s="342"/>
      <c r="AY142" s="342"/>
      <c r="AZ142" s="342"/>
      <c r="BA142" s="342"/>
      <c r="BB142" s="342"/>
      <c r="BC142" s="342"/>
      <c r="BD142" s="342"/>
      <c r="BE142" s="342"/>
      <c r="BF142" s="342"/>
      <c r="BG142" s="342"/>
      <c r="BH142" s="342"/>
      <c r="BI142" s="342"/>
      <c r="BJ142" s="342"/>
      <c r="BK142" s="342"/>
      <c r="BL142" s="342"/>
    </row>
    <row r="143" spans="1:64" ht="23" x14ac:dyDescent="0.25">
      <c r="A143" s="217" t="str" cm="1">
        <f t="array" ref="A143">IFERROR(INDEX(_xlfn.ANCHORARRAY($Q$6),ROW()-5,1),"")</f>
        <v/>
      </c>
      <c r="B143" s="288" t="str" cm="1">
        <f t="array" ref="B143">IFERROR(INDEX(_xlfn.ANCHORARRAY($Q$6),ROW()-5,2),"")</f>
        <v/>
      </c>
      <c r="C143" s="289" t="str" cm="1">
        <f t="array" ref="C143">IFERROR(INDEX(_xlfn.ANCHORARRAY($Q$6),ROW()-5,3),"")</f>
        <v/>
      </c>
      <c r="D143" s="218" t="str">
        <f>IF($A143="","",IF($K143="DIESEL",SUMIFS(Table1[Quantity],Table1[Customer],$B143,Table1[Date],$A143,Table1[Bill No.],$C143),IF($K143="PETROL",SUMIFS(Table14[Quantity],Table14[Customer],$B143,Table14[Date],$A143,Table14[Bill No.],$C143),IF($K143="XtraGreen",SUMIFS(Table146[Quantity],Table146[Company],$B143,Table146[Date],$A143,Table146[Bill No.],$C143),""))))</f>
        <v/>
      </c>
      <c r="E143" s="219" t="str">
        <f>IF($A143="","",IF($K143="DIESEL",AVERAGEIFS(Table1[RSP],Table1[Customer],$B143,Table1[Date],$A143,Table1[Bill No.],$C143),IF($K143="PETROL",AVERAGEIFS(Table14[RSP],Table14[Customer],$B143,Table14[Date],$A143,Table14[Bill No.],$C143),IF($K143="XtraGreen",AVERAGEIFS(Table146[RSP],Table146[Company],$B143,Table146[Date],$A143,Table146[Bill No.],$C143),IFERROR($F143/$D143,"")))))</f>
        <v/>
      </c>
      <c r="F143" s="330" t="str">
        <f>IF($A143="","",IF($K143="DIESEL",SUMIFS(Table1[Amount],Table1[Customer],$B143,Table1[Date],$A143,Table1[Bill No.],$C143),IF($K143="PETROL",SUMIFS(Table14[Amount],Table14[Customer],$B143,Table14[Date],$A143,Table14[Bill No.],$C143),IF($K143="XtraGreen",SUMIFS(Table146[Amount],Table146[Company],$B143,Table146[Date],$A143,Table146[Bill No.],$C143),SUMIFS('Other Sale'!$D:$D,'Other Sale'!$E:$E,$B143,'Other Sale'!$C:$C,$K143,'Other Sale'!$A:$A,$A143)))))</f>
        <v/>
      </c>
      <c r="G143" s="330" t="str" cm="1">
        <f t="array" ref="G143">IF($A143="","",IF($K143="Payment",IFERROR(INDEX(_xlfn._xlws.FILTER(MasterPaid[Amount Paid],(MasterPaid[Customer]=$B143)*(MasterPaid[Date]=$A143)),COUNTIFS($A$6:$A143,$A143,$B$6:$B143,$B143,$K$6:$K143,"Payment")),0),0))</f>
        <v/>
      </c>
      <c r="H143" s="331"/>
      <c r="I143" s="331"/>
      <c r="J143" s="330" t="str">
        <f t="shared" si="2"/>
        <v/>
      </c>
      <c r="K143" s="289" t="str" cm="1">
        <f t="array" ref="K143">IFERROR(INDEX(_xlfn.ANCHORARRAY($Q$6),ROW()-5,4),"")</f>
        <v/>
      </c>
      <c r="L143" s="290"/>
      <c r="U143">
        <f>IF(OR($A143="",$F143=""),0,MAX(0,MIN($F143,SUMIFS($F$6:$F143,$B$6:$B143,$B143)-(SUMIFS($G$6:$G$355,$B$6:$B$355,$B143)+SUMIFS($H$6:$H$355,$B$6:$B$355,$B143)+SUMIFS($I$6:$I$355,$B$6:$B$355,$B143)))))</f>
        <v>0</v>
      </c>
      <c r="AD143" s="468"/>
      <c r="AE143" s="342"/>
      <c r="AF143" s="342"/>
      <c r="AG143" s="342"/>
      <c r="AH143" s="342"/>
      <c r="AI143" s="342"/>
      <c r="AJ143" s="342"/>
      <c r="AK143" s="342"/>
      <c r="AL143" s="342"/>
      <c r="AM143" s="342"/>
      <c r="AN143" s="342"/>
      <c r="AO143" s="342"/>
      <c r="AP143" s="342"/>
      <c r="AQ143" s="342"/>
      <c r="AR143" s="342"/>
      <c r="AS143" s="342"/>
      <c r="AT143" s="342"/>
      <c r="AU143" s="342"/>
      <c r="AV143" s="342"/>
      <c r="AW143" s="342"/>
      <c r="AX143" s="342"/>
      <c r="AY143" s="342"/>
      <c r="AZ143" s="342"/>
      <c r="BA143" s="342"/>
      <c r="BB143" s="342"/>
      <c r="BC143" s="342"/>
      <c r="BD143" s="342"/>
      <c r="BE143" s="342"/>
      <c r="BF143" s="342"/>
      <c r="BG143" s="342"/>
      <c r="BH143" s="342"/>
      <c r="BI143" s="342"/>
      <c r="BJ143" s="342"/>
      <c r="BK143" s="342"/>
      <c r="BL143" s="342"/>
    </row>
    <row r="144" spans="1:64" ht="23" x14ac:dyDescent="0.25">
      <c r="A144" s="217" t="str" cm="1">
        <f t="array" ref="A144">IFERROR(INDEX(_xlfn.ANCHORARRAY($Q$6),ROW()-5,1),"")</f>
        <v/>
      </c>
      <c r="B144" s="288" t="str" cm="1">
        <f t="array" ref="B144">IFERROR(INDEX(_xlfn.ANCHORARRAY($Q$6),ROW()-5,2),"")</f>
        <v/>
      </c>
      <c r="C144" s="289" t="str" cm="1">
        <f t="array" ref="C144">IFERROR(INDEX(_xlfn.ANCHORARRAY($Q$6),ROW()-5,3),"")</f>
        <v/>
      </c>
      <c r="D144" s="218" t="str">
        <f>IF($A144="","",IF($K144="DIESEL",SUMIFS(Table1[Quantity],Table1[Customer],$B144,Table1[Date],$A144,Table1[Bill No.],$C144),IF($K144="PETROL",SUMIFS(Table14[Quantity],Table14[Customer],$B144,Table14[Date],$A144,Table14[Bill No.],$C144),IF($K144="XtraGreen",SUMIFS(Table146[Quantity],Table146[Company],$B144,Table146[Date],$A144,Table146[Bill No.],$C144),""))))</f>
        <v/>
      </c>
      <c r="E144" s="219" t="str">
        <f>IF($A144="","",IF($K144="DIESEL",AVERAGEIFS(Table1[RSP],Table1[Customer],$B144,Table1[Date],$A144,Table1[Bill No.],$C144),IF($K144="PETROL",AVERAGEIFS(Table14[RSP],Table14[Customer],$B144,Table14[Date],$A144,Table14[Bill No.],$C144),IF($K144="XtraGreen",AVERAGEIFS(Table146[RSP],Table146[Company],$B144,Table146[Date],$A144,Table146[Bill No.],$C144),IFERROR($F144/$D144,"")))))</f>
        <v/>
      </c>
      <c r="F144" s="330" t="str">
        <f>IF($A144="","",IF($K144="DIESEL",SUMIFS(Table1[Amount],Table1[Customer],$B144,Table1[Date],$A144,Table1[Bill No.],$C144),IF($K144="PETROL",SUMIFS(Table14[Amount],Table14[Customer],$B144,Table14[Date],$A144,Table14[Bill No.],$C144),IF($K144="XtraGreen",SUMIFS(Table146[Amount],Table146[Company],$B144,Table146[Date],$A144,Table146[Bill No.],$C144),SUMIFS('Other Sale'!$D:$D,'Other Sale'!$E:$E,$B144,'Other Sale'!$C:$C,$K144,'Other Sale'!$A:$A,$A144)))))</f>
        <v/>
      </c>
      <c r="G144" s="330" t="str" cm="1">
        <f t="array" ref="G144">IF($A144="","",IF($K144="Payment",IFERROR(INDEX(_xlfn._xlws.FILTER(MasterPaid[Amount Paid],(MasterPaid[Customer]=$B144)*(MasterPaid[Date]=$A144)),COUNTIFS($A$6:$A144,$A144,$B$6:$B144,$B144,$K$6:$K144,"Payment")),0),0))</f>
        <v/>
      </c>
      <c r="H144" s="331"/>
      <c r="I144" s="331"/>
      <c r="J144" s="330" t="str">
        <f t="shared" si="2"/>
        <v/>
      </c>
      <c r="K144" s="289" t="str" cm="1">
        <f t="array" ref="K144">IFERROR(INDEX(_xlfn.ANCHORARRAY($Q$6),ROW()-5,4),"")</f>
        <v/>
      </c>
      <c r="L144" s="290"/>
      <c r="U144">
        <f>IF(OR($A144="",$F144=""),0,MAX(0,MIN($F144,SUMIFS($F$6:$F144,$B$6:$B144,$B144)-(SUMIFS($G$6:$G$355,$B$6:$B$355,$B144)+SUMIFS($H$6:$H$355,$B$6:$B$355,$B144)+SUMIFS($I$6:$I$355,$B$6:$B$355,$B144)))))</f>
        <v>0</v>
      </c>
      <c r="AD144" s="468"/>
      <c r="AE144" s="342"/>
      <c r="AF144" s="342"/>
      <c r="AG144" s="342"/>
      <c r="AH144" s="342"/>
      <c r="AI144" s="342"/>
      <c r="AJ144" s="342"/>
      <c r="AK144" s="342"/>
      <c r="AL144" s="342"/>
      <c r="AM144" s="342"/>
      <c r="AN144" s="342"/>
      <c r="AO144" s="342"/>
      <c r="AP144" s="342"/>
      <c r="AQ144" s="342"/>
      <c r="AR144" s="342"/>
      <c r="AS144" s="342"/>
      <c r="AT144" s="342"/>
      <c r="AU144" s="342"/>
      <c r="AV144" s="342"/>
      <c r="AW144" s="342"/>
      <c r="AX144" s="342"/>
      <c r="AY144" s="342"/>
      <c r="AZ144" s="342"/>
      <c r="BA144" s="342"/>
      <c r="BB144" s="342"/>
      <c r="BC144" s="342"/>
      <c r="BD144" s="342"/>
      <c r="BE144" s="342"/>
      <c r="BF144" s="342"/>
      <c r="BG144" s="342"/>
      <c r="BH144" s="342"/>
      <c r="BI144" s="342"/>
      <c r="BJ144" s="342"/>
      <c r="BK144" s="342"/>
      <c r="BL144" s="342"/>
    </row>
    <row r="145" spans="1:64" ht="23" x14ac:dyDescent="0.25">
      <c r="A145" s="217" t="str" cm="1">
        <f t="array" ref="A145">IFERROR(INDEX(_xlfn.ANCHORARRAY($Q$6),ROW()-5,1),"")</f>
        <v/>
      </c>
      <c r="B145" s="288" t="str" cm="1">
        <f t="array" ref="B145">IFERROR(INDEX(_xlfn.ANCHORARRAY($Q$6),ROW()-5,2),"")</f>
        <v/>
      </c>
      <c r="C145" s="289" t="str" cm="1">
        <f t="array" ref="C145">IFERROR(INDEX(_xlfn.ANCHORARRAY($Q$6),ROW()-5,3),"")</f>
        <v/>
      </c>
      <c r="D145" s="218" t="str">
        <f>IF($A145="","",IF($K145="DIESEL",SUMIFS(Table1[Quantity],Table1[Customer],$B145,Table1[Date],$A145,Table1[Bill No.],$C145),IF($K145="PETROL",SUMIFS(Table14[Quantity],Table14[Customer],$B145,Table14[Date],$A145,Table14[Bill No.],$C145),IF($K145="XtraGreen",SUMIFS(Table146[Quantity],Table146[Company],$B145,Table146[Date],$A145,Table146[Bill No.],$C145),""))))</f>
        <v/>
      </c>
      <c r="E145" s="219" t="str">
        <f>IF($A145="","",IF($K145="DIESEL",AVERAGEIFS(Table1[RSP],Table1[Customer],$B145,Table1[Date],$A145,Table1[Bill No.],$C145),IF($K145="PETROL",AVERAGEIFS(Table14[RSP],Table14[Customer],$B145,Table14[Date],$A145,Table14[Bill No.],$C145),IF($K145="XtraGreen",AVERAGEIFS(Table146[RSP],Table146[Company],$B145,Table146[Date],$A145,Table146[Bill No.],$C145),IFERROR($F145/$D145,"")))))</f>
        <v/>
      </c>
      <c r="F145" s="330" t="str">
        <f>IF($A145="","",IF($K145="DIESEL",SUMIFS(Table1[Amount],Table1[Customer],$B145,Table1[Date],$A145,Table1[Bill No.],$C145),IF($K145="PETROL",SUMIFS(Table14[Amount],Table14[Customer],$B145,Table14[Date],$A145,Table14[Bill No.],$C145),IF($K145="XtraGreen",SUMIFS(Table146[Amount],Table146[Company],$B145,Table146[Date],$A145,Table146[Bill No.],$C145),SUMIFS('Other Sale'!$D:$D,'Other Sale'!$E:$E,$B145,'Other Sale'!$C:$C,$K145,'Other Sale'!$A:$A,$A145)))))</f>
        <v/>
      </c>
      <c r="G145" s="330" t="str" cm="1">
        <f t="array" ref="G145">IF($A145="","",IF($K145="Payment",IFERROR(INDEX(_xlfn._xlws.FILTER(MasterPaid[Amount Paid],(MasterPaid[Customer]=$B145)*(MasterPaid[Date]=$A145)),COUNTIFS($A$6:$A145,$A145,$B$6:$B145,$B145,$K$6:$K145,"Payment")),0),0))</f>
        <v/>
      </c>
      <c r="H145" s="331"/>
      <c r="I145" s="331"/>
      <c r="J145" s="330" t="str">
        <f t="shared" si="2"/>
        <v/>
      </c>
      <c r="K145" s="289" t="str" cm="1">
        <f t="array" ref="K145">IFERROR(INDEX(_xlfn.ANCHORARRAY($Q$6),ROW()-5,4),"")</f>
        <v/>
      </c>
      <c r="L145" s="290"/>
      <c r="U145">
        <f>IF(OR($A145="",$F145=""),0,MAX(0,MIN($F145,SUMIFS($F$6:$F145,$B$6:$B145,$B145)-(SUMIFS($G$6:$G$355,$B$6:$B$355,$B145)+SUMIFS($H$6:$H$355,$B$6:$B$355,$B145)+SUMIFS($I$6:$I$355,$B$6:$B$355,$B145)))))</f>
        <v>0</v>
      </c>
      <c r="AD145" s="468"/>
      <c r="AE145" s="342"/>
      <c r="AF145" s="342"/>
      <c r="AG145" s="342"/>
      <c r="AH145" s="342"/>
      <c r="AI145" s="342"/>
      <c r="AJ145" s="342"/>
      <c r="AK145" s="342"/>
      <c r="AL145" s="342"/>
      <c r="AM145" s="342"/>
      <c r="AN145" s="342"/>
      <c r="AO145" s="342"/>
      <c r="AP145" s="342"/>
      <c r="AQ145" s="342"/>
      <c r="AR145" s="342"/>
      <c r="AS145" s="342"/>
      <c r="AT145" s="342"/>
      <c r="AU145" s="342"/>
      <c r="AV145" s="342"/>
      <c r="AW145" s="342"/>
      <c r="AX145" s="342"/>
      <c r="AY145" s="342"/>
      <c r="AZ145" s="342"/>
      <c r="BA145" s="342"/>
      <c r="BB145" s="342"/>
      <c r="BC145" s="342"/>
      <c r="BD145" s="342"/>
      <c r="BE145" s="342"/>
      <c r="BF145" s="342"/>
      <c r="BG145" s="342"/>
      <c r="BH145" s="342"/>
      <c r="BI145" s="342"/>
      <c r="BJ145" s="342"/>
      <c r="BK145" s="342"/>
      <c r="BL145" s="342"/>
    </row>
    <row r="146" spans="1:64" ht="23" x14ac:dyDescent="0.25">
      <c r="A146" s="217" t="str" cm="1">
        <f t="array" ref="A146">IFERROR(INDEX(_xlfn.ANCHORARRAY($Q$6),ROW()-5,1),"")</f>
        <v/>
      </c>
      <c r="B146" s="288" t="str" cm="1">
        <f t="array" ref="B146">IFERROR(INDEX(_xlfn.ANCHORARRAY($Q$6),ROW()-5,2),"")</f>
        <v/>
      </c>
      <c r="C146" s="289" t="str" cm="1">
        <f t="array" ref="C146">IFERROR(INDEX(_xlfn.ANCHORARRAY($Q$6),ROW()-5,3),"")</f>
        <v/>
      </c>
      <c r="D146" s="218" t="str">
        <f>IF($A146="","",IF($K146="DIESEL",SUMIFS(Table1[Quantity],Table1[Customer],$B146,Table1[Date],$A146,Table1[Bill No.],$C146),IF($K146="PETROL",SUMIFS(Table14[Quantity],Table14[Customer],$B146,Table14[Date],$A146,Table14[Bill No.],$C146),IF($K146="XtraGreen",SUMIFS(Table146[Quantity],Table146[Company],$B146,Table146[Date],$A146,Table146[Bill No.],$C146),""))))</f>
        <v/>
      </c>
      <c r="E146" s="219" t="str">
        <f>IF($A146="","",IF($K146="DIESEL",AVERAGEIFS(Table1[RSP],Table1[Customer],$B146,Table1[Date],$A146,Table1[Bill No.],$C146),IF($K146="PETROL",AVERAGEIFS(Table14[RSP],Table14[Customer],$B146,Table14[Date],$A146,Table14[Bill No.],$C146),IF($K146="XtraGreen",AVERAGEIFS(Table146[RSP],Table146[Company],$B146,Table146[Date],$A146,Table146[Bill No.],$C146),IFERROR($F146/$D146,"")))))</f>
        <v/>
      </c>
      <c r="F146" s="330" t="str">
        <f>IF($A146="","",IF($K146="DIESEL",SUMIFS(Table1[Amount],Table1[Customer],$B146,Table1[Date],$A146,Table1[Bill No.],$C146),IF($K146="PETROL",SUMIFS(Table14[Amount],Table14[Customer],$B146,Table14[Date],$A146,Table14[Bill No.],$C146),IF($K146="XtraGreen",SUMIFS(Table146[Amount],Table146[Company],$B146,Table146[Date],$A146,Table146[Bill No.],$C146),SUMIFS('Other Sale'!$D:$D,'Other Sale'!$E:$E,$B146,'Other Sale'!$C:$C,$K146,'Other Sale'!$A:$A,$A146)))))</f>
        <v/>
      </c>
      <c r="G146" s="330" t="str" cm="1">
        <f t="array" ref="G146">IF($A146="","",IF($K146="Payment",IFERROR(INDEX(_xlfn._xlws.FILTER(MasterPaid[Amount Paid],(MasterPaid[Customer]=$B146)*(MasterPaid[Date]=$A146)),COUNTIFS($A$6:$A146,$A146,$B$6:$B146,$B146,$K$6:$K146,"Payment")),0),0))</f>
        <v/>
      </c>
      <c r="H146" s="331"/>
      <c r="I146" s="331"/>
      <c r="J146" s="330" t="str">
        <f t="shared" si="2"/>
        <v/>
      </c>
      <c r="K146" s="289" t="str" cm="1">
        <f t="array" ref="K146">IFERROR(INDEX(_xlfn.ANCHORARRAY($Q$6),ROW()-5,4),"")</f>
        <v/>
      </c>
      <c r="L146" s="290"/>
      <c r="U146">
        <f>IF(OR($A146="",$F146=""),0,MAX(0,MIN($F146,SUMIFS($F$6:$F146,$B$6:$B146,$B146)-(SUMIFS($G$6:$G$355,$B$6:$B$355,$B146)+SUMIFS($H$6:$H$355,$B$6:$B$355,$B146)+SUMIFS($I$6:$I$355,$B$6:$B$355,$B146)))))</f>
        <v>0</v>
      </c>
      <c r="AD146" s="468"/>
      <c r="AE146" s="342"/>
      <c r="AF146" s="342"/>
      <c r="AG146" s="342"/>
      <c r="AH146" s="342"/>
      <c r="AI146" s="342"/>
      <c r="AJ146" s="342"/>
      <c r="AK146" s="342"/>
      <c r="AL146" s="342"/>
      <c r="AM146" s="342"/>
      <c r="AN146" s="342"/>
      <c r="AO146" s="342"/>
      <c r="AP146" s="342"/>
      <c r="AQ146" s="342"/>
      <c r="AR146" s="342"/>
      <c r="AS146" s="342"/>
      <c r="AT146" s="342"/>
      <c r="AU146" s="342"/>
      <c r="AV146" s="342"/>
      <c r="AW146" s="342"/>
      <c r="AX146" s="342"/>
      <c r="AY146" s="342"/>
      <c r="AZ146" s="342"/>
      <c r="BA146" s="342"/>
      <c r="BB146" s="342"/>
      <c r="BC146" s="342"/>
      <c r="BD146" s="342"/>
      <c r="BE146" s="342"/>
      <c r="BF146" s="342"/>
      <c r="BG146" s="342"/>
      <c r="BH146" s="342"/>
      <c r="BI146" s="342"/>
      <c r="BJ146" s="342"/>
      <c r="BK146" s="342"/>
      <c r="BL146" s="342"/>
    </row>
    <row r="147" spans="1:64" ht="23" x14ac:dyDescent="0.25">
      <c r="A147" s="217" t="str" cm="1">
        <f t="array" ref="A147">IFERROR(INDEX(_xlfn.ANCHORARRAY($Q$6),ROW()-5,1),"")</f>
        <v/>
      </c>
      <c r="B147" s="288" t="str" cm="1">
        <f t="array" ref="B147">IFERROR(INDEX(_xlfn.ANCHORARRAY($Q$6),ROW()-5,2),"")</f>
        <v/>
      </c>
      <c r="C147" s="289" t="str" cm="1">
        <f t="array" ref="C147">IFERROR(INDEX(_xlfn.ANCHORARRAY($Q$6),ROW()-5,3),"")</f>
        <v/>
      </c>
      <c r="D147" s="218" t="str">
        <f>IF($A147="","",IF($K147="DIESEL",SUMIFS(Table1[Quantity],Table1[Customer],$B147,Table1[Date],$A147,Table1[Bill No.],$C147),IF($K147="PETROL",SUMIFS(Table14[Quantity],Table14[Customer],$B147,Table14[Date],$A147,Table14[Bill No.],$C147),IF($K147="XtraGreen",SUMIFS(Table146[Quantity],Table146[Company],$B147,Table146[Date],$A147,Table146[Bill No.],$C147),""))))</f>
        <v/>
      </c>
      <c r="E147" s="219" t="str">
        <f>IF($A147="","",IF($K147="DIESEL",AVERAGEIFS(Table1[RSP],Table1[Customer],$B147,Table1[Date],$A147,Table1[Bill No.],$C147),IF($K147="PETROL",AVERAGEIFS(Table14[RSP],Table14[Customer],$B147,Table14[Date],$A147,Table14[Bill No.],$C147),IF($K147="XtraGreen",AVERAGEIFS(Table146[RSP],Table146[Company],$B147,Table146[Date],$A147,Table146[Bill No.],$C147),IFERROR($F147/$D147,"")))))</f>
        <v/>
      </c>
      <c r="F147" s="330" t="str">
        <f>IF($A147="","",IF($K147="DIESEL",SUMIFS(Table1[Amount],Table1[Customer],$B147,Table1[Date],$A147,Table1[Bill No.],$C147),IF($K147="PETROL",SUMIFS(Table14[Amount],Table14[Customer],$B147,Table14[Date],$A147,Table14[Bill No.],$C147),IF($K147="XtraGreen",SUMIFS(Table146[Amount],Table146[Company],$B147,Table146[Date],$A147,Table146[Bill No.],$C147),SUMIFS('Other Sale'!$D:$D,'Other Sale'!$E:$E,$B147,'Other Sale'!$C:$C,$K147,'Other Sale'!$A:$A,$A147)))))</f>
        <v/>
      </c>
      <c r="G147" s="330" t="str" cm="1">
        <f t="array" ref="G147">IF($A147="","",IF($K147="Payment",IFERROR(INDEX(_xlfn._xlws.FILTER(MasterPaid[Amount Paid],(MasterPaid[Customer]=$B147)*(MasterPaid[Date]=$A147)),COUNTIFS($A$6:$A147,$A147,$B$6:$B147,$B147,$K$6:$K147,"Payment")),0),0))</f>
        <v/>
      </c>
      <c r="H147" s="331"/>
      <c r="I147" s="331"/>
      <c r="J147" s="330" t="str">
        <f t="shared" si="2"/>
        <v/>
      </c>
      <c r="K147" s="289" t="str" cm="1">
        <f t="array" ref="K147">IFERROR(INDEX(_xlfn.ANCHORARRAY($Q$6),ROW()-5,4),"")</f>
        <v/>
      </c>
      <c r="L147" s="290"/>
      <c r="U147">
        <f>IF(OR($A147="",$F147=""),0,MAX(0,MIN($F147,SUMIFS($F$6:$F147,$B$6:$B147,$B147)-(SUMIFS($G$6:$G$355,$B$6:$B$355,$B147)+SUMIFS($H$6:$H$355,$B$6:$B$355,$B147)+SUMIFS($I$6:$I$355,$B$6:$B$355,$B147)))))</f>
        <v>0</v>
      </c>
      <c r="AD147" s="468"/>
      <c r="AE147" s="342"/>
      <c r="AF147" s="342"/>
      <c r="AG147" s="342"/>
      <c r="AH147" s="342"/>
      <c r="AI147" s="342"/>
      <c r="AJ147" s="342"/>
      <c r="AK147" s="342"/>
      <c r="AL147" s="342"/>
      <c r="AM147" s="342"/>
      <c r="AN147" s="342"/>
      <c r="AO147" s="342"/>
      <c r="AP147" s="342"/>
      <c r="AQ147" s="342"/>
      <c r="AR147" s="342"/>
      <c r="AS147" s="342"/>
      <c r="AT147" s="342"/>
      <c r="AU147" s="342"/>
      <c r="AV147" s="342"/>
      <c r="AW147" s="342"/>
      <c r="AX147" s="342"/>
      <c r="AY147" s="342"/>
      <c r="AZ147" s="342"/>
      <c r="BA147" s="342"/>
      <c r="BB147" s="342"/>
      <c r="BC147" s="342"/>
      <c r="BD147" s="342"/>
      <c r="BE147" s="342"/>
      <c r="BF147" s="342"/>
      <c r="BG147" s="342"/>
      <c r="BH147" s="342"/>
      <c r="BI147" s="342"/>
      <c r="BJ147" s="342"/>
      <c r="BK147" s="342"/>
      <c r="BL147" s="342"/>
    </row>
    <row r="148" spans="1:64" ht="23" x14ac:dyDescent="0.25">
      <c r="A148" s="217" t="str" cm="1">
        <f t="array" ref="A148">IFERROR(INDEX(_xlfn.ANCHORARRAY($Q$6),ROW()-5,1),"")</f>
        <v/>
      </c>
      <c r="B148" s="288" t="str" cm="1">
        <f t="array" ref="B148">IFERROR(INDEX(_xlfn.ANCHORARRAY($Q$6),ROW()-5,2),"")</f>
        <v/>
      </c>
      <c r="C148" s="289" t="str" cm="1">
        <f t="array" ref="C148">IFERROR(INDEX(_xlfn.ANCHORARRAY($Q$6),ROW()-5,3),"")</f>
        <v/>
      </c>
      <c r="D148" s="218" t="str">
        <f>IF($A148="","",IF($K148="DIESEL",SUMIFS(Table1[Quantity],Table1[Customer],$B148,Table1[Date],$A148,Table1[Bill No.],$C148),IF($K148="PETROL",SUMIFS(Table14[Quantity],Table14[Customer],$B148,Table14[Date],$A148,Table14[Bill No.],$C148),IF($K148="XtraGreen",SUMIFS(Table146[Quantity],Table146[Company],$B148,Table146[Date],$A148,Table146[Bill No.],$C148),""))))</f>
        <v/>
      </c>
      <c r="E148" s="219" t="str">
        <f>IF($A148="","",IF($K148="DIESEL",AVERAGEIFS(Table1[RSP],Table1[Customer],$B148,Table1[Date],$A148,Table1[Bill No.],$C148),IF($K148="PETROL",AVERAGEIFS(Table14[RSP],Table14[Customer],$B148,Table14[Date],$A148,Table14[Bill No.],$C148),IF($K148="XtraGreen",AVERAGEIFS(Table146[RSP],Table146[Company],$B148,Table146[Date],$A148,Table146[Bill No.],$C148),IFERROR($F148/$D148,"")))))</f>
        <v/>
      </c>
      <c r="F148" s="330" t="str">
        <f>IF($A148="","",IF($K148="DIESEL",SUMIFS(Table1[Amount],Table1[Customer],$B148,Table1[Date],$A148,Table1[Bill No.],$C148),IF($K148="PETROL",SUMIFS(Table14[Amount],Table14[Customer],$B148,Table14[Date],$A148,Table14[Bill No.],$C148),IF($K148="XtraGreen",SUMIFS(Table146[Amount],Table146[Company],$B148,Table146[Date],$A148,Table146[Bill No.],$C148),SUMIFS('Other Sale'!$D:$D,'Other Sale'!$E:$E,$B148,'Other Sale'!$C:$C,$K148,'Other Sale'!$A:$A,$A148)))))</f>
        <v/>
      </c>
      <c r="G148" s="330" t="str" cm="1">
        <f t="array" ref="G148">IF($A148="","",IF($K148="Payment",IFERROR(INDEX(_xlfn._xlws.FILTER(MasterPaid[Amount Paid],(MasterPaid[Customer]=$B148)*(MasterPaid[Date]=$A148)),COUNTIFS($A$6:$A148,$A148,$B$6:$B148,$B148,$K$6:$K148,"Payment")),0),0))</f>
        <v/>
      </c>
      <c r="H148" s="331"/>
      <c r="I148" s="331"/>
      <c r="J148" s="330" t="str">
        <f t="shared" si="2"/>
        <v/>
      </c>
      <c r="K148" s="289" t="str" cm="1">
        <f t="array" ref="K148">IFERROR(INDEX(_xlfn.ANCHORARRAY($Q$6),ROW()-5,4),"")</f>
        <v/>
      </c>
      <c r="L148" s="290"/>
      <c r="U148">
        <f>IF(OR($A148="",$F148=""),0,MAX(0,MIN($F148,SUMIFS($F$6:$F148,$B$6:$B148,$B148)-(SUMIFS($G$6:$G$355,$B$6:$B$355,$B148)+SUMIFS($H$6:$H$355,$B$6:$B$355,$B148)+SUMIFS($I$6:$I$355,$B$6:$B$355,$B148)))))</f>
        <v>0</v>
      </c>
      <c r="AD148" s="468"/>
      <c r="AE148" s="342"/>
      <c r="AF148" s="342"/>
      <c r="AG148" s="342"/>
      <c r="AH148" s="342"/>
      <c r="AI148" s="342"/>
      <c r="AJ148" s="342"/>
      <c r="AK148" s="342"/>
      <c r="AL148" s="342"/>
      <c r="AM148" s="342"/>
      <c r="AN148" s="342"/>
      <c r="AO148" s="342"/>
      <c r="AP148" s="342"/>
      <c r="AQ148" s="342"/>
      <c r="AR148" s="342"/>
      <c r="AS148" s="342"/>
      <c r="AT148" s="342"/>
      <c r="AU148" s="342"/>
      <c r="AV148" s="342"/>
      <c r="AW148" s="342"/>
      <c r="AX148" s="342"/>
      <c r="AY148" s="342"/>
      <c r="AZ148" s="342"/>
      <c r="BA148" s="342"/>
      <c r="BB148" s="342"/>
      <c r="BC148" s="342"/>
      <c r="BD148" s="342"/>
      <c r="BE148" s="342"/>
      <c r="BF148" s="342"/>
      <c r="BG148" s="342"/>
      <c r="BH148" s="342"/>
      <c r="BI148" s="342"/>
      <c r="BJ148" s="342"/>
      <c r="BK148" s="342"/>
      <c r="BL148" s="342"/>
    </row>
    <row r="149" spans="1:64" ht="23" x14ac:dyDescent="0.25">
      <c r="A149" s="217" t="str" cm="1">
        <f t="array" ref="A149">IFERROR(INDEX(_xlfn.ANCHORARRAY($Q$6),ROW()-5,1),"")</f>
        <v/>
      </c>
      <c r="B149" s="288" t="str" cm="1">
        <f t="array" ref="B149">IFERROR(INDEX(_xlfn.ANCHORARRAY($Q$6),ROW()-5,2),"")</f>
        <v/>
      </c>
      <c r="C149" s="289" t="str" cm="1">
        <f t="array" ref="C149">IFERROR(INDEX(_xlfn.ANCHORARRAY($Q$6),ROW()-5,3),"")</f>
        <v/>
      </c>
      <c r="D149" s="218" t="str">
        <f>IF($A149="","",IF($K149="DIESEL",SUMIFS(Table1[Quantity],Table1[Customer],$B149,Table1[Date],$A149,Table1[Bill No.],$C149),IF($K149="PETROL",SUMIFS(Table14[Quantity],Table14[Customer],$B149,Table14[Date],$A149,Table14[Bill No.],$C149),IF($K149="XtraGreen",SUMIFS(Table146[Quantity],Table146[Company],$B149,Table146[Date],$A149,Table146[Bill No.],$C149),""))))</f>
        <v/>
      </c>
      <c r="E149" s="219" t="str">
        <f>IF($A149="","",IF($K149="DIESEL",AVERAGEIFS(Table1[RSP],Table1[Customer],$B149,Table1[Date],$A149,Table1[Bill No.],$C149),IF($K149="PETROL",AVERAGEIFS(Table14[RSP],Table14[Customer],$B149,Table14[Date],$A149,Table14[Bill No.],$C149),IF($K149="XtraGreen",AVERAGEIFS(Table146[RSP],Table146[Company],$B149,Table146[Date],$A149,Table146[Bill No.],$C149),IFERROR($F149/$D149,"")))))</f>
        <v/>
      </c>
      <c r="F149" s="330" t="str">
        <f>IF($A149="","",IF($K149="DIESEL",SUMIFS(Table1[Amount],Table1[Customer],$B149,Table1[Date],$A149,Table1[Bill No.],$C149),IF($K149="PETROL",SUMIFS(Table14[Amount],Table14[Customer],$B149,Table14[Date],$A149,Table14[Bill No.],$C149),IF($K149="XtraGreen",SUMIFS(Table146[Amount],Table146[Company],$B149,Table146[Date],$A149,Table146[Bill No.],$C149),SUMIFS('Other Sale'!$D:$D,'Other Sale'!$E:$E,$B149,'Other Sale'!$C:$C,$K149,'Other Sale'!$A:$A,$A149)))))</f>
        <v/>
      </c>
      <c r="G149" s="330" t="str" cm="1">
        <f t="array" ref="G149">IF($A149="","",IF($K149="Payment",IFERROR(INDEX(_xlfn._xlws.FILTER(MasterPaid[Amount Paid],(MasterPaid[Customer]=$B149)*(MasterPaid[Date]=$A149)),COUNTIFS($A$6:$A149,$A149,$B$6:$B149,$B149,$K$6:$K149,"Payment")),0),0))</f>
        <v/>
      </c>
      <c r="H149" s="331"/>
      <c r="I149" s="331"/>
      <c r="J149" s="330" t="str">
        <f t="shared" si="2"/>
        <v/>
      </c>
      <c r="K149" s="289" t="str" cm="1">
        <f t="array" ref="K149">IFERROR(INDEX(_xlfn.ANCHORARRAY($Q$6),ROW()-5,4),"")</f>
        <v/>
      </c>
      <c r="L149" s="290"/>
      <c r="U149">
        <f>IF(OR($A149="",$F149=""),0,MAX(0,MIN($F149,SUMIFS($F$6:$F149,$B$6:$B149,$B149)-(SUMIFS($G$6:$G$355,$B$6:$B$355,$B149)+SUMIFS($H$6:$H$355,$B$6:$B$355,$B149)+SUMIFS($I$6:$I$355,$B$6:$B$355,$B149)))))</f>
        <v>0</v>
      </c>
      <c r="AD149" s="468"/>
      <c r="AE149" s="342"/>
      <c r="AF149" s="342"/>
      <c r="AG149" s="342"/>
      <c r="AH149" s="342"/>
      <c r="AI149" s="342"/>
      <c r="AJ149" s="342"/>
      <c r="AK149" s="342"/>
      <c r="AL149" s="342"/>
      <c r="AM149" s="342"/>
      <c r="AN149" s="342"/>
      <c r="AO149" s="342"/>
      <c r="AP149" s="342"/>
      <c r="AQ149" s="342"/>
      <c r="AR149" s="342"/>
      <c r="AS149" s="342"/>
      <c r="AT149" s="342"/>
      <c r="AU149" s="342"/>
      <c r="AV149" s="342"/>
      <c r="AW149" s="342"/>
      <c r="AX149" s="342"/>
      <c r="AY149" s="342"/>
      <c r="AZ149" s="342"/>
      <c r="BA149" s="342"/>
      <c r="BB149" s="342"/>
      <c r="BC149" s="342"/>
      <c r="BD149" s="342"/>
      <c r="BE149" s="342"/>
      <c r="BF149" s="342"/>
      <c r="BG149" s="342"/>
      <c r="BH149" s="342"/>
      <c r="BI149" s="342"/>
      <c r="BJ149" s="342"/>
      <c r="BK149" s="342"/>
      <c r="BL149" s="342"/>
    </row>
    <row r="150" spans="1:64" ht="23" x14ac:dyDescent="0.25">
      <c r="A150" s="217" t="str" cm="1">
        <f t="array" ref="A150">IFERROR(INDEX(_xlfn.ANCHORARRAY($Q$6),ROW()-5,1),"")</f>
        <v/>
      </c>
      <c r="B150" s="288" t="str" cm="1">
        <f t="array" ref="B150">IFERROR(INDEX(_xlfn.ANCHORARRAY($Q$6),ROW()-5,2),"")</f>
        <v/>
      </c>
      <c r="C150" s="289" t="str" cm="1">
        <f t="array" ref="C150">IFERROR(INDEX(_xlfn.ANCHORARRAY($Q$6),ROW()-5,3),"")</f>
        <v/>
      </c>
      <c r="D150" s="218" t="str">
        <f>IF($A150="","",IF($K150="DIESEL",SUMIFS(Table1[Quantity],Table1[Customer],$B150,Table1[Date],$A150,Table1[Bill No.],$C150),IF($K150="PETROL",SUMIFS(Table14[Quantity],Table14[Customer],$B150,Table14[Date],$A150,Table14[Bill No.],$C150),IF($K150="XtraGreen",SUMIFS(Table146[Quantity],Table146[Company],$B150,Table146[Date],$A150,Table146[Bill No.],$C150),""))))</f>
        <v/>
      </c>
      <c r="E150" s="219" t="str">
        <f>IF($A150="","",IF($K150="DIESEL",AVERAGEIFS(Table1[RSP],Table1[Customer],$B150,Table1[Date],$A150,Table1[Bill No.],$C150),IF($K150="PETROL",AVERAGEIFS(Table14[RSP],Table14[Customer],$B150,Table14[Date],$A150,Table14[Bill No.],$C150),IF($K150="XtraGreen",AVERAGEIFS(Table146[RSP],Table146[Company],$B150,Table146[Date],$A150,Table146[Bill No.],$C150),IFERROR($F150/$D150,"")))))</f>
        <v/>
      </c>
      <c r="F150" s="330" t="str">
        <f>IF($A150="","",IF($K150="DIESEL",SUMIFS(Table1[Amount],Table1[Customer],$B150,Table1[Date],$A150,Table1[Bill No.],$C150),IF($K150="PETROL",SUMIFS(Table14[Amount],Table14[Customer],$B150,Table14[Date],$A150,Table14[Bill No.],$C150),IF($K150="XtraGreen",SUMIFS(Table146[Amount],Table146[Company],$B150,Table146[Date],$A150,Table146[Bill No.],$C150),SUMIFS('Other Sale'!$D:$D,'Other Sale'!$E:$E,$B150,'Other Sale'!$C:$C,$K150,'Other Sale'!$A:$A,$A150)))))</f>
        <v/>
      </c>
      <c r="G150" s="330" t="str" cm="1">
        <f t="array" ref="G150">IF($A150="","",IF($K150="Payment",IFERROR(INDEX(_xlfn._xlws.FILTER(MasterPaid[Amount Paid],(MasterPaid[Customer]=$B150)*(MasterPaid[Date]=$A150)),COUNTIFS($A$6:$A150,$A150,$B$6:$B150,$B150,$K$6:$K150,"Payment")),0),0))</f>
        <v/>
      </c>
      <c r="H150" s="331"/>
      <c r="I150" s="331"/>
      <c r="J150" s="330" t="str">
        <f t="shared" ref="J150:J213" si="3">IF($A150="","",J149+N(F150)-N(G150)-N(H150)-N(I150))</f>
        <v/>
      </c>
      <c r="K150" s="289" t="str" cm="1">
        <f t="array" ref="K150">IFERROR(INDEX(_xlfn.ANCHORARRAY($Q$6),ROW()-5,4),"")</f>
        <v/>
      </c>
      <c r="L150" s="290"/>
      <c r="U150">
        <f>IF(OR($A150="",$F150=""),0,MAX(0,MIN($F150,SUMIFS($F$6:$F150,$B$6:$B150,$B150)-(SUMIFS($G$6:$G$355,$B$6:$B$355,$B150)+SUMIFS($H$6:$H$355,$B$6:$B$355,$B150)+SUMIFS($I$6:$I$355,$B$6:$B$355,$B150)))))</f>
        <v>0</v>
      </c>
      <c r="AD150" s="468"/>
      <c r="AE150" s="342"/>
      <c r="AF150" s="342"/>
      <c r="AG150" s="342"/>
      <c r="AH150" s="342"/>
      <c r="AI150" s="342"/>
      <c r="AJ150" s="342"/>
      <c r="AK150" s="342"/>
      <c r="AL150" s="342"/>
      <c r="AM150" s="342"/>
      <c r="AN150" s="342"/>
      <c r="AO150" s="342"/>
      <c r="AP150" s="342"/>
      <c r="AQ150" s="342"/>
      <c r="AR150" s="342"/>
      <c r="AS150" s="342"/>
      <c r="AT150" s="342"/>
      <c r="AU150" s="342"/>
      <c r="AV150" s="342"/>
      <c r="AW150" s="342"/>
      <c r="AX150" s="342"/>
      <c r="AY150" s="342"/>
      <c r="AZ150" s="342"/>
      <c r="BA150" s="342"/>
      <c r="BB150" s="342"/>
      <c r="BC150" s="342"/>
      <c r="BD150" s="342"/>
      <c r="BE150" s="342"/>
      <c r="BF150" s="342"/>
      <c r="BG150" s="342"/>
      <c r="BH150" s="342"/>
      <c r="BI150" s="342"/>
      <c r="BJ150" s="342"/>
      <c r="BK150" s="342"/>
      <c r="BL150" s="342"/>
    </row>
    <row r="151" spans="1:64" ht="23" x14ac:dyDescent="0.25">
      <c r="A151" s="217" t="str" cm="1">
        <f t="array" ref="A151">IFERROR(INDEX(_xlfn.ANCHORARRAY($Q$6),ROW()-5,1),"")</f>
        <v/>
      </c>
      <c r="B151" s="288" t="str" cm="1">
        <f t="array" ref="B151">IFERROR(INDEX(_xlfn.ANCHORARRAY($Q$6),ROW()-5,2),"")</f>
        <v/>
      </c>
      <c r="C151" s="289" t="str" cm="1">
        <f t="array" ref="C151">IFERROR(INDEX(_xlfn.ANCHORARRAY($Q$6),ROW()-5,3),"")</f>
        <v/>
      </c>
      <c r="D151" s="218" t="str">
        <f>IF($A151="","",IF($K151="DIESEL",SUMIFS(Table1[Quantity],Table1[Customer],$B151,Table1[Date],$A151,Table1[Bill No.],$C151),IF($K151="PETROL",SUMIFS(Table14[Quantity],Table14[Customer],$B151,Table14[Date],$A151,Table14[Bill No.],$C151),IF($K151="XtraGreen",SUMIFS(Table146[Quantity],Table146[Company],$B151,Table146[Date],$A151,Table146[Bill No.],$C151),""))))</f>
        <v/>
      </c>
      <c r="E151" s="219" t="str">
        <f>IF($A151="","",IF($K151="DIESEL",AVERAGEIFS(Table1[RSP],Table1[Customer],$B151,Table1[Date],$A151,Table1[Bill No.],$C151),IF($K151="PETROL",AVERAGEIFS(Table14[RSP],Table14[Customer],$B151,Table14[Date],$A151,Table14[Bill No.],$C151),IF($K151="XtraGreen",AVERAGEIFS(Table146[RSP],Table146[Company],$B151,Table146[Date],$A151,Table146[Bill No.],$C151),IFERROR($F151/$D151,"")))))</f>
        <v/>
      </c>
      <c r="F151" s="330" t="str">
        <f>IF($A151="","",IF($K151="DIESEL",SUMIFS(Table1[Amount],Table1[Customer],$B151,Table1[Date],$A151,Table1[Bill No.],$C151),IF($K151="PETROL",SUMIFS(Table14[Amount],Table14[Customer],$B151,Table14[Date],$A151,Table14[Bill No.],$C151),IF($K151="XtraGreen",SUMIFS(Table146[Amount],Table146[Company],$B151,Table146[Date],$A151,Table146[Bill No.],$C151),SUMIFS('Other Sale'!$D:$D,'Other Sale'!$E:$E,$B151,'Other Sale'!$C:$C,$K151,'Other Sale'!$A:$A,$A151)))))</f>
        <v/>
      </c>
      <c r="G151" s="330" t="str" cm="1">
        <f t="array" ref="G151">IF($A151="","",IF($K151="Payment",IFERROR(INDEX(_xlfn._xlws.FILTER(MasterPaid[Amount Paid],(MasterPaid[Customer]=$B151)*(MasterPaid[Date]=$A151)),COUNTIFS($A$6:$A151,$A151,$B$6:$B151,$B151,$K$6:$K151,"Payment")),0),0))</f>
        <v/>
      </c>
      <c r="H151" s="331"/>
      <c r="I151" s="331"/>
      <c r="J151" s="330" t="str">
        <f t="shared" si="3"/>
        <v/>
      </c>
      <c r="K151" s="289" t="str" cm="1">
        <f t="array" ref="K151">IFERROR(INDEX(_xlfn.ANCHORARRAY($Q$6),ROW()-5,4),"")</f>
        <v/>
      </c>
      <c r="L151" s="290"/>
      <c r="U151">
        <f>IF(OR($A151="",$F151=""),0,MAX(0,MIN($F151,SUMIFS($F$6:$F151,$B$6:$B151,$B151)-(SUMIFS($G$6:$G$355,$B$6:$B$355,$B151)+SUMIFS($H$6:$H$355,$B$6:$B$355,$B151)+SUMIFS($I$6:$I$355,$B$6:$B$355,$B151)))))</f>
        <v>0</v>
      </c>
      <c r="AD151" s="468"/>
      <c r="AE151" s="342"/>
      <c r="AF151" s="342"/>
      <c r="AG151" s="342"/>
      <c r="AH151" s="342"/>
      <c r="AI151" s="342"/>
      <c r="AJ151" s="342"/>
      <c r="AK151" s="342"/>
      <c r="AL151" s="342"/>
      <c r="AM151" s="342"/>
      <c r="AN151" s="342"/>
      <c r="AO151" s="342"/>
      <c r="AP151" s="342"/>
      <c r="AQ151" s="342"/>
      <c r="AR151" s="342"/>
      <c r="AS151" s="342"/>
      <c r="AT151" s="342"/>
      <c r="AU151" s="342"/>
      <c r="AV151" s="342"/>
      <c r="AW151" s="342"/>
      <c r="AX151" s="342"/>
      <c r="AY151" s="342"/>
      <c r="AZ151" s="342"/>
      <c r="BA151" s="342"/>
      <c r="BB151" s="342"/>
      <c r="BC151" s="342"/>
      <c r="BD151" s="342"/>
      <c r="BE151" s="342"/>
      <c r="BF151" s="342"/>
      <c r="BG151" s="342"/>
      <c r="BH151" s="342"/>
      <c r="BI151" s="342"/>
      <c r="BJ151" s="342"/>
      <c r="BK151" s="342"/>
      <c r="BL151" s="342"/>
    </row>
    <row r="152" spans="1:64" ht="23" x14ac:dyDescent="0.25">
      <c r="A152" s="217" t="str" cm="1">
        <f t="array" ref="A152">IFERROR(INDEX(_xlfn.ANCHORARRAY($Q$6),ROW()-5,1),"")</f>
        <v/>
      </c>
      <c r="B152" s="288" t="str" cm="1">
        <f t="array" ref="B152">IFERROR(INDEX(_xlfn.ANCHORARRAY($Q$6),ROW()-5,2),"")</f>
        <v/>
      </c>
      <c r="C152" s="289" t="str" cm="1">
        <f t="array" ref="C152">IFERROR(INDEX(_xlfn.ANCHORARRAY($Q$6),ROW()-5,3),"")</f>
        <v/>
      </c>
      <c r="D152" s="218" t="str">
        <f>IF($A152="","",IF($K152="DIESEL",SUMIFS(Table1[Quantity],Table1[Customer],$B152,Table1[Date],$A152,Table1[Bill No.],$C152),IF($K152="PETROL",SUMIFS(Table14[Quantity],Table14[Customer],$B152,Table14[Date],$A152,Table14[Bill No.],$C152),IF($K152="XtraGreen",SUMIFS(Table146[Quantity],Table146[Company],$B152,Table146[Date],$A152,Table146[Bill No.],$C152),""))))</f>
        <v/>
      </c>
      <c r="E152" s="219" t="str">
        <f>IF($A152="","",IF($K152="DIESEL",AVERAGEIFS(Table1[RSP],Table1[Customer],$B152,Table1[Date],$A152,Table1[Bill No.],$C152),IF($K152="PETROL",AVERAGEIFS(Table14[RSP],Table14[Customer],$B152,Table14[Date],$A152,Table14[Bill No.],$C152),IF($K152="XtraGreen",AVERAGEIFS(Table146[RSP],Table146[Company],$B152,Table146[Date],$A152,Table146[Bill No.],$C152),IFERROR($F152/$D152,"")))))</f>
        <v/>
      </c>
      <c r="F152" s="330" t="str">
        <f>IF($A152="","",IF($K152="DIESEL",SUMIFS(Table1[Amount],Table1[Customer],$B152,Table1[Date],$A152,Table1[Bill No.],$C152),IF($K152="PETROL",SUMIFS(Table14[Amount],Table14[Customer],$B152,Table14[Date],$A152,Table14[Bill No.],$C152),IF($K152="XtraGreen",SUMIFS(Table146[Amount],Table146[Company],$B152,Table146[Date],$A152,Table146[Bill No.],$C152),SUMIFS('Other Sale'!$D:$D,'Other Sale'!$E:$E,$B152,'Other Sale'!$C:$C,$K152,'Other Sale'!$A:$A,$A152)))))</f>
        <v/>
      </c>
      <c r="G152" s="330" t="str" cm="1">
        <f t="array" ref="G152">IF($A152="","",IF($K152="Payment",IFERROR(INDEX(_xlfn._xlws.FILTER(MasterPaid[Amount Paid],(MasterPaid[Customer]=$B152)*(MasterPaid[Date]=$A152)),COUNTIFS($A$6:$A152,$A152,$B$6:$B152,$B152,$K$6:$K152,"Payment")),0),0))</f>
        <v/>
      </c>
      <c r="H152" s="331"/>
      <c r="I152" s="331"/>
      <c r="J152" s="330" t="str">
        <f t="shared" si="3"/>
        <v/>
      </c>
      <c r="K152" s="289" t="str" cm="1">
        <f t="array" ref="K152">IFERROR(INDEX(_xlfn.ANCHORARRAY($Q$6),ROW()-5,4),"")</f>
        <v/>
      </c>
      <c r="L152" s="290"/>
      <c r="U152">
        <f>IF(OR($A152="",$F152=""),0,MAX(0,MIN($F152,SUMIFS($F$6:$F152,$B$6:$B152,$B152)-(SUMIFS($G$6:$G$355,$B$6:$B$355,$B152)+SUMIFS($H$6:$H$355,$B$6:$B$355,$B152)+SUMIFS($I$6:$I$355,$B$6:$B$355,$B152)))))</f>
        <v>0</v>
      </c>
      <c r="AD152" s="468"/>
      <c r="AE152" s="342"/>
      <c r="AF152" s="342"/>
      <c r="AG152" s="342"/>
      <c r="AH152" s="342"/>
      <c r="AI152" s="342"/>
      <c r="AJ152" s="342"/>
      <c r="AK152" s="342"/>
      <c r="AL152" s="342"/>
      <c r="AM152" s="342"/>
      <c r="AN152" s="342"/>
      <c r="AO152" s="342"/>
      <c r="AP152" s="342"/>
      <c r="AQ152" s="342"/>
      <c r="AR152" s="342"/>
      <c r="AS152" s="342"/>
      <c r="AT152" s="342"/>
      <c r="AU152" s="342"/>
      <c r="AV152" s="342"/>
      <c r="AW152" s="342"/>
      <c r="AX152" s="342"/>
      <c r="AY152" s="342"/>
      <c r="AZ152" s="342"/>
      <c r="BA152" s="342"/>
      <c r="BB152" s="342"/>
      <c r="BC152" s="342"/>
      <c r="BD152" s="342"/>
      <c r="BE152" s="342"/>
      <c r="BF152" s="342"/>
      <c r="BG152" s="342"/>
      <c r="BH152" s="342"/>
      <c r="BI152" s="342"/>
      <c r="BJ152" s="342"/>
      <c r="BK152" s="342"/>
      <c r="BL152" s="342"/>
    </row>
    <row r="153" spans="1:64" ht="23" x14ac:dyDescent="0.25">
      <c r="A153" s="217" t="str" cm="1">
        <f t="array" ref="A153">IFERROR(INDEX(_xlfn.ANCHORARRAY($Q$6),ROW()-5,1),"")</f>
        <v/>
      </c>
      <c r="B153" s="288" t="str" cm="1">
        <f t="array" ref="B153">IFERROR(INDEX(_xlfn.ANCHORARRAY($Q$6),ROW()-5,2),"")</f>
        <v/>
      </c>
      <c r="C153" s="289" t="str" cm="1">
        <f t="array" ref="C153">IFERROR(INDEX(_xlfn.ANCHORARRAY($Q$6),ROW()-5,3),"")</f>
        <v/>
      </c>
      <c r="D153" s="218" t="str">
        <f>IF($A153="","",IF($K153="DIESEL",SUMIFS(Table1[Quantity],Table1[Customer],$B153,Table1[Date],$A153,Table1[Bill No.],$C153),IF($K153="PETROL",SUMIFS(Table14[Quantity],Table14[Customer],$B153,Table14[Date],$A153,Table14[Bill No.],$C153),IF($K153="XtraGreen",SUMIFS(Table146[Quantity],Table146[Company],$B153,Table146[Date],$A153,Table146[Bill No.],$C153),""))))</f>
        <v/>
      </c>
      <c r="E153" s="219" t="str">
        <f>IF($A153="","",IF($K153="DIESEL",AVERAGEIFS(Table1[RSP],Table1[Customer],$B153,Table1[Date],$A153,Table1[Bill No.],$C153),IF($K153="PETROL",AVERAGEIFS(Table14[RSP],Table14[Customer],$B153,Table14[Date],$A153,Table14[Bill No.],$C153),IF($K153="XtraGreen",AVERAGEIFS(Table146[RSP],Table146[Company],$B153,Table146[Date],$A153,Table146[Bill No.],$C153),IFERROR($F153/$D153,"")))))</f>
        <v/>
      </c>
      <c r="F153" s="330" t="str">
        <f>IF($A153="","",IF($K153="DIESEL",SUMIFS(Table1[Amount],Table1[Customer],$B153,Table1[Date],$A153,Table1[Bill No.],$C153),IF($K153="PETROL",SUMIFS(Table14[Amount],Table14[Customer],$B153,Table14[Date],$A153,Table14[Bill No.],$C153),IF($K153="XtraGreen",SUMIFS(Table146[Amount],Table146[Company],$B153,Table146[Date],$A153,Table146[Bill No.],$C153),SUMIFS('Other Sale'!$D:$D,'Other Sale'!$E:$E,$B153,'Other Sale'!$C:$C,$K153,'Other Sale'!$A:$A,$A153)))))</f>
        <v/>
      </c>
      <c r="G153" s="330" t="str" cm="1">
        <f t="array" ref="G153">IF($A153="","",IF($K153="Payment",IFERROR(INDEX(_xlfn._xlws.FILTER(MasterPaid[Amount Paid],(MasterPaid[Customer]=$B153)*(MasterPaid[Date]=$A153)),COUNTIFS($A$6:$A153,$A153,$B$6:$B153,$B153,$K$6:$K153,"Payment")),0),0))</f>
        <v/>
      </c>
      <c r="H153" s="331"/>
      <c r="I153" s="331"/>
      <c r="J153" s="330" t="str">
        <f t="shared" si="3"/>
        <v/>
      </c>
      <c r="K153" s="289" t="str" cm="1">
        <f t="array" ref="K153">IFERROR(INDEX(_xlfn.ANCHORARRAY($Q$6),ROW()-5,4),"")</f>
        <v/>
      </c>
      <c r="L153" s="290"/>
      <c r="U153">
        <f>IF(OR($A153="",$F153=""),0,MAX(0,MIN($F153,SUMIFS($F$6:$F153,$B$6:$B153,$B153)-(SUMIFS($G$6:$G$355,$B$6:$B$355,$B153)+SUMIFS($H$6:$H$355,$B$6:$B$355,$B153)+SUMIFS($I$6:$I$355,$B$6:$B$355,$B153)))))</f>
        <v>0</v>
      </c>
      <c r="AD153" s="468"/>
      <c r="AE153" s="342"/>
      <c r="AF153" s="342"/>
      <c r="AG153" s="342"/>
      <c r="AH153" s="342"/>
      <c r="AI153" s="342"/>
      <c r="AJ153" s="342"/>
      <c r="AK153" s="342"/>
      <c r="AL153" s="342"/>
      <c r="AM153" s="342"/>
      <c r="AN153" s="342"/>
      <c r="AO153" s="342"/>
      <c r="AP153" s="342"/>
      <c r="AQ153" s="342"/>
      <c r="AR153" s="342"/>
      <c r="AS153" s="342"/>
      <c r="AT153" s="342"/>
      <c r="AU153" s="342"/>
      <c r="AV153" s="342"/>
      <c r="AW153" s="342"/>
      <c r="AX153" s="342"/>
      <c r="AY153" s="342"/>
      <c r="AZ153" s="342"/>
      <c r="BA153" s="342"/>
      <c r="BB153" s="342"/>
      <c r="BC153" s="342"/>
      <c r="BD153" s="342"/>
      <c r="BE153" s="342"/>
      <c r="BF153" s="342"/>
      <c r="BG153" s="342"/>
      <c r="BH153" s="342"/>
      <c r="BI153" s="342"/>
      <c r="BJ153" s="342"/>
      <c r="BK153" s="342"/>
      <c r="BL153" s="342"/>
    </row>
    <row r="154" spans="1:64" ht="23" x14ac:dyDescent="0.25">
      <c r="A154" s="217" t="str" cm="1">
        <f t="array" ref="A154">IFERROR(INDEX(_xlfn.ANCHORARRAY($Q$6),ROW()-5,1),"")</f>
        <v/>
      </c>
      <c r="B154" s="288" t="str" cm="1">
        <f t="array" ref="B154">IFERROR(INDEX(_xlfn.ANCHORARRAY($Q$6),ROW()-5,2),"")</f>
        <v/>
      </c>
      <c r="C154" s="289" t="str" cm="1">
        <f t="array" ref="C154">IFERROR(INDEX(_xlfn.ANCHORARRAY($Q$6),ROW()-5,3),"")</f>
        <v/>
      </c>
      <c r="D154" s="218" t="str">
        <f>IF($A154="","",IF($K154="DIESEL",SUMIFS(Table1[Quantity],Table1[Customer],$B154,Table1[Date],$A154,Table1[Bill No.],$C154),IF($K154="PETROL",SUMIFS(Table14[Quantity],Table14[Customer],$B154,Table14[Date],$A154,Table14[Bill No.],$C154),IF($K154="XtraGreen",SUMIFS(Table146[Quantity],Table146[Company],$B154,Table146[Date],$A154,Table146[Bill No.],$C154),""))))</f>
        <v/>
      </c>
      <c r="E154" s="219" t="str">
        <f>IF($A154="","",IF($K154="DIESEL",AVERAGEIFS(Table1[RSP],Table1[Customer],$B154,Table1[Date],$A154,Table1[Bill No.],$C154),IF($K154="PETROL",AVERAGEIFS(Table14[RSP],Table14[Customer],$B154,Table14[Date],$A154,Table14[Bill No.],$C154),IF($K154="XtraGreen",AVERAGEIFS(Table146[RSP],Table146[Company],$B154,Table146[Date],$A154,Table146[Bill No.],$C154),IFERROR($F154/$D154,"")))))</f>
        <v/>
      </c>
      <c r="F154" s="330" t="str">
        <f>IF($A154="","",IF($K154="DIESEL",SUMIFS(Table1[Amount],Table1[Customer],$B154,Table1[Date],$A154,Table1[Bill No.],$C154),IF($K154="PETROL",SUMIFS(Table14[Amount],Table14[Customer],$B154,Table14[Date],$A154,Table14[Bill No.],$C154),IF($K154="XtraGreen",SUMIFS(Table146[Amount],Table146[Company],$B154,Table146[Date],$A154,Table146[Bill No.],$C154),SUMIFS('Other Sale'!$D:$D,'Other Sale'!$E:$E,$B154,'Other Sale'!$C:$C,$K154,'Other Sale'!$A:$A,$A154)))))</f>
        <v/>
      </c>
      <c r="G154" s="330" t="str" cm="1">
        <f t="array" ref="G154">IF($A154="","",IF($K154="Payment",IFERROR(INDEX(_xlfn._xlws.FILTER(MasterPaid[Amount Paid],(MasterPaid[Customer]=$B154)*(MasterPaid[Date]=$A154)),COUNTIFS($A$6:$A154,$A154,$B$6:$B154,$B154,$K$6:$K154,"Payment")),0),0))</f>
        <v/>
      </c>
      <c r="H154" s="331"/>
      <c r="I154" s="331"/>
      <c r="J154" s="330" t="str">
        <f t="shared" si="3"/>
        <v/>
      </c>
      <c r="K154" s="289" t="str" cm="1">
        <f t="array" ref="K154">IFERROR(INDEX(_xlfn.ANCHORARRAY($Q$6),ROW()-5,4),"")</f>
        <v/>
      </c>
      <c r="L154" s="290"/>
      <c r="U154">
        <f>IF(OR($A154="",$F154=""),0,MAX(0,MIN($F154,SUMIFS($F$6:$F154,$B$6:$B154,$B154)-(SUMIFS($G$6:$G$355,$B$6:$B$355,$B154)+SUMIFS($H$6:$H$355,$B$6:$B$355,$B154)+SUMIFS($I$6:$I$355,$B$6:$B$355,$B154)))))</f>
        <v>0</v>
      </c>
      <c r="AD154" s="468"/>
      <c r="AE154" s="342"/>
      <c r="AF154" s="342"/>
      <c r="AG154" s="342"/>
      <c r="AH154" s="342"/>
      <c r="AI154" s="342"/>
      <c r="AJ154" s="342"/>
      <c r="AK154" s="342"/>
      <c r="AL154" s="342"/>
      <c r="AM154" s="342"/>
      <c r="AN154" s="342"/>
      <c r="AO154" s="342"/>
      <c r="AP154" s="342"/>
      <c r="AQ154" s="342"/>
      <c r="AR154" s="342"/>
      <c r="AS154" s="342"/>
      <c r="AT154" s="342"/>
      <c r="AU154" s="342"/>
      <c r="AV154" s="342"/>
      <c r="AW154" s="342"/>
      <c r="AX154" s="342"/>
      <c r="AY154" s="342"/>
      <c r="AZ154" s="342"/>
      <c r="BA154" s="342"/>
      <c r="BB154" s="342"/>
      <c r="BC154" s="342"/>
      <c r="BD154" s="342"/>
      <c r="BE154" s="342"/>
      <c r="BF154" s="342"/>
      <c r="BG154" s="342"/>
      <c r="BH154" s="342"/>
      <c r="BI154" s="342"/>
      <c r="BJ154" s="342"/>
      <c r="BK154" s="342"/>
      <c r="BL154" s="342"/>
    </row>
    <row r="155" spans="1:64" ht="23" x14ac:dyDescent="0.25">
      <c r="A155" s="217" t="str" cm="1">
        <f t="array" ref="A155">IFERROR(INDEX(_xlfn.ANCHORARRAY($Q$6),ROW()-5,1),"")</f>
        <v/>
      </c>
      <c r="B155" s="288" t="str" cm="1">
        <f t="array" ref="B155">IFERROR(INDEX(_xlfn.ANCHORARRAY($Q$6),ROW()-5,2),"")</f>
        <v/>
      </c>
      <c r="C155" s="289" t="str" cm="1">
        <f t="array" ref="C155">IFERROR(INDEX(_xlfn.ANCHORARRAY($Q$6),ROW()-5,3),"")</f>
        <v/>
      </c>
      <c r="D155" s="218" t="str">
        <f>IF($A155="","",IF($K155="DIESEL",SUMIFS(Table1[Quantity],Table1[Customer],$B155,Table1[Date],$A155,Table1[Bill No.],$C155),IF($K155="PETROL",SUMIFS(Table14[Quantity],Table14[Customer],$B155,Table14[Date],$A155,Table14[Bill No.],$C155),IF($K155="XtraGreen",SUMIFS(Table146[Quantity],Table146[Company],$B155,Table146[Date],$A155,Table146[Bill No.],$C155),""))))</f>
        <v/>
      </c>
      <c r="E155" s="219" t="str">
        <f>IF($A155="","",IF($K155="DIESEL",AVERAGEIFS(Table1[RSP],Table1[Customer],$B155,Table1[Date],$A155,Table1[Bill No.],$C155),IF($K155="PETROL",AVERAGEIFS(Table14[RSP],Table14[Customer],$B155,Table14[Date],$A155,Table14[Bill No.],$C155),IF($K155="XtraGreen",AVERAGEIFS(Table146[RSP],Table146[Company],$B155,Table146[Date],$A155,Table146[Bill No.],$C155),IFERROR($F155/$D155,"")))))</f>
        <v/>
      </c>
      <c r="F155" s="330" t="str">
        <f>IF($A155="","",IF($K155="DIESEL",SUMIFS(Table1[Amount],Table1[Customer],$B155,Table1[Date],$A155,Table1[Bill No.],$C155),IF($K155="PETROL",SUMIFS(Table14[Amount],Table14[Customer],$B155,Table14[Date],$A155,Table14[Bill No.],$C155),IF($K155="XtraGreen",SUMIFS(Table146[Amount],Table146[Company],$B155,Table146[Date],$A155,Table146[Bill No.],$C155),SUMIFS('Other Sale'!$D:$D,'Other Sale'!$E:$E,$B155,'Other Sale'!$C:$C,$K155,'Other Sale'!$A:$A,$A155)))))</f>
        <v/>
      </c>
      <c r="G155" s="330" t="str" cm="1">
        <f t="array" ref="G155">IF($A155="","",IF($K155="Payment",IFERROR(INDEX(_xlfn._xlws.FILTER(MasterPaid[Amount Paid],(MasterPaid[Customer]=$B155)*(MasterPaid[Date]=$A155)),COUNTIFS($A$6:$A155,$A155,$B$6:$B155,$B155,$K$6:$K155,"Payment")),0),0))</f>
        <v/>
      </c>
      <c r="H155" s="331"/>
      <c r="I155" s="331"/>
      <c r="J155" s="330" t="str">
        <f t="shared" si="3"/>
        <v/>
      </c>
      <c r="K155" s="289" t="str" cm="1">
        <f t="array" ref="K155">IFERROR(INDEX(_xlfn.ANCHORARRAY($Q$6),ROW()-5,4),"")</f>
        <v/>
      </c>
      <c r="L155" s="290"/>
      <c r="U155">
        <f>IF(OR($A155="",$F155=""),0,MAX(0,MIN($F155,SUMIFS($F$6:$F155,$B$6:$B155,$B155)-(SUMIFS($G$6:$G$355,$B$6:$B$355,$B155)+SUMIFS($H$6:$H$355,$B$6:$B$355,$B155)+SUMIFS($I$6:$I$355,$B$6:$B$355,$B155)))))</f>
        <v>0</v>
      </c>
      <c r="AD155" s="468"/>
      <c r="AE155" s="342"/>
      <c r="AF155" s="342"/>
      <c r="AG155" s="342"/>
      <c r="AH155" s="342"/>
      <c r="AI155" s="342"/>
      <c r="AJ155" s="342"/>
      <c r="AK155" s="342"/>
      <c r="AL155" s="342"/>
      <c r="AM155" s="342"/>
      <c r="AN155" s="342"/>
      <c r="AO155" s="342"/>
      <c r="AP155" s="342"/>
      <c r="AQ155" s="342"/>
      <c r="AR155" s="342"/>
      <c r="AS155" s="342"/>
      <c r="AT155" s="342"/>
      <c r="AU155" s="342"/>
      <c r="AV155" s="342"/>
      <c r="AW155" s="342"/>
      <c r="AX155" s="342"/>
      <c r="AY155" s="342"/>
      <c r="AZ155" s="342"/>
      <c r="BA155" s="342"/>
      <c r="BB155" s="342"/>
      <c r="BC155" s="342"/>
      <c r="BD155" s="342"/>
      <c r="BE155" s="342"/>
      <c r="BF155" s="342"/>
      <c r="BG155" s="342"/>
      <c r="BH155" s="342"/>
      <c r="BI155" s="342"/>
      <c r="BJ155" s="342"/>
      <c r="BK155" s="342"/>
      <c r="BL155" s="342"/>
    </row>
    <row r="156" spans="1:64" ht="23" x14ac:dyDescent="0.25">
      <c r="A156" s="217" t="str" cm="1">
        <f t="array" ref="A156">IFERROR(INDEX(_xlfn.ANCHORARRAY($Q$6),ROW()-5,1),"")</f>
        <v/>
      </c>
      <c r="B156" s="288" t="str" cm="1">
        <f t="array" ref="B156">IFERROR(INDEX(_xlfn.ANCHORARRAY($Q$6),ROW()-5,2),"")</f>
        <v/>
      </c>
      <c r="C156" s="289" t="str" cm="1">
        <f t="array" ref="C156">IFERROR(INDEX(_xlfn.ANCHORARRAY($Q$6),ROW()-5,3),"")</f>
        <v/>
      </c>
      <c r="D156" s="218" t="str">
        <f>IF($A156="","",IF($K156="DIESEL",SUMIFS(Table1[Quantity],Table1[Customer],$B156,Table1[Date],$A156,Table1[Bill No.],$C156),IF($K156="PETROL",SUMIFS(Table14[Quantity],Table14[Customer],$B156,Table14[Date],$A156,Table14[Bill No.],$C156),IF($K156="XtraGreen",SUMIFS(Table146[Quantity],Table146[Company],$B156,Table146[Date],$A156,Table146[Bill No.],$C156),""))))</f>
        <v/>
      </c>
      <c r="E156" s="219" t="str">
        <f>IF($A156="","",IF($K156="DIESEL",AVERAGEIFS(Table1[RSP],Table1[Customer],$B156,Table1[Date],$A156,Table1[Bill No.],$C156),IF($K156="PETROL",AVERAGEIFS(Table14[RSP],Table14[Customer],$B156,Table14[Date],$A156,Table14[Bill No.],$C156),IF($K156="XtraGreen",AVERAGEIFS(Table146[RSP],Table146[Company],$B156,Table146[Date],$A156,Table146[Bill No.],$C156),IFERROR($F156/$D156,"")))))</f>
        <v/>
      </c>
      <c r="F156" s="330" t="str">
        <f>IF($A156="","",IF($K156="DIESEL",SUMIFS(Table1[Amount],Table1[Customer],$B156,Table1[Date],$A156,Table1[Bill No.],$C156),IF($K156="PETROL",SUMIFS(Table14[Amount],Table14[Customer],$B156,Table14[Date],$A156,Table14[Bill No.],$C156),IF($K156="XtraGreen",SUMIFS(Table146[Amount],Table146[Company],$B156,Table146[Date],$A156,Table146[Bill No.],$C156),SUMIFS('Other Sale'!$D:$D,'Other Sale'!$E:$E,$B156,'Other Sale'!$C:$C,$K156,'Other Sale'!$A:$A,$A156)))))</f>
        <v/>
      </c>
      <c r="G156" s="330" t="str" cm="1">
        <f t="array" ref="G156">IF($A156="","",IF($K156="Payment",IFERROR(INDEX(_xlfn._xlws.FILTER(MasterPaid[Amount Paid],(MasterPaid[Customer]=$B156)*(MasterPaid[Date]=$A156)),COUNTIFS($A$6:$A156,$A156,$B$6:$B156,$B156,$K$6:$K156,"Payment")),0),0))</f>
        <v/>
      </c>
      <c r="H156" s="331"/>
      <c r="I156" s="331"/>
      <c r="J156" s="330" t="str">
        <f t="shared" si="3"/>
        <v/>
      </c>
      <c r="K156" s="289" t="str" cm="1">
        <f t="array" ref="K156">IFERROR(INDEX(_xlfn.ANCHORARRAY($Q$6),ROW()-5,4),"")</f>
        <v/>
      </c>
      <c r="L156" s="290"/>
      <c r="U156">
        <f>IF(OR($A156="",$F156=""),0,MAX(0,MIN($F156,SUMIFS($F$6:$F156,$B$6:$B156,$B156)-(SUMIFS($G$6:$G$355,$B$6:$B$355,$B156)+SUMIFS($H$6:$H$355,$B$6:$B$355,$B156)+SUMIFS($I$6:$I$355,$B$6:$B$355,$B156)))))</f>
        <v>0</v>
      </c>
      <c r="AD156" s="468"/>
      <c r="AE156" s="342"/>
      <c r="AF156" s="342"/>
      <c r="AG156" s="342"/>
      <c r="AH156" s="342"/>
      <c r="AI156" s="342"/>
      <c r="AJ156" s="342"/>
      <c r="AK156" s="342"/>
      <c r="AL156" s="342"/>
      <c r="AM156" s="342"/>
      <c r="AN156" s="342"/>
      <c r="AO156" s="342"/>
      <c r="AP156" s="342"/>
      <c r="AQ156" s="342"/>
      <c r="AR156" s="342"/>
      <c r="AS156" s="342"/>
      <c r="AT156" s="342"/>
      <c r="AU156" s="342"/>
      <c r="AV156" s="342"/>
      <c r="AW156" s="342"/>
      <c r="AX156" s="342"/>
      <c r="AY156" s="342"/>
      <c r="AZ156" s="342"/>
      <c r="BA156" s="342"/>
      <c r="BB156" s="342"/>
      <c r="BC156" s="342"/>
      <c r="BD156" s="342"/>
      <c r="BE156" s="342"/>
      <c r="BF156" s="342"/>
      <c r="BG156" s="342"/>
      <c r="BH156" s="342"/>
      <c r="BI156" s="342"/>
      <c r="BJ156" s="342"/>
      <c r="BK156" s="342"/>
      <c r="BL156" s="342"/>
    </row>
    <row r="157" spans="1:64" ht="23" x14ac:dyDescent="0.25">
      <c r="A157" s="217" t="str" cm="1">
        <f t="array" ref="A157">IFERROR(INDEX(_xlfn.ANCHORARRAY($Q$6),ROW()-5,1),"")</f>
        <v/>
      </c>
      <c r="B157" s="288" t="str" cm="1">
        <f t="array" ref="B157">IFERROR(INDEX(_xlfn.ANCHORARRAY($Q$6),ROW()-5,2),"")</f>
        <v/>
      </c>
      <c r="C157" s="289" t="str" cm="1">
        <f t="array" ref="C157">IFERROR(INDEX(_xlfn.ANCHORARRAY($Q$6),ROW()-5,3),"")</f>
        <v/>
      </c>
      <c r="D157" s="218" t="str">
        <f>IF($A157="","",IF($K157="DIESEL",SUMIFS(Table1[Quantity],Table1[Customer],$B157,Table1[Date],$A157,Table1[Bill No.],$C157),IF($K157="PETROL",SUMIFS(Table14[Quantity],Table14[Customer],$B157,Table14[Date],$A157,Table14[Bill No.],$C157),IF($K157="XtraGreen",SUMIFS(Table146[Quantity],Table146[Company],$B157,Table146[Date],$A157,Table146[Bill No.],$C157),""))))</f>
        <v/>
      </c>
      <c r="E157" s="219" t="str">
        <f>IF($A157="","",IF($K157="DIESEL",AVERAGEIFS(Table1[RSP],Table1[Customer],$B157,Table1[Date],$A157,Table1[Bill No.],$C157),IF($K157="PETROL",AVERAGEIFS(Table14[RSP],Table14[Customer],$B157,Table14[Date],$A157,Table14[Bill No.],$C157),IF($K157="XtraGreen",AVERAGEIFS(Table146[RSP],Table146[Company],$B157,Table146[Date],$A157,Table146[Bill No.],$C157),IFERROR($F157/$D157,"")))))</f>
        <v/>
      </c>
      <c r="F157" s="330" t="str">
        <f>IF($A157="","",IF($K157="DIESEL",SUMIFS(Table1[Amount],Table1[Customer],$B157,Table1[Date],$A157,Table1[Bill No.],$C157),IF($K157="PETROL",SUMIFS(Table14[Amount],Table14[Customer],$B157,Table14[Date],$A157,Table14[Bill No.],$C157),IF($K157="XtraGreen",SUMIFS(Table146[Amount],Table146[Company],$B157,Table146[Date],$A157,Table146[Bill No.],$C157),SUMIFS('Other Sale'!$D:$D,'Other Sale'!$E:$E,$B157,'Other Sale'!$C:$C,$K157,'Other Sale'!$A:$A,$A157)))))</f>
        <v/>
      </c>
      <c r="G157" s="330" t="str" cm="1">
        <f t="array" ref="G157">IF($A157="","",IF($K157="Payment",IFERROR(INDEX(_xlfn._xlws.FILTER(MasterPaid[Amount Paid],(MasterPaid[Customer]=$B157)*(MasterPaid[Date]=$A157)),COUNTIFS($A$6:$A157,$A157,$B$6:$B157,$B157,$K$6:$K157,"Payment")),0),0))</f>
        <v/>
      </c>
      <c r="H157" s="331"/>
      <c r="I157" s="331"/>
      <c r="J157" s="330" t="str">
        <f t="shared" si="3"/>
        <v/>
      </c>
      <c r="K157" s="289" t="str" cm="1">
        <f t="array" ref="K157">IFERROR(INDEX(_xlfn.ANCHORARRAY($Q$6),ROW()-5,4),"")</f>
        <v/>
      </c>
      <c r="L157" s="290"/>
      <c r="U157">
        <f>IF(OR($A157="",$F157=""),0,MAX(0,MIN($F157,SUMIFS($F$6:$F157,$B$6:$B157,$B157)-(SUMIFS($G$6:$G$355,$B$6:$B$355,$B157)+SUMIFS($H$6:$H$355,$B$6:$B$355,$B157)+SUMIFS($I$6:$I$355,$B$6:$B$355,$B157)))))</f>
        <v>0</v>
      </c>
      <c r="AD157" s="468"/>
      <c r="AE157" s="342"/>
      <c r="AF157" s="342"/>
      <c r="AG157" s="342"/>
      <c r="AH157" s="342"/>
      <c r="AI157" s="342"/>
      <c r="AJ157" s="342"/>
      <c r="AK157" s="342"/>
      <c r="AL157" s="342"/>
      <c r="AM157" s="342"/>
      <c r="AN157" s="342"/>
      <c r="AO157" s="342"/>
      <c r="AP157" s="342"/>
      <c r="AQ157" s="342"/>
      <c r="AR157" s="342"/>
      <c r="AS157" s="342"/>
      <c r="AT157" s="342"/>
      <c r="AU157" s="342"/>
      <c r="AV157" s="342"/>
      <c r="AW157" s="342"/>
      <c r="AX157" s="342"/>
      <c r="AY157" s="342"/>
      <c r="AZ157" s="342"/>
      <c r="BA157" s="342"/>
      <c r="BB157" s="342"/>
      <c r="BC157" s="342"/>
      <c r="BD157" s="342"/>
      <c r="BE157" s="342"/>
      <c r="BF157" s="342"/>
      <c r="BG157" s="342"/>
      <c r="BH157" s="342"/>
      <c r="BI157" s="342"/>
      <c r="BJ157" s="342"/>
      <c r="BK157" s="342"/>
      <c r="BL157" s="342"/>
    </row>
    <row r="158" spans="1:64" ht="23" x14ac:dyDescent="0.25">
      <c r="A158" s="217" t="str" cm="1">
        <f t="array" ref="A158">IFERROR(INDEX(_xlfn.ANCHORARRAY($Q$6),ROW()-5,1),"")</f>
        <v/>
      </c>
      <c r="B158" s="288" t="str" cm="1">
        <f t="array" ref="B158">IFERROR(INDEX(_xlfn.ANCHORARRAY($Q$6),ROW()-5,2),"")</f>
        <v/>
      </c>
      <c r="C158" s="289" t="str" cm="1">
        <f t="array" ref="C158">IFERROR(INDEX(_xlfn.ANCHORARRAY($Q$6),ROW()-5,3),"")</f>
        <v/>
      </c>
      <c r="D158" s="218" t="str">
        <f>IF($A158="","",IF($K158="DIESEL",SUMIFS(Table1[Quantity],Table1[Customer],$B158,Table1[Date],$A158,Table1[Bill No.],$C158),IF($K158="PETROL",SUMIFS(Table14[Quantity],Table14[Customer],$B158,Table14[Date],$A158,Table14[Bill No.],$C158),IF($K158="XtraGreen",SUMIFS(Table146[Quantity],Table146[Company],$B158,Table146[Date],$A158,Table146[Bill No.],$C158),""))))</f>
        <v/>
      </c>
      <c r="E158" s="219" t="str">
        <f>IF($A158="","",IF($K158="DIESEL",AVERAGEIFS(Table1[RSP],Table1[Customer],$B158,Table1[Date],$A158,Table1[Bill No.],$C158),IF($K158="PETROL",AVERAGEIFS(Table14[RSP],Table14[Customer],$B158,Table14[Date],$A158,Table14[Bill No.],$C158),IF($K158="XtraGreen",AVERAGEIFS(Table146[RSP],Table146[Company],$B158,Table146[Date],$A158,Table146[Bill No.],$C158),IFERROR($F158/$D158,"")))))</f>
        <v/>
      </c>
      <c r="F158" s="330" t="str">
        <f>IF($A158="","",IF($K158="DIESEL",SUMIFS(Table1[Amount],Table1[Customer],$B158,Table1[Date],$A158,Table1[Bill No.],$C158),IF($K158="PETROL",SUMIFS(Table14[Amount],Table14[Customer],$B158,Table14[Date],$A158,Table14[Bill No.],$C158),IF($K158="XtraGreen",SUMIFS(Table146[Amount],Table146[Company],$B158,Table146[Date],$A158,Table146[Bill No.],$C158),SUMIFS('Other Sale'!$D:$D,'Other Sale'!$E:$E,$B158,'Other Sale'!$C:$C,$K158,'Other Sale'!$A:$A,$A158)))))</f>
        <v/>
      </c>
      <c r="G158" s="330" t="str" cm="1">
        <f t="array" ref="G158">IF($A158="","",IF($K158="Payment",IFERROR(INDEX(_xlfn._xlws.FILTER(MasterPaid[Amount Paid],(MasterPaid[Customer]=$B158)*(MasterPaid[Date]=$A158)),COUNTIFS($A$6:$A158,$A158,$B$6:$B158,$B158,$K$6:$K158,"Payment")),0),0))</f>
        <v/>
      </c>
      <c r="H158" s="331"/>
      <c r="I158" s="331"/>
      <c r="J158" s="330" t="str">
        <f t="shared" si="3"/>
        <v/>
      </c>
      <c r="K158" s="289" t="str" cm="1">
        <f t="array" ref="K158">IFERROR(INDEX(_xlfn.ANCHORARRAY($Q$6),ROW()-5,4),"")</f>
        <v/>
      </c>
      <c r="L158" s="290"/>
      <c r="U158">
        <f>IF(OR($A158="",$F158=""),0,MAX(0,MIN($F158,SUMIFS($F$6:$F158,$B$6:$B158,$B158)-(SUMIFS($G$6:$G$355,$B$6:$B$355,$B158)+SUMIFS($H$6:$H$355,$B$6:$B$355,$B158)+SUMIFS($I$6:$I$355,$B$6:$B$355,$B158)))))</f>
        <v>0</v>
      </c>
      <c r="AD158" s="468"/>
      <c r="AE158" s="342"/>
      <c r="AF158" s="342"/>
      <c r="AG158" s="342"/>
      <c r="AH158" s="342"/>
      <c r="AI158" s="342"/>
      <c r="AJ158" s="342"/>
      <c r="AK158" s="342"/>
      <c r="AL158" s="342"/>
      <c r="AM158" s="342"/>
      <c r="AN158" s="342"/>
      <c r="AO158" s="342"/>
      <c r="AP158" s="342"/>
      <c r="AQ158" s="342"/>
      <c r="AR158" s="342"/>
      <c r="AS158" s="342"/>
      <c r="AT158" s="342"/>
      <c r="AU158" s="342"/>
      <c r="AV158" s="342"/>
      <c r="AW158" s="342"/>
      <c r="AX158" s="342"/>
      <c r="AY158" s="342"/>
      <c r="AZ158" s="342"/>
      <c r="BA158" s="342"/>
      <c r="BB158" s="342"/>
      <c r="BC158" s="342"/>
      <c r="BD158" s="342"/>
      <c r="BE158" s="342"/>
      <c r="BF158" s="342"/>
      <c r="BG158" s="342"/>
      <c r="BH158" s="342"/>
      <c r="BI158" s="342"/>
      <c r="BJ158" s="342"/>
      <c r="BK158" s="342"/>
      <c r="BL158" s="342"/>
    </row>
    <row r="159" spans="1:64" ht="23" x14ac:dyDescent="0.25">
      <c r="A159" s="217" t="str" cm="1">
        <f t="array" ref="A159">IFERROR(INDEX(_xlfn.ANCHORARRAY($Q$6),ROW()-5,1),"")</f>
        <v/>
      </c>
      <c r="B159" s="288" t="str" cm="1">
        <f t="array" ref="B159">IFERROR(INDEX(_xlfn.ANCHORARRAY($Q$6),ROW()-5,2),"")</f>
        <v/>
      </c>
      <c r="C159" s="289" t="str" cm="1">
        <f t="array" ref="C159">IFERROR(INDEX(_xlfn.ANCHORARRAY($Q$6),ROW()-5,3),"")</f>
        <v/>
      </c>
      <c r="D159" s="218" t="str">
        <f>IF($A159="","",IF($K159="DIESEL",SUMIFS(Table1[Quantity],Table1[Customer],$B159,Table1[Date],$A159,Table1[Bill No.],$C159),IF($K159="PETROL",SUMIFS(Table14[Quantity],Table14[Customer],$B159,Table14[Date],$A159,Table14[Bill No.],$C159),IF($K159="XtraGreen",SUMIFS(Table146[Quantity],Table146[Company],$B159,Table146[Date],$A159,Table146[Bill No.],$C159),""))))</f>
        <v/>
      </c>
      <c r="E159" s="219" t="str">
        <f>IF($A159="","",IF($K159="DIESEL",AVERAGEIFS(Table1[RSP],Table1[Customer],$B159,Table1[Date],$A159,Table1[Bill No.],$C159),IF($K159="PETROL",AVERAGEIFS(Table14[RSP],Table14[Customer],$B159,Table14[Date],$A159,Table14[Bill No.],$C159),IF($K159="XtraGreen",AVERAGEIFS(Table146[RSP],Table146[Company],$B159,Table146[Date],$A159,Table146[Bill No.],$C159),IFERROR($F159/$D159,"")))))</f>
        <v/>
      </c>
      <c r="F159" s="330" t="str">
        <f>IF($A159="","",IF($K159="DIESEL",SUMIFS(Table1[Amount],Table1[Customer],$B159,Table1[Date],$A159,Table1[Bill No.],$C159),IF($K159="PETROL",SUMIFS(Table14[Amount],Table14[Customer],$B159,Table14[Date],$A159,Table14[Bill No.],$C159),IF($K159="XtraGreen",SUMIFS(Table146[Amount],Table146[Company],$B159,Table146[Date],$A159,Table146[Bill No.],$C159),SUMIFS('Other Sale'!$D:$D,'Other Sale'!$E:$E,$B159,'Other Sale'!$C:$C,$K159,'Other Sale'!$A:$A,$A159)))))</f>
        <v/>
      </c>
      <c r="G159" s="330" t="str" cm="1">
        <f t="array" ref="G159">IF($A159="","",IF($K159="Payment",IFERROR(INDEX(_xlfn._xlws.FILTER(MasterPaid[Amount Paid],(MasterPaid[Customer]=$B159)*(MasterPaid[Date]=$A159)),COUNTIFS($A$6:$A159,$A159,$B$6:$B159,$B159,$K$6:$K159,"Payment")),0),0))</f>
        <v/>
      </c>
      <c r="H159" s="331"/>
      <c r="I159" s="331"/>
      <c r="J159" s="330" t="str">
        <f t="shared" si="3"/>
        <v/>
      </c>
      <c r="K159" s="289" t="str" cm="1">
        <f t="array" ref="K159">IFERROR(INDEX(_xlfn.ANCHORARRAY($Q$6),ROW()-5,4),"")</f>
        <v/>
      </c>
      <c r="L159" s="290"/>
      <c r="U159">
        <f>IF(OR($A159="",$F159=""),0,MAX(0,MIN($F159,SUMIFS($F$6:$F159,$B$6:$B159,$B159)-(SUMIFS($G$6:$G$355,$B$6:$B$355,$B159)+SUMIFS($H$6:$H$355,$B$6:$B$355,$B159)+SUMIFS($I$6:$I$355,$B$6:$B$355,$B159)))))</f>
        <v>0</v>
      </c>
      <c r="AD159" s="468"/>
      <c r="AE159" s="342"/>
      <c r="AF159" s="342"/>
      <c r="AG159" s="342"/>
      <c r="AH159" s="342"/>
      <c r="AI159" s="342"/>
      <c r="AJ159" s="342"/>
      <c r="AK159" s="342"/>
      <c r="AL159" s="342"/>
      <c r="AM159" s="342"/>
      <c r="AN159" s="342"/>
      <c r="AO159" s="342"/>
      <c r="AP159" s="342"/>
      <c r="AQ159" s="342"/>
      <c r="AR159" s="342"/>
      <c r="AS159" s="342"/>
      <c r="AT159" s="342"/>
      <c r="AU159" s="342"/>
      <c r="AV159" s="342"/>
      <c r="AW159" s="342"/>
      <c r="AX159" s="342"/>
      <c r="AY159" s="342"/>
      <c r="AZ159" s="342"/>
      <c r="BA159" s="342"/>
      <c r="BB159" s="342"/>
      <c r="BC159" s="342"/>
      <c r="BD159" s="342"/>
      <c r="BE159" s="342"/>
      <c r="BF159" s="342"/>
      <c r="BG159" s="342"/>
      <c r="BH159" s="342"/>
      <c r="BI159" s="342"/>
      <c r="BJ159" s="342"/>
      <c r="BK159" s="342"/>
      <c r="BL159" s="342"/>
    </row>
    <row r="160" spans="1:64" ht="23" x14ac:dyDescent="0.25">
      <c r="A160" s="217" t="str" cm="1">
        <f t="array" ref="A160">IFERROR(INDEX(_xlfn.ANCHORARRAY($Q$6),ROW()-5,1),"")</f>
        <v/>
      </c>
      <c r="B160" s="288" t="str" cm="1">
        <f t="array" ref="B160">IFERROR(INDEX(_xlfn.ANCHORARRAY($Q$6),ROW()-5,2),"")</f>
        <v/>
      </c>
      <c r="C160" s="289" t="str" cm="1">
        <f t="array" ref="C160">IFERROR(INDEX(_xlfn.ANCHORARRAY($Q$6),ROW()-5,3),"")</f>
        <v/>
      </c>
      <c r="D160" s="218" t="str">
        <f>IF($A160="","",IF($K160="DIESEL",SUMIFS(Table1[Quantity],Table1[Customer],$B160,Table1[Date],$A160,Table1[Bill No.],$C160),IF($K160="PETROL",SUMIFS(Table14[Quantity],Table14[Customer],$B160,Table14[Date],$A160,Table14[Bill No.],$C160),IF($K160="XtraGreen",SUMIFS(Table146[Quantity],Table146[Company],$B160,Table146[Date],$A160,Table146[Bill No.],$C160),""))))</f>
        <v/>
      </c>
      <c r="E160" s="219" t="str">
        <f>IF($A160="","",IF($K160="DIESEL",AVERAGEIFS(Table1[RSP],Table1[Customer],$B160,Table1[Date],$A160,Table1[Bill No.],$C160),IF($K160="PETROL",AVERAGEIFS(Table14[RSP],Table14[Customer],$B160,Table14[Date],$A160,Table14[Bill No.],$C160),IF($K160="XtraGreen",AVERAGEIFS(Table146[RSP],Table146[Company],$B160,Table146[Date],$A160,Table146[Bill No.],$C160),IFERROR($F160/$D160,"")))))</f>
        <v/>
      </c>
      <c r="F160" s="330" t="str">
        <f>IF($A160="","",IF($K160="DIESEL",SUMIFS(Table1[Amount],Table1[Customer],$B160,Table1[Date],$A160,Table1[Bill No.],$C160),IF($K160="PETROL",SUMIFS(Table14[Amount],Table14[Customer],$B160,Table14[Date],$A160,Table14[Bill No.],$C160),IF($K160="XtraGreen",SUMIFS(Table146[Amount],Table146[Company],$B160,Table146[Date],$A160,Table146[Bill No.],$C160),SUMIFS('Other Sale'!$D:$D,'Other Sale'!$E:$E,$B160,'Other Sale'!$C:$C,$K160,'Other Sale'!$A:$A,$A160)))))</f>
        <v/>
      </c>
      <c r="G160" s="330" t="str" cm="1">
        <f t="array" ref="G160">IF($A160="","",IF($K160="Payment",IFERROR(INDEX(_xlfn._xlws.FILTER(MasterPaid[Amount Paid],(MasterPaid[Customer]=$B160)*(MasterPaid[Date]=$A160)),COUNTIFS($A$6:$A160,$A160,$B$6:$B160,$B160,$K$6:$K160,"Payment")),0),0))</f>
        <v/>
      </c>
      <c r="H160" s="331"/>
      <c r="I160" s="331"/>
      <c r="J160" s="330" t="str">
        <f t="shared" si="3"/>
        <v/>
      </c>
      <c r="K160" s="289" t="str" cm="1">
        <f t="array" ref="K160">IFERROR(INDEX(_xlfn.ANCHORARRAY($Q$6),ROW()-5,4),"")</f>
        <v/>
      </c>
      <c r="L160" s="290"/>
      <c r="U160">
        <f>IF(OR($A160="",$F160=""),0,MAX(0,MIN($F160,SUMIFS($F$6:$F160,$B$6:$B160,$B160)-(SUMIFS($G$6:$G$355,$B$6:$B$355,$B160)+SUMIFS($H$6:$H$355,$B$6:$B$355,$B160)+SUMIFS($I$6:$I$355,$B$6:$B$355,$B160)))))</f>
        <v>0</v>
      </c>
      <c r="AD160" s="468"/>
      <c r="AE160" s="342"/>
      <c r="AF160" s="342"/>
      <c r="AG160" s="342"/>
      <c r="AH160" s="342"/>
      <c r="AI160" s="342"/>
      <c r="AJ160" s="342"/>
      <c r="AK160" s="342"/>
      <c r="AL160" s="342"/>
      <c r="AM160" s="342"/>
      <c r="AN160" s="342"/>
      <c r="AO160" s="342"/>
      <c r="AP160" s="342"/>
      <c r="AQ160" s="342"/>
      <c r="AR160" s="342"/>
      <c r="AS160" s="342"/>
      <c r="AT160" s="342"/>
      <c r="AU160" s="342"/>
      <c r="AV160" s="342"/>
      <c r="AW160" s="342"/>
      <c r="AX160" s="342"/>
      <c r="AY160" s="342"/>
      <c r="AZ160" s="342"/>
      <c r="BA160" s="342"/>
      <c r="BB160" s="342"/>
      <c r="BC160" s="342"/>
      <c r="BD160" s="342"/>
      <c r="BE160" s="342"/>
      <c r="BF160" s="342"/>
      <c r="BG160" s="342"/>
      <c r="BH160" s="342"/>
      <c r="BI160" s="342"/>
      <c r="BJ160" s="342"/>
      <c r="BK160" s="342"/>
      <c r="BL160" s="342"/>
    </row>
    <row r="161" spans="1:64" ht="23" x14ac:dyDescent="0.25">
      <c r="A161" s="217" t="str" cm="1">
        <f t="array" ref="A161">IFERROR(INDEX(_xlfn.ANCHORARRAY($Q$6),ROW()-5,1),"")</f>
        <v/>
      </c>
      <c r="B161" s="288" t="str" cm="1">
        <f t="array" ref="B161">IFERROR(INDEX(_xlfn.ANCHORARRAY($Q$6),ROW()-5,2),"")</f>
        <v/>
      </c>
      <c r="C161" s="289" t="str" cm="1">
        <f t="array" ref="C161">IFERROR(INDEX(_xlfn.ANCHORARRAY($Q$6),ROW()-5,3),"")</f>
        <v/>
      </c>
      <c r="D161" s="218" t="str">
        <f>IF($A161="","",IF($K161="DIESEL",SUMIFS(Table1[Quantity],Table1[Customer],$B161,Table1[Date],$A161,Table1[Bill No.],$C161),IF($K161="PETROL",SUMIFS(Table14[Quantity],Table14[Customer],$B161,Table14[Date],$A161,Table14[Bill No.],$C161),IF($K161="XtraGreen",SUMIFS(Table146[Quantity],Table146[Company],$B161,Table146[Date],$A161,Table146[Bill No.],$C161),""))))</f>
        <v/>
      </c>
      <c r="E161" s="219" t="str">
        <f>IF($A161="","",IF($K161="DIESEL",AVERAGEIFS(Table1[RSP],Table1[Customer],$B161,Table1[Date],$A161,Table1[Bill No.],$C161),IF($K161="PETROL",AVERAGEIFS(Table14[RSP],Table14[Customer],$B161,Table14[Date],$A161,Table14[Bill No.],$C161),IF($K161="XtraGreen",AVERAGEIFS(Table146[RSP],Table146[Company],$B161,Table146[Date],$A161,Table146[Bill No.],$C161),IFERROR($F161/$D161,"")))))</f>
        <v/>
      </c>
      <c r="F161" s="330" t="str">
        <f>IF($A161="","",IF($K161="DIESEL",SUMIFS(Table1[Amount],Table1[Customer],$B161,Table1[Date],$A161,Table1[Bill No.],$C161),IF($K161="PETROL",SUMIFS(Table14[Amount],Table14[Customer],$B161,Table14[Date],$A161,Table14[Bill No.],$C161),IF($K161="XtraGreen",SUMIFS(Table146[Amount],Table146[Company],$B161,Table146[Date],$A161,Table146[Bill No.],$C161),SUMIFS('Other Sale'!$D:$D,'Other Sale'!$E:$E,$B161,'Other Sale'!$C:$C,$K161,'Other Sale'!$A:$A,$A161)))))</f>
        <v/>
      </c>
      <c r="G161" s="330" t="str" cm="1">
        <f t="array" ref="G161">IF($A161="","",IF($K161="Payment",IFERROR(INDEX(_xlfn._xlws.FILTER(MasterPaid[Amount Paid],(MasterPaid[Customer]=$B161)*(MasterPaid[Date]=$A161)),COUNTIFS($A$6:$A161,$A161,$B$6:$B161,$B161,$K$6:$K161,"Payment")),0),0))</f>
        <v/>
      </c>
      <c r="H161" s="331"/>
      <c r="I161" s="331"/>
      <c r="J161" s="330" t="str">
        <f t="shared" si="3"/>
        <v/>
      </c>
      <c r="K161" s="289" t="str" cm="1">
        <f t="array" ref="K161">IFERROR(INDEX(_xlfn.ANCHORARRAY($Q$6),ROW()-5,4),"")</f>
        <v/>
      </c>
      <c r="L161" s="290"/>
      <c r="U161">
        <f>IF(OR($A161="",$F161=""),0,MAX(0,MIN($F161,SUMIFS($F$6:$F161,$B$6:$B161,$B161)-(SUMIFS($G$6:$G$355,$B$6:$B$355,$B161)+SUMIFS($H$6:$H$355,$B$6:$B$355,$B161)+SUMIFS($I$6:$I$355,$B$6:$B$355,$B161)))))</f>
        <v>0</v>
      </c>
      <c r="AD161" s="468"/>
      <c r="AE161" s="342"/>
      <c r="AF161" s="342"/>
      <c r="AG161" s="342"/>
      <c r="AH161" s="342"/>
      <c r="AI161" s="342"/>
      <c r="AJ161" s="342"/>
      <c r="AK161" s="342"/>
      <c r="AL161" s="342"/>
      <c r="AM161" s="342"/>
      <c r="AN161" s="342"/>
      <c r="AO161" s="342"/>
      <c r="AP161" s="342"/>
      <c r="AQ161" s="342"/>
      <c r="AR161" s="342"/>
      <c r="AS161" s="342"/>
      <c r="AT161" s="342"/>
      <c r="AU161" s="342"/>
      <c r="AV161" s="342"/>
      <c r="AW161" s="342"/>
      <c r="AX161" s="342"/>
      <c r="AY161" s="342"/>
      <c r="AZ161" s="342"/>
      <c r="BA161" s="342"/>
      <c r="BB161" s="342"/>
      <c r="BC161" s="342"/>
      <c r="BD161" s="342"/>
      <c r="BE161" s="342"/>
      <c r="BF161" s="342"/>
      <c r="BG161" s="342"/>
      <c r="BH161" s="342"/>
      <c r="BI161" s="342"/>
      <c r="BJ161" s="342"/>
      <c r="BK161" s="342"/>
      <c r="BL161" s="342"/>
    </row>
    <row r="162" spans="1:64" ht="23" x14ac:dyDescent="0.25">
      <c r="A162" s="217" t="str" cm="1">
        <f t="array" ref="A162">IFERROR(INDEX(_xlfn.ANCHORARRAY($Q$6),ROW()-5,1),"")</f>
        <v/>
      </c>
      <c r="B162" s="288" t="str" cm="1">
        <f t="array" ref="B162">IFERROR(INDEX(_xlfn.ANCHORARRAY($Q$6),ROW()-5,2),"")</f>
        <v/>
      </c>
      <c r="C162" s="289" t="str" cm="1">
        <f t="array" ref="C162">IFERROR(INDEX(_xlfn.ANCHORARRAY($Q$6),ROW()-5,3),"")</f>
        <v/>
      </c>
      <c r="D162" s="218" t="str">
        <f>IF($A162="","",IF($K162="DIESEL",SUMIFS(Table1[Quantity],Table1[Customer],$B162,Table1[Date],$A162,Table1[Bill No.],$C162),IF($K162="PETROL",SUMIFS(Table14[Quantity],Table14[Customer],$B162,Table14[Date],$A162,Table14[Bill No.],$C162),IF($K162="XtraGreen",SUMIFS(Table146[Quantity],Table146[Company],$B162,Table146[Date],$A162,Table146[Bill No.],$C162),""))))</f>
        <v/>
      </c>
      <c r="E162" s="219" t="str">
        <f>IF($A162="","",IF($K162="DIESEL",AVERAGEIFS(Table1[RSP],Table1[Customer],$B162,Table1[Date],$A162,Table1[Bill No.],$C162),IF($K162="PETROL",AVERAGEIFS(Table14[RSP],Table14[Customer],$B162,Table14[Date],$A162,Table14[Bill No.],$C162),IF($K162="XtraGreen",AVERAGEIFS(Table146[RSP],Table146[Company],$B162,Table146[Date],$A162,Table146[Bill No.],$C162),IFERROR($F162/$D162,"")))))</f>
        <v/>
      </c>
      <c r="F162" s="330" t="str">
        <f>IF($A162="","",IF($K162="DIESEL",SUMIFS(Table1[Amount],Table1[Customer],$B162,Table1[Date],$A162,Table1[Bill No.],$C162),IF($K162="PETROL",SUMIFS(Table14[Amount],Table14[Customer],$B162,Table14[Date],$A162,Table14[Bill No.],$C162),IF($K162="XtraGreen",SUMIFS(Table146[Amount],Table146[Company],$B162,Table146[Date],$A162,Table146[Bill No.],$C162),SUMIFS('Other Sale'!$D:$D,'Other Sale'!$E:$E,$B162,'Other Sale'!$C:$C,$K162,'Other Sale'!$A:$A,$A162)))))</f>
        <v/>
      </c>
      <c r="G162" s="330" t="str" cm="1">
        <f t="array" ref="G162">IF($A162="","",IF($K162="Payment",IFERROR(INDEX(_xlfn._xlws.FILTER(MasterPaid[Amount Paid],(MasterPaid[Customer]=$B162)*(MasterPaid[Date]=$A162)),COUNTIFS($A$6:$A162,$A162,$B$6:$B162,$B162,$K$6:$K162,"Payment")),0),0))</f>
        <v/>
      </c>
      <c r="H162" s="331"/>
      <c r="I162" s="331"/>
      <c r="J162" s="330" t="str">
        <f t="shared" si="3"/>
        <v/>
      </c>
      <c r="K162" s="289" t="str" cm="1">
        <f t="array" ref="K162">IFERROR(INDEX(_xlfn.ANCHORARRAY($Q$6),ROW()-5,4),"")</f>
        <v/>
      </c>
      <c r="L162" s="290"/>
      <c r="U162">
        <f>IF(OR($A162="",$F162=""),0,MAX(0,MIN($F162,SUMIFS($F$6:$F162,$B$6:$B162,$B162)-(SUMIFS($G$6:$G$355,$B$6:$B$355,$B162)+SUMIFS($H$6:$H$355,$B$6:$B$355,$B162)+SUMIFS($I$6:$I$355,$B$6:$B$355,$B162)))))</f>
        <v>0</v>
      </c>
      <c r="AD162" s="468"/>
      <c r="AE162" s="342"/>
      <c r="AF162" s="342"/>
      <c r="AG162" s="342"/>
      <c r="AH162" s="342"/>
      <c r="AI162" s="342"/>
      <c r="AJ162" s="342"/>
      <c r="AK162" s="342"/>
      <c r="AL162" s="342"/>
      <c r="AM162" s="342"/>
      <c r="AN162" s="342"/>
      <c r="AO162" s="342"/>
      <c r="AP162" s="342"/>
      <c r="AQ162" s="342"/>
      <c r="AR162" s="342"/>
      <c r="AS162" s="342"/>
      <c r="AT162" s="342"/>
      <c r="AU162" s="342"/>
      <c r="AV162" s="342"/>
      <c r="AW162" s="342"/>
      <c r="AX162" s="342"/>
      <c r="AY162" s="342"/>
      <c r="AZ162" s="342"/>
      <c r="BA162" s="342"/>
      <c r="BB162" s="342"/>
      <c r="BC162" s="342"/>
      <c r="BD162" s="342"/>
      <c r="BE162" s="342"/>
      <c r="BF162" s="342"/>
      <c r="BG162" s="342"/>
      <c r="BH162" s="342"/>
      <c r="BI162" s="342"/>
      <c r="BJ162" s="342"/>
      <c r="BK162" s="342"/>
      <c r="BL162" s="342"/>
    </row>
    <row r="163" spans="1:64" ht="23" x14ac:dyDescent="0.25">
      <c r="A163" s="217" t="str" cm="1">
        <f t="array" ref="A163">IFERROR(INDEX(_xlfn.ANCHORARRAY($Q$6),ROW()-5,1),"")</f>
        <v/>
      </c>
      <c r="B163" s="288" t="str" cm="1">
        <f t="array" ref="B163">IFERROR(INDEX(_xlfn.ANCHORARRAY($Q$6),ROW()-5,2),"")</f>
        <v/>
      </c>
      <c r="C163" s="289" t="str" cm="1">
        <f t="array" ref="C163">IFERROR(INDEX(_xlfn.ANCHORARRAY($Q$6),ROW()-5,3),"")</f>
        <v/>
      </c>
      <c r="D163" s="218" t="str">
        <f>IF($A163="","",IF($K163="DIESEL",SUMIFS(Table1[Quantity],Table1[Customer],$B163,Table1[Date],$A163,Table1[Bill No.],$C163),IF($K163="PETROL",SUMIFS(Table14[Quantity],Table14[Customer],$B163,Table14[Date],$A163,Table14[Bill No.],$C163),IF($K163="XtraGreen",SUMIFS(Table146[Quantity],Table146[Company],$B163,Table146[Date],$A163,Table146[Bill No.],$C163),""))))</f>
        <v/>
      </c>
      <c r="E163" s="219" t="str">
        <f>IF($A163="","",IF($K163="DIESEL",AVERAGEIFS(Table1[RSP],Table1[Customer],$B163,Table1[Date],$A163,Table1[Bill No.],$C163),IF($K163="PETROL",AVERAGEIFS(Table14[RSP],Table14[Customer],$B163,Table14[Date],$A163,Table14[Bill No.],$C163),IF($K163="XtraGreen",AVERAGEIFS(Table146[RSP],Table146[Company],$B163,Table146[Date],$A163,Table146[Bill No.],$C163),IFERROR($F163/$D163,"")))))</f>
        <v/>
      </c>
      <c r="F163" s="330" t="str">
        <f>IF($A163="","",IF($K163="DIESEL",SUMIFS(Table1[Amount],Table1[Customer],$B163,Table1[Date],$A163,Table1[Bill No.],$C163),IF($K163="PETROL",SUMIFS(Table14[Amount],Table14[Customer],$B163,Table14[Date],$A163,Table14[Bill No.],$C163),IF($K163="XtraGreen",SUMIFS(Table146[Amount],Table146[Company],$B163,Table146[Date],$A163,Table146[Bill No.],$C163),SUMIFS('Other Sale'!$D:$D,'Other Sale'!$E:$E,$B163,'Other Sale'!$C:$C,$K163,'Other Sale'!$A:$A,$A163)))))</f>
        <v/>
      </c>
      <c r="G163" s="330" t="str" cm="1">
        <f t="array" ref="G163">IF($A163="","",IF($K163="Payment",IFERROR(INDEX(_xlfn._xlws.FILTER(MasterPaid[Amount Paid],(MasterPaid[Customer]=$B163)*(MasterPaid[Date]=$A163)),COUNTIFS($A$6:$A163,$A163,$B$6:$B163,$B163,$K$6:$K163,"Payment")),0),0))</f>
        <v/>
      </c>
      <c r="H163" s="331"/>
      <c r="I163" s="331"/>
      <c r="J163" s="330" t="str">
        <f t="shared" si="3"/>
        <v/>
      </c>
      <c r="K163" s="289" t="str" cm="1">
        <f t="array" ref="K163">IFERROR(INDEX(_xlfn.ANCHORARRAY($Q$6),ROW()-5,4),"")</f>
        <v/>
      </c>
      <c r="L163" s="290"/>
      <c r="U163">
        <f>IF(OR($A163="",$F163=""),0,MAX(0,MIN($F163,SUMIFS($F$6:$F163,$B$6:$B163,$B163)-(SUMIFS($G$6:$G$355,$B$6:$B$355,$B163)+SUMIFS($H$6:$H$355,$B$6:$B$355,$B163)+SUMIFS($I$6:$I$355,$B$6:$B$355,$B163)))))</f>
        <v>0</v>
      </c>
      <c r="AD163" s="468"/>
      <c r="AE163" s="342"/>
      <c r="AF163" s="342"/>
      <c r="AG163" s="342"/>
      <c r="AH163" s="342"/>
      <c r="AI163" s="342"/>
      <c r="AJ163" s="342"/>
      <c r="AK163" s="342"/>
      <c r="AL163" s="342"/>
      <c r="AM163" s="342"/>
      <c r="AN163" s="342"/>
      <c r="AO163" s="342"/>
      <c r="AP163" s="342"/>
      <c r="AQ163" s="342"/>
      <c r="AR163" s="342"/>
      <c r="AS163" s="342"/>
      <c r="AT163" s="342"/>
      <c r="AU163" s="342"/>
      <c r="AV163" s="342"/>
      <c r="AW163" s="342"/>
      <c r="AX163" s="342"/>
      <c r="AY163" s="342"/>
      <c r="AZ163" s="342"/>
      <c r="BA163" s="342"/>
      <c r="BB163" s="342"/>
      <c r="BC163" s="342"/>
      <c r="BD163" s="342"/>
      <c r="BE163" s="342"/>
      <c r="BF163" s="342"/>
      <c r="BG163" s="342"/>
      <c r="BH163" s="342"/>
      <c r="BI163" s="342"/>
      <c r="BJ163" s="342"/>
      <c r="BK163" s="342"/>
      <c r="BL163" s="342"/>
    </row>
    <row r="164" spans="1:64" ht="23" x14ac:dyDescent="0.25">
      <c r="A164" s="217" t="str" cm="1">
        <f t="array" ref="A164">IFERROR(INDEX(_xlfn.ANCHORARRAY($Q$6),ROW()-5,1),"")</f>
        <v/>
      </c>
      <c r="B164" s="288" t="str" cm="1">
        <f t="array" ref="B164">IFERROR(INDEX(_xlfn.ANCHORARRAY($Q$6),ROW()-5,2),"")</f>
        <v/>
      </c>
      <c r="C164" s="289" t="str" cm="1">
        <f t="array" ref="C164">IFERROR(INDEX(_xlfn.ANCHORARRAY($Q$6),ROW()-5,3),"")</f>
        <v/>
      </c>
      <c r="D164" s="218" t="str">
        <f>IF($A164="","",IF($K164="DIESEL",SUMIFS(Table1[Quantity],Table1[Customer],$B164,Table1[Date],$A164,Table1[Bill No.],$C164),IF($K164="PETROL",SUMIFS(Table14[Quantity],Table14[Customer],$B164,Table14[Date],$A164,Table14[Bill No.],$C164),IF($K164="XtraGreen",SUMIFS(Table146[Quantity],Table146[Company],$B164,Table146[Date],$A164,Table146[Bill No.],$C164),""))))</f>
        <v/>
      </c>
      <c r="E164" s="219" t="str">
        <f>IF($A164="","",IF($K164="DIESEL",AVERAGEIFS(Table1[RSP],Table1[Customer],$B164,Table1[Date],$A164,Table1[Bill No.],$C164),IF($K164="PETROL",AVERAGEIFS(Table14[RSP],Table14[Customer],$B164,Table14[Date],$A164,Table14[Bill No.],$C164),IF($K164="XtraGreen",AVERAGEIFS(Table146[RSP],Table146[Company],$B164,Table146[Date],$A164,Table146[Bill No.],$C164),IFERROR($F164/$D164,"")))))</f>
        <v/>
      </c>
      <c r="F164" s="330" t="str">
        <f>IF($A164="","",IF($K164="DIESEL",SUMIFS(Table1[Amount],Table1[Customer],$B164,Table1[Date],$A164,Table1[Bill No.],$C164),IF($K164="PETROL",SUMIFS(Table14[Amount],Table14[Customer],$B164,Table14[Date],$A164,Table14[Bill No.],$C164),IF($K164="XtraGreen",SUMIFS(Table146[Amount],Table146[Company],$B164,Table146[Date],$A164,Table146[Bill No.],$C164),SUMIFS('Other Sale'!$D:$D,'Other Sale'!$E:$E,$B164,'Other Sale'!$C:$C,$K164,'Other Sale'!$A:$A,$A164)))))</f>
        <v/>
      </c>
      <c r="G164" s="330" t="str" cm="1">
        <f t="array" ref="G164">IF($A164="","",IF($K164="Payment",IFERROR(INDEX(_xlfn._xlws.FILTER(MasterPaid[Amount Paid],(MasterPaid[Customer]=$B164)*(MasterPaid[Date]=$A164)),COUNTIFS($A$6:$A164,$A164,$B$6:$B164,$B164,$K$6:$K164,"Payment")),0),0))</f>
        <v/>
      </c>
      <c r="H164" s="331"/>
      <c r="I164" s="331"/>
      <c r="J164" s="330" t="str">
        <f t="shared" si="3"/>
        <v/>
      </c>
      <c r="K164" s="289" t="str" cm="1">
        <f t="array" ref="K164">IFERROR(INDEX(_xlfn.ANCHORARRAY($Q$6),ROW()-5,4),"")</f>
        <v/>
      </c>
      <c r="L164" s="290"/>
      <c r="U164">
        <f>IF(OR($A164="",$F164=""),0,MAX(0,MIN($F164,SUMIFS($F$6:$F164,$B$6:$B164,$B164)-(SUMIFS($G$6:$G$355,$B$6:$B$355,$B164)+SUMIFS($H$6:$H$355,$B$6:$B$355,$B164)+SUMIFS($I$6:$I$355,$B$6:$B$355,$B164)))))</f>
        <v>0</v>
      </c>
      <c r="AD164" s="468"/>
      <c r="AE164" s="342"/>
      <c r="AF164" s="342"/>
      <c r="AG164" s="342"/>
      <c r="AH164" s="342"/>
      <c r="AI164" s="342"/>
      <c r="AJ164" s="342"/>
      <c r="AK164" s="342"/>
      <c r="AL164" s="342"/>
      <c r="AM164" s="342"/>
      <c r="AN164" s="342"/>
      <c r="AO164" s="342"/>
      <c r="AP164" s="342"/>
      <c r="AQ164" s="342"/>
      <c r="AR164" s="342"/>
      <c r="AS164" s="342"/>
      <c r="AT164" s="342"/>
      <c r="AU164" s="342"/>
      <c r="AV164" s="342"/>
      <c r="AW164" s="342"/>
      <c r="AX164" s="342"/>
      <c r="AY164" s="342"/>
      <c r="AZ164" s="342"/>
      <c r="BA164" s="342"/>
      <c r="BB164" s="342"/>
      <c r="BC164" s="342"/>
      <c r="BD164" s="342"/>
      <c r="BE164" s="342"/>
      <c r="BF164" s="342"/>
      <c r="BG164" s="342"/>
      <c r="BH164" s="342"/>
      <c r="BI164" s="342"/>
      <c r="BJ164" s="342"/>
      <c r="BK164" s="342"/>
      <c r="BL164" s="342"/>
    </row>
    <row r="165" spans="1:64" ht="23" x14ac:dyDescent="0.25">
      <c r="A165" s="217" t="str" cm="1">
        <f t="array" ref="A165">IFERROR(INDEX(_xlfn.ANCHORARRAY($Q$6),ROW()-5,1),"")</f>
        <v/>
      </c>
      <c r="B165" s="288" t="str" cm="1">
        <f t="array" ref="B165">IFERROR(INDEX(_xlfn.ANCHORARRAY($Q$6),ROW()-5,2),"")</f>
        <v/>
      </c>
      <c r="C165" s="289" t="str" cm="1">
        <f t="array" ref="C165">IFERROR(INDEX(_xlfn.ANCHORARRAY($Q$6),ROW()-5,3),"")</f>
        <v/>
      </c>
      <c r="D165" s="218" t="str">
        <f>IF($A165="","",IF($K165="DIESEL",SUMIFS(Table1[Quantity],Table1[Customer],$B165,Table1[Date],$A165,Table1[Bill No.],$C165),IF($K165="PETROL",SUMIFS(Table14[Quantity],Table14[Customer],$B165,Table14[Date],$A165,Table14[Bill No.],$C165),IF($K165="XtraGreen",SUMIFS(Table146[Quantity],Table146[Company],$B165,Table146[Date],$A165,Table146[Bill No.],$C165),""))))</f>
        <v/>
      </c>
      <c r="E165" s="219" t="str">
        <f>IF($A165="","",IF($K165="DIESEL",AVERAGEIFS(Table1[RSP],Table1[Customer],$B165,Table1[Date],$A165,Table1[Bill No.],$C165),IF($K165="PETROL",AVERAGEIFS(Table14[RSP],Table14[Customer],$B165,Table14[Date],$A165,Table14[Bill No.],$C165),IF($K165="XtraGreen",AVERAGEIFS(Table146[RSP],Table146[Company],$B165,Table146[Date],$A165,Table146[Bill No.],$C165),IFERROR($F165/$D165,"")))))</f>
        <v/>
      </c>
      <c r="F165" s="330" t="str">
        <f>IF($A165="","",IF($K165="DIESEL",SUMIFS(Table1[Amount],Table1[Customer],$B165,Table1[Date],$A165,Table1[Bill No.],$C165),IF($K165="PETROL",SUMIFS(Table14[Amount],Table14[Customer],$B165,Table14[Date],$A165,Table14[Bill No.],$C165),IF($K165="XtraGreen",SUMIFS(Table146[Amount],Table146[Company],$B165,Table146[Date],$A165,Table146[Bill No.],$C165),SUMIFS('Other Sale'!$D:$D,'Other Sale'!$E:$E,$B165,'Other Sale'!$C:$C,$K165,'Other Sale'!$A:$A,$A165)))))</f>
        <v/>
      </c>
      <c r="G165" s="330" t="str" cm="1">
        <f t="array" ref="G165">IF($A165="","",IF($K165="Payment",IFERROR(INDEX(_xlfn._xlws.FILTER(MasterPaid[Amount Paid],(MasterPaid[Customer]=$B165)*(MasterPaid[Date]=$A165)),COUNTIFS($A$6:$A165,$A165,$B$6:$B165,$B165,$K$6:$K165,"Payment")),0),0))</f>
        <v/>
      </c>
      <c r="H165" s="331"/>
      <c r="I165" s="331"/>
      <c r="J165" s="330" t="str">
        <f t="shared" si="3"/>
        <v/>
      </c>
      <c r="K165" s="289" t="str" cm="1">
        <f t="array" ref="K165">IFERROR(INDEX(_xlfn.ANCHORARRAY($Q$6),ROW()-5,4),"")</f>
        <v/>
      </c>
      <c r="L165" s="290"/>
      <c r="U165">
        <f>IF(OR($A165="",$F165=""),0,MAX(0,MIN($F165,SUMIFS($F$6:$F165,$B$6:$B165,$B165)-(SUMIFS($G$6:$G$355,$B$6:$B$355,$B165)+SUMIFS($H$6:$H$355,$B$6:$B$355,$B165)+SUMIFS($I$6:$I$355,$B$6:$B$355,$B165)))))</f>
        <v>0</v>
      </c>
      <c r="AD165" s="468"/>
      <c r="AE165" s="342"/>
      <c r="AF165" s="342"/>
      <c r="AG165" s="342"/>
      <c r="AH165" s="342"/>
      <c r="AI165" s="342"/>
      <c r="AJ165" s="342"/>
      <c r="AK165" s="342"/>
      <c r="AL165" s="342"/>
      <c r="AM165" s="342"/>
      <c r="AN165" s="342"/>
      <c r="AO165" s="342"/>
      <c r="AP165" s="342"/>
      <c r="AQ165" s="342"/>
      <c r="AR165" s="342"/>
      <c r="AS165" s="342"/>
      <c r="AT165" s="342"/>
      <c r="AU165" s="342"/>
      <c r="AV165" s="342"/>
      <c r="AW165" s="342"/>
      <c r="AX165" s="342"/>
      <c r="AY165" s="342"/>
      <c r="AZ165" s="342"/>
      <c r="BA165" s="342"/>
      <c r="BB165" s="342"/>
      <c r="BC165" s="342"/>
      <c r="BD165" s="342"/>
      <c r="BE165" s="342"/>
      <c r="BF165" s="342"/>
      <c r="BG165" s="342"/>
      <c r="BH165" s="342"/>
      <c r="BI165" s="342"/>
      <c r="BJ165" s="342"/>
      <c r="BK165" s="342"/>
      <c r="BL165" s="342"/>
    </row>
    <row r="166" spans="1:64" ht="23" x14ac:dyDescent="0.25">
      <c r="A166" s="217" t="str" cm="1">
        <f t="array" ref="A166">IFERROR(INDEX(_xlfn.ANCHORARRAY($Q$6),ROW()-5,1),"")</f>
        <v/>
      </c>
      <c r="B166" s="288" t="str" cm="1">
        <f t="array" ref="B166">IFERROR(INDEX(_xlfn.ANCHORARRAY($Q$6),ROW()-5,2),"")</f>
        <v/>
      </c>
      <c r="C166" s="289" t="str" cm="1">
        <f t="array" ref="C166">IFERROR(INDEX(_xlfn.ANCHORARRAY($Q$6),ROW()-5,3),"")</f>
        <v/>
      </c>
      <c r="D166" s="218" t="str">
        <f>IF($A166="","",IF($K166="DIESEL",SUMIFS(Table1[Quantity],Table1[Customer],$B166,Table1[Date],$A166,Table1[Bill No.],$C166),IF($K166="PETROL",SUMIFS(Table14[Quantity],Table14[Customer],$B166,Table14[Date],$A166,Table14[Bill No.],$C166),IF($K166="XtraGreen",SUMIFS(Table146[Quantity],Table146[Company],$B166,Table146[Date],$A166,Table146[Bill No.],$C166),""))))</f>
        <v/>
      </c>
      <c r="E166" s="219" t="str">
        <f>IF($A166="","",IF($K166="DIESEL",AVERAGEIFS(Table1[RSP],Table1[Customer],$B166,Table1[Date],$A166,Table1[Bill No.],$C166),IF($K166="PETROL",AVERAGEIFS(Table14[RSP],Table14[Customer],$B166,Table14[Date],$A166,Table14[Bill No.],$C166),IF($K166="XtraGreen",AVERAGEIFS(Table146[RSP],Table146[Company],$B166,Table146[Date],$A166,Table146[Bill No.],$C166),IFERROR($F166/$D166,"")))))</f>
        <v/>
      </c>
      <c r="F166" s="330" t="str">
        <f>IF($A166="","",IF($K166="DIESEL",SUMIFS(Table1[Amount],Table1[Customer],$B166,Table1[Date],$A166,Table1[Bill No.],$C166),IF($K166="PETROL",SUMIFS(Table14[Amount],Table14[Customer],$B166,Table14[Date],$A166,Table14[Bill No.],$C166),IF($K166="XtraGreen",SUMIFS(Table146[Amount],Table146[Company],$B166,Table146[Date],$A166,Table146[Bill No.],$C166),SUMIFS('Other Sale'!$D:$D,'Other Sale'!$E:$E,$B166,'Other Sale'!$C:$C,$K166,'Other Sale'!$A:$A,$A166)))))</f>
        <v/>
      </c>
      <c r="G166" s="330" t="str" cm="1">
        <f t="array" ref="G166">IF($A166="","",IF($K166="Payment",IFERROR(INDEX(_xlfn._xlws.FILTER(MasterPaid[Amount Paid],(MasterPaid[Customer]=$B166)*(MasterPaid[Date]=$A166)),COUNTIFS($A$6:$A166,$A166,$B$6:$B166,$B166,$K$6:$K166,"Payment")),0),0))</f>
        <v/>
      </c>
      <c r="H166" s="331"/>
      <c r="I166" s="331"/>
      <c r="J166" s="330" t="str">
        <f t="shared" si="3"/>
        <v/>
      </c>
      <c r="K166" s="289" t="str" cm="1">
        <f t="array" ref="K166">IFERROR(INDEX(_xlfn.ANCHORARRAY($Q$6),ROW()-5,4),"")</f>
        <v/>
      </c>
      <c r="L166" s="290"/>
      <c r="U166">
        <f>IF(OR($A166="",$F166=""),0,MAX(0,MIN($F166,SUMIFS($F$6:$F166,$B$6:$B166,$B166)-(SUMIFS($G$6:$G$355,$B$6:$B$355,$B166)+SUMIFS($H$6:$H$355,$B$6:$B$355,$B166)+SUMIFS($I$6:$I$355,$B$6:$B$355,$B166)))))</f>
        <v>0</v>
      </c>
      <c r="AD166" s="468"/>
      <c r="AE166" s="342"/>
      <c r="AF166" s="342"/>
      <c r="AG166" s="342"/>
      <c r="AH166" s="342"/>
      <c r="AI166" s="342"/>
      <c r="AJ166" s="342"/>
      <c r="AK166" s="342"/>
      <c r="AL166" s="342"/>
      <c r="AM166" s="342"/>
      <c r="AN166" s="342"/>
      <c r="AO166" s="342"/>
      <c r="AP166" s="342"/>
      <c r="AQ166" s="342"/>
      <c r="AR166" s="342"/>
      <c r="AS166" s="342"/>
      <c r="AT166" s="342"/>
      <c r="AU166" s="342"/>
      <c r="AV166" s="342"/>
      <c r="AW166" s="342"/>
      <c r="AX166" s="342"/>
      <c r="AY166" s="342"/>
      <c r="AZ166" s="342"/>
      <c r="BA166" s="342"/>
      <c r="BB166" s="342"/>
      <c r="BC166" s="342"/>
      <c r="BD166" s="342"/>
      <c r="BE166" s="342"/>
      <c r="BF166" s="342"/>
      <c r="BG166" s="342"/>
      <c r="BH166" s="342"/>
      <c r="BI166" s="342"/>
      <c r="BJ166" s="342"/>
      <c r="BK166" s="342"/>
      <c r="BL166" s="342"/>
    </row>
    <row r="167" spans="1:64" ht="23" x14ac:dyDescent="0.25">
      <c r="A167" s="217" t="str" cm="1">
        <f t="array" ref="A167">IFERROR(INDEX(_xlfn.ANCHORARRAY($Q$6),ROW()-5,1),"")</f>
        <v/>
      </c>
      <c r="B167" s="288" t="str" cm="1">
        <f t="array" ref="B167">IFERROR(INDEX(_xlfn.ANCHORARRAY($Q$6),ROW()-5,2),"")</f>
        <v/>
      </c>
      <c r="C167" s="289" t="str" cm="1">
        <f t="array" ref="C167">IFERROR(INDEX(_xlfn.ANCHORARRAY($Q$6),ROW()-5,3),"")</f>
        <v/>
      </c>
      <c r="D167" s="218" t="str">
        <f>IF($A167="","",IF($K167="DIESEL",SUMIFS(Table1[Quantity],Table1[Customer],$B167,Table1[Date],$A167,Table1[Bill No.],$C167),IF($K167="PETROL",SUMIFS(Table14[Quantity],Table14[Customer],$B167,Table14[Date],$A167,Table14[Bill No.],$C167),IF($K167="XtraGreen",SUMIFS(Table146[Quantity],Table146[Company],$B167,Table146[Date],$A167,Table146[Bill No.],$C167),""))))</f>
        <v/>
      </c>
      <c r="E167" s="219" t="str">
        <f>IF($A167="","",IF($K167="DIESEL",AVERAGEIFS(Table1[RSP],Table1[Customer],$B167,Table1[Date],$A167,Table1[Bill No.],$C167),IF($K167="PETROL",AVERAGEIFS(Table14[RSP],Table14[Customer],$B167,Table14[Date],$A167,Table14[Bill No.],$C167),IF($K167="XtraGreen",AVERAGEIFS(Table146[RSP],Table146[Company],$B167,Table146[Date],$A167,Table146[Bill No.],$C167),IFERROR($F167/$D167,"")))))</f>
        <v/>
      </c>
      <c r="F167" s="330" t="str">
        <f>IF($A167="","",IF($K167="DIESEL",SUMIFS(Table1[Amount],Table1[Customer],$B167,Table1[Date],$A167,Table1[Bill No.],$C167),IF($K167="PETROL",SUMIFS(Table14[Amount],Table14[Customer],$B167,Table14[Date],$A167,Table14[Bill No.],$C167),IF($K167="XtraGreen",SUMIFS(Table146[Amount],Table146[Company],$B167,Table146[Date],$A167,Table146[Bill No.],$C167),SUMIFS('Other Sale'!$D:$D,'Other Sale'!$E:$E,$B167,'Other Sale'!$C:$C,$K167,'Other Sale'!$A:$A,$A167)))))</f>
        <v/>
      </c>
      <c r="G167" s="330" t="str" cm="1">
        <f t="array" ref="G167">IF($A167="","",IF($K167="Payment",IFERROR(INDEX(_xlfn._xlws.FILTER(MasterPaid[Amount Paid],(MasterPaid[Customer]=$B167)*(MasterPaid[Date]=$A167)),COUNTIFS($A$6:$A167,$A167,$B$6:$B167,$B167,$K$6:$K167,"Payment")),0),0))</f>
        <v/>
      </c>
      <c r="H167" s="331"/>
      <c r="I167" s="331"/>
      <c r="J167" s="330" t="str">
        <f t="shared" si="3"/>
        <v/>
      </c>
      <c r="K167" s="289" t="str" cm="1">
        <f t="array" ref="K167">IFERROR(INDEX(_xlfn.ANCHORARRAY($Q$6),ROW()-5,4),"")</f>
        <v/>
      </c>
      <c r="L167" s="290"/>
      <c r="U167">
        <f>IF(OR($A167="",$F167=""),0,MAX(0,MIN($F167,SUMIFS($F$6:$F167,$B$6:$B167,$B167)-(SUMIFS($G$6:$G$355,$B$6:$B$355,$B167)+SUMIFS($H$6:$H$355,$B$6:$B$355,$B167)+SUMIFS($I$6:$I$355,$B$6:$B$355,$B167)))))</f>
        <v>0</v>
      </c>
      <c r="AD167" s="468"/>
      <c r="AE167" s="342"/>
      <c r="AF167" s="342"/>
      <c r="AG167" s="342"/>
      <c r="AH167" s="342"/>
      <c r="AI167" s="342"/>
      <c r="AJ167" s="342"/>
      <c r="AK167" s="342"/>
      <c r="AL167" s="342"/>
      <c r="AM167" s="342"/>
      <c r="AN167" s="342"/>
      <c r="AO167" s="342"/>
      <c r="AP167" s="342"/>
      <c r="AQ167" s="342"/>
      <c r="AR167" s="342"/>
      <c r="AS167" s="342"/>
      <c r="AT167" s="342"/>
      <c r="AU167" s="342"/>
      <c r="AV167" s="342"/>
      <c r="AW167" s="342"/>
      <c r="AX167" s="342"/>
      <c r="AY167" s="342"/>
      <c r="AZ167" s="342"/>
      <c r="BA167" s="342"/>
      <c r="BB167" s="342"/>
      <c r="BC167" s="342"/>
      <c r="BD167" s="342"/>
      <c r="BE167" s="342"/>
      <c r="BF167" s="342"/>
      <c r="BG167" s="342"/>
      <c r="BH167" s="342"/>
      <c r="BI167" s="342"/>
      <c r="BJ167" s="342"/>
      <c r="BK167" s="342"/>
      <c r="BL167" s="342"/>
    </row>
    <row r="168" spans="1:64" ht="23" x14ac:dyDescent="0.25">
      <c r="A168" s="217" t="str" cm="1">
        <f t="array" ref="A168">IFERROR(INDEX(_xlfn.ANCHORARRAY($Q$6),ROW()-5,1),"")</f>
        <v/>
      </c>
      <c r="B168" s="288" t="str" cm="1">
        <f t="array" ref="B168">IFERROR(INDEX(_xlfn.ANCHORARRAY($Q$6),ROW()-5,2),"")</f>
        <v/>
      </c>
      <c r="C168" s="289" t="str" cm="1">
        <f t="array" ref="C168">IFERROR(INDEX(_xlfn.ANCHORARRAY($Q$6),ROW()-5,3),"")</f>
        <v/>
      </c>
      <c r="D168" s="218" t="str">
        <f>IF($A168="","",IF($K168="DIESEL",SUMIFS(Table1[Quantity],Table1[Customer],$B168,Table1[Date],$A168,Table1[Bill No.],$C168),IF($K168="PETROL",SUMIFS(Table14[Quantity],Table14[Customer],$B168,Table14[Date],$A168,Table14[Bill No.],$C168),IF($K168="XtraGreen",SUMIFS(Table146[Quantity],Table146[Company],$B168,Table146[Date],$A168,Table146[Bill No.],$C168),""))))</f>
        <v/>
      </c>
      <c r="E168" s="219" t="str">
        <f>IF($A168="","",IF($K168="DIESEL",AVERAGEIFS(Table1[RSP],Table1[Customer],$B168,Table1[Date],$A168,Table1[Bill No.],$C168),IF($K168="PETROL",AVERAGEIFS(Table14[RSP],Table14[Customer],$B168,Table14[Date],$A168,Table14[Bill No.],$C168),IF($K168="XtraGreen",AVERAGEIFS(Table146[RSP],Table146[Company],$B168,Table146[Date],$A168,Table146[Bill No.],$C168),IFERROR($F168/$D168,"")))))</f>
        <v/>
      </c>
      <c r="F168" s="330" t="str">
        <f>IF($A168="","",IF($K168="DIESEL",SUMIFS(Table1[Amount],Table1[Customer],$B168,Table1[Date],$A168,Table1[Bill No.],$C168),IF($K168="PETROL",SUMIFS(Table14[Amount],Table14[Customer],$B168,Table14[Date],$A168,Table14[Bill No.],$C168),IF($K168="XtraGreen",SUMIFS(Table146[Amount],Table146[Company],$B168,Table146[Date],$A168,Table146[Bill No.],$C168),SUMIFS('Other Sale'!$D:$D,'Other Sale'!$E:$E,$B168,'Other Sale'!$C:$C,$K168,'Other Sale'!$A:$A,$A168)))))</f>
        <v/>
      </c>
      <c r="G168" s="330" t="str" cm="1">
        <f t="array" ref="G168">IF($A168="","",IF($K168="Payment",IFERROR(INDEX(_xlfn._xlws.FILTER(MasterPaid[Amount Paid],(MasterPaid[Customer]=$B168)*(MasterPaid[Date]=$A168)),COUNTIFS($A$6:$A168,$A168,$B$6:$B168,$B168,$K$6:$K168,"Payment")),0),0))</f>
        <v/>
      </c>
      <c r="H168" s="331"/>
      <c r="I168" s="331"/>
      <c r="J168" s="330" t="str">
        <f t="shared" si="3"/>
        <v/>
      </c>
      <c r="K168" s="289" t="str" cm="1">
        <f t="array" ref="K168">IFERROR(INDEX(_xlfn.ANCHORARRAY($Q$6),ROW()-5,4),"")</f>
        <v/>
      </c>
      <c r="L168" s="290"/>
      <c r="U168">
        <f>IF(OR($A168="",$F168=""),0,MAX(0,MIN($F168,SUMIFS($F$6:$F168,$B$6:$B168,$B168)-(SUMIFS($G$6:$G$355,$B$6:$B$355,$B168)+SUMIFS($H$6:$H$355,$B$6:$B$355,$B168)+SUMIFS($I$6:$I$355,$B$6:$B$355,$B168)))))</f>
        <v>0</v>
      </c>
      <c r="AD168" s="468"/>
      <c r="AE168" s="342"/>
      <c r="AF168" s="342"/>
      <c r="AG168" s="342"/>
      <c r="AH168" s="342"/>
      <c r="AI168" s="342"/>
      <c r="AJ168" s="342"/>
      <c r="AK168" s="342"/>
      <c r="AL168" s="342"/>
      <c r="AM168" s="342"/>
      <c r="AN168" s="342"/>
      <c r="AO168" s="342"/>
      <c r="AP168" s="342"/>
      <c r="AQ168" s="342"/>
      <c r="AR168" s="342"/>
      <c r="AS168" s="342"/>
      <c r="AT168" s="342"/>
      <c r="AU168" s="342"/>
      <c r="AV168" s="342"/>
      <c r="AW168" s="342"/>
      <c r="AX168" s="342"/>
      <c r="AY168" s="342"/>
      <c r="AZ168" s="342"/>
      <c r="BA168" s="342"/>
      <c r="BB168" s="342"/>
      <c r="BC168" s="342"/>
      <c r="BD168" s="342"/>
      <c r="BE168" s="342"/>
      <c r="BF168" s="342"/>
      <c r="BG168" s="342"/>
      <c r="BH168" s="342"/>
      <c r="BI168" s="342"/>
      <c r="BJ168" s="342"/>
      <c r="BK168" s="342"/>
      <c r="BL168" s="342"/>
    </row>
    <row r="169" spans="1:64" ht="23" x14ac:dyDescent="0.25">
      <c r="A169" s="217" t="str" cm="1">
        <f t="array" ref="A169">IFERROR(INDEX(_xlfn.ANCHORARRAY($Q$6),ROW()-5,1),"")</f>
        <v/>
      </c>
      <c r="B169" s="288" t="str" cm="1">
        <f t="array" ref="B169">IFERROR(INDEX(_xlfn.ANCHORARRAY($Q$6),ROW()-5,2),"")</f>
        <v/>
      </c>
      <c r="C169" s="289" t="str" cm="1">
        <f t="array" ref="C169">IFERROR(INDEX(_xlfn.ANCHORARRAY($Q$6),ROW()-5,3),"")</f>
        <v/>
      </c>
      <c r="D169" s="218" t="str">
        <f>IF($A169="","",IF($K169="DIESEL",SUMIFS(Table1[Quantity],Table1[Customer],$B169,Table1[Date],$A169,Table1[Bill No.],$C169),IF($K169="PETROL",SUMIFS(Table14[Quantity],Table14[Customer],$B169,Table14[Date],$A169,Table14[Bill No.],$C169),IF($K169="XtraGreen",SUMIFS(Table146[Quantity],Table146[Company],$B169,Table146[Date],$A169,Table146[Bill No.],$C169),""))))</f>
        <v/>
      </c>
      <c r="E169" s="219" t="str">
        <f>IF($A169="","",IF($K169="DIESEL",AVERAGEIFS(Table1[RSP],Table1[Customer],$B169,Table1[Date],$A169,Table1[Bill No.],$C169),IF($K169="PETROL",AVERAGEIFS(Table14[RSP],Table14[Customer],$B169,Table14[Date],$A169,Table14[Bill No.],$C169),IF($K169="XtraGreen",AVERAGEIFS(Table146[RSP],Table146[Company],$B169,Table146[Date],$A169,Table146[Bill No.],$C169),IFERROR($F169/$D169,"")))))</f>
        <v/>
      </c>
      <c r="F169" s="330" t="str">
        <f>IF($A169="","",IF($K169="DIESEL",SUMIFS(Table1[Amount],Table1[Customer],$B169,Table1[Date],$A169,Table1[Bill No.],$C169),IF($K169="PETROL",SUMIFS(Table14[Amount],Table14[Customer],$B169,Table14[Date],$A169,Table14[Bill No.],$C169),IF($K169="XtraGreen",SUMIFS(Table146[Amount],Table146[Company],$B169,Table146[Date],$A169,Table146[Bill No.],$C169),SUMIFS('Other Sale'!$D:$D,'Other Sale'!$E:$E,$B169,'Other Sale'!$C:$C,$K169,'Other Sale'!$A:$A,$A169)))))</f>
        <v/>
      </c>
      <c r="G169" s="330" t="str" cm="1">
        <f t="array" ref="G169">IF($A169="","",IF($K169="Payment",IFERROR(INDEX(_xlfn._xlws.FILTER(MasterPaid[Amount Paid],(MasterPaid[Customer]=$B169)*(MasterPaid[Date]=$A169)),COUNTIFS($A$6:$A169,$A169,$B$6:$B169,$B169,$K$6:$K169,"Payment")),0),0))</f>
        <v/>
      </c>
      <c r="H169" s="331"/>
      <c r="I169" s="331"/>
      <c r="J169" s="330" t="str">
        <f t="shared" si="3"/>
        <v/>
      </c>
      <c r="K169" s="289" t="str" cm="1">
        <f t="array" ref="K169">IFERROR(INDEX(_xlfn.ANCHORARRAY($Q$6),ROW()-5,4),"")</f>
        <v/>
      </c>
      <c r="L169" s="290"/>
      <c r="U169">
        <f>IF(OR($A169="",$F169=""),0,MAX(0,MIN($F169,SUMIFS($F$6:$F169,$B$6:$B169,$B169)-(SUMIFS($G$6:$G$355,$B$6:$B$355,$B169)+SUMIFS($H$6:$H$355,$B$6:$B$355,$B169)+SUMIFS($I$6:$I$355,$B$6:$B$355,$B169)))))</f>
        <v>0</v>
      </c>
      <c r="AD169" s="468"/>
      <c r="AE169" s="342"/>
      <c r="AF169" s="342"/>
      <c r="AG169" s="342"/>
      <c r="AH169" s="342"/>
      <c r="AI169" s="342"/>
      <c r="AJ169" s="342"/>
      <c r="AK169" s="342"/>
      <c r="AL169" s="342"/>
      <c r="AM169" s="342"/>
      <c r="AN169" s="342"/>
      <c r="AO169" s="342"/>
      <c r="AP169" s="342"/>
      <c r="AQ169" s="342"/>
      <c r="AR169" s="342"/>
      <c r="AS169" s="342"/>
      <c r="AT169" s="342"/>
      <c r="AU169" s="342"/>
      <c r="AV169" s="342"/>
      <c r="AW169" s="342"/>
      <c r="AX169" s="342"/>
      <c r="AY169" s="342"/>
      <c r="AZ169" s="342"/>
      <c r="BA169" s="342"/>
      <c r="BB169" s="342"/>
      <c r="BC169" s="342"/>
      <c r="BD169" s="342"/>
      <c r="BE169" s="342"/>
      <c r="BF169" s="342"/>
      <c r="BG169" s="342"/>
      <c r="BH169" s="342"/>
      <c r="BI169" s="342"/>
      <c r="BJ169" s="342"/>
      <c r="BK169" s="342"/>
      <c r="BL169" s="342"/>
    </row>
    <row r="170" spans="1:64" ht="23" x14ac:dyDescent="0.25">
      <c r="A170" s="217" t="str" cm="1">
        <f t="array" ref="A170">IFERROR(INDEX(_xlfn.ANCHORARRAY($Q$6),ROW()-5,1),"")</f>
        <v/>
      </c>
      <c r="B170" s="288" t="str" cm="1">
        <f t="array" ref="B170">IFERROR(INDEX(_xlfn.ANCHORARRAY($Q$6),ROW()-5,2),"")</f>
        <v/>
      </c>
      <c r="C170" s="289" t="str" cm="1">
        <f t="array" ref="C170">IFERROR(INDEX(_xlfn.ANCHORARRAY($Q$6),ROW()-5,3),"")</f>
        <v/>
      </c>
      <c r="D170" s="218" t="str">
        <f>IF($A170="","",IF($K170="DIESEL",SUMIFS(Table1[Quantity],Table1[Customer],$B170,Table1[Date],$A170,Table1[Bill No.],$C170),IF($K170="PETROL",SUMIFS(Table14[Quantity],Table14[Customer],$B170,Table14[Date],$A170,Table14[Bill No.],$C170),IF($K170="XtraGreen",SUMIFS(Table146[Quantity],Table146[Company],$B170,Table146[Date],$A170,Table146[Bill No.],$C170),""))))</f>
        <v/>
      </c>
      <c r="E170" s="219" t="str">
        <f>IF($A170="","",IF($K170="DIESEL",AVERAGEIFS(Table1[RSP],Table1[Customer],$B170,Table1[Date],$A170,Table1[Bill No.],$C170),IF($K170="PETROL",AVERAGEIFS(Table14[RSP],Table14[Customer],$B170,Table14[Date],$A170,Table14[Bill No.],$C170),IF($K170="XtraGreen",AVERAGEIFS(Table146[RSP],Table146[Company],$B170,Table146[Date],$A170,Table146[Bill No.],$C170),IFERROR($F170/$D170,"")))))</f>
        <v/>
      </c>
      <c r="F170" s="330" t="str">
        <f>IF($A170="","",IF($K170="DIESEL",SUMIFS(Table1[Amount],Table1[Customer],$B170,Table1[Date],$A170,Table1[Bill No.],$C170),IF($K170="PETROL",SUMIFS(Table14[Amount],Table14[Customer],$B170,Table14[Date],$A170,Table14[Bill No.],$C170),IF($K170="XtraGreen",SUMIFS(Table146[Amount],Table146[Company],$B170,Table146[Date],$A170,Table146[Bill No.],$C170),SUMIFS('Other Sale'!$D:$D,'Other Sale'!$E:$E,$B170,'Other Sale'!$C:$C,$K170,'Other Sale'!$A:$A,$A170)))))</f>
        <v/>
      </c>
      <c r="G170" s="330" t="str" cm="1">
        <f t="array" ref="G170">IF($A170="","",IF($K170="Payment",IFERROR(INDEX(_xlfn._xlws.FILTER(MasterPaid[Amount Paid],(MasterPaid[Customer]=$B170)*(MasterPaid[Date]=$A170)),COUNTIFS($A$6:$A170,$A170,$B$6:$B170,$B170,$K$6:$K170,"Payment")),0),0))</f>
        <v/>
      </c>
      <c r="H170" s="331"/>
      <c r="I170" s="331"/>
      <c r="J170" s="330" t="str">
        <f t="shared" si="3"/>
        <v/>
      </c>
      <c r="K170" s="289" t="str" cm="1">
        <f t="array" ref="K170">IFERROR(INDEX(_xlfn.ANCHORARRAY($Q$6),ROW()-5,4),"")</f>
        <v/>
      </c>
      <c r="L170" s="290"/>
      <c r="U170">
        <f>IF(OR($A170="",$F170=""),0,MAX(0,MIN($F170,SUMIFS($F$6:$F170,$B$6:$B170,$B170)-(SUMIFS($G$6:$G$355,$B$6:$B$355,$B170)+SUMIFS($H$6:$H$355,$B$6:$B$355,$B170)+SUMIFS($I$6:$I$355,$B$6:$B$355,$B170)))))</f>
        <v>0</v>
      </c>
      <c r="AD170" s="468"/>
      <c r="AE170" s="342"/>
      <c r="AF170" s="342"/>
      <c r="AG170" s="342"/>
      <c r="AH170" s="342"/>
      <c r="AI170" s="342"/>
      <c r="AJ170" s="342"/>
      <c r="AK170" s="342"/>
      <c r="AL170" s="342"/>
      <c r="AM170" s="342"/>
      <c r="AN170" s="342"/>
      <c r="AO170" s="342"/>
      <c r="AP170" s="342"/>
      <c r="AQ170" s="342"/>
      <c r="AR170" s="342"/>
      <c r="AS170" s="342"/>
      <c r="AT170" s="342"/>
      <c r="AU170" s="342"/>
      <c r="AV170" s="342"/>
      <c r="AW170" s="342"/>
      <c r="AX170" s="342"/>
      <c r="AY170" s="342"/>
      <c r="AZ170" s="342"/>
      <c r="BA170" s="342"/>
      <c r="BB170" s="342"/>
      <c r="BC170" s="342"/>
      <c r="BD170" s="342"/>
      <c r="BE170" s="342"/>
      <c r="BF170" s="342"/>
      <c r="BG170" s="342"/>
      <c r="BH170" s="342"/>
      <c r="BI170" s="342"/>
      <c r="BJ170" s="342"/>
      <c r="BK170" s="342"/>
      <c r="BL170" s="342"/>
    </row>
    <row r="171" spans="1:64" ht="23" x14ac:dyDescent="0.25">
      <c r="A171" s="217" t="str" cm="1">
        <f t="array" ref="A171">IFERROR(INDEX(_xlfn.ANCHORARRAY($Q$6),ROW()-5,1),"")</f>
        <v/>
      </c>
      <c r="B171" s="288" t="str" cm="1">
        <f t="array" ref="B171">IFERROR(INDEX(_xlfn.ANCHORARRAY($Q$6),ROW()-5,2),"")</f>
        <v/>
      </c>
      <c r="C171" s="289" t="str" cm="1">
        <f t="array" ref="C171">IFERROR(INDEX(_xlfn.ANCHORARRAY($Q$6),ROW()-5,3),"")</f>
        <v/>
      </c>
      <c r="D171" s="218" t="str">
        <f>IF($A171="","",IF($K171="DIESEL",SUMIFS(Table1[Quantity],Table1[Customer],$B171,Table1[Date],$A171,Table1[Bill No.],$C171),IF($K171="PETROL",SUMIFS(Table14[Quantity],Table14[Customer],$B171,Table14[Date],$A171,Table14[Bill No.],$C171),IF($K171="XtraGreen",SUMIFS(Table146[Quantity],Table146[Company],$B171,Table146[Date],$A171,Table146[Bill No.],$C171),""))))</f>
        <v/>
      </c>
      <c r="E171" s="219" t="str">
        <f>IF($A171="","",IF($K171="DIESEL",AVERAGEIFS(Table1[RSP],Table1[Customer],$B171,Table1[Date],$A171,Table1[Bill No.],$C171),IF($K171="PETROL",AVERAGEIFS(Table14[RSP],Table14[Customer],$B171,Table14[Date],$A171,Table14[Bill No.],$C171),IF($K171="XtraGreen",AVERAGEIFS(Table146[RSP],Table146[Company],$B171,Table146[Date],$A171,Table146[Bill No.],$C171),IFERROR($F171/$D171,"")))))</f>
        <v/>
      </c>
      <c r="F171" s="330" t="str">
        <f>IF($A171="","",IF($K171="DIESEL",SUMIFS(Table1[Amount],Table1[Customer],$B171,Table1[Date],$A171,Table1[Bill No.],$C171),IF($K171="PETROL",SUMIFS(Table14[Amount],Table14[Customer],$B171,Table14[Date],$A171,Table14[Bill No.],$C171),IF($K171="XtraGreen",SUMIFS(Table146[Amount],Table146[Company],$B171,Table146[Date],$A171,Table146[Bill No.],$C171),SUMIFS('Other Sale'!$D:$D,'Other Sale'!$E:$E,$B171,'Other Sale'!$C:$C,$K171,'Other Sale'!$A:$A,$A171)))))</f>
        <v/>
      </c>
      <c r="G171" s="330" t="str" cm="1">
        <f t="array" ref="G171">IF($A171="","",IF($K171="Payment",IFERROR(INDEX(_xlfn._xlws.FILTER(MasterPaid[Amount Paid],(MasterPaid[Customer]=$B171)*(MasterPaid[Date]=$A171)),COUNTIFS($A$6:$A171,$A171,$B$6:$B171,$B171,$K$6:$K171,"Payment")),0),0))</f>
        <v/>
      </c>
      <c r="H171" s="331"/>
      <c r="I171" s="331"/>
      <c r="J171" s="330" t="str">
        <f t="shared" si="3"/>
        <v/>
      </c>
      <c r="K171" s="289" t="str" cm="1">
        <f t="array" ref="K171">IFERROR(INDEX(_xlfn.ANCHORARRAY($Q$6),ROW()-5,4),"")</f>
        <v/>
      </c>
      <c r="L171" s="290"/>
      <c r="U171">
        <f>IF(OR($A171="",$F171=""),0,MAX(0,MIN($F171,SUMIFS($F$6:$F171,$B$6:$B171,$B171)-(SUMIFS($G$6:$G$355,$B$6:$B$355,$B171)+SUMIFS($H$6:$H$355,$B$6:$B$355,$B171)+SUMIFS($I$6:$I$355,$B$6:$B$355,$B171)))))</f>
        <v>0</v>
      </c>
      <c r="AD171" s="468"/>
      <c r="AE171" s="342"/>
      <c r="AF171" s="342"/>
      <c r="AG171" s="342"/>
      <c r="AH171" s="342"/>
      <c r="AI171" s="342"/>
      <c r="AJ171" s="342"/>
      <c r="AK171" s="342"/>
      <c r="AL171" s="342"/>
      <c r="AM171" s="342"/>
      <c r="AN171" s="342"/>
      <c r="AO171" s="342"/>
      <c r="AP171" s="342"/>
      <c r="AQ171" s="342"/>
      <c r="AR171" s="342"/>
      <c r="AS171" s="342"/>
      <c r="AT171" s="342"/>
      <c r="AU171" s="342"/>
      <c r="AV171" s="342"/>
      <c r="AW171" s="342"/>
      <c r="AX171" s="342"/>
      <c r="AY171" s="342"/>
      <c r="AZ171" s="342"/>
      <c r="BA171" s="342"/>
      <c r="BB171" s="342"/>
      <c r="BC171" s="342"/>
      <c r="BD171" s="342"/>
      <c r="BE171" s="342"/>
      <c r="BF171" s="342"/>
      <c r="BG171" s="342"/>
      <c r="BH171" s="342"/>
      <c r="BI171" s="342"/>
      <c r="BJ171" s="342"/>
      <c r="BK171" s="342"/>
      <c r="BL171" s="342"/>
    </row>
    <row r="172" spans="1:64" ht="23" x14ac:dyDescent="0.25">
      <c r="A172" s="217" t="str" cm="1">
        <f t="array" ref="A172">IFERROR(INDEX(_xlfn.ANCHORARRAY($Q$6),ROW()-5,1),"")</f>
        <v/>
      </c>
      <c r="B172" s="288" t="str" cm="1">
        <f t="array" ref="B172">IFERROR(INDEX(_xlfn.ANCHORARRAY($Q$6),ROW()-5,2),"")</f>
        <v/>
      </c>
      <c r="C172" s="289" t="str" cm="1">
        <f t="array" ref="C172">IFERROR(INDEX(_xlfn.ANCHORARRAY($Q$6),ROW()-5,3),"")</f>
        <v/>
      </c>
      <c r="D172" s="218" t="str">
        <f>IF($A172="","",IF($K172="DIESEL",SUMIFS(Table1[Quantity],Table1[Customer],$B172,Table1[Date],$A172,Table1[Bill No.],$C172),IF($K172="PETROL",SUMIFS(Table14[Quantity],Table14[Customer],$B172,Table14[Date],$A172,Table14[Bill No.],$C172),IF($K172="XtraGreen",SUMIFS(Table146[Quantity],Table146[Company],$B172,Table146[Date],$A172,Table146[Bill No.],$C172),""))))</f>
        <v/>
      </c>
      <c r="E172" s="219" t="str">
        <f>IF($A172="","",IF($K172="DIESEL",AVERAGEIFS(Table1[RSP],Table1[Customer],$B172,Table1[Date],$A172,Table1[Bill No.],$C172),IF($K172="PETROL",AVERAGEIFS(Table14[RSP],Table14[Customer],$B172,Table14[Date],$A172,Table14[Bill No.],$C172),IF($K172="XtraGreen",AVERAGEIFS(Table146[RSP],Table146[Company],$B172,Table146[Date],$A172,Table146[Bill No.],$C172),IFERROR($F172/$D172,"")))))</f>
        <v/>
      </c>
      <c r="F172" s="330" t="str">
        <f>IF($A172="","",IF($K172="DIESEL",SUMIFS(Table1[Amount],Table1[Customer],$B172,Table1[Date],$A172,Table1[Bill No.],$C172),IF($K172="PETROL",SUMIFS(Table14[Amount],Table14[Customer],$B172,Table14[Date],$A172,Table14[Bill No.],$C172),IF($K172="XtraGreen",SUMIFS(Table146[Amount],Table146[Company],$B172,Table146[Date],$A172,Table146[Bill No.],$C172),SUMIFS('Other Sale'!$D:$D,'Other Sale'!$E:$E,$B172,'Other Sale'!$C:$C,$K172,'Other Sale'!$A:$A,$A172)))))</f>
        <v/>
      </c>
      <c r="G172" s="330" t="str" cm="1">
        <f t="array" ref="G172">IF($A172="","",IF($K172="Payment",IFERROR(INDEX(_xlfn._xlws.FILTER(MasterPaid[Amount Paid],(MasterPaid[Customer]=$B172)*(MasterPaid[Date]=$A172)),COUNTIFS($A$6:$A172,$A172,$B$6:$B172,$B172,$K$6:$K172,"Payment")),0),0))</f>
        <v/>
      </c>
      <c r="H172" s="331"/>
      <c r="I172" s="331"/>
      <c r="J172" s="330" t="str">
        <f t="shared" si="3"/>
        <v/>
      </c>
      <c r="K172" s="289" t="str" cm="1">
        <f t="array" ref="K172">IFERROR(INDEX(_xlfn.ANCHORARRAY($Q$6),ROW()-5,4),"")</f>
        <v/>
      </c>
      <c r="L172" s="290"/>
      <c r="U172">
        <f>IF(OR($A172="",$F172=""),0,MAX(0,MIN($F172,SUMIFS($F$6:$F172,$B$6:$B172,$B172)-(SUMIFS($G$6:$G$355,$B$6:$B$355,$B172)+SUMIFS($H$6:$H$355,$B$6:$B$355,$B172)+SUMIFS($I$6:$I$355,$B$6:$B$355,$B172)))))</f>
        <v>0</v>
      </c>
      <c r="AD172" s="468"/>
      <c r="AE172" s="342"/>
      <c r="AF172" s="342"/>
      <c r="AG172" s="342"/>
      <c r="AH172" s="342"/>
      <c r="AI172" s="342"/>
      <c r="AJ172" s="342"/>
      <c r="AK172" s="342"/>
      <c r="AL172" s="342"/>
      <c r="AM172" s="342"/>
      <c r="AN172" s="342"/>
      <c r="AO172" s="342"/>
      <c r="AP172" s="342"/>
      <c r="AQ172" s="342"/>
      <c r="AR172" s="342"/>
      <c r="AS172" s="342"/>
      <c r="AT172" s="342"/>
      <c r="AU172" s="342"/>
      <c r="AV172" s="342"/>
      <c r="AW172" s="342"/>
      <c r="AX172" s="342"/>
      <c r="AY172" s="342"/>
      <c r="AZ172" s="342"/>
      <c r="BA172" s="342"/>
      <c r="BB172" s="342"/>
      <c r="BC172" s="342"/>
      <c r="BD172" s="342"/>
      <c r="BE172" s="342"/>
      <c r="BF172" s="342"/>
      <c r="BG172" s="342"/>
      <c r="BH172" s="342"/>
      <c r="BI172" s="342"/>
      <c r="BJ172" s="342"/>
      <c r="BK172" s="342"/>
      <c r="BL172" s="342"/>
    </row>
    <row r="173" spans="1:64" ht="23" x14ac:dyDescent="0.25">
      <c r="A173" s="217" t="str" cm="1">
        <f t="array" ref="A173">IFERROR(INDEX(_xlfn.ANCHORARRAY($Q$6),ROW()-5,1),"")</f>
        <v/>
      </c>
      <c r="B173" s="288" t="str" cm="1">
        <f t="array" ref="B173">IFERROR(INDEX(_xlfn.ANCHORARRAY($Q$6),ROW()-5,2),"")</f>
        <v/>
      </c>
      <c r="C173" s="289" t="str" cm="1">
        <f t="array" ref="C173">IFERROR(INDEX(_xlfn.ANCHORARRAY($Q$6),ROW()-5,3),"")</f>
        <v/>
      </c>
      <c r="D173" s="218" t="str">
        <f>IF($A173="","",IF($K173="DIESEL",SUMIFS(Table1[Quantity],Table1[Customer],$B173,Table1[Date],$A173,Table1[Bill No.],$C173),IF($K173="PETROL",SUMIFS(Table14[Quantity],Table14[Customer],$B173,Table14[Date],$A173,Table14[Bill No.],$C173),IF($K173="XtraGreen",SUMIFS(Table146[Quantity],Table146[Company],$B173,Table146[Date],$A173,Table146[Bill No.],$C173),""))))</f>
        <v/>
      </c>
      <c r="E173" s="219" t="str">
        <f>IF($A173="","",IF($K173="DIESEL",AVERAGEIFS(Table1[RSP],Table1[Customer],$B173,Table1[Date],$A173,Table1[Bill No.],$C173),IF($K173="PETROL",AVERAGEIFS(Table14[RSP],Table14[Customer],$B173,Table14[Date],$A173,Table14[Bill No.],$C173),IF($K173="XtraGreen",AVERAGEIFS(Table146[RSP],Table146[Company],$B173,Table146[Date],$A173,Table146[Bill No.],$C173),IFERROR($F173/$D173,"")))))</f>
        <v/>
      </c>
      <c r="F173" s="330" t="str">
        <f>IF($A173="","",IF($K173="DIESEL",SUMIFS(Table1[Amount],Table1[Customer],$B173,Table1[Date],$A173,Table1[Bill No.],$C173),IF($K173="PETROL",SUMIFS(Table14[Amount],Table14[Customer],$B173,Table14[Date],$A173,Table14[Bill No.],$C173),IF($K173="XtraGreen",SUMIFS(Table146[Amount],Table146[Company],$B173,Table146[Date],$A173,Table146[Bill No.],$C173),SUMIFS('Other Sale'!$D:$D,'Other Sale'!$E:$E,$B173,'Other Sale'!$C:$C,$K173,'Other Sale'!$A:$A,$A173)))))</f>
        <v/>
      </c>
      <c r="G173" s="330" t="str" cm="1">
        <f t="array" ref="G173">IF($A173="","",IF($K173="Payment",IFERROR(INDEX(_xlfn._xlws.FILTER(MasterPaid[Amount Paid],(MasterPaid[Customer]=$B173)*(MasterPaid[Date]=$A173)),COUNTIFS($A$6:$A173,$A173,$B$6:$B173,$B173,$K$6:$K173,"Payment")),0),0))</f>
        <v/>
      </c>
      <c r="H173" s="331"/>
      <c r="I173" s="331"/>
      <c r="J173" s="330" t="str">
        <f t="shared" si="3"/>
        <v/>
      </c>
      <c r="K173" s="289" t="str" cm="1">
        <f t="array" ref="K173">IFERROR(INDEX(_xlfn.ANCHORARRAY($Q$6),ROW()-5,4),"")</f>
        <v/>
      </c>
      <c r="L173" s="290"/>
      <c r="U173">
        <f>IF(OR($A173="",$F173=""),0,MAX(0,MIN($F173,SUMIFS($F$6:$F173,$B$6:$B173,$B173)-(SUMIFS($G$6:$G$355,$B$6:$B$355,$B173)+SUMIFS($H$6:$H$355,$B$6:$B$355,$B173)+SUMIFS($I$6:$I$355,$B$6:$B$355,$B173)))))</f>
        <v>0</v>
      </c>
      <c r="AD173" s="468"/>
      <c r="AE173" s="342"/>
      <c r="AF173" s="342"/>
      <c r="AG173" s="342"/>
      <c r="AH173" s="342"/>
      <c r="AI173" s="342"/>
      <c r="AJ173" s="342"/>
      <c r="AK173" s="342"/>
      <c r="AL173" s="342"/>
      <c r="AM173" s="342"/>
      <c r="AN173" s="342"/>
      <c r="AO173" s="342"/>
      <c r="AP173" s="342"/>
      <c r="AQ173" s="342"/>
      <c r="AR173" s="342"/>
      <c r="AS173" s="342"/>
      <c r="AT173" s="342"/>
      <c r="AU173" s="342"/>
      <c r="AV173" s="342"/>
      <c r="AW173" s="342"/>
      <c r="AX173" s="342"/>
      <c r="AY173" s="342"/>
      <c r="AZ173" s="342"/>
      <c r="BA173" s="342"/>
      <c r="BB173" s="342"/>
      <c r="BC173" s="342"/>
      <c r="BD173" s="342"/>
      <c r="BE173" s="342"/>
      <c r="BF173" s="342"/>
      <c r="BG173" s="342"/>
      <c r="BH173" s="342"/>
      <c r="BI173" s="342"/>
      <c r="BJ173" s="342"/>
      <c r="BK173" s="342"/>
      <c r="BL173" s="342"/>
    </row>
    <row r="174" spans="1:64" ht="23" x14ac:dyDescent="0.25">
      <c r="A174" s="217" t="str" cm="1">
        <f t="array" ref="A174">IFERROR(INDEX(_xlfn.ANCHORARRAY($Q$6),ROW()-5,1),"")</f>
        <v/>
      </c>
      <c r="B174" s="288" t="str" cm="1">
        <f t="array" ref="B174">IFERROR(INDEX(_xlfn.ANCHORARRAY($Q$6),ROW()-5,2),"")</f>
        <v/>
      </c>
      <c r="C174" s="289" t="str" cm="1">
        <f t="array" ref="C174">IFERROR(INDEX(_xlfn.ANCHORARRAY($Q$6),ROW()-5,3),"")</f>
        <v/>
      </c>
      <c r="D174" s="218" t="str">
        <f>IF($A174="","",IF($K174="DIESEL",SUMIFS(Table1[Quantity],Table1[Customer],$B174,Table1[Date],$A174,Table1[Bill No.],$C174),IF($K174="PETROL",SUMIFS(Table14[Quantity],Table14[Customer],$B174,Table14[Date],$A174,Table14[Bill No.],$C174),IF($K174="XtraGreen",SUMIFS(Table146[Quantity],Table146[Company],$B174,Table146[Date],$A174,Table146[Bill No.],$C174),""))))</f>
        <v/>
      </c>
      <c r="E174" s="219" t="str">
        <f>IF($A174="","",IF($K174="DIESEL",AVERAGEIFS(Table1[RSP],Table1[Customer],$B174,Table1[Date],$A174,Table1[Bill No.],$C174),IF($K174="PETROL",AVERAGEIFS(Table14[RSP],Table14[Customer],$B174,Table14[Date],$A174,Table14[Bill No.],$C174),IF($K174="XtraGreen",AVERAGEIFS(Table146[RSP],Table146[Company],$B174,Table146[Date],$A174,Table146[Bill No.],$C174),IFERROR($F174/$D174,"")))))</f>
        <v/>
      </c>
      <c r="F174" s="330" t="str">
        <f>IF($A174="","",IF($K174="DIESEL",SUMIFS(Table1[Amount],Table1[Customer],$B174,Table1[Date],$A174,Table1[Bill No.],$C174),IF($K174="PETROL",SUMIFS(Table14[Amount],Table14[Customer],$B174,Table14[Date],$A174,Table14[Bill No.],$C174),IF($K174="XtraGreen",SUMIFS(Table146[Amount],Table146[Company],$B174,Table146[Date],$A174,Table146[Bill No.],$C174),SUMIFS('Other Sale'!$D:$D,'Other Sale'!$E:$E,$B174,'Other Sale'!$C:$C,$K174,'Other Sale'!$A:$A,$A174)))))</f>
        <v/>
      </c>
      <c r="G174" s="330" t="str" cm="1">
        <f t="array" ref="G174">IF($A174="","",IF($K174="Payment",IFERROR(INDEX(_xlfn._xlws.FILTER(MasterPaid[Amount Paid],(MasterPaid[Customer]=$B174)*(MasterPaid[Date]=$A174)),COUNTIFS($A$6:$A174,$A174,$B$6:$B174,$B174,$K$6:$K174,"Payment")),0),0))</f>
        <v/>
      </c>
      <c r="H174" s="331"/>
      <c r="I174" s="331"/>
      <c r="J174" s="330" t="str">
        <f t="shared" si="3"/>
        <v/>
      </c>
      <c r="K174" s="289" t="str" cm="1">
        <f t="array" ref="K174">IFERROR(INDEX(_xlfn.ANCHORARRAY($Q$6),ROW()-5,4),"")</f>
        <v/>
      </c>
      <c r="L174" s="290"/>
      <c r="U174">
        <f>IF(OR($A174="",$F174=""),0,MAX(0,MIN($F174,SUMIFS($F$6:$F174,$B$6:$B174,$B174)-(SUMIFS($G$6:$G$355,$B$6:$B$355,$B174)+SUMIFS($H$6:$H$355,$B$6:$B$355,$B174)+SUMIFS($I$6:$I$355,$B$6:$B$355,$B174)))))</f>
        <v>0</v>
      </c>
      <c r="AD174" s="468"/>
      <c r="AE174" s="342"/>
      <c r="AF174" s="342"/>
      <c r="AG174" s="342"/>
      <c r="AH174" s="342"/>
      <c r="AI174" s="342"/>
      <c r="AJ174" s="342"/>
      <c r="AK174" s="342"/>
      <c r="AL174" s="342"/>
      <c r="AM174" s="342"/>
      <c r="AN174" s="342"/>
      <c r="AO174" s="342"/>
      <c r="AP174" s="342"/>
      <c r="AQ174" s="342"/>
      <c r="AR174" s="342"/>
      <c r="AS174" s="342"/>
      <c r="AT174" s="342"/>
      <c r="AU174" s="342"/>
      <c r="AV174" s="342"/>
      <c r="AW174" s="342"/>
      <c r="AX174" s="342"/>
      <c r="AY174" s="342"/>
      <c r="AZ174" s="342"/>
      <c r="BA174" s="342"/>
      <c r="BB174" s="342"/>
      <c r="BC174" s="342"/>
      <c r="BD174" s="342"/>
      <c r="BE174" s="342"/>
      <c r="BF174" s="342"/>
      <c r="BG174" s="342"/>
      <c r="BH174" s="342"/>
      <c r="BI174" s="342"/>
      <c r="BJ174" s="342"/>
      <c r="BK174" s="342"/>
      <c r="BL174" s="342"/>
    </row>
    <row r="175" spans="1:64" ht="23" x14ac:dyDescent="0.25">
      <c r="A175" s="217" t="str" cm="1">
        <f t="array" ref="A175">IFERROR(INDEX(_xlfn.ANCHORARRAY($Q$6),ROW()-5,1),"")</f>
        <v/>
      </c>
      <c r="B175" s="288" t="str" cm="1">
        <f t="array" ref="B175">IFERROR(INDEX(_xlfn.ANCHORARRAY($Q$6),ROW()-5,2),"")</f>
        <v/>
      </c>
      <c r="C175" s="289" t="str" cm="1">
        <f t="array" ref="C175">IFERROR(INDEX(_xlfn.ANCHORARRAY($Q$6),ROW()-5,3),"")</f>
        <v/>
      </c>
      <c r="D175" s="218" t="str">
        <f>IF($A175="","",IF($K175="DIESEL",SUMIFS(Table1[Quantity],Table1[Customer],$B175,Table1[Date],$A175,Table1[Bill No.],$C175),IF($K175="PETROL",SUMIFS(Table14[Quantity],Table14[Customer],$B175,Table14[Date],$A175,Table14[Bill No.],$C175),IF($K175="XtraGreen",SUMIFS(Table146[Quantity],Table146[Company],$B175,Table146[Date],$A175,Table146[Bill No.],$C175),""))))</f>
        <v/>
      </c>
      <c r="E175" s="219" t="str">
        <f>IF($A175="","",IF($K175="DIESEL",AVERAGEIFS(Table1[RSP],Table1[Customer],$B175,Table1[Date],$A175,Table1[Bill No.],$C175),IF($K175="PETROL",AVERAGEIFS(Table14[RSP],Table14[Customer],$B175,Table14[Date],$A175,Table14[Bill No.],$C175),IF($K175="XtraGreen",AVERAGEIFS(Table146[RSP],Table146[Company],$B175,Table146[Date],$A175,Table146[Bill No.],$C175),IFERROR($F175/$D175,"")))))</f>
        <v/>
      </c>
      <c r="F175" s="330" t="str">
        <f>IF($A175="","",IF($K175="DIESEL",SUMIFS(Table1[Amount],Table1[Customer],$B175,Table1[Date],$A175,Table1[Bill No.],$C175),IF($K175="PETROL",SUMIFS(Table14[Amount],Table14[Customer],$B175,Table14[Date],$A175,Table14[Bill No.],$C175),IF($K175="XtraGreen",SUMIFS(Table146[Amount],Table146[Company],$B175,Table146[Date],$A175,Table146[Bill No.],$C175),SUMIFS('Other Sale'!$D:$D,'Other Sale'!$E:$E,$B175,'Other Sale'!$C:$C,$K175,'Other Sale'!$A:$A,$A175)))))</f>
        <v/>
      </c>
      <c r="G175" s="330" t="str" cm="1">
        <f t="array" ref="G175">IF($A175="","",IF($K175="Payment",IFERROR(INDEX(_xlfn._xlws.FILTER(MasterPaid[Amount Paid],(MasterPaid[Customer]=$B175)*(MasterPaid[Date]=$A175)),COUNTIFS($A$6:$A175,$A175,$B$6:$B175,$B175,$K$6:$K175,"Payment")),0),0))</f>
        <v/>
      </c>
      <c r="H175" s="331"/>
      <c r="I175" s="331"/>
      <c r="J175" s="330" t="str">
        <f t="shared" si="3"/>
        <v/>
      </c>
      <c r="K175" s="289" t="str" cm="1">
        <f t="array" ref="K175">IFERROR(INDEX(_xlfn.ANCHORARRAY($Q$6),ROW()-5,4),"")</f>
        <v/>
      </c>
      <c r="L175" s="290"/>
      <c r="U175">
        <f>IF(OR($A175="",$F175=""),0,MAX(0,MIN($F175,SUMIFS($F$6:$F175,$B$6:$B175,$B175)-(SUMIFS($G$6:$G$355,$B$6:$B$355,$B175)+SUMIFS($H$6:$H$355,$B$6:$B$355,$B175)+SUMIFS($I$6:$I$355,$B$6:$B$355,$B175)))))</f>
        <v>0</v>
      </c>
      <c r="AD175" s="468"/>
      <c r="AE175" s="342"/>
      <c r="AF175" s="342"/>
      <c r="AG175" s="342"/>
      <c r="AH175" s="342"/>
      <c r="AI175" s="342"/>
      <c r="AJ175" s="342"/>
      <c r="AK175" s="342"/>
      <c r="AL175" s="342"/>
      <c r="AM175" s="342"/>
      <c r="AN175" s="342"/>
      <c r="AO175" s="342"/>
      <c r="AP175" s="342"/>
      <c r="AQ175" s="342"/>
      <c r="AR175" s="342"/>
      <c r="AS175" s="342"/>
      <c r="AT175" s="342"/>
      <c r="AU175" s="342"/>
      <c r="AV175" s="342"/>
      <c r="AW175" s="342"/>
      <c r="AX175" s="342"/>
      <c r="AY175" s="342"/>
      <c r="AZ175" s="342"/>
      <c r="BA175" s="342"/>
      <c r="BB175" s="342"/>
      <c r="BC175" s="342"/>
      <c r="BD175" s="342"/>
      <c r="BE175" s="342"/>
      <c r="BF175" s="342"/>
      <c r="BG175" s="342"/>
      <c r="BH175" s="342"/>
      <c r="BI175" s="342"/>
      <c r="BJ175" s="342"/>
      <c r="BK175" s="342"/>
      <c r="BL175" s="342"/>
    </row>
    <row r="176" spans="1:64" ht="23" x14ac:dyDescent="0.25">
      <c r="A176" s="217" t="str" cm="1">
        <f t="array" ref="A176">IFERROR(INDEX(_xlfn.ANCHORARRAY($Q$6),ROW()-5,1),"")</f>
        <v/>
      </c>
      <c r="B176" s="288" t="str" cm="1">
        <f t="array" ref="B176">IFERROR(INDEX(_xlfn.ANCHORARRAY($Q$6),ROW()-5,2),"")</f>
        <v/>
      </c>
      <c r="C176" s="289" t="str" cm="1">
        <f t="array" ref="C176">IFERROR(INDEX(_xlfn.ANCHORARRAY($Q$6),ROW()-5,3),"")</f>
        <v/>
      </c>
      <c r="D176" s="218" t="str">
        <f>IF($A176="","",IF($K176="DIESEL",SUMIFS(Table1[Quantity],Table1[Customer],$B176,Table1[Date],$A176,Table1[Bill No.],$C176),IF($K176="PETROL",SUMIFS(Table14[Quantity],Table14[Customer],$B176,Table14[Date],$A176,Table14[Bill No.],$C176),IF($K176="XtraGreen",SUMIFS(Table146[Quantity],Table146[Company],$B176,Table146[Date],$A176,Table146[Bill No.],$C176),""))))</f>
        <v/>
      </c>
      <c r="E176" s="219" t="str">
        <f>IF($A176="","",IF($K176="DIESEL",AVERAGEIFS(Table1[RSP],Table1[Customer],$B176,Table1[Date],$A176,Table1[Bill No.],$C176),IF($K176="PETROL",AVERAGEIFS(Table14[RSP],Table14[Customer],$B176,Table14[Date],$A176,Table14[Bill No.],$C176),IF($K176="XtraGreen",AVERAGEIFS(Table146[RSP],Table146[Company],$B176,Table146[Date],$A176,Table146[Bill No.],$C176),IFERROR($F176/$D176,"")))))</f>
        <v/>
      </c>
      <c r="F176" s="330" t="str">
        <f>IF($A176="","",IF($K176="DIESEL",SUMIFS(Table1[Amount],Table1[Customer],$B176,Table1[Date],$A176,Table1[Bill No.],$C176),IF($K176="PETROL",SUMIFS(Table14[Amount],Table14[Customer],$B176,Table14[Date],$A176,Table14[Bill No.],$C176),IF($K176="XtraGreen",SUMIFS(Table146[Amount],Table146[Company],$B176,Table146[Date],$A176,Table146[Bill No.],$C176),SUMIFS('Other Sale'!$D:$D,'Other Sale'!$E:$E,$B176,'Other Sale'!$C:$C,$K176,'Other Sale'!$A:$A,$A176)))))</f>
        <v/>
      </c>
      <c r="G176" s="330" t="str" cm="1">
        <f t="array" ref="G176">IF($A176="","",IF($K176="Payment",IFERROR(INDEX(_xlfn._xlws.FILTER(MasterPaid[Amount Paid],(MasterPaid[Customer]=$B176)*(MasterPaid[Date]=$A176)),COUNTIFS($A$6:$A176,$A176,$B$6:$B176,$B176,$K$6:$K176,"Payment")),0),0))</f>
        <v/>
      </c>
      <c r="H176" s="331"/>
      <c r="I176" s="331"/>
      <c r="J176" s="330" t="str">
        <f t="shared" si="3"/>
        <v/>
      </c>
      <c r="K176" s="289" t="str" cm="1">
        <f t="array" ref="K176">IFERROR(INDEX(_xlfn.ANCHORARRAY($Q$6),ROW()-5,4),"")</f>
        <v/>
      </c>
      <c r="L176" s="290"/>
      <c r="U176">
        <f>IF(OR($A176="",$F176=""),0,MAX(0,MIN($F176,SUMIFS($F$6:$F176,$B$6:$B176,$B176)-(SUMIFS($G$6:$G$355,$B$6:$B$355,$B176)+SUMIFS($H$6:$H$355,$B$6:$B$355,$B176)+SUMIFS($I$6:$I$355,$B$6:$B$355,$B176)))))</f>
        <v>0</v>
      </c>
      <c r="AD176" s="468"/>
      <c r="AE176" s="342"/>
      <c r="AF176" s="342"/>
      <c r="AG176" s="342"/>
      <c r="AH176" s="342"/>
      <c r="AI176" s="342"/>
      <c r="AJ176" s="342"/>
      <c r="AK176" s="342"/>
      <c r="AL176" s="342"/>
      <c r="AM176" s="342"/>
      <c r="AN176" s="342"/>
      <c r="AO176" s="342"/>
      <c r="AP176" s="342"/>
      <c r="AQ176" s="342"/>
      <c r="AR176" s="342"/>
      <c r="AS176" s="342"/>
      <c r="AT176" s="342"/>
      <c r="AU176" s="342"/>
      <c r="AV176" s="342"/>
      <c r="AW176" s="342"/>
      <c r="AX176" s="342"/>
      <c r="AY176" s="342"/>
      <c r="AZ176" s="342"/>
      <c r="BA176" s="342"/>
      <c r="BB176" s="342"/>
      <c r="BC176" s="342"/>
      <c r="BD176" s="342"/>
      <c r="BE176" s="342"/>
      <c r="BF176" s="342"/>
      <c r="BG176" s="342"/>
      <c r="BH176" s="342"/>
      <c r="BI176" s="342"/>
      <c r="BJ176" s="342"/>
      <c r="BK176" s="342"/>
      <c r="BL176" s="342"/>
    </row>
    <row r="177" spans="1:64" ht="23" x14ac:dyDescent="0.25">
      <c r="A177" s="217" t="str" cm="1">
        <f t="array" ref="A177">IFERROR(INDEX(_xlfn.ANCHORARRAY($Q$6),ROW()-5,1),"")</f>
        <v/>
      </c>
      <c r="B177" s="288" t="str" cm="1">
        <f t="array" ref="B177">IFERROR(INDEX(_xlfn.ANCHORARRAY($Q$6),ROW()-5,2),"")</f>
        <v/>
      </c>
      <c r="C177" s="289" t="str" cm="1">
        <f t="array" ref="C177">IFERROR(INDEX(_xlfn.ANCHORARRAY($Q$6),ROW()-5,3),"")</f>
        <v/>
      </c>
      <c r="D177" s="218" t="str">
        <f>IF($A177="","",IF($K177="DIESEL",SUMIFS(Table1[Quantity],Table1[Customer],$B177,Table1[Date],$A177,Table1[Bill No.],$C177),IF($K177="PETROL",SUMIFS(Table14[Quantity],Table14[Customer],$B177,Table14[Date],$A177,Table14[Bill No.],$C177),IF($K177="XtraGreen",SUMIFS(Table146[Quantity],Table146[Company],$B177,Table146[Date],$A177,Table146[Bill No.],$C177),""))))</f>
        <v/>
      </c>
      <c r="E177" s="219" t="str">
        <f>IF($A177="","",IF($K177="DIESEL",AVERAGEIFS(Table1[RSP],Table1[Customer],$B177,Table1[Date],$A177,Table1[Bill No.],$C177),IF($K177="PETROL",AVERAGEIFS(Table14[RSP],Table14[Customer],$B177,Table14[Date],$A177,Table14[Bill No.],$C177),IF($K177="XtraGreen",AVERAGEIFS(Table146[RSP],Table146[Company],$B177,Table146[Date],$A177,Table146[Bill No.],$C177),IFERROR($F177/$D177,"")))))</f>
        <v/>
      </c>
      <c r="F177" s="330" t="str">
        <f>IF($A177="","",IF($K177="DIESEL",SUMIFS(Table1[Amount],Table1[Customer],$B177,Table1[Date],$A177,Table1[Bill No.],$C177),IF($K177="PETROL",SUMIFS(Table14[Amount],Table14[Customer],$B177,Table14[Date],$A177,Table14[Bill No.],$C177),IF($K177="XtraGreen",SUMIFS(Table146[Amount],Table146[Company],$B177,Table146[Date],$A177,Table146[Bill No.],$C177),SUMIFS('Other Sale'!$D:$D,'Other Sale'!$E:$E,$B177,'Other Sale'!$C:$C,$K177,'Other Sale'!$A:$A,$A177)))))</f>
        <v/>
      </c>
      <c r="G177" s="330" t="str" cm="1">
        <f t="array" ref="G177">IF($A177="","",IF($K177="Payment",IFERROR(INDEX(_xlfn._xlws.FILTER(MasterPaid[Amount Paid],(MasterPaid[Customer]=$B177)*(MasterPaid[Date]=$A177)),COUNTIFS($A$6:$A177,$A177,$B$6:$B177,$B177,$K$6:$K177,"Payment")),0),0))</f>
        <v/>
      </c>
      <c r="H177" s="331"/>
      <c r="I177" s="331"/>
      <c r="J177" s="330" t="str">
        <f t="shared" si="3"/>
        <v/>
      </c>
      <c r="K177" s="289" t="str" cm="1">
        <f t="array" ref="K177">IFERROR(INDEX(_xlfn.ANCHORARRAY($Q$6),ROW()-5,4),"")</f>
        <v/>
      </c>
      <c r="L177" s="290"/>
      <c r="U177">
        <f>IF(OR($A177="",$F177=""),0,MAX(0,MIN($F177,SUMIFS($F$6:$F177,$B$6:$B177,$B177)-(SUMIFS($G$6:$G$355,$B$6:$B$355,$B177)+SUMIFS($H$6:$H$355,$B$6:$B$355,$B177)+SUMIFS($I$6:$I$355,$B$6:$B$355,$B177)))))</f>
        <v>0</v>
      </c>
      <c r="AD177" s="468"/>
      <c r="AE177" s="342"/>
      <c r="AF177" s="342"/>
      <c r="AG177" s="342"/>
      <c r="AH177" s="342"/>
      <c r="AI177" s="342"/>
      <c r="AJ177" s="342"/>
      <c r="AK177" s="342"/>
      <c r="AL177" s="342"/>
      <c r="AM177" s="342"/>
      <c r="AN177" s="342"/>
      <c r="AO177" s="342"/>
      <c r="AP177" s="342"/>
      <c r="AQ177" s="342"/>
      <c r="AR177" s="342"/>
      <c r="AS177" s="342"/>
      <c r="AT177" s="342"/>
      <c r="AU177" s="342"/>
      <c r="AV177" s="342"/>
      <c r="AW177" s="342"/>
      <c r="AX177" s="342"/>
      <c r="AY177" s="342"/>
      <c r="AZ177" s="342"/>
      <c r="BA177" s="342"/>
      <c r="BB177" s="342"/>
      <c r="BC177" s="342"/>
      <c r="BD177" s="342"/>
      <c r="BE177" s="342"/>
      <c r="BF177" s="342"/>
      <c r="BG177" s="342"/>
      <c r="BH177" s="342"/>
      <c r="BI177" s="342"/>
      <c r="BJ177" s="342"/>
      <c r="BK177" s="342"/>
      <c r="BL177" s="342"/>
    </row>
    <row r="178" spans="1:64" ht="23" x14ac:dyDescent="0.25">
      <c r="A178" s="217" t="str" cm="1">
        <f t="array" ref="A178">IFERROR(INDEX(_xlfn.ANCHORARRAY($Q$6),ROW()-5,1),"")</f>
        <v/>
      </c>
      <c r="B178" s="288" t="str" cm="1">
        <f t="array" ref="B178">IFERROR(INDEX(_xlfn.ANCHORARRAY($Q$6),ROW()-5,2),"")</f>
        <v/>
      </c>
      <c r="C178" s="289" t="str" cm="1">
        <f t="array" ref="C178">IFERROR(INDEX(_xlfn.ANCHORARRAY($Q$6),ROW()-5,3),"")</f>
        <v/>
      </c>
      <c r="D178" s="218" t="str">
        <f>IF($A178="","",IF($K178="DIESEL",SUMIFS(Table1[Quantity],Table1[Customer],$B178,Table1[Date],$A178,Table1[Bill No.],$C178),IF($K178="PETROL",SUMIFS(Table14[Quantity],Table14[Customer],$B178,Table14[Date],$A178,Table14[Bill No.],$C178),IF($K178="XtraGreen",SUMIFS(Table146[Quantity],Table146[Company],$B178,Table146[Date],$A178,Table146[Bill No.],$C178),""))))</f>
        <v/>
      </c>
      <c r="E178" s="219" t="str">
        <f>IF($A178="","",IF($K178="DIESEL",AVERAGEIFS(Table1[RSP],Table1[Customer],$B178,Table1[Date],$A178,Table1[Bill No.],$C178),IF($K178="PETROL",AVERAGEIFS(Table14[RSP],Table14[Customer],$B178,Table14[Date],$A178,Table14[Bill No.],$C178),IF($K178="XtraGreen",AVERAGEIFS(Table146[RSP],Table146[Company],$B178,Table146[Date],$A178,Table146[Bill No.],$C178),IFERROR($F178/$D178,"")))))</f>
        <v/>
      </c>
      <c r="F178" s="330" t="str">
        <f>IF($A178="","",IF($K178="DIESEL",SUMIFS(Table1[Amount],Table1[Customer],$B178,Table1[Date],$A178,Table1[Bill No.],$C178),IF($K178="PETROL",SUMIFS(Table14[Amount],Table14[Customer],$B178,Table14[Date],$A178,Table14[Bill No.],$C178),IF($K178="XtraGreen",SUMIFS(Table146[Amount],Table146[Company],$B178,Table146[Date],$A178,Table146[Bill No.],$C178),SUMIFS('Other Sale'!$D:$D,'Other Sale'!$E:$E,$B178,'Other Sale'!$C:$C,$K178,'Other Sale'!$A:$A,$A178)))))</f>
        <v/>
      </c>
      <c r="G178" s="330" t="str" cm="1">
        <f t="array" ref="G178">IF($A178="","",IF($K178="Payment",IFERROR(INDEX(_xlfn._xlws.FILTER(MasterPaid[Amount Paid],(MasterPaid[Customer]=$B178)*(MasterPaid[Date]=$A178)),COUNTIFS($A$6:$A178,$A178,$B$6:$B178,$B178,$K$6:$K178,"Payment")),0),0))</f>
        <v/>
      </c>
      <c r="H178" s="331"/>
      <c r="I178" s="331"/>
      <c r="J178" s="330" t="str">
        <f t="shared" si="3"/>
        <v/>
      </c>
      <c r="K178" s="289" t="str" cm="1">
        <f t="array" ref="K178">IFERROR(INDEX(_xlfn.ANCHORARRAY($Q$6),ROW()-5,4),"")</f>
        <v/>
      </c>
      <c r="L178" s="290"/>
      <c r="U178">
        <f>IF(OR($A178="",$F178=""),0,MAX(0,MIN($F178,SUMIFS($F$6:$F178,$B$6:$B178,$B178)-(SUMIFS($G$6:$G$355,$B$6:$B$355,$B178)+SUMIFS($H$6:$H$355,$B$6:$B$355,$B178)+SUMIFS($I$6:$I$355,$B$6:$B$355,$B178)))))</f>
        <v>0</v>
      </c>
      <c r="AD178" s="468"/>
      <c r="AE178" s="342"/>
      <c r="AF178" s="342"/>
      <c r="AG178" s="342"/>
      <c r="AH178" s="342"/>
      <c r="AI178" s="342"/>
      <c r="AJ178" s="342"/>
      <c r="AK178" s="342"/>
      <c r="AL178" s="342"/>
      <c r="AM178" s="342"/>
      <c r="AN178" s="342"/>
      <c r="AO178" s="342"/>
      <c r="AP178" s="342"/>
      <c r="AQ178" s="342"/>
      <c r="AR178" s="342"/>
      <c r="AS178" s="342"/>
      <c r="AT178" s="342"/>
      <c r="AU178" s="342"/>
      <c r="AV178" s="342"/>
      <c r="AW178" s="342"/>
      <c r="AX178" s="342"/>
      <c r="AY178" s="342"/>
      <c r="AZ178" s="342"/>
      <c r="BA178" s="342"/>
      <c r="BB178" s="342"/>
      <c r="BC178" s="342"/>
      <c r="BD178" s="342"/>
      <c r="BE178" s="342"/>
      <c r="BF178" s="342"/>
      <c r="BG178" s="342"/>
      <c r="BH178" s="342"/>
      <c r="BI178" s="342"/>
      <c r="BJ178" s="342"/>
      <c r="BK178" s="342"/>
      <c r="BL178" s="342"/>
    </row>
    <row r="179" spans="1:64" ht="23" x14ac:dyDescent="0.25">
      <c r="A179" s="217" t="str" cm="1">
        <f t="array" ref="A179">IFERROR(INDEX(_xlfn.ANCHORARRAY($Q$6),ROW()-5,1),"")</f>
        <v/>
      </c>
      <c r="B179" s="288" t="str" cm="1">
        <f t="array" ref="B179">IFERROR(INDEX(_xlfn.ANCHORARRAY($Q$6),ROW()-5,2),"")</f>
        <v/>
      </c>
      <c r="C179" s="289" t="str" cm="1">
        <f t="array" ref="C179">IFERROR(INDEX(_xlfn.ANCHORARRAY($Q$6),ROW()-5,3),"")</f>
        <v/>
      </c>
      <c r="D179" s="218" t="str">
        <f>IF($A179="","",IF($K179="DIESEL",SUMIFS(Table1[Quantity],Table1[Customer],$B179,Table1[Date],$A179,Table1[Bill No.],$C179),IF($K179="PETROL",SUMIFS(Table14[Quantity],Table14[Customer],$B179,Table14[Date],$A179,Table14[Bill No.],$C179),IF($K179="XtraGreen",SUMIFS(Table146[Quantity],Table146[Company],$B179,Table146[Date],$A179,Table146[Bill No.],$C179),""))))</f>
        <v/>
      </c>
      <c r="E179" s="219" t="str">
        <f>IF($A179="","",IF($K179="DIESEL",AVERAGEIFS(Table1[RSP],Table1[Customer],$B179,Table1[Date],$A179,Table1[Bill No.],$C179),IF($K179="PETROL",AVERAGEIFS(Table14[RSP],Table14[Customer],$B179,Table14[Date],$A179,Table14[Bill No.],$C179),IF($K179="XtraGreen",AVERAGEIFS(Table146[RSP],Table146[Company],$B179,Table146[Date],$A179,Table146[Bill No.],$C179),IFERROR($F179/$D179,"")))))</f>
        <v/>
      </c>
      <c r="F179" s="330" t="str">
        <f>IF($A179="","",IF($K179="DIESEL",SUMIFS(Table1[Amount],Table1[Customer],$B179,Table1[Date],$A179,Table1[Bill No.],$C179),IF($K179="PETROL",SUMIFS(Table14[Amount],Table14[Customer],$B179,Table14[Date],$A179,Table14[Bill No.],$C179),IF($K179="XtraGreen",SUMIFS(Table146[Amount],Table146[Company],$B179,Table146[Date],$A179,Table146[Bill No.],$C179),SUMIFS('Other Sale'!$D:$D,'Other Sale'!$E:$E,$B179,'Other Sale'!$C:$C,$K179,'Other Sale'!$A:$A,$A179)))))</f>
        <v/>
      </c>
      <c r="G179" s="330" t="str" cm="1">
        <f t="array" ref="G179">IF($A179="","",IF($K179="Payment",IFERROR(INDEX(_xlfn._xlws.FILTER(MasterPaid[Amount Paid],(MasterPaid[Customer]=$B179)*(MasterPaid[Date]=$A179)),COUNTIFS($A$6:$A179,$A179,$B$6:$B179,$B179,$K$6:$K179,"Payment")),0),0))</f>
        <v/>
      </c>
      <c r="H179" s="331"/>
      <c r="I179" s="331"/>
      <c r="J179" s="330" t="str">
        <f t="shared" si="3"/>
        <v/>
      </c>
      <c r="K179" s="289" t="str" cm="1">
        <f t="array" ref="K179">IFERROR(INDEX(_xlfn.ANCHORARRAY($Q$6),ROW()-5,4),"")</f>
        <v/>
      </c>
      <c r="L179" s="290"/>
      <c r="U179">
        <f>IF(OR($A179="",$F179=""),0,MAX(0,MIN($F179,SUMIFS($F$6:$F179,$B$6:$B179,$B179)-(SUMIFS($G$6:$G$355,$B$6:$B$355,$B179)+SUMIFS($H$6:$H$355,$B$6:$B$355,$B179)+SUMIFS($I$6:$I$355,$B$6:$B$355,$B179)))))</f>
        <v>0</v>
      </c>
      <c r="AD179" s="468"/>
      <c r="AE179" s="342"/>
      <c r="AF179" s="342"/>
      <c r="AG179" s="342"/>
      <c r="AH179" s="342"/>
      <c r="AI179" s="342"/>
      <c r="AJ179" s="342"/>
      <c r="AK179" s="342"/>
      <c r="AL179" s="342"/>
      <c r="AM179" s="342"/>
      <c r="AN179" s="342"/>
      <c r="AO179" s="342"/>
      <c r="AP179" s="342"/>
      <c r="AQ179" s="342"/>
      <c r="AR179" s="342"/>
      <c r="AS179" s="342"/>
      <c r="AT179" s="342"/>
      <c r="AU179" s="342"/>
      <c r="AV179" s="342"/>
      <c r="AW179" s="342"/>
      <c r="AX179" s="342"/>
      <c r="AY179" s="342"/>
      <c r="AZ179" s="342"/>
      <c r="BA179" s="342"/>
      <c r="BB179" s="342"/>
      <c r="BC179" s="342"/>
      <c r="BD179" s="342"/>
      <c r="BE179" s="342"/>
      <c r="BF179" s="342"/>
      <c r="BG179" s="342"/>
      <c r="BH179" s="342"/>
      <c r="BI179" s="342"/>
      <c r="BJ179" s="342"/>
      <c r="BK179" s="342"/>
      <c r="BL179" s="342"/>
    </row>
    <row r="180" spans="1:64" ht="23" x14ac:dyDescent="0.25">
      <c r="A180" s="217" t="str" cm="1">
        <f t="array" ref="A180">IFERROR(INDEX(_xlfn.ANCHORARRAY($Q$6),ROW()-5,1),"")</f>
        <v/>
      </c>
      <c r="B180" s="288" t="str" cm="1">
        <f t="array" ref="B180">IFERROR(INDEX(_xlfn.ANCHORARRAY($Q$6),ROW()-5,2),"")</f>
        <v/>
      </c>
      <c r="C180" s="289" t="str" cm="1">
        <f t="array" ref="C180">IFERROR(INDEX(_xlfn.ANCHORARRAY($Q$6),ROW()-5,3),"")</f>
        <v/>
      </c>
      <c r="D180" s="218" t="str">
        <f>IF($A180="","",IF($K180="DIESEL",SUMIFS(Table1[Quantity],Table1[Customer],$B180,Table1[Date],$A180,Table1[Bill No.],$C180),IF($K180="PETROL",SUMIFS(Table14[Quantity],Table14[Customer],$B180,Table14[Date],$A180,Table14[Bill No.],$C180),IF($K180="XtraGreen",SUMIFS(Table146[Quantity],Table146[Company],$B180,Table146[Date],$A180,Table146[Bill No.],$C180),""))))</f>
        <v/>
      </c>
      <c r="E180" s="219" t="str">
        <f>IF($A180="","",IF($K180="DIESEL",AVERAGEIFS(Table1[RSP],Table1[Customer],$B180,Table1[Date],$A180,Table1[Bill No.],$C180),IF($K180="PETROL",AVERAGEIFS(Table14[RSP],Table14[Customer],$B180,Table14[Date],$A180,Table14[Bill No.],$C180),IF($K180="XtraGreen",AVERAGEIFS(Table146[RSP],Table146[Company],$B180,Table146[Date],$A180,Table146[Bill No.],$C180),IFERROR($F180/$D180,"")))))</f>
        <v/>
      </c>
      <c r="F180" s="330" t="str">
        <f>IF($A180="","",IF($K180="DIESEL",SUMIFS(Table1[Amount],Table1[Customer],$B180,Table1[Date],$A180,Table1[Bill No.],$C180),IF($K180="PETROL",SUMIFS(Table14[Amount],Table14[Customer],$B180,Table14[Date],$A180,Table14[Bill No.],$C180),IF($K180="XtraGreen",SUMIFS(Table146[Amount],Table146[Company],$B180,Table146[Date],$A180,Table146[Bill No.],$C180),SUMIFS('Other Sale'!$D:$D,'Other Sale'!$E:$E,$B180,'Other Sale'!$C:$C,$K180,'Other Sale'!$A:$A,$A180)))))</f>
        <v/>
      </c>
      <c r="G180" s="330" t="str" cm="1">
        <f t="array" ref="G180">IF($A180="","",IF($K180="Payment",IFERROR(INDEX(_xlfn._xlws.FILTER(MasterPaid[Amount Paid],(MasterPaid[Customer]=$B180)*(MasterPaid[Date]=$A180)),COUNTIFS($A$6:$A180,$A180,$B$6:$B180,$B180,$K$6:$K180,"Payment")),0),0))</f>
        <v/>
      </c>
      <c r="H180" s="331"/>
      <c r="I180" s="331"/>
      <c r="J180" s="330" t="str">
        <f t="shared" si="3"/>
        <v/>
      </c>
      <c r="K180" s="289" t="str" cm="1">
        <f t="array" ref="K180">IFERROR(INDEX(_xlfn.ANCHORARRAY($Q$6),ROW()-5,4),"")</f>
        <v/>
      </c>
      <c r="L180" s="290"/>
      <c r="U180">
        <f>IF(OR($A180="",$F180=""),0,MAX(0,MIN($F180,SUMIFS($F$6:$F180,$B$6:$B180,$B180)-(SUMIFS($G$6:$G$355,$B$6:$B$355,$B180)+SUMIFS($H$6:$H$355,$B$6:$B$355,$B180)+SUMIFS($I$6:$I$355,$B$6:$B$355,$B180)))))</f>
        <v>0</v>
      </c>
      <c r="AD180" s="468"/>
      <c r="AE180" s="342"/>
      <c r="AF180" s="342"/>
      <c r="AG180" s="342"/>
      <c r="AH180" s="342"/>
      <c r="AI180" s="342"/>
      <c r="AJ180" s="342"/>
      <c r="AK180" s="342"/>
      <c r="AL180" s="342"/>
      <c r="AM180" s="342"/>
      <c r="AN180" s="342"/>
      <c r="AO180" s="342"/>
      <c r="AP180" s="342"/>
      <c r="AQ180" s="342"/>
      <c r="AR180" s="342"/>
      <c r="AS180" s="342"/>
      <c r="AT180" s="342"/>
      <c r="AU180" s="342"/>
      <c r="AV180" s="342"/>
      <c r="AW180" s="342"/>
      <c r="AX180" s="342"/>
      <c r="AY180" s="342"/>
      <c r="AZ180" s="342"/>
      <c r="BA180" s="342"/>
      <c r="BB180" s="342"/>
      <c r="BC180" s="342"/>
      <c r="BD180" s="342"/>
      <c r="BE180" s="342"/>
      <c r="BF180" s="342"/>
      <c r="BG180" s="342"/>
      <c r="BH180" s="342"/>
      <c r="BI180" s="342"/>
      <c r="BJ180" s="342"/>
      <c r="BK180" s="342"/>
      <c r="BL180" s="342"/>
    </row>
    <row r="181" spans="1:64" ht="23" x14ac:dyDescent="0.25">
      <c r="A181" s="217" t="str" cm="1">
        <f t="array" ref="A181">IFERROR(INDEX(_xlfn.ANCHORARRAY($Q$6),ROW()-5,1),"")</f>
        <v/>
      </c>
      <c r="B181" s="288" t="str" cm="1">
        <f t="array" ref="B181">IFERROR(INDEX(_xlfn.ANCHORARRAY($Q$6),ROW()-5,2),"")</f>
        <v/>
      </c>
      <c r="C181" s="289" t="str" cm="1">
        <f t="array" ref="C181">IFERROR(INDEX(_xlfn.ANCHORARRAY($Q$6),ROW()-5,3),"")</f>
        <v/>
      </c>
      <c r="D181" s="218" t="str">
        <f>IF($A181="","",IF($K181="DIESEL",SUMIFS(Table1[Quantity],Table1[Customer],$B181,Table1[Date],$A181,Table1[Bill No.],$C181),IF($K181="PETROL",SUMIFS(Table14[Quantity],Table14[Customer],$B181,Table14[Date],$A181,Table14[Bill No.],$C181),IF($K181="XtraGreen",SUMIFS(Table146[Quantity],Table146[Company],$B181,Table146[Date],$A181,Table146[Bill No.],$C181),""))))</f>
        <v/>
      </c>
      <c r="E181" s="219" t="str">
        <f>IF($A181="","",IF($K181="DIESEL",AVERAGEIFS(Table1[RSP],Table1[Customer],$B181,Table1[Date],$A181,Table1[Bill No.],$C181),IF($K181="PETROL",AVERAGEIFS(Table14[RSP],Table14[Customer],$B181,Table14[Date],$A181,Table14[Bill No.],$C181),IF($K181="XtraGreen",AVERAGEIFS(Table146[RSP],Table146[Company],$B181,Table146[Date],$A181,Table146[Bill No.],$C181),IFERROR($F181/$D181,"")))))</f>
        <v/>
      </c>
      <c r="F181" s="330" t="str">
        <f>IF($A181="","",IF($K181="DIESEL",SUMIFS(Table1[Amount],Table1[Customer],$B181,Table1[Date],$A181,Table1[Bill No.],$C181),IF($K181="PETROL",SUMIFS(Table14[Amount],Table14[Customer],$B181,Table14[Date],$A181,Table14[Bill No.],$C181),IF($K181="XtraGreen",SUMIFS(Table146[Amount],Table146[Company],$B181,Table146[Date],$A181,Table146[Bill No.],$C181),SUMIFS('Other Sale'!$D:$D,'Other Sale'!$E:$E,$B181,'Other Sale'!$C:$C,$K181,'Other Sale'!$A:$A,$A181)))))</f>
        <v/>
      </c>
      <c r="G181" s="330" t="str" cm="1">
        <f t="array" ref="G181">IF($A181="","",IF($K181="Payment",IFERROR(INDEX(_xlfn._xlws.FILTER(MasterPaid[Amount Paid],(MasterPaid[Customer]=$B181)*(MasterPaid[Date]=$A181)),COUNTIFS($A$6:$A181,$A181,$B$6:$B181,$B181,$K$6:$K181,"Payment")),0),0))</f>
        <v/>
      </c>
      <c r="H181" s="331"/>
      <c r="I181" s="331"/>
      <c r="J181" s="330" t="str">
        <f t="shared" si="3"/>
        <v/>
      </c>
      <c r="K181" s="289" t="str" cm="1">
        <f t="array" ref="K181">IFERROR(INDEX(_xlfn.ANCHORARRAY($Q$6),ROW()-5,4),"")</f>
        <v/>
      </c>
      <c r="L181" s="290"/>
      <c r="U181">
        <f>IF(OR($A181="",$F181=""),0,MAX(0,MIN($F181,SUMIFS($F$6:$F181,$B$6:$B181,$B181)-(SUMIFS($G$6:$G$355,$B$6:$B$355,$B181)+SUMIFS($H$6:$H$355,$B$6:$B$355,$B181)+SUMIFS($I$6:$I$355,$B$6:$B$355,$B181)))))</f>
        <v>0</v>
      </c>
      <c r="AD181" s="468"/>
      <c r="AE181" s="342"/>
      <c r="AF181" s="342"/>
      <c r="AG181" s="342"/>
      <c r="AH181" s="342"/>
      <c r="AI181" s="342"/>
      <c r="AJ181" s="342"/>
      <c r="AK181" s="342"/>
      <c r="AL181" s="342"/>
      <c r="AM181" s="342"/>
      <c r="AN181" s="342"/>
      <c r="AO181" s="342"/>
      <c r="AP181" s="342"/>
      <c r="AQ181" s="342"/>
      <c r="AR181" s="342"/>
      <c r="AS181" s="342"/>
      <c r="AT181" s="342"/>
      <c r="AU181" s="342"/>
      <c r="AV181" s="342"/>
      <c r="AW181" s="342"/>
      <c r="AX181" s="342"/>
      <c r="AY181" s="342"/>
      <c r="AZ181" s="342"/>
      <c r="BA181" s="342"/>
      <c r="BB181" s="342"/>
      <c r="BC181" s="342"/>
      <c r="BD181" s="342"/>
      <c r="BE181" s="342"/>
      <c r="BF181" s="342"/>
      <c r="BG181" s="342"/>
      <c r="BH181" s="342"/>
      <c r="BI181" s="342"/>
      <c r="BJ181" s="342"/>
      <c r="BK181" s="342"/>
      <c r="BL181" s="342"/>
    </row>
    <row r="182" spans="1:64" ht="23" x14ac:dyDescent="0.25">
      <c r="A182" s="217" t="str" cm="1">
        <f t="array" ref="A182">IFERROR(INDEX(_xlfn.ANCHORARRAY($Q$6),ROW()-5,1),"")</f>
        <v/>
      </c>
      <c r="B182" s="288" t="str" cm="1">
        <f t="array" ref="B182">IFERROR(INDEX(_xlfn.ANCHORARRAY($Q$6),ROW()-5,2),"")</f>
        <v/>
      </c>
      <c r="C182" s="289" t="str" cm="1">
        <f t="array" ref="C182">IFERROR(INDEX(_xlfn.ANCHORARRAY($Q$6),ROW()-5,3),"")</f>
        <v/>
      </c>
      <c r="D182" s="218" t="str">
        <f>IF($A182="","",IF($K182="DIESEL",SUMIFS(Table1[Quantity],Table1[Customer],$B182,Table1[Date],$A182,Table1[Bill No.],$C182),IF($K182="PETROL",SUMIFS(Table14[Quantity],Table14[Customer],$B182,Table14[Date],$A182,Table14[Bill No.],$C182),IF($K182="XtraGreen",SUMIFS(Table146[Quantity],Table146[Company],$B182,Table146[Date],$A182,Table146[Bill No.],$C182),""))))</f>
        <v/>
      </c>
      <c r="E182" s="219" t="str">
        <f>IF($A182="","",IF($K182="DIESEL",AVERAGEIFS(Table1[RSP],Table1[Customer],$B182,Table1[Date],$A182,Table1[Bill No.],$C182),IF($K182="PETROL",AVERAGEIFS(Table14[RSP],Table14[Customer],$B182,Table14[Date],$A182,Table14[Bill No.],$C182),IF($K182="XtraGreen",AVERAGEIFS(Table146[RSP],Table146[Company],$B182,Table146[Date],$A182,Table146[Bill No.],$C182),IFERROR($F182/$D182,"")))))</f>
        <v/>
      </c>
      <c r="F182" s="330" t="str">
        <f>IF($A182="","",IF($K182="DIESEL",SUMIFS(Table1[Amount],Table1[Customer],$B182,Table1[Date],$A182,Table1[Bill No.],$C182),IF($K182="PETROL",SUMIFS(Table14[Amount],Table14[Customer],$B182,Table14[Date],$A182,Table14[Bill No.],$C182),IF($K182="XtraGreen",SUMIFS(Table146[Amount],Table146[Company],$B182,Table146[Date],$A182,Table146[Bill No.],$C182),SUMIFS('Other Sale'!$D:$D,'Other Sale'!$E:$E,$B182,'Other Sale'!$C:$C,$K182,'Other Sale'!$A:$A,$A182)))))</f>
        <v/>
      </c>
      <c r="G182" s="330" t="str" cm="1">
        <f t="array" ref="G182">IF($A182="","",IF($K182="Payment",IFERROR(INDEX(_xlfn._xlws.FILTER(MasterPaid[Amount Paid],(MasterPaid[Customer]=$B182)*(MasterPaid[Date]=$A182)),COUNTIFS($A$6:$A182,$A182,$B$6:$B182,$B182,$K$6:$K182,"Payment")),0),0))</f>
        <v/>
      </c>
      <c r="H182" s="331"/>
      <c r="I182" s="331"/>
      <c r="J182" s="330" t="str">
        <f t="shared" si="3"/>
        <v/>
      </c>
      <c r="K182" s="289" t="str" cm="1">
        <f t="array" ref="K182">IFERROR(INDEX(_xlfn.ANCHORARRAY($Q$6),ROW()-5,4),"")</f>
        <v/>
      </c>
      <c r="L182" s="290"/>
      <c r="U182">
        <f>IF(OR($A182="",$F182=""),0,MAX(0,MIN($F182,SUMIFS($F$6:$F182,$B$6:$B182,$B182)-(SUMIFS($G$6:$G$355,$B$6:$B$355,$B182)+SUMIFS($H$6:$H$355,$B$6:$B$355,$B182)+SUMIFS($I$6:$I$355,$B$6:$B$355,$B182)))))</f>
        <v>0</v>
      </c>
      <c r="AD182" s="468"/>
      <c r="AE182" s="342"/>
      <c r="AF182" s="342"/>
      <c r="AG182" s="342"/>
      <c r="AH182" s="342"/>
      <c r="AI182" s="342"/>
      <c r="AJ182" s="342"/>
      <c r="AK182" s="342"/>
      <c r="AL182" s="342"/>
      <c r="AM182" s="342"/>
      <c r="AN182" s="342"/>
      <c r="AO182" s="342"/>
      <c r="AP182" s="342"/>
      <c r="AQ182" s="342"/>
      <c r="AR182" s="342"/>
      <c r="AS182" s="342"/>
      <c r="AT182" s="342"/>
      <c r="AU182" s="342"/>
      <c r="AV182" s="342"/>
      <c r="AW182" s="342"/>
      <c r="AX182" s="342"/>
      <c r="AY182" s="342"/>
      <c r="AZ182" s="342"/>
      <c r="BA182" s="342"/>
      <c r="BB182" s="342"/>
      <c r="BC182" s="342"/>
      <c r="BD182" s="342"/>
      <c r="BE182" s="342"/>
      <c r="BF182" s="342"/>
      <c r="BG182" s="342"/>
      <c r="BH182" s="342"/>
      <c r="BI182" s="342"/>
      <c r="BJ182" s="342"/>
      <c r="BK182" s="342"/>
      <c r="BL182" s="342"/>
    </row>
    <row r="183" spans="1:64" ht="23" x14ac:dyDescent="0.25">
      <c r="A183" s="217" t="str" cm="1">
        <f t="array" ref="A183">IFERROR(INDEX(_xlfn.ANCHORARRAY($Q$6),ROW()-5,1),"")</f>
        <v/>
      </c>
      <c r="B183" s="288" t="str" cm="1">
        <f t="array" ref="B183">IFERROR(INDEX(_xlfn.ANCHORARRAY($Q$6),ROW()-5,2),"")</f>
        <v/>
      </c>
      <c r="C183" s="289" t="str" cm="1">
        <f t="array" ref="C183">IFERROR(INDEX(_xlfn.ANCHORARRAY($Q$6),ROW()-5,3),"")</f>
        <v/>
      </c>
      <c r="D183" s="218" t="str">
        <f>IF($A183="","",IF($K183="DIESEL",SUMIFS(Table1[Quantity],Table1[Customer],$B183,Table1[Date],$A183,Table1[Bill No.],$C183),IF($K183="PETROL",SUMIFS(Table14[Quantity],Table14[Customer],$B183,Table14[Date],$A183,Table14[Bill No.],$C183),IF($K183="XtraGreen",SUMIFS(Table146[Quantity],Table146[Company],$B183,Table146[Date],$A183,Table146[Bill No.],$C183),""))))</f>
        <v/>
      </c>
      <c r="E183" s="219" t="str">
        <f>IF($A183="","",IF($K183="DIESEL",AVERAGEIFS(Table1[RSP],Table1[Customer],$B183,Table1[Date],$A183,Table1[Bill No.],$C183),IF($K183="PETROL",AVERAGEIFS(Table14[RSP],Table14[Customer],$B183,Table14[Date],$A183,Table14[Bill No.],$C183),IF($K183="XtraGreen",AVERAGEIFS(Table146[RSP],Table146[Company],$B183,Table146[Date],$A183,Table146[Bill No.],$C183),IFERROR($F183/$D183,"")))))</f>
        <v/>
      </c>
      <c r="F183" s="330" t="str">
        <f>IF($A183="","",IF($K183="DIESEL",SUMIFS(Table1[Amount],Table1[Customer],$B183,Table1[Date],$A183,Table1[Bill No.],$C183),IF($K183="PETROL",SUMIFS(Table14[Amount],Table14[Customer],$B183,Table14[Date],$A183,Table14[Bill No.],$C183),IF($K183="XtraGreen",SUMIFS(Table146[Amount],Table146[Company],$B183,Table146[Date],$A183,Table146[Bill No.],$C183),SUMIFS('Other Sale'!$D:$D,'Other Sale'!$E:$E,$B183,'Other Sale'!$C:$C,$K183,'Other Sale'!$A:$A,$A183)))))</f>
        <v/>
      </c>
      <c r="G183" s="330" t="str" cm="1">
        <f t="array" ref="G183">IF($A183="","",IF($K183="Payment",IFERROR(INDEX(_xlfn._xlws.FILTER(MasterPaid[Amount Paid],(MasterPaid[Customer]=$B183)*(MasterPaid[Date]=$A183)),COUNTIFS($A$6:$A183,$A183,$B$6:$B183,$B183,$K$6:$K183,"Payment")),0),0))</f>
        <v/>
      </c>
      <c r="H183" s="331"/>
      <c r="I183" s="331"/>
      <c r="J183" s="330" t="str">
        <f t="shared" si="3"/>
        <v/>
      </c>
      <c r="K183" s="289" t="str" cm="1">
        <f t="array" ref="K183">IFERROR(INDEX(_xlfn.ANCHORARRAY($Q$6),ROW()-5,4),"")</f>
        <v/>
      </c>
      <c r="L183" s="290"/>
      <c r="U183">
        <f>IF(OR($A183="",$F183=""),0,MAX(0,MIN($F183,SUMIFS($F$6:$F183,$B$6:$B183,$B183)-(SUMIFS($G$6:$G$355,$B$6:$B$355,$B183)+SUMIFS($H$6:$H$355,$B$6:$B$355,$B183)+SUMIFS($I$6:$I$355,$B$6:$B$355,$B183)))))</f>
        <v>0</v>
      </c>
      <c r="AD183" s="468"/>
      <c r="AE183" s="342"/>
      <c r="AF183" s="342"/>
      <c r="AG183" s="342"/>
      <c r="AH183" s="342"/>
      <c r="AI183" s="342"/>
      <c r="AJ183" s="342"/>
      <c r="AK183" s="342"/>
      <c r="AL183" s="342"/>
      <c r="AM183" s="342"/>
      <c r="AN183" s="342"/>
      <c r="AO183" s="342"/>
      <c r="AP183" s="342"/>
      <c r="AQ183" s="342"/>
      <c r="AR183" s="342"/>
      <c r="AS183" s="342"/>
      <c r="AT183" s="342"/>
      <c r="AU183" s="342"/>
      <c r="AV183" s="342"/>
      <c r="AW183" s="342"/>
      <c r="AX183" s="342"/>
      <c r="AY183" s="342"/>
      <c r="AZ183" s="342"/>
      <c r="BA183" s="342"/>
      <c r="BB183" s="342"/>
      <c r="BC183" s="342"/>
      <c r="BD183" s="342"/>
      <c r="BE183" s="342"/>
      <c r="BF183" s="342"/>
      <c r="BG183" s="342"/>
      <c r="BH183" s="342"/>
      <c r="BI183" s="342"/>
      <c r="BJ183" s="342"/>
      <c r="BK183" s="342"/>
      <c r="BL183" s="342"/>
    </row>
    <row r="184" spans="1:64" ht="23" x14ac:dyDescent="0.25">
      <c r="A184" s="217" t="str" cm="1">
        <f t="array" ref="A184">IFERROR(INDEX(_xlfn.ANCHORARRAY($Q$6),ROW()-5,1),"")</f>
        <v/>
      </c>
      <c r="B184" s="288" t="str" cm="1">
        <f t="array" ref="B184">IFERROR(INDEX(_xlfn.ANCHORARRAY($Q$6),ROW()-5,2),"")</f>
        <v/>
      </c>
      <c r="C184" s="289" t="str" cm="1">
        <f t="array" ref="C184">IFERROR(INDEX(_xlfn.ANCHORARRAY($Q$6),ROW()-5,3),"")</f>
        <v/>
      </c>
      <c r="D184" s="218" t="str">
        <f>IF($A184="","",IF($K184="DIESEL",SUMIFS(Table1[Quantity],Table1[Customer],$B184,Table1[Date],$A184,Table1[Bill No.],$C184),IF($K184="PETROL",SUMIFS(Table14[Quantity],Table14[Customer],$B184,Table14[Date],$A184,Table14[Bill No.],$C184),IF($K184="XtraGreen",SUMIFS(Table146[Quantity],Table146[Company],$B184,Table146[Date],$A184,Table146[Bill No.],$C184),""))))</f>
        <v/>
      </c>
      <c r="E184" s="219" t="str">
        <f>IF($A184="","",IF($K184="DIESEL",AVERAGEIFS(Table1[RSP],Table1[Customer],$B184,Table1[Date],$A184,Table1[Bill No.],$C184),IF($K184="PETROL",AVERAGEIFS(Table14[RSP],Table14[Customer],$B184,Table14[Date],$A184,Table14[Bill No.],$C184),IF($K184="XtraGreen",AVERAGEIFS(Table146[RSP],Table146[Company],$B184,Table146[Date],$A184,Table146[Bill No.],$C184),IFERROR($F184/$D184,"")))))</f>
        <v/>
      </c>
      <c r="F184" s="330" t="str">
        <f>IF($A184="","",IF($K184="DIESEL",SUMIFS(Table1[Amount],Table1[Customer],$B184,Table1[Date],$A184,Table1[Bill No.],$C184),IF($K184="PETROL",SUMIFS(Table14[Amount],Table14[Customer],$B184,Table14[Date],$A184,Table14[Bill No.],$C184),IF($K184="XtraGreen",SUMIFS(Table146[Amount],Table146[Company],$B184,Table146[Date],$A184,Table146[Bill No.],$C184),SUMIFS('Other Sale'!$D:$D,'Other Sale'!$E:$E,$B184,'Other Sale'!$C:$C,$K184,'Other Sale'!$A:$A,$A184)))))</f>
        <v/>
      </c>
      <c r="G184" s="330" t="str" cm="1">
        <f t="array" ref="G184">IF($A184="","",IF($K184="Payment",IFERROR(INDEX(_xlfn._xlws.FILTER(MasterPaid[Amount Paid],(MasterPaid[Customer]=$B184)*(MasterPaid[Date]=$A184)),COUNTIFS($A$6:$A184,$A184,$B$6:$B184,$B184,$K$6:$K184,"Payment")),0),0))</f>
        <v/>
      </c>
      <c r="H184" s="331"/>
      <c r="I184" s="331"/>
      <c r="J184" s="330" t="str">
        <f t="shared" si="3"/>
        <v/>
      </c>
      <c r="K184" s="289" t="str" cm="1">
        <f t="array" ref="K184">IFERROR(INDEX(_xlfn.ANCHORARRAY($Q$6),ROW()-5,4),"")</f>
        <v/>
      </c>
      <c r="L184" s="290"/>
      <c r="U184">
        <f>IF(OR($A184="",$F184=""),0,MAX(0,MIN($F184,SUMIFS($F$6:$F184,$B$6:$B184,$B184)-(SUMIFS($G$6:$G$355,$B$6:$B$355,$B184)+SUMIFS($H$6:$H$355,$B$6:$B$355,$B184)+SUMIFS($I$6:$I$355,$B$6:$B$355,$B184)))))</f>
        <v>0</v>
      </c>
      <c r="AD184" s="468"/>
      <c r="AE184" s="342"/>
      <c r="AF184" s="342"/>
      <c r="AG184" s="342"/>
      <c r="AH184" s="342"/>
      <c r="AI184" s="342"/>
      <c r="AJ184" s="342"/>
      <c r="AK184" s="342"/>
      <c r="AL184" s="342"/>
      <c r="AM184" s="342"/>
      <c r="AN184" s="342"/>
      <c r="AO184" s="342"/>
      <c r="AP184" s="342"/>
      <c r="AQ184" s="342"/>
      <c r="AR184" s="342"/>
      <c r="AS184" s="342"/>
      <c r="AT184" s="342"/>
      <c r="AU184" s="342"/>
      <c r="AV184" s="342"/>
      <c r="AW184" s="342"/>
      <c r="AX184" s="342"/>
      <c r="AY184" s="342"/>
      <c r="AZ184" s="342"/>
      <c r="BA184" s="342"/>
      <c r="BB184" s="342"/>
      <c r="BC184" s="342"/>
      <c r="BD184" s="342"/>
      <c r="BE184" s="342"/>
      <c r="BF184" s="342"/>
      <c r="BG184" s="342"/>
      <c r="BH184" s="342"/>
      <c r="BI184" s="342"/>
      <c r="BJ184" s="342"/>
      <c r="BK184" s="342"/>
      <c r="BL184" s="342"/>
    </row>
    <row r="185" spans="1:64" ht="23" x14ac:dyDescent="0.25">
      <c r="A185" s="217" t="str" cm="1">
        <f t="array" ref="A185">IFERROR(INDEX(_xlfn.ANCHORARRAY($Q$6),ROW()-5,1),"")</f>
        <v/>
      </c>
      <c r="B185" s="288" t="str" cm="1">
        <f t="array" ref="B185">IFERROR(INDEX(_xlfn.ANCHORARRAY($Q$6),ROW()-5,2),"")</f>
        <v/>
      </c>
      <c r="C185" s="289" t="str" cm="1">
        <f t="array" ref="C185">IFERROR(INDEX(_xlfn.ANCHORARRAY($Q$6),ROW()-5,3),"")</f>
        <v/>
      </c>
      <c r="D185" s="218" t="str">
        <f>IF($A185="","",IF($K185="DIESEL",SUMIFS(Table1[Quantity],Table1[Customer],$B185,Table1[Date],$A185,Table1[Bill No.],$C185),IF($K185="PETROL",SUMIFS(Table14[Quantity],Table14[Customer],$B185,Table14[Date],$A185,Table14[Bill No.],$C185),IF($K185="XtraGreen",SUMIFS(Table146[Quantity],Table146[Company],$B185,Table146[Date],$A185,Table146[Bill No.],$C185),""))))</f>
        <v/>
      </c>
      <c r="E185" s="219" t="str">
        <f>IF($A185="","",IF($K185="DIESEL",AVERAGEIFS(Table1[RSP],Table1[Customer],$B185,Table1[Date],$A185,Table1[Bill No.],$C185),IF($K185="PETROL",AVERAGEIFS(Table14[RSP],Table14[Customer],$B185,Table14[Date],$A185,Table14[Bill No.],$C185),IF($K185="XtraGreen",AVERAGEIFS(Table146[RSP],Table146[Company],$B185,Table146[Date],$A185,Table146[Bill No.],$C185),IFERROR($F185/$D185,"")))))</f>
        <v/>
      </c>
      <c r="F185" s="330" t="str">
        <f>IF($A185="","",IF($K185="DIESEL",SUMIFS(Table1[Amount],Table1[Customer],$B185,Table1[Date],$A185,Table1[Bill No.],$C185),IF($K185="PETROL",SUMIFS(Table14[Amount],Table14[Customer],$B185,Table14[Date],$A185,Table14[Bill No.],$C185),IF($K185="XtraGreen",SUMIFS(Table146[Amount],Table146[Company],$B185,Table146[Date],$A185,Table146[Bill No.],$C185),SUMIFS('Other Sale'!$D:$D,'Other Sale'!$E:$E,$B185,'Other Sale'!$C:$C,$K185,'Other Sale'!$A:$A,$A185)))))</f>
        <v/>
      </c>
      <c r="G185" s="330" t="str" cm="1">
        <f t="array" ref="G185">IF($A185="","",IF($K185="Payment",IFERROR(INDEX(_xlfn._xlws.FILTER(MasterPaid[Amount Paid],(MasterPaid[Customer]=$B185)*(MasterPaid[Date]=$A185)),COUNTIFS($A$6:$A185,$A185,$B$6:$B185,$B185,$K$6:$K185,"Payment")),0),0))</f>
        <v/>
      </c>
      <c r="H185" s="331"/>
      <c r="I185" s="331"/>
      <c r="J185" s="330" t="str">
        <f t="shared" si="3"/>
        <v/>
      </c>
      <c r="K185" s="289" t="str" cm="1">
        <f t="array" ref="K185">IFERROR(INDEX(_xlfn.ANCHORARRAY($Q$6),ROW()-5,4),"")</f>
        <v/>
      </c>
      <c r="L185" s="290"/>
      <c r="U185">
        <f>IF(OR($A185="",$F185=""),0,MAX(0,MIN($F185,SUMIFS($F$6:$F185,$B$6:$B185,$B185)-(SUMIFS($G$6:$G$355,$B$6:$B$355,$B185)+SUMIFS($H$6:$H$355,$B$6:$B$355,$B185)+SUMIFS($I$6:$I$355,$B$6:$B$355,$B185)))))</f>
        <v>0</v>
      </c>
      <c r="AD185" s="468"/>
      <c r="AE185" s="342"/>
      <c r="AF185" s="342"/>
      <c r="AG185" s="342"/>
      <c r="AH185" s="342"/>
      <c r="AI185" s="342"/>
      <c r="AJ185" s="342"/>
      <c r="AK185" s="342"/>
      <c r="AL185" s="342"/>
      <c r="AM185" s="342"/>
      <c r="AN185" s="342"/>
      <c r="AO185" s="342"/>
      <c r="AP185" s="342"/>
      <c r="AQ185" s="342"/>
      <c r="AR185" s="342"/>
      <c r="AS185" s="342"/>
      <c r="AT185" s="342"/>
      <c r="AU185" s="342"/>
      <c r="AV185" s="342"/>
      <c r="AW185" s="342"/>
      <c r="AX185" s="342"/>
      <c r="AY185" s="342"/>
      <c r="AZ185" s="342"/>
      <c r="BA185" s="342"/>
      <c r="BB185" s="342"/>
      <c r="BC185" s="342"/>
      <c r="BD185" s="342"/>
      <c r="BE185" s="342"/>
      <c r="BF185" s="342"/>
      <c r="BG185" s="342"/>
      <c r="BH185" s="342"/>
      <c r="BI185" s="342"/>
      <c r="BJ185" s="342"/>
      <c r="BK185" s="342"/>
      <c r="BL185" s="342"/>
    </row>
    <row r="186" spans="1:64" ht="23" x14ac:dyDescent="0.25">
      <c r="A186" s="217" t="str" cm="1">
        <f t="array" ref="A186">IFERROR(INDEX(_xlfn.ANCHORARRAY($Q$6),ROW()-5,1),"")</f>
        <v/>
      </c>
      <c r="B186" s="288" t="str" cm="1">
        <f t="array" ref="B186">IFERROR(INDEX(_xlfn.ANCHORARRAY($Q$6),ROW()-5,2),"")</f>
        <v/>
      </c>
      <c r="C186" s="289" t="str" cm="1">
        <f t="array" ref="C186">IFERROR(INDEX(_xlfn.ANCHORARRAY($Q$6),ROW()-5,3),"")</f>
        <v/>
      </c>
      <c r="D186" s="218" t="str">
        <f>IF($A186="","",IF($K186="DIESEL",SUMIFS(Table1[Quantity],Table1[Customer],$B186,Table1[Date],$A186,Table1[Bill No.],$C186),IF($K186="PETROL",SUMIFS(Table14[Quantity],Table14[Customer],$B186,Table14[Date],$A186,Table14[Bill No.],$C186),IF($K186="XtraGreen",SUMIFS(Table146[Quantity],Table146[Company],$B186,Table146[Date],$A186,Table146[Bill No.],$C186),""))))</f>
        <v/>
      </c>
      <c r="E186" s="219" t="str">
        <f>IF($A186="","",IF($K186="DIESEL",AVERAGEIFS(Table1[RSP],Table1[Customer],$B186,Table1[Date],$A186,Table1[Bill No.],$C186),IF($K186="PETROL",AVERAGEIFS(Table14[RSP],Table14[Customer],$B186,Table14[Date],$A186,Table14[Bill No.],$C186),IF($K186="XtraGreen",AVERAGEIFS(Table146[RSP],Table146[Company],$B186,Table146[Date],$A186,Table146[Bill No.],$C186),IFERROR($F186/$D186,"")))))</f>
        <v/>
      </c>
      <c r="F186" s="330" t="str">
        <f>IF($A186="","",IF($K186="DIESEL",SUMIFS(Table1[Amount],Table1[Customer],$B186,Table1[Date],$A186,Table1[Bill No.],$C186),IF($K186="PETROL",SUMIFS(Table14[Amount],Table14[Customer],$B186,Table14[Date],$A186,Table14[Bill No.],$C186),IF($K186="XtraGreen",SUMIFS(Table146[Amount],Table146[Company],$B186,Table146[Date],$A186,Table146[Bill No.],$C186),SUMIFS('Other Sale'!$D:$D,'Other Sale'!$E:$E,$B186,'Other Sale'!$C:$C,$K186,'Other Sale'!$A:$A,$A186)))))</f>
        <v/>
      </c>
      <c r="G186" s="330" t="str" cm="1">
        <f t="array" ref="G186">IF($A186="","",IF($K186="Payment",IFERROR(INDEX(_xlfn._xlws.FILTER(MasterPaid[Amount Paid],(MasterPaid[Customer]=$B186)*(MasterPaid[Date]=$A186)),COUNTIFS($A$6:$A186,$A186,$B$6:$B186,$B186,$K$6:$K186,"Payment")),0),0))</f>
        <v/>
      </c>
      <c r="H186" s="331"/>
      <c r="I186" s="331"/>
      <c r="J186" s="330" t="str">
        <f t="shared" si="3"/>
        <v/>
      </c>
      <c r="K186" s="289" t="str" cm="1">
        <f t="array" ref="K186">IFERROR(INDEX(_xlfn.ANCHORARRAY($Q$6),ROW()-5,4),"")</f>
        <v/>
      </c>
      <c r="L186" s="290"/>
      <c r="U186">
        <f>IF(OR($A186="",$F186=""),0,MAX(0,MIN($F186,SUMIFS($F$6:$F186,$B$6:$B186,$B186)-(SUMIFS($G$6:$G$355,$B$6:$B$355,$B186)+SUMIFS($H$6:$H$355,$B$6:$B$355,$B186)+SUMIFS($I$6:$I$355,$B$6:$B$355,$B186)))))</f>
        <v>0</v>
      </c>
      <c r="AD186" s="468"/>
      <c r="AE186" s="342"/>
      <c r="AF186" s="342"/>
      <c r="AG186" s="342"/>
      <c r="AH186" s="342"/>
      <c r="AI186" s="342"/>
      <c r="AJ186" s="342"/>
      <c r="AK186" s="342"/>
      <c r="AL186" s="342"/>
      <c r="AM186" s="342"/>
      <c r="AN186" s="342"/>
      <c r="AO186" s="342"/>
      <c r="AP186" s="342"/>
      <c r="AQ186" s="342"/>
      <c r="AR186" s="342"/>
      <c r="AS186" s="342"/>
      <c r="AT186" s="342"/>
      <c r="AU186" s="342"/>
      <c r="AV186" s="342"/>
      <c r="AW186" s="342"/>
      <c r="AX186" s="342"/>
      <c r="AY186" s="342"/>
      <c r="AZ186" s="342"/>
      <c r="BA186" s="342"/>
      <c r="BB186" s="342"/>
      <c r="BC186" s="342"/>
      <c r="BD186" s="342"/>
      <c r="BE186" s="342"/>
      <c r="BF186" s="342"/>
      <c r="BG186" s="342"/>
      <c r="BH186" s="342"/>
      <c r="BI186" s="342"/>
      <c r="BJ186" s="342"/>
      <c r="BK186" s="342"/>
      <c r="BL186" s="342"/>
    </row>
    <row r="187" spans="1:64" ht="23" x14ac:dyDescent="0.25">
      <c r="A187" s="217" t="str" cm="1">
        <f t="array" ref="A187">IFERROR(INDEX(_xlfn.ANCHORARRAY($Q$6),ROW()-5,1),"")</f>
        <v/>
      </c>
      <c r="B187" s="288" t="str" cm="1">
        <f t="array" ref="B187">IFERROR(INDEX(_xlfn.ANCHORARRAY($Q$6),ROW()-5,2),"")</f>
        <v/>
      </c>
      <c r="C187" s="289" t="str" cm="1">
        <f t="array" ref="C187">IFERROR(INDEX(_xlfn.ANCHORARRAY($Q$6),ROW()-5,3),"")</f>
        <v/>
      </c>
      <c r="D187" s="218" t="str">
        <f>IF($A187="","",IF($K187="DIESEL",SUMIFS(Table1[Quantity],Table1[Customer],$B187,Table1[Date],$A187,Table1[Bill No.],$C187),IF($K187="PETROL",SUMIFS(Table14[Quantity],Table14[Customer],$B187,Table14[Date],$A187,Table14[Bill No.],$C187),IF($K187="XtraGreen",SUMIFS(Table146[Quantity],Table146[Company],$B187,Table146[Date],$A187,Table146[Bill No.],$C187),""))))</f>
        <v/>
      </c>
      <c r="E187" s="219" t="str">
        <f>IF($A187="","",IF($K187="DIESEL",AVERAGEIFS(Table1[RSP],Table1[Customer],$B187,Table1[Date],$A187,Table1[Bill No.],$C187),IF($K187="PETROL",AVERAGEIFS(Table14[RSP],Table14[Customer],$B187,Table14[Date],$A187,Table14[Bill No.],$C187),IF($K187="XtraGreen",AVERAGEIFS(Table146[RSP],Table146[Company],$B187,Table146[Date],$A187,Table146[Bill No.],$C187),IFERROR($F187/$D187,"")))))</f>
        <v/>
      </c>
      <c r="F187" s="330" t="str">
        <f>IF($A187="","",IF($K187="DIESEL",SUMIFS(Table1[Amount],Table1[Customer],$B187,Table1[Date],$A187,Table1[Bill No.],$C187),IF($K187="PETROL",SUMIFS(Table14[Amount],Table14[Customer],$B187,Table14[Date],$A187,Table14[Bill No.],$C187),IF($K187="XtraGreen",SUMIFS(Table146[Amount],Table146[Company],$B187,Table146[Date],$A187,Table146[Bill No.],$C187),SUMIFS('Other Sale'!$D:$D,'Other Sale'!$E:$E,$B187,'Other Sale'!$C:$C,$K187,'Other Sale'!$A:$A,$A187)))))</f>
        <v/>
      </c>
      <c r="G187" s="330" t="str" cm="1">
        <f t="array" ref="G187">IF($A187="","",IF($K187="Payment",IFERROR(INDEX(_xlfn._xlws.FILTER(MasterPaid[Amount Paid],(MasterPaid[Customer]=$B187)*(MasterPaid[Date]=$A187)),COUNTIFS($A$6:$A187,$A187,$B$6:$B187,$B187,$K$6:$K187,"Payment")),0),0))</f>
        <v/>
      </c>
      <c r="H187" s="331"/>
      <c r="I187" s="331"/>
      <c r="J187" s="330" t="str">
        <f t="shared" si="3"/>
        <v/>
      </c>
      <c r="K187" s="289" t="str" cm="1">
        <f t="array" ref="K187">IFERROR(INDEX(_xlfn.ANCHORARRAY($Q$6),ROW()-5,4),"")</f>
        <v/>
      </c>
      <c r="L187" s="290"/>
      <c r="U187">
        <f>IF(OR($A187="",$F187=""),0,MAX(0,MIN($F187,SUMIFS($F$6:$F187,$B$6:$B187,$B187)-(SUMIFS($G$6:$G$355,$B$6:$B$355,$B187)+SUMIFS($H$6:$H$355,$B$6:$B$355,$B187)+SUMIFS($I$6:$I$355,$B$6:$B$355,$B187)))))</f>
        <v>0</v>
      </c>
      <c r="AD187" s="468"/>
      <c r="AE187" s="342"/>
      <c r="AF187" s="342"/>
      <c r="AG187" s="342"/>
      <c r="AH187" s="342"/>
      <c r="AI187" s="342"/>
      <c r="AJ187" s="342"/>
      <c r="AK187" s="342"/>
      <c r="AL187" s="342"/>
      <c r="AM187" s="342"/>
      <c r="AN187" s="342"/>
      <c r="AO187" s="342"/>
      <c r="AP187" s="342"/>
      <c r="AQ187" s="342"/>
      <c r="AR187" s="342"/>
      <c r="AS187" s="342"/>
      <c r="AT187" s="342"/>
      <c r="AU187" s="342"/>
      <c r="AV187" s="342"/>
      <c r="AW187" s="342"/>
      <c r="AX187" s="342"/>
      <c r="AY187" s="342"/>
      <c r="AZ187" s="342"/>
      <c r="BA187" s="342"/>
      <c r="BB187" s="342"/>
      <c r="BC187" s="342"/>
      <c r="BD187" s="342"/>
      <c r="BE187" s="342"/>
      <c r="BF187" s="342"/>
      <c r="BG187" s="342"/>
      <c r="BH187" s="342"/>
      <c r="BI187" s="342"/>
      <c r="BJ187" s="342"/>
      <c r="BK187" s="342"/>
      <c r="BL187" s="342"/>
    </row>
    <row r="188" spans="1:64" ht="23" x14ac:dyDescent="0.25">
      <c r="A188" s="217" t="str" cm="1">
        <f t="array" ref="A188">IFERROR(INDEX(_xlfn.ANCHORARRAY($Q$6),ROW()-5,1),"")</f>
        <v/>
      </c>
      <c r="B188" s="288" t="str" cm="1">
        <f t="array" ref="B188">IFERROR(INDEX(_xlfn.ANCHORARRAY($Q$6),ROW()-5,2),"")</f>
        <v/>
      </c>
      <c r="C188" s="289" t="str" cm="1">
        <f t="array" ref="C188">IFERROR(INDEX(_xlfn.ANCHORARRAY($Q$6),ROW()-5,3),"")</f>
        <v/>
      </c>
      <c r="D188" s="218" t="str">
        <f>IF($A188="","",IF($K188="DIESEL",SUMIFS(Table1[Quantity],Table1[Customer],$B188,Table1[Date],$A188,Table1[Bill No.],$C188),IF($K188="PETROL",SUMIFS(Table14[Quantity],Table14[Customer],$B188,Table14[Date],$A188,Table14[Bill No.],$C188),IF($K188="XtraGreen",SUMIFS(Table146[Quantity],Table146[Company],$B188,Table146[Date],$A188,Table146[Bill No.],$C188),""))))</f>
        <v/>
      </c>
      <c r="E188" s="219" t="str">
        <f>IF($A188="","",IF($K188="DIESEL",AVERAGEIFS(Table1[RSP],Table1[Customer],$B188,Table1[Date],$A188,Table1[Bill No.],$C188),IF($K188="PETROL",AVERAGEIFS(Table14[RSP],Table14[Customer],$B188,Table14[Date],$A188,Table14[Bill No.],$C188),IF($K188="XtraGreen",AVERAGEIFS(Table146[RSP],Table146[Company],$B188,Table146[Date],$A188,Table146[Bill No.],$C188),IFERROR($F188/$D188,"")))))</f>
        <v/>
      </c>
      <c r="F188" s="330" t="str">
        <f>IF($A188="","",IF($K188="DIESEL",SUMIFS(Table1[Amount],Table1[Customer],$B188,Table1[Date],$A188,Table1[Bill No.],$C188),IF($K188="PETROL",SUMIFS(Table14[Amount],Table14[Customer],$B188,Table14[Date],$A188,Table14[Bill No.],$C188),IF($K188="XtraGreen",SUMIFS(Table146[Amount],Table146[Company],$B188,Table146[Date],$A188,Table146[Bill No.],$C188),SUMIFS('Other Sale'!$D:$D,'Other Sale'!$E:$E,$B188,'Other Sale'!$C:$C,$K188,'Other Sale'!$A:$A,$A188)))))</f>
        <v/>
      </c>
      <c r="G188" s="330" t="str" cm="1">
        <f t="array" ref="G188">IF($A188="","",IF($K188="Payment",IFERROR(INDEX(_xlfn._xlws.FILTER(MasterPaid[Amount Paid],(MasterPaid[Customer]=$B188)*(MasterPaid[Date]=$A188)),COUNTIFS($A$6:$A188,$A188,$B$6:$B188,$B188,$K$6:$K188,"Payment")),0),0))</f>
        <v/>
      </c>
      <c r="H188" s="331"/>
      <c r="I188" s="331"/>
      <c r="J188" s="330" t="str">
        <f t="shared" si="3"/>
        <v/>
      </c>
      <c r="K188" s="289" t="str" cm="1">
        <f t="array" ref="K188">IFERROR(INDEX(_xlfn.ANCHORARRAY($Q$6),ROW()-5,4),"")</f>
        <v/>
      </c>
      <c r="L188" s="290"/>
      <c r="U188">
        <f>IF(OR($A188="",$F188=""),0,MAX(0,MIN($F188,SUMIFS($F$6:$F188,$B$6:$B188,$B188)-(SUMIFS($G$6:$G$355,$B$6:$B$355,$B188)+SUMIFS($H$6:$H$355,$B$6:$B$355,$B188)+SUMIFS($I$6:$I$355,$B$6:$B$355,$B188)))))</f>
        <v>0</v>
      </c>
      <c r="AD188" s="468"/>
      <c r="AE188" s="342"/>
      <c r="AF188" s="342"/>
      <c r="AG188" s="342"/>
      <c r="AH188" s="342"/>
      <c r="AI188" s="342"/>
      <c r="AJ188" s="342"/>
      <c r="AK188" s="342"/>
      <c r="AL188" s="342"/>
      <c r="AM188" s="342"/>
      <c r="AN188" s="342"/>
      <c r="AO188" s="342"/>
      <c r="AP188" s="342"/>
      <c r="AQ188" s="342"/>
      <c r="AR188" s="342"/>
      <c r="AS188" s="342"/>
      <c r="AT188" s="342"/>
      <c r="AU188" s="342"/>
      <c r="AV188" s="342"/>
      <c r="AW188" s="342"/>
      <c r="AX188" s="342"/>
      <c r="AY188" s="342"/>
      <c r="AZ188" s="342"/>
      <c r="BA188" s="342"/>
      <c r="BB188" s="342"/>
      <c r="BC188" s="342"/>
      <c r="BD188" s="342"/>
      <c r="BE188" s="342"/>
      <c r="BF188" s="342"/>
      <c r="BG188" s="342"/>
      <c r="BH188" s="342"/>
      <c r="BI188" s="342"/>
      <c r="BJ188" s="342"/>
      <c r="BK188" s="342"/>
      <c r="BL188" s="342"/>
    </row>
    <row r="189" spans="1:64" ht="23" x14ac:dyDescent="0.25">
      <c r="A189" s="217" t="str" cm="1">
        <f t="array" ref="A189">IFERROR(INDEX(_xlfn.ANCHORARRAY($Q$6),ROW()-5,1),"")</f>
        <v/>
      </c>
      <c r="B189" s="288" t="str" cm="1">
        <f t="array" ref="B189">IFERROR(INDEX(_xlfn.ANCHORARRAY($Q$6),ROW()-5,2),"")</f>
        <v/>
      </c>
      <c r="C189" s="289" t="str" cm="1">
        <f t="array" ref="C189">IFERROR(INDEX(_xlfn.ANCHORARRAY($Q$6),ROW()-5,3),"")</f>
        <v/>
      </c>
      <c r="D189" s="218" t="str">
        <f>IF($A189="","",IF($K189="DIESEL",SUMIFS(Table1[Quantity],Table1[Customer],$B189,Table1[Date],$A189,Table1[Bill No.],$C189),IF($K189="PETROL",SUMIFS(Table14[Quantity],Table14[Customer],$B189,Table14[Date],$A189,Table14[Bill No.],$C189),IF($K189="XtraGreen",SUMIFS(Table146[Quantity],Table146[Company],$B189,Table146[Date],$A189,Table146[Bill No.],$C189),""))))</f>
        <v/>
      </c>
      <c r="E189" s="219" t="str">
        <f>IF($A189="","",IF($K189="DIESEL",AVERAGEIFS(Table1[RSP],Table1[Customer],$B189,Table1[Date],$A189,Table1[Bill No.],$C189),IF($K189="PETROL",AVERAGEIFS(Table14[RSP],Table14[Customer],$B189,Table14[Date],$A189,Table14[Bill No.],$C189),IF($K189="XtraGreen",AVERAGEIFS(Table146[RSP],Table146[Company],$B189,Table146[Date],$A189,Table146[Bill No.],$C189),IFERROR($F189/$D189,"")))))</f>
        <v/>
      </c>
      <c r="F189" s="330" t="str">
        <f>IF($A189="","",IF($K189="DIESEL",SUMIFS(Table1[Amount],Table1[Customer],$B189,Table1[Date],$A189,Table1[Bill No.],$C189),IF($K189="PETROL",SUMIFS(Table14[Amount],Table14[Customer],$B189,Table14[Date],$A189,Table14[Bill No.],$C189),IF($K189="XtraGreen",SUMIFS(Table146[Amount],Table146[Company],$B189,Table146[Date],$A189,Table146[Bill No.],$C189),SUMIFS('Other Sale'!$D:$D,'Other Sale'!$E:$E,$B189,'Other Sale'!$C:$C,$K189,'Other Sale'!$A:$A,$A189)))))</f>
        <v/>
      </c>
      <c r="G189" s="330" t="str" cm="1">
        <f t="array" ref="G189">IF($A189="","",IF($K189="Payment",IFERROR(INDEX(_xlfn._xlws.FILTER(MasterPaid[Amount Paid],(MasterPaid[Customer]=$B189)*(MasterPaid[Date]=$A189)),COUNTIFS($A$6:$A189,$A189,$B$6:$B189,$B189,$K$6:$K189,"Payment")),0),0))</f>
        <v/>
      </c>
      <c r="H189" s="331"/>
      <c r="I189" s="331"/>
      <c r="J189" s="330" t="str">
        <f t="shared" si="3"/>
        <v/>
      </c>
      <c r="K189" s="289" t="str" cm="1">
        <f t="array" ref="K189">IFERROR(INDEX(_xlfn.ANCHORARRAY($Q$6),ROW()-5,4),"")</f>
        <v/>
      </c>
      <c r="L189" s="290"/>
      <c r="U189">
        <f>IF(OR($A189="",$F189=""),0,MAX(0,MIN($F189,SUMIFS($F$6:$F189,$B$6:$B189,$B189)-(SUMIFS($G$6:$G$355,$B$6:$B$355,$B189)+SUMIFS($H$6:$H$355,$B$6:$B$355,$B189)+SUMIFS($I$6:$I$355,$B$6:$B$355,$B189)))))</f>
        <v>0</v>
      </c>
      <c r="AD189" s="468"/>
      <c r="AE189" s="342"/>
      <c r="AF189" s="342"/>
      <c r="AG189" s="342"/>
      <c r="AH189" s="342"/>
      <c r="AI189" s="342"/>
      <c r="AJ189" s="342"/>
      <c r="AK189" s="342"/>
      <c r="AL189" s="342"/>
      <c r="AM189" s="342"/>
      <c r="AN189" s="342"/>
      <c r="AO189" s="342"/>
      <c r="AP189" s="342"/>
      <c r="AQ189" s="342"/>
      <c r="AR189" s="342"/>
      <c r="AS189" s="342"/>
      <c r="AT189" s="342"/>
      <c r="AU189" s="342"/>
      <c r="AV189" s="342"/>
      <c r="AW189" s="342"/>
      <c r="AX189" s="342"/>
      <c r="AY189" s="342"/>
      <c r="AZ189" s="342"/>
      <c r="BA189" s="342"/>
      <c r="BB189" s="342"/>
      <c r="BC189" s="342"/>
      <c r="BD189" s="342"/>
      <c r="BE189" s="342"/>
      <c r="BF189" s="342"/>
      <c r="BG189" s="342"/>
      <c r="BH189" s="342"/>
      <c r="BI189" s="342"/>
      <c r="BJ189" s="342"/>
      <c r="BK189" s="342"/>
      <c r="BL189" s="342"/>
    </row>
    <row r="190" spans="1:64" ht="23" x14ac:dyDescent="0.25">
      <c r="A190" s="217" t="str" cm="1">
        <f t="array" ref="A190">IFERROR(INDEX(_xlfn.ANCHORARRAY($Q$6),ROW()-5,1),"")</f>
        <v/>
      </c>
      <c r="B190" s="288" t="str" cm="1">
        <f t="array" ref="B190">IFERROR(INDEX(_xlfn.ANCHORARRAY($Q$6),ROW()-5,2),"")</f>
        <v/>
      </c>
      <c r="C190" s="289" t="str" cm="1">
        <f t="array" ref="C190">IFERROR(INDEX(_xlfn.ANCHORARRAY($Q$6),ROW()-5,3),"")</f>
        <v/>
      </c>
      <c r="D190" s="218" t="str">
        <f>IF($A190="","",IF($K190="DIESEL",SUMIFS(Table1[Quantity],Table1[Customer],$B190,Table1[Date],$A190,Table1[Bill No.],$C190),IF($K190="PETROL",SUMIFS(Table14[Quantity],Table14[Customer],$B190,Table14[Date],$A190,Table14[Bill No.],$C190),IF($K190="XtraGreen",SUMIFS(Table146[Quantity],Table146[Company],$B190,Table146[Date],$A190,Table146[Bill No.],$C190),""))))</f>
        <v/>
      </c>
      <c r="E190" s="219" t="str">
        <f>IF($A190="","",IF($K190="DIESEL",AVERAGEIFS(Table1[RSP],Table1[Customer],$B190,Table1[Date],$A190,Table1[Bill No.],$C190),IF($K190="PETROL",AVERAGEIFS(Table14[RSP],Table14[Customer],$B190,Table14[Date],$A190,Table14[Bill No.],$C190),IF($K190="XtraGreen",AVERAGEIFS(Table146[RSP],Table146[Company],$B190,Table146[Date],$A190,Table146[Bill No.],$C190),IFERROR($F190/$D190,"")))))</f>
        <v/>
      </c>
      <c r="F190" s="330" t="str">
        <f>IF($A190="","",IF($K190="DIESEL",SUMIFS(Table1[Amount],Table1[Customer],$B190,Table1[Date],$A190,Table1[Bill No.],$C190),IF($K190="PETROL",SUMIFS(Table14[Amount],Table14[Customer],$B190,Table14[Date],$A190,Table14[Bill No.],$C190),IF($K190="XtraGreen",SUMIFS(Table146[Amount],Table146[Company],$B190,Table146[Date],$A190,Table146[Bill No.],$C190),SUMIFS('Other Sale'!$D:$D,'Other Sale'!$E:$E,$B190,'Other Sale'!$C:$C,$K190,'Other Sale'!$A:$A,$A190)))))</f>
        <v/>
      </c>
      <c r="G190" s="330" t="str" cm="1">
        <f t="array" ref="G190">IF($A190="","",IF($K190="Payment",IFERROR(INDEX(_xlfn._xlws.FILTER(MasterPaid[Amount Paid],(MasterPaid[Customer]=$B190)*(MasterPaid[Date]=$A190)),COUNTIFS($A$6:$A190,$A190,$B$6:$B190,$B190,$K$6:$K190,"Payment")),0),0))</f>
        <v/>
      </c>
      <c r="H190" s="331"/>
      <c r="I190" s="331"/>
      <c r="J190" s="330" t="str">
        <f t="shared" si="3"/>
        <v/>
      </c>
      <c r="K190" s="289" t="str" cm="1">
        <f t="array" ref="K190">IFERROR(INDEX(_xlfn.ANCHORARRAY($Q$6),ROW()-5,4),"")</f>
        <v/>
      </c>
      <c r="L190" s="290"/>
      <c r="U190">
        <f>IF(OR($A190="",$F190=""),0,MAX(0,MIN($F190,SUMIFS($F$6:$F190,$B$6:$B190,$B190)-(SUMIFS($G$6:$G$355,$B$6:$B$355,$B190)+SUMIFS($H$6:$H$355,$B$6:$B$355,$B190)+SUMIFS($I$6:$I$355,$B$6:$B$355,$B190)))))</f>
        <v>0</v>
      </c>
      <c r="AD190" s="468"/>
      <c r="AE190" s="342"/>
      <c r="AF190" s="342"/>
      <c r="AG190" s="342"/>
      <c r="AH190" s="342"/>
      <c r="AI190" s="342"/>
      <c r="AJ190" s="342"/>
      <c r="AK190" s="342"/>
      <c r="AL190" s="342"/>
      <c r="AM190" s="342"/>
      <c r="AN190" s="342"/>
      <c r="AO190" s="342"/>
      <c r="AP190" s="342"/>
      <c r="AQ190" s="342"/>
      <c r="AR190" s="342"/>
      <c r="AS190" s="342"/>
      <c r="AT190" s="342"/>
      <c r="AU190" s="342"/>
      <c r="AV190" s="342"/>
      <c r="AW190" s="342"/>
      <c r="AX190" s="342"/>
      <c r="AY190" s="342"/>
      <c r="AZ190" s="342"/>
      <c r="BA190" s="342"/>
      <c r="BB190" s="342"/>
      <c r="BC190" s="342"/>
      <c r="BD190" s="342"/>
      <c r="BE190" s="342"/>
      <c r="BF190" s="342"/>
      <c r="BG190" s="342"/>
      <c r="BH190" s="342"/>
      <c r="BI190" s="342"/>
      <c r="BJ190" s="342"/>
      <c r="BK190" s="342"/>
      <c r="BL190" s="342"/>
    </row>
    <row r="191" spans="1:64" ht="23" x14ac:dyDescent="0.25">
      <c r="A191" s="217" t="str" cm="1">
        <f t="array" ref="A191">IFERROR(INDEX(_xlfn.ANCHORARRAY($Q$6),ROW()-5,1),"")</f>
        <v/>
      </c>
      <c r="B191" s="288" t="str" cm="1">
        <f t="array" ref="B191">IFERROR(INDEX(_xlfn.ANCHORARRAY($Q$6),ROW()-5,2),"")</f>
        <v/>
      </c>
      <c r="C191" s="289" t="str" cm="1">
        <f t="array" ref="C191">IFERROR(INDEX(_xlfn.ANCHORARRAY($Q$6),ROW()-5,3),"")</f>
        <v/>
      </c>
      <c r="D191" s="218" t="str">
        <f>IF($A191="","",IF($K191="DIESEL",SUMIFS(Table1[Quantity],Table1[Customer],$B191,Table1[Date],$A191,Table1[Bill No.],$C191),IF($K191="PETROL",SUMIFS(Table14[Quantity],Table14[Customer],$B191,Table14[Date],$A191,Table14[Bill No.],$C191),IF($K191="XtraGreen",SUMIFS(Table146[Quantity],Table146[Company],$B191,Table146[Date],$A191,Table146[Bill No.],$C191),""))))</f>
        <v/>
      </c>
      <c r="E191" s="219" t="str">
        <f>IF($A191="","",IF($K191="DIESEL",AVERAGEIFS(Table1[RSP],Table1[Customer],$B191,Table1[Date],$A191,Table1[Bill No.],$C191),IF($K191="PETROL",AVERAGEIFS(Table14[RSP],Table14[Customer],$B191,Table14[Date],$A191,Table14[Bill No.],$C191),IF($K191="XtraGreen",AVERAGEIFS(Table146[RSP],Table146[Company],$B191,Table146[Date],$A191,Table146[Bill No.],$C191),IFERROR($F191/$D191,"")))))</f>
        <v/>
      </c>
      <c r="F191" s="330" t="str">
        <f>IF($A191="","",IF($K191="DIESEL",SUMIFS(Table1[Amount],Table1[Customer],$B191,Table1[Date],$A191,Table1[Bill No.],$C191),IF($K191="PETROL",SUMIFS(Table14[Amount],Table14[Customer],$B191,Table14[Date],$A191,Table14[Bill No.],$C191),IF($K191="XtraGreen",SUMIFS(Table146[Amount],Table146[Company],$B191,Table146[Date],$A191,Table146[Bill No.],$C191),SUMIFS('Other Sale'!$D:$D,'Other Sale'!$E:$E,$B191,'Other Sale'!$C:$C,$K191,'Other Sale'!$A:$A,$A191)))))</f>
        <v/>
      </c>
      <c r="G191" s="330" t="str" cm="1">
        <f t="array" ref="G191">IF($A191="","",IF($K191="Payment",IFERROR(INDEX(_xlfn._xlws.FILTER(MasterPaid[Amount Paid],(MasterPaid[Customer]=$B191)*(MasterPaid[Date]=$A191)),COUNTIFS($A$6:$A191,$A191,$B$6:$B191,$B191,$K$6:$K191,"Payment")),0),0))</f>
        <v/>
      </c>
      <c r="H191" s="331"/>
      <c r="I191" s="331"/>
      <c r="J191" s="330" t="str">
        <f t="shared" si="3"/>
        <v/>
      </c>
      <c r="K191" s="289" t="str" cm="1">
        <f t="array" ref="K191">IFERROR(INDEX(_xlfn.ANCHORARRAY($Q$6),ROW()-5,4),"")</f>
        <v/>
      </c>
      <c r="L191" s="290"/>
      <c r="U191">
        <f>IF(OR($A191="",$F191=""),0,MAX(0,MIN($F191,SUMIFS($F$6:$F191,$B$6:$B191,$B191)-(SUMIFS($G$6:$G$355,$B$6:$B$355,$B191)+SUMIFS($H$6:$H$355,$B$6:$B$355,$B191)+SUMIFS($I$6:$I$355,$B$6:$B$355,$B191)))))</f>
        <v>0</v>
      </c>
      <c r="AD191" s="468"/>
      <c r="AE191" s="342"/>
      <c r="AF191" s="342"/>
      <c r="AG191" s="342"/>
      <c r="AH191" s="342"/>
      <c r="AI191" s="342"/>
      <c r="AJ191" s="342"/>
      <c r="AK191" s="342"/>
      <c r="AL191" s="342"/>
      <c r="AM191" s="342"/>
      <c r="AN191" s="342"/>
      <c r="AO191" s="342"/>
      <c r="AP191" s="342"/>
      <c r="AQ191" s="342"/>
      <c r="AR191" s="342"/>
      <c r="AS191" s="342"/>
      <c r="AT191" s="342"/>
      <c r="AU191" s="342"/>
      <c r="AV191" s="342"/>
      <c r="AW191" s="342"/>
      <c r="AX191" s="342"/>
      <c r="AY191" s="342"/>
      <c r="AZ191" s="342"/>
      <c r="BA191" s="342"/>
      <c r="BB191" s="342"/>
      <c r="BC191" s="342"/>
      <c r="BD191" s="342"/>
      <c r="BE191" s="342"/>
      <c r="BF191" s="342"/>
      <c r="BG191" s="342"/>
      <c r="BH191" s="342"/>
      <c r="BI191" s="342"/>
      <c r="BJ191" s="342"/>
      <c r="BK191" s="342"/>
      <c r="BL191" s="342"/>
    </row>
    <row r="192" spans="1:64" ht="23" x14ac:dyDescent="0.25">
      <c r="A192" s="217" t="str" cm="1">
        <f t="array" ref="A192">IFERROR(INDEX(_xlfn.ANCHORARRAY($Q$6),ROW()-5,1),"")</f>
        <v/>
      </c>
      <c r="B192" s="288" t="str" cm="1">
        <f t="array" ref="B192">IFERROR(INDEX(_xlfn.ANCHORARRAY($Q$6),ROW()-5,2),"")</f>
        <v/>
      </c>
      <c r="C192" s="289" t="str" cm="1">
        <f t="array" ref="C192">IFERROR(INDEX(_xlfn.ANCHORARRAY($Q$6),ROW()-5,3),"")</f>
        <v/>
      </c>
      <c r="D192" s="218" t="str">
        <f>IF($A192="","",IF($K192="DIESEL",SUMIFS(Table1[Quantity],Table1[Customer],$B192,Table1[Date],$A192,Table1[Bill No.],$C192),IF($K192="PETROL",SUMIFS(Table14[Quantity],Table14[Customer],$B192,Table14[Date],$A192,Table14[Bill No.],$C192),IF($K192="XtraGreen",SUMIFS(Table146[Quantity],Table146[Company],$B192,Table146[Date],$A192,Table146[Bill No.],$C192),""))))</f>
        <v/>
      </c>
      <c r="E192" s="219" t="str">
        <f>IF($A192="","",IF($K192="DIESEL",AVERAGEIFS(Table1[RSP],Table1[Customer],$B192,Table1[Date],$A192,Table1[Bill No.],$C192),IF($K192="PETROL",AVERAGEIFS(Table14[RSP],Table14[Customer],$B192,Table14[Date],$A192,Table14[Bill No.],$C192),IF($K192="XtraGreen",AVERAGEIFS(Table146[RSP],Table146[Company],$B192,Table146[Date],$A192,Table146[Bill No.],$C192),IFERROR($F192/$D192,"")))))</f>
        <v/>
      </c>
      <c r="F192" s="330" t="str">
        <f>IF($A192="","",IF($K192="DIESEL",SUMIFS(Table1[Amount],Table1[Customer],$B192,Table1[Date],$A192,Table1[Bill No.],$C192),IF($K192="PETROL",SUMIFS(Table14[Amount],Table14[Customer],$B192,Table14[Date],$A192,Table14[Bill No.],$C192),IF($K192="XtraGreen",SUMIFS(Table146[Amount],Table146[Company],$B192,Table146[Date],$A192,Table146[Bill No.],$C192),SUMIFS('Other Sale'!$D:$D,'Other Sale'!$E:$E,$B192,'Other Sale'!$C:$C,$K192,'Other Sale'!$A:$A,$A192)))))</f>
        <v/>
      </c>
      <c r="G192" s="330" t="str" cm="1">
        <f t="array" ref="G192">IF($A192="","",IF($K192="Payment",IFERROR(INDEX(_xlfn._xlws.FILTER(MasterPaid[Amount Paid],(MasterPaid[Customer]=$B192)*(MasterPaid[Date]=$A192)),COUNTIFS($A$6:$A192,$A192,$B$6:$B192,$B192,$K$6:$K192,"Payment")),0),0))</f>
        <v/>
      </c>
      <c r="H192" s="331"/>
      <c r="I192" s="331"/>
      <c r="J192" s="330" t="str">
        <f t="shared" si="3"/>
        <v/>
      </c>
      <c r="K192" s="289" t="str" cm="1">
        <f t="array" ref="K192">IFERROR(INDEX(_xlfn.ANCHORARRAY($Q$6),ROW()-5,4),"")</f>
        <v/>
      </c>
      <c r="L192" s="290"/>
      <c r="U192">
        <f>IF(OR($A192="",$F192=""),0,MAX(0,MIN($F192,SUMIFS($F$6:$F192,$B$6:$B192,$B192)-(SUMIFS($G$6:$G$355,$B$6:$B$355,$B192)+SUMIFS($H$6:$H$355,$B$6:$B$355,$B192)+SUMIFS($I$6:$I$355,$B$6:$B$355,$B192)))))</f>
        <v>0</v>
      </c>
      <c r="AD192" s="468"/>
      <c r="AE192" s="342"/>
      <c r="AF192" s="342"/>
      <c r="AG192" s="342"/>
      <c r="AH192" s="342"/>
      <c r="AI192" s="342"/>
      <c r="AJ192" s="342"/>
      <c r="AK192" s="342"/>
      <c r="AL192" s="342"/>
      <c r="AM192" s="342"/>
      <c r="AN192" s="342"/>
      <c r="AO192" s="342"/>
      <c r="AP192" s="342"/>
      <c r="AQ192" s="342"/>
      <c r="AR192" s="342"/>
      <c r="AS192" s="342"/>
      <c r="AT192" s="342"/>
      <c r="AU192" s="342"/>
      <c r="AV192" s="342"/>
      <c r="AW192" s="342"/>
      <c r="AX192" s="342"/>
      <c r="AY192" s="342"/>
      <c r="AZ192" s="342"/>
      <c r="BA192" s="342"/>
      <c r="BB192" s="342"/>
      <c r="BC192" s="342"/>
      <c r="BD192" s="342"/>
      <c r="BE192" s="342"/>
      <c r="BF192" s="342"/>
      <c r="BG192" s="342"/>
      <c r="BH192" s="342"/>
      <c r="BI192" s="342"/>
      <c r="BJ192" s="342"/>
      <c r="BK192" s="342"/>
      <c r="BL192" s="342"/>
    </row>
    <row r="193" spans="1:64" ht="23" x14ac:dyDescent="0.25">
      <c r="A193" s="217" t="str" cm="1">
        <f t="array" ref="A193">IFERROR(INDEX(_xlfn.ANCHORARRAY($Q$6),ROW()-5,1),"")</f>
        <v/>
      </c>
      <c r="B193" s="288" t="str" cm="1">
        <f t="array" ref="B193">IFERROR(INDEX(_xlfn.ANCHORARRAY($Q$6),ROW()-5,2),"")</f>
        <v/>
      </c>
      <c r="C193" s="289" t="str" cm="1">
        <f t="array" ref="C193">IFERROR(INDEX(_xlfn.ANCHORARRAY($Q$6),ROW()-5,3),"")</f>
        <v/>
      </c>
      <c r="D193" s="218" t="str">
        <f>IF($A193="","",IF($K193="DIESEL",SUMIFS(Table1[Quantity],Table1[Customer],$B193,Table1[Date],$A193,Table1[Bill No.],$C193),IF($K193="PETROL",SUMIFS(Table14[Quantity],Table14[Customer],$B193,Table14[Date],$A193,Table14[Bill No.],$C193),IF($K193="XtraGreen",SUMIFS(Table146[Quantity],Table146[Company],$B193,Table146[Date],$A193,Table146[Bill No.],$C193),""))))</f>
        <v/>
      </c>
      <c r="E193" s="219" t="str">
        <f>IF($A193="","",IF($K193="DIESEL",AVERAGEIFS(Table1[RSP],Table1[Customer],$B193,Table1[Date],$A193,Table1[Bill No.],$C193),IF($K193="PETROL",AVERAGEIFS(Table14[RSP],Table14[Customer],$B193,Table14[Date],$A193,Table14[Bill No.],$C193),IF($K193="XtraGreen",AVERAGEIFS(Table146[RSP],Table146[Company],$B193,Table146[Date],$A193,Table146[Bill No.],$C193),IFERROR($F193/$D193,"")))))</f>
        <v/>
      </c>
      <c r="F193" s="330" t="str">
        <f>IF($A193="","",IF($K193="DIESEL",SUMIFS(Table1[Amount],Table1[Customer],$B193,Table1[Date],$A193,Table1[Bill No.],$C193),IF($K193="PETROL",SUMIFS(Table14[Amount],Table14[Customer],$B193,Table14[Date],$A193,Table14[Bill No.],$C193),IF($K193="XtraGreen",SUMIFS(Table146[Amount],Table146[Company],$B193,Table146[Date],$A193,Table146[Bill No.],$C193),SUMIFS('Other Sale'!$D:$D,'Other Sale'!$E:$E,$B193,'Other Sale'!$C:$C,$K193,'Other Sale'!$A:$A,$A193)))))</f>
        <v/>
      </c>
      <c r="G193" s="330" t="str" cm="1">
        <f t="array" ref="G193">IF($A193="","",IF($K193="Payment",IFERROR(INDEX(_xlfn._xlws.FILTER(MasterPaid[Amount Paid],(MasterPaid[Customer]=$B193)*(MasterPaid[Date]=$A193)),COUNTIFS($A$6:$A193,$A193,$B$6:$B193,$B193,$K$6:$K193,"Payment")),0),0))</f>
        <v/>
      </c>
      <c r="H193" s="331"/>
      <c r="I193" s="331"/>
      <c r="J193" s="330" t="str">
        <f t="shared" si="3"/>
        <v/>
      </c>
      <c r="K193" s="289" t="str" cm="1">
        <f t="array" ref="K193">IFERROR(INDEX(_xlfn.ANCHORARRAY($Q$6),ROW()-5,4),"")</f>
        <v/>
      </c>
      <c r="L193" s="290"/>
      <c r="U193">
        <f>IF(OR($A193="",$F193=""),0,MAX(0,MIN($F193,SUMIFS($F$6:$F193,$B$6:$B193,$B193)-(SUMIFS($G$6:$G$355,$B$6:$B$355,$B193)+SUMIFS($H$6:$H$355,$B$6:$B$355,$B193)+SUMIFS($I$6:$I$355,$B$6:$B$355,$B193)))))</f>
        <v>0</v>
      </c>
      <c r="AD193" s="468"/>
      <c r="AE193" s="342"/>
      <c r="AF193" s="342"/>
      <c r="AG193" s="342"/>
      <c r="AH193" s="342"/>
      <c r="AI193" s="342"/>
      <c r="AJ193" s="342"/>
      <c r="AK193" s="342"/>
      <c r="AL193" s="342"/>
      <c r="AM193" s="342"/>
      <c r="AN193" s="342"/>
      <c r="AO193" s="342"/>
      <c r="AP193" s="342"/>
      <c r="AQ193" s="342"/>
      <c r="AR193" s="342"/>
      <c r="AS193" s="342"/>
      <c r="AT193" s="342"/>
      <c r="AU193" s="342"/>
      <c r="AV193" s="342"/>
      <c r="AW193" s="342"/>
      <c r="AX193" s="342"/>
      <c r="AY193" s="342"/>
      <c r="AZ193" s="342"/>
      <c r="BA193" s="342"/>
      <c r="BB193" s="342"/>
      <c r="BC193" s="342"/>
      <c r="BD193" s="342"/>
      <c r="BE193" s="342"/>
      <c r="BF193" s="342"/>
      <c r="BG193" s="342"/>
      <c r="BH193" s="342"/>
      <c r="BI193" s="342"/>
      <c r="BJ193" s="342"/>
      <c r="BK193" s="342"/>
      <c r="BL193" s="342"/>
    </row>
    <row r="194" spans="1:64" ht="23" x14ac:dyDescent="0.25">
      <c r="A194" s="217" t="str" cm="1">
        <f t="array" ref="A194">IFERROR(INDEX(_xlfn.ANCHORARRAY($Q$6),ROW()-5,1),"")</f>
        <v/>
      </c>
      <c r="B194" s="288" t="str" cm="1">
        <f t="array" ref="B194">IFERROR(INDEX(_xlfn.ANCHORARRAY($Q$6),ROW()-5,2),"")</f>
        <v/>
      </c>
      <c r="C194" s="289" t="str" cm="1">
        <f t="array" ref="C194">IFERROR(INDEX(_xlfn.ANCHORARRAY($Q$6),ROW()-5,3),"")</f>
        <v/>
      </c>
      <c r="D194" s="218" t="str">
        <f>IF($A194="","",IF($K194="DIESEL",SUMIFS(Table1[Quantity],Table1[Customer],$B194,Table1[Date],$A194,Table1[Bill No.],$C194),IF($K194="PETROL",SUMIFS(Table14[Quantity],Table14[Customer],$B194,Table14[Date],$A194,Table14[Bill No.],$C194),IF($K194="XtraGreen",SUMIFS(Table146[Quantity],Table146[Company],$B194,Table146[Date],$A194,Table146[Bill No.],$C194),""))))</f>
        <v/>
      </c>
      <c r="E194" s="219" t="str">
        <f>IF($A194="","",IF($K194="DIESEL",AVERAGEIFS(Table1[RSP],Table1[Customer],$B194,Table1[Date],$A194,Table1[Bill No.],$C194),IF($K194="PETROL",AVERAGEIFS(Table14[RSP],Table14[Customer],$B194,Table14[Date],$A194,Table14[Bill No.],$C194),IF($K194="XtraGreen",AVERAGEIFS(Table146[RSP],Table146[Company],$B194,Table146[Date],$A194,Table146[Bill No.],$C194),IFERROR($F194/$D194,"")))))</f>
        <v/>
      </c>
      <c r="F194" s="330" t="str">
        <f>IF($A194="","",IF($K194="DIESEL",SUMIFS(Table1[Amount],Table1[Customer],$B194,Table1[Date],$A194,Table1[Bill No.],$C194),IF($K194="PETROL",SUMIFS(Table14[Amount],Table14[Customer],$B194,Table14[Date],$A194,Table14[Bill No.],$C194),IF($K194="XtraGreen",SUMIFS(Table146[Amount],Table146[Company],$B194,Table146[Date],$A194,Table146[Bill No.],$C194),SUMIFS('Other Sale'!$D:$D,'Other Sale'!$E:$E,$B194,'Other Sale'!$C:$C,$K194,'Other Sale'!$A:$A,$A194)))))</f>
        <v/>
      </c>
      <c r="G194" s="330" t="str" cm="1">
        <f t="array" ref="G194">IF($A194="","",IF($K194="Payment",IFERROR(INDEX(_xlfn._xlws.FILTER(MasterPaid[Amount Paid],(MasterPaid[Customer]=$B194)*(MasterPaid[Date]=$A194)),COUNTIFS($A$6:$A194,$A194,$B$6:$B194,$B194,$K$6:$K194,"Payment")),0),0))</f>
        <v/>
      </c>
      <c r="H194" s="331"/>
      <c r="I194" s="331"/>
      <c r="J194" s="330" t="str">
        <f t="shared" si="3"/>
        <v/>
      </c>
      <c r="K194" s="289" t="str" cm="1">
        <f t="array" ref="K194">IFERROR(INDEX(_xlfn.ANCHORARRAY($Q$6),ROW()-5,4),"")</f>
        <v/>
      </c>
      <c r="L194" s="290"/>
      <c r="U194">
        <f>IF(OR($A194="",$F194=""),0,MAX(0,MIN($F194,SUMIFS($F$6:$F194,$B$6:$B194,$B194)-(SUMIFS($G$6:$G$355,$B$6:$B$355,$B194)+SUMIFS($H$6:$H$355,$B$6:$B$355,$B194)+SUMIFS($I$6:$I$355,$B$6:$B$355,$B194)))))</f>
        <v>0</v>
      </c>
      <c r="AD194" s="468"/>
      <c r="AE194" s="342"/>
      <c r="AF194" s="342"/>
      <c r="AG194" s="342"/>
      <c r="AH194" s="342"/>
      <c r="AI194" s="342"/>
      <c r="AJ194" s="342"/>
      <c r="AK194" s="342"/>
      <c r="AL194" s="342"/>
      <c r="AM194" s="342"/>
      <c r="AN194" s="342"/>
      <c r="AO194" s="342"/>
      <c r="AP194" s="342"/>
      <c r="AQ194" s="342"/>
      <c r="AR194" s="342"/>
      <c r="AS194" s="342"/>
      <c r="AT194" s="342"/>
      <c r="AU194" s="342"/>
      <c r="AV194" s="342"/>
      <c r="AW194" s="342"/>
      <c r="AX194" s="342"/>
      <c r="AY194" s="342"/>
      <c r="AZ194" s="342"/>
      <c r="BA194" s="342"/>
      <c r="BB194" s="342"/>
      <c r="BC194" s="342"/>
      <c r="BD194" s="342"/>
      <c r="BE194" s="342"/>
      <c r="BF194" s="342"/>
      <c r="BG194" s="342"/>
      <c r="BH194" s="342"/>
      <c r="BI194" s="342"/>
      <c r="BJ194" s="342"/>
      <c r="BK194" s="342"/>
      <c r="BL194" s="342"/>
    </row>
    <row r="195" spans="1:64" ht="23" x14ac:dyDescent="0.25">
      <c r="A195" s="217" t="str" cm="1">
        <f t="array" ref="A195">IFERROR(INDEX(_xlfn.ANCHORARRAY($Q$6),ROW()-5,1),"")</f>
        <v/>
      </c>
      <c r="B195" s="288" t="str" cm="1">
        <f t="array" ref="B195">IFERROR(INDEX(_xlfn.ANCHORARRAY($Q$6),ROW()-5,2),"")</f>
        <v/>
      </c>
      <c r="C195" s="289" t="str" cm="1">
        <f t="array" ref="C195">IFERROR(INDEX(_xlfn.ANCHORARRAY($Q$6),ROW()-5,3),"")</f>
        <v/>
      </c>
      <c r="D195" s="218" t="str">
        <f>IF($A195="","",IF($K195="DIESEL",SUMIFS(Table1[Quantity],Table1[Customer],$B195,Table1[Date],$A195,Table1[Bill No.],$C195),IF($K195="PETROL",SUMIFS(Table14[Quantity],Table14[Customer],$B195,Table14[Date],$A195,Table14[Bill No.],$C195),IF($K195="XtraGreen",SUMIFS(Table146[Quantity],Table146[Company],$B195,Table146[Date],$A195,Table146[Bill No.],$C195),""))))</f>
        <v/>
      </c>
      <c r="E195" s="219" t="str">
        <f>IF($A195="","",IF($K195="DIESEL",AVERAGEIFS(Table1[RSP],Table1[Customer],$B195,Table1[Date],$A195,Table1[Bill No.],$C195),IF($K195="PETROL",AVERAGEIFS(Table14[RSP],Table14[Customer],$B195,Table14[Date],$A195,Table14[Bill No.],$C195),IF($K195="XtraGreen",AVERAGEIFS(Table146[RSP],Table146[Company],$B195,Table146[Date],$A195,Table146[Bill No.],$C195),IFERROR($F195/$D195,"")))))</f>
        <v/>
      </c>
      <c r="F195" s="330" t="str">
        <f>IF($A195="","",IF($K195="DIESEL",SUMIFS(Table1[Amount],Table1[Customer],$B195,Table1[Date],$A195,Table1[Bill No.],$C195),IF($K195="PETROL",SUMIFS(Table14[Amount],Table14[Customer],$B195,Table14[Date],$A195,Table14[Bill No.],$C195),IF($K195="XtraGreen",SUMIFS(Table146[Amount],Table146[Company],$B195,Table146[Date],$A195,Table146[Bill No.],$C195),SUMIFS('Other Sale'!$D:$D,'Other Sale'!$E:$E,$B195,'Other Sale'!$C:$C,$K195,'Other Sale'!$A:$A,$A195)))))</f>
        <v/>
      </c>
      <c r="G195" s="330" t="str" cm="1">
        <f t="array" ref="G195">IF($A195="","",IF($K195="Payment",IFERROR(INDEX(_xlfn._xlws.FILTER(MasterPaid[Amount Paid],(MasterPaid[Customer]=$B195)*(MasterPaid[Date]=$A195)),COUNTIFS($A$6:$A195,$A195,$B$6:$B195,$B195,$K$6:$K195,"Payment")),0),0))</f>
        <v/>
      </c>
      <c r="H195" s="331"/>
      <c r="I195" s="331"/>
      <c r="J195" s="330" t="str">
        <f t="shared" si="3"/>
        <v/>
      </c>
      <c r="K195" s="289" t="str" cm="1">
        <f t="array" ref="K195">IFERROR(INDEX(_xlfn.ANCHORARRAY($Q$6),ROW()-5,4),"")</f>
        <v/>
      </c>
      <c r="L195" s="290"/>
      <c r="U195">
        <f>IF(OR($A195="",$F195=""),0,MAX(0,MIN($F195,SUMIFS($F$6:$F195,$B$6:$B195,$B195)-(SUMIFS($G$6:$G$355,$B$6:$B$355,$B195)+SUMIFS($H$6:$H$355,$B$6:$B$355,$B195)+SUMIFS($I$6:$I$355,$B$6:$B$355,$B195)))))</f>
        <v>0</v>
      </c>
      <c r="AD195" s="468"/>
      <c r="AE195" s="342"/>
      <c r="AF195" s="342"/>
      <c r="AG195" s="342"/>
      <c r="AH195" s="342"/>
      <c r="AI195" s="342"/>
      <c r="AJ195" s="342"/>
      <c r="AK195" s="342"/>
      <c r="AL195" s="342"/>
      <c r="AM195" s="342"/>
      <c r="AN195" s="342"/>
      <c r="AO195" s="342"/>
      <c r="AP195" s="342"/>
      <c r="AQ195" s="342"/>
      <c r="AR195" s="342"/>
      <c r="AS195" s="342"/>
      <c r="AT195" s="342"/>
      <c r="AU195" s="342"/>
      <c r="AV195" s="342"/>
      <c r="AW195" s="342"/>
      <c r="AX195" s="342"/>
      <c r="AY195" s="342"/>
      <c r="AZ195" s="342"/>
      <c r="BA195" s="342"/>
      <c r="BB195" s="342"/>
      <c r="BC195" s="342"/>
      <c r="BD195" s="342"/>
      <c r="BE195" s="342"/>
      <c r="BF195" s="342"/>
      <c r="BG195" s="342"/>
      <c r="BH195" s="342"/>
      <c r="BI195" s="342"/>
      <c r="BJ195" s="342"/>
      <c r="BK195" s="342"/>
      <c r="BL195" s="342"/>
    </row>
    <row r="196" spans="1:64" ht="23" x14ac:dyDescent="0.25">
      <c r="A196" s="217" t="str" cm="1">
        <f t="array" ref="A196">IFERROR(INDEX(_xlfn.ANCHORARRAY($Q$6),ROW()-5,1),"")</f>
        <v/>
      </c>
      <c r="B196" s="288" t="str" cm="1">
        <f t="array" ref="B196">IFERROR(INDEX(_xlfn.ANCHORARRAY($Q$6),ROW()-5,2),"")</f>
        <v/>
      </c>
      <c r="C196" s="289" t="str" cm="1">
        <f t="array" ref="C196">IFERROR(INDEX(_xlfn.ANCHORARRAY($Q$6),ROW()-5,3),"")</f>
        <v/>
      </c>
      <c r="D196" s="218" t="str">
        <f>IF($A196="","",IF($K196="DIESEL",SUMIFS(Table1[Quantity],Table1[Customer],$B196,Table1[Date],$A196,Table1[Bill No.],$C196),IF($K196="PETROL",SUMIFS(Table14[Quantity],Table14[Customer],$B196,Table14[Date],$A196,Table14[Bill No.],$C196),IF($K196="XtraGreen",SUMIFS(Table146[Quantity],Table146[Company],$B196,Table146[Date],$A196,Table146[Bill No.],$C196),""))))</f>
        <v/>
      </c>
      <c r="E196" s="219" t="str">
        <f>IF($A196="","",IF($K196="DIESEL",AVERAGEIFS(Table1[RSP],Table1[Customer],$B196,Table1[Date],$A196,Table1[Bill No.],$C196),IF($K196="PETROL",AVERAGEIFS(Table14[RSP],Table14[Customer],$B196,Table14[Date],$A196,Table14[Bill No.],$C196),IF($K196="XtraGreen",AVERAGEIFS(Table146[RSP],Table146[Company],$B196,Table146[Date],$A196,Table146[Bill No.],$C196),IFERROR($F196/$D196,"")))))</f>
        <v/>
      </c>
      <c r="F196" s="330" t="str">
        <f>IF($A196="","",IF($K196="DIESEL",SUMIFS(Table1[Amount],Table1[Customer],$B196,Table1[Date],$A196,Table1[Bill No.],$C196),IF($K196="PETROL",SUMIFS(Table14[Amount],Table14[Customer],$B196,Table14[Date],$A196,Table14[Bill No.],$C196),IF($K196="XtraGreen",SUMIFS(Table146[Amount],Table146[Company],$B196,Table146[Date],$A196,Table146[Bill No.],$C196),SUMIFS('Other Sale'!$D:$D,'Other Sale'!$E:$E,$B196,'Other Sale'!$C:$C,$K196,'Other Sale'!$A:$A,$A196)))))</f>
        <v/>
      </c>
      <c r="G196" s="330" t="str" cm="1">
        <f t="array" ref="G196">IF($A196="","",IF($K196="Payment",IFERROR(INDEX(_xlfn._xlws.FILTER(MasterPaid[Amount Paid],(MasterPaid[Customer]=$B196)*(MasterPaid[Date]=$A196)),COUNTIFS($A$6:$A196,$A196,$B$6:$B196,$B196,$K$6:$K196,"Payment")),0),0))</f>
        <v/>
      </c>
      <c r="H196" s="331"/>
      <c r="I196" s="331"/>
      <c r="J196" s="330" t="str">
        <f t="shared" si="3"/>
        <v/>
      </c>
      <c r="K196" s="289" t="str" cm="1">
        <f t="array" ref="K196">IFERROR(INDEX(_xlfn.ANCHORARRAY($Q$6),ROW()-5,4),"")</f>
        <v/>
      </c>
      <c r="L196" s="290"/>
      <c r="U196">
        <f>IF(OR($A196="",$F196=""),0,MAX(0,MIN($F196,SUMIFS($F$6:$F196,$B$6:$B196,$B196)-(SUMIFS($G$6:$G$355,$B$6:$B$355,$B196)+SUMIFS($H$6:$H$355,$B$6:$B$355,$B196)+SUMIFS($I$6:$I$355,$B$6:$B$355,$B196)))))</f>
        <v>0</v>
      </c>
      <c r="AD196" s="468"/>
      <c r="AE196" s="342"/>
      <c r="AF196" s="342"/>
      <c r="AG196" s="342"/>
      <c r="AH196" s="342"/>
      <c r="AI196" s="342"/>
      <c r="AJ196" s="342"/>
      <c r="AK196" s="342"/>
      <c r="AL196" s="342"/>
      <c r="AM196" s="342"/>
      <c r="AN196" s="342"/>
      <c r="AO196" s="342"/>
      <c r="AP196" s="342"/>
      <c r="AQ196" s="342"/>
      <c r="AR196" s="342"/>
      <c r="AS196" s="342"/>
      <c r="AT196" s="342"/>
      <c r="AU196" s="342"/>
      <c r="AV196" s="342"/>
      <c r="AW196" s="342"/>
      <c r="AX196" s="342"/>
      <c r="AY196" s="342"/>
      <c r="AZ196" s="342"/>
      <c r="BA196" s="342"/>
      <c r="BB196" s="342"/>
      <c r="BC196" s="342"/>
      <c r="BD196" s="342"/>
      <c r="BE196" s="342"/>
      <c r="BF196" s="342"/>
      <c r="BG196" s="342"/>
      <c r="BH196" s="342"/>
      <c r="BI196" s="342"/>
      <c r="BJ196" s="342"/>
      <c r="BK196" s="342"/>
      <c r="BL196" s="342"/>
    </row>
    <row r="197" spans="1:64" ht="23" x14ac:dyDescent="0.25">
      <c r="A197" s="217" t="str" cm="1">
        <f t="array" ref="A197">IFERROR(INDEX(_xlfn.ANCHORARRAY($Q$6),ROW()-5,1),"")</f>
        <v/>
      </c>
      <c r="B197" s="288" t="str" cm="1">
        <f t="array" ref="B197">IFERROR(INDEX(_xlfn.ANCHORARRAY($Q$6),ROW()-5,2),"")</f>
        <v/>
      </c>
      <c r="C197" s="289" t="str" cm="1">
        <f t="array" ref="C197">IFERROR(INDEX(_xlfn.ANCHORARRAY($Q$6),ROW()-5,3),"")</f>
        <v/>
      </c>
      <c r="D197" s="218" t="str">
        <f>IF($A197="","",IF($K197="DIESEL",SUMIFS(Table1[Quantity],Table1[Customer],$B197,Table1[Date],$A197,Table1[Bill No.],$C197),IF($K197="PETROL",SUMIFS(Table14[Quantity],Table14[Customer],$B197,Table14[Date],$A197,Table14[Bill No.],$C197),IF($K197="XtraGreen",SUMIFS(Table146[Quantity],Table146[Company],$B197,Table146[Date],$A197,Table146[Bill No.],$C197),""))))</f>
        <v/>
      </c>
      <c r="E197" s="219" t="str">
        <f>IF($A197="","",IF($K197="DIESEL",AVERAGEIFS(Table1[RSP],Table1[Customer],$B197,Table1[Date],$A197,Table1[Bill No.],$C197),IF($K197="PETROL",AVERAGEIFS(Table14[RSP],Table14[Customer],$B197,Table14[Date],$A197,Table14[Bill No.],$C197),IF($K197="XtraGreen",AVERAGEIFS(Table146[RSP],Table146[Company],$B197,Table146[Date],$A197,Table146[Bill No.],$C197),IFERROR($F197/$D197,"")))))</f>
        <v/>
      </c>
      <c r="F197" s="330" t="str">
        <f>IF($A197="","",IF($K197="DIESEL",SUMIFS(Table1[Amount],Table1[Customer],$B197,Table1[Date],$A197,Table1[Bill No.],$C197),IF($K197="PETROL",SUMIFS(Table14[Amount],Table14[Customer],$B197,Table14[Date],$A197,Table14[Bill No.],$C197),IF($K197="XtraGreen",SUMIFS(Table146[Amount],Table146[Company],$B197,Table146[Date],$A197,Table146[Bill No.],$C197),SUMIFS('Other Sale'!$D:$D,'Other Sale'!$E:$E,$B197,'Other Sale'!$C:$C,$K197,'Other Sale'!$A:$A,$A197)))))</f>
        <v/>
      </c>
      <c r="G197" s="330" t="str" cm="1">
        <f t="array" ref="G197">IF($A197="","",IF($K197="Payment",IFERROR(INDEX(_xlfn._xlws.FILTER(MasterPaid[Amount Paid],(MasterPaid[Customer]=$B197)*(MasterPaid[Date]=$A197)),COUNTIFS($A$6:$A197,$A197,$B$6:$B197,$B197,$K$6:$K197,"Payment")),0),0))</f>
        <v/>
      </c>
      <c r="H197" s="331"/>
      <c r="I197" s="331"/>
      <c r="J197" s="330" t="str">
        <f t="shared" si="3"/>
        <v/>
      </c>
      <c r="K197" s="289" t="str" cm="1">
        <f t="array" ref="K197">IFERROR(INDEX(_xlfn.ANCHORARRAY($Q$6),ROW()-5,4),"")</f>
        <v/>
      </c>
      <c r="L197" s="290"/>
      <c r="U197">
        <f>IF(OR($A197="",$F197=""),0,MAX(0,MIN($F197,SUMIFS($F$6:$F197,$B$6:$B197,$B197)-(SUMIFS($G$6:$G$355,$B$6:$B$355,$B197)+SUMIFS($H$6:$H$355,$B$6:$B$355,$B197)+SUMIFS($I$6:$I$355,$B$6:$B$355,$B197)))))</f>
        <v>0</v>
      </c>
      <c r="AD197" s="468"/>
      <c r="AE197" s="342"/>
      <c r="AF197" s="342"/>
      <c r="AG197" s="342"/>
      <c r="AH197" s="342"/>
      <c r="AI197" s="342"/>
      <c r="AJ197" s="342"/>
      <c r="AK197" s="342"/>
      <c r="AL197" s="342"/>
      <c r="AM197" s="342"/>
      <c r="AN197" s="342"/>
      <c r="AO197" s="342"/>
      <c r="AP197" s="342"/>
      <c r="AQ197" s="342"/>
      <c r="AR197" s="342"/>
      <c r="AS197" s="342"/>
      <c r="AT197" s="342"/>
      <c r="AU197" s="342"/>
      <c r="AV197" s="342"/>
      <c r="AW197" s="342"/>
      <c r="AX197" s="342"/>
      <c r="AY197" s="342"/>
      <c r="AZ197" s="342"/>
      <c r="BA197" s="342"/>
      <c r="BB197" s="342"/>
      <c r="BC197" s="342"/>
      <c r="BD197" s="342"/>
      <c r="BE197" s="342"/>
      <c r="BF197" s="342"/>
      <c r="BG197" s="342"/>
      <c r="BH197" s="342"/>
      <c r="BI197" s="342"/>
      <c r="BJ197" s="342"/>
      <c r="BK197" s="342"/>
      <c r="BL197" s="342"/>
    </row>
    <row r="198" spans="1:64" ht="23" x14ac:dyDescent="0.25">
      <c r="A198" s="217" t="str" cm="1">
        <f t="array" ref="A198">IFERROR(INDEX(_xlfn.ANCHORARRAY($Q$6),ROW()-5,1),"")</f>
        <v/>
      </c>
      <c r="B198" s="288" t="str" cm="1">
        <f t="array" ref="B198">IFERROR(INDEX(_xlfn.ANCHORARRAY($Q$6),ROW()-5,2),"")</f>
        <v/>
      </c>
      <c r="C198" s="289" t="str" cm="1">
        <f t="array" ref="C198">IFERROR(INDEX(_xlfn.ANCHORARRAY($Q$6),ROW()-5,3),"")</f>
        <v/>
      </c>
      <c r="D198" s="218" t="str">
        <f>IF($A198="","",IF($K198="DIESEL",SUMIFS(Table1[Quantity],Table1[Customer],$B198,Table1[Date],$A198,Table1[Bill No.],$C198),IF($K198="PETROL",SUMIFS(Table14[Quantity],Table14[Customer],$B198,Table14[Date],$A198,Table14[Bill No.],$C198),IF($K198="XtraGreen",SUMIFS(Table146[Quantity],Table146[Company],$B198,Table146[Date],$A198,Table146[Bill No.],$C198),""))))</f>
        <v/>
      </c>
      <c r="E198" s="219" t="str">
        <f>IF($A198="","",IF($K198="DIESEL",AVERAGEIFS(Table1[RSP],Table1[Customer],$B198,Table1[Date],$A198,Table1[Bill No.],$C198),IF($K198="PETROL",AVERAGEIFS(Table14[RSP],Table14[Customer],$B198,Table14[Date],$A198,Table14[Bill No.],$C198),IF($K198="XtraGreen",AVERAGEIFS(Table146[RSP],Table146[Company],$B198,Table146[Date],$A198,Table146[Bill No.],$C198),IFERROR($F198/$D198,"")))))</f>
        <v/>
      </c>
      <c r="F198" s="330" t="str">
        <f>IF($A198="","",IF($K198="DIESEL",SUMIFS(Table1[Amount],Table1[Customer],$B198,Table1[Date],$A198,Table1[Bill No.],$C198),IF($K198="PETROL",SUMIFS(Table14[Amount],Table14[Customer],$B198,Table14[Date],$A198,Table14[Bill No.],$C198),IF($K198="XtraGreen",SUMIFS(Table146[Amount],Table146[Company],$B198,Table146[Date],$A198,Table146[Bill No.],$C198),SUMIFS('Other Sale'!$D:$D,'Other Sale'!$E:$E,$B198,'Other Sale'!$C:$C,$K198,'Other Sale'!$A:$A,$A198)))))</f>
        <v/>
      </c>
      <c r="G198" s="330" t="str" cm="1">
        <f t="array" ref="G198">IF($A198="","",IF($K198="Payment",IFERROR(INDEX(_xlfn._xlws.FILTER(MasterPaid[Amount Paid],(MasterPaid[Customer]=$B198)*(MasterPaid[Date]=$A198)),COUNTIFS($A$6:$A198,$A198,$B$6:$B198,$B198,$K$6:$K198,"Payment")),0),0))</f>
        <v/>
      </c>
      <c r="H198" s="331"/>
      <c r="I198" s="331"/>
      <c r="J198" s="330" t="str">
        <f t="shared" si="3"/>
        <v/>
      </c>
      <c r="K198" s="289" t="str" cm="1">
        <f t="array" ref="K198">IFERROR(INDEX(_xlfn.ANCHORARRAY($Q$6),ROW()-5,4),"")</f>
        <v/>
      </c>
      <c r="L198" s="290"/>
      <c r="U198">
        <f>IF(OR($A198="",$F198=""),0,MAX(0,MIN($F198,SUMIFS($F$6:$F198,$B$6:$B198,$B198)-(SUMIFS($G$6:$G$355,$B$6:$B$355,$B198)+SUMIFS($H$6:$H$355,$B$6:$B$355,$B198)+SUMIFS($I$6:$I$355,$B$6:$B$355,$B198)))))</f>
        <v>0</v>
      </c>
      <c r="AD198" s="468"/>
      <c r="AE198" s="342"/>
      <c r="AF198" s="342"/>
      <c r="AG198" s="342"/>
      <c r="AH198" s="342"/>
      <c r="AI198" s="342"/>
      <c r="AJ198" s="342"/>
      <c r="AK198" s="342"/>
      <c r="AL198" s="342"/>
      <c r="AM198" s="342"/>
      <c r="AN198" s="342"/>
      <c r="AO198" s="342"/>
      <c r="AP198" s="342"/>
      <c r="AQ198" s="342"/>
      <c r="AR198" s="342"/>
      <c r="AS198" s="342"/>
      <c r="AT198" s="342"/>
      <c r="AU198" s="342"/>
      <c r="AV198" s="342"/>
      <c r="AW198" s="342"/>
      <c r="AX198" s="342"/>
      <c r="AY198" s="342"/>
      <c r="AZ198" s="342"/>
      <c r="BA198" s="342"/>
      <c r="BB198" s="342"/>
      <c r="BC198" s="342"/>
      <c r="BD198" s="342"/>
      <c r="BE198" s="342"/>
      <c r="BF198" s="342"/>
      <c r="BG198" s="342"/>
      <c r="BH198" s="342"/>
      <c r="BI198" s="342"/>
      <c r="BJ198" s="342"/>
      <c r="BK198" s="342"/>
      <c r="BL198" s="342"/>
    </row>
    <row r="199" spans="1:64" ht="23" x14ac:dyDescent="0.25">
      <c r="A199" s="217" t="str" cm="1">
        <f t="array" ref="A199">IFERROR(INDEX(_xlfn.ANCHORARRAY($Q$6),ROW()-5,1),"")</f>
        <v/>
      </c>
      <c r="B199" s="288" t="str" cm="1">
        <f t="array" ref="B199">IFERROR(INDEX(_xlfn.ANCHORARRAY($Q$6),ROW()-5,2),"")</f>
        <v/>
      </c>
      <c r="C199" s="289" t="str" cm="1">
        <f t="array" ref="C199">IFERROR(INDEX(_xlfn.ANCHORARRAY($Q$6),ROW()-5,3),"")</f>
        <v/>
      </c>
      <c r="D199" s="218" t="str">
        <f>IF($A199="","",IF($K199="DIESEL",SUMIFS(Table1[Quantity],Table1[Customer],$B199,Table1[Date],$A199,Table1[Bill No.],$C199),IF($K199="PETROL",SUMIFS(Table14[Quantity],Table14[Customer],$B199,Table14[Date],$A199,Table14[Bill No.],$C199),IF($K199="XtraGreen",SUMIFS(Table146[Quantity],Table146[Company],$B199,Table146[Date],$A199,Table146[Bill No.],$C199),""))))</f>
        <v/>
      </c>
      <c r="E199" s="219" t="str">
        <f>IF($A199="","",IF($K199="DIESEL",AVERAGEIFS(Table1[RSP],Table1[Customer],$B199,Table1[Date],$A199,Table1[Bill No.],$C199),IF($K199="PETROL",AVERAGEIFS(Table14[RSP],Table14[Customer],$B199,Table14[Date],$A199,Table14[Bill No.],$C199),IF($K199="XtraGreen",AVERAGEIFS(Table146[RSP],Table146[Company],$B199,Table146[Date],$A199,Table146[Bill No.],$C199),IFERROR($F199/$D199,"")))))</f>
        <v/>
      </c>
      <c r="F199" s="330" t="str">
        <f>IF($A199="","",IF($K199="DIESEL",SUMIFS(Table1[Amount],Table1[Customer],$B199,Table1[Date],$A199,Table1[Bill No.],$C199),IF($K199="PETROL",SUMIFS(Table14[Amount],Table14[Customer],$B199,Table14[Date],$A199,Table14[Bill No.],$C199),IF($K199="XtraGreen",SUMIFS(Table146[Amount],Table146[Company],$B199,Table146[Date],$A199,Table146[Bill No.],$C199),SUMIFS('Other Sale'!$D:$D,'Other Sale'!$E:$E,$B199,'Other Sale'!$C:$C,$K199,'Other Sale'!$A:$A,$A199)))))</f>
        <v/>
      </c>
      <c r="G199" s="330" t="str" cm="1">
        <f t="array" ref="G199">IF($A199="","",IF($K199="Payment",IFERROR(INDEX(_xlfn._xlws.FILTER(MasterPaid[Amount Paid],(MasterPaid[Customer]=$B199)*(MasterPaid[Date]=$A199)),COUNTIFS($A$6:$A199,$A199,$B$6:$B199,$B199,$K$6:$K199,"Payment")),0),0))</f>
        <v/>
      </c>
      <c r="H199" s="331"/>
      <c r="I199" s="331"/>
      <c r="J199" s="330" t="str">
        <f t="shared" si="3"/>
        <v/>
      </c>
      <c r="K199" s="289" t="str" cm="1">
        <f t="array" ref="K199">IFERROR(INDEX(_xlfn.ANCHORARRAY($Q$6),ROW()-5,4),"")</f>
        <v/>
      </c>
      <c r="L199" s="290"/>
      <c r="U199">
        <f>IF(OR($A199="",$F199=""),0,MAX(0,MIN($F199,SUMIFS($F$6:$F199,$B$6:$B199,$B199)-(SUMIFS($G$6:$G$355,$B$6:$B$355,$B199)+SUMIFS($H$6:$H$355,$B$6:$B$355,$B199)+SUMIFS($I$6:$I$355,$B$6:$B$355,$B199)))))</f>
        <v>0</v>
      </c>
      <c r="AD199" s="468"/>
      <c r="AE199" s="342"/>
      <c r="AF199" s="342"/>
      <c r="AG199" s="342"/>
      <c r="AH199" s="342"/>
      <c r="AI199" s="342"/>
      <c r="AJ199" s="342"/>
      <c r="AK199" s="342"/>
      <c r="AL199" s="342"/>
      <c r="AM199" s="342"/>
      <c r="AN199" s="342"/>
      <c r="AO199" s="342"/>
      <c r="AP199" s="342"/>
      <c r="AQ199" s="342"/>
      <c r="AR199" s="342"/>
      <c r="AS199" s="342"/>
      <c r="AT199" s="342"/>
      <c r="AU199" s="342"/>
      <c r="AV199" s="342"/>
      <c r="AW199" s="342"/>
      <c r="AX199" s="342"/>
      <c r="AY199" s="342"/>
      <c r="AZ199" s="342"/>
      <c r="BA199" s="342"/>
      <c r="BB199" s="342"/>
      <c r="BC199" s="342"/>
      <c r="BD199" s="342"/>
      <c r="BE199" s="342"/>
      <c r="BF199" s="342"/>
      <c r="BG199" s="342"/>
      <c r="BH199" s="342"/>
      <c r="BI199" s="342"/>
      <c r="BJ199" s="342"/>
      <c r="BK199" s="342"/>
      <c r="BL199" s="342"/>
    </row>
    <row r="200" spans="1:64" ht="23" x14ac:dyDescent="0.25">
      <c r="A200" s="217" t="str" cm="1">
        <f t="array" ref="A200">IFERROR(INDEX(_xlfn.ANCHORARRAY($Q$6),ROW()-5,1),"")</f>
        <v/>
      </c>
      <c r="B200" s="288" t="str" cm="1">
        <f t="array" ref="B200">IFERROR(INDEX(_xlfn.ANCHORARRAY($Q$6),ROW()-5,2),"")</f>
        <v/>
      </c>
      <c r="C200" s="289" t="str" cm="1">
        <f t="array" ref="C200">IFERROR(INDEX(_xlfn.ANCHORARRAY($Q$6),ROW()-5,3),"")</f>
        <v/>
      </c>
      <c r="D200" s="218" t="str">
        <f>IF($A200="","",IF($K200="DIESEL",SUMIFS(Table1[Quantity],Table1[Customer],$B200,Table1[Date],$A200,Table1[Bill No.],$C200),IF($K200="PETROL",SUMIFS(Table14[Quantity],Table14[Customer],$B200,Table14[Date],$A200,Table14[Bill No.],$C200),IF($K200="XtraGreen",SUMIFS(Table146[Quantity],Table146[Company],$B200,Table146[Date],$A200,Table146[Bill No.],$C200),""))))</f>
        <v/>
      </c>
      <c r="E200" s="219" t="str">
        <f>IF($A200="","",IF($K200="DIESEL",AVERAGEIFS(Table1[RSP],Table1[Customer],$B200,Table1[Date],$A200,Table1[Bill No.],$C200),IF($K200="PETROL",AVERAGEIFS(Table14[RSP],Table14[Customer],$B200,Table14[Date],$A200,Table14[Bill No.],$C200),IF($K200="XtraGreen",AVERAGEIFS(Table146[RSP],Table146[Company],$B200,Table146[Date],$A200,Table146[Bill No.],$C200),IFERROR($F200/$D200,"")))))</f>
        <v/>
      </c>
      <c r="F200" s="330" t="str">
        <f>IF($A200="","",IF($K200="DIESEL",SUMIFS(Table1[Amount],Table1[Customer],$B200,Table1[Date],$A200,Table1[Bill No.],$C200),IF($K200="PETROL",SUMIFS(Table14[Amount],Table14[Customer],$B200,Table14[Date],$A200,Table14[Bill No.],$C200),IF($K200="XtraGreen",SUMIFS(Table146[Amount],Table146[Company],$B200,Table146[Date],$A200,Table146[Bill No.],$C200),SUMIFS('Other Sale'!$D:$D,'Other Sale'!$E:$E,$B200,'Other Sale'!$C:$C,$K200,'Other Sale'!$A:$A,$A200)))))</f>
        <v/>
      </c>
      <c r="G200" s="330" t="str" cm="1">
        <f t="array" ref="G200">IF($A200="","",IF($K200="Payment",IFERROR(INDEX(_xlfn._xlws.FILTER(MasterPaid[Amount Paid],(MasterPaid[Customer]=$B200)*(MasterPaid[Date]=$A200)),COUNTIFS($A$6:$A200,$A200,$B$6:$B200,$B200,$K$6:$K200,"Payment")),0),0))</f>
        <v/>
      </c>
      <c r="H200" s="331"/>
      <c r="I200" s="331"/>
      <c r="J200" s="330" t="str">
        <f t="shared" si="3"/>
        <v/>
      </c>
      <c r="K200" s="289" t="str" cm="1">
        <f t="array" ref="K200">IFERROR(INDEX(_xlfn.ANCHORARRAY($Q$6),ROW()-5,4),"")</f>
        <v/>
      </c>
      <c r="L200" s="290"/>
      <c r="U200">
        <f>IF(OR($A200="",$F200=""),0,MAX(0,MIN($F200,SUMIFS($F$6:$F200,$B$6:$B200,$B200)-(SUMIFS($G$6:$G$355,$B$6:$B$355,$B200)+SUMIFS($H$6:$H$355,$B$6:$B$355,$B200)+SUMIFS($I$6:$I$355,$B$6:$B$355,$B200)))))</f>
        <v>0</v>
      </c>
      <c r="AD200" s="468"/>
      <c r="AE200" s="342"/>
      <c r="AF200" s="342"/>
      <c r="AG200" s="342"/>
      <c r="AH200" s="342"/>
      <c r="AI200" s="342"/>
      <c r="AJ200" s="342"/>
      <c r="AK200" s="342"/>
      <c r="AL200" s="342"/>
      <c r="AM200" s="342"/>
      <c r="AN200" s="342"/>
      <c r="AO200" s="342"/>
      <c r="AP200" s="342"/>
      <c r="AQ200" s="342"/>
      <c r="AR200" s="342"/>
      <c r="AS200" s="342"/>
      <c r="AT200" s="342"/>
      <c r="AU200" s="342"/>
      <c r="AV200" s="342"/>
      <c r="AW200" s="342"/>
      <c r="AX200" s="342"/>
      <c r="AY200" s="342"/>
      <c r="AZ200" s="342"/>
      <c r="BA200" s="342"/>
      <c r="BB200" s="342"/>
      <c r="BC200" s="342"/>
      <c r="BD200" s="342"/>
      <c r="BE200" s="342"/>
      <c r="BF200" s="342"/>
      <c r="BG200" s="342"/>
      <c r="BH200" s="342"/>
      <c r="BI200" s="342"/>
      <c r="BJ200" s="342"/>
      <c r="BK200" s="342"/>
      <c r="BL200" s="342"/>
    </row>
    <row r="201" spans="1:64" ht="23" x14ac:dyDescent="0.25">
      <c r="A201" s="217" t="str" cm="1">
        <f t="array" ref="A201">IFERROR(INDEX(_xlfn.ANCHORARRAY($Q$6),ROW()-5,1),"")</f>
        <v/>
      </c>
      <c r="B201" s="288" t="str" cm="1">
        <f t="array" ref="B201">IFERROR(INDEX(_xlfn.ANCHORARRAY($Q$6),ROW()-5,2),"")</f>
        <v/>
      </c>
      <c r="C201" s="289" t="str" cm="1">
        <f t="array" ref="C201">IFERROR(INDEX(_xlfn.ANCHORARRAY($Q$6),ROW()-5,3),"")</f>
        <v/>
      </c>
      <c r="D201" s="218" t="str">
        <f>IF($A201="","",IF($K201="DIESEL",SUMIFS(Table1[Quantity],Table1[Customer],$B201,Table1[Date],$A201,Table1[Bill No.],$C201),IF($K201="PETROL",SUMIFS(Table14[Quantity],Table14[Customer],$B201,Table14[Date],$A201,Table14[Bill No.],$C201),IF($K201="XtraGreen",SUMIFS(Table146[Quantity],Table146[Company],$B201,Table146[Date],$A201,Table146[Bill No.],$C201),""))))</f>
        <v/>
      </c>
      <c r="E201" s="219" t="str">
        <f>IF($A201="","",IF($K201="DIESEL",AVERAGEIFS(Table1[RSP],Table1[Customer],$B201,Table1[Date],$A201,Table1[Bill No.],$C201),IF($K201="PETROL",AVERAGEIFS(Table14[RSP],Table14[Customer],$B201,Table14[Date],$A201,Table14[Bill No.],$C201),IF($K201="XtraGreen",AVERAGEIFS(Table146[RSP],Table146[Company],$B201,Table146[Date],$A201,Table146[Bill No.],$C201),IFERROR($F201/$D201,"")))))</f>
        <v/>
      </c>
      <c r="F201" s="330" t="str">
        <f>IF($A201="","",IF($K201="DIESEL",SUMIFS(Table1[Amount],Table1[Customer],$B201,Table1[Date],$A201,Table1[Bill No.],$C201),IF($K201="PETROL",SUMIFS(Table14[Amount],Table14[Customer],$B201,Table14[Date],$A201,Table14[Bill No.],$C201),IF($K201="XtraGreen",SUMIFS(Table146[Amount],Table146[Company],$B201,Table146[Date],$A201,Table146[Bill No.],$C201),SUMIFS('Other Sale'!$D:$D,'Other Sale'!$E:$E,$B201,'Other Sale'!$C:$C,$K201,'Other Sale'!$A:$A,$A201)))))</f>
        <v/>
      </c>
      <c r="G201" s="330" t="str" cm="1">
        <f t="array" ref="G201">IF($A201="","",IF($K201="Payment",IFERROR(INDEX(_xlfn._xlws.FILTER(MasterPaid[Amount Paid],(MasterPaid[Customer]=$B201)*(MasterPaid[Date]=$A201)),COUNTIFS($A$6:$A201,$A201,$B$6:$B201,$B201,$K$6:$K201,"Payment")),0),0))</f>
        <v/>
      </c>
      <c r="H201" s="331"/>
      <c r="I201" s="331"/>
      <c r="J201" s="330" t="str">
        <f t="shared" si="3"/>
        <v/>
      </c>
      <c r="K201" s="289" t="str" cm="1">
        <f t="array" ref="K201">IFERROR(INDEX(_xlfn.ANCHORARRAY($Q$6),ROW()-5,4),"")</f>
        <v/>
      </c>
      <c r="L201" s="290"/>
      <c r="U201">
        <f>IF(OR($A201="",$F201=""),0,MAX(0,MIN($F201,SUMIFS($F$6:$F201,$B$6:$B201,$B201)-(SUMIFS($G$6:$G$355,$B$6:$B$355,$B201)+SUMIFS($H$6:$H$355,$B$6:$B$355,$B201)+SUMIFS($I$6:$I$355,$B$6:$B$355,$B201)))))</f>
        <v>0</v>
      </c>
    </row>
    <row r="202" spans="1:64" ht="23" x14ac:dyDescent="0.25">
      <c r="A202" s="217" t="str" cm="1">
        <f t="array" ref="A202">IFERROR(INDEX(_xlfn.ANCHORARRAY($Q$6),ROW()-5,1),"")</f>
        <v/>
      </c>
      <c r="B202" s="288" t="str" cm="1">
        <f t="array" ref="B202">IFERROR(INDEX(_xlfn.ANCHORARRAY($Q$6),ROW()-5,2),"")</f>
        <v/>
      </c>
      <c r="C202" s="289" t="str" cm="1">
        <f t="array" ref="C202">IFERROR(INDEX(_xlfn.ANCHORARRAY($Q$6),ROW()-5,3),"")</f>
        <v/>
      </c>
      <c r="D202" s="218" t="str">
        <f>IF($A202="","",IF($K202="DIESEL",SUMIFS(Table1[Quantity],Table1[Customer],$B202,Table1[Date],$A202,Table1[Bill No.],$C202),IF($K202="PETROL",SUMIFS(Table14[Quantity],Table14[Customer],$B202,Table14[Date],$A202,Table14[Bill No.],$C202),IF($K202="XtraGreen",SUMIFS(Table146[Quantity],Table146[Company],$B202,Table146[Date],$A202,Table146[Bill No.],$C202),""))))</f>
        <v/>
      </c>
      <c r="E202" s="219" t="str">
        <f>IF($A202="","",IF($K202="DIESEL",AVERAGEIFS(Table1[RSP],Table1[Customer],$B202,Table1[Date],$A202,Table1[Bill No.],$C202),IF($K202="PETROL",AVERAGEIFS(Table14[RSP],Table14[Customer],$B202,Table14[Date],$A202,Table14[Bill No.],$C202),IF($K202="XtraGreen",AVERAGEIFS(Table146[RSP],Table146[Company],$B202,Table146[Date],$A202,Table146[Bill No.],$C202),IFERROR($F202/$D202,"")))))</f>
        <v/>
      </c>
      <c r="F202" s="330" t="str">
        <f>IF($A202="","",IF($K202="DIESEL",SUMIFS(Table1[Amount],Table1[Customer],$B202,Table1[Date],$A202,Table1[Bill No.],$C202),IF($K202="PETROL",SUMIFS(Table14[Amount],Table14[Customer],$B202,Table14[Date],$A202,Table14[Bill No.],$C202),IF($K202="XtraGreen",SUMIFS(Table146[Amount],Table146[Company],$B202,Table146[Date],$A202,Table146[Bill No.],$C202),SUMIFS('Other Sale'!$D:$D,'Other Sale'!$E:$E,$B202,'Other Sale'!$C:$C,$K202,'Other Sale'!$A:$A,$A202)))))</f>
        <v/>
      </c>
      <c r="G202" s="330" t="str" cm="1">
        <f t="array" ref="G202">IF($A202="","",IF($K202="Payment",IFERROR(INDEX(_xlfn._xlws.FILTER(MasterPaid[Amount Paid],(MasterPaid[Customer]=$B202)*(MasterPaid[Date]=$A202)),COUNTIFS($A$6:$A202,$A202,$B$6:$B202,$B202,$K$6:$K202,"Payment")),0),0))</f>
        <v/>
      </c>
      <c r="H202" s="331"/>
      <c r="I202" s="331"/>
      <c r="J202" s="330" t="str">
        <f t="shared" si="3"/>
        <v/>
      </c>
      <c r="K202" s="289" t="str" cm="1">
        <f t="array" ref="K202">IFERROR(INDEX(_xlfn.ANCHORARRAY($Q$6),ROW()-5,4),"")</f>
        <v/>
      </c>
      <c r="L202" s="290"/>
      <c r="U202">
        <f>IF(OR($A202="",$F202=""),0,MAX(0,MIN($F202,SUMIFS($F$6:$F202,$B$6:$B202,$B202)-(SUMIFS($G$6:$G$355,$B$6:$B$355,$B202)+SUMIFS($H$6:$H$355,$B$6:$B$355,$B202)+SUMIFS($I$6:$I$355,$B$6:$B$355,$B202)))))</f>
        <v>0</v>
      </c>
    </row>
    <row r="203" spans="1:64" ht="23" x14ac:dyDescent="0.25">
      <c r="A203" s="217" t="str" cm="1">
        <f t="array" ref="A203">IFERROR(INDEX(_xlfn.ANCHORARRAY($Q$6),ROW()-5,1),"")</f>
        <v/>
      </c>
      <c r="B203" s="288" t="str" cm="1">
        <f t="array" ref="B203">IFERROR(INDEX(_xlfn.ANCHORARRAY($Q$6),ROW()-5,2),"")</f>
        <v/>
      </c>
      <c r="C203" s="289" t="str" cm="1">
        <f t="array" ref="C203">IFERROR(INDEX(_xlfn.ANCHORARRAY($Q$6),ROW()-5,3),"")</f>
        <v/>
      </c>
      <c r="D203" s="218" t="str">
        <f>IF($A203="","",IF($K203="DIESEL",SUMIFS(Table1[Quantity],Table1[Customer],$B203,Table1[Date],$A203,Table1[Bill No.],$C203),IF($K203="PETROL",SUMIFS(Table14[Quantity],Table14[Customer],$B203,Table14[Date],$A203,Table14[Bill No.],$C203),IF($K203="XtraGreen",SUMIFS(Table146[Quantity],Table146[Company],$B203,Table146[Date],$A203,Table146[Bill No.],$C203),""))))</f>
        <v/>
      </c>
      <c r="E203" s="219" t="str">
        <f>IF($A203="","",IF($K203="DIESEL",AVERAGEIFS(Table1[RSP],Table1[Customer],$B203,Table1[Date],$A203,Table1[Bill No.],$C203),IF($K203="PETROL",AVERAGEIFS(Table14[RSP],Table14[Customer],$B203,Table14[Date],$A203,Table14[Bill No.],$C203),IF($K203="XtraGreen",AVERAGEIFS(Table146[RSP],Table146[Company],$B203,Table146[Date],$A203,Table146[Bill No.],$C203),IFERROR($F203/$D203,"")))))</f>
        <v/>
      </c>
      <c r="F203" s="330" t="str">
        <f>IF($A203="","",IF($K203="DIESEL",SUMIFS(Table1[Amount],Table1[Customer],$B203,Table1[Date],$A203,Table1[Bill No.],$C203),IF($K203="PETROL",SUMIFS(Table14[Amount],Table14[Customer],$B203,Table14[Date],$A203,Table14[Bill No.],$C203),IF($K203="XtraGreen",SUMIFS(Table146[Amount],Table146[Company],$B203,Table146[Date],$A203,Table146[Bill No.],$C203),SUMIFS('Other Sale'!$D:$D,'Other Sale'!$E:$E,$B203,'Other Sale'!$C:$C,$K203,'Other Sale'!$A:$A,$A203)))))</f>
        <v/>
      </c>
      <c r="G203" s="330" t="str" cm="1">
        <f t="array" ref="G203">IF($A203="","",IF($K203="Payment",IFERROR(INDEX(_xlfn._xlws.FILTER(MasterPaid[Amount Paid],(MasterPaid[Customer]=$B203)*(MasterPaid[Date]=$A203)),COUNTIFS($A$6:$A203,$A203,$B$6:$B203,$B203,$K$6:$K203,"Payment")),0),0))</f>
        <v/>
      </c>
      <c r="H203" s="331"/>
      <c r="I203" s="331"/>
      <c r="J203" s="330" t="str">
        <f t="shared" si="3"/>
        <v/>
      </c>
      <c r="K203" s="289" t="str" cm="1">
        <f t="array" ref="K203">IFERROR(INDEX(_xlfn.ANCHORARRAY($Q$6),ROW()-5,4),"")</f>
        <v/>
      </c>
      <c r="L203" s="290"/>
      <c r="U203">
        <f>IF(OR($A203="",$F203=""),0,MAX(0,MIN($F203,SUMIFS($F$6:$F203,$B$6:$B203,$B203)-(SUMIFS($G$6:$G$355,$B$6:$B$355,$B203)+SUMIFS($H$6:$H$355,$B$6:$B$355,$B203)+SUMIFS($I$6:$I$355,$B$6:$B$355,$B203)))))</f>
        <v>0</v>
      </c>
    </row>
    <row r="204" spans="1:64" ht="23" x14ac:dyDescent="0.25">
      <c r="A204" s="217" t="str" cm="1">
        <f t="array" ref="A204">IFERROR(INDEX(_xlfn.ANCHORARRAY($Q$6),ROW()-5,1),"")</f>
        <v/>
      </c>
      <c r="B204" s="288" t="str" cm="1">
        <f t="array" ref="B204">IFERROR(INDEX(_xlfn.ANCHORARRAY($Q$6),ROW()-5,2),"")</f>
        <v/>
      </c>
      <c r="C204" s="289" t="str" cm="1">
        <f t="array" ref="C204">IFERROR(INDEX(_xlfn.ANCHORARRAY($Q$6),ROW()-5,3),"")</f>
        <v/>
      </c>
      <c r="D204" s="218" t="str">
        <f>IF($A204="","",IF($K204="DIESEL",SUMIFS(Table1[Quantity],Table1[Customer],$B204,Table1[Date],$A204,Table1[Bill No.],$C204),IF($K204="PETROL",SUMIFS(Table14[Quantity],Table14[Customer],$B204,Table14[Date],$A204,Table14[Bill No.],$C204),IF($K204="XtraGreen",SUMIFS(Table146[Quantity],Table146[Company],$B204,Table146[Date],$A204,Table146[Bill No.],$C204),""))))</f>
        <v/>
      </c>
      <c r="E204" s="219" t="str">
        <f>IF($A204="","",IF($K204="DIESEL",AVERAGEIFS(Table1[RSP],Table1[Customer],$B204,Table1[Date],$A204,Table1[Bill No.],$C204),IF($K204="PETROL",AVERAGEIFS(Table14[RSP],Table14[Customer],$B204,Table14[Date],$A204,Table14[Bill No.],$C204),IF($K204="XtraGreen",AVERAGEIFS(Table146[RSP],Table146[Company],$B204,Table146[Date],$A204,Table146[Bill No.],$C204),IFERROR($F204/$D204,"")))))</f>
        <v/>
      </c>
      <c r="F204" s="330" t="str">
        <f>IF($A204="","",IF($K204="DIESEL",SUMIFS(Table1[Amount],Table1[Customer],$B204,Table1[Date],$A204,Table1[Bill No.],$C204),IF($K204="PETROL",SUMIFS(Table14[Amount],Table14[Customer],$B204,Table14[Date],$A204,Table14[Bill No.],$C204),IF($K204="XtraGreen",SUMIFS(Table146[Amount],Table146[Company],$B204,Table146[Date],$A204,Table146[Bill No.],$C204),SUMIFS('Other Sale'!$D:$D,'Other Sale'!$E:$E,$B204,'Other Sale'!$C:$C,$K204,'Other Sale'!$A:$A,$A204)))))</f>
        <v/>
      </c>
      <c r="G204" s="330" t="str" cm="1">
        <f t="array" ref="G204">IF($A204="","",IF($K204="Payment",IFERROR(INDEX(_xlfn._xlws.FILTER(MasterPaid[Amount Paid],(MasterPaid[Customer]=$B204)*(MasterPaid[Date]=$A204)),COUNTIFS($A$6:$A204,$A204,$B$6:$B204,$B204,$K$6:$K204,"Payment")),0),0))</f>
        <v/>
      </c>
      <c r="H204" s="331"/>
      <c r="I204" s="331"/>
      <c r="J204" s="330" t="str">
        <f t="shared" si="3"/>
        <v/>
      </c>
      <c r="K204" s="289" t="str" cm="1">
        <f t="array" ref="K204">IFERROR(INDEX(_xlfn.ANCHORARRAY($Q$6),ROW()-5,4),"")</f>
        <v/>
      </c>
      <c r="L204" s="290"/>
      <c r="U204">
        <f>IF(OR($A204="",$F204=""),0,MAX(0,MIN($F204,SUMIFS($F$6:$F204,$B$6:$B204,$B204)-(SUMIFS($G$6:$G$355,$B$6:$B$355,$B204)+SUMIFS($H$6:$H$355,$B$6:$B$355,$B204)+SUMIFS($I$6:$I$355,$B$6:$B$355,$B204)))))</f>
        <v>0</v>
      </c>
    </row>
    <row r="205" spans="1:64" ht="23" x14ac:dyDescent="0.25">
      <c r="A205" s="217" t="str" cm="1">
        <f t="array" ref="A205">IFERROR(INDEX(_xlfn.ANCHORARRAY($Q$6),ROW()-5,1),"")</f>
        <v/>
      </c>
      <c r="B205" s="288" t="str" cm="1">
        <f t="array" ref="B205">IFERROR(INDEX(_xlfn.ANCHORARRAY($Q$6),ROW()-5,2),"")</f>
        <v/>
      </c>
      <c r="C205" s="289" t="str" cm="1">
        <f t="array" ref="C205">IFERROR(INDEX(_xlfn.ANCHORARRAY($Q$6),ROW()-5,3),"")</f>
        <v/>
      </c>
      <c r="D205" s="218" t="str">
        <f>IF($A205="","",IF($K205="DIESEL",SUMIFS(Table1[Quantity],Table1[Customer],$B205,Table1[Date],$A205,Table1[Bill No.],$C205),IF($K205="PETROL",SUMIFS(Table14[Quantity],Table14[Customer],$B205,Table14[Date],$A205,Table14[Bill No.],$C205),IF($K205="XtraGreen",SUMIFS(Table146[Quantity],Table146[Company],$B205,Table146[Date],$A205,Table146[Bill No.],$C205),""))))</f>
        <v/>
      </c>
      <c r="E205" s="219" t="str">
        <f>IF($A205="","",IF($K205="DIESEL",AVERAGEIFS(Table1[RSP],Table1[Customer],$B205,Table1[Date],$A205,Table1[Bill No.],$C205),IF($K205="PETROL",AVERAGEIFS(Table14[RSP],Table14[Customer],$B205,Table14[Date],$A205,Table14[Bill No.],$C205),IF($K205="XtraGreen",AVERAGEIFS(Table146[RSP],Table146[Company],$B205,Table146[Date],$A205,Table146[Bill No.],$C205),IFERROR($F205/$D205,"")))))</f>
        <v/>
      </c>
      <c r="F205" s="330" t="str">
        <f>IF($A205="","",IF($K205="DIESEL",SUMIFS(Table1[Amount],Table1[Customer],$B205,Table1[Date],$A205,Table1[Bill No.],$C205),IF($K205="PETROL",SUMIFS(Table14[Amount],Table14[Customer],$B205,Table14[Date],$A205,Table14[Bill No.],$C205),IF($K205="XtraGreen",SUMIFS(Table146[Amount],Table146[Company],$B205,Table146[Date],$A205,Table146[Bill No.],$C205),SUMIFS('Other Sale'!$D:$D,'Other Sale'!$E:$E,$B205,'Other Sale'!$C:$C,$K205,'Other Sale'!$A:$A,$A205)))))</f>
        <v/>
      </c>
      <c r="G205" s="330" t="str" cm="1">
        <f t="array" ref="G205">IF($A205="","",IF($K205="Payment",IFERROR(INDEX(_xlfn._xlws.FILTER(MasterPaid[Amount Paid],(MasterPaid[Customer]=$B205)*(MasterPaid[Date]=$A205)),COUNTIFS($A$6:$A205,$A205,$B$6:$B205,$B205,$K$6:$K205,"Payment")),0),0))</f>
        <v/>
      </c>
      <c r="H205" s="331"/>
      <c r="I205" s="331"/>
      <c r="J205" s="330" t="str">
        <f t="shared" si="3"/>
        <v/>
      </c>
      <c r="K205" s="289" t="str" cm="1">
        <f t="array" ref="K205">IFERROR(INDEX(_xlfn.ANCHORARRAY($Q$6),ROW()-5,4),"")</f>
        <v/>
      </c>
      <c r="L205" s="290"/>
      <c r="U205">
        <f>IF(OR($A205="",$F205=""),0,MAX(0,MIN($F205,SUMIFS($F$6:$F205,$B$6:$B205,$B205)-(SUMIFS($G$6:$G$355,$B$6:$B$355,$B205)+SUMIFS($H$6:$H$355,$B$6:$B$355,$B205)+SUMIFS($I$6:$I$355,$B$6:$B$355,$B205)))))</f>
        <v>0</v>
      </c>
    </row>
    <row r="206" spans="1:64" ht="23" x14ac:dyDescent="0.25">
      <c r="A206" s="217" t="str" cm="1">
        <f t="array" ref="A206">IFERROR(INDEX(_xlfn.ANCHORARRAY($Q$6),ROW()-5,1),"")</f>
        <v/>
      </c>
      <c r="B206" s="288" t="str" cm="1">
        <f t="array" ref="B206">IFERROR(INDEX(_xlfn.ANCHORARRAY($Q$6),ROW()-5,2),"")</f>
        <v/>
      </c>
      <c r="C206" s="289" t="str" cm="1">
        <f t="array" ref="C206">IFERROR(INDEX(_xlfn.ANCHORARRAY($Q$6),ROW()-5,3),"")</f>
        <v/>
      </c>
      <c r="D206" s="218" t="str">
        <f>IF($A206="","",IF($K206="DIESEL",SUMIFS(Table1[Quantity],Table1[Customer],$B206,Table1[Date],$A206,Table1[Bill No.],$C206),IF($K206="PETROL",SUMIFS(Table14[Quantity],Table14[Customer],$B206,Table14[Date],$A206,Table14[Bill No.],$C206),IF($K206="XtraGreen",SUMIFS(Table146[Quantity],Table146[Company],$B206,Table146[Date],$A206,Table146[Bill No.],$C206),""))))</f>
        <v/>
      </c>
      <c r="E206" s="219" t="str">
        <f>IF($A206="","",IF($K206="DIESEL",AVERAGEIFS(Table1[RSP],Table1[Customer],$B206,Table1[Date],$A206,Table1[Bill No.],$C206),IF($K206="PETROL",AVERAGEIFS(Table14[RSP],Table14[Customer],$B206,Table14[Date],$A206,Table14[Bill No.],$C206),IF($K206="XtraGreen",AVERAGEIFS(Table146[RSP],Table146[Company],$B206,Table146[Date],$A206,Table146[Bill No.],$C206),IFERROR($F206/$D206,"")))))</f>
        <v/>
      </c>
      <c r="F206" s="330" t="str">
        <f>IF($A206="","",IF($K206="DIESEL",SUMIFS(Table1[Amount],Table1[Customer],$B206,Table1[Date],$A206,Table1[Bill No.],$C206),IF($K206="PETROL",SUMIFS(Table14[Amount],Table14[Customer],$B206,Table14[Date],$A206,Table14[Bill No.],$C206),IF($K206="XtraGreen",SUMIFS(Table146[Amount],Table146[Company],$B206,Table146[Date],$A206,Table146[Bill No.],$C206),SUMIFS('Other Sale'!$D:$D,'Other Sale'!$E:$E,$B206,'Other Sale'!$C:$C,$K206,'Other Sale'!$A:$A,$A206)))))</f>
        <v/>
      </c>
      <c r="G206" s="330" t="str" cm="1">
        <f t="array" ref="G206">IF($A206="","",IF($K206="Payment",IFERROR(INDEX(_xlfn._xlws.FILTER(MasterPaid[Amount Paid],(MasterPaid[Customer]=$B206)*(MasterPaid[Date]=$A206)),COUNTIFS($A$6:$A206,$A206,$B$6:$B206,$B206,$K$6:$K206,"Payment")),0),0))</f>
        <v/>
      </c>
      <c r="H206" s="331"/>
      <c r="I206" s="331"/>
      <c r="J206" s="330" t="str">
        <f t="shared" si="3"/>
        <v/>
      </c>
      <c r="K206" s="289" t="str" cm="1">
        <f t="array" ref="K206">IFERROR(INDEX(_xlfn.ANCHORARRAY($Q$6),ROW()-5,4),"")</f>
        <v/>
      </c>
      <c r="L206" s="290"/>
      <c r="U206">
        <f>IF(OR($A206="",$F206=""),0,MAX(0,MIN($F206,SUMIFS($F$6:$F206,$B$6:$B206,$B206)-(SUMIFS($G$6:$G$355,$B$6:$B$355,$B206)+SUMIFS($H$6:$H$355,$B$6:$B$355,$B206)+SUMIFS($I$6:$I$355,$B$6:$B$355,$B206)))))</f>
        <v>0</v>
      </c>
    </row>
    <row r="207" spans="1:64" ht="23" x14ac:dyDescent="0.25">
      <c r="A207" s="217" t="str" cm="1">
        <f t="array" ref="A207">IFERROR(INDEX(_xlfn.ANCHORARRAY($Q$6),ROW()-5,1),"")</f>
        <v/>
      </c>
      <c r="B207" s="288" t="str" cm="1">
        <f t="array" ref="B207">IFERROR(INDEX(_xlfn.ANCHORARRAY($Q$6),ROW()-5,2),"")</f>
        <v/>
      </c>
      <c r="C207" s="289" t="str" cm="1">
        <f t="array" ref="C207">IFERROR(INDEX(_xlfn.ANCHORARRAY($Q$6),ROW()-5,3),"")</f>
        <v/>
      </c>
      <c r="D207" s="218" t="str">
        <f>IF($A207="","",IF($K207="DIESEL",SUMIFS(Table1[Quantity],Table1[Customer],$B207,Table1[Date],$A207,Table1[Bill No.],$C207),IF($K207="PETROL",SUMIFS(Table14[Quantity],Table14[Customer],$B207,Table14[Date],$A207,Table14[Bill No.],$C207),IF($K207="XtraGreen",SUMIFS(Table146[Quantity],Table146[Company],$B207,Table146[Date],$A207,Table146[Bill No.],$C207),""))))</f>
        <v/>
      </c>
      <c r="E207" s="219" t="str">
        <f>IF($A207="","",IF($K207="DIESEL",AVERAGEIFS(Table1[RSP],Table1[Customer],$B207,Table1[Date],$A207,Table1[Bill No.],$C207),IF($K207="PETROL",AVERAGEIFS(Table14[RSP],Table14[Customer],$B207,Table14[Date],$A207,Table14[Bill No.],$C207),IF($K207="XtraGreen",AVERAGEIFS(Table146[RSP],Table146[Company],$B207,Table146[Date],$A207,Table146[Bill No.],$C207),IFERROR($F207/$D207,"")))))</f>
        <v/>
      </c>
      <c r="F207" s="330" t="str">
        <f>IF($A207="","",IF($K207="DIESEL",SUMIFS(Table1[Amount],Table1[Customer],$B207,Table1[Date],$A207,Table1[Bill No.],$C207),IF($K207="PETROL",SUMIFS(Table14[Amount],Table14[Customer],$B207,Table14[Date],$A207,Table14[Bill No.],$C207),IF($K207="XtraGreen",SUMIFS(Table146[Amount],Table146[Company],$B207,Table146[Date],$A207,Table146[Bill No.],$C207),SUMIFS('Other Sale'!$D:$D,'Other Sale'!$E:$E,$B207,'Other Sale'!$C:$C,$K207,'Other Sale'!$A:$A,$A207)))))</f>
        <v/>
      </c>
      <c r="G207" s="330" t="str" cm="1">
        <f t="array" ref="G207">IF($A207="","",IF($K207="Payment",IFERROR(INDEX(_xlfn._xlws.FILTER(MasterPaid[Amount Paid],(MasterPaid[Customer]=$B207)*(MasterPaid[Date]=$A207)),COUNTIFS($A$6:$A207,$A207,$B$6:$B207,$B207,$K$6:$K207,"Payment")),0),0))</f>
        <v/>
      </c>
      <c r="H207" s="331"/>
      <c r="I207" s="331"/>
      <c r="J207" s="330" t="str">
        <f t="shared" si="3"/>
        <v/>
      </c>
      <c r="K207" s="289" t="str" cm="1">
        <f t="array" ref="K207">IFERROR(INDEX(_xlfn.ANCHORARRAY($Q$6),ROW()-5,4),"")</f>
        <v/>
      </c>
      <c r="L207" s="290"/>
      <c r="U207">
        <f>IF(OR($A207="",$F207=""),0,MAX(0,MIN($F207,SUMIFS($F$6:$F207,$B$6:$B207,$B207)-(SUMIFS($G$6:$G$355,$B$6:$B$355,$B207)+SUMIFS($H$6:$H$355,$B$6:$B$355,$B207)+SUMIFS($I$6:$I$355,$B$6:$B$355,$B207)))))</f>
        <v>0</v>
      </c>
    </row>
    <row r="208" spans="1:64" ht="23" x14ac:dyDescent="0.25">
      <c r="A208" s="217" t="str" cm="1">
        <f t="array" ref="A208">IFERROR(INDEX(_xlfn.ANCHORARRAY($Q$6),ROW()-5,1),"")</f>
        <v/>
      </c>
      <c r="B208" s="288" t="str" cm="1">
        <f t="array" ref="B208">IFERROR(INDEX(_xlfn.ANCHORARRAY($Q$6),ROW()-5,2),"")</f>
        <v/>
      </c>
      <c r="C208" s="289" t="str" cm="1">
        <f t="array" ref="C208">IFERROR(INDEX(_xlfn.ANCHORARRAY($Q$6),ROW()-5,3),"")</f>
        <v/>
      </c>
      <c r="D208" s="218" t="str">
        <f>IF($A208="","",IF($K208="DIESEL",SUMIFS(Table1[Quantity],Table1[Customer],$B208,Table1[Date],$A208,Table1[Bill No.],$C208),IF($K208="PETROL",SUMIFS(Table14[Quantity],Table14[Customer],$B208,Table14[Date],$A208,Table14[Bill No.],$C208),IF($K208="XtraGreen",SUMIFS(Table146[Quantity],Table146[Company],$B208,Table146[Date],$A208,Table146[Bill No.],$C208),""))))</f>
        <v/>
      </c>
      <c r="E208" s="219" t="str">
        <f>IF($A208="","",IF($K208="DIESEL",AVERAGEIFS(Table1[RSP],Table1[Customer],$B208,Table1[Date],$A208,Table1[Bill No.],$C208),IF($K208="PETROL",AVERAGEIFS(Table14[RSP],Table14[Customer],$B208,Table14[Date],$A208,Table14[Bill No.],$C208),IF($K208="XtraGreen",AVERAGEIFS(Table146[RSP],Table146[Company],$B208,Table146[Date],$A208,Table146[Bill No.],$C208),IFERROR($F208/$D208,"")))))</f>
        <v/>
      </c>
      <c r="F208" s="330" t="str">
        <f>IF($A208="","",IF($K208="DIESEL",SUMIFS(Table1[Amount],Table1[Customer],$B208,Table1[Date],$A208,Table1[Bill No.],$C208),IF($K208="PETROL",SUMIFS(Table14[Amount],Table14[Customer],$B208,Table14[Date],$A208,Table14[Bill No.],$C208),IF($K208="XtraGreen",SUMIFS(Table146[Amount],Table146[Company],$B208,Table146[Date],$A208,Table146[Bill No.],$C208),SUMIFS('Other Sale'!$D:$D,'Other Sale'!$E:$E,$B208,'Other Sale'!$C:$C,$K208,'Other Sale'!$A:$A,$A208)))))</f>
        <v/>
      </c>
      <c r="G208" s="330" t="str" cm="1">
        <f t="array" ref="G208">IF($A208="","",IF($K208="Payment",IFERROR(INDEX(_xlfn._xlws.FILTER(MasterPaid[Amount Paid],(MasterPaid[Customer]=$B208)*(MasterPaid[Date]=$A208)),COUNTIFS($A$6:$A208,$A208,$B$6:$B208,$B208,$K$6:$K208,"Payment")),0),0))</f>
        <v/>
      </c>
      <c r="H208" s="331"/>
      <c r="I208" s="331"/>
      <c r="J208" s="330" t="str">
        <f t="shared" si="3"/>
        <v/>
      </c>
      <c r="K208" s="289" t="str" cm="1">
        <f t="array" ref="K208">IFERROR(INDEX(_xlfn.ANCHORARRAY($Q$6),ROW()-5,4),"")</f>
        <v/>
      </c>
      <c r="L208" s="290"/>
      <c r="U208">
        <f>IF(OR($A208="",$F208=""),0,MAX(0,MIN($F208,SUMIFS($F$6:$F208,$B$6:$B208,$B208)-(SUMIFS($G$6:$G$355,$B$6:$B$355,$B208)+SUMIFS($H$6:$H$355,$B$6:$B$355,$B208)+SUMIFS($I$6:$I$355,$B$6:$B$355,$B208)))))</f>
        <v>0</v>
      </c>
    </row>
    <row r="209" spans="1:21" ht="23" x14ac:dyDescent="0.25">
      <c r="A209" s="217" t="str" cm="1">
        <f t="array" ref="A209">IFERROR(INDEX(_xlfn.ANCHORARRAY($Q$6),ROW()-5,1),"")</f>
        <v/>
      </c>
      <c r="B209" s="288" t="str" cm="1">
        <f t="array" ref="B209">IFERROR(INDEX(_xlfn.ANCHORARRAY($Q$6),ROW()-5,2),"")</f>
        <v/>
      </c>
      <c r="C209" s="289" t="str" cm="1">
        <f t="array" ref="C209">IFERROR(INDEX(_xlfn.ANCHORARRAY($Q$6),ROW()-5,3),"")</f>
        <v/>
      </c>
      <c r="D209" s="218" t="str">
        <f>IF($A209="","",IF($K209="DIESEL",SUMIFS(Table1[Quantity],Table1[Customer],$B209,Table1[Date],$A209,Table1[Bill No.],$C209),IF($K209="PETROL",SUMIFS(Table14[Quantity],Table14[Customer],$B209,Table14[Date],$A209,Table14[Bill No.],$C209),IF($K209="XtraGreen",SUMIFS(Table146[Quantity],Table146[Company],$B209,Table146[Date],$A209,Table146[Bill No.],$C209),""))))</f>
        <v/>
      </c>
      <c r="E209" s="219" t="str">
        <f>IF($A209="","",IF($K209="DIESEL",AVERAGEIFS(Table1[RSP],Table1[Customer],$B209,Table1[Date],$A209,Table1[Bill No.],$C209),IF($K209="PETROL",AVERAGEIFS(Table14[RSP],Table14[Customer],$B209,Table14[Date],$A209,Table14[Bill No.],$C209),IF($K209="XtraGreen",AVERAGEIFS(Table146[RSP],Table146[Company],$B209,Table146[Date],$A209,Table146[Bill No.],$C209),IFERROR($F209/$D209,"")))))</f>
        <v/>
      </c>
      <c r="F209" s="330" t="str">
        <f>IF($A209="","",IF($K209="DIESEL",SUMIFS(Table1[Amount],Table1[Customer],$B209,Table1[Date],$A209,Table1[Bill No.],$C209),IF($K209="PETROL",SUMIFS(Table14[Amount],Table14[Customer],$B209,Table14[Date],$A209,Table14[Bill No.],$C209),IF($K209="XtraGreen",SUMIFS(Table146[Amount],Table146[Company],$B209,Table146[Date],$A209,Table146[Bill No.],$C209),SUMIFS('Other Sale'!$D:$D,'Other Sale'!$E:$E,$B209,'Other Sale'!$C:$C,$K209,'Other Sale'!$A:$A,$A209)))))</f>
        <v/>
      </c>
      <c r="G209" s="330" t="str" cm="1">
        <f t="array" ref="G209">IF($A209="","",IF($K209="Payment",IFERROR(INDEX(_xlfn._xlws.FILTER(MasterPaid[Amount Paid],(MasterPaid[Customer]=$B209)*(MasterPaid[Date]=$A209)),COUNTIFS($A$6:$A209,$A209,$B$6:$B209,$B209,$K$6:$K209,"Payment")),0),0))</f>
        <v/>
      </c>
      <c r="H209" s="331"/>
      <c r="I209" s="331"/>
      <c r="J209" s="330" t="str">
        <f t="shared" si="3"/>
        <v/>
      </c>
      <c r="K209" s="289" t="str" cm="1">
        <f t="array" ref="K209">IFERROR(INDEX(_xlfn.ANCHORARRAY($Q$6),ROW()-5,4),"")</f>
        <v/>
      </c>
      <c r="L209" s="290"/>
      <c r="U209">
        <f>IF(OR($A209="",$F209=""),0,MAX(0,MIN($F209,SUMIFS($F$6:$F209,$B$6:$B209,$B209)-(SUMIFS($G$6:$G$355,$B$6:$B$355,$B209)+SUMIFS($H$6:$H$355,$B$6:$B$355,$B209)+SUMIFS($I$6:$I$355,$B$6:$B$355,$B209)))))</f>
        <v>0</v>
      </c>
    </row>
    <row r="210" spans="1:21" ht="23" x14ac:dyDescent="0.25">
      <c r="A210" s="217" t="str" cm="1">
        <f t="array" ref="A210">IFERROR(INDEX(_xlfn.ANCHORARRAY($Q$6),ROW()-5,1),"")</f>
        <v/>
      </c>
      <c r="B210" s="288" t="str" cm="1">
        <f t="array" ref="B210">IFERROR(INDEX(_xlfn.ANCHORARRAY($Q$6),ROW()-5,2),"")</f>
        <v/>
      </c>
      <c r="C210" s="289" t="str" cm="1">
        <f t="array" ref="C210">IFERROR(INDEX(_xlfn.ANCHORARRAY($Q$6),ROW()-5,3),"")</f>
        <v/>
      </c>
      <c r="D210" s="218" t="str">
        <f>IF($A210="","",IF($K210="DIESEL",SUMIFS(Table1[Quantity],Table1[Customer],$B210,Table1[Date],$A210,Table1[Bill No.],$C210),IF($K210="PETROL",SUMIFS(Table14[Quantity],Table14[Customer],$B210,Table14[Date],$A210,Table14[Bill No.],$C210),IF($K210="XtraGreen",SUMIFS(Table146[Quantity],Table146[Company],$B210,Table146[Date],$A210,Table146[Bill No.],$C210),""))))</f>
        <v/>
      </c>
      <c r="E210" s="219" t="str">
        <f>IF($A210="","",IF($K210="DIESEL",AVERAGEIFS(Table1[RSP],Table1[Customer],$B210,Table1[Date],$A210,Table1[Bill No.],$C210),IF($K210="PETROL",AVERAGEIFS(Table14[RSP],Table14[Customer],$B210,Table14[Date],$A210,Table14[Bill No.],$C210),IF($K210="XtraGreen",AVERAGEIFS(Table146[RSP],Table146[Company],$B210,Table146[Date],$A210,Table146[Bill No.],$C210),IFERROR($F210/$D210,"")))))</f>
        <v/>
      </c>
      <c r="F210" s="330" t="str">
        <f>IF($A210="","",IF($K210="DIESEL",SUMIFS(Table1[Amount],Table1[Customer],$B210,Table1[Date],$A210,Table1[Bill No.],$C210),IF($K210="PETROL",SUMIFS(Table14[Amount],Table14[Customer],$B210,Table14[Date],$A210,Table14[Bill No.],$C210),IF($K210="XtraGreen",SUMIFS(Table146[Amount],Table146[Company],$B210,Table146[Date],$A210,Table146[Bill No.],$C210),SUMIFS('Other Sale'!$D:$D,'Other Sale'!$E:$E,$B210,'Other Sale'!$C:$C,$K210,'Other Sale'!$A:$A,$A210)))))</f>
        <v/>
      </c>
      <c r="G210" s="330" t="str" cm="1">
        <f t="array" ref="G210">IF($A210="","",IF($K210="Payment",IFERROR(INDEX(_xlfn._xlws.FILTER(MasterPaid[Amount Paid],(MasterPaid[Customer]=$B210)*(MasterPaid[Date]=$A210)),COUNTIFS($A$6:$A210,$A210,$B$6:$B210,$B210,$K$6:$K210,"Payment")),0),0))</f>
        <v/>
      </c>
      <c r="H210" s="331"/>
      <c r="I210" s="331"/>
      <c r="J210" s="330" t="str">
        <f t="shared" si="3"/>
        <v/>
      </c>
      <c r="K210" s="289" t="str" cm="1">
        <f t="array" ref="K210">IFERROR(INDEX(_xlfn.ANCHORARRAY($Q$6),ROW()-5,4),"")</f>
        <v/>
      </c>
      <c r="L210" s="290"/>
      <c r="U210">
        <f>IF(OR($A210="",$F210=""),0,MAX(0,MIN($F210,SUMIFS($F$6:$F210,$B$6:$B210,$B210)-(SUMIFS($G$6:$G$355,$B$6:$B$355,$B210)+SUMIFS($H$6:$H$355,$B$6:$B$355,$B210)+SUMIFS($I$6:$I$355,$B$6:$B$355,$B210)))))</f>
        <v>0</v>
      </c>
    </row>
    <row r="211" spans="1:21" ht="23" x14ac:dyDescent="0.25">
      <c r="A211" s="217" t="str" cm="1">
        <f t="array" ref="A211">IFERROR(INDEX(_xlfn.ANCHORARRAY($Q$6),ROW()-5,1),"")</f>
        <v/>
      </c>
      <c r="B211" s="288" t="str" cm="1">
        <f t="array" ref="B211">IFERROR(INDEX(_xlfn.ANCHORARRAY($Q$6),ROW()-5,2),"")</f>
        <v/>
      </c>
      <c r="C211" s="289" t="str" cm="1">
        <f t="array" ref="C211">IFERROR(INDEX(_xlfn.ANCHORARRAY($Q$6),ROW()-5,3),"")</f>
        <v/>
      </c>
      <c r="D211" s="218" t="str">
        <f>IF($A211="","",IF($K211="DIESEL",SUMIFS(Table1[Quantity],Table1[Customer],$B211,Table1[Date],$A211,Table1[Bill No.],$C211),IF($K211="PETROL",SUMIFS(Table14[Quantity],Table14[Customer],$B211,Table14[Date],$A211,Table14[Bill No.],$C211),IF($K211="XtraGreen",SUMIFS(Table146[Quantity],Table146[Company],$B211,Table146[Date],$A211,Table146[Bill No.],$C211),""))))</f>
        <v/>
      </c>
      <c r="E211" s="219" t="str">
        <f>IF($A211="","",IF($K211="DIESEL",AVERAGEIFS(Table1[RSP],Table1[Customer],$B211,Table1[Date],$A211,Table1[Bill No.],$C211),IF($K211="PETROL",AVERAGEIFS(Table14[RSP],Table14[Customer],$B211,Table14[Date],$A211,Table14[Bill No.],$C211),IF($K211="XtraGreen",AVERAGEIFS(Table146[RSP],Table146[Company],$B211,Table146[Date],$A211,Table146[Bill No.],$C211),IFERROR($F211/$D211,"")))))</f>
        <v/>
      </c>
      <c r="F211" s="330" t="str">
        <f>IF($A211="","",IF($K211="DIESEL",SUMIFS(Table1[Amount],Table1[Customer],$B211,Table1[Date],$A211,Table1[Bill No.],$C211),IF($K211="PETROL",SUMIFS(Table14[Amount],Table14[Customer],$B211,Table14[Date],$A211,Table14[Bill No.],$C211),IF($K211="XtraGreen",SUMIFS(Table146[Amount],Table146[Company],$B211,Table146[Date],$A211,Table146[Bill No.],$C211),SUMIFS('Other Sale'!$D:$D,'Other Sale'!$E:$E,$B211,'Other Sale'!$C:$C,$K211,'Other Sale'!$A:$A,$A211)))))</f>
        <v/>
      </c>
      <c r="G211" s="330" t="str" cm="1">
        <f t="array" ref="G211">IF($A211="","",IF($K211="Payment",IFERROR(INDEX(_xlfn._xlws.FILTER(MasterPaid[Amount Paid],(MasterPaid[Customer]=$B211)*(MasterPaid[Date]=$A211)),COUNTIFS($A$6:$A211,$A211,$B$6:$B211,$B211,$K$6:$K211,"Payment")),0),0))</f>
        <v/>
      </c>
      <c r="H211" s="331"/>
      <c r="I211" s="331"/>
      <c r="J211" s="330" t="str">
        <f t="shared" si="3"/>
        <v/>
      </c>
      <c r="K211" s="289" t="str" cm="1">
        <f t="array" ref="K211">IFERROR(INDEX(_xlfn.ANCHORARRAY($Q$6),ROW()-5,4),"")</f>
        <v/>
      </c>
      <c r="L211" s="290"/>
      <c r="U211">
        <f>IF(OR($A211="",$F211=""),0,MAX(0,MIN($F211,SUMIFS($F$6:$F211,$B$6:$B211,$B211)-(SUMIFS($G$6:$G$355,$B$6:$B$355,$B211)+SUMIFS($H$6:$H$355,$B$6:$B$355,$B211)+SUMIFS($I$6:$I$355,$B$6:$B$355,$B211)))))</f>
        <v>0</v>
      </c>
    </row>
    <row r="212" spans="1:21" ht="23" x14ac:dyDescent="0.25">
      <c r="A212" s="217" t="str" cm="1">
        <f t="array" ref="A212">IFERROR(INDEX(_xlfn.ANCHORARRAY($Q$6),ROW()-5,1),"")</f>
        <v/>
      </c>
      <c r="B212" s="288" t="str" cm="1">
        <f t="array" ref="B212">IFERROR(INDEX(_xlfn.ANCHORARRAY($Q$6),ROW()-5,2),"")</f>
        <v/>
      </c>
      <c r="C212" s="289" t="str" cm="1">
        <f t="array" ref="C212">IFERROR(INDEX(_xlfn.ANCHORARRAY($Q$6),ROW()-5,3),"")</f>
        <v/>
      </c>
      <c r="D212" s="218" t="str">
        <f>IF($A212="","",IF($K212="DIESEL",SUMIFS(Table1[Quantity],Table1[Customer],$B212,Table1[Date],$A212,Table1[Bill No.],$C212),IF($K212="PETROL",SUMIFS(Table14[Quantity],Table14[Customer],$B212,Table14[Date],$A212,Table14[Bill No.],$C212),IF($K212="XtraGreen",SUMIFS(Table146[Quantity],Table146[Company],$B212,Table146[Date],$A212,Table146[Bill No.],$C212),""))))</f>
        <v/>
      </c>
      <c r="E212" s="219" t="str">
        <f>IF($A212="","",IF($K212="DIESEL",AVERAGEIFS(Table1[RSP],Table1[Customer],$B212,Table1[Date],$A212,Table1[Bill No.],$C212),IF($K212="PETROL",AVERAGEIFS(Table14[RSP],Table14[Customer],$B212,Table14[Date],$A212,Table14[Bill No.],$C212),IF($K212="XtraGreen",AVERAGEIFS(Table146[RSP],Table146[Company],$B212,Table146[Date],$A212,Table146[Bill No.],$C212),IFERROR($F212/$D212,"")))))</f>
        <v/>
      </c>
      <c r="F212" s="330" t="str">
        <f>IF($A212="","",IF($K212="DIESEL",SUMIFS(Table1[Amount],Table1[Customer],$B212,Table1[Date],$A212,Table1[Bill No.],$C212),IF($K212="PETROL",SUMIFS(Table14[Amount],Table14[Customer],$B212,Table14[Date],$A212,Table14[Bill No.],$C212),IF($K212="XtraGreen",SUMIFS(Table146[Amount],Table146[Company],$B212,Table146[Date],$A212,Table146[Bill No.],$C212),SUMIFS('Other Sale'!$D:$D,'Other Sale'!$E:$E,$B212,'Other Sale'!$C:$C,$K212,'Other Sale'!$A:$A,$A212)))))</f>
        <v/>
      </c>
      <c r="G212" s="330" t="str" cm="1">
        <f t="array" ref="G212">IF($A212="","",IF($K212="Payment",IFERROR(INDEX(_xlfn._xlws.FILTER(MasterPaid[Amount Paid],(MasterPaid[Customer]=$B212)*(MasterPaid[Date]=$A212)),COUNTIFS($A$6:$A212,$A212,$B$6:$B212,$B212,$K$6:$K212,"Payment")),0),0))</f>
        <v/>
      </c>
      <c r="H212" s="331"/>
      <c r="I212" s="331"/>
      <c r="J212" s="330" t="str">
        <f t="shared" si="3"/>
        <v/>
      </c>
      <c r="K212" s="289" t="str" cm="1">
        <f t="array" ref="K212">IFERROR(INDEX(_xlfn.ANCHORARRAY($Q$6),ROW()-5,4),"")</f>
        <v/>
      </c>
      <c r="L212" s="290"/>
      <c r="U212">
        <f>IF(OR($A212="",$F212=""),0,MAX(0,MIN($F212,SUMIFS($F$6:$F212,$B$6:$B212,$B212)-(SUMIFS($G$6:$G$355,$B$6:$B$355,$B212)+SUMIFS($H$6:$H$355,$B$6:$B$355,$B212)+SUMIFS($I$6:$I$355,$B$6:$B$355,$B212)))))</f>
        <v>0</v>
      </c>
    </row>
    <row r="213" spans="1:21" ht="23" x14ac:dyDescent="0.25">
      <c r="A213" s="217" t="str" cm="1">
        <f t="array" ref="A213">IFERROR(INDEX(_xlfn.ANCHORARRAY($Q$6),ROW()-5,1),"")</f>
        <v/>
      </c>
      <c r="B213" s="288" t="str" cm="1">
        <f t="array" ref="B213">IFERROR(INDEX(_xlfn.ANCHORARRAY($Q$6),ROW()-5,2),"")</f>
        <v/>
      </c>
      <c r="C213" s="289" t="str" cm="1">
        <f t="array" ref="C213">IFERROR(INDEX(_xlfn.ANCHORARRAY($Q$6),ROW()-5,3),"")</f>
        <v/>
      </c>
      <c r="D213" s="218" t="str">
        <f>IF($A213="","",IF($K213="DIESEL",SUMIFS(Table1[Quantity],Table1[Customer],$B213,Table1[Date],$A213,Table1[Bill No.],$C213),IF($K213="PETROL",SUMIFS(Table14[Quantity],Table14[Customer],$B213,Table14[Date],$A213,Table14[Bill No.],$C213),IF($K213="XtraGreen",SUMIFS(Table146[Quantity],Table146[Company],$B213,Table146[Date],$A213,Table146[Bill No.],$C213),""))))</f>
        <v/>
      </c>
      <c r="E213" s="219" t="str">
        <f>IF($A213="","",IF($K213="DIESEL",AVERAGEIFS(Table1[RSP],Table1[Customer],$B213,Table1[Date],$A213,Table1[Bill No.],$C213),IF($K213="PETROL",AVERAGEIFS(Table14[RSP],Table14[Customer],$B213,Table14[Date],$A213,Table14[Bill No.],$C213),IF($K213="XtraGreen",AVERAGEIFS(Table146[RSP],Table146[Company],$B213,Table146[Date],$A213,Table146[Bill No.],$C213),IFERROR($F213/$D213,"")))))</f>
        <v/>
      </c>
      <c r="F213" s="330" t="str">
        <f>IF($A213="","",IF($K213="DIESEL",SUMIFS(Table1[Amount],Table1[Customer],$B213,Table1[Date],$A213,Table1[Bill No.],$C213),IF($K213="PETROL",SUMIFS(Table14[Amount],Table14[Customer],$B213,Table14[Date],$A213,Table14[Bill No.],$C213),IF($K213="XtraGreen",SUMIFS(Table146[Amount],Table146[Company],$B213,Table146[Date],$A213,Table146[Bill No.],$C213),SUMIFS('Other Sale'!$D:$D,'Other Sale'!$E:$E,$B213,'Other Sale'!$C:$C,$K213,'Other Sale'!$A:$A,$A213)))))</f>
        <v/>
      </c>
      <c r="G213" s="330" t="str" cm="1">
        <f t="array" ref="G213">IF($A213="","",IF($K213="Payment",IFERROR(INDEX(_xlfn._xlws.FILTER(MasterPaid[Amount Paid],(MasterPaid[Customer]=$B213)*(MasterPaid[Date]=$A213)),COUNTIFS($A$6:$A213,$A213,$B$6:$B213,$B213,$K$6:$K213,"Payment")),0),0))</f>
        <v/>
      </c>
      <c r="H213" s="331"/>
      <c r="I213" s="331"/>
      <c r="J213" s="330" t="str">
        <f t="shared" si="3"/>
        <v/>
      </c>
      <c r="K213" s="289" t="str" cm="1">
        <f t="array" ref="K213">IFERROR(INDEX(_xlfn.ANCHORARRAY($Q$6),ROW()-5,4),"")</f>
        <v/>
      </c>
      <c r="L213" s="290"/>
      <c r="U213">
        <f>IF(OR($A213="",$F213=""),0,MAX(0,MIN($F213,SUMIFS($F$6:$F213,$B$6:$B213,$B213)-(SUMIFS($G$6:$G$355,$B$6:$B$355,$B213)+SUMIFS($H$6:$H$355,$B$6:$B$355,$B213)+SUMIFS($I$6:$I$355,$B$6:$B$355,$B213)))))</f>
        <v>0</v>
      </c>
    </row>
    <row r="214" spans="1:21" ht="23" x14ac:dyDescent="0.25">
      <c r="A214" s="217" t="str" cm="1">
        <f t="array" ref="A214">IFERROR(INDEX(_xlfn.ANCHORARRAY($Q$6),ROW()-5,1),"")</f>
        <v/>
      </c>
      <c r="B214" s="288" t="str" cm="1">
        <f t="array" ref="B214">IFERROR(INDEX(_xlfn.ANCHORARRAY($Q$6),ROW()-5,2),"")</f>
        <v/>
      </c>
      <c r="C214" s="289" t="str" cm="1">
        <f t="array" ref="C214">IFERROR(INDEX(_xlfn.ANCHORARRAY($Q$6),ROW()-5,3),"")</f>
        <v/>
      </c>
      <c r="D214" s="218" t="str">
        <f>IF($A214="","",IF($K214="DIESEL",SUMIFS(Table1[Quantity],Table1[Customer],$B214,Table1[Date],$A214,Table1[Bill No.],$C214),IF($K214="PETROL",SUMIFS(Table14[Quantity],Table14[Customer],$B214,Table14[Date],$A214,Table14[Bill No.],$C214),IF($K214="XtraGreen",SUMIFS(Table146[Quantity],Table146[Company],$B214,Table146[Date],$A214,Table146[Bill No.],$C214),""))))</f>
        <v/>
      </c>
      <c r="E214" s="219" t="str">
        <f>IF($A214="","",IF($K214="DIESEL",AVERAGEIFS(Table1[RSP],Table1[Customer],$B214,Table1[Date],$A214,Table1[Bill No.],$C214),IF($K214="PETROL",AVERAGEIFS(Table14[RSP],Table14[Customer],$B214,Table14[Date],$A214,Table14[Bill No.],$C214),IF($K214="XtraGreen",AVERAGEIFS(Table146[RSP],Table146[Company],$B214,Table146[Date],$A214,Table146[Bill No.],$C214),IFERROR($F214/$D214,"")))))</f>
        <v/>
      </c>
      <c r="F214" s="330" t="str">
        <f>IF($A214="","",IF($K214="DIESEL",SUMIFS(Table1[Amount],Table1[Customer],$B214,Table1[Date],$A214,Table1[Bill No.],$C214),IF($K214="PETROL",SUMIFS(Table14[Amount],Table14[Customer],$B214,Table14[Date],$A214,Table14[Bill No.],$C214),IF($K214="XtraGreen",SUMIFS(Table146[Amount],Table146[Company],$B214,Table146[Date],$A214,Table146[Bill No.],$C214),SUMIFS('Other Sale'!$D:$D,'Other Sale'!$E:$E,$B214,'Other Sale'!$C:$C,$K214,'Other Sale'!$A:$A,$A214)))))</f>
        <v/>
      </c>
      <c r="G214" s="330" t="str" cm="1">
        <f t="array" ref="G214">IF($A214="","",IF($K214="Payment",IFERROR(INDEX(_xlfn._xlws.FILTER(MasterPaid[Amount Paid],(MasterPaid[Customer]=$B214)*(MasterPaid[Date]=$A214)),COUNTIFS($A$6:$A214,$A214,$B$6:$B214,$B214,$K$6:$K214,"Payment")),0),0))</f>
        <v/>
      </c>
      <c r="H214" s="331"/>
      <c r="I214" s="331"/>
      <c r="J214" s="330" t="str">
        <f t="shared" ref="J214:J277" si="4">IF($A214="","",J213+N(F214)-N(G214)-N(H214)-N(I214))</f>
        <v/>
      </c>
      <c r="K214" s="289" t="str" cm="1">
        <f t="array" ref="K214">IFERROR(INDEX(_xlfn.ANCHORARRAY($Q$6),ROW()-5,4),"")</f>
        <v/>
      </c>
      <c r="L214" s="290"/>
      <c r="U214">
        <f>IF(OR($A214="",$F214=""),0,MAX(0,MIN($F214,SUMIFS($F$6:$F214,$B$6:$B214,$B214)-(SUMIFS($G$6:$G$355,$B$6:$B$355,$B214)+SUMIFS($H$6:$H$355,$B$6:$B$355,$B214)+SUMIFS($I$6:$I$355,$B$6:$B$355,$B214)))))</f>
        <v>0</v>
      </c>
    </row>
    <row r="215" spans="1:21" ht="23" x14ac:dyDescent="0.25">
      <c r="A215" s="217" t="str" cm="1">
        <f t="array" ref="A215">IFERROR(INDEX(_xlfn.ANCHORARRAY($Q$6),ROW()-5,1),"")</f>
        <v/>
      </c>
      <c r="B215" s="288" t="str" cm="1">
        <f t="array" ref="B215">IFERROR(INDEX(_xlfn.ANCHORARRAY($Q$6),ROW()-5,2),"")</f>
        <v/>
      </c>
      <c r="C215" s="289" t="str" cm="1">
        <f t="array" ref="C215">IFERROR(INDEX(_xlfn.ANCHORARRAY($Q$6),ROW()-5,3),"")</f>
        <v/>
      </c>
      <c r="D215" s="218" t="str">
        <f>IF($A215="","",IF($K215="DIESEL",SUMIFS(Table1[Quantity],Table1[Customer],$B215,Table1[Date],$A215,Table1[Bill No.],$C215),IF($K215="PETROL",SUMIFS(Table14[Quantity],Table14[Customer],$B215,Table14[Date],$A215,Table14[Bill No.],$C215),IF($K215="XtraGreen",SUMIFS(Table146[Quantity],Table146[Company],$B215,Table146[Date],$A215,Table146[Bill No.],$C215),""))))</f>
        <v/>
      </c>
      <c r="E215" s="219" t="str">
        <f>IF($A215="","",IF($K215="DIESEL",AVERAGEIFS(Table1[RSP],Table1[Customer],$B215,Table1[Date],$A215,Table1[Bill No.],$C215),IF($K215="PETROL",AVERAGEIFS(Table14[RSP],Table14[Customer],$B215,Table14[Date],$A215,Table14[Bill No.],$C215),IF($K215="XtraGreen",AVERAGEIFS(Table146[RSP],Table146[Company],$B215,Table146[Date],$A215,Table146[Bill No.],$C215),IFERROR($F215/$D215,"")))))</f>
        <v/>
      </c>
      <c r="F215" s="330" t="str">
        <f>IF($A215="","",IF($K215="DIESEL",SUMIFS(Table1[Amount],Table1[Customer],$B215,Table1[Date],$A215,Table1[Bill No.],$C215),IF($K215="PETROL",SUMIFS(Table14[Amount],Table14[Customer],$B215,Table14[Date],$A215,Table14[Bill No.],$C215),IF($K215="XtraGreen",SUMIFS(Table146[Amount],Table146[Company],$B215,Table146[Date],$A215,Table146[Bill No.],$C215),SUMIFS('Other Sale'!$D:$D,'Other Sale'!$E:$E,$B215,'Other Sale'!$C:$C,$K215,'Other Sale'!$A:$A,$A215)))))</f>
        <v/>
      </c>
      <c r="G215" s="330" t="str" cm="1">
        <f t="array" ref="G215">IF($A215="","",IF($K215="Payment",IFERROR(INDEX(_xlfn._xlws.FILTER(MasterPaid[Amount Paid],(MasterPaid[Customer]=$B215)*(MasterPaid[Date]=$A215)),COUNTIFS($A$6:$A215,$A215,$B$6:$B215,$B215,$K$6:$K215,"Payment")),0),0))</f>
        <v/>
      </c>
      <c r="H215" s="331"/>
      <c r="I215" s="331"/>
      <c r="J215" s="330" t="str">
        <f t="shared" si="4"/>
        <v/>
      </c>
      <c r="K215" s="289" t="str" cm="1">
        <f t="array" ref="K215">IFERROR(INDEX(_xlfn.ANCHORARRAY($Q$6),ROW()-5,4),"")</f>
        <v/>
      </c>
      <c r="L215" s="290"/>
      <c r="U215">
        <f>IF(OR($A215="",$F215=""),0,MAX(0,MIN($F215,SUMIFS($F$6:$F215,$B$6:$B215,$B215)-(SUMIFS($G$6:$G$355,$B$6:$B$355,$B215)+SUMIFS($H$6:$H$355,$B$6:$B$355,$B215)+SUMIFS($I$6:$I$355,$B$6:$B$355,$B215)))))</f>
        <v>0</v>
      </c>
    </row>
    <row r="216" spans="1:21" ht="23" x14ac:dyDescent="0.25">
      <c r="A216" s="217" t="str" cm="1">
        <f t="array" ref="A216">IFERROR(INDEX(_xlfn.ANCHORARRAY($Q$6),ROW()-5,1),"")</f>
        <v/>
      </c>
      <c r="B216" s="288" t="str" cm="1">
        <f t="array" ref="B216">IFERROR(INDEX(_xlfn.ANCHORARRAY($Q$6),ROW()-5,2),"")</f>
        <v/>
      </c>
      <c r="C216" s="289" t="str" cm="1">
        <f t="array" ref="C216">IFERROR(INDEX(_xlfn.ANCHORARRAY($Q$6),ROW()-5,3),"")</f>
        <v/>
      </c>
      <c r="D216" s="218" t="str">
        <f>IF($A216="","",IF($K216="DIESEL",SUMIFS(Table1[Quantity],Table1[Customer],$B216,Table1[Date],$A216,Table1[Bill No.],$C216),IF($K216="PETROL",SUMIFS(Table14[Quantity],Table14[Customer],$B216,Table14[Date],$A216,Table14[Bill No.],$C216),IF($K216="XtraGreen",SUMIFS(Table146[Quantity],Table146[Company],$B216,Table146[Date],$A216,Table146[Bill No.],$C216),""))))</f>
        <v/>
      </c>
      <c r="E216" s="219" t="str">
        <f>IF($A216="","",IF($K216="DIESEL",AVERAGEIFS(Table1[RSP],Table1[Customer],$B216,Table1[Date],$A216,Table1[Bill No.],$C216),IF($K216="PETROL",AVERAGEIFS(Table14[RSP],Table14[Customer],$B216,Table14[Date],$A216,Table14[Bill No.],$C216),IF($K216="XtraGreen",AVERAGEIFS(Table146[RSP],Table146[Company],$B216,Table146[Date],$A216,Table146[Bill No.],$C216),IFERROR($F216/$D216,"")))))</f>
        <v/>
      </c>
      <c r="F216" s="330" t="str">
        <f>IF($A216="","",IF($K216="DIESEL",SUMIFS(Table1[Amount],Table1[Customer],$B216,Table1[Date],$A216,Table1[Bill No.],$C216),IF($K216="PETROL",SUMIFS(Table14[Amount],Table14[Customer],$B216,Table14[Date],$A216,Table14[Bill No.],$C216),IF($K216="XtraGreen",SUMIFS(Table146[Amount],Table146[Company],$B216,Table146[Date],$A216,Table146[Bill No.],$C216),SUMIFS('Other Sale'!$D:$D,'Other Sale'!$E:$E,$B216,'Other Sale'!$C:$C,$K216,'Other Sale'!$A:$A,$A216)))))</f>
        <v/>
      </c>
      <c r="G216" s="330" t="str" cm="1">
        <f t="array" ref="G216">IF($A216="","",IF($K216="Payment",IFERROR(INDEX(_xlfn._xlws.FILTER(MasterPaid[Amount Paid],(MasterPaid[Customer]=$B216)*(MasterPaid[Date]=$A216)),COUNTIFS($A$6:$A216,$A216,$B$6:$B216,$B216,$K$6:$K216,"Payment")),0),0))</f>
        <v/>
      </c>
      <c r="H216" s="331"/>
      <c r="I216" s="331"/>
      <c r="J216" s="330" t="str">
        <f t="shared" si="4"/>
        <v/>
      </c>
      <c r="K216" s="289" t="str" cm="1">
        <f t="array" ref="K216">IFERROR(INDEX(_xlfn.ANCHORARRAY($Q$6),ROW()-5,4),"")</f>
        <v/>
      </c>
      <c r="L216" s="290"/>
      <c r="U216">
        <f>IF(OR($A216="",$F216=""),0,MAX(0,MIN($F216,SUMIFS($F$6:$F216,$B$6:$B216,$B216)-(SUMIFS($G$6:$G$355,$B$6:$B$355,$B216)+SUMIFS($H$6:$H$355,$B$6:$B$355,$B216)+SUMIFS($I$6:$I$355,$B$6:$B$355,$B216)))))</f>
        <v>0</v>
      </c>
    </row>
    <row r="217" spans="1:21" ht="23" x14ac:dyDescent="0.25">
      <c r="A217" s="217" t="str" cm="1">
        <f t="array" ref="A217">IFERROR(INDEX(_xlfn.ANCHORARRAY($Q$6),ROW()-5,1),"")</f>
        <v/>
      </c>
      <c r="B217" s="288" t="str" cm="1">
        <f t="array" ref="B217">IFERROR(INDEX(_xlfn.ANCHORARRAY($Q$6),ROW()-5,2),"")</f>
        <v/>
      </c>
      <c r="C217" s="289" t="str" cm="1">
        <f t="array" ref="C217">IFERROR(INDEX(_xlfn.ANCHORARRAY($Q$6),ROW()-5,3),"")</f>
        <v/>
      </c>
      <c r="D217" s="218" t="str">
        <f>IF($A217="","",IF($K217="DIESEL",SUMIFS(Table1[Quantity],Table1[Customer],$B217,Table1[Date],$A217,Table1[Bill No.],$C217),IF($K217="PETROL",SUMIFS(Table14[Quantity],Table14[Customer],$B217,Table14[Date],$A217,Table14[Bill No.],$C217),IF($K217="XtraGreen",SUMIFS(Table146[Quantity],Table146[Company],$B217,Table146[Date],$A217,Table146[Bill No.],$C217),""))))</f>
        <v/>
      </c>
      <c r="E217" s="219" t="str">
        <f>IF($A217="","",IF($K217="DIESEL",AVERAGEIFS(Table1[RSP],Table1[Customer],$B217,Table1[Date],$A217,Table1[Bill No.],$C217),IF($K217="PETROL",AVERAGEIFS(Table14[RSP],Table14[Customer],$B217,Table14[Date],$A217,Table14[Bill No.],$C217),IF($K217="XtraGreen",AVERAGEIFS(Table146[RSP],Table146[Company],$B217,Table146[Date],$A217,Table146[Bill No.],$C217),IFERROR($F217/$D217,"")))))</f>
        <v/>
      </c>
      <c r="F217" s="330" t="str">
        <f>IF($A217="","",IF($K217="DIESEL",SUMIFS(Table1[Amount],Table1[Customer],$B217,Table1[Date],$A217,Table1[Bill No.],$C217),IF($K217="PETROL",SUMIFS(Table14[Amount],Table14[Customer],$B217,Table14[Date],$A217,Table14[Bill No.],$C217),IF($K217="XtraGreen",SUMIFS(Table146[Amount],Table146[Company],$B217,Table146[Date],$A217,Table146[Bill No.],$C217),SUMIFS('Other Sale'!$D:$D,'Other Sale'!$E:$E,$B217,'Other Sale'!$C:$C,$K217,'Other Sale'!$A:$A,$A217)))))</f>
        <v/>
      </c>
      <c r="G217" s="330" t="str" cm="1">
        <f t="array" ref="G217">IF($A217="","",IF($K217="Payment",IFERROR(INDEX(_xlfn._xlws.FILTER(MasterPaid[Amount Paid],(MasterPaid[Customer]=$B217)*(MasterPaid[Date]=$A217)),COUNTIFS($A$6:$A217,$A217,$B$6:$B217,$B217,$K$6:$K217,"Payment")),0),0))</f>
        <v/>
      </c>
      <c r="H217" s="331"/>
      <c r="I217" s="331"/>
      <c r="J217" s="330" t="str">
        <f t="shared" si="4"/>
        <v/>
      </c>
      <c r="K217" s="289" t="str" cm="1">
        <f t="array" ref="K217">IFERROR(INDEX(_xlfn.ANCHORARRAY($Q$6),ROW()-5,4),"")</f>
        <v/>
      </c>
      <c r="L217" s="290"/>
      <c r="U217">
        <f>IF(OR($A217="",$F217=""),0,MAX(0,MIN($F217,SUMIFS($F$6:$F217,$B$6:$B217,$B217)-(SUMIFS($G$6:$G$355,$B$6:$B$355,$B217)+SUMIFS($H$6:$H$355,$B$6:$B$355,$B217)+SUMIFS($I$6:$I$355,$B$6:$B$355,$B217)))))</f>
        <v>0</v>
      </c>
    </row>
    <row r="218" spans="1:21" ht="23" x14ac:dyDescent="0.25">
      <c r="A218" s="217" t="str" cm="1">
        <f t="array" ref="A218">IFERROR(INDEX(_xlfn.ANCHORARRAY($Q$6),ROW()-5,1),"")</f>
        <v/>
      </c>
      <c r="B218" s="288" t="str" cm="1">
        <f t="array" ref="B218">IFERROR(INDEX(_xlfn.ANCHORARRAY($Q$6),ROW()-5,2),"")</f>
        <v/>
      </c>
      <c r="C218" s="289" t="str" cm="1">
        <f t="array" ref="C218">IFERROR(INDEX(_xlfn.ANCHORARRAY($Q$6),ROW()-5,3),"")</f>
        <v/>
      </c>
      <c r="D218" s="218" t="str">
        <f>IF($A218="","",IF($K218="DIESEL",SUMIFS(Table1[Quantity],Table1[Customer],$B218,Table1[Date],$A218,Table1[Bill No.],$C218),IF($K218="PETROL",SUMIFS(Table14[Quantity],Table14[Customer],$B218,Table14[Date],$A218,Table14[Bill No.],$C218),IF($K218="XtraGreen",SUMIFS(Table146[Quantity],Table146[Company],$B218,Table146[Date],$A218,Table146[Bill No.],$C218),""))))</f>
        <v/>
      </c>
      <c r="E218" s="219" t="str">
        <f>IF($A218="","",IF($K218="DIESEL",AVERAGEIFS(Table1[RSP],Table1[Customer],$B218,Table1[Date],$A218,Table1[Bill No.],$C218),IF($K218="PETROL",AVERAGEIFS(Table14[RSP],Table14[Customer],$B218,Table14[Date],$A218,Table14[Bill No.],$C218),IF($K218="XtraGreen",AVERAGEIFS(Table146[RSP],Table146[Company],$B218,Table146[Date],$A218,Table146[Bill No.],$C218),IFERROR($F218/$D218,"")))))</f>
        <v/>
      </c>
      <c r="F218" s="330" t="str">
        <f>IF($A218="","",IF($K218="DIESEL",SUMIFS(Table1[Amount],Table1[Customer],$B218,Table1[Date],$A218,Table1[Bill No.],$C218),IF($K218="PETROL",SUMIFS(Table14[Amount],Table14[Customer],$B218,Table14[Date],$A218,Table14[Bill No.],$C218),IF($K218="XtraGreen",SUMIFS(Table146[Amount],Table146[Company],$B218,Table146[Date],$A218,Table146[Bill No.],$C218),SUMIFS('Other Sale'!$D:$D,'Other Sale'!$E:$E,$B218,'Other Sale'!$C:$C,$K218,'Other Sale'!$A:$A,$A218)))))</f>
        <v/>
      </c>
      <c r="G218" s="330" t="str" cm="1">
        <f t="array" ref="G218">IF($A218="","",IF($K218="Payment",IFERROR(INDEX(_xlfn._xlws.FILTER(MasterPaid[Amount Paid],(MasterPaid[Customer]=$B218)*(MasterPaid[Date]=$A218)),COUNTIFS($A$6:$A218,$A218,$B$6:$B218,$B218,$K$6:$K218,"Payment")),0),0))</f>
        <v/>
      </c>
      <c r="H218" s="331"/>
      <c r="I218" s="331"/>
      <c r="J218" s="330" t="str">
        <f t="shared" si="4"/>
        <v/>
      </c>
      <c r="K218" s="289" t="str" cm="1">
        <f t="array" ref="K218">IFERROR(INDEX(_xlfn.ANCHORARRAY($Q$6),ROW()-5,4),"")</f>
        <v/>
      </c>
      <c r="L218" s="290"/>
      <c r="U218">
        <f>IF(OR($A218="",$F218=""),0,MAX(0,MIN($F218,SUMIFS($F$6:$F218,$B$6:$B218,$B218)-(SUMIFS($G$6:$G$355,$B$6:$B$355,$B218)+SUMIFS($H$6:$H$355,$B$6:$B$355,$B218)+SUMIFS($I$6:$I$355,$B$6:$B$355,$B218)))))</f>
        <v>0</v>
      </c>
    </row>
    <row r="219" spans="1:21" ht="23" x14ac:dyDescent="0.25">
      <c r="A219" s="217" t="str" cm="1">
        <f t="array" ref="A219">IFERROR(INDEX(_xlfn.ANCHORARRAY($Q$6),ROW()-5,1),"")</f>
        <v/>
      </c>
      <c r="B219" s="288" t="str" cm="1">
        <f t="array" ref="B219">IFERROR(INDEX(_xlfn.ANCHORARRAY($Q$6),ROW()-5,2),"")</f>
        <v/>
      </c>
      <c r="C219" s="289" t="str" cm="1">
        <f t="array" ref="C219">IFERROR(INDEX(_xlfn.ANCHORARRAY($Q$6),ROW()-5,3),"")</f>
        <v/>
      </c>
      <c r="D219" s="218" t="str">
        <f>IF($A219="","",IF($K219="DIESEL",SUMIFS(Table1[Quantity],Table1[Customer],$B219,Table1[Date],$A219,Table1[Bill No.],$C219),IF($K219="PETROL",SUMIFS(Table14[Quantity],Table14[Customer],$B219,Table14[Date],$A219,Table14[Bill No.],$C219),IF($K219="XtraGreen",SUMIFS(Table146[Quantity],Table146[Company],$B219,Table146[Date],$A219,Table146[Bill No.],$C219),""))))</f>
        <v/>
      </c>
      <c r="E219" s="219" t="str">
        <f>IF($A219="","",IF($K219="DIESEL",AVERAGEIFS(Table1[RSP],Table1[Customer],$B219,Table1[Date],$A219,Table1[Bill No.],$C219),IF($K219="PETROL",AVERAGEIFS(Table14[RSP],Table14[Customer],$B219,Table14[Date],$A219,Table14[Bill No.],$C219),IF($K219="XtraGreen",AVERAGEIFS(Table146[RSP],Table146[Company],$B219,Table146[Date],$A219,Table146[Bill No.],$C219),IFERROR($F219/$D219,"")))))</f>
        <v/>
      </c>
      <c r="F219" s="330" t="str">
        <f>IF($A219="","",IF($K219="DIESEL",SUMIFS(Table1[Amount],Table1[Customer],$B219,Table1[Date],$A219,Table1[Bill No.],$C219),IF($K219="PETROL",SUMIFS(Table14[Amount],Table14[Customer],$B219,Table14[Date],$A219,Table14[Bill No.],$C219),IF($K219="XtraGreen",SUMIFS(Table146[Amount],Table146[Company],$B219,Table146[Date],$A219,Table146[Bill No.],$C219),SUMIFS('Other Sale'!$D:$D,'Other Sale'!$E:$E,$B219,'Other Sale'!$C:$C,$K219,'Other Sale'!$A:$A,$A219)))))</f>
        <v/>
      </c>
      <c r="G219" s="330" t="str" cm="1">
        <f t="array" ref="G219">IF($A219="","",IF($K219="Payment",IFERROR(INDEX(_xlfn._xlws.FILTER(MasterPaid[Amount Paid],(MasterPaid[Customer]=$B219)*(MasterPaid[Date]=$A219)),COUNTIFS($A$6:$A219,$A219,$B$6:$B219,$B219,$K$6:$K219,"Payment")),0),0))</f>
        <v/>
      </c>
      <c r="H219" s="331"/>
      <c r="I219" s="331"/>
      <c r="J219" s="330" t="str">
        <f t="shared" si="4"/>
        <v/>
      </c>
      <c r="K219" s="289" t="str" cm="1">
        <f t="array" ref="K219">IFERROR(INDEX(_xlfn.ANCHORARRAY($Q$6),ROW()-5,4),"")</f>
        <v/>
      </c>
      <c r="L219" s="290"/>
      <c r="U219">
        <f>IF(OR($A219="",$F219=""),0,MAX(0,MIN($F219,SUMIFS($F$6:$F219,$B$6:$B219,$B219)-(SUMIFS($G$6:$G$355,$B$6:$B$355,$B219)+SUMIFS($H$6:$H$355,$B$6:$B$355,$B219)+SUMIFS($I$6:$I$355,$B$6:$B$355,$B219)))))</f>
        <v>0</v>
      </c>
    </row>
    <row r="220" spans="1:21" ht="23" x14ac:dyDescent="0.25">
      <c r="A220" s="217" t="str" cm="1">
        <f t="array" ref="A220">IFERROR(INDEX(_xlfn.ANCHORARRAY($Q$6),ROW()-5,1),"")</f>
        <v/>
      </c>
      <c r="B220" s="288" t="str" cm="1">
        <f t="array" ref="B220">IFERROR(INDEX(_xlfn.ANCHORARRAY($Q$6),ROW()-5,2),"")</f>
        <v/>
      </c>
      <c r="C220" s="289" t="str" cm="1">
        <f t="array" ref="C220">IFERROR(INDEX(_xlfn.ANCHORARRAY($Q$6),ROW()-5,3),"")</f>
        <v/>
      </c>
      <c r="D220" s="218" t="str">
        <f>IF($A220="","",IF($K220="DIESEL",SUMIFS(Table1[Quantity],Table1[Customer],$B220,Table1[Date],$A220,Table1[Bill No.],$C220),IF($K220="PETROL",SUMIFS(Table14[Quantity],Table14[Customer],$B220,Table14[Date],$A220,Table14[Bill No.],$C220),IF($K220="XtraGreen",SUMIFS(Table146[Quantity],Table146[Company],$B220,Table146[Date],$A220,Table146[Bill No.],$C220),""))))</f>
        <v/>
      </c>
      <c r="E220" s="219" t="str">
        <f>IF($A220="","",IF($K220="DIESEL",AVERAGEIFS(Table1[RSP],Table1[Customer],$B220,Table1[Date],$A220,Table1[Bill No.],$C220),IF($K220="PETROL",AVERAGEIFS(Table14[RSP],Table14[Customer],$B220,Table14[Date],$A220,Table14[Bill No.],$C220),IF($K220="XtraGreen",AVERAGEIFS(Table146[RSP],Table146[Company],$B220,Table146[Date],$A220,Table146[Bill No.],$C220),IFERROR($F220/$D220,"")))))</f>
        <v/>
      </c>
      <c r="F220" s="330" t="str">
        <f>IF($A220="","",IF($K220="DIESEL",SUMIFS(Table1[Amount],Table1[Customer],$B220,Table1[Date],$A220,Table1[Bill No.],$C220),IF($K220="PETROL",SUMIFS(Table14[Amount],Table14[Customer],$B220,Table14[Date],$A220,Table14[Bill No.],$C220),IF($K220="XtraGreen",SUMIFS(Table146[Amount],Table146[Company],$B220,Table146[Date],$A220,Table146[Bill No.],$C220),SUMIFS('Other Sale'!$D:$D,'Other Sale'!$E:$E,$B220,'Other Sale'!$C:$C,$K220,'Other Sale'!$A:$A,$A220)))))</f>
        <v/>
      </c>
      <c r="G220" s="330" t="str" cm="1">
        <f t="array" ref="G220">IF($A220="","",IF($K220="Payment",IFERROR(INDEX(_xlfn._xlws.FILTER(MasterPaid[Amount Paid],(MasterPaid[Customer]=$B220)*(MasterPaid[Date]=$A220)),COUNTIFS($A$6:$A220,$A220,$B$6:$B220,$B220,$K$6:$K220,"Payment")),0),0))</f>
        <v/>
      </c>
      <c r="H220" s="331"/>
      <c r="I220" s="331"/>
      <c r="J220" s="330" t="str">
        <f t="shared" si="4"/>
        <v/>
      </c>
      <c r="K220" s="289" t="str" cm="1">
        <f t="array" ref="K220">IFERROR(INDEX(_xlfn.ANCHORARRAY($Q$6),ROW()-5,4),"")</f>
        <v/>
      </c>
      <c r="L220" s="290"/>
      <c r="U220">
        <f>IF(OR($A220="",$F220=""),0,MAX(0,MIN($F220,SUMIFS($F$6:$F220,$B$6:$B220,$B220)-(SUMIFS($G$6:$G$355,$B$6:$B$355,$B220)+SUMIFS($H$6:$H$355,$B$6:$B$355,$B220)+SUMIFS($I$6:$I$355,$B$6:$B$355,$B220)))))</f>
        <v>0</v>
      </c>
    </row>
    <row r="221" spans="1:21" ht="23" x14ac:dyDescent="0.25">
      <c r="A221" s="217" t="str" cm="1">
        <f t="array" ref="A221">IFERROR(INDEX(_xlfn.ANCHORARRAY($Q$6),ROW()-5,1),"")</f>
        <v/>
      </c>
      <c r="B221" s="288" t="str" cm="1">
        <f t="array" ref="B221">IFERROR(INDEX(_xlfn.ANCHORARRAY($Q$6),ROW()-5,2),"")</f>
        <v/>
      </c>
      <c r="C221" s="289" t="str" cm="1">
        <f t="array" ref="C221">IFERROR(INDEX(_xlfn.ANCHORARRAY($Q$6),ROW()-5,3),"")</f>
        <v/>
      </c>
      <c r="D221" s="218" t="str">
        <f>IF($A221="","",IF($K221="DIESEL",SUMIFS(Table1[Quantity],Table1[Customer],$B221,Table1[Date],$A221,Table1[Bill No.],$C221),IF($K221="PETROL",SUMIFS(Table14[Quantity],Table14[Customer],$B221,Table14[Date],$A221,Table14[Bill No.],$C221),IF($K221="XtraGreen",SUMIFS(Table146[Quantity],Table146[Company],$B221,Table146[Date],$A221,Table146[Bill No.],$C221),""))))</f>
        <v/>
      </c>
      <c r="E221" s="219" t="str">
        <f>IF($A221="","",IF($K221="DIESEL",AVERAGEIFS(Table1[RSP],Table1[Customer],$B221,Table1[Date],$A221,Table1[Bill No.],$C221),IF($K221="PETROL",AVERAGEIFS(Table14[RSP],Table14[Customer],$B221,Table14[Date],$A221,Table14[Bill No.],$C221),IF($K221="XtraGreen",AVERAGEIFS(Table146[RSP],Table146[Company],$B221,Table146[Date],$A221,Table146[Bill No.],$C221),IFERROR($F221/$D221,"")))))</f>
        <v/>
      </c>
      <c r="F221" s="330" t="str">
        <f>IF($A221="","",IF($K221="DIESEL",SUMIFS(Table1[Amount],Table1[Customer],$B221,Table1[Date],$A221,Table1[Bill No.],$C221),IF($K221="PETROL",SUMIFS(Table14[Amount],Table14[Customer],$B221,Table14[Date],$A221,Table14[Bill No.],$C221),IF($K221="XtraGreen",SUMIFS(Table146[Amount],Table146[Company],$B221,Table146[Date],$A221,Table146[Bill No.],$C221),SUMIFS('Other Sale'!$D:$D,'Other Sale'!$E:$E,$B221,'Other Sale'!$C:$C,$K221,'Other Sale'!$A:$A,$A221)))))</f>
        <v/>
      </c>
      <c r="G221" s="330" t="str" cm="1">
        <f t="array" ref="G221">IF($A221="","",IF($K221="Payment",IFERROR(INDEX(_xlfn._xlws.FILTER(MasterPaid[Amount Paid],(MasterPaid[Customer]=$B221)*(MasterPaid[Date]=$A221)),COUNTIFS($A$6:$A221,$A221,$B$6:$B221,$B221,$K$6:$K221,"Payment")),0),0))</f>
        <v/>
      </c>
      <c r="H221" s="331"/>
      <c r="I221" s="331"/>
      <c r="J221" s="330" t="str">
        <f t="shared" si="4"/>
        <v/>
      </c>
      <c r="K221" s="289" t="str" cm="1">
        <f t="array" ref="K221">IFERROR(INDEX(_xlfn.ANCHORARRAY($Q$6),ROW()-5,4),"")</f>
        <v/>
      </c>
      <c r="L221" s="290"/>
      <c r="U221">
        <f>IF(OR($A221="",$F221=""),0,MAX(0,MIN($F221,SUMIFS($F$6:$F221,$B$6:$B221,$B221)-(SUMIFS($G$6:$G$355,$B$6:$B$355,$B221)+SUMIFS($H$6:$H$355,$B$6:$B$355,$B221)+SUMIFS($I$6:$I$355,$B$6:$B$355,$B221)))))</f>
        <v>0</v>
      </c>
    </row>
    <row r="222" spans="1:21" ht="23" x14ac:dyDescent="0.25">
      <c r="A222" s="217" t="str" cm="1">
        <f t="array" ref="A222">IFERROR(INDEX(_xlfn.ANCHORARRAY($Q$6),ROW()-5,1),"")</f>
        <v/>
      </c>
      <c r="B222" s="288" t="str" cm="1">
        <f t="array" ref="B222">IFERROR(INDEX(_xlfn.ANCHORARRAY($Q$6),ROW()-5,2),"")</f>
        <v/>
      </c>
      <c r="C222" s="289" t="str" cm="1">
        <f t="array" ref="C222">IFERROR(INDEX(_xlfn.ANCHORARRAY($Q$6),ROW()-5,3),"")</f>
        <v/>
      </c>
      <c r="D222" s="218" t="str">
        <f>IF($A222="","",IF($K222="DIESEL",SUMIFS(Table1[Quantity],Table1[Customer],$B222,Table1[Date],$A222,Table1[Bill No.],$C222),IF($K222="PETROL",SUMIFS(Table14[Quantity],Table14[Customer],$B222,Table14[Date],$A222,Table14[Bill No.],$C222),IF($K222="XtraGreen",SUMIFS(Table146[Quantity],Table146[Company],$B222,Table146[Date],$A222,Table146[Bill No.],$C222),""))))</f>
        <v/>
      </c>
      <c r="E222" s="219" t="str">
        <f>IF($A222="","",IF($K222="DIESEL",AVERAGEIFS(Table1[RSP],Table1[Customer],$B222,Table1[Date],$A222,Table1[Bill No.],$C222),IF($K222="PETROL",AVERAGEIFS(Table14[RSP],Table14[Customer],$B222,Table14[Date],$A222,Table14[Bill No.],$C222),IF($K222="XtraGreen",AVERAGEIFS(Table146[RSP],Table146[Company],$B222,Table146[Date],$A222,Table146[Bill No.],$C222),IFERROR($F222/$D222,"")))))</f>
        <v/>
      </c>
      <c r="F222" s="330" t="str">
        <f>IF($A222="","",IF($K222="DIESEL",SUMIFS(Table1[Amount],Table1[Customer],$B222,Table1[Date],$A222,Table1[Bill No.],$C222),IF($K222="PETROL",SUMIFS(Table14[Amount],Table14[Customer],$B222,Table14[Date],$A222,Table14[Bill No.],$C222),IF($K222="XtraGreen",SUMIFS(Table146[Amount],Table146[Company],$B222,Table146[Date],$A222,Table146[Bill No.],$C222),SUMIFS('Other Sale'!$D:$D,'Other Sale'!$E:$E,$B222,'Other Sale'!$C:$C,$K222,'Other Sale'!$A:$A,$A222)))))</f>
        <v/>
      </c>
      <c r="G222" s="330" t="str" cm="1">
        <f t="array" ref="G222">IF($A222="","",IF($K222="Payment",IFERROR(INDEX(_xlfn._xlws.FILTER(MasterPaid[Amount Paid],(MasterPaid[Customer]=$B222)*(MasterPaid[Date]=$A222)),COUNTIFS($A$6:$A222,$A222,$B$6:$B222,$B222,$K$6:$K222,"Payment")),0),0))</f>
        <v/>
      </c>
      <c r="H222" s="331"/>
      <c r="I222" s="331"/>
      <c r="J222" s="330" t="str">
        <f t="shared" si="4"/>
        <v/>
      </c>
      <c r="K222" s="289" t="str" cm="1">
        <f t="array" ref="K222">IFERROR(INDEX(_xlfn.ANCHORARRAY($Q$6),ROW()-5,4),"")</f>
        <v/>
      </c>
      <c r="L222" s="290"/>
      <c r="U222">
        <f>IF(OR($A222="",$F222=""),0,MAX(0,MIN($F222,SUMIFS($F$6:$F222,$B$6:$B222,$B222)-(SUMIFS($G$6:$G$355,$B$6:$B$355,$B222)+SUMIFS($H$6:$H$355,$B$6:$B$355,$B222)+SUMIFS($I$6:$I$355,$B$6:$B$355,$B222)))))</f>
        <v>0</v>
      </c>
    </row>
    <row r="223" spans="1:21" ht="23" x14ac:dyDescent="0.25">
      <c r="A223" s="217" t="str" cm="1">
        <f t="array" ref="A223">IFERROR(INDEX(_xlfn.ANCHORARRAY($Q$6),ROW()-5,1),"")</f>
        <v/>
      </c>
      <c r="B223" s="288" t="str" cm="1">
        <f t="array" ref="B223">IFERROR(INDEX(_xlfn.ANCHORARRAY($Q$6),ROW()-5,2),"")</f>
        <v/>
      </c>
      <c r="C223" s="289" t="str" cm="1">
        <f t="array" ref="C223">IFERROR(INDEX(_xlfn.ANCHORARRAY($Q$6),ROW()-5,3),"")</f>
        <v/>
      </c>
      <c r="D223" s="218" t="str">
        <f>IF($A223="","",IF($K223="DIESEL",SUMIFS(Table1[Quantity],Table1[Customer],$B223,Table1[Date],$A223,Table1[Bill No.],$C223),IF($K223="PETROL",SUMIFS(Table14[Quantity],Table14[Customer],$B223,Table14[Date],$A223,Table14[Bill No.],$C223),IF($K223="XtraGreen",SUMIFS(Table146[Quantity],Table146[Company],$B223,Table146[Date],$A223,Table146[Bill No.],$C223),""))))</f>
        <v/>
      </c>
      <c r="E223" s="219" t="str">
        <f>IF($A223="","",IF($K223="DIESEL",AVERAGEIFS(Table1[RSP],Table1[Customer],$B223,Table1[Date],$A223,Table1[Bill No.],$C223),IF($K223="PETROL",AVERAGEIFS(Table14[RSP],Table14[Customer],$B223,Table14[Date],$A223,Table14[Bill No.],$C223),IF($K223="XtraGreen",AVERAGEIFS(Table146[RSP],Table146[Company],$B223,Table146[Date],$A223,Table146[Bill No.],$C223),IFERROR($F223/$D223,"")))))</f>
        <v/>
      </c>
      <c r="F223" s="330" t="str">
        <f>IF($A223="","",IF($K223="DIESEL",SUMIFS(Table1[Amount],Table1[Customer],$B223,Table1[Date],$A223,Table1[Bill No.],$C223),IF($K223="PETROL",SUMIFS(Table14[Amount],Table14[Customer],$B223,Table14[Date],$A223,Table14[Bill No.],$C223),IF($K223="XtraGreen",SUMIFS(Table146[Amount],Table146[Company],$B223,Table146[Date],$A223,Table146[Bill No.],$C223),SUMIFS('Other Sale'!$D:$D,'Other Sale'!$E:$E,$B223,'Other Sale'!$C:$C,$K223,'Other Sale'!$A:$A,$A223)))))</f>
        <v/>
      </c>
      <c r="G223" s="330" t="str" cm="1">
        <f t="array" ref="G223">IF($A223="","",IF($K223="Payment",IFERROR(INDEX(_xlfn._xlws.FILTER(MasterPaid[Amount Paid],(MasterPaid[Customer]=$B223)*(MasterPaid[Date]=$A223)),COUNTIFS($A$6:$A223,$A223,$B$6:$B223,$B223,$K$6:$K223,"Payment")),0),0))</f>
        <v/>
      </c>
      <c r="H223" s="331"/>
      <c r="I223" s="331"/>
      <c r="J223" s="330" t="str">
        <f t="shared" si="4"/>
        <v/>
      </c>
      <c r="K223" s="289" t="str" cm="1">
        <f t="array" ref="K223">IFERROR(INDEX(_xlfn.ANCHORARRAY($Q$6),ROW()-5,4),"")</f>
        <v/>
      </c>
      <c r="L223" s="290"/>
      <c r="U223">
        <f>IF(OR($A223="",$F223=""),0,MAX(0,MIN($F223,SUMIFS($F$6:$F223,$B$6:$B223,$B223)-(SUMIFS($G$6:$G$355,$B$6:$B$355,$B223)+SUMIFS($H$6:$H$355,$B$6:$B$355,$B223)+SUMIFS($I$6:$I$355,$B$6:$B$355,$B223)))))</f>
        <v>0</v>
      </c>
    </row>
    <row r="224" spans="1:21" ht="23" x14ac:dyDescent="0.25">
      <c r="A224" s="217" t="str" cm="1">
        <f t="array" ref="A224">IFERROR(INDEX(_xlfn.ANCHORARRAY($Q$6),ROW()-5,1),"")</f>
        <v/>
      </c>
      <c r="B224" s="288" t="str" cm="1">
        <f t="array" ref="B224">IFERROR(INDEX(_xlfn.ANCHORARRAY($Q$6),ROW()-5,2),"")</f>
        <v/>
      </c>
      <c r="C224" s="289" t="str" cm="1">
        <f t="array" ref="C224">IFERROR(INDEX(_xlfn.ANCHORARRAY($Q$6),ROW()-5,3),"")</f>
        <v/>
      </c>
      <c r="D224" s="218" t="str">
        <f>IF($A224="","",IF($K224="DIESEL",SUMIFS(Table1[Quantity],Table1[Customer],$B224,Table1[Date],$A224,Table1[Bill No.],$C224),IF($K224="PETROL",SUMIFS(Table14[Quantity],Table14[Customer],$B224,Table14[Date],$A224,Table14[Bill No.],$C224),IF($K224="XtraGreen",SUMIFS(Table146[Quantity],Table146[Company],$B224,Table146[Date],$A224,Table146[Bill No.],$C224),""))))</f>
        <v/>
      </c>
      <c r="E224" s="219" t="str">
        <f>IF($A224="","",IF($K224="DIESEL",AVERAGEIFS(Table1[RSP],Table1[Customer],$B224,Table1[Date],$A224,Table1[Bill No.],$C224),IF($K224="PETROL",AVERAGEIFS(Table14[RSP],Table14[Customer],$B224,Table14[Date],$A224,Table14[Bill No.],$C224),IF($K224="XtraGreen",AVERAGEIFS(Table146[RSP],Table146[Company],$B224,Table146[Date],$A224,Table146[Bill No.],$C224),IFERROR($F224/$D224,"")))))</f>
        <v/>
      </c>
      <c r="F224" s="330" t="str">
        <f>IF($A224="","",IF($K224="DIESEL",SUMIFS(Table1[Amount],Table1[Customer],$B224,Table1[Date],$A224,Table1[Bill No.],$C224),IF($K224="PETROL",SUMIFS(Table14[Amount],Table14[Customer],$B224,Table14[Date],$A224,Table14[Bill No.],$C224),IF($K224="XtraGreen",SUMIFS(Table146[Amount],Table146[Company],$B224,Table146[Date],$A224,Table146[Bill No.],$C224),SUMIFS('Other Sale'!$D:$D,'Other Sale'!$E:$E,$B224,'Other Sale'!$C:$C,$K224,'Other Sale'!$A:$A,$A224)))))</f>
        <v/>
      </c>
      <c r="G224" s="330" t="str" cm="1">
        <f t="array" ref="G224">IF($A224="","",IF($K224="Payment",IFERROR(INDEX(_xlfn._xlws.FILTER(MasterPaid[Amount Paid],(MasterPaid[Customer]=$B224)*(MasterPaid[Date]=$A224)),COUNTIFS($A$6:$A224,$A224,$B$6:$B224,$B224,$K$6:$K224,"Payment")),0),0))</f>
        <v/>
      </c>
      <c r="H224" s="331"/>
      <c r="I224" s="331"/>
      <c r="J224" s="330" t="str">
        <f t="shared" si="4"/>
        <v/>
      </c>
      <c r="K224" s="289" t="str" cm="1">
        <f t="array" ref="K224">IFERROR(INDEX(_xlfn.ANCHORARRAY($Q$6),ROW()-5,4),"")</f>
        <v/>
      </c>
      <c r="L224" s="290"/>
      <c r="U224">
        <f>IF(OR($A224="",$F224=""),0,MAX(0,MIN($F224,SUMIFS($F$6:$F224,$B$6:$B224,$B224)-(SUMIFS($G$6:$G$355,$B$6:$B$355,$B224)+SUMIFS($H$6:$H$355,$B$6:$B$355,$B224)+SUMIFS($I$6:$I$355,$B$6:$B$355,$B224)))))</f>
        <v>0</v>
      </c>
    </row>
    <row r="225" spans="1:21" ht="23" x14ac:dyDescent="0.25">
      <c r="A225" s="217" t="str" cm="1">
        <f t="array" ref="A225">IFERROR(INDEX(_xlfn.ANCHORARRAY($Q$6),ROW()-5,1),"")</f>
        <v/>
      </c>
      <c r="B225" s="288" t="str" cm="1">
        <f t="array" ref="B225">IFERROR(INDEX(_xlfn.ANCHORARRAY($Q$6),ROW()-5,2),"")</f>
        <v/>
      </c>
      <c r="C225" s="289" t="str" cm="1">
        <f t="array" ref="C225">IFERROR(INDEX(_xlfn.ANCHORARRAY($Q$6),ROW()-5,3),"")</f>
        <v/>
      </c>
      <c r="D225" s="218" t="str">
        <f>IF($A225="","",IF($K225="DIESEL",SUMIFS(Table1[Quantity],Table1[Customer],$B225,Table1[Date],$A225,Table1[Bill No.],$C225),IF($K225="PETROL",SUMIFS(Table14[Quantity],Table14[Customer],$B225,Table14[Date],$A225,Table14[Bill No.],$C225),IF($K225="XtraGreen",SUMIFS(Table146[Quantity],Table146[Company],$B225,Table146[Date],$A225,Table146[Bill No.],$C225),""))))</f>
        <v/>
      </c>
      <c r="E225" s="219" t="str">
        <f>IF($A225="","",IF($K225="DIESEL",AVERAGEIFS(Table1[RSP],Table1[Customer],$B225,Table1[Date],$A225,Table1[Bill No.],$C225),IF($K225="PETROL",AVERAGEIFS(Table14[RSP],Table14[Customer],$B225,Table14[Date],$A225,Table14[Bill No.],$C225),IF($K225="XtraGreen",AVERAGEIFS(Table146[RSP],Table146[Company],$B225,Table146[Date],$A225,Table146[Bill No.],$C225),IFERROR($F225/$D225,"")))))</f>
        <v/>
      </c>
      <c r="F225" s="330" t="str">
        <f>IF($A225="","",IF($K225="DIESEL",SUMIFS(Table1[Amount],Table1[Customer],$B225,Table1[Date],$A225,Table1[Bill No.],$C225),IF($K225="PETROL",SUMIFS(Table14[Amount],Table14[Customer],$B225,Table14[Date],$A225,Table14[Bill No.],$C225),IF($K225="XtraGreen",SUMIFS(Table146[Amount],Table146[Company],$B225,Table146[Date],$A225,Table146[Bill No.],$C225),SUMIFS('Other Sale'!$D:$D,'Other Sale'!$E:$E,$B225,'Other Sale'!$C:$C,$K225,'Other Sale'!$A:$A,$A225)))))</f>
        <v/>
      </c>
      <c r="G225" s="330" t="str" cm="1">
        <f t="array" ref="G225">IF($A225="","",IF($K225="Payment",IFERROR(INDEX(_xlfn._xlws.FILTER(MasterPaid[Amount Paid],(MasterPaid[Customer]=$B225)*(MasterPaid[Date]=$A225)),COUNTIFS($A$6:$A225,$A225,$B$6:$B225,$B225,$K$6:$K225,"Payment")),0),0))</f>
        <v/>
      </c>
      <c r="H225" s="331"/>
      <c r="I225" s="331"/>
      <c r="J225" s="330" t="str">
        <f t="shared" si="4"/>
        <v/>
      </c>
      <c r="K225" s="289" t="str" cm="1">
        <f t="array" ref="K225">IFERROR(INDEX(_xlfn.ANCHORARRAY($Q$6),ROW()-5,4),"")</f>
        <v/>
      </c>
      <c r="L225" s="290"/>
      <c r="U225">
        <f>IF(OR($A225="",$F225=""),0,MAX(0,MIN($F225,SUMIFS($F$6:$F225,$B$6:$B225,$B225)-(SUMIFS($G$6:$G$355,$B$6:$B$355,$B225)+SUMIFS($H$6:$H$355,$B$6:$B$355,$B225)+SUMIFS($I$6:$I$355,$B$6:$B$355,$B225)))))</f>
        <v>0</v>
      </c>
    </row>
    <row r="226" spans="1:21" ht="23" x14ac:dyDescent="0.25">
      <c r="A226" s="217" t="str" cm="1">
        <f t="array" ref="A226">IFERROR(INDEX(_xlfn.ANCHORARRAY($Q$6),ROW()-5,1),"")</f>
        <v/>
      </c>
      <c r="B226" s="288" t="str" cm="1">
        <f t="array" ref="B226">IFERROR(INDEX(_xlfn.ANCHORARRAY($Q$6),ROW()-5,2),"")</f>
        <v/>
      </c>
      <c r="C226" s="289" t="str" cm="1">
        <f t="array" ref="C226">IFERROR(INDEX(_xlfn.ANCHORARRAY($Q$6),ROW()-5,3),"")</f>
        <v/>
      </c>
      <c r="D226" s="218" t="str">
        <f>IF($A226="","",IF($K226="DIESEL",SUMIFS(Table1[Quantity],Table1[Customer],$B226,Table1[Date],$A226,Table1[Bill No.],$C226),IF($K226="PETROL",SUMIFS(Table14[Quantity],Table14[Customer],$B226,Table14[Date],$A226,Table14[Bill No.],$C226),IF($K226="XtraGreen",SUMIFS(Table146[Quantity],Table146[Company],$B226,Table146[Date],$A226,Table146[Bill No.],$C226),""))))</f>
        <v/>
      </c>
      <c r="E226" s="219" t="str">
        <f>IF($A226="","",IF($K226="DIESEL",AVERAGEIFS(Table1[RSP],Table1[Customer],$B226,Table1[Date],$A226,Table1[Bill No.],$C226),IF($K226="PETROL",AVERAGEIFS(Table14[RSP],Table14[Customer],$B226,Table14[Date],$A226,Table14[Bill No.],$C226),IF($K226="XtraGreen",AVERAGEIFS(Table146[RSP],Table146[Company],$B226,Table146[Date],$A226,Table146[Bill No.],$C226),IFERROR($F226/$D226,"")))))</f>
        <v/>
      </c>
      <c r="F226" s="330" t="str">
        <f>IF($A226="","",IF($K226="DIESEL",SUMIFS(Table1[Amount],Table1[Customer],$B226,Table1[Date],$A226,Table1[Bill No.],$C226),IF($K226="PETROL",SUMIFS(Table14[Amount],Table14[Customer],$B226,Table14[Date],$A226,Table14[Bill No.],$C226),IF($K226="XtraGreen",SUMIFS(Table146[Amount],Table146[Company],$B226,Table146[Date],$A226,Table146[Bill No.],$C226),SUMIFS('Other Sale'!$D:$D,'Other Sale'!$E:$E,$B226,'Other Sale'!$C:$C,$K226,'Other Sale'!$A:$A,$A226)))))</f>
        <v/>
      </c>
      <c r="G226" s="330" t="str" cm="1">
        <f t="array" ref="G226">IF($A226="","",IF($K226="Payment",IFERROR(INDEX(_xlfn._xlws.FILTER(MasterPaid[Amount Paid],(MasterPaid[Customer]=$B226)*(MasterPaid[Date]=$A226)),COUNTIFS($A$6:$A226,$A226,$B$6:$B226,$B226,$K$6:$K226,"Payment")),0),0))</f>
        <v/>
      </c>
      <c r="H226" s="331"/>
      <c r="I226" s="331"/>
      <c r="J226" s="330" t="str">
        <f t="shared" si="4"/>
        <v/>
      </c>
      <c r="K226" s="289" t="str" cm="1">
        <f t="array" ref="K226">IFERROR(INDEX(_xlfn.ANCHORARRAY($Q$6),ROW()-5,4),"")</f>
        <v/>
      </c>
      <c r="L226" s="290"/>
      <c r="U226">
        <f>IF(OR($A226="",$F226=""),0,MAX(0,MIN($F226,SUMIFS($F$6:$F226,$B$6:$B226,$B226)-(SUMIFS($G$6:$G$355,$B$6:$B$355,$B226)+SUMIFS($H$6:$H$355,$B$6:$B$355,$B226)+SUMIFS($I$6:$I$355,$B$6:$B$355,$B226)))))</f>
        <v>0</v>
      </c>
    </row>
    <row r="227" spans="1:21" ht="23" x14ac:dyDescent="0.25">
      <c r="A227" s="217" t="str" cm="1">
        <f t="array" ref="A227">IFERROR(INDEX(_xlfn.ANCHORARRAY($Q$6),ROW()-5,1),"")</f>
        <v/>
      </c>
      <c r="B227" s="288" t="str" cm="1">
        <f t="array" ref="B227">IFERROR(INDEX(_xlfn.ANCHORARRAY($Q$6),ROW()-5,2),"")</f>
        <v/>
      </c>
      <c r="C227" s="289" t="str" cm="1">
        <f t="array" ref="C227">IFERROR(INDEX(_xlfn.ANCHORARRAY($Q$6),ROW()-5,3),"")</f>
        <v/>
      </c>
      <c r="D227" s="218" t="str">
        <f>IF($A227="","",IF($K227="DIESEL",SUMIFS(Table1[Quantity],Table1[Customer],$B227,Table1[Date],$A227,Table1[Bill No.],$C227),IF($K227="PETROL",SUMIFS(Table14[Quantity],Table14[Customer],$B227,Table14[Date],$A227,Table14[Bill No.],$C227),IF($K227="XtraGreen",SUMIFS(Table146[Quantity],Table146[Company],$B227,Table146[Date],$A227,Table146[Bill No.],$C227),""))))</f>
        <v/>
      </c>
      <c r="E227" s="219" t="str">
        <f>IF($A227="","",IF($K227="DIESEL",AVERAGEIFS(Table1[RSP],Table1[Customer],$B227,Table1[Date],$A227,Table1[Bill No.],$C227),IF($K227="PETROL",AVERAGEIFS(Table14[RSP],Table14[Customer],$B227,Table14[Date],$A227,Table14[Bill No.],$C227),IF($K227="XtraGreen",AVERAGEIFS(Table146[RSP],Table146[Company],$B227,Table146[Date],$A227,Table146[Bill No.],$C227),IFERROR($F227/$D227,"")))))</f>
        <v/>
      </c>
      <c r="F227" s="330" t="str">
        <f>IF($A227="","",IF($K227="DIESEL",SUMIFS(Table1[Amount],Table1[Customer],$B227,Table1[Date],$A227,Table1[Bill No.],$C227),IF($K227="PETROL",SUMIFS(Table14[Amount],Table14[Customer],$B227,Table14[Date],$A227,Table14[Bill No.],$C227),IF($K227="XtraGreen",SUMIFS(Table146[Amount],Table146[Company],$B227,Table146[Date],$A227,Table146[Bill No.],$C227),SUMIFS('Other Sale'!$D:$D,'Other Sale'!$E:$E,$B227,'Other Sale'!$C:$C,$K227,'Other Sale'!$A:$A,$A227)))))</f>
        <v/>
      </c>
      <c r="G227" s="330" t="str" cm="1">
        <f t="array" ref="G227">IF($A227="","",IF($K227="Payment",IFERROR(INDEX(_xlfn._xlws.FILTER(MasterPaid[Amount Paid],(MasterPaid[Customer]=$B227)*(MasterPaid[Date]=$A227)),COUNTIFS($A$6:$A227,$A227,$B$6:$B227,$B227,$K$6:$K227,"Payment")),0),0))</f>
        <v/>
      </c>
      <c r="H227" s="331"/>
      <c r="I227" s="331"/>
      <c r="J227" s="330" t="str">
        <f t="shared" si="4"/>
        <v/>
      </c>
      <c r="K227" s="289" t="str" cm="1">
        <f t="array" ref="K227">IFERROR(INDEX(_xlfn.ANCHORARRAY($Q$6),ROW()-5,4),"")</f>
        <v/>
      </c>
      <c r="L227" s="290"/>
      <c r="U227">
        <f>IF(OR($A227="",$F227=""),0,MAX(0,MIN($F227,SUMIFS($F$6:$F227,$B$6:$B227,$B227)-(SUMIFS($G$6:$G$355,$B$6:$B$355,$B227)+SUMIFS($H$6:$H$355,$B$6:$B$355,$B227)+SUMIFS($I$6:$I$355,$B$6:$B$355,$B227)))))</f>
        <v>0</v>
      </c>
    </row>
    <row r="228" spans="1:21" ht="23" x14ac:dyDescent="0.25">
      <c r="A228" s="217" t="str" cm="1">
        <f t="array" ref="A228">IFERROR(INDEX(_xlfn.ANCHORARRAY($Q$6),ROW()-5,1),"")</f>
        <v/>
      </c>
      <c r="B228" s="288" t="str" cm="1">
        <f t="array" ref="B228">IFERROR(INDEX(_xlfn.ANCHORARRAY($Q$6),ROW()-5,2),"")</f>
        <v/>
      </c>
      <c r="C228" s="289" t="str" cm="1">
        <f t="array" ref="C228">IFERROR(INDEX(_xlfn.ANCHORARRAY($Q$6),ROW()-5,3),"")</f>
        <v/>
      </c>
      <c r="D228" s="218" t="str">
        <f>IF($A228="","",IF($K228="DIESEL",SUMIFS(Table1[Quantity],Table1[Customer],$B228,Table1[Date],$A228,Table1[Bill No.],$C228),IF($K228="PETROL",SUMIFS(Table14[Quantity],Table14[Customer],$B228,Table14[Date],$A228,Table14[Bill No.],$C228),IF($K228="XtraGreen",SUMIFS(Table146[Quantity],Table146[Company],$B228,Table146[Date],$A228,Table146[Bill No.],$C228),""))))</f>
        <v/>
      </c>
      <c r="E228" s="219" t="str">
        <f>IF($A228="","",IF($K228="DIESEL",AVERAGEIFS(Table1[RSP],Table1[Customer],$B228,Table1[Date],$A228,Table1[Bill No.],$C228),IF($K228="PETROL",AVERAGEIFS(Table14[RSP],Table14[Customer],$B228,Table14[Date],$A228,Table14[Bill No.],$C228),IF($K228="XtraGreen",AVERAGEIFS(Table146[RSP],Table146[Company],$B228,Table146[Date],$A228,Table146[Bill No.],$C228),IFERROR($F228/$D228,"")))))</f>
        <v/>
      </c>
      <c r="F228" s="330" t="str">
        <f>IF($A228="","",IF($K228="DIESEL",SUMIFS(Table1[Amount],Table1[Customer],$B228,Table1[Date],$A228,Table1[Bill No.],$C228),IF($K228="PETROL",SUMIFS(Table14[Amount],Table14[Customer],$B228,Table14[Date],$A228,Table14[Bill No.],$C228),IF($K228="XtraGreen",SUMIFS(Table146[Amount],Table146[Company],$B228,Table146[Date],$A228,Table146[Bill No.],$C228),SUMIFS('Other Sale'!$D:$D,'Other Sale'!$E:$E,$B228,'Other Sale'!$C:$C,$K228,'Other Sale'!$A:$A,$A228)))))</f>
        <v/>
      </c>
      <c r="G228" s="330" t="str" cm="1">
        <f t="array" ref="G228">IF($A228="","",IF($K228="Payment",IFERROR(INDEX(_xlfn._xlws.FILTER(MasterPaid[Amount Paid],(MasterPaid[Customer]=$B228)*(MasterPaid[Date]=$A228)),COUNTIFS($A$6:$A228,$A228,$B$6:$B228,$B228,$K$6:$K228,"Payment")),0),0))</f>
        <v/>
      </c>
      <c r="H228" s="331"/>
      <c r="I228" s="331"/>
      <c r="J228" s="330" t="str">
        <f t="shared" si="4"/>
        <v/>
      </c>
      <c r="K228" s="289" t="str" cm="1">
        <f t="array" ref="K228">IFERROR(INDEX(_xlfn.ANCHORARRAY($Q$6),ROW()-5,4),"")</f>
        <v/>
      </c>
      <c r="L228" s="290"/>
      <c r="U228">
        <f>IF(OR($A228="",$F228=""),0,MAX(0,MIN($F228,SUMIFS($F$6:$F228,$B$6:$B228,$B228)-(SUMIFS($G$6:$G$355,$B$6:$B$355,$B228)+SUMIFS($H$6:$H$355,$B$6:$B$355,$B228)+SUMIFS($I$6:$I$355,$B$6:$B$355,$B228)))))</f>
        <v>0</v>
      </c>
    </row>
    <row r="229" spans="1:21" ht="23" x14ac:dyDescent="0.25">
      <c r="A229" s="217" t="str" cm="1">
        <f t="array" ref="A229">IFERROR(INDEX(_xlfn.ANCHORARRAY($Q$6),ROW()-5,1),"")</f>
        <v/>
      </c>
      <c r="B229" s="288" t="str" cm="1">
        <f t="array" ref="B229">IFERROR(INDEX(_xlfn.ANCHORARRAY($Q$6),ROW()-5,2),"")</f>
        <v/>
      </c>
      <c r="C229" s="289" t="str" cm="1">
        <f t="array" ref="C229">IFERROR(INDEX(_xlfn.ANCHORARRAY($Q$6),ROW()-5,3),"")</f>
        <v/>
      </c>
      <c r="D229" s="218" t="str">
        <f>IF($A229="","",IF($K229="DIESEL",SUMIFS(Table1[Quantity],Table1[Customer],$B229,Table1[Date],$A229,Table1[Bill No.],$C229),IF($K229="PETROL",SUMIFS(Table14[Quantity],Table14[Customer],$B229,Table14[Date],$A229,Table14[Bill No.],$C229),IF($K229="XtraGreen",SUMIFS(Table146[Quantity],Table146[Company],$B229,Table146[Date],$A229,Table146[Bill No.],$C229),""))))</f>
        <v/>
      </c>
      <c r="E229" s="219" t="str">
        <f>IF($A229="","",IF($K229="DIESEL",AVERAGEIFS(Table1[RSP],Table1[Customer],$B229,Table1[Date],$A229,Table1[Bill No.],$C229),IF($K229="PETROL",AVERAGEIFS(Table14[RSP],Table14[Customer],$B229,Table14[Date],$A229,Table14[Bill No.],$C229),IF($K229="XtraGreen",AVERAGEIFS(Table146[RSP],Table146[Company],$B229,Table146[Date],$A229,Table146[Bill No.],$C229),IFERROR($F229/$D229,"")))))</f>
        <v/>
      </c>
      <c r="F229" s="330" t="str">
        <f>IF($A229="","",IF($K229="DIESEL",SUMIFS(Table1[Amount],Table1[Customer],$B229,Table1[Date],$A229,Table1[Bill No.],$C229),IF($K229="PETROL",SUMIFS(Table14[Amount],Table14[Customer],$B229,Table14[Date],$A229,Table14[Bill No.],$C229),IF($K229="XtraGreen",SUMIFS(Table146[Amount],Table146[Company],$B229,Table146[Date],$A229,Table146[Bill No.],$C229),SUMIFS('Other Sale'!$D:$D,'Other Sale'!$E:$E,$B229,'Other Sale'!$C:$C,$K229,'Other Sale'!$A:$A,$A229)))))</f>
        <v/>
      </c>
      <c r="G229" s="330" t="str" cm="1">
        <f t="array" ref="G229">IF($A229="","",IF($K229="Payment",IFERROR(INDEX(_xlfn._xlws.FILTER(MasterPaid[Amount Paid],(MasterPaid[Customer]=$B229)*(MasterPaid[Date]=$A229)),COUNTIFS($A$6:$A229,$A229,$B$6:$B229,$B229,$K$6:$K229,"Payment")),0),0))</f>
        <v/>
      </c>
      <c r="H229" s="331"/>
      <c r="I229" s="331"/>
      <c r="J229" s="330" t="str">
        <f t="shared" si="4"/>
        <v/>
      </c>
      <c r="K229" s="289" t="str" cm="1">
        <f t="array" ref="K229">IFERROR(INDEX(_xlfn.ANCHORARRAY($Q$6),ROW()-5,4),"")</f>
        <v/>
      </c>
      <c r="L229" s="290"/>
      <c r="U229">
        <f>IF(OR($A229="",$F229=""),0,MAX(0,MIN($F229,SUMIFS($F$6:$F229,$B$6:$B229,$B229)-(SUMIFS($G$6:$G$355,$B$6:$B$355,$B229)+SUMIFS($H$6:$H$355,$B$6:$B$355,$B229)+SUMIFS($I$6:$I$355,$B$6:$B$355,$B229)))))</f>
        <v>0</v>
      </c>
    </row>
    <row r="230" spans="1:21" ht="23" x14ac:dyDescent="0.25">
      <c r="A230" s="217" t="str" cm="1">
        <f t="array" ref="A230">IFERROR(INDEX(_xlfn.ANCHORARRAY($Q$6),ROW()-5,1),"")</f>
        <v/>
      </c>
      <c r="B230" s="288" t="str" cm="1">
        <f t="array" ref="B230">IFERROR(INDEX(_xlfn.ANCHORARRAY($Q$6),ROW()-5,2),"")</f>
        <v/>
      </c>
      <c r="C230" s="289" t="str" cm="1">
        <f t="array" ref="C230">IFERROR(INDEX(_xlfn.ANCHORARRAY($Q$6),ROW()-5,3),"")</f>
        <v/>
      </c>
      <c r="D230" s="218" t="str">
        <f>IF($A230="","",IF($K230="DIESEL",SUMIFS(Table1[Quantity],Table1[Customer],$B230,Table1[Date],$A230,Table1[Bill No.],$C230),IF($K230="PETROL",SUMIFS(Table14[Quantity],Table14[Customer],$B230,Table14[Date],$A230,Table14[Bill No.],$C230),IF($K230="XtraGreen",SUMIFS(Table146[Quantity],Table146[Company],$B230,Table146[Date],$A230,Table146[Bill No.],$C230),""))))</f>
        <v/>
      </c>
      <c r="E230" s="219" t="str">
        <f>IF($A230="","",IF($K230="DIESEL",AVERAGEIFS(Table1[RSP],Table1[Customer],$B230,Table1[Date],$A230,Table1[Bill No.],$C230),IF($K230="PETROL",AVERAGEIFS(Table14[RSP],Table14[Customer],$B230,Table14[Date],$A230,Table14[Bill No.],$C230),IF($K230="XtraGreen",AVERAGEIFS(Table146[RSP],Table146[Company],$B230,Table146[Date],$A230,Table146[Bill No.],$C230),IFERROR($F230/$D230,"")))))</f>
        <v/>
      </c>
      <c r="F230" s="330" t="str">
        <f>IF($A230="","",IF($K230="DIESEL",SUMIFS(Table1[Amount],Table1[Customer],$B230,Table1[Date],$A230,Table1[Bill No.],$C230),IF($K230="PETROL",SUMIFS(Table14[Amount],Table14[Customer],$B230,Table14[Date],$A230,Table14[Bill No.],$C230),IF($K230="XtraGreen",SUMIFS(Table146[Amount],Table146[Company],$B230,Table146[Date],$A230,Table146[Bill No.],$C230),SUMIFS('Other Sale'!$D:$D,'Other Sale'!$E:$E,$B230,'Other Sale'!$C:$C,$K230,'Other Sale'!$A:$A,$A230)))))</f>
        <v/>
      </c>
      <c r="G230" s="330" t="str" cm="1">
        <f t="array" ref="G230">IF($A230="","",IF($K230="Payment",IFERROR(INDEX(_xlfn._xlws.FILTER(MasterPaid[Amount Paid],(MasterPaid[Customer]=$B230)*(MasterPaid[Date]=$A230)),COUNTIFS($A$6:$A230,$A230,$B$6:$B230,$B230,$K$6:$K230,"Payment")),0),0))</f>
        <v/>
      </c>
      <c r="H230" s="331"/>
      <c r="I230" s="331"/>
      <c r="J230" s="330" t="str">
        <f t="shared" si="4"/>
        <v/>
      </c>
      <c r="K230" s="289" t="str" cm="1">
        <f t="array" ref="K230">IFERROR(INDEX(_xlfn.ANCHORARRAY($Q$6),ROW()-5,4),"")</f>
        <v/>
      </c>
      <c r="L230" s="290"/>
      <c r="U230">
        <f>IF(OR($A230="",$F230=""),0,MAX(0,MIN($F230,SUMIFS($F$6:$F230,$B$6:$B230,$B230)-(SUMIFS($G$6:$G$355,$B$6:$B$355,$B230)+SUMIFS($H$6:$H$355,$B$6:$B$355,$B230)+SUMIFS($I$6:$I$355,$B$6:$B$355,$B230)))))</f>
        <v>0</v>
      </c>
    </row>
    <row r="231" spans="1:21" ht="23" x14ac:dyDescent="0.25">
      <c r="A231" s="217" t="str" cm="1">
        <f t="array" ref="A231">IFERROR(INDEX(_xlfn.ANCHORARRAY($Q$6),ROW()-5,1),"")</f>
        <v/>
      </c>
      <c r="B231" s="288" t="str" cm="1">
        <f t="array" ref="B231">IFERROR(INDEX(_xlfn.ANCHORARRAY($Q$6),ROW()-5,2),"")</f>
        <v/>
      </c>
      <c r="C231" s="289" t="str" cm="1">
        <f t="array" ref="C231">IFERROR(INDEX(_xlfn.ANCHORARRAY($Q$6),ROW()-5,3),"")</f>
        <v/>
      </c>
      <c r="D231" s="218" t="str">
        <f>IF($A231="","",IF($K231="DIESEL",SUMIFS(Table1[Quantity],Table1[Customer],$B231,Table1[Date],$A231,Table1[Bill No.],$C231),IF($K231="PETROL",SUMIFS(Table14[Quantity],Table14[Customer],$B231,Table14[Date],$A231,Table14[Bill No.],$C231),IF($K231="XtraGreen",SUMIFS(Table146[Quantity],Table146[Company],$B231,Table146[Date],$A231,Table146[Bill No.],$C231),""))))</f>
        <v/>
      </c>
      <c r="E231" s="219" t="str">
        <f>IF($A231="","",IF($K231="DIESEL",AVERAGEIFS(Table1[RSP],Table1[Customer],$B231,Table1[Date],$A231,Table1[Bill No.],$C231),IF($K231="PETROL",AVERAGEIFS(Table14[RSP],Table14[Customer],$B231,Table14[Date],$A231,Table14[Bill No.],$C231),IF($K231="XtraGreen",AVERAGEIFS(Table146[RSP],Table146[Company],$B231,Table146[Date],$A231,Table146[Bill No.],$C231),IFERROR($F231/$D231,"")))))</f>
        <v/>
      </c>
      <c r="F231" s="330" t="str">
        <f>IF($A231="","",IF($K231="DIESEL",SUMIFS(Table1[Amount],Table1[Customer],$B231,Table1[Date],$A231,Table1[Bill No.],$C231),IF($K231="PETROL",SUMIFS(Table14[Amount],Table14[Customer],$B231,Table14[Date],$A231,Table14[Bill No.],$C231),IF($K231="XtraGreen",SUMIFS(Table146[Amount],Table146[Company],$B231,Table146[Date],$A231,Table146[Bill No.],$C231),SUMIFS('Other Sale'!$D:$D,'Other Sale'!$E:$E,$B231,'Other Sale'!$C:$C,$K231,'Other Sale'!$A:$A,$A231)))))</f>
        <v/>
      </c>
      <c r="G231" s="330" t="str" cm="1">
        <f t="array" ref="G231">IF($A231="","",IF($K231="Payment",IFERROR(INDEX(_xlfn._xlws.FILTER(MasterPaid[Amount Paid],(MasterPaid[Customer]=$B231)*(MasterPaid[Date]=$A231)),COUNTIFS($A$6:$A231,$A231,$B$6:$B231,$B231,$K$6:$K231,"Payment")),0),0))</f>
        <v/>
      </c>
      <c r="H231" s="331"/>
      <c r="I231" s="331"/>
      <c r="J231" s="330" t="str">
        <f t="shared" si="4"/>
        <v/>
      </c>
      <c r="K231" s="289" t="str" cm="1">
        <f t="array" ref="K231">IFERROR(INDEX(_xlfn.ANCHORARRAY($Q$6),ROW()-5,4),"")</f>
        <v/>
      </c>
      <c r="L231" s="290"/>
      <c r="U231">
        <f>IF(OR($A231="",$F231=""),0,MAX(0,MIN($F231,SUMIFS($F$6:$F231,$B$6:$B231,$B231)-(SUMIFS($G$6:$G$355,$B$6:$B$355,$B231)+SUMIFS($H$6:$H$355,$B$6:$B$355,$B231)+SUMIFS($I$6:$I$355,$B$6:$B$355,$B231)))))</f>
        <v>0</v>
      </c>
    </row>
    <row r="232" spans="1:21" ht="23" x14ac:dyDescent="0.25">
      <c r="A232" s="217" t="str" cm="1">
        <f t="array" ref="A232">IFERROR(INDEX(_xlfn.ANCHORARRAY($Q$6),ROW()-5,1),"")</f>
        <v/>
      </c>
      <c r="B232" s="288" t="str" cm="1">
        <f t="array" ref="B232">IFERROR(INDEX(_xlfn.ANCHORARRAY($Q$6),ROW()-5,2),"")</f>
        <v/>
      </c>
      <c r="C232" s="289" t="str" cm="1">
        <f t="array" ref="C232">IFERROR(INDEX(_xlfn.ANCHORARRAY($Q$6),ROW()-5,3),"")</f>
        <v/>
      </c>
      <c r="D232" s="218" t="str">
        <f>IF($A232="","",IF($K232="DIESEL",SUMIFS(Table1[Quantity],Table1[Customer],$B232,Table1[Date],$A232,Table1[Bill No.],$C232),IF($K232="PETROL",SUMIFS(Table14[Quantity],Table14[Customer],$B232,Table14[Date],$A232,Table14[Bill No.],$C232),IF($K232="XtraGreen",SUMIFS(Table146[Quantity],Table146[Company],$B232,Table146[Date],$A232,Table146[Bill No.],$C232),""))))</f>
        <v/>
      </c>
      <c r="E232" s="219" t="str">
        <f>IF($A232="","",IF($K232="DIESEL",AVERAGEIFS(Table1[RSP],Table1[Customer],$B232,Table1[Date],$A232,Table1[Bill No.],$C232),IF($K232="PETROL",AVERAGEIFS(Table14[RSP],Table14[Customer],$B232,Table14[Date],$A232,Table14[Bill No.],$C232),IF($K232="XtraGreen",AVERAGEIFS(Table146[RSP],Table146[Company],$B232,Table146[Date],$A232,Table146[Bill No.],$C232),IFERROR($F232/$D232,"")))))</f>
        <v/>
      </c>
      <c r="F232" s="330" t="str">
        <f>IF($A232="","",IF($K232="DIESEL",SUMIFS(Table1[Amount],Table1[Customer],$B232,Table1[Date],$A232,Table1[Bill No.],$C232),IF($K232="PETROL",SUMIFS(Table14[Amount],Table14[Customer],$B232,Table14[Date],$A232,Table14[Bill No.],$C232),IF($K232="XtraGreen",SUMIFS(Table146[Amount],Table146[Company],$B232,Table146[Date],$A232,Table146[Bill No.],$C232),SUMIFS('Other Sale'!$D:$D,'Other Sale'!$E:$E,$B232,'Other Sale'!$C:$C,$K232,'Other Sale'!$A:$A,$A232)))))</f>
        <v/>
      </c>
      <c r="G232" s="330" t="str" cm="1">
        <f t="array" ref="G232">IF($A232="","",IF($K232="Payment",IFERROR(INDEX(_xlfn._xlws.FILTER(MasterPaid[Amount Paid],(MasterPaid[Customer]=$B232)*(MasterPaid[Date]=$A232)),COUNTIFS($A$6:$A232,$A232,$B$6:$B232,$B232,$K$6:$K232,"Payment")),0),0))</f>
        <v/>
      </c>
      <c r="H232" s="331"/>
      <c r="I232" s="331"/>
      <c r="J232" s="330" t="str">
        <f t="shared" si="4"/>
        <v/>
      </c>
      <c r="K232" s="289" t="str" cm="1">
        <f t="array" ref="K232">IFERROR(INDEX(_xlfn.ANCHORARRAY($Q$6),ROW()-5,4),"")</f>
        <v/>
      </c>
      <c r="L232" s="290"/>
      <c r="U232">
        <f>IF(OR($A232="",$F232=""),0,MAX(0,MIN($F232,SUMIFS($F$6:$F232,$B$6:$B232,$B232)-(SUMIFS($G$6:$G$355,$B$6:$B$355,$B232)+SUMIFS($H$6:$H$355,$B$6:$B$355,$B232)+SUMIFS($I$6:$I$355,$B$6:$B$355,$B232)))))</f>
        <v>0</v>
      </c>
    </row>
    <row r="233" spans="1:21" ht="23" x14ac:dyDescent="0.25">
      <c r="A233" s="217" t="str" cm="1">
        <f t="array" ref="A233">IFERROR(INDEX(_xlfn.ANCHORARRAY($Q$6),ROW()-5,1),"")</f>
        <v/>
      </c>
      <c r="B233" s="288" t="str" cm="1">
        <f t="array" ref="B233">IFERROR(INDEX(_xlfn.ANCHORARRAY($Q$6),ROW()-5,2),"")</f>
        <v/>
      </c>
      <c r="C233" s="289" t="str" cm="1">
        <f t="array" ref="C233">IFERROR(INDEX(_xlfn.ANCHORARRAY($Q$6),ROW()-5,3),"")</f>
        <v/>
      </c>
      <c r="D233" s="218" t="str">
        <f>IF($A233="","",IF($K233="DIESEL",SUMIFS(Table1[Quantity],Table1[Customer],$B233,Table1[Date],$A233,Table1[Bill No.],$C233),IF($K233="PETROL",SUMIFS(Table14[Quantity],Table14[Customer],$B233,Table14[Date],$A233,Table14[Bill No.],$C233),IF($K233="XtraGreen",SUMIFS(Table146[Quantity],Table146[Company],$B233,Table146[Date],$A233,Table146[Bill No.],$C233),""))))</f>
        <v/>
      </c>
      <c r="E233" s="219" t="str">
        <f>IF($A233="","",IF($K233="DIESEL",AVERAGEIFS(Table1[RSP],Table1[Customer],$B233,Table1[Date],$A233,Table1[Bill No.],$C233),IF($K233="PETROL",AVERAGEIFS(Table14[RSP],Table14[Customer],$B233,Table14[Date],$A233,Table14[Bill No.],$C233),IF($K233="XtraGreen",AVERAGEIFS(Table146[RSP],Table146[Company],$B233,Table146[Date],$A233,Table146[Bill No.],$C233),IFERROR($F233/$D233,"")))))</f>
        <v/>
      </c>
      <c r="F233" s="330" t="str">
        <f>IF($A233="","",IF($K233="DIESEL",SUMIFS(Table1[Amount],Table1[Customer],$B233,Table1[Date],$A233,Table1[Bill No.],$C233),IF($K233="PETROL",SUMIFS(Table14[Amount],Table14[Customer],$B233,Table14[Date],$A233,Table14[Bill No.],$C233),IF($K233="XtraGreen",SUMIFS(Table146[Amount],Table146[Company],$B233,Table146[Date],$A233,Table146[Bill No.],$C233),SUMIFS('Other Sale'!$D:$D,'Other Sale'!$E:$E,$B233,'Other Sale'!$C:$C,$K233,'Other Sale'!$A:$A,$A233)))))</f>
        <v/>
      </c>
      <c r="G233" s="330" t="str" cm="1">
        <f t="array" ref="G233">IF($A233="","",IF($K233="Payment",IFERROR(INDEX(_xlfn._xlws.FILTER(MasterPaid[Amount Paid],(MasterPaid[Customer]=$B233)*(MasterPaid[Date]=$A233)),COUNTIFS($A$6:$A233,$A233,$B$6:$B233,$B233,$K$6:$K233,"Payment")),0),0))</f>
        <v/>
      </c>
      <c r="H233" s="331"/>
      <c r="I233" s="331"/>
      <c r="J233" s="330" t="str">
        <f t="shared" si="4"/>
        <v/>
      </c>
      <c r="K233" s="289" t="str" cm="1">
        <f t="array" ref="K233">IFERROR(INDEX(_xlfn.ANCHORARRAY($Q$6),ROW()-5,4),"")</f>
        <v/>
      </c>
      <c r="L233" s="290"/>
      <c r="U233">
        <f>IF(OR($A233="",$F233=""),0,MAX(0,MIN($F233,SUMIFS($F$6:$F233,$B$6:$B233,$B233)-(SUMIFS($G$6:$G$355,$B$6:$B$355,$B233)+SUMIFS($H$6:$H$355,$B$6:$B$355,$B233)+SUMIFS($I$6:$I$355,$B$6:$B$355,$B233)))))</f>
        <v>0</v>
      </c>
    </row>
    <row r="234" spans="1:21" ht="23" x14ac:dyDescent="0.25">
      <c r="A234" s="217" t="str" cm="1">
        <f t="array" ref="A234">IFERROR(INDEX(_xlfn.ANCHORARRAY($Q$6),ROW()-5,1),"")</f>
        <v/>
      </c>
      <c r="B234" s="288" t="str" cm="1">
        <f t="array" ref="B234">IFERROR(INDEX(_xlfn.ANCHORARRAY($Q$6),ROW()-5,2),"")</f>
        <v/>
      </c>
      <c r="C234" s="289" t="str" cm="1">
        <f t="array" ref="C234">IFERROR(INDEX(_xlfn.ANCHORARRAY($Q$6),ROW()-5,3),"")</f>
        <v/>
      </c>
      <c r="D234" s="218" t="str">
        <f>IF($A234="","",IF($K234="DIESEL",SUMIFS(Table1[Quantity],Table1[Customer],$B234,Table1[Date],$A234,Table1[Bill No.],$C234),IF($K234="PETROL",SUMIFS(Table14[Quantity],Table14[Customer],$B234,Table14[Date],$A234,Table14[Bill No.],$C234),IF($K234="XtraGreen",SUMIFS(Table146[Quantity],Table146[Company],$B234,Table146[Date],$A234,Table146[Bill No.],$C234),""))))</f>
        <v/>
      </c>
      <c r="E234" s="219" t="str">
        <f>IF($A234="","",IF($K234="DIESEL",AVERAGEIFS(Table1[RSP],Table1[Customer],$B234,Table1[Date],$A234,Table1[Bill No.],$C234),IF($K234="PETROL",AVERAGEIFS(Table14[RSP],Table14[Customer],$B234,Table14[Date],$A234,Table14[Bill No.],$C234),IF($K234="XtraGreen",AVERAGEIFS(Table146[RSP],Table146[Company],$B234,Table146[Date],$A234,Table146[Bill No.],$C234),IFERROR($F234/$D234,"")))))</f>
        <v/>
      </c>
      <c r="F234" s="330" t="str">
        <f>IF($A234="","",IF($K234="DIESEL",SUMIFS(Table1[Amount],Table1[Customer],$B234,Table1[Date],$A234,Table1[Bill No.],$C234),IF($K234="PETROL",SUMIFS(Table14[Amount],Table14[Customer],$B234,Table14[Date],$A234,Table14[Bill No.],$C234),IF($K234="XtraGreen",SUMIFS(Table146[Amount],Table146[Company],$B234,Table146[Date],$A234,Table146[Bill No.],$C234),SUMIFS('Other Sale'!$D:$D,'Other Sale'!$E:$E,$B234,'Other Sale'!$C:$C,$K234,'Other Sale'!$A:$A,$A234)))))</f>
        <v/>
      </c>
      <c r="G234" s="330" t="str" cm="1">
        <f t="array" ref="G234">IF($A234="","",IF($K234="Payment",IFERROR(INDEX(_xlfn._xlws.FILTER(MasterPaid[Amount Paid],(MasterPaid[Customer]=$B234)*(MasterPaid[Date]=$A234)),COUNTIFS($A$6:$A234,$A234,$B$6:$B234,$B234,$K$6:$K234,"Payment")),0),0))</f>
        <v/>
      </c>
      <c r="H234" s="331"/>
      <c r="I234" s="331"/>
      <c r="J234" s="330" t="str">
        <f t="shared" si="4"/>
        <v/>
      </c>
      <c r="K234" s="289" t="str" cm="1">
        <f t="array" ref="K234">IFERROR(INDEX(_xlfn.ANCHORARRAY($Q$6),ROW()-5,4),"")</f>
        <v/>
      </c>
      <c r="L234" s="290"/>
      <c r="U234">
        <f>IF(OR($A234="",$F234=""),0,MAX(0,MIN($F234,SUMIFS($F$6:$F234,$B$6:$B234,$B234)-(SUMIFS($G$6:$G$355,$B$6:$B$355,$B234)+SUMIFS($H$6:$H$355,$B$6:$B$355,$B234)+SUMIFS($I$6:$I$355,$B$6:$B$355,$B234)))))</f>
        <v>0</v>
      </c>
    </row>
    <row r="235" spans="1:21" ht="23" x14ac:dyDescent="0.25">
      <c r="A235" s="217" t="str" cm="1">
        <f t="array" ref="A235">IFERROR(INDEX(_xlfn.ANCHORARRAY($Q$6),ROW()-5,1),"")</f>
        <v/>
      </c>
      <c r="B235" s="288" t="str" cm="1">
        <f t="array" ref="B235">IFERROR(INDEX(_xlfn.ANCHORARRAY($Q$6),ROW()-5,2),"")</f>
        <v/>
      </c>
      <c r="C235" s="289" t="str" cm="1">
        <f t="array" ref="C235">IFERROR(INDEX(_xlfn.ANCHORARRAY($Q$6),ROW()-5,3),"")</f>
        <v/>
      </c>
      <c r="D235" s="218" t="str">
        <f>IF($A235="","",IF($K235="DIESEL",SUMIFS(Table1[Quantity],Table1[Customer],$B235,Table1[Date],$A235,Table1[Bill No.],$C235),IF($K235="PETROL",SUMIFS(Table14[Quantity],Table14[Customer],$B235,Table14[Date],$A235,Table14[Bill No.],$C235),IF($K235="XtraGreen",SUMIFS(Table146[Quantity],Table146[Company],$B235,Table146[Date],$A235,Table146[Bill No.],$C235),""))))</f>
        <v/>
      </c>
      <c r="E235" s="219" t="str">
        <f>IF($A235="","",IF($K235="DIESEL",AVERAGEIFS(Table1[RSP],Table1[Customer],$B235,Table1[Date],$A235,Table1[Bill No.],$C235),IF($K235="PETROL",AVERAGEIFS(Table14[RSP],Table14[Customer],$B235,Table14[Date],$A235,Table14[Bill No.],$C235),IF($K235="XtraGreen",AVERAGEIFS(Table146[RSP],Table146[Company],$B235,Table146[Date],$A235,Table146[Bill No.],$C235),IFERROR($F235/$D235,"")))))</f>
        <v/>
      </c>
      <c r="F235" s="330" t="str">
        <f>IF($A235="","",IF($K235="DIESEL",SUMIFS(Table1[Amount],Table1[Customer],$B235,Table1[Date],$A235,Table1[Bill No.],$C235),IF($K235="PETROL",SUMIFS(Table14[Amount],Table14[Customer],$B235,Table14[Date],$A235,Table14[Bill No.],$C235),IF($K235="XtraGreen",SUMIFS(Table146[Amount],Table146[Company],$B235,Table146[Date],$A235,Table146[Bill No.],$C235),SUMIFS('Other Sale'!$D:$D,'Other Sale'!$E:$E,$B235,'Other Sale'!$C:$C,$K235,'Other Sale'!$A:$A,$A235)))))</f>
        <v/>
      </c>
      <c r="G235" s="330" t="str" cm="1">
        <f t="array" ref="G235">IF($A235="","",IF($K235="Payment",IFERROR(INDEX(_xlfn._xlws.FILTER(MasterPaid[Amount Paid],(MasterPaid[Customer]=$B235)*(MasterPaid[Date]=$A235)),COUNTIFS($A$6:$A235,$A235,$B$6:$B235,$B235,$K$6:$K235,"Payment")),0),0))</f>
        <v/>
      </c>
      <c r="H235" s="331"/>
      <c r="I235" s="331"/>
      <c r="J235" s="330" t="str">
        <f t="shared" si="4"/>
        <v/>
      </c>
      <c r="K235" s="289" t="str" cm="1">
        <f t="array" ref="K235">IFERROR(INDEX(_xlfn.ANCHORARRAY($Q$6),ROW()-5,4),"")</f>
        <v/>
      </c>
      <c r="L235" s="290"/>
      <c r="U235">
        <f>IF(OR($A235="",$F235=""),0,MAX(0,MIN($F235,SUMIFS($F$6:$F235,$B$6:$B235,$B235)-(SUMIFS($G$6:$G$355,$B$6:$B$355,$B235)+SUMIFS($H$6:$H$355,$B$6:$B$355,$B235)+SUMIFS($I$6:$I$355,$B$6:$B$355,$B235)))))</f>
        <v>0</v>
      </c>
    </row>
    <row r="236" spans="1:21" ht="23" x14ac:dyDescent="0.25">
      <c r="A236" s="217" t="str" cm="1">
        <f t="array" ref="A236">IFERROR(INDEX(_xlfn.ANCHORARRAY($Q$6),ROW()-5,1),"")</f>
        <v/>
      </c>
      <c r="B236" s="288" t="str" cm="1">
        <f t="array" ref="B236">IFERROR(INDEX(_xlfn.ANCHORARRAY($Q$6),ROW()-5,2),"")</f>
        <v/>
      </c>
      <c r="C236" s="289" t="str" cm="1">
        <f t="array" ref="C236">IFERROR(INDEX(_xlfn.ANCHORARRAY($Q$6),ROW()-5,3),"")</f>
        <v/>
      </c>
      <c r="D236" s="218" t="str">
        <f>IF($A236="","",IF($K236="DIESEL",SUMIFS(Table1[Quantity],Table1[Customer],$B236,Table1[Date],$A236,Table1[Bill No.],$C236),IF($K236="PETROL",SUMIFS(Table14[Quantity],Table14[Customer],$B236,Table14[Date],$A236,Table14[Bill No.],$C236),IF($K236="XtraGreen",SUMIFS(Table146[Quantity],Table146[Company],$B236,Table146[Date],$A236,Table146[Bill No.],$C236),""))))</f>
        <v/>
      </c>
      <c r="E236" s="219" t="str">
        <f>IF($A236="","",IF($K236="DIESEL",AVERAGEIFS(Table1[RSP],Table1[Customer],$B236,Table1[Date],$A236,Table1[Bill No.],$C236),IF($K236="PETROL",AVERAGEIFS(Table14[RSP],Table14[Customer],$B236,Table14[Date],$A236,Table14[Bill No.],$C236),IF($K236="XtraGreen",AVERAGEIFS(Table146[RSP],Table146[Company],$B236,Table146[Date],$A236,Table146[Bill No.],$C236),IFERROR($F236/$D236,"")))))</f>
        <v/>
      </c>
      <c r="F236" s="330" t="str">
        <f>IF($A236="","",IF($K236="DIESEL",SUMIFS(Table1[Amount],Table1[Customer],$B236,Table1[Date],$A236,Table1[Bill No.],$C236),IF($K236="PETROL",SUMIFS(Table14[Amount],Table14[Customer],$B236,Table14[Date],$A236,Table14[Bill No.],$C236),IF($K236="XtraGreen",SUMIFS(Table146[Amount],Table146[Company],$B236,Table146[Date],$A236,Table146[Bill No.],$C236),SUMIFS('Other Sale'!$D:$D,'Other Sale'!$E:$E,$B236,'Other Sale'!$C:$C,$K236,'Other Sale'!$A:$A,$A236)))))</f>
        <v/>
      </c>
      <c r="G236" s="330" t="str" cm="1">
        <f t="array" ref="G236">IF($A236="","",IF($K236="Payment",IFERROR(INDEX(_xlfn._xlws.FILTER(MasterPaid[Amount Paid],(MasterPaid[Customer]=$B236)*(MasterPaid[Date]=$A236)),COUNTIFS($A$6:$A236,$A236,$B$6:$B236,$B236,$K$6:$K236,"Payment")),0),0))</f>
        <v/>
      </c>
      <c r="H236" s="331"/>
      <c r="I236" s="331"/>
      <c r="J236" s="330" t="str">
        <f t="shared" si="4"/>
        <v/>
      </c>
      <c r="K236" s="289" t="str" cm="1">
        <f t="array" ref="K236">IFERROR(INDEX(_xlfn.ANCHORARRAY($Q$6),ROW()-5,4),"")</f>
        <v/>
      </c>
      <c r="L236" s="290"/>
      <c r="U236">
        <f>IF(OR($A236="",$F236=""),0,MAX(0,MIN($F236,SUMIFS($F$6:$F236,$B$6:$B236,$B236)-(SUMIFS($G$6:$G$355,$B$6:$B$355,$B236)+SUMIFS($H$6:$H$355,$B$6:$B$355,$B236)+SUMIFS($I$6:$I$355,$B$6:$B$355,$B236)))))</f>
        <v>0</v>
      </c>
    </row>
    <row r="237" spans="1:21" ht="23" x14ac:dyDescent="0.25">
      <c r="A237" s="217" t="str" cm="1">
        <f t="array" ref="A237">IFERROR(INDEX(_xlfn.ANCHORARRAY($Q$6),ROW()-5,1),"")</f>
        <v/>
      </c>
      <c r="B237" s="288" t="str" cm="1">
        <f t="array" ref="B237">IFERROR(INDEX(_xlfn.ANCHORARRAY($Q$6),ROW()-5,2),"")</f>
        <v/>
      </c>
      <c r="C237" s="289" t="str" cm="1">
        <f t="array" ref="C237">IFERROR(INDEX(_xlfn.ANCHORARRAY($Q$6),ROW()-5,3),"")</f>
        <v/>
      </c>
      <c r="D237" s="218" t="str">
        <f>IF($A237="","",IF($K237="DIESEL",SUMIFS(Table1[Quantity],Table1[Customer],$B237,Table1[Date],$A237,Table1[Bill No.],$C237),IF($K237="PETROL",SUMIFS(Table14[Quantity],Table14[Customer],$B237,Table14[Date],$A237,Table14[Bill No.],$C237),IF($K237="XtraGreen",SUMIFS(Table146[Quantity],Table146[Company],$B237,Table146[Date],$A237,Table146[Bill No.],$C237),""))))</f>
        <v/>
      </c>
      <c r="E237" s="219" t="str">
        <f>IF($A237="","",IF($K237="DIESEL",AVERAGEIFS(Table1[RSP],Table1[Customer],$B237,Table1[Date],$A237,Table1[Bill No.],$C237),IF($K237="PETROL",AVERAGEIFS(Table14[RSP],Table14[Customer],$B237,Table14[Date],$A237,Table14[Bill No.],$C237),IF($K237="XtraGreen",AVERAGEIFS(Table146[RSP],Table146[Company],$B237,Table146[Date],$A237,Table146[Bill No.],$C237),IFERROR($F237/$D237,"")))))</f>
        <v/>
      </c>
      <c r="F237" s="330" t="str">
        <f>IF($A237="","",IF($K237="DIESEL",SUMIFS(Table1[Amount],Table1[Customer],$B237,Table1[Date],$A237,Table1[Bill No.],$C237),IF($K237="PETROL",SUMIFS(Table14[Amount],Table14[Customer],$B237,Table14[Date],$A237,Table14[Bill No.],$C237),IF($K237="XtraGreen",SUMIFS(Table146[Amount],Table146[Company],$B237,Table146[Date],$A237,Table146[Bill No.],$C237),SUMIFS('Other Sale'!$D:$D,'Other Sale'!$E:$E,$B237,'Other Sale'!$C:$C,$K237,'Other Sale'!$A:$A,$A237)))))</f>
        <v/>
      </c>
      <c r="G237" s="330" t="str" cm="1">
        <f t="array" ref="G237">IF($A237="","",IF($K237="Payment",IFERROR(INDEX(_xlfn._xlws.FILTER(MasterPaid[Amount Paid],(MasterPaid[Customer]=$B237)*(MasterPaid[Date]=$A237)),COUNTIFS($A$6:$A237,$A237,$B$6:$B237,$B237,$K$6:$K237,"Payment")),0),0))</f>
        <v/>
      </c>
      <c r="H237" s="331"/>
      <c r="I237" s="331"/>
      <c r="J237" s="330" t="str">
        <f t="shared" si="4"/>
        <v/>
      </c>
      <c r="K237" s="289" t="str" cm="1">
        <f t="array" ref="K237">IFERROR(INDEX(_xlfn.ANCHORARRAY($Q$6),ROW()-5,4),"")</f>
        <v/>
      </c>
      <c r="L237" s="290"/>
      <c r="U237">
        <f>IF(OR($A237="",$F237=""),0,MAX(0,MIN($F237,SUMIFS($F$6:$F237,$B$6:$B237,$B237)-(SUMIFS($G$6:$G$355,$B$6:$B$355,$B237)+SUMIFS($H$6:$H$355,$B$6:$B$355,$B237)+SUMIFS($I$6:$I$355,$B$6:$B$355,$B237)))))</f>
        <v>0</v>
      </c>
    </row>
    <row r="238" spans="1:21" ht="23" x14ac:dyDescent="0.25">
      <c r="A238" s="217" t="str" cm="1">
        <f t="array" ref="A238">IFERROR(INDEX(_xlfn.ANCHORARRAY($Q$6),ROW()-5,1),"")</f>
        <v/>
      </c>
      <c r="B238" s="288" t="str" cm="1">
        <f t="array" ref="B238">IFERROR(INDEX(_xlfn.ANCHORARRAY($Q$6),ROW()-5,2),"")</f>
        <v/>
      </c>
      <c r="C238" s="289" t="str" cm="1">
        <f t="array" ref="C238">IFERROR(INDEX(_xlfn.ANCHORARRAY($Q$6),ROW()-5,3),"")</f>
        <v/>
      </c>
      <c r="D238" s="218" t="str">
        <f>IF($A238="","",IF($K238="DIESEL",SUMIFS(Table1[Quantity],Table1[Customer],$B238,Table1[Date],$A238,Table1[Bill No.],$C238),IF($K238="PETROL",SUMIFS(Table14[Quantity],Table14[Customer],$B238,Table14[Date],$A238,Table14[Bill No.],$C238),IF($K238="XtraGreen",SUMIFS(Table146[Quantity],Table146[Company],$B238,Table146[Date],$A238,Table146[Bill No.],$C238),""))))</f>
        <v/>
      </c>
      <c r="E238" s="219" t="str">
        <f>IF($A238="","",IF($K238="DIESEL",AVERAGEIFS(Table1[RSP],Table1[Customer],$B238,Table1[Date],$A238,Table1[Bill No.],$C238),IF($K238="PETROL",AVERAGEIFS(Table14[RSP],Table14[Customer],$B238,Table14[Date],$A238,Table14[Bill No.],$C238),IF($K238="XtraGreen",AVERAGEIFS(Table146[RSP],Table146[Company],$B238,Table146[Date],$A238,Table146[Bill No.],$C238),IFERROR($F238/$D238,"")))))</f>
        <v/>
      </c>
      <c r="F238" s="330" t="str">
        <f>IF($A238="","",IF($K238="DIESEL",SUMIFS(Table1[Amount],Table1[Customer],$B238,Table1[Date],$A238,Table1[Bill No.],$C238),IF($K238="PETROL",SUMIFS(Table14[Amount],Table14[Customer],$B238,Table14[Date],$A238,Table14[Bill No.],$C238),IF($K238="XtraGreen",SUMIFS(Table146[Amount],Table146[Company],$B238,Table146[Date],$A238,Table146[Bill No.],$C238),SUMIFS('Other Sale'!$D:$D,'Other Sale'!$E:$E,$B238,'Other Sale'!$C:$C,$K238,'Other Sale'!$A:$A,$A238)))))</f>
        <v/>
      </c>
      <c r="G238" s="330" t="str" cm="1">
        <f t="array" ref="G238">IF($A238="","",IF($K238="Payment",IFERROR(INDEX(_xlfn._xlws.FILTER(MasterPaid[Amount Paid],(MasterPaid[Customer]=$B238)*(MasterPaid[Date]=$A238)),COUNTIFS($A$6:$A238,$A238,$B$6:$B238,$B238,$K$6:$K238,"Payment")),0),0))</f>
        <v/>
      </c>
      <c r="H238" s="331"/>
      <c r="I238" s="331"/>
      <c r="J238" s="330" t="str">
        <f t="shared" si="4"/>
        <v/>
      </c>
      <c r="K238" s="289" t="str" cm="1">
        <f t="array" ref="K238">IFERROR(INDEX(_xlfn.ANCHORARRAY($Q$6),ROW()-5,4),"")</f>
        <v/>
      </c>
      <c r="L238" s="290"/>
      <c r="U238">
        <f>IF(OR($A238="",$F238=""),0,MAX(0,MIN($F238,SUMIFS($F$6:$F238,$B$6:$B238,$B238)-(SUMIFS($G$6:$G$355,$B$6:$B$355,$B238)+SUMIFS($H$6:$H$355,$B$6:$B$355,$B238)+SUMIFS($I$6:$I$355,$B$6:$B$355,$B238)))))</f>
        <v>0</v>
      </c>
    </row>
    <row r="239" spans="1:21" ht="23" x14ac:dyDescent="0.25">
      <c r="A239" s="217" t="str" cm="1">
        <f t="array" ref="A239">IFERROR(INDEX(_xlfn.ANCHORARRAY($Q$6),ROW()-5,1),"")</f>
        <v/>
      </c>
      <c r="B239" s="288" t="str" cm="1">
        <f t="array" ref="B239">IFERROR(INDEX(_xlfn.ANCHORARRAY($Q$6),ROW()-5,2),"")</f>
        <v/>
      </c>
      <c r="C239" s="289" t="str" cm="1">
        <f t="array" ref="C239">IFERROR(INDEX(_xlfn.ANCHORARRAY($Q$6),ROW()-5,3),"")</f>
        <v/>
      </c>
      <c r="D239" s="218" t="str">
        <f>IF($A239="","",IF($K239="DIESEL",SUMIFS(Table1[Quantity],Table1[Customer],$B239,Table1[Date],$A239,Table1[Bill No.],$C239),IF($K239="PETROL",SUMIFS(Table14[Quantity],Table14[Customer],$B239,Table14[Date],$A239,Table14[Bill No.],$C239),IF($K239="XtraGreen",SUMIFS(Table146[Quantity],Table146[Company],$B239,Table146[Date],$A239,Table146[Bill No.],$C239),""))))</f>
        <v/>
      </c>
      <c r="E239" s="219" t="str">
        <f>IF($A239="","",IF($K239="DIESEL",AVERAGEIFS(Table1[RSP],Table1[Customer],$B239,Table1[Date],$A239,Table1[Bill No.],$C239),IF($K239="PETROL",AVERAGEIFS(Table14[RSP],Table14[Customer],$B239,Table14[Date],$A239,Table14[Bill No.],$C239),IF($K239="XtraGreen",AVERAGEIFS(Table146[RSP],Table146[Company],$B239,Table146[Date],$A239,Table146[Bill No.],$C239),IFERROR($F239/$D239,"")))))</f>
        <v/>
      </c>
      <c r="F239" s="330" t="str">
        <f>IF($A239="","",IF($K239="DIESEL",SUMIFS(Table1[Amount],Table1[Customer],$B239,Table1[Date],$A239,Table1[Bill No.],$C239),IF($K239="PETROL",SUMIFS(Table14[Amount],Table14[Customer],$B239,Table14[Date],$A239,Table14[Bill No.],$C239),IF($K239="XtraGreen",SUMIFS(Table146[Amount],Table146[Company],$B239,Table146[Date],$A239,Table146[Bill No.],$C239),SUMIFS('Other Sale'!$D:$D,'Other Sale'!$E:$E,$B239,'Other Sale'!$C:$C,$K239,'Other Sale'!$A:$A,$A239)))))</f>
        <v/>
      </c>
      <c r="G239" s="330" t="str" cm="1">
        <f t="array" ref="G239">IF($A239="","",IF($K239="Payment",IFERROR(INDEX(_xlfn._xlws.FILTER(MasterPaid[Amount Paid],(MasterPaid[Customer]=$B239)*(MasterPaid[Date]=$A239)),COUNTIFS($A$6:$A239,$A239,$B$6:$B239,$B239,$K$6:$K239,"Payment")),0),0))</f>
        <v/>
      </c>
      <c r="H239" s="331"/>
      <c r="I239" s="331"/>
      <c r="J239" s="330" t="str">
        <f t="shared" si="4"/>
        <v/>
      </c>
      <c r="K239" s="289" t="str" cm="1">
        <f t="array" ref="K239">IFERROR(INDEX(_xlfn.ANCHORARRAY($Q$6),ROW()-5,4),"")</f>
        <v/>
      </c>
      <c r="L239" s="290"/>
      <c r="U239">
        <f>IF(OR($A239="",$F239=""),0,MAX(0,MIN($F239,SUMIFS($F$6:$F239,$B$6:$B239,$B239)-(SUMIFS($G$6:$G$355,$B$6:$B$355,$B239)+SUMIFS($H$6:$H$355,$B$6:$B$355,$B239)+SUMIFS($I$6:$I$355,$B$6:$B$355,$B239)))))</f>
        <v>0</v>
      </c>
    </row>
    <row r="240" spans="1:21" ht="23" x14ac:dyDescent="0.25">
      <c r="A240" s="217" t="str" cm="1">
        <f t="array" ref="A240">IFERROR(INDEX(_xlfn.ANCHORARRAY($Q$6),ROW()-5,1),"")</f>
        <v/>
      </c>
      <c r="B240" s="288" t="str" cm="1">
        <f t="array" ref="B240">IFERROR(INDEX(_xlfn.ANCHORARRAY($Q$6),ROW()-5,2),"")</f>
        <v/>
      </c>
      <c r="C240" s="289" t="str" cm="1">
        <f t="array" ref="C240">IFERROR(INDEX(_xlfn.ANCHORARRAY($Q$6),ROW()-5,3),"")</f>
        <v/>
      </c>
      <c r="D240" s="218" t="str">
        <f>IF($A240="","",IF($K240="DIESEL",SUMIFS(Table1[Quantity],Table1[Customer],$B240,Table1[Date],$A240,Table1[Bill No.],$C240),IF($K240="PETROL",SUMIFS(Table14[Quantity],Table14[Customer],$B240,Table14[Date],$A240,Table14[Bill No.],$C240),IF($K240="XtraGreen",SUMIFS(Table146[Quantity],Table146[Company],$B240,Table146[Date],$A240,Table146[Bill No.],$C240),""))))</f>
        <v/>
      </c>
      <c r="E240" s="219" t="str">
        <f>IF($A240="","",IF($K240="DIESEL",AVERAGEIFS(Table1[RSP],Table1[Customer],$B240,Table1[Date],$A240,Table1[Bill No.],$C240),IF($K240="PETROL",AVERAGEIFS(Table14[RSP],Table14[Customer],$B240,Table14[Date],$A240,Table14[Bill No.],$C240),IF($K240="XtraGreen",AVERAGEIFS(Table146[RSP],Table146[Company],$B240,Table146[Date],$A240,Table146[Bill No.],$C240),IFERROR($F240/$D240,"")))))</f>
        <v/>
      </c>
      <c r="F240" s="330" t="str">
        <f>IF($A240="","",IF($K240="DIESEL",SUMIFS(Table1[Amount],Table1[Customer],$B240,Table1[Date],$A240,Table1[Bill No.],$C240),IF($K240="PETROL",SUMIFS(Table14[Amount],Table14[Customer],$B240,Table14[Date],$A240,Table14[Bill No.],$C240),IF($K240="XtraGreen",SUMIFS(Table146[Amount],Table146[Company],$B240,Table146[Date],$A240,Table146[Bill No.],$C240),SUMIFS('Other Sale'!$D:$D,'Other Sale'!$E:$E,$B240,'Other Sale'!$C:$C,$K240,'Other Sale'!$A:$A,$A240)))))</f>
        <v/>
      </c>
      <c r="G240" s="330" t="str" cm="1">
        <f t="array" ref="G240">IF($A240="","",IF($K240="Payment",IFERROR(INDEX(_xlfn._xlws.FILTER(MasterPaid[Amount Paid],(MasterPaid[Customer]=$B240)*(MasterPaid[Date]=$A240)),COUNTIFS($A$6:$A240,$A240,$B$6:$B240,$B240,$K$6:$K240,"Payment")),0),0))</f>
        <v/>
      </c>
      <c r="H240" s="331"/>
      <c r="I240" s="331"/>
      <c r="J240" s="330" t="str">
        <f t="shared" si="4"/>
        <v/>
      </c>
      <c r="K240" s="289" t="str" cm="1">
        <f t="array" ref="K240">IFERROR(INDEX(_xlfn.ANCHORARRAY($Q$6),ROW()-5,4),"")</f>
        <v/>
      </c>
      <c r="L240" s="290"/>
      <c r="U240">
        <f>IF(OR($A240="",$F240=""),0,MAX(0,MIN($F240,SUMIFS($F$6:$F240,$B$6:$B240,$B240)-(SUMIFS($G$6:$G$355,$B$6:$B$355,$B240)+SUMIFS($H$6:$H$355,$B$6:$B$355,$B240)+SUMIFS($I$6:$I$355,$B$6:$B$355,$B240)))))</f>
        <v>0</v>
      </c>
    </row>
    <row r="241" spans="1:21" ht="23" x14ac:dyDescent="0.25">
      <c r="A241" s="217" t="str" cm="1">
        <f t="array" ref="A241">IFERROR(INDEX(_xlfn.ANCHORARRAY($Q$6),ROW()-5,1),"")</f>
        <v/>
      </c>
      <c r="B241" s="288" t="str" cm="1">
        <f t="array" ref="B241">IFERROR(INDEX(_xlfn.ANCHORARRAY($Q$6),ROW()-5,2),"")</f>
        <v/>
      </c>
      <c r="C241" s="289" t="str" cm="1">
        <f t="array" ref="C241">IFERROR(INDEX(_xlfn.ANCHORARRAY($Q$6),ROW()-5,3),"")</f>
        <v/>
      </c>
      <c r="D241" s="218" t="str">
        <f>IF($A241="","",IF($K241="DIESEL",SUMIFS(Table1[Quantity],Table1[Customer],$B241,Table1[Date],$A241,Table1[Bill No.],$C241),IF($K241="PETROL",SUMIFS(Table14[Quantity],Table14[Customer],$B241,Table14[Date],$A241,Table14[Bill No.],$C241),IF($K241="XtraGreen",SUMIFS(Table146[Quantity],Table146[Company],$B241,Table146[Date],$A241,Table146[Bill No.],$C241),""))))</f>
        <v/>
      </c>
      <c r="E241" s="219" t="str">
        <f>IF($A241="","",IF($K241="DIESEL",AVERAGEIFS(Table1[RSP],Table1[Customer],$B241,Table1[Date],$A241,Table1[Bill No.],$C241),IF($K241="PETROL",AVERAGEIFS(Table14[RSP],Table14[Customer],$B241,Table14[Date],$A241,Table14[Bill No.],$C241),IF($K241="XtraGreen",AVERAGEIFS(Table146[RSP],Table146[Company],$B241,Table146[Date],$A241,Table146[Bill No.],$C241),IFERROR($F241/$D241,"")))))</f>
        <v/>
      </c>
      <c r="F241" s="330" t="str">
        <f>IF($A241="","",IF($K241="DIESEL",SUMIFS(Table1[Amount],Table1[Customer],$B241,Table1[Date],$A241,Table1[Bill No.],$C241),IF($K241="PETROL",SUMIFS(Table14[Amount],Table14[Customer],$B241,Table14[Date],$A241,Table14[Bill No.],$C241),IF($K241="XtraGreen",SUMIFS(Table146[Amount],Table146[Company],$B241,Table146[Date],$A241,Table146[Bill No.],$C241),SUMIFS('Other Sale'!$D:$D,'Other Sale'!$E:$E,$B241,'Other Sale'!$C:$C,$K241,'Other Sale'!$A:$A,$A241)))))</f>
        <v/>
      </c>
      <c r="G241" s="330" t="str" cm="1">
        <f t="array" ref="G241">IF($A241="","",IF($K241="Payment",IFERROR(INDEX(_xlfn._xlws.FILTER(MasterPaid[Amount Paid],(MasterPaid[Customer]=$B241)*(MasterPaid[Date]=$A241)),COUNTIFS($A$6:$A241,$A241,$B$6:$B241,$B241,$K$6:$K241,"Payment")),0),0))</f>
        <v/>
      </c>
      <c r="H241" s="331"/>
      <c r="I241" s="331"/>
      <c r="J241" s="330" t="str">
        <f t="shared" si="4"/>
        <v/>
      </c>
      <c r="K241" s="289" t="str" cm="1">
        <f t="array" ref="K241">IFERROR(INDEX(_xlfn.ANCHORARRAY($Q$6),ROW()-5,4),"")</f>
        <v/>
      </c>
      <c r="L241" s="290"/>
      <c r="U241">
        <f>IF(OR($A241="",$F241=""),0,MAX(0,MIN($F241,SUMIFS($F$6:$F241,$B$6:$B241,$B241)-(SUMIFS($G$6:$G$355,$B$6:$B$355,$B241)+SUMIFS($H$6:$H$355,$B$6:$B$355,$B241)+SUMIFS($I$6:$I$355,$B$6:$B$355,$B241)))))</f>
        <v>0</v>
      </c>
    </row>
    <row r="242" spans="1:21" ht="23" x14ac:dyDescent="0.25">
      <c r="A242" s="217" t="str" cm="1">
        <f t="array" ref="A242">IFERROR(INDEX(_xlfn.ANCHORARRAY($Q$6),ROW()-5,1),"")</f>
        <v/>
      </c>
      <c r="B242" s="288" t="str" cm="1">
        <f t="array" ref="B242">IFERROR(INDEX(_xlfn.ANCHORARRAY($Q$6),ROW()-5,2),"")</f>
        <v/>
      </c>
      <c r="C242" s="289" t="str" cm="1">
        <f t="array" ref="C242">IFERROR(INDEX(_xlfn.ANCHORARRAY($Q$6),ROW()-5,3),"")</f>
        <v/>
      </c>
      <c r="D242" s="218" t="str">
        <f>IF($A242="","",IF($K242="DIESEL",SUMIFS(Table1[Quantity],Table1[Customer],$B242,Table1[Date],$A242,Table1[Bill No.],$C242),IF($K242="PETROL",SUMIFS(Table14[Quantity],Table14[Customer],$B242,Table14[Date],$A242,Table14[Bill No.],$C242),IF($K242="XtraGreen",SUMIFS(Table146[Quantity],Table146[Company],$B242,Table146[Date],$A242,Table146[Bill No.],$C242),""))))</f>
        <v/>
      </c>
      <c r="E242" s="219" t="str">
        <f>IF($A242="","",IF($K242="DIESEL",AVERAGEIFS(Table1[RSP],Table1[Customer],$B242,Table1[Date],$A242,Table1[Bill No.],$C242),IF($K242="PETROL",AVERAGEIFS(Table14[RSP],Table14[Customer],$B242,Table14[Date],$A242,Table14[Bill No.],$C242),IF($K242="XtraGreen",AVERAGEIFS(Table146[RSP],Table146[Company],$B242,Table146[Date],$A242,Table146[Bill No.],$C242),IFERROR($F242/$D242,"")))))</f>
        <v/>
      </c>
      <c r="F242" s="330" t="str">
        <f>IF($A242="","",IF($K242="DIESEL",SUMIFS(Table1[Amount],Table1[Customer],$B242,Table1[Date],$A242,Table1[Bill No.],$C242),IF($K242="PETROL",SUMIFS(Table14[Amount],Table14[Customer],$B242,Table14[Date],$A242,Table14[Bill No.],$C242),IF($K242="XtraGreen",SUMIFS(Table146[Amount],Table146[Company],$B242,Table146[Date],$A242,Table146[Bill No.],$C242),SUMIFS('Other Sale'!$D:$D,'Other Sale'!$E:$E,$B242,'Other Sale'!$C:$C,$K242,'Other Sale'!$A:$A,$A242)))))</f>
        <v/>
      </c>
      <c r="G242" s="330" t="str" cm="1">
        <f t="array" ref="G242">IF($A242="","",IF($K242="Payment",IFERROR(INDEX(_xlfn._xlws.FILTER(MasterPaid[Amount Paid],(MasterPaid[Customer]=$B242)*(MasterPaid[Date]=$A242)),COUNTIFS($A$6:$A242,$A242,$B$6:$B242,$B242,$K$6:$K242,"Payment")),0),0))</f>
        <v/>
      </c>
      <c r="H242" s="331"/>
      <c r="I242" s="331"/>
      <c r="J242" s="330" t="str">
        <f t="shared" si="4"/>
        <v/>
      </c>
      <c r="K242" s="289" t="str" cm="1">
        <f t="array" ref="K242">IFERROR(INDEX(_xlfn.ANCHORARRAY($Q$6),ROW()-5,4),"")</f>
        <v/>
      </c>
      <c r="L242" s="290"/>
      <c r="U242">
        <f>IF(OR($A242="",$F242=""),0,MAX(0,MIN($F242,SUMIFS($F$6:$F242,$B$6:$B242,$B242)-(SUMIFS($G$6:$G$355,$B$6:$B$355,$B242)+SUMIFS($H$6:$H$355,$B$6:$B$355,$B242)+SUMIFS($I$6:$I$355,$B$6:$B$355,$B242)))))</f>
        <v>0</v>
      </c>
    </row>
    <row r="243" spans="1:21" ht="23" x14ac:dyDescent="0.25">
      <c r="A243" s="217" t="str" cm="1">
        <f t="array" ref="A243">IFERROR(INDEX(_xlfn.ANCHORARRAY($Q$6),ROW()-5,1),"")</f>
        <v/>
      </c>
      <c r="B243" s="288" t="str" cm="1">
        <f t="array" ref="B243">IFERROR(INDEX(_xlfn.ANCHORARRAY($Q$6),ROW()-5,2),"")</f>
        <v/>
      </c>
      <c r="C243" s="289" t="str" cm="1">
        <f t="array" ref="C243">IFERROR(INDEX(_xlfn.ANCHORARRAY($Q$6),ROW()-5,3),"")</f>
        <v/>
      </c>
      <c r="D243" s="218" t="str">
        <f>IF($A243="","",IF($K243="DIESEL",SUMIFS(Table1[Quantity],Table1[Customer],$B243,Table1[Date],$A243,Table1[Bill No.],$C243),IF($K243="PETROL",SUMIFS(Table14[Quantity],Table14[Customer],$B243,Table14[Date],$A243,Table14[Bill No.],$C243),IF($K243="XtraGreen",SUMIFS(Table146[Quantity],Table146[Company],$B243,Table146[Date],$A243,Table146[Bill No.],$C243),""))))</f>
        <v/>
      </c>
      <c r="E243" s="219" t="str">
        <f>IF($A243="","",IF($K243="DIESEL",AVERAGEIFS(Table1[RSP],Table1[Customer],$B243,Table1[Date],$A243,Table1[Bill No.],$C243),IF($K243="PETROL",AVERAGEIFS(Table14[RSP],Table14[Customer],$B243,Table14[Date],$A243,Table14[Bill No.],$C243),IF($K243="XtraGreen",AVERAGEIFS(Table146[RSP],Table146[Company],$B243,Table146[Date],$A243,Table146[Bill No.],$C243),IFERROR($F243/$D243,"")))))</f>
        <v/>
      </c>
      <c r="F243" s="330" t="str">
        <f>IF($A243="","",IF($K243="DIESEL",SUMIFS(Table1[Amount],Table1[Customer],$B243,Table1[Date],$A243,Table1[Bill No.],$C243),IF($K243="PETROL",SUMIFS(Table14[Amount],Table14[Customer],$B243,Table14[Date],$A243,Table14[Bill No.],$C243),IF($K243="XtraGreen",SUMIFS(Table146[Amount],Table146[Company],$B243,Table146[Date],$A243,Table146[Bill No.],$C243),SUMIFS('Other Sale'!$D:$D,'Other Sale'!$E:$E,$B243,'Other Sale'!$C:$C,$K243,'Other Sale'!$A:$A,$A243)))))</f>
        <v/>
      </c>
      <c r="G243" s="330" t="str" cm="1">
        <f t="array" ref="G243">IF($A243="","",IF($K243="Payment",IFERROR(INDEX(_xlfn._xlws.FILTER(MasterPaid[Amount Paid],(MasterPaid[Customer]=$B243)*(MasterPaid[Date]=$A243)),COUNTIFS($A$6:$A243,$A243,$B$6:$B243,$B243,$K$6:$K243,"Payment")),0),0))</f>
        <v/>
      </c>
      <c r="H243" s="331"/>
      <c r="I243" s="331"/>
      <c r="J243" s="330" t="str">
        <f t="shared" si="4"/>
        <v/>
      </c>
      <c r="K243" s="289" t="str" cm="1">
        <f t="array" ref="K243">IFERROR(INDEX(_xlfn.ANCHORARRAY($Q$6),ROW()-5,4),"")</f>
        <v/>
      </c>
      <c r="L243" s="290"/>
      <c r="U243">
        <f>IF(OR($A243="",$F243=""),0,MAX(0,MIN($F243,SUMIFS($F$6:$F243,$B$6:$B243,$B243)-(SUMIFS($G$6:$G$355,$B$6:$B$355,$B243)+SUMIFS($H$6:$H$355,$B$6:$B$355,$B243)+SUMIFS($I$6:$I$355,$B$6:$B$355,$B243)))))</f>
        <v>0</v>
      </c>
    </row>
    <row r="244" spans="1:21" ht="23" x14ac:dyDescent="0.25">
      <c r="A244" s="217" t="str" cm="1">
        <f t="array" ref="A244">IFERROR(INDEX(_xlfn.ANCHORARRAY($Q$6),ROW()-5,1),"")</f>
        <v/>
      </c>
      <c r="B244" s="288" t="str" cm="1">
        <f t="array" ref="B244">IFERROR(INDEX(_xlfn.ANCHORARRAY($Q$6),ROW()-5,2),"")</f>
        <v/>
      </c>
      <c r="C244" s="289" t="str" cm="1">
        <f t="array" ref="C244">IFERROR(INDEX(_xlfn.ANCHORARRAY($Q$6),ROW()-5,3),"")</f>
        <v/>
      </c>
      <c r="D244" s="218" t="str">
        <f>IF($A244="","",IF($K244="DIESEL",SUMIFS(Table1[Quantity],Table1[Customer],$B244,Table1[Date],$A244,Table1[Bill No.],$C244),IF($K244="PETROL",SUMIFS(Table14[Quantity],Table14[Customer],$B244,Table14[Date],$A244,Table14[Bill No.],$C244),IF($K244="XtraGreen",SUMIFS(Table146[Quantity],Table146[Company],$B244,Table146[Date],$A244,Table146[Bill No.],$C244),""))))</f>
        <v/>
      </c>
      <c r="E244" s="219" t="str">
        <f>IF($A244="","",IF($K244="DIESEL",AVERAGEIFS(Table1[RSP],Table1[Customer],$B244,Table1[Date],$A244,Table1[Bill No.],$C244),IF($K244="PETROL",AVERAGEIFS(Table14[RSP],Table14[Customer],$B244,Table14[Date],$A244,Table14[Bill No.],$C244),IF($K244="XtraGreen",AVERAGEIFS(Table146[RSP],Table146[Company],$B244,Table146[Date],$A244,Table146[Bill No.],$C244),IFERROR($F244/$D244,"")))))</f>
        <v/>
      </c>
      <c r="F244" s="330" t="str">
        <f>IF($A244="","",IF($K244="DIESEL",SUMIFS(Table1[Amount],Table1[Customer],$B244,Table1[Date],$A244,Table1[Bill No.],$C244),IF($K244="PETROL",SUMIFS(Table14[Amount],Table14[Customer],$B244,Table14[Date],$A244,Table14[Bill No.],$C244),IF($K244="XtraGreen",SUMIFS(Table146[Amount],Table146[Company],$B244,Table146[Date],$A244,Table146[Bill No.],$C244),SUMIFS('Other Sale'!$D:$D,'Other Sale'!$E:$E,$B244,'Other Sale'!$C:$C,$K244,'Other Sale'!$A:$A,$A244)))))</f>
        <v/>
      </c>
      <c r="G244" s="330" t="str" cm="1">
        <f t="array" ref="G244">IF($A244="","",IF($K244="Payment",IFERROR(INDEX(_xlfn._xlws.FILTER(MasterPaid[Amount Paid],(MasterPaid[Customer]=$B244)*(MasterPaid[Date]=$A244)),COUNTIFS($A$6:$A244,$A244,$B$6:$B244,$B244,$K$6:$K244,"Payment")),0),0))</f>
        <v/>
      </c>
      <c r="H244" s="331"/>
      <c r="I244" s="331"/>
      <c r="J244" s="330" t="str">
        <f t="shared" si="4"/>
        <v/>
      </c>
      <c r="K244" s="289" t="str" cm="1">
        <f t="array" ref="K244">IFERROR(INDEX(_xlfn.ANCHORARRAY($Q$6),ROW()-5,4),"")</f>
        <v/>
      </c>
      <c r="L244" s="290"/>
      <c r="U244">
        <f>IF(OR($A244="",$F244=""),0,MAX(0,MIN($F244,SUMIFS($F$6:$F244,$B$6:$B244,$B244)-(SUMIFS($G$6:$G$355,$B$6:$B$355,$B244)+SUMIFS($H$6:$H$355,$B$6:$B$355,$B244)+SUMIFS($I$6:$I$355,$B$6:$B$355,$B244)))))</f>
        <v>0</v>
      </c>
    </row>
    <row r="245" spans="1:21" ht="23" x14ac:dyDescent="0.25">
      <c r="A245" s="217" t="str" cm="1">
        <f t="array" ref="A245">IFERROR(INDEX(_xlfn.ANCHORARRAY($Q$6),ROW()-5,1),"")</f>
        <v/>
      </c>
      <c r="B245" s="288" t="str" cm="1">
        <f t="array" ref="B245">IFERROR(INDEX(_xlfn.ANCHORARRAY($Q$6),ROW()-5,2),"")</f>
        <v/>
      </c>
      <c r="C245" s="289" t="str" cm="1">
        <f t="array" ref="C245">IFERROR(INDEX(_xlfn.ANCHORARRAY($Q$6),ROW()-5,3),"")</f>
        <v/>
      </c>
      <c r="D245" s="218" t="str">
        <f>IF($A245="","",IF($K245="DIESEL",SUMIFS(Table1[Quantity],Table1[Customer],$B245,Table1[Date],$A245,Table1[Bill No.],$C245),IF($K245="PETROL",SUMIFS(Table14[Quantity],Table14[Customer],$B245,Table14[Date],$A245,Table14[Bill No.],$C245),IF($K245="XtraGreen",SUMIFS(Table146[Quantity],Table146[Company],$B245,Table146[Date],$A245,Table146[Bill No.],$C245),""))))</f>
        <v/>
      </c>
      <c r="E245" s="219" t="str">
        <f>IF($A245="","",IF($K245="DIESEL",AVERAGEIFS(Table1[RSP],Table1[Customer],$B245,Table1[Date],$A245,Table1[Bill No.],$C245),IF($K245="PETROL",AVERAGEIFS(Table14[RSP],Table14[Customer],$B245,Table14[Date],$A245,Table14[Bill No.],$C245),IF($K245="XtraGreen",AVERAGEIFS(Table146[RSP],Table146[Company],$B245,Table146[Date],$A245,Table146[Bill No.],$C245),IFERROR($F245/$D245,"")))))</f>
        <v/>
      </c>
      <c r="F245" s="330" t="str">
        <f>IF($A245="","",IF($K245="DIESEL",SUMIFS(Table1[Amount],Table1[Customer],$B245,Table1[Date],$A245,Table1[Bill No.],$C245),IF($K245="PETROL",SUMIFS(Table14[Amount],Table14[Customer],$B245,Table14[Date],$A245,Table14[Bill No.],$C245),IF($K245="XtraGreen",SUMIFS(Table146[Amount],Table146[Company],$B245,Table146[Date],$A245,Table146[Bill No.],$C245),SUMIFS('Other Sale'!$D:$D,'Other Sale'!$E:$E,$B245,'Other Sale'!$C:$C,$K245,'Other Sale'!$A:$A,$A245)))))</f>
        <v/>
      </c>
      <c r="G245" s="330" t="str" cm="1">
        <f t="array" ref="G245">IF($A245="","",IF($K245="Payment",IFERROR(INDEX(_xlfn._xlws.FILTER(MasterPaid[Amount Paid],(MasterPaid[Customer]=$B245)*(MasterPaid[Date]=$A245)),COUNTIFS($A$6:$A245,$A245,$B$6:$B245,$B245,$K$6:$K245,"Payment")),0),0))</f>
        <v/>
      </c>
      <c r="H245" s="331"/>
      <c r="I245" s="331"/>
      <c r="J245" s="330" t="str">
        <f t="shared" si="4"/>
        <v/>
      </c>
      <c r="K245" s="289" t="str" cm="1">
        <f t="array" ref="K245">IFERROR(INDEX(_xlfn.ANCHORARRAY($Q$6),ROW()-5,4),"")</f>
        <v/>
      </c>
      <c r="L245" s="290"/>
      <c r="U245">
        <f>IF(OR($A245="",$F245=""),0,MAX(0,MIN($F245,SUMIFS($F$6:$F245,$B$6:$B245,$B245)-(SUMIFS($G$6:$G$355,$B$6:$B$355,$B245)+SUMIFS($H$6:$H$355,$B$6:$B$355,$B245)+SUMIFS($I$6:$I$355,$B$6:$B$355,$B245)))))</f>
        <v>0</v>
      </c>
    </row>
    <row r="246" spans="1:21" ht="23" x14ac:dyDescent="0.25">
      <c r="A246" s="217" t="str" cm="1">
        <f t="array" ref="A246">IFERROR(INDEX(_xlfn.ANCHORARRAY($Q$6),ROW()-5,1),"")</f>
        <v/>
      </c>
      <c r="B246" s="288" t="str" cm="1">
        <f t="array" ref="B246">IFERROR(INDEX(_xlfn.ANCHORARRAY($Q$6),ROW()-5,2),"")</f>
        <v/>
      </c>
      <c r="C246" s="289" t="str" cm="1">
        <f t="array" ref="C246">IFERROR(INDEX(_xlfn.ANCHORARRAY($Q$6),ROW()-5,3),"")</f>
        <v/>
      </c>
      <c r="D246" s="218" t="str">
        <f>IF($A246="","",IF($K246="DIESEL",SUMIFS(Table1[Quantity],Table1[Customer],$B246,Table1[Date],$A246,Table1[Bill No.],$C246),IF($K246="PETROL",SUMIFS(Table14[Quantity],Table14[Customer],$B246,Table14[Date],$A246,Table14[Bill No.],$C246),IF($K246="XtraGreen",SUMIFS(Table146[Quantity],Table146[Company],$B246,Table146[Date],$A246,Table146[Bill No.],$C246),""))))</f>
        <v/>
      </c>
      <c r="E246" s="219" t="str">
        <f>IF($A246="","",IF($K246="DIESEL",AVERAGEIFS(Table1[RSP],Table1[Customer],$B246,Table1[Date],$A246,Table1[Bill No.],$C246),IF($K246="PETROL",AVERAGEIFS(Table14[RSP],Table14[Customer],$B246,Table14[Date],$A246,Table14[Bill No.],$C246),IF($K246="XtraGreen",AVERAGEIFS(Table146[RSP],Table146[Company],$B246,Table146[Date],$A246,Table146[Bill No.],$C246),IFERROR($F246/$D246,"")))))</f>
        <v/>
      </c>
      <c r="F246" s="330" t="str">
        <f>IF($A246="","",IF($K246="DIESEL",SUMIFS(Table1[Amount],Table1[Customer],$B246,Table1[Date],$A246,Table1[Bill No.],$C246),IF($K246="PETROL",SUMIFS(Table14[Amount],Table14[Customer],$B246,Table14[Date],$A246,Table14[Bill No.],$C246),IF($K246="XtraGreen",SUMIFS(Table146[Amount],Table146[Company],$B246,Table146[Date],$A246,Table146[Bill No.],$C246),SUMIFS('Other Sale'!$D:$D,'Other Sale'!$E:$E,$B246,'Other Sale'!$C:$C,$K246,'Other Sale'!$A:$A,$A246)))))</f>
        <v/>
      </c>
      <c r="G246" s="330" t="str" cm="1">
        <f t="array" ref="G246">IF($A246="","",IF($K246="Payment",IFERROR(INDEX(_xlfn._xlws.FILTER(MasterPaid[Amount Paid],(MasterPaid[Customer]=$B246)*(MasterPaid[Date]=$A246)),COUNTIFS($A$6:$A246,$A246,$B$6:$B246,$B246,$K$6:$K246,"Payment")),0),0))</f>
        <v/>
      </c>
      <c r="H246" s="331"/>
      <c r="I246" s="331"/>
      <c r="J246" s="330" t="str">
        <f t="shared" si="4"/>
        <v/>
      </c>
      <c r="K246" s="289" t="str" cm="1">
        <f t="array" ref="K246">IFERROR(INDEX(_xlfn.ANCHORARRAY($Q$6),ROW()-5,4),"")</f>
        <v/>
      </c>
      <c r="L246" s="290"/>
      <c r="U246">
        <f>IF(OR($A246="",$F246=""),0,MAX(0,MIN($F246,SUMIFS($F$6:$F246,$B$6:$B246,$B246)-(SUMIFS($G$6:$G$355,$B$6:$B$355,$B246)+SUMIFS($H$6:$H$355,$B$6:$B$355,$B246)+SUMIFS($I$6:$I$355,$B$6:$B$355,$B246)))))</f>
        <v>0</v>
      </c>
    </row>
    <row r="247" spans="1:21" ht="23" x14ac:dyDescent="0.25">
      <c r="A247" s="217" t="str" cm="1">
        <f t="array" ref="A247">IFERROR(INDEX(_xlfn.ANCHORARRAY($Q$6),ROW()-5,1),"")</f>
        <v/>
      </c>
      <c r="B247" s="288" t="str" cm="1">
        <f t="array" ref="B247">IFERROR(INDEX(_xlfn.ANCHORARRAY($Q$6),ROW()-5,2),"")</f>
        <v/>
      </c>
      <c r="C247" s="289" t="str" cm="1">
        <f t="array" ref="C247">IFERROR(INDEX(_xlfn.ANCHORARRAY($Q$6),ROW()-5,3),"")</f>
        <v/>
      </c>
      <c r="D247" s="218" t="str">
        <f>IF($A247="","",IF($K247="DIESEL",SUMIFS(Table1[Quantity],Table1[Customer],$B247,Table1[Date],$A247,Table1[Bill No.],$C247),IF($K247="PETROL",SUMIFS(Table14[Quantity],Table14[Customer],$B247,Table14[Date],$A247,Table14[Bill No.],$C247),IF($K247="XtraGreen",SUMIFS(Table146[Quantity],Table146[Company],$B247,Table146[Date],$A247,Table146[Bill No.],$C247),""))))</f>
        <v/>
      </c>
      <c r="E247" s="219" t="str">
        <f>IF($A247="","",IF($K247="DIESEL",AVERAGEIFS(Table1[RSP],Table1[Customer],$B247,Table1[Date],$A247,Table1[Bill No.],$C247),IF($K247="PETROL",AVERAGEIFS(Table14[RSP],Table14[Customer],$B247,Table14[Date],$A247,Table14[Bill No.],$C247),IF($K247="XtraGreen",AVERAGEIFS(Table146[RSP],Table146[Company],$B247,Table146[Date],$A247,Table146[Bill No.],$C247),IFERROR($F247/$D247,"")))))</f>
        <v/>
      </c>
      <c r="F247" s="330" t="str">
        <f>IF($A247="","",IF($K247="DIESEL",SUMIFS(Table1[Amount],Table1[Customer],$B247,Table1[Date],$A247,Table1[Bill No.],$C247),IF($K247="PETROL",SUMIFS(Table14[Amount],Table14[Customer],$B247,Table14[Date],$A247,Table14[Bill No.],$C247),IF($K247="XtraGreen",SUMIFS(Table146[Amount],Table146[Company],$B247,Table146[Date],$A247,Table146[Bill No.],$C247),SUMIFS('Other Sale'!$D:$D,'Other Sale'!$E:$E,$B247,'Other Sale'!$C:$C,$K247,'Other Sale'!$A:$A,$A247)))))</f>
        <v/>
      </c>
      <c r="G247" s="330" t="str" cm="1">
        <f t="array" ref="G247">IF($A247="","",IF($K247="Payment",IFERROR(INDEX(_xlfn._xlws.FILTER(MasterPaid[Amount Paid],(MasterPaid[Customer]=$B247)*(MasterPaid[Date]=$A247)),COUNTIFS($A$6:$A247,$A247,$B$6:$B247,$B247,$K$6:$K247,"Payment")),0),0))</f>
        <v/>
      </c>
      <c r="H247" s="331"/>
      <c r="I247" s="331"/>
      <c r="J247" s="330" t="str">
        <f t="shared" si="4"/>
        <v/>
      </c>
      <c r="K247" s="289" t="str" cm="1">
        <f t="array" ref="K247">IFERROR(INDEX(_xlfn.ANCHORARRAY($Q$6),ROW()-5,4),"")</f>
        <v/>
      </c>
      <c r="L247" s="290"/>
      <c r="U247">
        <f>IF(OR($A247="",$F247=""),0,MAX(0,MIN($F247,SUMIFS($F$6:$F247,$B$6:$B247,$B247)-(SUMIFS($G$6:$G$355,$B$6:$B$355,$B247)+SUMIFS($H$6:$H$355,$B$6:$B$355,$B247)+SUMIFS($I$6:$I$355,$B$6:$B$355,$B247)))))</f>
        <v>0</v>
      </c>
    </row>
    <row r="248" spans="1:21" ht="23" x14ac:dyDescent="0.25">
      <c r="A248" s="217" t="str" cm="1">
        <f t="array" ref="A248">IFERROR(INDEX(_xlfn.ANCHORARRAY($Q$6),ROW()-5,1),"")</f>
        <v/>
      </c>
      <c r="B248" s="288" t="str" cm="1">
        <f t="array" ref="B248">IFERROR(INDEX(_xlfn.ANCHORARRAY($Q$6),ROW()-5,2),"")</f>
        <v/>
      </c>
      <c r="C248" s="289" t="str" cm="1">
        <f t="array" ref="C248">IFERROR(INDEX(_xlfn.ANCHORARRAY($Q$6),ROW()-5,3),"")</f>
        <v/>
      </c>
      <c r="D248" s="218" t="str">
        <f>IF($A248="","",IF($K248="DIESEL",SUMIFS(Table1[Quantity],Table1[Customer],$B248,Table1[Date],$A248,Table1[Bill No.],$C248),IF($K248="PETROL",SUMIFS(Table14[Quantity],Table14[Customer],$B248,Table14[Date],$A248,Table14[Bill No.],$C248),IF($K248="XtraGreen",SUMIFS(Table146[Quantity],Table146[Company],$B248,Table146[Date],$A248,Table146[Bill No.],$C248),""))))</f>
        <v/>
      </c>
      <c r="E248" s="219" t="str">
        <f>IF($A248="","",IF($K248="DIESEL",AVERAGEIFS(Table1[RSP],Table1[Customer],$B248,Table1[Date],$A248,Table1[Bill No.],$C248),IF($K248="PETROL",AVERAGEIFS(Table14[RSP],Table14[Customer],$B248,Table14[Date],$A248,Table14[Bill No.],$C248),IF($K248="XtraGreen",AVERAGEIFS(Table146[RSP],Table146[Company],$B248,Table146[Date],$A248,Table146[Bill No.],$C248),IFERROR($F248/$D248,"")))))</f>
        <v/>
      </c>
      <c r="F248" s="330" t="str">
        <f>IF($A248="","",IF($K248="DIESEL",SUMIFS(Table1[Amount],Table1[Customer],$B248,Table1[Date],$A248,Table1[Bill No.],$C248),IF($K248="PETROL",SUMIFS(Table14[Amount],Table14[Customer],$B248,Table14[Date],$A248,Table14[Bill No.],$C248),IF($K248="XtraGreen",SUMIFS(Table146[Amount],Table146[Company],$B248,Table146[Date],$A248,Table146[Bill No.],$C248),SUMIFS('Other Sale'!$D:$D,'Other Sale'!$E:$E,$B248,'Other Sale'!$C:$C,$K248,'Other Sale'!$A:$A,$A248)))))</f>
        <v/>
      </c>
      <c r="G248" s="330" t="str" cm="1">
        <f t="array" ref="G248">IF($A248="","",IF($K248="Payment",IFERROR(INDEX(_xlfn._xlws.FILTER(MasterPaid[Amount Paid],(MasterPaid[Customer]=$B248)*(MasterPaid[Date]=$A248)),COUNTIFS($A$6:$A248,$A248,$B$6:$B248,$B248,$K$6:$K248,"Payment")),0),0))</f>
        <v/>
      </c>
      <c r="H248" s="331"/>
      <c r="I248" s="331"/>
      <c r="J248" s="330" t="str">
        <f t="shared" si="4"/>
        <v/>
      </c>
      <c r="K248" s="289" t="str" cm="1">
        <f t="array" ref="K248">IFERROR(INDEX(_xlfn.ANCHORARRAY($Q$6),ROW()-5,4),"")</f>
        <v/>
      </c>
      <c r="L248" s="290"/>
      <c r="U248">
        <f>IF(OR($A248="",$F248=""),0,MAX(0,MIN($F248,SUMIFS($F$6:$F248,$B$6:$B248,$B248)-(SUMIFS($G$6:$G$355,$B$6:$B$355,$B248)+SUMIFS($H$6:$H$355,$B$6:$B$355,$B248)+SUMIFS($I$6:$I$355,$B$6:$B$355,$B248)))))</f>
        <v>0</v>
      </c>
    </row>
    <row r="249" spans="1:21" ht="23" x14ac:dyDescent="0.25">
      <c r="A249" s="217" t="str" cm="1">
        <f t="array" ref="A249">IFERROR(INDEX(_xlfn.ANCHORARRAY($Q$6),ROW()-5,1),"")</f>
        <v/>
      </c>
      <c r="B249" s="288" t="str" cm="1">
        <f t="array" ref="B249">IFERROR(INDEX(_xlfn.ANCHORARRAY($Q$6),ROW()-5,2),"")</f>
        <v/>
      </c>
      <c r="C249" s="289" t="str" cm="1">
        <f t="array" ref="C249">IFERROR(INDEX(_xlfn.ANCHORARRAY($Q$6),ROW()-5,3),"")</f>
        <v/>
      </c>
      <c r="D249" s="218" t="str">
        <f>IF($A249="","",IF($K249="DIESEL",SUMIFS(Table1[Quantity],Table1[Customer],$B249,Table1[Date],$A249,Table1[Bill No.],$C249),IF($K249="PETROL",SUMIFS(Table14[Quantity],Table14[Customer],$B249,Table14[Date],$A249,Table14[Bill No.],$C249),IF($K249="XtraGreen",SUMIFS(Table146[Quantity],Table146[Company],$B249,Table146[Date],$A249,Table146[Bill No.],$C249),""))))</f>
        <v/>
      </c>
      <c r="E249" s="219" t="str">
        <f>IF($A249="","",IF($K249="DIESEL",AVERAGEIFS(Table1[RSP],Table1[Customer],$B249,Table1[Date],$A249,Table1[Bill No.],$C249),IF($K249="PETROL",AVERAGEIFS(Table14[RSP],Table14[Customer],$B249,Table14[Date],$A249,Table14[Bill No.],$C249),IF($K249="XtraGreen",AVERAGEIFS(Table146[RSP],Table146[Company],$B249,Table146[Date],$A249,Table146[Bill No.],$C249),IFERROR($F249/$D249,"")))))</f>
        <v/>
      </c>
      <c r="F249" s="330" t="str">
        <f>IF($A249="","",IF($K249="DIESEL",SUMIFS(Table1[Amount],Table1[Customer],$B249,Table1[Date],$A249,Table1[Bill No.],$C249),IF($K249="PETROL",SUMIFS(Table14[Amount],Table14[Customer],$B249,Table14[Date],$A249,Table14[Bill No.],$C249),IF($K249="XtraGreen",SUMIFS(Table146[Amount],Table146[Company],$B249,Table146[Date],$A249,Table146[Bill No.],$C249),SUMIFS('Other Sale'!$D:$D,'Other Sale'!$E:$E,$B249,'Other Sale'!$C:$C,$K249,'Other Sale'!$A:$A,$A249)))))</f>
        <v/>
      </c>
      <c r="G249" s="330" t="str" cm="1">
        <f t="array" ref="G249">IF($A249="","",IF($K249="Payment",IFERROR(INDEX(_xlfn._xlws.FILTER(MasterPaid[Amount Paid],(MasterPaid[Customer]=$B249)*(MasterPaid[Date]=$A249)),COUNTIFS($A$6:$A249,$A249,$B$6:$B249,$B249,$K$6:$K249,"Payment")),0),0))</f>
        <v/>
      </c>
      <c r="H249" s="331"/>
      <c r="I249" s="331"/>
      <c r="J249" s="330" t="str">
        <f t="shared" si="4"/>
        <v/>
      </c>
      <c r="K249" s="289" t="str" cm="1">
        <f t="array" ref="K249">IFERROR(INDEX(_xlfn.ANCHORARRAY($Q$6),ROW()-5,4),"")</f>
        <v/>
      </c>
      <c r="L249" s="290"/>
      <c r="U249">
        <f>IF(OR($A249="",$F249=""),0,MAX(0,MIN($F249,SUMIFS($F$6:$F249,$B$6:$B249,$B249)-(SUMIFS($G$6:$G$355,$B$6:$B$355,$B249)+SUMIFS($H$6:$H$355,$B$6:$B$355,$B249)+SUMIFS($I$6:$I$355,$B$6:$B$355,$B249)))))</f>
        <v>0</v>
      </c>
    </row>
    <row r="250" spans="1:21" ht="23" x14ac:dyDescent="0.25">
      <c r="A250" s="217" t="str" cm="1">
        <f t="array" ref="A250">IFERROR(INDEX(_xlfn.ANCHORARRAY($Q$6),ROW()-5,1),"")</f>
        <v/>
      </c>
      <c r="B250" s="288" t="str" cm="1">
        <f t="array" ref="B250">IFERROR(INDEX(_xlfn.ANCHORARRAY($Q$6),ROW()-5,2),"")</f>
        <v/>
      </c>
      <c r="C250" s="289" t="str" cm="1">
        <f t="array" ref="C250">IFERROR(INDEX(_xlfn.ANCHORARRAY($Q$6),ROW()-5,3),"")</f>
        <v/>
      </c>
      <c r="D250" s="218" t="str">
        <f>IF($A250="","",IF($K250="DIESEL",SUMIFS(Table1[Quantity],Table1[Customer],$B250,Table1[Date],$A250,Table1[Bill No.],$C250),IF($K250="PETROL",SUMIFS(Table14[Quantity],Table14[Customer],$B250,Table14[Date],$A250,Table14[Bill No.],$C250),IF($K250="XtraGreen",SUMIFS(Table146[Quantity],Table146[Company],$B250,Table146[Date],$A250,Table146[Bill No.],$C250),""))))</f>
        <v/>
      </c>
      <c r="E250" s="219" t="str">
        <f>IF($A250="","",IF($K250="DIESEL",AVERAGEIFS(Table1[RSP],Table1[Customer],$B250,Table1[Date],$A250,Table1[Bill No.],$C250),IF($K250="PETROL",AVERAGEIFS(Table14[RSP],Table14[Customer],$B250,Table14[Date],$A250,Table14[Bill No.],$C250),IF($K250="XtraGreen",AVERAGEIFS(Table146[RSP],Table146[Company],$B250,Table146[Date],$A250,Table146[Bill No.],$C250),IFERROR($F250/$D250,"")))))</f>
        <v/>
      </c>
      <c r="F250" s="330" t="str">
        <f>IF($A250="","",IF($K250="DIESEL",SUMIFS(Table1[Amount],Table1[Customer],$B250,Table1[Date],$A250,Table1[Bill No.],$C250),IF($K250="PETROL",SUMIFS(Table14[Amount],Table14[Customer],$B250,Table14[Date],$A250,Table14[Bill No.],$C250),IF($K250="XtraGreen",SUMIFS(Table146[Amount],Table146[Company],$B250,Table146[Date],$A250,Table146[Bill No.],$C250),SUMIFS('Other Sale'!$D:$D,'Other Sale'!$E:$E,$B250,'Other Sale'!$C:$C,$K250,'Other Sale'!$A:$A,$A250)))))</f>
        <v/>
      </c>
      <c r="G250" s="330" t="str" cm="1">
        <f t="array" ref="G250">IF($A250="","",IF($K250="Payment",IFERROR(INDEX(_xlfn._xlws.FILTER(MasterPaid[Amount Paid],(MasterPaid[Customer]=$B250)*(MasterPaid[Date]=$A250)),COUNTIFS($A$6:$A250,$A250,$B$6:$B250,$B250,$K$6:$K250,"Payment")),0),0))</f>
        <v/>
      </c>
      <c r="H250" s="331"/>
      <c r="I250" s="331"/>
      <c r="J250" s="330" t="str">
        <f t="shared" si="4"/>
        <v/>
      </c>
      <c r="K250" s="289" t="str" cm="1">
        <f t="array" ref="K250">IFERROR(INDEX(_xlfn.ANCHORARRAY($Q$6),ROW()-5,4),"")</f>
        <v/>
      </c>
      <c r="L250" s="290"/>
      <c r="U250">
        <f>IF(OR($A250="",$F250=""),0,MAX(0,MIN($F250,SUMIFS($F$6:$F250,$B$6:$B250,$B250)-(SUMIFS($G$6:$G$355,$B$6:$B$355,$B250)+SUMIFS($H$6:$H$355,$B$6:$B$355,$B250)+SUMIFS($I$6:$I$355,$B$6:$B$355,$B250)))))</f>
        <v>0</v>
      </c>
    </row>
    <row r="251" spans="1:21" ht="23" x14ac:dyDescent="0.25">
      <c r="A251" s="217" t="str" cm="1">
        <f t="array" ref="A251">IFERROR(INDEX(_xlfn.ANCHORARRAY($Q$6),ROW()-5,1),"")</f>
        <v/>
      </c>
      <c r="B251" s="288" t="str" cm="1">
        <f t="array" ref="B251">IFERROR(INDEX(_xlfn.ANCHORARRAY($Q$6),ROW()-5,2),"")</f>
        <v/>
      </c>
      <c r="C251" s="289" t="str" cm="1">
        <f t="array" ref="C251">IFERROR(INDEX(_xlfn.ANCHORARRAY($Q$6),ROW()-5,3),"")</f>
        <v/>
      </c>
      <c r="D251" s="218" t="str">
        <f>IF($A251="","",IF($K251="DIESEL",SUMIFS(Table1[Quantity],Table1[Customer],$B251,Table1[Date],$A251,Table1[Bill No.],$C251),IF($K251="PETROL",SUMIFS(Table14[Quantity],Table14[Customer],$B251,Table14[Date],$A251,Table14[Bill No.],$C251),IF($K251="XtraGreen",SUMIFS(Table146[Quantity],Table146[Company],$B251,Table146[Date],$A251,Table146[Bill No.],$C251),""))))</f>
        <v/>
      </c>
      <c r="E251" s="219" t="str">
        <f>IF($A251="","",IF($K251="DIESEL",AVERAGEIFS(Table1[RSP],Table1[Customer],$B251,Table1[Date],$A251,Table1[Bill No.],$C251),IF($K251="PETROL",AVERAGEIFS(Table14[RSP],Table14[Customer],$B251,Table14[Date],$A251,Table14[Bill No.],$C251),IF($K251="XtraGreen",AVERAGEIFS(Table146[RSP],Table146[Company],$B251,Table146[Date],$A251,Table146[Bill No.],$C251),IFERROR($F251/$D251,"")))))</f>
        <v/>
      </c>
      <c r="F251" s="330" t="str">
        <f>IF($A251="","",IF($K251="DIESEL",SUMIFS(Table1[Amount],Table1[Customer],$B251,Table1[Date],$A251,Table1[Bill No.],$C251),IF($K251="PETROL",SUMIFS(Table14[Amount],Table14[Customer],$B251,Table14[Date],$A251,Table14[Bill No.],$C251),IF($K251="XtraGreen",SUMIFS(Table146[Amount],Table146[Company],$B251,Table146[Date],$A251,Table146[Bill No.],$C251),SUMIFS('Other Sale'!$D:$D,'Other Sale'!$E:$E,$B251,'Other Sale'!$C:$C,$K251,'Other Sale'!$A:$A,$A251)))))</f>
        <v/>
      </c>
      <c r="G251" s="330" t="str" cm="1">
        <f t="array" ref="G251">IF($A251="","",IF($K251="Payment",IFERROR(INDEX(_xlfn._xlws.FILTER(MasterPaid[Amount Paid],(MasterPaid[Customer]=$B251)*(MasterPaid[Date]=$A251)),COUNTIFS($A$6:$A251,$A251,$B$6:$B251,$B251,$K$6:$K251,"Payment")),0),0))</f>
        <v/>
      </c>
      <c r="H251" s="331"/>
      <c r="I251" s="331"/>
      <c r="J251" s="330" t="str">
        <f t="shared" si="4"/>
        <v/>
      </c>
      <c r="K251" s="289" t="str" cm="1">
        <f t="array" ref="K251">IFERROR(INDEX(_xlfn.ANCHORARRAY($Q$6),ROW()-5,4),"")</f>
        <v/>
      </c>
      <c r="L251" s="290"/>
      <c r="U251">
        <f>IF(OR($A251="",$F251=""),0,MAX(0,MIN($F251,SUMIFS($F$6:$F251,$B$6:$B251,$B251)-(SUMIFS($G$6:$G$355,$B$6:$B$355,$B251)+SUMIFS($H$6:$H$355,$B$6:$B$355,$B251)+SUMIFS($I$6:$I$355,$B$6:$B$355,$B251)))))</f>
        <v>0</v>
      </c>
    </row>
    <row r="252" spans="1:21" ht="23" x14ac:dyDescent="0.25">
      <c r="A252" s="217" t="str" cm="1">
        <f t="array" ref="A252">IFERROR(INDEX(_xlfn.ANCHORARRAY($Q$6),ROW()-5,1),"")</f>
        <v/>
      </c>
      <c r="B252" s="288" t="str" cm="1">
        <f t="array" ref="B252">IFERROR(INDEX(_xlfn.ANCHORARRAY($Q$6),ROW()-5,2),"")</f>
        <v/>
      </c>
      <c r="C252" s="289" t="str" cm="1">
        <f t="array" ref="C252">IFERROR(INDEX(_xlfn.ANCHORARRAY($Q$6),ROW()-5,3),"")</f>
        <v/>
      </c>
      <c r="D252" s="218" t="str">
        <f>IF($A252="","",IF($K252="DIESEL",SUMIFS(Table1[Quantity],Table1[Customer],$B252,Table1[Date],$A252,Table1[Bill No.],$C252),IF($K252="PETROL",SUMIFS(Table14[Quantity],Table14[Customer],$B252,Table14[Date],$A252,Table14[Bill No.],$C252),IF($K252="XtraGreen",SUMIFS(Table146[Quantity],Table146[Company],$B252,Table146[Date],$A252,Table146[Bill No.],$C252),""))))</f>
        <v/>
      </c>
      <c r="E252" s="219" t="str">
        <f>IF($A252="","",IF($K252="DIESEL",AVERAGEIFS(Table1[RSP],Table1[Customer],$B252,Table1[Date],$A252,Table1[Bill No.],$C252),IF($K252="PETROL",AVERAGEIFS(Table14[RSP],Table14[Customer],$B252,Table14[Date],$A252,Table14[Bill No.],$C252),IF($K252="XtraGreen",AVERAGEIFS(Table146[RSP],Table146[Company],$B252,Table146[Date],$A252,Table146[Bill No.],$C252),IFERROR($F252/$D252,"")))))</f>
        <v/>
      </c>
      <c r="F252" s="330" t="str">
        <f>IF($A252="","",IF($K252="DIESEL",SUMIFS(Table1[Amount],Table1[Customer],$B252,Table1[Date],$A252,Table1[Bill No.],$C252),IF($K252="PETROL",SUMIFS(Table14[Amount],Table14[Customer],$B252,Table14[Date],$A252,Table14[Bill No.],$C252),IF($K252="XtraGreen",SUMIFS(Table146[Amount],Table146[Company],$B252,Table146[Date],$A252,Table146[Bill No.],$C252),SUMIFS('Other Sale'!$D:$D,'Other Sale'!$E:$E,$B252,'Other Sale'!$C:$C,$K252,'Other Sale'!$A:$A,$A252)))))</f>
        <v/>
      </c>
      <c r="G252" s="330" t="str" cm="1">
        <f t="array" ref="G252">IF($A252="","",IF($K252="Payment",IFERROR(INDEX(_xlfn._xlws.FILTER(MasterPaid[Amount Paid],(MasterPaid[Customer]=$B252)*(MasterPaid[Date]=$A252)),COUNTIFS($A$6:$A252,$A252,$B$6:$B252,$B252,$K$6:$K252,"Payment")),0),0))</f>
        <v/>
      </c>
      <c r="H252" s="331"/>
      <c r="I252" s="331"/>
      <c r="J252" s="330" t="str">
        <f t="shared" si="4"/>
        <v/>
      </c>
      <c r="K252" s="289" t="str" cm="1">
        <f t="array" ref="K252">IFERROR(INDEX(_xlfn.ANCHORARRAY($Q$6),ROW()-5,4),"")</f>
        <v/>
      </c>
      <c r="L252" s="290"/>
      <c r="U252">
        <f>IF(OR($A252="",$F252=""),0,MAX(0,MIN($F252,SUMIFS($F$6:$F252,$B$6:$B252,$B252)-(SUMIFS($G$6:$G$355,$B$6:$B$355,$B252)+SUMIFS($H$6:$H$355,$B$6:$B$355,$B252)+SUMIFS($I$6:$I$355,$B$6:$B$355,$B252)))))</f>
        <v>0</v>
      </c>
    </row>
    <row r="253" spans="1:21" ht="23" x14ac:dyDescent="0.25">
      <c r="A253" s="217" t="str" cm="1">
        <f t="array" ref="A253">IFERROR(INDEX(_xlfn.ANCHORARRAY($Q$6),ROW()-5,1),"")</f>
        <v/>
      </c>
      <c r="B253" s="288" t="str" cm="1">
        <f t="array" ref="B253">IFERROR(INDEX(_xlfn.ANCHORARRAY($Q$6),ROW()-5,2),"")</f>
        <v/>
      </c>
      <c r="C253" s="289" t="str" cm="1">
        <f t="array" ref="C253">IFERROR(INDEX(_xlfn.ANCHORARRAY($Q$6),ROW()-5,3),"")</f>
        <v/>
      </c>
      <c r="D253" s="218" t="str">
        <f>IF($A253="","",IF($K253="DIESEL",SUMIFS(Table1[Quantity],Table1[Customer],$B253,Table1[Date],$A253,Table1[Bill No.],$C253),IF($K253="PETROL",SUMIFS(Table14[Quantity],Table14[Customer],$B253,Table14[Date],$A253,Table14[Bill No.],$C253),IF($K253="XtraGreen",SUMIFS(Table146[Quantity],Table146[Company],$B253,Table146[Date],$A253,Table146[Bill No.],$C253),""))))</f>
        <v/>
      </c>
      <c r="E253" s="219" t="str">
        <f>IF($A253="","",IF($K253="DIESEL",AVERAGEIFS(Table1[RSP],Table1[Customer],$B253,Table1[Date],$A253,Table1[Bill No.],$C253),IF($K253="PETROL",AVERAGEIFS(Table14[RSP],Table14[Customer],$B253,Table14[Date],$A253,Table14[Bill No.],$C253),IF($K253="XtraGreen",AVERAGEIFS(Table146[RSP],Table146[Company],$B253,Table146[Date],$A253,Table146[Bill No.],$C253),IFERROR($F253/$D253,"")))))</f>
        <v/>
      </c>
      <c r="F253" s="330" t="str">
        <f>IF($A253="","",IF($K253="DIESEL",SUMIFS(Table1[Amount],Table1[Customer],$B253,Table1[Date],$A253,Table1[Bill No.],$C253),IF($K253="PETROL",SUMIFS(Table14[Amount],Table14[Customer],$B253,Table14[Date],$A253,Table14[Bill No.],$C253),IF($K253="XtraGreen",SUMIFS(Table146[Amount],Table146[Company],$B253,Table146[Date],$A253,Table146[Bill No.],$C253),SUMIFS('Other Sale'!$D:$D,'Other Sale'!$E:$E,$B253,'Other Sale'!$C:$C,$K253,'Other Sale'!$A:$A,$A253)))))</f>
        <v/>
      </c>
      <c r="G253" s="330" t="str" cm="1">
        <f t="array" ref="G253">IF($A253="","",IF($K253="Payment",IFERROR(INDEX(_xlfn._xlws.FILTER(MasterPaid[Amount Paid],(MasterPaid[Customer]=$B253)*(MasterPaid[Date]=$A253)),COUNTIFS($A$6:$A253,$A253,$B$6:$B253,$B253,$K$6:$K253,"Payment")),0),0))</f>
        <v/>
      </c>
      <c r="H253" s="331"/>
      <c r="I253" s="331"/>
      <c r="J253" s="330" t="str">
        <f t="shared" si="4"/>
        <v/>
      </c>
      <c r="K253" s="289" t="str" cm="1">
        <f t="array" ref="K253">IFERROR(INDEX(_xlfn.ANCHORARRAY($Q$6),ROW()-5,4),"")</f>
        <v/>
      </c>
      <c r="L253" s="290"/>
      <c r="U253">
        <f>IF(OR($A253="",$F253=""),0,MAX(0,MIN($F253,SUMIFS($F$6:$F253,$B$6:$B253,$B253)-(SUMIFS($G$6:$G$355,$B$6:$B$355,$B253)+SUMIFS($H$6:$H$355,$B$6:$B$355,$B253)+SUMIFS($I$6:$I$355,$B$6:$B$355,$B253)))))</f>
        <v>0</v>
      </c>
    </row>
    <row r="254" spans="1:21" ht="23" x14ac:dyDescent="0.25">
      <c r="A254" s="217" t="str" cm="1">
        <f t="array" ref="A254">IFERROR(INDEX(_xlfn.ANCHORARRAY($Q$6),ROW()-5,1),"")</f>
        <v/>
      </c>
      <c r="B254" s="288" t="str" cm="1">
        <f t="array" ref="B254">IFERROR(INDEX(_xlfn.ANCHORARRAY($Q$6),ROW()-5,2),"")</f>
        <v/>
      </c>
      <c r="C254" s="289" t="str" cm="1">
        <f t="array" ref="C254">IFERROR(INDEX(_xlfn.ANCHORARRAY($Q$6),ROW()-5,3),"")</f>
        <v/>
      </c>
      <c r="D254" s="218" t="str">
        <f>IF($A254="","",IF($K254="DIESEL",SUMIFS(Table1[Quantity],Table1[Customer],$B254,Table1[Date],$A254,Table1[Bill No.],$C254),IF($K254="PETROL",SUMIFS(Table14[Quantity],Table14[Customer],$B254,Table14[Date],$A254,Table14[Bill No.],$C254),IF($K254="XtraGreen",SUMIFS(Table146[Quantity],Table146[Company],$B254,Table146[Date],$A254,Table146[Bill No.],$C254),""))))</f>
        <v/>
      </c>
      <c r="E254" s="219" t="str">
        <f>IF($A254="","",IF($K254="DIESEL",AVERAGEIFS(Table1[RSP],Table1[Customer],$B254,Table1[Date],$A254,Table1[Bill No.],$C254),IF($K254="PETROL",AVERAGEIFS(Table14[RSP],Table14[Customer],$B254,Table14[Date],$A254,Table14[Bill No.],$C254),IF($K254="XtraGreen",AVERAGEIFS(Table146[RSP],Table146[Company],$B254,Table146[Date],$A254,Table146[Bill No.],$C254),IFERROR($F254/$D254,"")))))</f>
        <v/>
      </c>
      <c r="F254" s="330" t="str">
        <f>IF($A254="","",IF($K254="DIESEL",SUMIFS(Table1[Amount],Table1[Customer],$B254,Table1[Date],$A254,Table1[Bill No.],$C254),IF($K254="PETROL",SUMIFS(Table14[Amount],Table14[Customer],$B254,Table14[Date],$A254,Table14[Bill No.],$C254),IF($K254="XtraGreen",SUMIFS(Table146[Amount],Table146[Company],$B254,Table146[Date],$A254,Table146[Bill No.],$C254),SUMIFS('Other Sale'!$D:$D,'Other Sale'!$E:$E,$B254,'Other Sale'!$C:$C,$K254,'Other Sale'!$A:$A,$A254)))))</f>
        <v/>
      </c>
      <c r="G254" s="330" t="str" cm="1">
        <f t="array" ref="G254">IF($A254="","",IF($K254="Payment",IFERROR(INDEX(_xlfn._xlws.FILTER(MasterPaid[Amount Paid],(MasterPaid[Customer]=$B254)*(MasterPaid[Date]=$A254)),COUNTIFS($A$6:$A254,$A254,$B$6:$B254,$B254,$K$6:$K254,"Payment")),0),0))</f>
        <v/>
      </c>
      <c r="H254" s="331"/>
      <c r="I254" s="331"/>
      <c r="J254" s="330" t="str">
        <f t="shared" si="4"/>
        <v/>
      </c>
      <c r="K254" s="289" t="str" cm="1">
        <f t="array" ref="K254">IFERROR(INDEX(_xlfn.ANCHORARRAY($Q$6),ROW()-5,4),"")</f>
        <v/>
      </c>
      <c r="L254" s="290"/>
      <c r="U254">
        <f>IF(OR($A254="",$F254=""),0,MAX(0,MIN($F254,SUMIFS($F$6:$F254,$B$6:$B254,$B254)-(SUMIFS($G$6:$G$355,$B$6:$B$355,$B254)+SUMIFS($H$6:$H$355,$B$6:$B$355,$B254)+SUMIFS($I$6:$I$355,$B$6:$B$355,$B254)))))</f>
        <v>0</v>
      </c>
    </row>
    <row r="255" spans="1:21" ht="23" x14ac:dyDescent="0.25">
      <c r="A255" s="217" t="str" cm="1">
        <f t="array" ref="A255">IFERROR(INDEX(_xlfn.ANCHORARRAY($Q$6),ROW()-5,1),"")</f>
        <v/>
      </c>
      <c r="B255" s="288" t="str" cm="1">
        <f t="array" ref="B255">IFERROR(INDEX(_xlfn.ANCHORARRAY($Q$6),ROW()-5,2),"")</f>
        <v/>
      </c>
      <c r="C255" s="289" t="str" cm="1">
        <f t="array" ref="C255">IFERROR(INDEX(_xlfn.ANCHORARRAY($Q$6),ROW()-5,3),"")</f>
        <v/>
      </c>
      <c r="D255" s="218" t="str">
        <f>IF($A255="","",IF($K255="DIESEL",SUMIFS(Table1[Quantity],Table1[Customer],$B255,Table1[Date],$A255,Table1[Bill No.],$C255),IF($K255="PETROL",SUMIFS(Table14[Quantity],Table14[Customer],$B255,Table14[Date],$A255,Table14[Bill No.],$C255),IF($K255="XtraGreen",SUMIFS(Table146[Quantity],Table146[Company],$B255,Table146[Date],$A255,Table146[Bill No.],$C255),""))))</f>
        <v/>
      </c>
      <c r="E255" s="219" t="str">
        <f>IF($A255="","",IF($K255="DIESEL",AVERAGEIFS(Table1[RSP],Table1[Customer],$B255,Table1[Date],$A255,Table1[Bill No.],$C255),IF($K255="PETROL",AVERAGEIFS(Table14[RSP],Table14[Customer],$B255,Table14[Date],$A255,Table14[Bill No.],$C255),IF($K255="XtraGreen",AVERAGEIFS(Table146[RSP],Table146[Company],$B255,Table146[Date],$A255,Table146[Bill No.],$C255),IFERROR($F255/$D255,"")))))</f>
        <v/>
      </c>
      <c r="F255" s="330" t="str">
        <f>IF($A255="","",IF($K255="DIESEL",SUMIFS(Table1[Amount],Table1[Customer],$B255,Table1[Date],$A255,Table1[Bill No.],$C255),IF($K255="PETROL",SUMIFS(Table14[Amount],Table14[Customer],$B255,Table14[Date],$A255,Table14[Bill No.],$C255),IF($K255="XtraGreen",SUMIFS(Table146[Amount],Table146[Company],$B255,Table146[Date],$A255,Table146[Bill No.],$C255),SUMIFS('Other Sale'!$D:$D,'Other Sale'!$E:$E,$B255,'Other Sale'!$C:$C,$K255,'Other Sale'!$A:$A,$A255)))))</f>
        <v/>
      </c>
      <c r="G255" s="330" t="str" cm="1">
        <f t="array" ref="G255">IF($A255="","",IF($K255="Payment",IFERROR(INDEX(_xlfn._xlws.FILTER(MasterPaid[Amount Paid],(MasterPaid[Customer]=$B255)*(MasterPaid[Date]=$A255)),COUNTIFS($A$6:$A255,$A255,$B$6:$B255,$B255,$K$6:$K255,"Payment")),0),0))</f>
        <v/>
      </c>
      <c r="H255" s="331"/>
      <c r="I255" s="331"/>
      <c r="J255" s="330" t="str">
        <f t="shared" si="4"/>
        <v/>
      </c>
      <c r="K255" s="289" t="str" cm="1">
        <f t="array" ref="K255">IFERROR(INDEX(_xlfn.ANCHORARRAY($Q$6),ROW()-5,4),"")</f>
        <v/>
      </c>
      <c r="L255" s="290"/>
      <c r="U255">
        <f>IF(OR($A255="",$F255=""),0,MAX(0,MIN($F255,SUMIFS($F$6:$F255,$B$6:$B255,$B255)-(SUMIFS($G$6:$G$355,$B$6:$B$355,$B255)+SUMIFS($H$6:$H$355,$B$6:$B$355,$B255)+SUMIFS($I$6:$I$355,$B$6:$B$355,$B255)))))</f>
        <v>0</v>
      </c>
    </row>
    <row r="256" spans="1:21" ht="23" x14ac:dyDescent="0.25">
      <c r="A256" s="217" t="str" cm="1">
        <f t="array" ref="A256">IFERROR(INDEX(_xlfn.ANCHORARRAY($Q$6),ROW()-5,1),"")</f>
        <v/>
      </c>
      <c r="B256" s="288" t="str" cm="1">
        <f t="array" ref="B256">IFERROR(INDEX(_xlfn.ANCHORARRAY($Q$6),ROW()-5,2),"")</f>
        <v/>
      </c>
      <c r="C256" s="289" t="str" cm="1">
        <f t="array" ref="C256">IFERROR(INDEX(_xlfn.ANCHORARRAY($Q$6),ROW()-5,3),"")</f>
        <v/>
      </c>
      <c r="D256" s="218" t="str">
        <f>IF($A256="","",IF($K256="DIESEL",SUMIFS(Table1[Quantity],Table1[Customer],$B256,Table1[Date],$A256,Table1[Bill No.],$C256),IF($K256="PETROL",SUMIFS(Table14[Quantity],Table14[Customer],$B256,Table14[Date],$A256,Table14[Bill No.],$C256),IF($K256="XtraGreen",SUMIFS(Table146[Quantity],Table146[Company],$B256,Table146[Date],$A256,Table146[Bill No.],$C256),""))))</f>
        <v/>
      </c>
      <c r="E256" s="219" t="str">
        <f>IF($A256="","",IF($K256="DIESEL",AVERAGEIFS(Table1[RSP],Table1[Customer],$B256,Table1[Date],$A256,Table1[Bill No.],$C256),IF($K256="PETROL",AVERAGEIFS(Table14[RSP],Table14[Customer],$B256,Table14[Date],$A256,Table14[Bill No.],$C256),IF($K256="XtraGreen",AVERAGEIFS(Table146[RSP],Table146[Company],$B256,Table146[Date],$A256,Table146[Bill No.],$C256),IFERROR($F256/$D256,"")))))</f>
        <v/>
      </c>
      <c r="F256" s="330" t="str">
        <f>IF($A256="","",IF($K256="DIESEL",SUMIFS(Table1[Amount],Table1[Customer],$B256,Table1[Date],$A256,Table1[Bill No.],$C256),IF($K256="PETROL",SUMIFS(Table14[Amount],Table14[Customer],$B256,Table14[Date],$A256,Table14[Bill No.],$C256),IF($K256="XtraGreen",SUMIFS(Table146[Amount],Table146[Company],$B256,Table146[Date],$A256,Table146[Bill No.],$C256),SUMIFS('Other Sale'!$D:$D,'Other Sale'!$E:$E,$B256,'Other Sale'!$C:$C,$K256,'Other Sale'!$A:$A,$A256)))))</f>
        <v/>
      </c>
      <c r="G256" s="330" t="str" cm="1">
        <f t="array" ref="G256">IF($A256="","",IF($K256="Payment",IFERROR(INDEX(_xlfn._xlws.FILTER(MasterPaid[Amount Paid],(MasterPaid[Customer]=$B256)*(MasterPaid[Date]=$A256)),COUNTIFS($A$6:$A256,$A256,$B$6:$B256,$B256,$K$6:$K256,"Payment")),0),0))</f>
        <v/>
      </c>
      <c r="H256" s="331"/>
      <c r="I256" s="331"/>
      <c r="J256" s="330" t="str">
        <f t="shared" si="4"/>
        <v/>
      </c>
      <c r="K256" s="289" t="str" cm="1">
        <f t="array" ref="K256">IFERROR(INDEX(_xlfn.ANCHORARRAY($Q$6),ROW()-5,4),"")</f>
        <v/>
      </c>
      <c r="L256" s="290"/>
      <c r="U256">
        <f>IF(OR($A256="",$F256=""),0,MAX(0,MIN($F256,SUMIFS($F$6:$F256,$B$6:$B256,$B256)-(SUMIFS($G$6:$G$355,$B$6:$B$355,$B256)+SUMIFS($H$6:$H$355,$B$6:$B$355,$B256)+SUMIFS($I$6:$I$355,$B$6:$B$355,$B256)))))</f>
        <v>0</v>
      </c>
    </row>
    <row r="257" spans="1:21" ht="23" x14ac:dyDescent="0.25">
      <c r="A257" s="217" t="str" cm="1">
        <f t="array" ref="A257">IFERROR(INDEX(_xlfn.ANCHORARRAY($Q$6),ROW()-5,1),"")</f>
        <v/>
      </c>
      <c r="B257" s="288" t="str" cm="1">
        <f t="array" ref="B257">IFERROR(INDEX(_xlfn.ANCHORARRAY($Q$6),ROW()-5,2),"")</f>
        <v/>
      </c>
      <c r="C257" s="289" t="str" cm="1">
        <f t="array" ref="C257">IFERROR(INDEX(_xlfn.ANCHORARRAY($Q$6),ROW()-5,3),"")</f>
        <v/>
      </c>
      <c r="D257" s="218" t="str">
        <f>IF($A257="","",IF($K257="DIESEL",SUMIFS(Table1[Quantity],Table1[Customer],$B257,Table1[Date],$A257,Table1[Bill No.],$C257),IF($K257="PETROL",SUMIFS(Table14[Quantity],Table14[Customer],$B257,Table14[Date],$A257,Table14[Bill No.],$C257),IF($K257="XtraGreen",SUMIFS(Table146[Quantity],Table146[Company],$B257,Table146[Date],$A257,Table146[Bill No.],$C257),""))))</f>
        <v/>
      </c>
      <c r="E257" s="219" t="str">
        <f>IF($A257="","",IF($K257="DIESEL",AVERAGEIFS(Table1[RSP],Table1[Customer],$B257,Table1[Date],$A257,Table1[Bill No.],$C257),IF($K257="PETROL",AVERAGEIFS(Table14[RSP],Table14[Customer],$B257,Table14[Date],$A257,Table14[Bill No.],$C257),IF($K257="XtraGreen",AVERAGEIFS(Table146[RSP],Table146[Company],$B257,Table146[Date],$A257,Table146[Bill No.],$C257),IFERROR($F257/$D257,"")))))</f>
        <v/>
      </c>
      <c r="F257" s="330" t="str">
        <f>IF($A257="","",IF($K257="DIESEL",SUMIFS(Table1[Amount],Table1[Customer],$B257,Table1[Date],$A257,Table1[Bill No.],$C257),IF($K257="PETROL",SUMIFS(Table14[Amount],Table14[Customer],$B257,Table14[Date],$A257,Table14[Bill No.],$C257),IF($K257="XtraGreen",SUMIFS(Table146[Amount],Table146[Company],$B257,Table146[Date],$A257,Table146[Bill No.],$C257),SUMIFS('Other Sale'!$D:$D,'Other Sale'!$E:$E,$B257,'Other Sale'!$C:$C,$K257,'Other Sale'!$A:$A,$A257)))))</f>
        <v/>
      </c>
      <c r="G257" s="330" t="str" cm="1">
        <f t="array" ref="G257">IF($A257="","",IF($K257="Payment",IFERROR(INDEX(_xlfn._xlws.FILTER(MasterPaid[Amount Paid],(MasterPaid[Customer]=$B257)*(MasterPaid[Date]=$A257)),COUNTIFS($A$6:$A257,$A257,$B$6:$B257,$B257,$K$6:$K257,"Payment")),0),0))</f>
        <v/>
      </c>
      <c r="H257" s="331"/>
      <c r="I257" s="331"/>
      <c r="J257" s="330" t="str">
        <f t="shared" si="4"/>
        <v/>
      </c>
      <c r="K257" s="289" t="str" cm="1">
        <f t="array" ref="K257">IFERROR(INDEX(_xlfn.ANCHORARRAY($Q$6),ROW()-5,4),"")</f>
        <v/>
      </c>
      <c r="L257" s="290"/>
      <c r="U257">
        <f>IF(OR($A257="",$F257=""),0,MAX(0,MIN($F257,SUMIFS($F$6:$F257,$B$6:$B257,$B257)-(SUMIFS($G$6:$G$355,$B$6:$B$355,$B257)+SUMIFS($H$6:$H$355,$B$6:$B$355,$B257)+SUMIFS($I$6:$I$355,$B$6:$B$355,$B257)))))</f>
        <v>0</v>
      </c>
    </row>
    <row r="258" spans="1:21" ht="23" x14ac:dyDescent="0.25">
      <c r="A258" s="217" t="str" cm="1">
        <f t="array" ref="A258">IFERROR(INDEX(_xlfn.ANCHORARRAY($Q$6),ROW()-5,1),"")</f>
        <v/>
      </c>
      <c r="B258" s="288" t="str" cm="1">
        <f t="array" ref="B258">IFERROR(INDEX(_xlfn.ANCHORARRAY($Q$6),ROW()-5,2),"")</f>
        <v/>
      </c>
      <c r="C258" s="289" t="str" cm="1">
        <f t="array" ref="C258">IFERROR(INDEX(_xlfn.ANCHORARRAY($Q$6),ROW()-5,3),"")</f>
        <v/>
      </c>
      <c r="D258" s="218" t="str">
        <f>IF($A258="","",IF($K258="DIESEL",SUMIFS(Table1[Quantity],Table1[Customer],$B258,Table1[Date],$A258,Table1[Bill No.],$C258),IF($K258="PETROL",SUMIFS(Table14[Quantity],Table14[Customer],$B258,Table14[Date],$A258,Table14[Bill No.],$C258),IF($K258="XtraGreen",SUMIFS(Table146[Quantity],Table146[Company],$B258,Table146[Date],$A258,Table146[Bill No.],$C258),""))))</f>
        <v/>
      </c>
      <c r="E258" s="219" t="str">
        <f>IF($A258="","",IF($K258="DIESEL",AVERAGEIFS(Table1[RSP],Table1[Customer],$B258,Table1[Date],$A258,Table1[Bill No.],$C258),IF($K258="PETROL",AVERAGEIFS(Table14[RSP],Table14[Customer],$B258,Table14[Date],$A258,Table14[Bill No.],$C258),IF($K258="XtraGreen",AVERAGEIFS(Table146[RSP],Table146[Company],$B258,Table146[Date],$A258,Table146[Bill No.],$C258),IFERROR($F258/$D258,"")))))</f>
        <v/>
      </c>
      <c r="F258" s="330" t="str">
        <f>IF($A258="","",IF($K258="DIESEL",SUMIFS(Table1[Amount],Table1[Customer],$B258,Table1[Date],$A258,Table1[Bill No.],$C258),IF($K258="PETROL",SUMIFS(Table14[Amount],Table14[Customer],$B258,Table14[Date],$A258,Table14[Bill No.],$C258),IF($K258="XtraGreen",SUMIFS(Table146[Amount],Table146[Company],$B258,Table146[Date],$A258,Table146[Bill No.],$C258),SUMIFS('Other Sale'!$D:$D,'Other Sale'!$E:$E,$B258,'Other Sale'!$C:$C,$K258,'Other Sale'!$A:$A,$A258)))))</f>
        <v/>
      </c>
      <c r="G258" s="330" t="str" cm="1">
        <f t="array" ref="G258">IF($A258="","",IF($K258="Payment",IFERROR(INDEX(_xlfn._xlws.FILTER(MasterPaid[Amount Paid],(MasterPaid[Customer]=$B258)*(MasterPaid[Date]=$A258)),COUNTIFS($A$6:$A258,$A258,$B$6:$B258,$B258,$K$6:$K258,"Payment")),0),0))</f>
        <v/>
      </c>
      <c r="H258" s="331"/>
      <c r="I258" s="331"/>
      <c r="J258" s="330" t="str">
        <f t="shared" si="4"/>
        <v/>
      </c>
      <c r="K258" s="289" t="str" cm="1">
        <f t="array" ref="K258">IFERROR(INDEX(_xlfn.ANCHORARRAY($Q$6),ROW()-5,4),"")</f>
        <v/>
      </c>
      <c r="L258" s="290"/>
      <c r="U258">
        <f>IF(OR($A258="",$F258=""),0,MAX(0,MIN($F258,SUMIFS($F$6:$F258,$B$6:$B258,$B258)-(SUMIFS($G$6:$G$355,$B$6:$B$355,$B258)+SUMIFS($H$6:$H$355,$B$6:$B$355,$B258)+SUMIFS($I$6:$I$355,$B$6:$B$355,$B258)))))</f>
        <v>0</v>
      </c>
    </row>
    <row r="259" spans="1:21" ht="23" x14ac:dyDescent="0.25">
      <c r="A259" s="217" t="str" cm="1">
        <f t="array" ref="A259">IFERROR(INDEX(_xlfn.ANCHORARRAY($Q$6),ROW()-5,1),"")</f>
        <v/>
      </c>
      <c r="B259" s="288" t="str" cm="1">
        <f t="array" ref="B259">IFERROR(INDEX(_xlfn.ANCHORARRAY($Q$6),ROW()-5,2),"")</f>
        <v/>
      </c>
      <c r="C259" s="289" t="str" cm="1">
        <f t="array" ref="C259">IFERROR(INDEX(_xlfn.ANCHORARRAY($Q$6),ROW()-5,3),"")</f>
        <v/>
      </c>
      <c r="D259" s="218" t="str">
        <f>IF($A259="","",IF($K259="DIESEL",SUMIFS(Table1[Quantity],Table1[Customer],$B259,Table1[Date],$A259,Table1[Bill No.],$C259),IF($K259="PETROL",SUMIFS(Table14[Quantity],Table14[Customer],$B259,Table14[Date],$A259,Table14[Bill No.],$C259),IF($K259="XtraGreen",SUMIFS(Table146[Quantity],Table146[Company],$B259,Table146[Date],$A259,Table146[Bill No.],$C259),""))))</f>
        <v/>
      </c>
      <c r="E259" s="219" t="str">
        <f>IF($A259="","",IF($K259="DIESEL",AVERAGEIFS(Table1[RSP],Table1[Customer],$B259,Table1[Date],$A259,Table1[Bill No.],$C259),IF($K259="PETROL",AVERAGEIFS(Table14[RSP],Table14[Customer],$B259,Table14[Date],$A259,Table14[Bill No.],$C259),IF($K259="XtraGreen",AVERAGEIFS(Table146[RSP],Table146[Company],$B259,Table146[Date],$A259,Table146[Bill No.],$C259),IFERROR($F259/$D259,"")))))</f>
        <v/>
      </c>
      <c r="F259" s="330" t="str">
        <f>IF($A259="","",IF($K259="DIESEL",SUMIFS(Table1[Amount],Table1[Customer],$B259,Table1[Date],$A259,Table1[Bill No.],$C259),IF($K259="PETROL",SUMIFS(Table14[Amount],Table14[Customer],$B259,Table14[Date],$A259,Table14[Bill No.],$C259),IF($K259="XtraGreen",SUMIFS(Table146[Amount],Table146[Company],$B259,Table146[Date],$A259,Table146[Bill No.],$C259),SUMIFS('Other Sale'!$D:$D,'Other Sale'!$E:$E,$B259,'Other Sale'!$C:$C,$K259,'Other Sale'!$A:$A,$A259)))))</f>
        <v/>
      </c>
      <c r="G259" s="330" t="str" cm="1">
        <f t="array" ref="G259">IF($A259="","",IF($K259="Payment",IFERROR(INDEX(_xlfn._xlws.FILTER(MasterPaid[Amount Paid],(MasterPaid[Customer]=$B259)*(MasterPaid[Date]=$A259)),COUNTIFS($A$6:$A259,$A259,$B$6:$B259,$B259,$K$6:$K259,"Payment")),0),0))</f>
        <v/>
      </c>
      <c r="H259" s="331"/>
      <c r="I259" s="331"/>
      <c r="J259" s="330" t="str">
        <f t="shared" si="4"/>
        <v/>
      </c>
      <c r="K259" s="289" t="str" cm="1">
        <f t="array" ref="K259">IFERROR(INDEX(_xlfn.ANCHORARRAY($Q$6),ROW()-5,4),"")</f>
        <v/>
      </c>
      <c r="L259" s="290"/>
      <c r="U259">
        <f>IF(OR($A259="",$F259=""),0,MAX(0,MIN($F259,SUMIFS($F$6:$F259,$B$6:$B259,$B259)-(SUMIFS($G$6:$G$355,$B$6:$B$355,$B259)+SUMIFS($H$6:$H$355,$B$6:$B$355,$B259)+SUMIFS($I$6:$I$355,$B$6:$B$355,$B259)))))</f>
        <v>0</v>
      </c>
    </row>
    <row r="260" spans="1:21" ht="23" x14ac:dyDescent="0.25">
      <c r="A260" s="217" t="str" cm="1">
        <f t="array" ref="A260">IFERROR(INDEX(_xlfn.ANCHORARRAY($Q$6),ROW()-5,1),"")</f>
        <v/>
      </c>
      <c r="B260" s="288" t="str" cm="1">
        <f t="array" ref="B260">IFERROR(INDEX(_xlfn.ANCHORARRAY($Q$6),ROW()-5,2),"")</f>
        <v/>
      </c>
      <c r="C260" s="289" t="str" cm="1">
        <f t="array" ref="C260">IFERROR(INDEX(_xlfn.ANCHORARRAY($Q$6),ROW()-5,3),"")</f>
        <v/>
      </c>
      <c r="D260" s="218" t="str">
        <f>IF($A260="","",IF($K260="DIESEL",SUMIFS(Table1[Quantity],Table1[Customer],$B260,Table1[Date],$A260,Table1[Bill No.],$C260),IF($K260="PETROL",SUMIFS(Table14[Quantity],Table14[Customer],$B260,Table14[Date],$A260,Table14[Bill No.],$C260),IF($K260="XtraGreen",SUMIFS(Table146[Quantity],Table146[Company],$B260,Table146[Date],$A260,Table146[Bill No.],$C260),""))))</f>
        <v/>
      </c>
      <c r="E260" s="219" t="str">
        <f>IF($A260="","",IF($K260="DIESEL",AVERAGEIFS(Table1[RSP],Table1[Customer],$B260,Table1[Date],$A260,Table1[Bill No.],$C260),IF($K260="PETROL",AVERAGEIFS(Table14[RSP],Table14[Customer],$B260,Table14[Date],$A260,Table14[Bill No.],$C260),IF($K260="XtraGreen",AVERAGEIFS(Table146[RSP],Table146[Company],$B260,Table146[Date],$A260,Table146[Bill No.],$C260),IFERROR($F260/$D260,"")))))</f>
        <v/>
      </c>
      <c r="F260" s="330" t="str">
        <f>IF($A260="","",IF($K260="DIESEL",SUMIFS(Table1[Amount],Table1[Customer],$B260,Table1[Date],$A260,Table1[Bill No.],$C260),IF($K260="PETROL",SUMIFS(Table14[Amount],Table14[Customer],$B260,Table14[Date],$A260,Table14[Bill No.],$C260),IF($K260="XtraGreen",SUMIFS(Table146[Amount],Table146[Company],$B260,Table146[Date],$A260,Table146[Bill No.],$C260),SUMIFS('Other Sale'!$D:$D,'Other Sale'!$E:$E,$B260,'Other Sale'!$C:$C,$K260,'Other Sale'!$A:$A,$A260)))))</f>
        <v/>
      </c>
      <c r="G260" s="330" t="str" cm="1">
        <f t="array" ref="G260">IF($A260="","",IF($K260="Payment",IFERROR(INDEX(_xlfn._xlws.FILTER(MasterPaid[Amount Paid],(MasterPaid[Customer]=$B260)*(MasterPaid[Date]=$A260)),COUNTIFS($A$6:$A260,$A260,$B$6:$B260,$B260,$K$6:$K260,"Payment")),0),0))</f>
        <v/>
      </c>
      <c r="H260" s="331"/>
      <c r="I260" s="331"/>
      <c r="J260" s="330" t="str">
        <f t="shared" si="4"/>
        <v/>
      </c>
      <c r="K260" s="289" t="str" cm="1">
        <f t="array" ref="K260">IFERROR(INDEX(_xlfn.ANCHORARRAY($Q$6),ROW()-5,4),"")</f>
        <v/>
      </c>
      <c r="L260" s="290"/>
      <c r="U260">
        <f>IF(OR($A260="",$F260=""),0,MAX(0,MIN($F260,SUMIFS($F$6:$F260,$B$6:$B260,$B260)-(SUMIFS($G$6:$G$355,$B$6:$B$355,$B260)+SUMIFS($H$6:$H$355,$B$6:$B$355,$B260)+SUMIFS($I$6:$I$355,$B$6:$B$355,$B260)))))</f>
        <v>0</v>
      </c>
    </row>
    <row r="261" spans="1:21" ht="23" x14ac:dyDescent="0.25">
      <c r="A261" s="217" t="str" cm="1">
        <f t="array" ref="A261">IFERROR(INDEX(_xlfn.ANCHORARRAY($Q$6),ROW()-5,1),"")</f>
        <v/>
      </c>
      <c r="B261" s="288" t="str" cm="1">
        <f t="array" ref="B261">IFERROR(INDEX(_xlfn.ANCHORARRAY($Q$6),ROW()-5,2),"")</f>
        <v/>
      </c>
      <c r="C261" s="289" t="str" cm="1">
        <f t="array" ref="C261">IFERROR(INDEX(_xlfn.ANCHORARRAY($Q$6),ROW()-5,3),"")</f>
        <v/>
      </c>
      <c r="D261" s="218" t="str">
        <f>IF($A261="","",IF($K261="DIESEL",SUMIFS(Table1[Quantity],Table1[Customer],$B261,Table1[Date],$A261,Table1[Bill No.],$C261),IF($K261="PETROL",SUMIFS(Table14[Quantity],Table14[Customer],$B261,Table14[Date],$A261,Table14[Bill No.],$C261),IF($K261="XtraGreen",SUMIFS(Table146[Quantity],Table146[Company],$B261,Table146[Date],$A261,Table146[Bill No.],$C261),""))))</f>
        <v/>
      </c>
      <c r="E261" s="219" t="str">
        <f>IF($A261="","",IF($K261="DIESEL",AVERAGEIFS(Table1[RSP],Table1[Customer],$B261,Table1[Date],$A261,Table1[Bill No.],$C261),IF($K261="PETROL",AVERAGEIFS(Table14[RSP],Table14[Customer],$B261,Table14[Date],$A261,Table14[Bill No.],$C261),IF($K261="XtraGreen",AVERAGEIFS(Table146[RSP],Table146[Company],$B261,Table146[Date],$A261,Table146[Bill No.],$C261),IFERROR($F261/$D261,"")))))</f>
        <v/>
      </c>
      <c r="F261" s="330" t="str">
        <f>IF($A261="","",IF($K261="DIESEL",SUMIFS(Table1[Amount],Table1[Customer],$B261,Table1[Date],$A261,Table1[Bill No.],$C261),IF($K261="PETROL",SUMIFS(Table14[Amount],Table14[Customer],$B261,Table14[Date],$A261,Table14[Bill No.],$C261),IF($K261="XtraGreen",SUMIFS(Table146[Amount],Table146[Company],$B261,Table146[Date],$A261,Table146[Bill No.],$C261),SUMIFS('Other Sale'!$D:$D,'Other Sale'!$E:$E,$B261,'Other Sale'!$C:$C,$K261,'Other Sale'!$A:$A,$A261)))))</f>
        <v/>
      </c>
      <c r="G261" s="330" t="str" cm="1">
        <f t="array" ref="G261">IF($A261="","",IF($K261="Payment",IFERROR(INDEX(_xlfn._xlws.FILTER(MasterPaid[Amount Paid],(MasterPaid[Customer]=$B261)*(MasterPaid[Date]=$A261)),COUNTIFS($A$6:$A261,$A261,$B$6:$B261,$B261,$K$6:$K261,"Payment")),0),0))</f>
        <v/>
      </c>
      <c r="H261" s="331"/>
      <c r="I261" s="331"/>
      <c r="J261" s="330" t="str">
        <f t="shared" si="4"/>
        <v/>
      </c>
      <c r="K261" s="289" t="str" cm="1">
        <f t="array" ref="K261">IFERROR(INDEX(_xlfn.ANCHORARRAY($Q$6),ROW()-5,4),"")</f>
        <v/>
      </c>
      <c r="L261" s="290"/>
      <c r="U261">
        <f>IF(OR($A261="",$F261=""),0,MAX(0,MIN($F261,SUMIFS($F$6:$F261,$B$6:$B261,$B261)-(SUMIFS($G$6:$G$355,$B$6:$B$355,$B261)+SUMIFS($H$6:$H$355,$B$6:$B$355,$B261)+SUMIFS($I$6:$I$355,$B$6:$B$355,$B261)))))</f>
        <v>0</v>
      </c>
    </row>
    <row r="262" spans="1:21" ht="23" x14ac:dyDescent="0.25">
      <c r="A262" s="217" t="str" cm="1">
        <f t="array" ref="A262">IFERROR(INDEX(_xlfn.ANCHORARRAY($Q$6),ROW()-5,1),"")</f>
        <v/>
      </c>
      <c r="B262" s="288" t="str" cm="1">
        <f t="array" ref="B262">IFERROR(INDEX(_xlfn.ANCHORARRAY($Q$6),ROW()-5,2),"")</f>
        <v/>
      </c>
      <c r="C262" s="289" t="str" cm="1">
        <f t="array" ref="C262">IFERROR(INDEX(_xlfn.ANCHORARRAY($Q$6),ROW()-5,3),"")</f>
        <v/>
      </c>
      <c r="D262" s="218" t="str">
        <f>IF($A262="","",IF($K262="DIESEL",SUMIFS(Table1[Quantity],Table1[Customer],$B262,Table1[Date],$A262,Table1[Bill No.],$C262),IF($K262="PETROL",SUMIFS(Table14[Quantity],Table14[Customer],$B262,Table14[Date],$A262,Table14[Bill No.],$C262),IF($K262="XtraGreen",SUMIFS(Table146[Quantity],Table146[Company],$B262,Table146[Date],$A262,Table146[Bill No.],$C262),""))))</f>
        <v/>
      </c>
      <c r="E262" s="219" t="str">
        <f>IF($A262="","",IF($K262="DIESEL",AVERAGEIFS(Table1[RSP],Table1[Customer],$B262,Table1[Date],$A262,Table1[Bill No.],$C262),IF($K262="PETROL",AVERAGEIFS(Table14[RSP],Table14[Customer],$B262,Table14[Date],$A262,Table14[Bill No.],$C262),IF($K262="XtraGreen",AVERAGEIFS(Table146[RSP],Table146[Company],$B262,Table146[Date],$A262,Table146[Bill No.],$C262),IFERROR($F262/$D262,"")))))</f>
        <v/>
      </c>
      <c r="F262" s="330" t="str">
        <f>IF($A262="","",IF($K262="DIESEL",SUMIFS(Table1[Amount],Table1[Customer],$B262,Table1[Date],$A262,Table1[Bill No.],$C262),IF($K262="PETROL",SUMIFS(Table14[Amount],Table14[Customer],$B262,Table14[Date],$A262,Table14[Bill No.],$C262),IF($K262="XtraGreen",SUMIFS(Table146[Amount],Table146[Company],$B262,Table146[Date],$A262,Table146[Bill No.],$C262),SUMIFS('Other Sale'!$D:$D,'Other Sale'!$E:$E,$B262,'Other Sale'!$C:$C,$K262,'Other Sale'!$A:$A,$A262)))))</f>
        <v/>
      </c>
      <c r="G262" s="330" t="str" cm="1">
        <f t="array" ref="G262">IF($A262="","",IF($K262="Payment",IFERROR(INDEX(_xlfn._xlws.FILTER(MasterPaid[Amount Paid],(MasterPaid[Customer]=$B262)*(MasterPaid[Date]=$A262)),COUNTIFS($A$6:$A262,$A262,$B$6:$B262,$B262,$K$6:$K262,"Payment")),0),0))</f>
        <v/>
      </c>
      <c r="H262" s="331"/>
      <c r="I262" s="331"/>
      <c r="J262" s="330" t="str">
        <f t="shared" si="4"/>
        <v/>
      </c>
      <c r="K262" s="289" t="str" cm="1">
        <f t="array" ref="K262">IFERROR(INDEX(_xlfn.ANCHORARRAY($Q$6),ROW()-5,4),"")</f>
        <v/>
      </c>
      <c r="L262" s="290"/>
      <c r="U262">
        <f>IF(OR($A262="",$F262=""),0,MAX(0,MIN($F262,SUMIFS($F$6:$F262,$B$6:$B262,$B262)-(SUMIFS($G$6:$G$355,$B$6:$B$355,$B262)+SUMIFS($H$6:$H$355,$B$6:$B$355,$B262)+SUMIFS($I$6:$I$355,$B$6:$B$355,$B262)))))</f>
        <v>0</v>
      </c>
    </row>
    <row r="263" spans="1:21" ht="23" x14ac:dyDescent="0.25">
      <c r="A263" s="217" t="str" cm="1">
        <f t="array" ref="A263">IFERROR(INDEX(_xlfn.ANCHORARRAY($Q$6),ROW()-5,1),"")</f>
        <v/>
      </c>
      <c r="B263" s="288" t="str" cm="1">
        <f t="array" ref="B263">IFERROR(INDEX(_xlfn.ANCHORARRAY($Q$6),ROW()-5,2),"")</f>
        <v/>
      </c>
      <c r="C263" s="289" t="str" cm="1">
        <f t="array" ref="C263">IFERROR(INDEX(_xlfn.ANCHORARRAY($Q$6),ROW()-5,3),"")</f>
        <v/>
      </c>
      <c r="D263" s="218" t="str">
        <f>IF($A263="","",IF($K263="DIESEL",SUMIFS(Table1[Quantity],Table1[Customer],$B263,Table1[Date],$A263,Table1[Bill No.],$C263),IF($K263="PETROL",SUMIFS(Table14[Quantity],Table14[Customer],$B263,Table14[Date],$A263,Table14[Bill No.],$C263),IF($K263="XtraGreen",SUMIFS(Table146[Quantity],Table146[Company],$B263,Table146[Date],$A263,Table146[Bill No.],$C263),""))))</f>
        <v/>
      </c>
      <c r="E263" s="219" t="str">
        <f>IF($A263="","",IF($K263="DIESEL",AVERAGEIFS(Table1[RSP],Table1[Customer],$B263,Table1[Date],$A263,Table1[Bill No.],$C263),IF($K263="PETROL",AVERAGEIFS(Table14[RSP],Table14[Customer],$B263,Table14[Date],$A263,Table14[Bill No.],$C263),IF($K263="XtraGreen",AVERAGEIFS(Table146[RSP],Table146[Company],$B263,Table146[Date],$A263,Table146[Bill No.],$C263),IFERROR($F263/$D263,"")))))</f>
        <v/>
      </c>
      <c r="F263" s="330" t="str">
        <f>IF($A263="","",IF($K263="DIESEL",SUMIFS(Table1[Amount],Table1[Customer],$B263,Table1[Date],$A263,Table1[Bill No.],$C263),IF($K263="PETROL",SUMIFS(Table14[Amount],Table14[Customer],$B263,Table14[Date],$A263,Table14[Bill No.],$C263),IF($K263="XtraGreen",SUMIFS(Table146[Amount],Table146[Company],$B263,Table146[Date],$A263,Table146[Bill No.],$C263),SUMIFS('Other Sale'!$D:$D,'Other Sale'!$E:$E,$B263,'Other Sale'!$C:$C,$K263,'Other Sale'!$A:$A,$A263)))))</f>
        <v/>
      </c>
      <c r="G263" s="330" t="str" cm="1">
        <f t="array" ref="G263">IF($A263="","",IF($K263="Payment",IFERROR(INDEX(_xlfn._xlws.FILTER(MasterPaid[Amount Paid],(MasterPaid[Customer]=$B263)*(MasterPaid[Date]=$A263)),COUNTIFS($A$6:$A263,$A263,$B$6:$B263,$B263,$K$6:$K263,"Payment")),0),0))</f>
        <v/>
      </c>
      <c r="H263" s="331"/>
      <c r="I263" s="331"/>
      <c r="J263" s="330" t="str">
        <f t="shared" si="4"/>
        <v/>
      </c>
      <c r="K263" s="289" t="str" cm="1">
        <f t="array" ref="K263">IFERROR(INDEX(_xlfn.ANCHORARRAY($Q$6),ROW()-5,4),"")</f>
        <v/>
      </c>
      <c r="L263" s="290"/>
      <c r="U263">
        <f>IF(OR($A263="",$F263=""),0,MAX(0,MIN($F263,SUMIFS($F$6:$F263,$B$6:$B263,$B263)-(SUMIFS($G$6:$G$355,$B$6:$B$355,$B263)+SUMIFS($H$6:$H$355,$B$6:$B$355,$B263)+SUMIFS($I$6:$I$355,$B$6:$B$355,$B263)))))</f>
        <v>0</v>
      </c>
    </row>
    <row r="264" spans="1:21" ht="23" x14ac:dyDescent="0.25">
      <c r="A264" s="217" t="str" cm="1">
        <f t="array" ref="A264">IFERROR(INDEX(_xlfn.ANCHORARRAY($Q$6),ROW()-5,1),"")</f>
        <v/>
      </c>
      <c r="B264" s="288" t="str" cm="1">
        <f t="array" ref="B264">IFERROR(INDEX(_xlfn.ANCHORARRAY($Q$6),ROW()-5,2),"")</f>
        <v/>
      </c>
      <c r="C264" s="289" t="str" cm="1">
        <f t="array" ref="C264">IFERROR(INDEX(_xlfn.ANCHORARRAY($Q$6),ROW()-5,3),"")</f>
        <v/>
      </c>
      <c r="D264" s="218" t="str">
        <f>IF($A264="","",IF($K264="DIESEL",SUMIFS(Table1[Quantity],Table1[Customer],$B264,Table1[Date],$A264,Table1[Bill No.],$C264),IF($K264="PETROL",SUMIFS(Table14[Quantity],Table14[Customer],$B264,Table14[Date],$A264,Table14[Bill No.],$C264),IF($K264="XtraGreen",SUMIFS(Table146[Quantity],Table146[Company],$B264,Table146[Date],$A264,Table146[Bill No.],$C264),""))))</f>
        <v/>
      </c>
      <c r="E264" s="219" t="str">
        <f>IF($A264="","",IF($K264="DIESEL",AVERAGEIFS(Table1[RSP],Table1[Customer],$B264,Table1[Date],$A264,Table1[Bill No.],$C264),IF($K264="PETROL",AVERAGEIFS(Table14[RSP],Table14[Customer],$B264,Table14[Date],$A264,Table14[Bill No.],$C264),IF($K264="XtraGreen",AVERAGEIFS(Table146[RSP],Table146[Company],$B264,Table146[Date],$A264,Table146[Bill No.],$C264),IFERROR($F264/$D264,"")))))</f>
        <v/>
      </c>
      <c r="F264" s="330" t="str">
        <f>IF($A264="","",IF($K264="DIESEL",SUMIFS(Table1[Amount],Table1[Customer],$B264,Table1[Date],$A264,Table1[Bill No.],$C264),IF($K264="PETROL",SUMIFS(Table14[Amount],Table14[Customer],$B264,Table14[Date],$A264,Table14[Bill No.],$C264),IF($K264="XtraGreen",SUMIFS(Table146[Amount],Table146[Company],$B264,Table146[Date],$A264,Table146[Bill No.],$C264),SUMIFS('Other Sale'!$D:$D,'Other Sale'!$E:$E,$B264,'Other Sale'!$C:$C,$K264,'Other Sale'!$A:$A,$A264)))))</f>
        <v/>
      </c>
      <c r="G264" s="330" t="str" cm="1">
        <f t="array" ref="G264">IF($A264="","",IF($K264="Payment",IFERROR(INDEX(_xlfn._xlws.FILTER(MasterPaid[Amount Paid],(MasterPaid[Customer]=$B264)*(MasterPaid[Date]=$A264)),COUNTIFS($A$6:$A264,$A264,$B$6:$B264,$B264,$K$6:$K264,"Payment")),0),0))</f>
        <v/>
      </c>
      <c r="H264" s="331"/>
      <c r="I264" s="331"/>
      <c r="J264" s="330" t="str">
        <f t="shared" si="4"/>
        <v/>
      </c>
      <c r="K264" s="289" t="str" cm="1">
        <f t="array" ref="K264">IFERROR(INDEX(_xlfn.ANCHORARRAY($Q$6),ROW()-5,4),"")</f>
        <v/>
      </c>
      <c r="L264" s="290"/>
      <c r="U264">
        <f>IF(OR($A264="",$F264=""),0,MAX(0,MIN($F264,SUMIFS($F$6:$F264,$B$6:$B264,$B264)-(SUMIFS($G$6:$G$355,$B$6:$B$355,$B264)+SUMIFS($H$6:$H$355,$B$6:$B$355,$B264)+SUMIFS($I$6:$I$355,$B$6:$B$355,$B264)))))</f>
        <v>0</v>
      </c>
    </row>
    <row r="265" spans="1:21" ht="23" x14ac:dyDescent="0.25">
      <c r="A265" s="217" t="str" cm="1">
        <f t="array" ref="A265">IFERROR(INDEX(_xlfn.ANCHORARRAY($Q$6),ROW()-5,1),"")</f>
        <v/>
      </c>
      <c r="B265" s="288" t="str" cm="1">
        <f t="array" ref="B265">IFERROR(INDEX(_xlfn.ANCHORARRAY($Q$6),ROW()-5,2),"")</f>
        <v/>
      </c>
      <c r="C265" s="289" t="str" cm="1">
        <f t="array" ref="C265">IFERROR(INDEX(_xlfn.ANCHORARRAY($Q$6),ROW()-5,3),"")</f>
        <v/>
      </c>
      <c r="D265" s="218" t="str">
        <f>IF($A265="","",IF($K265="DIESEL",SUMIFS(Table1[Quantity],Table1[Customer],$B265,Table1[Date],$A265,Table1[Bill No.],$C265),IF($K265="PETROL",SUMIFS(Table14[Quantity],Table14[Customer],$B265,Table14[Date],$A265,Table14[Bill No.],$C265),IF($K265="XtraGreen",SUMIFS(Table146[Quantity],Table146[Company],$B265,Table146[Date],$A265,Table146[Bill No.],$C265),""))))</f>
        <v/>
      </c>
      <c r="E265" s="219" t="str">
        <f>IF($A265="","",IF($K265="DIESEL",AVERAGEIFS(Table1[RSP],Table1[Customer],$B265,Table1[Date],$A265,Table1[Bill No.],$C265),IF($K265="PETROL",AVERAGEIFS(Table14[RSP],Table14[Customer],$B265,Table14[Date],$A265,Table14[Bill No.],$C265),IF($K265="XtraGreen",AVERAGEIFS(Table146[RSP],Table146[Company],$B265,Table146[Date],$A265,Table146[Bill No.],$C265),IFERROR($F265/$D265,"")))))</f>
        <v/>
      </c>
      <c r="F265" s="330" t="str">
        <f>IF($A265="","",IF($K265="DIESEL",SUMIFS(Table1[Amount],Table1[Customer],$B265,Table1[Date],$A265,Table1[Bill No.],$C265),IF($K265="PETROL",SUMIFS(Table14[Amount],Table14[Customer],$B265,Table14[Date],$A265,Table14[Bill No.],$C265),IF($K265="XtraGreen",SUMIFS(Table146[Amount],Table146[Company],$B265,Table146[Date],$A265,Table146[Bill No.],$C265),SUMIFS('Other Sale'!$D:$D,'Other Sale'!$E:$E,$B265,'Other Sale'!$C:$C,$K265,'Other Sale'!$A:$A,$A265)))))</f>
        <v/>
      </c>
      <c r="G265" s="330" t="str" cm="1">
        <f t="array" ref="G265">IF($A265="","",IF($K265="Payment",IFERROR(INDEX(_xlfn._xlws.FILTER(MasterPaid[Amount Paid],(MasterPaid[Customer]=$B265)*(MasterPaid[Date]=$A265)),COUNTIFS($A$6:$A265,$A265,$B$6:$B265,$B265,$K$6:$K265,"Payment")),0),0))</f>
        <v/>
      </c>
      <c r="H265" s="331"/>
      <c r="I265" s="331"/>
      <c r="J265" s="330" t="str">
        <f t="shared" si="4"/>
        <v/>
      </c>
      <c r="K265" s="289" t="str" cm="1">
        <f t="array" ref="K265">IFERROR(INDEX(_xlfn.ANCHORARRAY($Q$6),ROW()-5,4),"")</f>
        <v/>
      </c>
      <c r="L265" s="290"/>
      <c r="U265">
        <f>IF(OR($A265="",$F265=""),0,MAX(0,MIN($F265,SUMIFS($F$6:$F265,$B$6:$B265,$B265)-(SUMIFS($G$6:$G$355,$B$6:$B$355,$B265)+SUMIFS($H$6:$H$355,$B$6:$B$355,$B265)+SUMIFS($I$6:$I$355,$B$6:$B$355,$B265)))))</f>
        <v>0</v>
      </c>
    </row>
    <row r="266" spans="1:21" ht="23" x14ac:dyDescent="0.25">
      <c r="A266" s="217" t="str" cm="1">
        <f t="array" ref="A266">IFERROR(INDEX(_xlfn.ANCHORARRAY($Q$6),ROW()-5,1),"")</f>
        <v/>
      </c>
      <c r="B266" s="288" t="str" cm="1">
        <f t="array" ref="B266">IFERROR(INDEX(_xlfn.ANCHORARRAY($Q$6),ROW()-5,2),"")</f>
        <v/>
      </c>
      <c r="C266" s="289" t="str" cm="1">
        <f t="array" ref="C266">IFERROR(INDEX(_xlfn.ANCHORARRAY($Q$6),ROW()-5,3),"")</f>
        <v/>
      </c>
      <c r="D266" s="218" t="str">
        <f>IF($A266="","",IF($K266="DIESEL",SUMIFS(Table1[Quantity],Table1[Customer],$B266,Table1[Date],$A266,Table1[Bill No.],$C266),IF($K266="PETROL",SUMIFS(Table14[Quantity],Table14[Customer],$B266,Table14[Date],$A266,Table14[Bill No.],$C266),IF($K266="XtraGreen",SUMIFS(Table146[Quantity],Table146[Company],$B266,Table146[Date],$A266,Table146[Bill No.],$C266),""))))</f>
        <v/>
      </c>
      <c r="E266" s="219" t="str">
        <f>IF($A266="","",IF($K266="DIESEL",AVERAGEIFS(Table1[RSP],Table1[Customer],$B266,Table1[Date],$A266,Table1[Bill No.],$C266),IF($K266="PETROL",AVERAGEIFS(Table14[RSP],Table14[Customer],$B266,Table14[Date],$A266,Table14[Bill No.],$C266),IF($K266="XtraGreen",AVERAGEIFS(Table146[RSP],Table146[Company],$B266,Table146[Date],$A266,Table146[Bill No.],$C266),IFERROR($F266/$D266,"")))))</f>
        <v/>
      </c>
      <c r="F266" s="330" t="str">
        <f>IF($A266="","",IF($K266="DIESEL",SUMIFS(Table1[Amount],Table1[Customer],$B266,Table1[Date],$A266,Table1[Bill No.],$C266),IF($K266="PETROL",SUMIFS(Table14[Amount],Table14[Customer],$B266,Table14[Date],$A266,Table14[Bill No.],$C266),IF($K266="XtraGreen",SUMIFS(Table146[Amount],Table146[Company],$B266,Table146[Date],$A266,Table146[Bill No.],$C266),SUMIFS('Other Sale'!$D:$D,'Other Sale'!$E:$E,$B266,'Other Sale'!$C:$C,$K266,'Other Sale'!$A:$A,$A266)))))</f>
        <v/>
      </c>
      <c r="G266" s="330" t="str" cm="1">
        <f t="array" ref="G266">IF($A266="","",IF($K266="Payment",IFERROR(INDEX(_xlfn._xlws.FILTER(MasterPaid[Amount Paid],(MasterPaid[Customer]=$B266)*(MasterPaid[Date]=$A266)),COUNTIFS($A$6:$A266,$A266,$B$6:$B266,$B266,$K$6:$K266,"Payment")),0),0))</f>
        <v/>
      </c>
      <c r="H266" s="331"/>
      <c r="I266" s="331"/>
      <c r="J266" s="330" t="str">
        <f t="shared" si="4"/>
        <v/>
      </c>
      <c r="K266" s="289" t="str" cm="1">
        <f t="array" ref="K266">IFERROR(INDEX(_xlfn.ANCHORARRAY($Q$6),ROW()-5,4),"")</f>
        <v/>
      </c>
      <c r="L266" s="290"/>
      <c r="U266">
        <f>IF(OR($A266="",$F266=""),0,MAX(0,MIN($F266,SUMIFS($F$6:$F266,$B$6:$B266,$B266)-(SUMIFS($G$6:$G$355,$B$6:$B$355,$B266)+SUMIFS($H$6:$H$355,$B$6:$B$355,$B266)+SUMIFS($I$6:$I$355,$B$6:$B$355,$B266)))))</f>
        <v>0</v>
      </c>
    </row>
    <row r="267" spans="1:21" ht="23" x14ac:dyDescent="0.25">
      <c r="A267" s="217" t="str" cm="1">
        <f t="array" ref="A267">IFERROR(INDEX(_xlfn.ANCHORARRAY($Q$6),ROW()-5,1),"")</f>
        <v/>
      </c>
      <c r="B267" s="288" t="str" cm="1">
        <f t="array" ref="B267">IFERROR(INDEX(_xlfn.ANCHORARRAY($Q$6),ROW()-5,2),"")</f>
        <v/>
      </c>
      <c r="C267" s="289" t="str" cm="1">
        <f t="array" ref="C267">IFERROR(INDEX(_xlfn.ANCHORARRAY($Q$6),ROW()-5,3),"")</f>
        <v/>
      </c>
      <c r="D267" s="218" t="str">
        <f>IF($A267="","",IF($K267="DIESEL",SUMIFS(Table1[Quantity],Table1[Customer],$B267,Table1[Date],$A267,Table1[Bill No.],$C267),IF($K267="PETROL",SUMIFS(Table14[Quantity],Table14[Customer],$B267,Table14[Date],$A267,Table14[Bill No.],$C267),IF($K267="XtraGreen",SUMIFS(Table146[Quantity],Table146[Company],$B267,Table146[Date],$A267,Table146[Bill No.],$C267),""))))</f>
        <v/>
      </c>
      <c r="E267" s="219" t="str">
        <f>IF($A267="","",IF($K267="DIESEL",AVERAGEIFS(Table1[RSP],Table1[Customer],$B267,Table1[Date],$A267,Table1[Bill No.],$C267),IF($K267="PETROL",AVERAGEIFS(Table14[RSP],Table14[Customer],$B267,Table14[Date],$A267,Table14[Bill No.],$C267),IF($K267="XtraGreen",AVERAGEIFS(Table146[RSP],Table146[Company],$B267,Table146[Date],$A267,Table146[Bill No.],$C267),IFERROR($F267/$D267,"")))))</f>
        <v/>
      </c>
      <c r="F267" s="330" t="str">
        <f>IF($A267="","",IF($K267="DIESEL",SUMIFS(Table1[Amount],Table1[Customer],$B267,Table1[Date],$A267,Table1[Bill No.],$C267),IF($K267="PETROL",SUMIFS(Table14[Amount],Table14[Customer],$B267,Table14[Date],$A267,Table14[Bill No.],$C267),IF($K267="XtraGreen",SUMIFS(Table146[Amount],Table146[Company],$B267,Table146[Date],$A267,Table146[Bill No.],$C267),SUMIFS('Other Sale'!$D:$D,'Other Sale'!$E:$E,$B267,'Other Sale'!$C:$C,$K267,'Other Sale'!$A:$A,$A267)))))</f>
        <v/>
      </c>
      <c r="G267" s="330" t="str" cm="1">
        <f t="array" ref="G267">IF($A267="","",IF($K267="Payment",IFERROR(INDEX(_xlfn._xlws.FILTER(MasterPaid[Amount Paid],(MasterPaid[Customer]=$B267)*(MasterPaid[Date]=$A267)),COUNTIFS($A$6:$A267,$A267,$B$6:$B267,$B267,$K$6:$K267,"Payment")),0),0))</f>
        <v/>
      </c>
      <c r="H267" s="331"/>
      <c r="I267" s="331"/>
      <c r="J267" s="330" t="str">
        <f t="shared" si="4"/>
        <v/>
      </c>
      <c r="K267" s="289" t="str" cm="1">
        <f t="array" ref="K267">IFERROR(INDEX(_xlfn.ANCHORARRAY($Q$6),ROW()-5,4),"")</f>
        <v/>
      </c>
      <c r="L267" s="290"/>
      <c r="U267">
        <f>IF(OR($A267="",$F267=""),0,MAX(0,MIN($F267,SUMIFS($F$6:$F267,$B$6:$B267,$B267)-(SUMIFS($G$6:$G$355,$B$6:$B$355,$B267)+SUMIFS($H$6:$H$355,$B$6:$B$355,$B267)+SUMIFS($I$6:$I$355,$B$6:$B$355,$B267)))))</f>
        <v>0</v>
      </c>
    </row>
    <row r="268" spans="1:21" ht="23" x14ac:dyDescent="0.25">
      <c r="A268" s="217" t="str" cm="1">
        <f t="array" ref="A268">IFERROR(INDEX(_xlfn.ANCHORARRAY($Q$6),ROW()-5,1),"")</f>
        <v/>
      </c>
      <c r="B268" s="288" t="str" cm="1">
        <f t="array" ref="B268">IFERROR(INDEX(_xlfn.ANCHORARRAY($Q$6),ROW()-5,2),"")</f>
        <v/>
      </c>
      <c r="C268" s="289" t="str" cm="1">
        <f t="array" ref="C268">IFERROR(INDEX(_xlfn.ANCHORARRAY($Q$6),ROW()-5,3),"")</f>
        <v/>
      </c>
      <c r="D268" s="218" t="str">
        <f>IF($A268="","",IF($K268="DIESEL",SUMIFS(Table1[Quantity],Table1[Customer],$B268,Table1[Date],$A268,Table1[Bill No.],$C268),IF($K268="PETROL",SUMIFS(Table14[Quantity],Table14[Customer],$B268,Table14[Date],$A268,Table14[Bill No.],$C268),IF($K268="XtraGreen",SUMIFS(Table146[Quantity],Table146[Company],$B268,Table146[Date],$A268,Table146[Bill No.],$C268),""))))</f>
        <v/>
      </c>
      <c r="E268" s="219" t="str">
        <f>IF($A268="","",IF($K268="DIESEL",AVERAGEIFS(Table1[RSP],Table1[Customer],$B268,Table1[Date],$A268,Table1[Bill No.],$C268),IF($K268="PETROL",AVERAGEIFS(Table14[RSP],Table14[Customer],$B268,Table14[Date],$A268,Table14[Bill No.],$C268),IF($K268="XtraGreen",AVERAGEIFS(Table146[RSP],Table146[Company],$B268,Table146[Date],$A268,Table146[Bill No.],$C268),IFERROR($F268/$D268,"")))))</f>
        <v/>
      </c>
      <c r="F268" s="330" t="str">
        <f>IF($A268="","",IF($K268="DIESEL",SUMIFS(Table1[Amount],Table1[Customer],$B268,Table1[Date],$A268,Table1[Bill No.],$C268),IF($K268="PETROL",SUMIFS(Table14[Amount],Table14[Customer],$B268,Table14[Date],$A268,Table14[Bill No.],$C268),IF($K268="XtraGreen",SUMIFS(Table146[Amount],Table146[Company],$B268,Table146[Date],$A268,Table146[Bill No.],$C268),SUMIFS('Other Sale'!$D:$D,'Other Sale'!$E:$E,$B268,'Other Sale'!$C:$C,$K268,'Other Sale'!$A:$A,$A268)))))</f>
        <v/>
      </c>
      <c r="G268" s="330" t="str" cm="1">
        <f t="array" ref="G268">IF($A268="","",IF($K268="Payment",IFERROR(INDEX(_xlfn._xlws.FILTER(MasterPaid[Amount Paid],(MasterPaid[Customer]=$B268)*(MasterPaid[Date]=$A268)),COUNTIFS($A$6:$A268,$A268,$B$6:$B268,$B268,$K$6:$K268,"Payment")),0),0))</f>
        <v/>
      </c>
      <c r="H268" s="331"/>
      <c r="I268" s="331"/>
      <c r="J268" s="330" t="str">
        <f t="shared" si="4"/>
        <v/>
      </c>
      <c r="K268" s="289" t="str" cm="1">
        <f t="array" ref="K268">IFERROR(INDEX(_xlfn.ANCHORARRAY($Q$6),ROW()-5,4),"")</f>
        <v/>
      </c>
      <c r="L268" s="290"/>
      <c r="U268">
        <f>IF(OR($A268="",$F268=""),0,MAX(0,MIN($F268,SUMIFS($F$6:$F268,$B$6:$B268,$B268)-(SUMIFS($G$6:$G$355,$B$6:$B$355,$B268)+SUMIFS($H$6:$H$355,$B$6:$B$355,$B268)+SUMIFS($I$6:$I$355,$B$6:$B$355,$B268)))))</f>
        <v>0</v>
      </c>
    </row>
    <row r="269" spans="1:21" ht="23" x14ac:dyDescent="0.25">
      <c r="A269" s="217" t="str" cm="1">
        <f t="array" ref="A269">IFERROR(INDEX(_xlfn.ANCHORARRAY($Q$6),ROW()-5,1),"")</f>
        <v/>
      </c>
      <c r="B269" s="288" t="str" cm="1">
        <f t="array" ref="B269">IFERROR(INDEX(_xlfn.ANCHORARRAY($Q$6),ROW()-5,2),"")</f>
        <v/>
      </c>
      <c r="C269" s="289" t="str" cm="1">
        <f t="array" ref="C269">IFERROR(INDEX(_xlfn.ANCHORARRAY($Q$6),ROW()-5,3),"")</f>
        <v/>
      </c>
      <c r="D269" s="218" t="str">
        <f>IF($A269="","",IF($K269="DIESEL",SUMIFS(Table1[Quantity],Table1[Customer],$B269,Table1[Date],$A269,Table1[Bill No.],$C269),IF($K269="PETROL",SUMIFS(Table14[Quantity],Table14[Customer],$B269,Table14[Date],$A269,Table14[Bill No.],$C269),IF($K269="XtraGreen",SUMIFS(Table146[Quantity],Table146[Company],$B269,Table146[Date],$A269,Table146[Bill No.],$C269),""))))</f>
        <v/>
      </c>
      <c r="E269" s="219" t="str">
        <f>IF($A269="","",IF($K269="DIESEL",AVERAGEIFS(Table1[RSP],Table1[Customer],$B269,Table1[Date],$A269,Table1[Bill No.],$C269),IF($K269="PETROL",AVERAGEIFS(Table14[RSP],Table14[Customer],$B269,Table14[Date],$A269,Table14[Bill No.],$C269),IF($K269="XtraGreen",AVERAGEIFS(Table146[RSP],Table146[Company],$B269,Table146[Date],$A269,Table146[Bill No.],$C269),IFERROR($F269/$D269,"")))))</f>
        <v/>
      </c>
      <c r="F269" s="330" t="str">
        <f>IF($A269="","",IF($K269="DIESEL",SUMIFS(Table1[Amount],Table1[Customer],$B269,Table1[Date],$A269,Table1[Bill No.],$C269),IF($K269="PETROL",SUMIFS(Table14[Amount],Table14[Customer],$B269,Table14[Date],$A269,Table14[Bill No.],$C269),IF($K269="XtraGreen",SUMIFS(Table146[Amount],Table146[Company],$B269,Table146[Date],$A269,Table146[Bill No.],$C269),SUMIFS('Other Sale'!$D:$D,'Other Sale'!$E:$E,$B269,'Other Sale'!$C:$C,$K269,'Other Sale'!$A:$A,$A269)))))</f>
        <v/>
      </c>
      <c r="G269" s="330" t="str" cm="1">
        <f t="array" ref="G269">IF($A269="","",IF($K269="Payment",IFERROR(INDEX(_xlfn._xlws.FILTER(MasterPaid[Amount Paid],(MasterPaid[Customer]=$B269)*(MasterPaid[Date]=$A269)),COUNTIFS($A$6:$A269,$A269,$B$6:$B269,$B269,$K$6:$K269,"Payment")),0),0))</f>
        <v/>
      </c>
      <c r="H269" s="331"/>
      <c r="I269" s="331"/>
      <c r="J269" s="330" t="str">
        <f t="shared" si="4"/>
        <v/>
      </c>
      <c r="K269" s="289" t="str" cm="1">
        <f t="array" ref="K269">IFERROR(INDEX(_xlfn.ANCHORARRAY($Q$6),ROW()-5,4),"")</f>
        <v/>
      </c>
      <c r="L269" s="290"/>
      <c r="U269">
        <f>IF(OR($A269="",$F269=""),0,MAX(0,MIN($F269,SUMIFS($F$6:$F269,$B$6:$B269,$B269)-(SUMIFS($G$6:$G$355,$B$6:$B$355,$B269)+SUMIFS($H$6:$H$355,$B$6:$B$355,$B269)+SUMIFS($I$6:$I$355,$B$6:$B$355,$B269)))))</f>
        <v>0</v>
      </c>
    </row>
    <row r="270" spans="1:21" ht="23" x14ac:dyDescent="0.25">
      <c r="A270" s="217" t="str" cm="1">
        <f t="array" ref="A270">IFERROR(INDEX(_xlfn.ANCHORARRAY($Q$6),ROW()-5,1),"")</f>
        <v/>
      </c>
      <c r="B270" s="288" t="str" cm="1">
        <f t="array" ref="B270">IFERROR(INDEX(_xlfn.ANCHORARRAY($Q$6),ROW()-5,2),"")</f>
        <v/>
      </c>
      <c r="C270" s="289" t="str" cm="1">
        <f t="array" ref="C270">IFERROR(INDEX(_xlfn.ANCHORARRAY($Q$6),ROW()-5,3),"")</f>
        <v/>
      </c>
      <c r="D270" s="218" t="str">
        <f>IF($A270="","",IF($K270="DIESEL",SUMIFS(Table1[Quantity],Table1[Customer],$B270,Table1[Date],$A270,Table1[Bill No.],$C270),IF($K270="PETROL",SUMIFS(Table14[Quantity],Table14[Customer],$B270,Table14[Date],$A270,Table14[Bill No.],$C270),IF($K270="XtraGreen",SUMIFS(Table146[Quantity],Table146[Company],$B270,Table146[Date],$A270,Table146[Bill No.],$C270),""))))</f>
        <v/>
      </c>
      <c r="E270" s="219" t="str">
        <f>IF($A270="","",IF($K270="DIESEL",AVERAGEIFS(Table1[RSP],Table1[Customer],$B270,Table1[Date],$A270,Table1[Bill No.],$C270),IF($K270="PETROL",AVERAGEIFS(Table14[RSP],Table14[Customer],$B270,Table14[Date],$A270,Table14[Bill No.],$C270),IF($K270="XtraGreen",AVERAGEIFS(Table146[RSP],Table146[Company],$B270,Table146[Date],$A270,Table146[Bill No.],$C270),IFERROR($F270/$D270,"")))))</f>
        <v/>
      </c>
      <c r="F270" s="330" t="str">
        <f>IF($A270="","",IF($K270="DIESEL",SUMIFS(Table1[Amount],Table1[Customer],$B270,Table1[Date],$A270,Table1[Bill No.],$C270),IF($K270="PETROL",SUMIFS(Table14[Amount],Table14[Customer],$B270,Table14[Date],$A270,Table14[Bill No.],$C270),IF($K270="XtraGreen",SUMIFS(Table146[Amount],Table146[Company],$B270,Table146[Date],$A270,Table146[Bill No.],$C270),SUMIFS('Other Sale'!$D:$D,'Other Sale'!$E:$E,$B270,'Other Sale'!$C:$C,$K270,'Other Sale'!$A:$A,$A270)))))</f>
        <v/>
      </c>
      <c r="G270" s="330" t="str" cm="1">
        <f t="array" ref="G270">IF($A270="","",IF($K270="Payment",IFERROR(INDEX(_xlfn._xlws.FILTER(MasterPaid[Amount Paid],(MasterPaid[Customer]=$B270)*(MasterPaid[Date]=$A270)),COUNTIFS($A$6:$A270,$A270,$B$6:$B270,$B270,$K$6:$K270,"Payment")),0),0))</f>
        <v/>
      </c>
      <c r="H270" s="331"/>
      <c r="I270" s="331"/>
      <c r="J270" s="330" t="str">
        <f t="shared" si="4"/>
        <v/>
      </c>
      <c r="K270" s="289" t="str" cm="1">
        <f t="array" ref="K270">IFERROR(INDEX(_xlfn.ANCHORARRAY($Q$6),ROW()-5,4),"")</f>
        <v/>
      </c>
      <c r="L270" s="290"/>
      <c r="U270">
        <f>IF(OR($A270="",$F270=""),0,MAX(0,MIN($F270,SUMIFS($F$6:$F270,$B$6:$B270,$B270)-(SUMIFS($G$6:$G$355,$B$6:$B$355,$B270)+SUMIFS($H$6:$H$355,$B$6:$B$355,$B270)+SUMIFS($I$6:$I$355,$B$6:$B$355,$B270)))))</f>
        <v>0</v>
      </c>
    </row>
    <row r="271" spans="1:21" ht="23" x14ac:dyDescent="0.25">
      <c r="A271" s="217" t="str" cm="1">
        <f t="array" ref="A271">IFERROR(INDEX(_xlfn.ANCHORARRAY($Q$6),ROW()-5,1),"")</f>
        <v/>
      </c>
      <c r="B271" s="288" t="str" cm="1">
        <f t="array" ref="B271">IFERROR(INDEX(_xlfn.ANCHORARRAY($Q$6),ROW()-5,2),"")</f>
        <v/>
      </c>
      <c r="C271" s="289" t="str" cm="1">
        <f t="array" ref="C271">IFERROR(INDEX(_xlfn.ANCHORARRAY($Q$6),ROW()-5,3),"")</f>
        <v/>
      </c>
      <c r="D271" s="218" t="str">
        <f>IF($A271="","",IF($K271="DIESEL",SUMIFS(Table1[Quantity],Table1[Customer],$B271,Table1[Date],$A271,Table1[Bill No.],$C271),IF($K271="PETROL",SUMIFS(Table14[Quantity],Table14[Customer],$B271,Table14[Date],$A271,Table14[Bill No.],$C271),IF($K271="XtraGreen",SUMIFS(Table146[Quantity],Table146[Company],$B271,Table146[Date],$A271,Table146[Bill No.],$C271),""))))</f>
        <v/>
      </c>
      <c r="E271" s="219" t="str">
        <f>IF($A271="","",IF($K271="DIESEL",AVERAGEIFS(Table1[RSP],Table1[Customer],$B271,Table1[Date],$A271,Table1[Bill No.],$C271),IF($K271="PETROL",AVERAGEIFS(Table14[RSP],Table14[Customer],$B271,Table14[Date],$A271,Table14[Bill No.],$C271),IF($K271="XtraGreen",AVERAGEIFS(Table146[RSP],Table146[Company],$B271,Table146[Date],$A271,Table146[Bill No.],$C271),IFERROR($F271/$D271,"")))))</f>
        <v/>
      </c>
      <c r="F271" s="330" t="str">
        <f>IF($A271="","",IF($K271="DIESEL",SUMIFS(Table1[Amount],Table1[Customer],$B271,Table1[Date],$A271,Table1[Bill No.],$C271),IF($K271="PETROL",SUMIFS(Table14[Amount],Table14[Customer],$B271,Table14[Date],$A271,Table14[Bill No.],$C271),IF($K271="XtraGreen",SUMIFS(Table146[Amount],Table146[Company],$B271,Table146[Date],$A271,Table146[Bill No.],$C271),SUMIFS('Other Sale'!$D:$D,'Other Sale'!$E:$E,$B271,'Other Sale'!$C:$C,$K271,'Other Sale'!$A:$A,$A271)))))</f>
        <v/>
      </c>
      <c r="G271" s="330" t="str" cm="1">
        <f t="array" ref="G271">IF($A271="","",IF($K271="Payment",IFERROR(INDEX(_xlfn._xlws.FILTER(MasterPaid[Amount Paid],(MasterPaid[Customer]=$B271)*(MasterPaid[Date]=$A271)),COUNTIFS($A$6:$A271,$A271,$B$6:$B271,$B271,$K$6:$K271,"Payment")),0),0))</f>
        <v/>
      </c>
      <c r="H271" s="331"/>
      <c r="I271" s="331"/>
      <c r="J271" s="330" t="str">
        <f t="shared" si="4"/>
        <v/>
      </c>
      <c r="K271" s="289" t="str" cm="1">
        <f t="array" ref="K271">IFERROR(INDEX(_xlfn.ANCHORARRAY($Q$6),ROW()-5,4),"")</f>
        <v/>
      </c>
      <c r="L271" s="290"/>
      <c r="U271">
        <f>IF(OR($A271="",$F271=""),0,MAX(0,MIN($F271,SUMIFS($F$6:$F271,$B$6:$B271,$B271)-(SUMIFS($G$6:$G$355,$B$6:$B$355,$B271)+SUMIFS($H$6:$H$355,$B$6:$B$355,$B271)+SUMIFS($I$6:$I$355,$B$6:$B$355,$B271)))))</f>
        <v>0</v>
      </c>
    </row>
    <row r="272" spans="1:21" ht="23" x14ac:dyDescent="0.25">
      <c r="A272" s="217" t="str" cm="1">
        <f t="array" ref="A272">IFERROR(INDEX(_xlfn.ANCHORARRAY($Q$6),ROW()-5,1),"")</f>
        <v/>
      </c>
      <c r="B272" s="288" t="str" cm="1">
        <f t="array" ref="B272">IFERROR(INDEX(_xlfn.ANCHORARRAY($Q$6),ROW()-5,2),"")</f>
        <v/>
      </c>
      <c r="C272" s="289" t="str" cm="1">
        <f t="array" ref="C272">IFERROR(INDEX(_xlfn.ANCHORARRAY($Q$6),ROW()-5,3),"")</f>
        <v/>
      </c>
      <c r="D272" s="218" t="str">
        <f>IF($A272="","",IF($K272="DIESEL",SUMIFS(Table1[Quantity],Table1[Customer],$B272,Table1[Date],$A272,Table1[Bill No.],$C272),IF($K272="PETROL",SUMIFS(Table14[Quantity],Table14[Customer],$B272,Table14[Date],$A272,Table14[Bill No.],$C272),IF($K272="XtraGreen",SUMIFS(Table146[Quantity],Table146[Company],$B272,Table146[Date],$A272,Table146[Bill No.],$C272),""))))</f>
        <v/>
      </c>
      <c r="E272" s="219" t="str">
        <f>IF($A272="","",IF($K272="DIESEL",AVERAGEIFS(Table1[RSP],Table1[Customer],$B272,Table1[Date],$A272,Table1[Bill No.],$C272),IF($K272="PETROL",AVERAGEIFS(Table14[RSP],Table14[Customer],$B272,Table14[Date],$A272,Table14[Bill No.],$C272),IF($K272="XtraGreen",AVERAGEIFS(Table146[RSP],Table146[Company],$B272,Table146[Date],$A272,Table146[Bill No.],$C272),IFERROR($F272/$D272,"")))))</f>
        <v/>
      </c>
      <c r="F272" s="330" t="str">
        <f>IF($A272="","",IF($K272="DIESEL",SUMIFS(Table1[Amount],Table1[Customer],$B272,Table1[Date],$A272,Table1[Bill No.],$C272),IF($K272="PETROL",SUMIFS(Table14[Amount],Table14[Customer],$B272,Table14[Date],$A272,Table14[Bill No.],$C272),IF($K272="XtraGreen",SUMIFS(Table146[Amount],Table146[Company],$B272,Table146[Date],$A272,Table146[Bill No.],$C272),SUMIFS('Other Sale'!$D:$D,'Other Sale'!$E:$E,$B272,'Other Sale'!$C:$C,$K272,'Other Sale'!$A:$A,$A272)))))</f>
        <v/>
      </c>
      <c r="G272" s="330" t="str" cm="1">
        <f t="array" ref="G272">IF($A272="","",IF($K272="Payment",IFERROR(INDEX(_xlfn._xlws.FILTER(MasterPaid[Amount Paid],(MasterPaid[Customer]=$B272)*(MasterPaid[Date]=$A272)),COUNTIFS($A$6:$A272,$A272,$B$6:$B272,$B272,$K$6:$K272,"Payment")),0),0))</f>
        <v/>
      </c>
      <c r="H272" s="331"/>
      <c r="I272" s="331"/>
      <c r="J272" s="330" t="str">
        <f t="shared" si="4"/>
        <v/>
      </c>
      <c r="K272" s="289" t="str" cm="1">
        <f t="array" ref="K272">IFERROR(INDEX(_xlfn.ANCHORARRAY($Q$6),ROW()-5,4),"")</f>
        <v/>
      </c>
      <c r="L272" s="290"/>
      <c r="U272">
        <f>IF(OR($A272="",$F272=""),0,MAX(0,MIN($F272,SUMIFS($F$6:$F272,$B$6:$B272,$B272)-(SUMIFS($G$6:$G$355,$B$6:$B$355,$B272)+SUMIFS($H$6:$H$355,$B$6:$B$355,$B272)+SUMIFS($I$6:$I$355,$B$6:$B$355,$B272)))))</f>
        <v>0</v>
      </c>
    </row>
    <row r="273" spans="1:21" ht="23" x14ac:dyDescent="0.25">
      <c r="A273" s="217" t="str" cm="1">
        <f t="array" ref="A273">IFERROR(INDEX(_xlfn.ANCHORARRAY($Q$6),ROW()-5,1),"")</f>
        <v/>
      </c>
      <c r="B273" s="288" t="str" cm="1">
        <f t="array" ref="B273">IFERROR(INDEX(_xlfn.ANCHORARRAY($Q$6),ROW()-5,2),"")</f>
        <v/>
      </c>
      <c r="C273" s="289" t="str" cm="1">
        <f t="array" ref="C273">IFERROR(INDEX(_xlfn.ANCHORARRAY($Q$6),ROW()-5,3),"")</f>
        <v/>
      </c>
      <c r="D273" s="218" t="str">
        <f>IF($A273="","",IF($K273="DIESEL",SUMIFS(Table1[Quantity],Table1[Customer],$B273,Table1[Date],$A273,Table1[Bill No.],$C273),IF($K273="PETROL",SUMIFS(Table14[Quantity],Table14[Customer],$B273,Table14[Date],$A273,Table14[Bill No.],$C273),IF($K273="XtraGreen",SUMIFS(Table146[Quantity],Table146[Company],$B273,Table146[Date],$A273,Table146[Bill No.],$C273),""))))</f>
        <v/>
      </c>
      <c r="E273" s="219" t="str">
        <f>IF($A273="","",IF($K273="DIESEL",AVERAGEIFS(Table1[RSP],Table1[Customer],$B273,Table1[Date],$A273,Table1[Bill No.],$C273),IF($K273="PETROL",AVERAGEIFS(Table14[RSP],Table14[Customer],$B273,Table14[Date],$A273,Table14[Bill No.],$C273),IF($K273="XtraGreen",AVERAGEIFS(Table146[RSP],Table146[Company],$B273,Table146[Date],$A273,Table146[Bill No.],$C273),IFERROR($F273/$D273,"")))))</f>
        <v/>
      </c>
      <c r="F273" s="330" t="str">
        <f>IF($A273="","",IF($K273="DIESEL",SUMIFS(Table1[Amount],Table1[Customer],$B273,Table1[Date],$A273,Table1[Bill No.],$C273),IF($K273="PETROL",SUMIFS(Table14[Amount],Table14[Customer],$B273,Table14[Date],$A273,Table14[Bill No.],$C273),IF($K273="XtraGreen",SUMIFS(Table146[Amount],Table146[Company],$B273,Table146[Date],$A273,Table146[Bill No.],$C273),SUMIFS('Other Sale'!$D:$D,'Other Sale'!$E:$E,$B273,'Other Sale'!$C:$C,$K273,'Other Sale'!$A:$A,$A273)))))</f>
        <v/>
      </c>
      <c r="G273" s="330" t="str" cm="1">
        <f t="array" ref="G273">IF($A273="","",IF($K273="Payment",IFERROR(INDEX(_xlfn._xlws.FILTER(MasterPaid[Amount Paid],(MasterPaid[Customer]=$B273)*(MasterPaid[Date]=$A273)),COUNTIFS($A$6:$A273,$A273,$B$6:$B273,$B273,$K$6:$K273,"Payment")),0),0))</f>
        <v/>
      </c>
      <c r="H273" s="331"/>
      <c r="I273" s="331"/>
      <c r="J273" s="330" t="str">
        <f t="shared" si="4"/>
        <v/>
      </c>
      <c r="K273" s="289" t="str" cm="1">
        <f t="array" ref="K273">IFERROR(INDEX(_xlfn.ANCHORARRAY($Q$6),ROW()-5,4),"")</f>
        <v/>
      </c>
      <c r="L273" s="290"/>
      <c r="U273">
        <f>IF(OR($A273="",$F273=""),0,MAX(0,MIN($F273,SUMIFS($F$6:$F273,$B$6:$B273,$B273)-(SUMIFS($G$6:$G$355,$B$6:$B$355,$B273)+SUMIFS($H$6:$H$355,$B$6:$B$355,$B273)+SUMIFS($I$6:$I$355,$B$6:$B$355,$B273)))))</f>
        <v>0</v>
      </c>
    </row>
    <row r="274" spans="1:21" ht="23" x14ac:dyDescent="0.25">
      <c r="A274" s="217" t="str" cm="1">
        <f t="array" ref="A274">IFERROR(INDEX(_xlfn.ANCHORARRAY($Q$6),ROW()-5,1),"")</f>
        <v/>
      </c>
      <c r="B274" s="288" t="str" cm="1">
        <f t="array" ref="B274">IFERROR(INDEX(_xlfn.ANCHORARRAY($Q$6),ROW()-5,2),"")</f>
        <v/>
      </c>
      <c r="C274" s="289" t="str" cm="1">
        <f t="array" ref="C274">IFERROR(INDEX(_xlfn.ANCHORARRAY($Q$6),ROW()-5,3),"")</f>
        <v/>
      </c>
      <c r="D274" s="218" t="str">
        <f>IF($A274="","",IF($K274="DIESEL",SUMIFS(Table1[Quantity],Table1[Customer],$B274,Table1[Date],$A274,Table1[Bill No.],$C274),IF($K274="PETROL",SUMIFS(Table14[Quantity],Table14[Customer],$B274,Table14[Date],$A274,Table14[Bill No.],$C274),IF($K274="XtraGreen",SUMIFS(Table146[Quantity],Table146[Company],$B274,Table146[Date],$A274,Table146[Bill No.],$C274),""))))</f>
        <v/>
      </c>
      <c r="E274" s="219" t="str">
        <f>IF($A274="","",IF($K274="DIESEL",AVERAGEIFS(Table1[RSP],Table1[Customer],$B274,Table1[Date],$A274,Table1[Bill No.],$C274),IF($K274="PETROL",AVERAGEIFS(Table14[RSP],Table14[Customer],$B274,Table14[Date],$A274,Table14[Bill No.],$C274),IF($K274="XtraGreen",AVERAGEIFS(Table146[RSP],Table146[Company],$B274,Table146[Date],$A274,Table146[Bill No.],$C274),IFERROR($F274/$D274,"")))))</f>
        <v/>
      </c>
      <c r="F274" s="330" t="str">
        <f>IF($A274="","",IF($K274="DIESEL",SUMIFS(Table1[Amount],Table1[Customer],$B274,Table1[Date],$A274,Table1[Bill No.],$C274),IF($K274="PETROL",SUMIFS(Table14[Amount],Table14[Customer],$B274,Table14[Date],$A274,Table14[Bill No.],$C274),IF($K274="XtraGreen",SUMIFS(Table146[Amount],Table146[Company],$B274,Table146[Date],$A274,Table146[Bill No.],$C274),SUMIFS('Other Sale'!$D:$D,'Other Sale'!$E:$E,$B274,'Other Sale'!$C:$C,$K274,'Other Sale'!$A:$A,$A274)))))</f>
        <v/>
      </c>
      <c r="G274" s="330" t="str" cm="1">
        <f t="array" ref="G274">IF($A274="","",IF($K274="Payment",IFERROR(INDEX(_xlfn._xlws.FILTER(MasterPaid[Amount Paid],(MasterPaid[Customer]=$B274)*(MasterPaid[Date]=$A274)),COUNTIFS($A$6:$A274,$A274,$B$6:$B274,$B274,$K$6:$K274,"Payment")),0),0))</f>
        <v/>
      </c>
      <c r="H274" s="331"/>
      <c r="I274" s="331"/>
      <c r="J274" s="330" t="str">
        <f t="shared" si="4"/>
        <v/>
      </c>
      <c r="K274" s="289" t="str" cm="1">
        <f t="array" ref="K274">IFERROR(INDEX(_xlfn.ANCHORARRAY($Q$6),ROW()-5,4),"")</f>
        <v/>
      </c>
      <c r="L274" s="290"/>
      <c r="U274">
        <f>IF(OR($A274="",$F274=""),0,MAX(0,MIN($F274,SUMIFS($F$6:$F274,$B$6:$B274,$B274)-(SUMIFS($G$6:$G$355,$B$6:$B$355,$B274)+SUMIFS($H$6:$H$355,$B$6:$B$355,$B274)+SUMIFS($I$6:$I$355,$B$6:$B$355,$B274)))))</f>
        <v>0</v>
      </c>
    </row>
    <row r="275" spans="1:21" ht="23" x14ac:dyDescent="0.25">
      <c r="A275" s="217" t="str" cm="1">
        <f t="array" ref="A275">IFERROR(INDEX(_xlfn.ANCHORARRAY($Q$6),ROW()-5,1),"")</f>
        <v/>
      </c>
      <c r="B275" s="288" t="str" cm="1">
        <f t="array" ref="B275">IFERROR(INDEX(_xlfn.ANCHORARRAY($Q$6),ROW()-5,2),"")</f>
        <v/>
      </c>
      <c r="C275" s="289" t="str" cm="1">
        <f t="array" ref="C275">IFERROR(INDEX(_xlfn.ANCHORARRAY($Q$6),ROW()-5,3),"")</f>
        <v/>
      </c>
      <c r="D275" s="218" t="str">
        <f>IF($A275="","",IF($K275="DIESEL",SUMIFS(Table1[Quantity],Table1[Customer],$B275,Table1[Date],$A275,Table1[Bill No.],$C275),IF($K275="PETROL",SUMIFS(Table14[Quantity],Table14[Customer],$B275,Table14[Date],$A275,Table14[Bill No.],$C275),IF($K275="XtraGreen",SUMIFS(Table146[Quantity],Table146[Company],$B275,Table146[Date],$A275,Table146[Bill No.],$C275),""))))</f>
        <v/>
      </c>
      <c r="E275" s="219" t="str">
        <f>IF($A275="","",IF($K275="DIESEL",AVERAGEIFS(Table1[RSP],Table1[Customer],$B275,Table1[Date],$A275,Table1[Bill No.],$C275),IF($K275="PETROL",AVERAGEIFS(Table14[RSP],Table14[Customer],$B275,Table14[Date],$A275,Table14[Bill No.],$C275),IF($K275="XtraGreen",AVERAGEIFS(Table146[RSP],Table146[Company],$B275,Table146[Date],$A275,Table146[Bill No.],$C275),IFERROR($F275/$D275,"")))))</f>
        <v/>
      </c>
      <c r="F275" s="330" t="str">
        <f>IF($A275="","",IF($K275="DIESEL",SUMIFS(Table1[Amount],Table1[Customer],$B275,Table1[Date],$A275,Table1[Bill No.],$C275),IF($K275="PETROL",SUMIFS(Table14[Amount],Table14[Customer],$B275,Table14[Date],$A275,Table14[Bill No.],$C275),IF($K275="XtraGreen",SUMIFS(Table146[Amount],Table146[Company],$B275,Table146[Date],$A275,Table146[Bill No.],$C275),SUMIFS('Other Sale'!$D:$D,'Other Sale'!$E:$E,$B275,'Other Sale'!$C:$C,$K275,'Other Sale'!$A:$A,$A275)))))</f>
        <v/>
      </c>
      <c r="G275" s="330" t="str" cm="1">
        <f t="array" ref="G275">IF($A275="","",IF($K275="Payment",IFERROR(INDEX(_xlfn._xlws.FILTER(MasterPaid[Amount Paid],(MasterPaid[Customer]=$B275)*(MasterPaid[Date]=$A275)),COUNTIFS($A$6:$A275,$A275,$B$6:$B275,$B275,$K$6:$K275,"Payment")),0),0))</f>
        <v/>
      </c>
      <c r="H275" s="331"/>
      <c r="I275" s="331"/>
      <c r="J275" s="330" t="str">
        <f t="shared" si="4"/>
        <v/>
      </c>
      <c r="K275" s="289" t="str" cm="1">
        <f t="array" ref="K275">IFERROR(INDEX(_xlfn.ANCHORARRAY($Q$6),ROW()-5,4),"")</f>
        <v/>
      </c>
      <c r="L275" s="290"/>
      <c r="U275">
        <f>IF(OR($A275="",$F275=""),0,MAX(0,MIN($F275,SUMIFS($F$6:$F275,$B$6:$B275,$B275)-(SUMIFS($G$6:$G$355,$B$6:$B$355,$B275)+SUMIFS($H$6:$H$355,$B$6:$B$355,$B275)+SUMIFS($I$6:$I$355,$B$6:$B$355,$B275)))))</f>
        <v>0</v>
      </c>
    </row>
    <row r="276" spans="1:21" ht="23" x14ac:dyDescent="0.25">
      <c r="A276" s="217" t="str" cm="1">
        <f t="array" ref="A276">IFERROR(INDEX(_xlfn.ANCHORARRAY($Q$6),ROW()-5,1),"")</f>
        <v/>
      </c>
      <c r="B276" s="288" t="str" cm="1">
        <f t="array" ref="B276">IFERROR(INDEX(_xlfn.ANCHORARRAY($Q$6),ROW()-5,2),"")</f>
        <v/>
      </c>
      <c r="C276" s="289" t="str" cm="1">
        <f t="array" ref="C276">IFERROR(INDEX(_xlfn.ANCHORARRAY($Q$6),ROW()-5,3),"")</f>
        <v/>
      </c>
      <c r="D276" s="218" t="str">
        <f>IF($A276="","",IF($K276="DIESEL",SUMIFS(Table1[Quantity],Table1[Customer],$B276,Table1[Date],$A276,Table1[Bill No.],$C276),IF($K276="PETROL",SUMIFS(Table14[Quantity],Table14[Customer],$B276,Table14[Date],$A276,Table14[Bill No.],$C276),IF($K276="XtraGreen",SUMIFS(Table146[Quantity],Table146[Company],$B276,Table146[Date],$A276,Table146[Bill No.],$C276),""))))</f>
        <v/>
      </c>
      <c r="E276" s="219" t="str">
        <f>IF($A276="","",IF($K276="DIESEL",AVERAGEIFS(Table1[RSP],Table1[Customer],$B276,Table1[Date],$A276,Table1[Bill No.],$C276),IF($K276="PETROL",AVERAGEIFS(Table14[RSP],Table14[Customer],$B276,Table14[Date],$A276,Table14[Bill No.],$C276),IF($K276="XtraGreen",AVERAGEIFS(Table146[RSP],Table146[Company],$B276,Table146[Date],$A276,Table146[Bill No.],$C276),IFERROR($F276/$D276,"")))))</f>
        <v/>
      </c>
      <c r="F276" s="330" t="str">
        <f>IF($A276="","",IF($K276="DIESEL",SUMIFS(Table1[Amount],Table1[Customer],$B276,Table1[Date],$A276,Table1[Bill No.],$C276),IF($K276="PETROL",SUMIFS(Table14[Amount],Table14[Customer],$B276,Table14[Date],$A276,Table14[Bill No.],$C276),IF($K276="XtraGreen",SUMIFS(Table146[Amount],Table146[Company],$B276,Table146[Date],$A276,Table146[Bill No.],$C276),SUMIFS('Other Sale'!$D:$D,'Other Sale'!$E:$E,$B276,'Other Sale'!$C:$C,$K276,'Other Sale'!$A:$A,$A276)))))</f>
        <v/>
      </c>
      <c r="G276" s="330" t="str" cm="1">
        <f t="array" ref="G276">IF($A276="","",IF($K276="Payment",IFERROR(INDEX(_xlfn._xlws.FILTER(MasterPaid[Amount Paid],(MasterPaid[Customer]=$B276)*(MasterPaid[Date]=$A276)),COUNTIFS($A$6:$A276,$A276,$B$6:$B276,$B276,$K$6:$K276,"Payment")),0),0))</f>
        <v/>
      </c>
      <c r="H276" s="331"/>
      <c r="I276" s="331"/>
      <c r="J276" s="330" t="str">
        <f t="shared" si="4"/>
        <v/>
      </c>
      <c r="K276" s="289" t="str" cm="1">
        <f t="array" ref="K276">IFERROR(INDEX(_xlfn.ANCHORARRAY($Q$6),ROW()-5,4),"")</f>
        <v/>
      </c>
      <c r="L276" s="290"/>
      <c r="U276">
        <f>IF(OR($A276="",$F276=""),0,MAX(0,MIN($F276,SUMIFS($F$6:$F276,$B$6:$B276,$B276)-(SUMIFS($G$6:$G$355,$B$6:$B$355,$B276)+SUMIFS($H$6:$H$355,$B$6:$B$355,$B276)+SUMIFS($I$6:$I$355,$B$6:$B$355,$B276)))))</f>
        <v>0</v>
      </c>
    </row>
    <row r="277" spans="1:21" ht="23" x14ac:dyDescent="0.25">
      <c r="A277" s="217" t="str" cm="1">
        <f t="array" ref="A277">IFERROR(INDEX(_xlfn.ANCHORARRAY($Q$6),ROW()-5,1),"")</f>
        <v/>
      </c>
      <c r="B277" s="288" t="str" cm="1">
        <f t="array" ref="B277">IFERROR(INDEX(_xlfn.ANCHORARRAY($Q$6),ROW()-5,2),"")</f>
        <v/>
      </c>
      <c r="C277" s="289" t="str" cm="1">
        <f t="array" ref="C277">IFERROR(INDEX(_xlfn.ANCHORARRAY($Q$6),ROW()-5,3),"")</f>
        <v/>
      </c>
      <c r="D277" s="218" t="str">
        <f>IF($A277="","",IF($K277="DIESEL",SUMIFS(Table1[Quantity],Table1[Customer],$B277,Table1[Date],$A277,Table1[Bill No.],$C277),IF($K277="PETROL",SUMIFS(Table14[Quantity],Table14[Customer],$B277,Table14[Date],$A277,Table14[Bill No.],$C277),IF($K277="XtraGreen",SUMIFS(Table146[Quantity],Table146[Company],$B277,Table146[Date],$A277,Table146[Bill No.],$C277),""))))</f>
        <v/>
      </c>
      <c r="E277" s="219" t="str">
        <f>IF($A277="","",IF($K277="DIESEL",AVERAGEIFS(Table1[RSP],Table1[Customer],$B277,Table1[Date],$A277,Table1[Bill No.],$C277),IF($K277="PETROL",AVERAGEIFS(Table14[RSP],Table14[Customer],$B277,Table14[Date],$A277,Table14[Bill No.],$C277),IF($K277="XtraGreen",AVERAGEIFS(Table146[RSP],Table146[Company],$B277,Table146[Date],$A277,Table146[Bill No.],$C277),IFERROR($F277/$D277,"")))))</f>
        <v/>
      </c>
      <c r="F277" s="330" t="str">
        <f>IF($A277="","",IF($K277="DIESEL",SUMIFS(Table1[Amount],Table1[Customer],$B277,Table1[Date],$A277,Table1[Bill No.],$C277),IF($K277="PETROL",SUMIFS(Table14[Amount],Table14[Customer],$B277,Table14[Date],$A277,Table14[Bill No.],$C277),IF($K277="XtraGreen",SUMIFS(Table146[Amount],Table146[Company],$B277,Table146[Date],$A277,Table146[Bill No.],$C277),SUMIFS('Other Sale'!$D:$D,'Other Sale'!$E:$E,$B277,'Other Sale'!$C:$C,$K277,'Other Sale'!$A:$A,$A277)))))</f>
        <v/>
      </c>
      <c r="G277" s="330" t="str" cm="1">
        <f t="array" ref="G277">IF($A277="","",IF($K277="Payment",IFERROR(INDEX(_xlfn._xlws.FILTER(MasterPaid[Amount Paid],(MasterPaid[Customer]=$B277)*(MasterPaid[Date]=$A277)),COUNTIFS($A$6:$A277,$A277,$B$6:$B277,$B277,$K$6:$K277,"Payment")),0),0))</f>
        <v/>
      </c>
      <c r="H277" s="331"/>
      <c r="I277" s="331"/>
      <c r="J277" s="330" t="str">
        <f t="shared" si="4"/>
        <v/>
      </c>
      <c r="K277" s="289" t="str" cm="1">
        <f t="array" ref="K277">IFERROR(INDEX(_xlfn.ANCHORARRAY($Q$6),ROW()-5,4),"")</f>
        <v/>
      </c>
      <c r="L277" s="290"/>
      <c r="U277">
        <f>IF(OR($A277="",$F277=""),0,MAX(0,MIN($F277,SUMIFS($F$6:$F277,$B$6:$B277,$B277)-(SUMIFS($G$6:$G$355,$B$6:$B$355,$B277)+SUMIFS($H$6:$H$355,$B$6:$B$355,$B277)+SUMIFS($I$6:$I$355,$B$6:$B$355,$B277)))))</f>
        <v>0</v>
      </c>
    </row>
    <row r="278" spans="1:21" ht="23" x14ac:dyDescent="0.25">
      <c r="A278" s="217" t="str" cm="1">
        <f t="array" ref="A278">IFERROR(INDEX(_xlfn.ANCHORARRAY($Q$6),ROW()-5,1),"")</f>
        <v/>
      </c>
      <c r="B278" s="288" t="str" cm="1">
        <f t="array" ref="B278">IFERROR(INDEX(_xlfn.ANCHORARRAY($Q$6),ROW()-5,2),"")</f>
        <v/>
      </c>
      <c r="C278" s="289" t="str" cm="1">
        <f t="array" ref="C278">IFERROR(INDEX(_xlfn.ANCHORARRAY($Q$6),ROW()-5,3),"")</f>
        <v/>
      </c>
      <c r="D278" s="218" t="str">
        <f>IF($A278="","",IF($K278="DIESEL",SUMIFS(Table1[Quantity],Table1[Customer],$B278,Table1[Date],$A278,Table1[Bill No.],$C278),IF($K278="PETROL",SUMIFS(Table14[Quantity],Table14[Customer],$B278,Table14[Date],$A278,Table14[Bill No.],$C278),IF($K278="XtraGreen",SUMIFS(Table146[Quantity],Table146[Company],$B278,Table146[Date],$A278,Table146[Bill No.],$C278),""))))</f>
        <v/>
      </c>
      <c r="E278" s="219" t="str">
        <f>IF($A278="","",IF($K278="DIESEL",AVERAGEIFS(Table1[RSP],Table1[Customer],$B278,Table1[Date],$A278,Table1[Bill No.],$C278),IF($K278="PETROL",AVERAGEIFS(Table14[RSP],Table14[Customer],$B278,Table14[Date],$A278,Table14[Bill No.],$C278),IF($K278="XtraGreen",AVERAGEIFS(Table146[RSP],Table146[Company],$B278,Table146[Date],$A278,Table146[Bill No.],$C278),IFERROR($F278/$D278,"")))))</f>
        <v/>
      </c>
      <c r="F278" s="330" t="str">
        <f>IF($A278="","",IF($K278="DIESEL",SUMIFS(Table1[Amount],Table1[Customer],$B278,Table1[Date],$A278,Table1[Bill No.],$C278),IF($K278="PETROL",SUMIFS(Table14[Amount],Table14[Customer],$B278,Table14[Date],$A278,Table14[Bill No.],$C278),IF($K278="XtraGreen",SUMIFS(Table146[Amount],Table146[Company],$B278,Table146[Date],$A278,Table146[Bill No.],$C278),SUMIFS('Other Sale'!$D:$D,'Other Sale'!$E:$E,$B278,'Other Sale'!$C:$C,$K278,'Other Sale'!$A:$A,$A278)))))</f>
        <v/>
      </c>
      <c r="G278" s="330" t="str" cm="1">
        <f t="array" ref="G278">IF($A278="","",IF($K278="Payment",IFERROR(INDEX(_xlfn._xlws.FILTER(MasterPaid[Amount Paid],(MasterPaid[Customer]=$B278)*(MasterPaid[Date]=$A278)),COUNTIFS($A$6:$A278,$A278,$B$6:$B278,$B278,$K$6:$K278,"Payment")),0),0))</f>
        <v/>
      </c>
      <c r="H278" s="331"/>
      <c r="I278" s="331"/>
      <c r="J278" s="330" t="str">
        <f t="shared" ref="J278:J341" si="5">IF($A278="","",J277+N(F278)-N(G278)-N(H278)-N(I278))</f>
        <v/>
      </c>
      <c r="K278" s="289" t="str" cm="1">
        <f t="array" ref="K278">IFERROR(INDEX(_xlfn.ANCHORARRAY($Q$6),ROW()-5,4),"")</f>
        <v/>
      </c>
      <c r="L278" s="290"/>
      <c r="U278">
        <f>IF(OR($A278="",$F278=""),0,MAX(0,MIN($F278,SUMIFS($F$6:$F278,$B$6:$B278,$B278)-(SUMIFS($G$6:$G$355,$B$6:$B$355,$B278)+SUMIFS($H$6:$H$355,$B$6:$B$355,$B278)+SUMIFS($I$6:$I$355,$B$6:$B$355,$B278)))))</f>
        <v>0</v>
      </c>
    </row>
    <row r="279" spans="1:21" ht="23" x14ac:dyDescent="0.25">
      <c r="A279" s="217" t="str" cm="1">
        <f t="array" ref="A279">IFERROR(INDEX(_xlfn.ANCHORARRAY($Q$6),ROW()-5,1),"")</f>
        <v/>
      </c>
      <c r="B279" s="288" t="str" cm="1">
        <f t="array" ref="B279">IFERROR(INDEX(_xlfn.ANCHORARRAY($Q$6),ROW()-5,2),"")</f>
        <v/>
      </c>
      <c r="C279" s="289" t="str" cm="1">
        <f t="array" ref="C279">IFERROR(INDEX(_xlfn.ANCHORARRAY($Q$6),ROW()-5,3),"")</f>
        <v/>
      </c>
      <c r="D279" s="218" t="str">
        <f>IF($A279="","",IF($K279="DIESEL",SUMIFS(Table1[Quantity],Table1[Customer],$B279,Table1[Date],$A279,Table1[Bill No.],$C279),IF($K279="PETROL",SUMIFS(Table14[Quantity],Table14[Customer],$B279,Table14[Date],$A279,Table14[Bill No.],$C279),IF($K279="XtraGreen",SUMIFS(Table146[Quantity],Table146[Company],$B279,Table146[Date],$A279,Table146[Bill No.],$C279),""))))</f>
        <v/>
      </c>
      <c r="E279" s="219" t="str">
        <f>IF($A279="","",IF($K279="DIESEL",AVERAGEIFS(Table1[RSP],Table1[Customer],$B279,Table1[Date],$A279,Table1[Bill No.],$C279),IF($K279="PETROL",AVERAGEIFS(Table14[RSP],Table14[Customer],$B279,Table14[Date],$A279,Table14[Bill No.],$C279),IF($K279="XtraGreen",AVERAGEIFS(Table146[RSP],Table146[Company],$B279,Table146[Date],$A279,Table146[Bill No.],$C279),IFERROR($F279/$D279,"")))))</f>
        <v/>
      </c>
      <c r="F279" s="330" t="str">
        <f>IF($A279="","",IF($K279="DIESEL",SUMIFS(Table1[Amount],Table1[Customer],$B279,Table1[Date],$A279,Table1[Bill No.],$C279),IF($K279="PETROL",SUMIFS(Table14[Amount],Table14[Customer],$B279,Table14[Date],$A279,Table14[Bill No.],$C279),IF($K279="XtraGreen",SUMIFS(Table146[Amount],Table146[Company],$B279,Table146[Date],$A279,Table146[Bill No.],$C279),SUMIFS('Other Sale'!$D:$D,'Other Sale'!$E:$E,$B279,'Other Sale'!$C:$C,$K279,'Other Sale'!$A:$A,$A279)))))</f>
        <v/>
      </c>
      <c r="G279" s="330" t="str" cm="1">
        <f t="array" ref="G279">IF($A279="","",IF($K279="Payment",IFERROR(INDEX(_xlfn._xlws.FILTER(MasterPaid[Amount Paid],(MasterPaid[Customer]=$B279)*(MasterPaid[Date]=$A279)),COUNTIFS($A$6:$A279,$A279,$B$6:$B279,$B279,$K$6:$K279,"Payment")),0),0))</f>
        <v/>
      </c>
      <c r="H279" s="331"/>
      <c r="I279" s="331"/>
      <c r="J279" s="330" t="str">
        <f t="shared" si="5"/>
        <v/>
      </c>
      <c r="K279" s="289" t="str" cm="1">
        <f t="array" ref="K279">IFERROR(INDEX(_xlfn.ANCHORARRAY($Q$6),ROW()-5,4),"")</f>
        <v/>
      </c>
      <c r="L279" s="290"/>
      <c r="U279">
        <f>IF(OR($A279="",$F279=""),0,MAX(0,MIN($F279,SUMIFS($F$6:$F279,$B$6:$B279,$B279)-(SUMIFS($G$6:$G$355,$B$6:$B$355,$B279)+SUMIFS($H$6:$H$355,$B$6:$B$355,$B279)+SUMIFS($I$6:$I$355,$B$6:$B$355,$B279)))))</f>
        <v>0</v>
      </c>
    </row>
    <row r="280" spans="1:21" ht="23" x14ac:dyDescent="0.25">
      <c r="A280" s="217" t="str" cm="1">
        <f t="array" ref="A280">IFERROR(INDEX(_xlfn.ANCHORARRAY($Q$6),ROW()-5,1),"")</f>
        <v/>
      </c>
      <c r="B280" s="288" t="str" cm="1">
        <f t="array" ref="B280">IFERROR(INDEX(_xlfn.ANCHORARRAY($Q$6),ROW()-5,2),"")</f>
        <v/>
      </c>
      <c r="C280" s="289" t="str" cm="1">
        <f t="array" ref="C280">IFERROR(INDEX(_xlfn.ANCHORARRAY($Q$6),ROW()-5,3),"")</f>
        <v/>
      </c>
      <c r="D280" s="218" t="str">
        <f>IF($A280="","",IF($K280="DIESEL",SUMIFS(Table1[Quantity],Table1[Customer],$B280,Table1[Date],$A280,Table1[Bill No.],$C280),IF($K280="PETROL",SUMIFS(Table14[Quantity],Table14[Customer],$B280,Table14[Date],$A280,Table14[Bill No.],$C280),IF($K280="XtraGreen",SUMIFS(Table146[Quantity],Table146[Company],$B280,Table146[Date],$A280,Table146[Bill No.],$C280),""))))</f>
        <v/>
      </c>
      <c r="E280" s="219" t="str">
        <f>IF($A280="","",IF($K280="DIESEL",AVERAGEIFS(Table1[RSP],Table1[Customer],$B280,Table1[Date],$A280,Table1[Bill No.],$C280),IF($K280="PETROL",AVERAGEIFS(Table14[RSP],Table14[Customer],$B280,Table14[Date],$A280,Table14[Bill No.],$C280),IF($K280="XtraGreen",AVERAGEIFS(Table146[RSP],Table146[Company],$B280,Table146[Date],$A280,Table146[Bill No.],$C280),IFERROR($F280/$D280,"")))))</f>
        <v/>
      </c>
      <c r="F280" s="330" t="str">
        <f>IF($A280="","",IF($K280="DIESEL",SUMIFS(Table1[Amount],Table1[Customer],$B280,Table1[Date],$A280,Table1[Bill No.],$C280),IF($K280="PETROL",SUMIFS(Table14[Amount],Table14[Customer],$B280,Table14[Date],$A280,Table14[Bill No.],$C280),IF($K280="XtraGreen",SUMIFS(Table146[Amount],Table146[Company],$B280,Table146[Date],$A280,Table146[Bill No.],$C280),SUMIFS('Other Sale'!$D:$D,'Other Sale'!$E:$E,$B280,'Other Sale'!$C:$C,$K280,'Other Sale'!$A:$A,$A280)))))</f>
        <v/>
      </c>
      <c r="G280" s="330" t="str" cm="1">
        <f t="array" ref="G280">IF($A280="","",IF($K280="Payment",IFERROR(INDEX(_xlfn._xlws.FILTER(MasterPaid[Amount Paid],(MasterPaid[Customer]=$B280)*(MasterPaid[Date]=$A280)),COUNTIFS($A$6:$A280,$A280,$B$6:$B280,$B280,$K$6:$K280,"Payment")),0),0))</f>
        <v/>
      </c>
      <c r="H280" s="331"/>
      <c r="I280" s="331"/>
      <c r="J280" s="330" t="str">
        <f t="shared" si="5"/>
        <v/>
      </c>
      <c r="K280" s="289" t="str" cm="1">
        <f t="array" ref="K280">IFERROR(INDEX(_xlfn.ANCHORARRAY($Q$6),ROW()-5,4),"")</f>
        <v/>
      </c>
      <c r="L280" s="290"/>
      <c r="U280">
        <f>IF(OR($A280="",$F280=""),0,MAX(0,MIN($F280,SUMIFS($F$6:$F280,$B$6:$B280,$B280)-(SUMIFS($G$6:$G$355,$B$6:$B$355,$B280)+SUMIFS($H$6:$H$355,$B$6:$B$355,$B280)+SUMIFS($I$6:$I$355,$B$6:$B$355,$B280)))))</f>
        <v>0</v>
      </c>
    </row>
    <row r="281" spans="1:21" ht="23" x14ac:dyDescent="0.25">
      <c r="A281" s="217" t="str" cm="1">
        <f t="array" ref="A281">IFERROR(INDEX(_xlfn.ANCHORARRAY($Q$6),ROW()-5,1),"")</f>
        <v/>
      </c>
      <c r="B281" s="288" t="str" cm="1">
        <f t="array" ref="B281">IFERROR(INDEX(_xlfn.ANCHORARRAY($Q$6),ROW()-5,2),"")</f>
        <v/>
      </c>
      <c r="C281" s="289" t="str" cm="1">
        <f t="array" ref="C281">IFERROR(INDEX(_xlfn.ANCHORARRAY($Q$6),ROW()-5,3),"")</f>
        <v/>
      </c>
      <c r="D281" s="218" t="str">
        <f>IF($A281="","",IF($K281="DIESEL",SUMIFS(Table1[Quantity],Table1[Customer],$B281,Table1[Date],$A281,Table1[Bill No.],$C281),IF($K281="PETROL",SUMIFS(Table14[Quantity],Table14[Customer],$B281,Table14[Date],$A281,Table14[Bill No.],$C281),IF($K281="XtraGreen",SUMIFS(Table146[Quantity],Table146[Company],$B281,Table146[Date],$A281,Table146[Bill No.],$C281),""))))</f>
        <v/>
      </c>
      <c r="E281" s="219" t="str">
        <f>IF($A281="","",IF($K281="DIESEL",AVERAGEIFS(Table1[RSP],Table1[Customer],$B281,Table1[Date],$A281,Table1[Bill No.],$C281),IF($K281="PETROL",AVERAGEIFS(Table14[RSP],Table14[Customer],$B281,Table14[Date],$A281,Table14[Bill No.],$C281),IF($K281="XtraGreen",AVERAGEIFS(Table146[RSP],Table146[Company],$B281,Table146[Date],$A281,Table146[Bill No.],$C281),IFERROR($F281/$D281,"")))))</f>
        <v/>
      </c>
      <c r="F281" s="330" t="str">
        <f>IF($A281="","",IF($K281="DIESEL",SUMIFS(Table1[Amount],Table1[Customer],$B281,Table1[Date],$A281,Table1[Bill No.],$C281),IF($K281="PETROL",SUMIFS(Table14[Amount],Table14[Customer],$B281,Table14[Date],$A281,Table14[Bill No.],$C281),IF($K281="XtraGreen",SUMIFS(Table146[Amount],Table146[Company],$B281,Table146[Date],$A281,Table146[Bill No.],$C281),SUMIFS('Other Sale'!$D:$D,'Other Sale'!$E:$E,$B281,'Other Sale'!$C:$C,$K281,'Other Sale'!$A:$A,$A281)))))</f>
        <v/>
      </c>
      <c r="G281" s="330" t="str" cm="1">
        <f t="array" ref="G281">IF($A281="","",IF($K281="Payment",IFERROR(INDEX(_xlfn._xlws.FILTER(MasterPaid[Amount Paid],(MasterPaid[Customer]=$B281)*(MasterPaid[Date]=$A281)),COUNTIFS($A$6:$A281,$A281,$B$6:$B281,$B281,$K$6:$K281,"Payment")),0),0))</f>
        <v/>
      </c>
      <c r="H281" s="331"/>
      <c r="I281" s="331"/>
      <c r="J281" s="330" t="str">
        <f t="shared" si="5"/>
        <v/>
      </c>
      <c r="K281" s="289" t="str" cm="1">
        <f t="array" ref="K281">IFERROR(INDEX(_xlfn.ANCHORARRAY($Q$6),ROW()-5,4),"")</f>
        <v/>
      </c>
      <c r="L281" s="290"/>
      <c r="U281">
        <f>IF(OR($A281="",$F281=""),0,MAX(0,MIN($F281,SUMIFS($F$6:$F281,$B$6:$B281,$B281)-(SUMIFS($G$6:$G$355,$B$6:$B$355,$B281)+SUMIFS($H$6:$H$355,$B$6:$B$355,$B281)+SUMIFS($I$6:$I$355,$B$6:$B$355,$B281)))))</f>
        <v>0</v>
      </c>
    </row>
    <row r="282" spans="1:21" ht="23" x14ac:dyDescent="0.25">
      <c r="A282" s="217" t="str" cm="1">
        <f t="array" ref="A282">IFERROR(INDEX(_xlfn.ANCHORARRAY($Q$6),ROW()-5,1),"")</f>
        <v/>
      </c>
      <c r="B282" s="288" t="str" cm="1">
        <f t="array" ref="B282">IFERROR(INDEX(_xlfn.ANCHORARRAY($Q$6),ROW()-5,2),"")</f>
        <v/>
      </c>
      <c r="C282" s="289" t="str" cm="1">
        <f t="array" ref="C282">IFERROR(INDEX(_xlfn.ANCHORARRAY($Q$6),ROW()-5,3),"")</f>
        <v/>
      </c>
      <c r="D282" s="218" t="str">
        <f>IF($A282="","",IF($K282="DIESEL",SUMIFS(Table1[Quantity],Table1[Customer],$B282,Table1[Date],$A282,Table1[Bill No.],$C282),IF($K282="PETROL",SUMIFS(Table14[Quantity],Table14[Customer],$B282,Table14[Date],$A282,Table14[Bill No.],$C282),IF($K282="XtraGreen",SUMIFS(Table146[Quantity],Table146[Company],$B282,Table146[Date],$A282,Table146[Bill No.],$C282),""))))</f>
        <v/>
      </c>
      <c r="E282" s="219" t="str">
        <f>IF($A282="","",IF($K282="DIESEL",AVERAGEIFS(Table1[RSP],Table1[Customer],$B282,Table1[Date],$A282,Table1[Bill No.],$C282),IF($K282="PETROL",AVERAGEIFS(Table14[RSP],Table14[Customer],$B282,Table14[Date],$A282,Table14[Bill No.],$C282),IF($K282="XtraGreen",AVERAGEIFS(Table146[RSP],Table146[Company],$B282,Table146[Date],$A282,Table146[Bill No.],$C282),IFERROR($F282/$D282,"")))))</f>
        <v/>
      </c>
      <c r="F282" s="330" t="str">
        <f>IF($A282="","",IF($K282="DIESEL",SUMIFS(Table1[Amount],Table1[Customer],$B282,Table1[Date],$A282,Table1[Bill No.],$C282),IF($K282="PETROL",SUMIFS(Table14[Amount],Table14[Customer],$B282,Table14[Date],$A282,Table14[Bill No.],$C282),IF($K282="XtraGreen",SUMIFS(Table146[Amount],Table146[Company],$B282,Table146[Date],$A282,Table146[Bill No.],$C282),SUMIFS('Other Sale'!$D:$D,'Other Sale'!$E:$E,$B282,'Other Sale'!$C:$C,$K282,'Other Sale'!$A:$A,$A282)))))</f>
        <v/>
      </c>
      <c r="G282" s="330" t="str" cm="1">
        <f t="array" ref="G282">IF($A282="","",IF($K282="Payment",IFERROR(INDEX(_xlfn._xlws.FILTER(MasterPaid[Amount Paid],(MasterPaid[Customer]=$B282)*(MasterPaid[Date]=$A282)),COUNTIFS($A$6:$A282,$A282,$B$6:$B282,$B282,$K$6:$K282,"Payment")),0),0))</f>
        <v/>
      </c>
      <c r="H282" s="331"/>
      <c r="I282" s="331"/>
      <c r="J282" s="330" t="str">
        <f t="shared" si="5"/>
        <v/>
      </c>
      <c r="K282" s="289" t="str" cm="1">
        <f t="array" ref="K282">IFERROR(INDEX(_xlfn.ANCHORARRAY($Q$6),ROW()-5,4),"")</f>
        <v/>
      </c>
      <c r="L282" s="290"/>
      <c r="U282">
        <f>IF(OR($A282="",$F282=""),0,MAX(0,MIN($F282,SUMIFS($F$6:$F282,$B$6:$B282,$B282)-(SUMIFS($G$6:$G$355,$B$6:$B$355,$B282)+SUMIFS($H$6:$H$355,$B$6:$B$355,$B282)+SUMIFS($I$6:$I$355,$B$6:$B$355,$B282)))))</f>
        <v>0</v>
      </c>
    </row>
    <row r="283" spans="1:21" ht="23" x14ac:dyDescent="0.25">
      <c r="A283" s="217" t="str" cm="1">
        <f t="array" ref="A283">IFERROR(INDEX(_xlfn.ANCHORARRAY($Q$6),ROW()-5,1),"")</f>
        <v/>
      </c>
      <c r="B283" s="288" t="str" cm="1">
        <f t="array" ref="B283">IFERROR(INDEX(_xlfn.ANCHORARRAY($Q$6),ROW()-5,2),"")</f>
        <v/>
      </c>
      <c r="C283" s="289" t="str" cm="1">
        <f t="array" ref="C283">IFERROR(INDEX(_xlfn.ANCHORARRAY($Q$6),ROW()-5,3),"")</f>
        <v/>
      </c>
      <c r="D283" s="218" t="str">
        <f>IF($A283="","",IF($K283="DIESEL",SUMIFS(Table1[Quantity],Table1[Customer],$B283,Table1[Date],$A283,Table1[Bill No.],$C283),IF($K283="PETROL",SUMIFS(Table14[Quantity],Table14[Customer],$B283,Table14[Date],$A283,Table14[Bill No.],$C283),IF($K283="XtraGreen",SUMIFS(Table146[Quantity],Table146[Company],$B283,Table146[Date],$A283,Table146[Bill No.],$C283),""))))</f>
        <v/>
      </c>
      <c r="E283" s="219" t="str">
        <f>IF($A283="","",IF($K283="DIESEL",AVERAGEIFS(Table1[RSP],Table1[Customer],$B283,Table1[Date],$A283,Table1[Bill No.],$C283),IF($K283="PETROL",AVERAGEIFS(Table14[RSP],Table14[Customer],$B283,Table14[Date],$A283,Table14[Bill No.],$C283),IF($K283="XtraGreen",AVERAGEIFS(Table146[RSP],Table146[Company],$B283,Table146[Date],$A283,Table146[Bill No.],$C283),IFERROR($F283/$D283,"")))))</f>
        <v/>
      </c>
      <c r="F283" s="330" t="str">
        <f>IF($A283="","",IF($K283="DIESEL",SUMIFS(Table1[Amount],Table1[Customer],$B283,Table1[Date],$A283,Table1[Bill No.],$C283),IF($K283="PETROL",SUMIFS(Table14[Amount],Table14[Customer],$B283,Table14[Date],$A283,Table14[Bill No.],$C283),IF($K283="XtraGreen",SUMIFS(Table146[Amount],Table146[Company],$B283,Table146[Date],$A283,Table146[Bill No.],$C283),SUMIFS('Other Sale'!$D:$D,'Other Sale'!$E:$E,$B283,'Other Sale'!$C:$C,$K283,'Other Sale'!$A:$A,$A283)))))</f>
        <v/>
      </c>
      <c r="G283" s="330" t="str" cm="1">
        <f t="array" ref="G283">IF($A283="","",IF($K283="Payment",IFERROR(INDEX(_xlfn._xlws.FILTER(MasterPaid[Amount Paid],(MasterPaid[Customer]=$B283)*(MasterPaid[Date]=$A283)),COUNTIFS($A$6:$A283,$A283,$B$6:$B283,$B283,$K$6:$K283,"Payment")),0),0))</f>
        <v/>
      </c>
      <c r="H283" s="331"/>
      <c r="I283" s="331"/>
      <c r="J283" s="330" t="str">
        <f t="shared" si="5"/>
        <v/>
      </c>
      <c r="K283" s="289" t="str" cm="1">
        <f t="array" ref="K283">IFERROR(INDEX(_xlfn.ANCHORARRAY($Q$6),ROW()-5,4),"")</f>
        <v/>
      </c>
      <c r="L283" s="290"/>
      <c r="U283">
        <f>IF(OR($A283="",$F283=""),0,MAX(0,MIN($F283,SUMIFS($F$6:$F283,$B$6:$B283,$B283)-(SUMIFS($G$6:$G$355,$B$6:$B$355,$B283)+SUMIFS($H$6:$H$355,$B$6:$B$355,$B283)+SUMIFS($I$6:$I$355,$B$6:$B$355,$B283)))))</f>
        <v>0</v>
      </c>
    </row>
    <row r="284" spans="1:21" ht="23" x14ac:dyDescent="0.25">
      <c r="A284" s="217" t="str" cm="1">
        <f t="array" ref="A284">IFERROR(INDEX(_xlfn.ANCHORARRAY($Q$6),ROW()-5,1),"")</f>
        <v/>
      </c>
      <c r="B284" s="288" t="str" cm="1">
        <f t="array" ref="B284">IFERROR(INDEX(_xlfn.ANCHORARRAY($Q$6),ROW()-5,2),"")</f>
        <v/>
      </c>
      <c r="C284" s="289" t="str" cm="1">
        <f t="array" ref="C284">IFERROR(INDEX(_xlfn.ANCHORARRAY($Q$6),ROW()-5,3),"")</f>
        <v/>
      </c>
      <c r="D284" s="218" t="str">
        <f>IF($A284="","",IF($K284="DIESEL",SUMIFS(Table1[Quantity],Table1[Customer],$B284,Table1[Date],$A284,Table1[Bill No.],$C284),IF($K284="PETROL",SUMIFS(Table14[Quantity],Table14[Customer],$B284,Table14[Date],$A284,Table14[Bill No.],$C284),IF($K284="XtraGreen",SUMIFS(Table146[Quantity],Table146[Company],$B284,Table146[Date],$A284,Table146[Bill No.],$C284),""))))</f>
        <v/>
      </c>
      <c r="E284" s="219" t="str">
        <f>IF($A284="","",IF($K284="DIESEL",AVERAGEIFS(Table1[RSP],Table1[Customer],$B284,Table1[Date],$A284,Table1[Bill No.],$C284),IF($K284="PETROL",AVERAGEIFS(Table14[RSP],Table14[Customer],$B284,Table14[Date],$A284,Table14[Bill No.],$C284),IF($K284="XtraGreen",AVERAGEIFS(Table146[RSP],Table146[Company],$B284,Table146[Date],$A284,Table146[Bill No.],$C284),IFERROR($F284/$D284,"")))))</f>
        <v/>
      </c>
      <c r="F284" s="330" t="str">
        <f>IF($A284="","",IF($K284="DIESEL",SUMIFS(Table1[Amount],Table1[Customer],$B284,Table1[Date],$A284,Table1[Bill No.],$C284),IF($K284="PETROL",SUMIFS(Table14[Amount],Table14[Customer],$B284,Table14[Date],$A284,Table14[Bill No.],$C284),IF($K284="XtraGreen",SUMIFS(Table146[Amount],Table146[Company],$B284,Table146[Date],$A284,Table146[Bill No.],$C284),SUMIFS('Other Sale'!$D:$D,'Other Sale'!$E:$E,$B284,'Other Sale'!$C:$C,$K284,'Other Sale'!$A:$A,$A284)))))</f>
        <v/>
      </c>
      <c r="G284" s="330" t="str" cm="1">
        <f t="array" ref="G284">IF($A284="","",IF($K284="Payment",IFERROR(INDEX(_xlfn._xlws.FILTER(MasterPaid[Amount Paid],(MasterPaid[Customer]=$B284)*(MasterPaid[Date]=$A284)),COUNTIFS($A$6:$A284,$A284,$B$6:$B284,$B284,$K$6:$K284,"Payment")),0),0))</f>
        <v/>
      </c>
      <c r="H284" s="331"/>
      <c r="I284" s="331"/>
      <c r="J284" s="330" t="str">
        <f t="shared" si="5"/>
        <v/>
      </c>
      <c r="K284" s="289" t="str" cm="1">
        <f t="array" ref="K284">IFERROR(INDEX(_xlfn.ANCHORARRAY($Q$6),ROW()-5,4),"")</f>
        <v/>
      </c>
      <c r="L284" s="290"/>
      <c r="U284">
        <f>IF(OR($A284="",$F284=""),0,MAX(0,MIN($F284,SUMIFS($F$6:$F284,$B$6:$B284,$B284)-(SUMIFS($G$6:$G$355,$B$6:$B$355,$B284)+SUMIFS($H$6:$H$355,$B$6:$B$355,$B284)+SUMIFS($I$6:$I$355,$B$6:$B$355,$B284)))))</f>
        <v>0</v>
      </c>
    </row>
    <row r="285" spans="1:21" ht="23" x14ac:dyDescent="0.25">
      <c r="A285" s="217" t="str" cm="1">
        <f t="array" ref="A285">IFERROR(INDEX(_xlfn.ANCHORARRAY($Q$6),ROW()-5,1),"")</f>
        <v/>
      </c>
      <c r="B285" s="288" t="str" cm="1">
        <f t="array" ref="B285">IFERROR(INDEX(_xlfn.ANCHORARRAY($Q$6),ROW()-5,2),"")</f>
        <v/>
      </c>
      <c r="C285" s="289" t="str" cm="1">
        <f t="array" ref="C285">IFERROR(INDEX(_xlfn.ANCHORARRAY($Q$6),ROW()-5,3),"")</f>
        <v/>
      </c>
      <c r="D285" s="218" t="str">
        <f>IF($A285="","",IF($K285="DIESEL",SUMIFS(Table1[Quantity],Table1[Customer],$B285,Table1[Date],$A285,Table1[Bill No.],$C285),IF($K285="PETROL",SUMIFS(Table14[Quantity],Table14[Customer],$B285,Table14[Date],$A285,Table14[Bill No.],$C285),IF($K285="XtraGreen",SUMIFS(Table146[Quantity],Table146[Company],$B285,Table146[Date],$A285,Table146[Bill No.],$C285),""))))</f>
        <v/>
      </c>
      <c r="E285" s="219" t="str">
        <f>IF($A285="","",IF($K285="DIESEL",AVERAGEIFS(Table1[RSP],Table1[Customer],$B285,Table1[Date],$A285,Table1[Bill No.],$C285),IF($K285="PETROL",AVERAGEIFS(Table14[RSP],Table14[Customer],$B285,Table14[Date],$A285,Table14[Bill No.],$C285),IF($K285="XtraGreen",AVERAGEIFS(Table146[RSP],Table146[Company],$B285,Table146[Date],$A285,Table146[Bill No.],$C285),IFERROR($F285/$D285,"")))))</f>
        <v/>
      </c>
      <c r="F285" s="330" t="str">
        <f>IF($A285="","",IF($K285="DIESEL",SUMIFS(Table1[Amount],Table1[Customer],$B285,Table1[Date],$A285,Table1[Bill No.],$C285),IF($K285="PETROL",SUMIFS(Table14[Amount],Table14[Customer],$B285,Table14[Date],$A285,Table14[Bill No.],$C285),IF($K285="XtraGreen",SUMIFS(Table146[Amount],Table146[Company],$B285,Table146[Date],$A285,Table146[Bill No.],$C285),SUMIFS('Other Sale'!$D:$D,'Other Sale'!$E:$E,$B285,'Other Sale'!$C:$C,$K285,'Other Sale'!$A:$A,$A285)))))</f>
        <v/>
      </c>
      <c r="G285" s="330" t="str" cm="1">
        <f t="array" ref="G285">IF($A285="","",IF($K285="Payment",IFERROR(INDEX(_xlfn._xlws.FILTER(MasterPaid[Amount Paid],(MasterPaid[Customer]=$B285)*(MasterPaid[Date]=$A285)),COUNTIFS($A$6:$A285,$A285,$B$6:$B285,$B285,$K$6:$K285,"Payment")),0),0))</f>
        <v/>
      </c>
      <c r="H285" s="331"/>
      <c r="I285" s="331"/>
      <c r="J285" s="330" t="str">
        <f t="shared" si="5"/>
        <v/>
      </c>
      <c r="K285" s="289" t="str" cm="1">
        <f t="array" ref="K285">IFERROR(INDEX(_xlfn.ANCHORARRAY($Q$6),ROW()-5,4),"")</f>
        <v/>
      </c>
      <c r="L285" s="290"/>
      <c r="U285">
        <f>IF(OR($A285="",$F285=""),0,MAX(0,MIN($F285,SUMIFS($F$6:$F285,$B$6:$B285,$B285)-(SUMIFS($G$6:$G$355,$B$6:$B$355,$B285)+SUMIFS($H$6:$H$355,$B$6:$B$355,$B285)+SUMIFS($I$6:$I$355,$B$6:$B$355,$B285)))))</f>
        <v>0</v>
      </c>
    </row>
    <row r="286" spans="1:21" ht="23" x14ac:dyDescent="0.25">
      <c r="A286" s="217" t="str" cm="1">
        <f t="array" ref="A286">IFERROR(INDEX(_xlfn.ANCHORARRAY($Q$6),ROW()-5,1),"")</f>
        <v/>
      </c>
      <c r="B286" s="288" t="str" cm="1">
        <f t="array" ref="B286">IFERROR(INDEX(_xlfn.ANCHORARRAY($Q$6),ROW()-5,2),"")</f>
        <v/>
      </c>
      <c r="C286" s="289" t="str" cm="1">
        <f t="array" ref="C286">IFERROR(INDEX(_xlfn.ANCHORARRAY($Q$6),ROW()-5,3),"")</f>
        <v/>
      </c>
      <c r="D286" s="218" t="str">
        <f>IF($A286="","",IF($K286="DIESEL",SUMIFS(Table1[Quantity],Table1[Customer],$B286,Table1[Date],$A286,Table1[Bill No.],$C286),IF($K286="PETROL",SUMIFS(Table14[Quantity],Table14[Customer],$B286,Table14[Date],$A286,Table14[Bill No.],$C286),IF($K286="XtraGreen",SUMIFS(Table146[Quantity],Table146[Company],$B286,Table146[Date],$A286,Table146[Bill No.],$C286),""))))</f>
        <v/>
      </c>
      <c r="E286" s="219" t="str">
        <f>IF($A286="","",IF($K286="DIESEL",AVERAGEIFS(Table1[RSP],Table1[Customer],$B286,Table1[Date],$A286,Table1[Bill No.],$C286),IF($K286="PETROL",AVERAGEIFS(Table14[RSP],Table14[Customer],$B286,Table14[Date],$A286,Table14[Bill No.],$C286),IF($K286="XtraGreen",AVERAGEIFS(Table146[RSP],Table146[Company],$B286,Table146[Date],$A286,Table146[Bill No.],$C286),IFERROR($F286/$D286,"")))))</f>
        <v/>
      </c>
      <c r="F286" s="330" t="str">
        <f>IF($A286="","",IF($K286="DIESEL",SUMIFS(Table1[Amount],Table1[Customer],$B286,Table1[Date],$A286,Table1[Bill No.],$C286),IF($K286="PETROL",SUMIFS(Table14[Amount],Table14[Customer],$B286,Table14[Date],$A286,Table14[Bill No.],$C286),IF($K286="XtraGreen",SUMIFS(Table146[Amount],Table146[Company],$B286,Table146[Date],$A286,Table146[Bill No.],$C286),SUMIFS('Other Sale'!$D:$D,'Other Sale'!$E:$E,$B286,'Other Sale'!$C:$C,$K286,'Other Sale'!$A:$A,$A286)))))</f>
        <v/>
      </c>
      <c r="G286" s="330" t="str" cm="1">
        <f t="array" ref="G286">IF($A286="","",IF($K286="Payment",IFERROR(INDEX(_xlfn._xlws.FILTER(MasterPaid[Amount Paid],(MasterPaid[Customer]=$B286)*(MasterPaid[Date]=$A286)),COUNTIFS($A$6:$A286,$A286,$B$6:$B286,$B286,$K$6:$K286,"Payment")),0),0))</f>
        <v/>
      </c>
      <c r="H286" s="331"/>
      <c r="I286" s="331"/>
      <c r="J286" s="330" t="str">
        <f t="shared" si="5"/>
        <v/>
      </c>
      <c r="K286" s="289" t="str" cm="1">
        <f t="array" ref="K286">IFERROR(INDEX(_xlfn.ANCHORARRAY($Q$6),ROW()-5,4),"")</f>
        <v/>
      </c>
      <c r="L286" s="290"/>
      <c r="U286">
        <f>IF(OR($A286="",$F286=""),0,MAX(0,MIN($F286,SUMIFS($F$6:$F286,$B$6:$B286,$B286)-(SUMIFS($G$6:$G$355,$B$6:$B$355,$B286)+SUMIFS($H$6:$H$355,$B$6:$B$355,$B286)+SUMIFS($I$6:$I$355,$B$6:$B$355,$B286)))))</f>
        <v>0</v>
      </c>
    </row>
    <row r="287" spans="1:21" ht="23" x14ac:dyDescent="0.25">
      <c r="A287" s="217" t="str" cm="1">
        <f t="array" ref="A287">IFERROR(INDEX(_xlfn.ANCHORARRAY($Q$6),ROW()-5,1),"")</f>
        <v/>
      </c>
      <c r="B287" s="288" t="str" cm="1">
        <f t="array" ref="B287">IFERROR(INDEX(_xlfn.ANCHORARRAY($Q$6),ROW()-5,2),"")</f>
        <v/>
      </c>
      <c r="C287" s="289" t="str" cm="1">
        <f t="array" ref="C287">IFERROR(INDEX(_xlfn.ANCHORARRAY($Q$6),ROW()-5,3),"")</f>
        <v/>
      </c>
      <c r="D287" s="218" t="str">
        <f>IF($A287="","",IF($K287="DIESEL",SUMIFS(Table1[Quantity],Table1[Customer],$B287,Table1[Date],$A287,Table1[Bill No.],$C287),IF($K287="PETROL",SUMIFS(Table14[Quantity],Table14[Customer],$B287,Table14[Date],$A287,Table14[Bill No.],$C287),IF($K287="XtraGreen",SUMIFS(Table146[Quantity],Table146[Company],$B287,Table146[Date],$A287,Table146[Bill No.],$C287),""))))</f>
        <v/>
      </c>
      <c r="E287" s="219" t="str">
        <f>IF($A287="","",IF($K287="DIESEL",AVERAGEIFS(Table1[RSP],Table1[Customer],$B287,Table1[Date],$A287,Table1[Bill No.],$C287),IF($K287="PETROL",AVERAGEIFS(Table14[RSP],Table14[Customer],$B287,Table14[Date],$A287,Table14[Bill No.],$C287),IF($K287="XtraGreen",AVERAGEIFS(Table146[RSP],Table146[Company],$B287,Table146[Date],$A287,Table146[Bill No.],$C287),IFERROR($F287/$D287,"")))))</f>
        <v/>
      </c>
      <c r="F287" s="330" t="str">
        <f>IF($A287="","",IF($K287="DIESEL",SUMIFS(Table1[Amount],Table1[Customer],$B287,Table1[Date],$A287,Table1[Bill No.],$C287),IF($K287="PETROL",SUMIFS(Table14[Amount],Table14[Customer],$B287,Table14[Date],$A287,Table14[Bill No.],$C287),IF($K287="XtraGreen",SUMIFS(Table146[Amount],Table146[Company],$B287,Table146[Date],$A287,Table146[Bill No.],$C287),SUMIFS('Other Sale'!$D:$D,'Other Sale'!$E:$E,$B287,'Other Sale'!$C:$C,$K287,'Other Sale'!$A:$A,$A287)))))</f>
        <v/>
      </c>
      <c r="G287" s="330" t="str" cm="1">
        <f t="array" ref="G287">IF($A287="","",IF($K287="Payment",IFERROR(INDEX(_xlfn._xlws.FILTER(MasterPaid[Amount Paid],(MasterPaid[Customer]=$B287)*(MasterPaid[Date]=$A287)),COUNTIFS($A$6:$A287,$A287,$B$6:$B287,$B287,$K$6:$K287,"Payment")),0),0))</f>
        <v/>
      </c>
      <c r="H287" s="331"/>
      <c r="I287" s="331"/>
      <c r="J287" s="330" t="str">
        <f t="shared" si="5"/>
        <v/>
      </c>
      <c r="K287" s="289" t="str" cm="1">
        <f t="array" ref="K287">IFERROR(INDEX(_xlfn.ANCHORARRAY($Q$6),ROW()-5,4),"")</f>
        <v/>
      </c>
      <c r="L287" s="290"/>
      <c r="U287">
        <f>IF(OR($A287="",$F287=""),0,MAX(0,MIN($F287,SUMIFS($F$6:$F287,$B$6:$B287,$B287)-(SUMIFS($G$6:$G$355,$B$6:$B$355,$B287)+SUMIFS($H$6:$H$355,$B$6:$B$355,$B287)+SUMIFS($I$6:$I$355,$B$6:$B$355,$B287)))))</f>
        <v>0</v>
      </c>
    </row>
    <row r="288" spans="1:21" ht="23" x14ac:dyDescent="0.25">
      <c r="A288" s="217" t="str" cm="1">
        <f t="array" ref="A288">IFERROR(INDEX(_xlfn.ANCHORARRAY($Q$6),ROW()-5,1),"")</f>
        <v/>
      </c>
      <c r="B288" s="288" t="str" cm="1">
        <f t="array" ref="B288">IFERROR(INDEX(_xlfn.ANCHORARRAY($Q$6),ROW()-5,2),"")</f>
        <v/>
      </c>
      <c r="C288" s="289" t="str" cm="1">
        <f t="array" ref="C288">IFERROR(INDEX(_xlfn.ANCHORARRAY($Q$6),ROW()-5,3),"")</f>
        <v/>
      </c>
      <c r="D288" s="218" t="str">
        <f>IF($A288="","",IF($K288="DIESEL",SUMIFS(Table1[Quantity],Table1[Customer],$B288,Table1[Date],$A288,Table1[Bill No.],$C288),IF($K288="PETROL",SUMIFS(Table14[Quantity],Table14[Customer],$B288,Table14[Date],$A288,Table14[Bill No.],$C288),IF($K288="XtraGreen",SUMIFS(Table146[Quantity],Table146[Company],$B288,Table146[Date],$A288,Table146[Bill No.],$C288),""))))</f>
        <v/>
      </c>
      <c r="E288" s="219" t="str">
        <f>IF($A288="","",IF($K288="DIESEL",AVERAGEIFS(Table1[RSP],Table1[Customer],$B288,Table1[Date],$A288,Table1[Bill No.],$C288),IF($K288="PETROL",AVERAGEIFS(Table14[RSP],Table14[Customer],$B288,Table14[Date],$A288,Table14[Bill No.],$C288),IF($K288="XtraGreen",AVERAGEIFS(Table146[RSP],Table146[Company],$B288,Table146[Date],$A288,Table146[Bill No.],$C288),IFERROR($F288/$D288,"")))))</f>
        <v/>
      </c>
      <c r="F288" s="330" t="str">
        <f>IF($A288="","",IF($K288="DIESEL",SUMIFS(Table1[Amount],Table1[Customer],$B288,Table1[Date],$A288,Table1[Bill No.],$C288),IF($K288="PETROL",SUMIFS(Table14[Amount],Table14[Customer],$B288,Table14[Date],$A288,Table14[Bill No.],$C288),IF($K288="XtraGreen",SUMIFS(Table146[Amount],Table146[Company],$B288,Table146[Date],$A288,Table146[Bill No.],$C288),SUMIFS('Other Sale'!$D:$D,'Other Sale'!$E:$E,$B288,'Other Sale'!$C:$C,$K288,'Other Sale'!$A:$A,$A288)))))</f>
        <v/>
      </c>
      <c r="G288" s="330" t="str" cm="1">
        <f t="array" ref="G288">IF($A288="","",IF($K288="Payment",IFERROR(INDEX(_xlfn._xlws.FILTER(MasterPaid[Amount Paid],(MasterPaid[Customer]=$B288)*(MasterPaid[Date]=$A288)),COUNTIFS($A$6:$A288,$A288,$B$6:$B288,$B288,$K$6:$K288,"Payment")),0),0))</f>
        <v/>
      </c>
      <c r="H288" s="331"/>
      <c r="I288" s="331"/>
      <c r="J288" s="330" t="str">
        <f t="shared" si="5"/>
        <v/>
      </c>
      <c r="K288" s="289" t="str" cm="1">
        <f t="array" ref="K288">IFERROR(INDEX(_xlfn.ANCHORARRAY($Q$6),ROW()-5,4),"")</f>
        <v/>
      </c>
      <c r="L288" s="290"/>
      <c r="U288">
        <f>IF(OR($A288="",$F288=""),0,MAX(0,MIN($F288,SUMIFS($F$6:$F288,$B$6:$B288,$B288)-(SUMIFS($G$6:$G$355,$B$6:$B$355,$B288)+SUMIFS($H$6:$H$355,$B$6:$B$355,$B288)+SUMIFS($I$6:$I$355,$B$6:$B$355,$B288)))))</f>
        <v>0</v>
      </c>
    </row>
    <row r="289" spans="1:21" ht="23" x14ac:dyDescent="0.25">
      <c r="A289" s="217" t="str" cm="1">
        <f t="array" ref="A289">IFERROR(INDEX(_xlfn.ANCHORARRAY($Q$6),ROW()-5,1),"")</f>
        <v/>
      </c>
      <c r="B289" s="288" t="str" cm="1">
        <f t="array" ref="B289">IFERROR(INDEX(_xlfn.ANCHORARRAY($Q$6),ROW()-5,2),"")</f>
        <v/>
      </c>
      <c r="C289" s="289" t="str" cm="1">
        <f t="array" ref="C289">IFERROR(INDEX(_xlfn.ANCHORARRAY($Q$6),ROW()-5,3),"")</f>
        <v/>
      </c>
      <c r="D289" s="218" t="str">
        <f>IF($A289="","",IF($K289="DIESEL",SUMIFS(Table1[Quantity],Table1[Customer],$B289,Table1[Date],$A289,Table1[Bill No.],$C289),IF($K289="PETROL",SUMIFS(Table14[Quantity],Table14[Customer],$B289,Table14[Date],$A289,Table14[Bill No.],$C289),IF($K289="XtraGreen",SUMIFS(Table146[Quantity],Table146[Company],$B289,Table146[Date],$A289,Table146[Bill No.],$C289),""))))</f>
        <v/>
      </c>
      <c r="E289" s="219" t="str">
        <f>IF($A289="","",IF($K289="DIESEL",AVERAGEIFS(Table1[RSP],Table1[Customer],$B289,Table1[Date],$A289,Table1[Bill No.],$C289),IF($K289="PETROL",AVERAGEIFS(Table14[RSP],Table14[Customer],$B289,Table14[Date],$A289,Table14[Bill No.],$C289),IF($K289="XtraGreen",AVERAGEIFS(Table146[RSP],Table146[Company],$B289,Table146[Date],$A289,Table146[Bill No.],$C289),IFERROR($F289/$D289,"")))))</f>
        <v/>
      </c>
      <c r="F289" s="330" t="str">
        <f>IF($A289="","",IF($K289="DIESEL",SUMIFS(Table1[Amount],Table1[Customer],$B289,Table1[Date],$A289,Table1[Bill No.],$C289),IF($K289="PETROL",SUMIFS(Table14[Amount],Table14[Customer],$B289,Table14[Date],$A289,Table14[Bill No.],$C289),IF($K289="XtraGreen",SUMIFS(Table146[Amount],Table146[Company],$B289,Table146[Date],$A289,Table146[Bill No.],$C289),SUMIFS('Other Sale'!$D:$D,'Other Sale'!$E:$E,$B289,'Other Sale'!$C:$C,$K289,'Other Sale'!$A:$A,$A289)))))</f>
        <v/>
      </c>
      <c r="G289" s="330" t="str" cm="1">
        <f t="array" ref="G289">IF($A289="","",IF($K289="Payment",IFERROR(INDEX(_xlfn._xlws.FILTER(MasterPaid[Amount Paid],(MasterPaid[Customer]=$B289)*(MasterPaid[Date]=$A289)),COUNTIFS($A$6:$A289,$A289,$B$6:$B289,$B289,$K$6:$K289,"Payment")),0),0))</f>
        <v/>
      </c>
      <c r="H289" s="331"/>
      <c r="I289" s="331"/>
      <c r="J289" s="330" t="str">
        <f t="shared" si="5"/>
        <v/>
      </c>
      <c r="K289" s="289" t="str" cm="1">
        <f t="array" ref="K289">IFERROR(INDEX(_xlfn.ANCHORARRAY($Q$6),ROW()-5,4),"")</f>
        <v/>
      </c>
      <c r="L289" s="290"/>
      <c r="U289">
        <f>IF(OR($A289="",$F289=""),0,MAX(0,MIN($F289,SUMIFS($F$6:$F289,$B$6:$B289,$B289)-(SUMIFS($G$6:$G$355,$B$6:$B$355,$B289)+SUMIFS($H$6:$H$355,$B$6:$B$355,$B289)+SUMIFS($I$6:$I$355,$B$6:$B$355,$B289)))))</f>
        <v>0</v>
      </c>
    </row>
    <row r="290" spans="1:21" ht="23" x14ac:dyDescent="0.25">
      <c r="A290" s="217" t="str" cm="1">
        <f t="array" ref="A290">IFERROR(INDEX(_xlfn.ANCHORARRAY($Q$6),ROW()-5,1),"")</f>
        <v/>
      </c>
      <c r="B290" s="288" t="str" cm="1">
        <f t="array" ref="B290">IFERROR(INDEX(_xlfn.ANCHORARRAY($Q$6),ROW()-5,2),"")</f>
        <v/>
      </c>
      <c r="C290" s="289" t="str" cm="1">
        <f t="array" ref="C290">IFERROR(INDEX(_xlfn.ANCHORARRAY($Q$6),ROW()-5,3),"")</f>
        <v/>
      </c>
      <c r="D290" s="218" t="str">
        <f>IF($A290="","",IF($K290="DIESEL",SUMIFS(Table1[Quantity],Table1[Customer],$B290,Table1[Date],$A290,Table1[Bill No.],$C290),IF($K290="PETROL",SUMIFS(Table14[Quantity],Table14[Customer],$B290,Table14[Date],$A290,Table14[Bill No.],$C290),IF($K290="XtraGreen",SUMIFS(Table146[Quantity],Table146[Company],$B290,Table146[Date],$A290,Table146[Bill No.],$C290),""))))</f>
        <v/>
      </c>
      <c r="E290" s="219" t="str">
        <f>IF($A290="","",IF($K290="DIESEL",AVERAGEIFS(Table1[RSP],Table1[Customer],$B290,Table1[Date],$A290,Table1[Bill No.],$C290),IF($K290="PETROL",AVERAGEIFS(Table14[RSP],Table14[Customer],$B290,Table14[Date],$A290,Table14[Bill No.],$C290),IF($K290="XtraGreen",AVERAGEIFS(Table146[RSP],Table146[Company],$B290,Table146[Date],$A290,Table146[Bill No.],$C290),IFERROR($F290/$D290,"")))))</f>
        <v/>
      </c>
      <c r="F290" s="330" t="str">
        <f>IF($A290="","",IF($K290="DIESEL",SUMIFS(Table1[Amount],Table1[Customer],$B290,Table1[Date],$A290,Table1[Bill No.],$C290),IF($K290="PETROL",SUMIFS(Table14[Amount],Table14[Customer],$B290,Table14[Date],$A290,Table14[Bill No.],$C290),IF($K290="XtraGreen",SUMIFS(Table146[Amount],Table146[Company],$B290,Table146[Date],$A290,Table146[Bill No.],$C290),SUMIFS('Other Sale'!$D:$D,'Other Sale'!$E:$E,$B290,'Other Sale'!$C:$C,$K290,'Other Sale'!$A:$A,$A290)))))</f>
        <v/>
      </c>
      <c r="G290" s="330" t="str" cm="1">
        <f t="array" ref="G290">IF($A290="","",IF($K290="Payment",IFERROR(INDEX(_xlfn._xlws.FILTER(MasterPaid[Amount Paid],(MasterPaid[Customer]=$B290)*(MasterPaid[Date]=$A290)),COUNTIFS($A$6:$A290,$A290,$B$6:$B290,$B290,$K$6:$K290,"Payment")),0),0))</f>
        <v/>
      </c>
      <c r="H290" s="331"/>
      <c r="I290" s="331"/>
      <c r="J290" s="330" t="str">
        <f t="shared" si="5"/>
        <v/>
      </c>
      <c r="K290" s="289" t="str" cm="1">
        <f t="array" ref="K290">IFERROR(INDEX(_xlfn.ANCHORARRAY($Q$6),ROW()-5,4),"")</f>
        <v/>
      </c>
      <c r="L290" s="290"/>
      <c r="U290">
        <f>IF(OR($A290="",$F290=""),0,MAX(0,MIN($F290,SUMIFS($F$6:$F290,$B$6:$B290,$B290)-(SUMIFS($G$6:$G$355,$B$6:$B$355,$B290)+SUMIFS($H$6:$H$355,$B$6:$B$355,$B290)+SUMIFS($I$6:$I$355,$B$6:$B$355,$B290)))))</f>
        <v>0</v>
      </c>
    </row>
    <row r="291" spans="1:21" ht="23" x14ac:dyDescent="0.25">
      <c r="A291" s="217" t="str" cm="1">
        <f t="array" ref="A291">IFERROR(INDEX(_xlfn.ANCHORARRAY($Q$6),ROW()-5,1),"")</f>
        <v/>
      </c>
      <c r="B291" s="288" t="str" cm="1">
        <f t="array" ref="B291">IFERROR(INDEX(_xlfn.ANCHORARRAY($Q$6),ROW()-5,2),"")</f>
        <v/>
      </c>
      <c r="C291" s="289" t="str" cm="1">
        <f t="array" ref="C291">IFERROR(INDEX(_xlfn.ANCHORARRAY($Q$6),ROW()-5,3),"")</f>
        <v/>
      </c>
      <c r="D291" s="218" t="str">
        <f>IF($A291="","",IF($K291="DIESEL",SUMIFS(Table1[Quantity],Table1[Customer],$B291,Table1[Date],$A291,Table1[Bill No.],$C291),IF($K291="PETROL",SUMIFS(Table14[Quantity],Table14[Customer],$B291,Table14[Date],$A291,Table14[Bill No.],$C291),IF($K291="XtraGreen",SUMIFS(Table146[Quantity],Table146[Company],$B291,Table146[Date],$A291,Table146[Bill No.],$C291),""))))</f>
        <v/>
      </c>
      <c r="E291" s="219" t="str">
        <f>IF($A291="","",IF($K291="DIESEL",AVERAGEIFS(Table1[RSP],Table1[Customer],$B291,Table1[Date],$A291,Table1[Bill No.],$C291),IF($K291="PETROL",AVERAGEIFS(Table14[RSP],Table14[Customer],$B291,Table14[Date],$A291,Table14[Bill No.],$C291),IF($K291="XtraGreen",AVERAGEIFS(Table146[RSP],Table146[Company],$B291,Table146[Date],$A291,Table146[Bill No.],$C291),IFERROR($F291/$D291,"")))))</f>
        <v/>
      </c>
      <c r="F291" s="330" t="str">
        <f>IF($A291="","",IF($K291="DIESEL",SUMIFS(Table1[Amount],Table1[Customer],$B291,Table1[Date],$A291,Table1[Bill No.],$C291),IF($K291="PETROL",SUMIFS(Table14[Amount],Table14[Customer],$B291,Table14[Date],$A291,Table14[Bill No.],$C291),IF($K291="XtraGreen",SUMIFS(Table146[Amount],Table146[Company],$B291,Table146[Date],$A291,Table146[Bill No.],$C291),SUMIFS('Other Sale'!$D:$D,'Other Sale'!$E:$E,$B291,'Other Sale'!$C:$C,$K291,'Other Sale'!$A:$A,$A291)))))</f>
        <v/>
      </c>
      <c r="G291" s="330" t="str" cm="1">
        <f t="array" ref="G291">IF($A291="","",IF($K291="Payment",IFERROR(INDEX(_xlfn._xlws.FILTER(MasterPaid[Amount Paid],(MasterPaid[Customer]=$B291)*(MasterPaid[Date]=$A291)),COUNTIFS($A$6:$A291,$A291,$B$6:$B291,$B291,$K$6:$K291,"Payment")),0),0))</f>
        <v/>
      </c>
      <c r="H291" s="331"/>
      <c r="I291" s="331"/>
      <c r="J291" s="330" t="str">
        <f t="shared" si="5"/>
        <v/>
      </c>
      <c r="K291" s="289" t="str" cm="1">
        <f t="array" ref="K291">IFERROR(INDEX(_xlfn.ANCHORARRAY($Q$6),ROW()-5,4),"")</f>
        <v/>
      </c>
      <c r="L291" s="290"/>
      <c r="U291">
        <f>IF(OR($A291="",$F291=""),0,MAX(0,MIN($F291,SUMIFS($F$6:$F291,$B$6:$B291,$B291)-(SUMIFS($G$6:$G$355,$B$6:$B$355,$B291)+SUMIFS($H$6:$H$355,$B$6:$B$355,$B291)+SUMIFS($I$6:$I$355,$B$6:$B$355,$B291)))))</f>
        <v>0</v>
      </c>
    </row>
    <row r="292" spans="1:21" ht="23" x14ac:dyDescent="0.25">
      <c r="A292" s="217" t="str" cm="1">
        <f t="array" ref="A292">IFERROR(INDEX(_xlfn.ANCHORARRAY($Q$6),ROW()-5,1),"")</f>
        <v/>
      </c>
      <c r="B292" s="288" t="str" cm="1">
        <f t="array" ref="B292">IFERROR(INDEX(_xlfn.ANCHORARRAY($Q$6),ROW()-5,2),"")</f>
        <v/>
      </c>
      <c r="C292" s="289" t="str" cm="1">
        <f t="array" ref="C292">IFERROR(INDEX(_xlfn.ANCHORARRAY($Q$6),ROW()-5,3),"")</f>
        <v/>
      </c>
      <c r="D292" s="218" t="str">
        <f>IF($A292="","",IF($K292="DIESEL",SUMIFS(Table1[Quantity],Table1[Customer],$B292,Table1[Date],$A292,Table1[Bill No.],$C292),IF($K292="PETROL",SUMIFS(Table14[Quantity],Table14[Customer],$B292,Table14[Date],$A292,Table14[Bill No.],$C292),IF($K292="XtraGreen",SUMIFS(Table146[Quantity],Table146[Company],$B292,Table146[Date],$A292,Table146[Bill No.],$C292),""))))</f>
        <v/>
      </c>
      <c r="E292" s="219" t="str">
        <f>IF($A292="","",IF($K292="DIESEL",AVERAGEIFS(Table1[RSP],Table1[Customer],$B292,Table1[Date],$A292,Table1[Bill No.],$C292),IF($K292="PETROL",AVERAGEIFS(Table14[RSP],Table14[Customer],$B292,Table14[Date],$A292,Table14[Bill No.],$C292),IF($K292="XtraGreen",AVERAGEIFS(Table146[RSP],Table146[Company],$B292,Table146[Date],$A292,Table146[Bill No.],$C292),IFERROR($F292/$D292,"")))))</f>
        <v/>
      </c>
      <c r="F292" s="330" t="str">
        <f>IF($A292="","",IF($K292="DIESEL",SUMIFS(Table1[Amount],Table1[Customer],$B292,Table1[Date],$A292,Table1[Bill No.],$C292),IF($K292="PETROL",SUMIFS(Table14[Amount],Table14[Customer],$B292,Table14[Date],$A292,Table14[Bill No.],$C292),IF($K292="XtraGreen",SUMIFS(Table146[Amount],Table146[Company],$B292,Table146[Date],$A292,Table146[Bill No.],$C292),SUMIFS('Other Sale'!$D:$D,'Other Sale'!$E:$E,$B292,'Other Sale'!$C:$C,$K292,'Other Sale'!$A:$A,$A292)))))</f>
        <v/>
      </c>
      <c r="G292" s="330" t="str" cm="1">
        <f t="array" ref="G292">IF($A292="","",IF($K292="Payment",IFERROR(INDEX(_xlfn._xlws.FILTER(MasterPaid[Amount Paid],(MasterPaid[Customer]=$B292)*(MasterPaid[Date]=$A292)),COUNTIFS($A$6:$A292,$A292,$B$6:$B292,$B292,$K$6:$K292,"Payment")),0),0))</f>
        <v/>
      </c>
      <c r="H292" s="331"/>
      <c r="I292" s="331"/>
      <c r="J292" s="330" t="str">
        <f t="shared" si="5"/>
        <v/>
      </c>
      <c r="K292" s="289" t="str" cm="1">
        <f t="array" ref="K292">IFERROR(INDEX(_xlfn.ANCHORARRAY($Q$6),ROW()-5,4),"")</f>
        <v/>
      </c>
      <c r="L292" s="290"/>
      <c r="U292">
        <f>IF(OR($A292="",$F292=""),0,MAX(0,MIN($F292,SUMIFS($F$6:$F292,$B$6:$B292,$B292)-(SUMIFS($G$6:$G$355,$B$6:$B$355,$B292)+SUMIFS($H$6:$H$355,$B$6:$B$355,$B292)+SUMIFS($I$6:$I$355,$B$6:$B$355,$B292)))))</f>
        <v>0</v>
      </c>
    </row>
    <row r="293" spans="1:21" ht="23" x14ac:dyDescent="0.25">
      <c r="A293" s="217" t="str" cm="1">
        <f t="array" ref="A293">IFERROR(INDEX(_xlfn.ANCHORARRAY($Q$6),ROW()-5,1),"")</f>
        <v/>
      </c>
      <c r="B293" s="288" t="str" cm="1">
        <f t="array" ref="B293">IFERROR(INDEX(_xlfn.ANCHORARRAY($Q$6),ROW()-5,2),"")</f>
        <v/>
      </c>
      <c r="C293" s="289" t="str" cm="1">
        <f t="array" ref="C293">IFERROR(INDEX(_xlfn.ANCHORARRAY($Q$6),ROW()-5,3),"")</f>
        <v/>
      </c>
      <c r="D293" s="218" t="str">
        <f>IF($A293="","",IF($K293="DIESEL",SUMIFS(Table1[Quantity],Table1[Customer],$B293,Table1[Date],$A293,Table1[Bill No.],$C293),IF($K293="PETROL",SUMIFS(Table14[Quantity],Table14[Customer],$B293,Table14[Date],$A293,Table14[Bill No.],$C293),IF($K293="XtraGreen",SUMIFS(Table146[Quantity],Table146[Company],$B293,Table146[Date],$A293,Table146[Bill No.],$C293),""))))</f>
        <v/>
      </c>
      <c r="E293" s="219" t="str">
        <f>IF($A293="","",IF($K293="DIESEL",AVERAGEIFS(Table1[RSP],Table1[Customer],$B293,Table1[Date],$A293,Table1[Bill No.],$C293),IF($K293="PETROL",AVERAGEIFS(Table14[RSP],Table14[Customer],$B293,Table14[Date],$A293,Table14[Bill No.],$C293),IF($K293="XtraGreen",AVERAGEIFS(Table146[RSP],Table146[Company],$B293,Table146[Date],$A293,Table146[Bill No.],$C293),IFERROR($F293/$D293,"")))))</f>
        <v/>
      </c>
      <c r="F293" s="330" t="str">
        <f>IF($A293="","",IF($K293="DIESEL",SUMIFS(Table1[Amount],Table1[Customer],$B293,Table1[Date],$A293,Table1[Bill No.],$C293),IF($K293="PETROL",SUMIFS(Table14[Amount],Table14[Customer],$B293,Table14[Date],$A293,Table14[Bill No.],$C293),IF($K293="XtraGreen",SUMIFS(Table146[Amount],Table146[Company],$B293,Table146[Date],$A293,Table146[Bill No.],$C293),SUMIFS('Other Sale'!$D:$D,'Other Sale'!$E:$E,$B293,'Other Sale'!$C:$C,$K293,'Other Sale'!$A:$A,$A293)))))</f>
        <v/>
      </c>
      <c r="G293" s="330" t="str" cm="1">
        <f t="array" ref="G293">IF($A293="","",IF($K293="Payment",IFERROR(INDEX(_xlfn._xlws.FILTER(MasterPaid[Amount Paid],(MasterPaid[Customer]=$B293)*(MasterPaid[Date]=$A293)),COUNTIFS($A$6:$A293,$A293,$B$6:$B293,$B293,$K$6:$K293,"Payment")),0),0))</f>
        <v/>
      </c>
      <c r="H293" s="331"/>
      <c r="I293" s="331"/>
      <c r="J293" s="330" t="str">
        <f t="shared" si="5"/>
        <v/>
      </c>
      <c r="K293" s="289" t="str" cm="1">
        <f t="array" ref="K293">IFERROR(INDEX(_xlfn.ANCHORARRAY($Q$6),ROW()-5,4),"")</f>
        <v/>
      </c>
      <c r="L293" s="290"/>
      <c r="U293">
        <f>IF(OR($A293="",$F293=""),0,MAX(0,MIN($F293,SUMIFS($F$6:$F293,$B$6:$B293,$B293)-(SUMIFS($G$6:$G$355,$B$6:$B$355,$B293)+SUMIFS($H$6:$H$355,$B$6:$B$355,$B293)+SUMIFS($I$6:$I$355,$B$6:$B$355,$B293)))))</f>
        <v>0</v>
      </c>
    </row>
    <row r="294" spans="1:21" ht="23" x14ac:dyDescent="0.25">
      <c r="A294" s="217" t="str" cm="1">
        <f t="array" ref="A294">IFERROR(INDEX(_xlfn.ANCHORARRAY($Q$6),ROW()-5,1),"")</f>
        <v/>
      </c>
      <c r="B294" s="288" t="str" cm="1">
        <f t="array" ref="B294">IFERROR(INDEX(_xlfn.ANCHORARRAY($Q$6),ROW()-5,2),"")</f>
        <v/>
      </c>
      <c r="C294" s="289" t="str" cm="1">
        <f t="array" ref="C294">IFERROR(INDEX(_xlfn.ANCHORARRAY($Q$6),ROW()-5,3),"")</f>
        <v/>
      </c>
      <c r="D294" s="218" t="str">
        <f>IF($A294="","",IF($K294="DIESEL",SUMIFS(Table1[Quantity],Table1[Customer],$B294,Table1[Date],$A294,Table1[Bill No.],$C294),IF($K294="PETROL",SUMIFS(Table14[Quantity],Table14[Customer],$B294,Table14[Date],$A294,Table14[Bill No.],$C294),IF($K294="XtraGreen",SUMIFS(Table146[Quantity],Table146[Company],$B294,Table146[Date],$A294,Table146[Bill No.],$C294),""))))</f>
        <v/>
      </c>
      <c r="E294" s="219" t="str">
        <f>IF($A294="","",IF($K294="DIESEL",AVERAGEIFS(Table1[RSP],Table1[Customer],$B294,Table1[Date],$A294,Table1[Bill No.],$C294),IF($K294="PETROL",AVERAGEIFS(Table14[RSP],Table14[Customer],$B294,Table14[Date],$A294,Table14[Bill No.],$C294),IF($K294="XtraGreen",AVERAGEIFS(Table146[RSP],Table146[Company],$B294,Table146[Date],$A294,Table146[Bill No.],$C294),IFERROR($F294/$D294,"")))))</f>
        <v/>
      </c>
      <c r="F294" s="330" t="str">
        <f>IF($A294="","",IF($K294="DIESEL",SUMIFS(Table1[Amount],Table1[Customer],$B294,Table1[Date],$A294,Table1[Bill No.],$C294),IF($K294="PETROL",SUMIFS(Table14[Amount],Table14[Customer],$B294,Table14[Date],$A294,Table14[Bill No.],$C294),IF($K294="XtraGreen",SUMIFS(Table146[Amount],Table146[Company],$B294,Table146[Date],$A294,Table146[Bill No.],$C294),SUMIFS('Other Sale'!$D:$D,'Other Sale'!$E:$E,$B294,'Other Sale'!$C:$C,$K294,'Other Sale'!$A:$A,$A294)))))</f>
        <v/>
      </c>
      <c r="G294" s="330" t="str" cm="1">
        <f t="array" ref="G294">IF($A294="","",IF($K294="Payment",IFERROR(INDEX(_xlfn._xlws.FILTER(MasterPaid[Amount Paid],(MasterPaid[Customer]=$B294)*(MasterPaid[Date]=$A294)),COUNTIFS($A$6:$A294,$A294,$B$6:$B294,$B294,$K$6:$K294,"Payment")),0),0))</f>
        <v/>
      </c>
      <c r="H294" s="331"/>
      <c r="I294" s="331"/>
      <c r="J294" s="330" t="str">
        <f t="shared" si="5"/>
        <v/>
      </c>
      <c r="K294" s="289" t="str" cm="1">
        <f t="array" ref="K294">IFERROR(INDEX(_xlfn.ANCHORARRAY($Q$6),ROW()-5,4),"")</f>
        <v/>
      </c>
      <c r="L294" s="290"/>
      <c r="U294">
        <f>IF(OR($A294="",$F294=""),0,MAX(0,MIN($F294,SUMIFS($F$6:$F294,$B$6:$B294,$B294)-(SUMIFS($G$6:$G$355,$B$6:$B$355,$B294)+SUMIFS($H$6:$H$355,$B$6:$B$355,$B294)+SUMIFS($I$6:$I$355,$B$6:$B$355,$B294)))))</f>
        <v>0</v>
      </c>
    </row>
    <row r="295" spans="1:21" ht="23" x14ac:dyDescent="0.25">
      <c r="A295" s="217" t="str" cm="1">
        <f t="array" ref="A295">IFERROR(INDEX(_xlfn.ANCHORARRAY($Q$6),ROW()-5,1),"")</f>
        <v/>
      </c>
      <c r="B295" s="288" t="str" cm="1">
        <f t="array" ref="B295">IFERROR(INDEX(_xlfn.ANCHORARRAY($Q$6),ROW()-5,2),"")</f>
        <v/>
      </c>
      <c r="C295" s="289" t="str" cm="1">
        <f t="array" ref="C295">IFERROR(INDEX(_xlfn.ANCHORARRAY($Q$6),ROW()-5,3),"")</f>
        <v/>
      </c>
      <c r="D295" s="218" t="str">
        <f>IF($A295="","",IF($K295="DIESEL",SUMIFS(Table1[Quantity],Table1[Customer],$B295,Table1[Date],$A295,Table1[Bill No.],$C295),IF($K295="PETROL",SUMIFS(Table14[Quantity],Table14[Customer],$B295,Table14[Date],$A295,Table14[Bill No.],$C295),IF($K295="XtraGreen",SUMIFS(Table146[Quantity],Table146[Company],$B295,Table146[Date],$A295,Table146[Bill No.],$C295),""))))</f>
        <v/>
      </c>
      <c r="E295" s="219" t="str">
        <f>IF($A295="","",IF($K295="DIESEL",AVERAGEIFS(Table1[RSP],Table1[Customer],$B295,Table1[Date],$A295,Table1[Bill No.],$C295),IF($K295="PETROL",AVERAGEIFS(Table14[RSP],Table14[Customer],$B295,Table14[Date],$A295,Table14[Bill No.],$C295),IF($K295="XtraGreen",AVERAGEIFS(Table146[RSP],Table146[Company],$B295,Table146[Date],$A295,Table146[Bill No.],$C295),IFERROR($F295/$D295,"")))))</f>
        <v/>
      </c>
      <c r="F295" s="330" t="str">
        <f>IF($A295="","",IF($K295="DIESEL",SUMIFS(Table1[Amount],Table1[Customer],$B295,Table1[Date],$A295,Table1[Bill No.],$C295),IF($K295="PETROL",SUMIFS(Table14[Amount],Table14[Customer],$B295,Table14[Date],$A295,Table14[Bill No.],$C295),IF($K295="XtraGreen",SUMIFS(Table146[Amount],Table146[Company],$B295,Table146[Date],$A295,Table146[Bill No.],$C295),SUMIFS('Other Sale'!$D:$D,'Other Sale'!$E:$E,$B295,'Other Sale'!$C:$C,$K295,'Other Sale'!$A:$A,$A295)))))</f>
        <v/>
      </c>
      <c r="G295" s="330" t="str" cm="1">
        <f t="array" ref="G295">IF($A295="","",IF($K295="Payment",IFERROR(INDEX(_xlfn._xlws.FILTER(MasterPaid[Amount Paid],(MasterPaid[Customer]=$B295)*(MasterPaid[Date]=$A295)),COUNTIFS($A$6:$A295,$A295,$B$6:$B295,$B295,$K$6:$K295,"Payment")),0),0))</f>
        <v/>
      </c>
      <c r="H295" s="331"/>
      <c r="I295" s="331"/>
      <c r="J295" s="330" t="str">
        <f t="shared" si="5"/>
        <v/>
      </c>
      <c r="K295" s="289" t="str" cm="1">
        <f t="array" ref="K295">IFERROR(INDEX(_xlfn.ANCHORARRAY($Q$6),ROW()-5,4),"")</f>
        <v/>
      </c>
      <c r="L295" s="290"/>
      <c r="U295">
        <f>IF(OR($A295="",$F295=""),0,MAX(0,MIN($F295,SUMIFS($F$6:$F295,$B$6:$B295,$B295)-(SUMIFS($G$6:$G$355,$B$6:$B$355,$B295)+SUMIFS($H$6:$H$355,$B$6:$B$355,$B295)+SUMIFS($I$6:$I$355,$B$6:$B$355,$B295)))))</f>
        <v>0</v>
      </c>
    </row>
    <row r="296" spans="1:21" ht="23" x14ac:dyDescent="0.25">
      <c r="A296" s="217" t="str" cm="1">
        <f t="array" ref="A296">IFERROR(INDEX(_xlfn.ANCHORARRAY($Q$6),ROW()-5,1),"")</f>
        <v/>
      </c>
      <c r="B296" s="288" t="str" cm="1">
        <f t="array" ref="B296">IFERROR(INDEX(_xlfn.ANCHORARRAY($Q$6),ROW()-5,2),"")</f>
        <v/>
      </c>
      <c r="C296" s="289" t="str" cm="1">
        <f t="array" ref="C296">IFERROR(INDEX(_xlfn.ANCHORARRAY($Q$6),ROW()-5,3),"")</f>
        <v/>
      </c>
      <c r="D296" s="218" t="str">
        <f>IF($A296="","",IF($K296="DIESEL",SUMIFS(Table1[Quantity],Table1[Customer],$B296,Table1[Date],$A296,Table1[Bill No.],$C296),IF($K296="PETROL",SUMIFS(Table14[Quantity],Table14[Customer],$B296,Table14[Date],$A296,Table14[Bill No.],$C296),IF($K296="XtraGreen",SUMIFS(Table146[Quantity],Table146[Company],$B296,Table146[Date],$A296,Table146[Bill No.],$C296),""))))</f>
        <v/>
      </c>
      <c r="E296" s="219" t="str">
        <f>IF($A296="","",IF($K296="DIESEL",AVERAGEIFS(Table1[RSP],Table1[Customer],$B296,Table1[Date],$A296,Table1[Bill No.],$C296),IF($K296="PETROL",AVERAGEIFS(Table14[RSP],Table14[Customer],$B296,Table14[Date],$A296,Table14[Bill No.],$C296),IF($K296="XtraGreen",AVERAGEIFS(Table146[RSP],Table146[Company],$B296,Table146[Date],$A296,Table146[Bill No.],$C296),IFERROR($F296/$D296,"")))))</f>
        <v/>
      </c>
      <c r="F296" s="330" t="str">
        <f>IF($A296="","",IF($K296="DIESEL",SUMIFS(Table1[Amount],Table1[Customer],$B296,Table1[Date],$A296,Table1[Bill No.],$C296),IF($K296="PETROL",SUMIFS(Table14[Amount],Table14[Customer],$B296,Table14[Date],$A296,Table14[Bill No.],$C296),IF($K296="XtraGreen",SUMIFS(Table146[Amount],Table146[Company],$B296,Table146[Date],$A296,Table146[Bill No.],$C296),SUMIFS('Other Sale'!$D:$D,'Other Sale'!$E:$E,$B296,'Other Sale'!$C:$C,$K296,'Other Sale'!$A:$A,$A296)))))</f>
        <v/>
      </c>
      <c r="G296" s="330" t="str" cm="1">
        <f t="array" ref="G296">IF($A296="","",IF($K296="Payment",IFERROR(INDEX(_xlfn._xlws.FILTER(MasterPaid[Amount Paid],(MasterPaid[Customer]=$B296)*(MasterPaid[Date]=$A296)),COUNTIFS($A$6:$A296,$A296,$B$6:$B296,$B296,$K$6:$K296,"Payment")),0),0))</f>
        <v/>
      </c>
      <c r="H296" s="331"/>
      <c r="I296" s="331"/>
      <c r="J296" s="330" t="str">
        <f t="shared" si="5"/>
        <v/>
      </c>
      <c r="K296" s="289" t="str" cm="1">
        <f t="array" ref="K296">IFERROR(INDEX(_xlfn.ANCHORARRAY($Q$6),ROW()-5,4),"")</f>
        <v/>
      </c>
      <c r="L296" s="290"/>
      <c r="U296">
        <f>IF(OR($A296="",$F296=""),0,MAX(0,MIN($F296,SUMIFS($F$6:$F296,$B$6:$B296,$B296)-(SUMIFS($G$6:$G$355,$B$6:$B$355,$B296)+SUMIFS($H$6:$H$355,$B$6:$B$355,$B296)+SUMIFS($I$6:$I$355,$B$6:$B$355,$B296)))))</f>
        <v>0</v>
      </c>
    </row>
    <row r="297" spans="1:21" ht="23" x14ac:dyDescent="0.25">
      <c r="A297" s="217" t="str" cm="1">
        <f t="array" ref="A297">IFERROR(INDEX(_xlfn.ANCHORARRAY($Q$6),ROW()-5,1),"")</f>
        <v/>
      </c>
      <c r="B297" s="288" t="str" cm="1">
        <f t="array" ref="B297">IFERROR(INDEX(_xlfn.ANCHORARRAY($Q$6),ROW()-5,2),"")</f>
        <v/>
      </c>
      <c r="C297" s="289" t="str" cm="1">
        <f t="array" ref="C297">IFERROR(INDEX(_xlfn.ANCHORARRAY($Q$6),ROW()-5,3),"")</f>
        <v/>
      </c>
      <c r="D297" s="218" t="str">
        <f>IF($A297="","",IF($K297="DIESEL",SUMIFS(Table1[Quantity],Table1[Customer],$B297,Table1[Date],$A297,Table1[Bill No.],$C297),IF($K297="PETROL",SUMIFS(Table14[Quantity],Table14[Customer],$B297,Table14[Date],$A297,Table14[Bill No.],$C297),IF($K297="XtraGreen",SUMIFS(Table146[Quantity],Table146[Company],$B297,Table146[Date],$A297,Table146[Bill No.],$C297),""))))</f>
        <v/>
      </c>
      <c r="E297" s="219" t="str">
        <f>IF($A297="","",IF($K297="DIESEL",AVERAGEIFS(Table1[RSP],Table1[Customer],$B297,Table1[Date],$A297,Table1[Bill No.],$C297),IF($K297="PETROL",AVERAGEIFS(Table14[RSP],Table14[Customer],$B297,Table14[Date],$A297,Table14[Bill No.],$C297),IF($K297="XtraGreen",AVERAGEIFS(Table146[RSP],Table146[Company],$B297,Table146[Date],$A297,Table146[Bill No.],$C297),IFERROR($F297/$D297,"")))))</f>
        <v/>
      </c>
      <c r="F297" s="330" t="str">
        <f>IF($A297="","",IF($K297="DIESEL",SUMIFS(Table1[Amount],Table1[Customer],$B297,Table1[Date],$A297,Table1[Bill No.],$C297),IF($K297="PETROL",SUMIFS(Table14[Amount],Table14[Customer],$B297,Table14[Date],$A297,Table14[Bill No.],$C297),IF($K297="XtraGreen",SUMIFS(Table146[Amount],Table146[Company],$B297,Table146[Date],$A297,Table146[Bill No.],$C297),SUMIFS('Other Sale'!$D:$D,'Other Sale'!$E:$E,$B297,'Other Sale'!$C:$C,$K297,'Other Sale'!$A:$A,$A297)))))</f>
        <v/>
      </c>
      <c r="G297" s="330" t="str" cm="1">
        <f t="array" ref="G297">IF($A297="","",IF($K297="Payment",IFERROR(INDEX(_xlfn._xlws.FILTER(MasterPaid[Amount Paid],(MasterPaid[Customer]=$B297)*(MasterPaid[Date]=$A297)),COUNTIFS($A$6:$A297,$A297,$B$6:$B297,$B297,$K$6:$K297,"Payment")),0),0))</f>
        <v/>
      </c>
      <c r="H297" s="331"/>
      <c r="I297" s="331"/>
      <c r="J297" s="330" t="str">
        <f t="shared" si="5"/>
        <v/>
      </c>
      <c r="K297" s="289" t="str" cm="1">
        <f t="array" ref="K297">IFERROR(INDEX(_xlfn.ANCHORARRAY($Q$6),ROW()-5,4),"")</f>
        <v/>
      </c>
      <c r="L297" s="290"/>
      <c r="U297">
        <f>IF(OR($A297="",$F297=""),0,MAX(0,MIN($F297,SUMIFS($F$6:$F297,$B$6:$B297,$B297)-(SUMIFS($G$6:$G$355,$B$6:$B$355,$B297)+SUMIFS($H$6:$H$355,$B$6:$B$355,$B297)+SUMIFS($I$6:$I$355,$B$6:$B$355,$B297)))))</f>
        <v>0</v>
      </c>
    </row>
    <row r="298" spans="1:21" ht="23" x14ac:dyDescent="0.25">
      <c r="A298" s="217" t="str" cm="1">
        <f t="array" ref="A298">IFERROR(INDEX(_xlfn.ANCHORARRAY($Q$6),ROW()-5,1),"")</f>
        <v/>
      </c>
      <c r="B298" s="288" t="str" cm="1">
        <f t="array" ref="B298">IFERROR(INDEX(_xlfn.ANCHORARRAY($Q$6),ROW()-5,2),"")</f>
        <v/>
      </c>
      <c r="C298" s="289" t="str" cm="1">
        <f t="array" ref="C298">IFERROR(INDEX(_xlfn.ANCHORARRAY($Q$6),ROW()-5,3),"")</f>
        <v/>
      </c>
      <c r="D298" s="218" t="str">
        <f>IF($A298="","",IF($K298="DIESEL",SUMIFS(Table1[Quantity],Table1[Customer],$B298,Table1[Date],$A298,Table1[Bill No.],$C298),IF($K298="PETROL",SUMIFS(Table14[Quantity],Table14[Customer],$B298,Table14[Date],$A298,Table14[Bill No.],$C298),IF($K298="XtraGreen",SUMIFS(Table146[Quantity],Table146[Company],$B298,Table146[Date],$A298,Table146[Bill No.],$C298),""))))</f>
        <v/>
      </c>
      <c r="E298" s="219" t="str">
        <f>IF($A298="","",IF($K298="DIESEL",AVERAGEIFS(Table1[RSP],Table1[Customer],$B298,Table1[Date],$A298,Table1[Bill No.],$C298),IF($K298="PETROL",AVERAGEIFS(Table14[RSP],Table14[Customer],$B298,Table14[Date],$A298,Table14[Bill No.],$C298),IF($K298="XtraGreen",AVERAGEIFS(Table146[RSP],Table146[Company],$B298,Table146[Date],$A298,Table146[Bill No.],$C298),IFERROR($F298/$D298,"")))))</f>
        <v/>
      </c>
      <c r="F298" s="330" t="str">
        <f>IF($A298="","",IF($K298="DIESEL",SUMIFS(Table1[Amount],Table1[Customer],$B298,Table1[Date],$A298,Table1[Bill No.],$C298),IF($K298="PETROL",SUMIFS(Table14[Amount],Table14[Customer],$B298,Table14[Date],$A298,Table14[Bill No.],$C298),IF($K298="XtraGreen",SUMIFS(Table146[Amount],Table146[Company],$B298,Table146[Date],$A298,Table146[Bill No.],$C298),SUMIFS('Other Sale'!$D:$D,'Other Sale'!$E:$E,$B298,'Other Sale'!$C:$C,$K298,'Other Sale'!$A:$A,$A298)))))</f>
        <v/>
      </c>
      <c r="G298" s="330" t="str" cm="1">
        <f t="array" ref="G298">IF($A298="","",IF($K298="Payment",IFERROR(INDEX(_xlfn._xlws.FILTER(MasterPaid[Amount Paid],(MasterPaid[Customer]=$B298)*(MasterPaid[Date]=$A298)),COUNTIFS($A$6:$A298,$A298,$B$6:$B298,$B298,$K$6:$K298,"Payment")),0),0))</f>
        <v/>
      </c>
      <c r="H298" s="331"/>
      <c r="I298" s="331"/>
      <c r="J298" s="330" t="str">
        <f t="shared" si="5"/>
        <v/>
      </c>
      <c r="K298" s="289" t="str" cm="1">
        <f t="array" ref="K298">IFERROR(INDEX(_xlfn.ANCHORARRAY($Q$6),ROW()-5,4),"")</f>
        <v/>
      </c>
      <c r="L298" s="290"/>
      <c r="U298">
        <f>IF(OR($A298="",$F298=""),0,MAX(0,MIN($F298,SUMIFS($F$6:$F298,$B$6:$B298,$B298)-(SUMIFS($G$6:$G$355,$B$6:$B$355,$B298)+SUMIFS($H$6:$H$355,$B$6:$B$355,$B298)+SUMIFS($I$6:$I$355,$B$6:$B$355,$B298)))))</f>
        <v>0</v>
      </c>
    </row>
    <row r="299" spans="1:21" ht="23" x14ac:dyDescent="0.25">
      <c r="A299" s="217" t="str" cm="1">
        <f t="array" ref="A299">IFERROR(INDEX(_xlfn.ANCHORARRAY($Q$6),ROW()-5,1),"")</f>
        <v/>
      </c>
      <c r="B299" s="288" t="str" cm="1">
        <f t="array" ref="B299">IFERROR(INDEX(_xlfn.ANCHORARRAY($Q$6),ROW()-5,2),"")</f>
        <v/>
      </c>
      <c r="C299" s="289" t="str" cm="1">
        <f t="array" ref="C299">IFERROR(INDEX(_xlfn.ANCHORARRAY($Q$6),ROW()-5,3),"")</f>
        <v/>
      </c>
      <c r="D299" s="218" t="str">
        <f>IF($A299="","",IF($K299="DIESEL",SUMIFS(Table1[Quantity],Table1[Customer],$B299,Table1[Date],$A299,Table1[Bill No.],$C299),IF($K299="PETROL",SUMIFS(Table14[Quantity],Table14[Customer],$B299,Table14[Date],$A299,Table14[Bill No.],$C299),IF($K299="XtraGreen",SUMIFS(Table146[Quantity],Table146[Company],$B299,Table146[Date],$A299,Table146[Bill No.],$C299),""))))</f>
        <v/>
      </c>
      <c r="E299" s="219" t="str">
        <f>IF($A299="","",IF($K299="DIESEL",AVERAGEIFS(Table1[RSP],Table1[Customer],$B299,Table1[Date],$A299,Table1[Bill No.],$C299),IF($K299="PETROL",AVERAGEIFS(Table14[RSP],Table14[Customer],$B299,Table14[Date],$A299,Table14[Bill No.],$C299),IF($K299="XtraGreen",AVERAGEIFS(Table146[RSP],Table146[Company],$B299,Table146[Date],$A299,Table146[Bill No.],$C299),IFERROR($F299/$D299,"")))))</f>
        <v/>
      </c>
      <c r="F299" s="330" t="str">
        <f>IF($A299="","",IF($K299="DIESEL",SUMIFS(Table1[Amount],Table1[Customer],$B299,Table1[Date],$A299,Table1[Bill No.],$C299),IF($K299="PETROL",SUMIFS(Table14[Amount],Table14[Customer],$B299,Table14[Date],$A299,Table14[Bill No.],$C299),IF($K299="XtraGreen",SUMIFS(Table146[Amount],Table146[Company],$B299,Table146[Date],$A299,Table146[Bill No.],$C299),SUMIFS('Other Sale'!$D:$D,'Other Sale'!$E:$E,$B299,'Other Sale'!$C:$C,$K299,'Other Sale'!$A:$A,$A299)))))</f>
        <v/>
      </c>
      <c r="G299" s="330" t="str" cm="1">
        <f t="array" ref="G299">IF($A299="","",IF($K299="Payment",IFERROR(INDEX(_xlfn._xlws.FILTER(MasterPaid[Amount Paid],(MasterPaid[Customer]=$B299)*(MasterPaid[Date]=$A299)),COUNTIFS($A$6:$A299,$A299,$B$6:$B299,$B299,$K$6:$K299,"Payment")),0),0))</f>
        <v/>
      </c>
      <c r="H299" s="331"/>
      <c r="I299" s="331"/>
      <c r="J299" s="330" t="str">
        <f t="shared" si="5"/>
        <v/>
      </c>
      <c r="K299" s="289" t="str" cm="1">
        <f t="array" ref="K299">IFERROR(INDEX(_xlfn.ANCHORARRAY($Q$6),ROW()-5,4),"")</f>
        <v/>
      </c>
      <c r="L299" s="290"/>
      <c r="U299">
        <f>IF(OR($A299="",$F299=""),0,MAX(0,MIN($F299,SUMIFS($F$6:$F299,$B$6:$B299,$B299)-(SUMIFS($G$6:$G$355,$B$6:$B$355,$B299)+SUMIFS($H$6:$H$355,$B$6:$B$355,$B299)+SUMIFS($I$6:$I$355,$B$6:$B$355,$B299)))))</f>
        <v>0</v>
      </c>
    </row>
    <row r="300" spans="1:21" ht="23" x14ac:dyDescent="0.25">
      <c r="A300" s="217" t="str" cm="1">
        <f t="array" ref="A300">IFERROR(INDEX(_xlfn.ANCHORARRAY($Q$6),ROW()-5,1),"")</f>
        <v/>
      </c>
      <c r="B300" s="288" t="str" cm="1">
        <f t="array" ref="B300">IFERROR(INDEX(_xlfn.ANCHORARRAY($Q$6),ROW()-5,2),"")</f>
        <v/>
      </c>
      <c r="C300" s="289" t="str" cm="1">
        <f t="array" ref="C300">IFERROR(INDEX(_xlfn.ANCHORARRAY($Q$6),ROW()-5,3),"")</f>
        <v/>
      </c>
      <c r="D300" s="218" t="str">
        <f>IF($A300="","",IF($K300="DIESEL",SUMIFS(Table1[Quantity],Table1[Customer],$B300,Table1[Date],$A300,Table1[Bill No.],$C300),IF($K300="PETROL",SUMIFS(Table14[Quantity],Table14[Customer],$B300,Table14[Date],$A300,Table14[Bill No.],$C300),IF($K300="XtraGreen",SUMIFS(Table146[Quantity],Table146[Company],$B300,Table146[Date],$A300,Table146[Bill No.],$C300),""))))</f>
        <v/>
      </c>
      <c r="E300" s="219" t="str">
        <f>IF($A300="","",IF($K300="DIESEL",AVERAGEIFS(Table1[RSP],Table1[Customer],$B300,Table1[Date],$A300,Table1[Bill No.],$C300),IF($K300="PETROL",AVERAGEIFS(Table14[RSP],Table14[Customer],$B300,Table14[Date],$A300,Table14[Bill No.],$C300),IF($K300="XtraGreen",AVERAGEIFS(Table146[RSP],Table146[Company],$B300,Table146[Date],$A300,Table146[Bill No.],$C300),IFERROR($F300/$D300,"")))))</f>
        <v/>
      </c>
      <c r="F300" s="330" t="str">
        <f>IF($A300="","",IF($K300="DIESEL",SUMIFS(Table1[Amount],Table1[Customer],$B300,Table1[Date],$A300,Table1[Bill No.],$C300),IF($K300="PETROL",SUMIFS(Table14[Amount],Table14[Customer],$B300,Table14[Date],$A300,Table14[Bill No.],$C300),IF($K300="XtraGreen",SUMIFS(Table146[Amount],Table146[Company],$B300,Table146[Date],$A300,Table146[Bill No.],$C300),SUMIFS('Other Sale'!$D:$D,'Other Sale'!$E:$E,$B300,'Other Sale'!$C:$C,$K300,'Other Sale'!$A:$A,$A300)))))</f>
        <v/>
      </c>
      <c r="G300" s="330" t="str" cm="1">
        <f t="array" ref="G300">IF($A300="","",IF($K300="Payment",IFERROR(INDEX(_xlfn._xlws.FILTER(MasterPaid[Amount Paid],(MasterPaid[Customer]=$B300)*(MasterPaid[Date]=$A300)),COUNTIFS($A$6:$A300,$A300,$B$6:$B300,$B300,$K$6:$K300,"Payment")),0),0))</f>
        <v/>
      </c>
      <c r="H300" s="331"/>
      <c r="I300" s="331"/>
      <c r="J300" s="330" t="str">
        <f t="shared" si="5"/>
        <v/>
      </c>
      <c r="K300" s="289" t="str" cm="1">
        <f t="array" ref="K300">IFERROR(INDEX(_xlfn.ANCHORARRAY($Q$6),ROW()-5,4),"")</f>
        <v/>
      </c>
      <c r="L300" s="290"/>
      <c r="U300">
        <f>IF(OR($A300="",$F300=""),0,MAX(0,MIN($F300,SUMIFS($F$6:$F300,$B$6:$B300,$B300)-(SUMIFS($G$6:$G$355,$B$6:$B$355,$B300)+SUMIFS($H$6:$H$355,$B$6:$B$355,$B300)+SUMIFS($I$6:$I$355,$B$6:$B$355,$B300)))))</f>
        <v>0</v>
      </c>
    </row>
    <row r="301" spans="1:21" ht="23" x14ac:dyDescent="0.25">
      <c r="A301" s="217" t="str" cm="1">
        <f t="array" ref="A301">IFERROR(INDEX(_xlfn.ANCHORARRAY($Q$6),ROW()-5,1),"")</f>
        <v/>
      </c>
      <c r="B301" s="288" t="str" cm="1">
        <f t="array" ref="B301">IFERROR(INDEX(_xlfn.ANCHORARRAY($Q$6),ROW()-5,2),"")</f>
        <v/>
      </c>
      <c r="C301" s="289" t="str" cm="1">
        <f t="array" ref="C301">IFERROR(INDEX(_xlfn.ANCHORARRAY($Q$6),ROW()-5,3),"")</f>
        <v/>
      </c>
      <c r="D301" s="218" t="str">
        <f>IF($A301="","",IF($K301="DIESEL",SUMIFS(Table1[Quantity],Table1[Customer],$B301,Table1[Date],$A301,Table1[Bill No.],$C301),IF($K301="PETROL",SUMIFS(Table14[Quantity],Table14[Customer],$B301,Table14[Date],$A301,Table14[Bill No.],$C301),IF($K301="XtraGreen",SUMIFS(Table146[Quantity],Table146[Company],$B301,Table146[Date],$A301,Table146[Bill No.],$C301),""))))</f>
        <v/>
      </c>
      <c r="E301" s="219" t="str">
        <f>IF($A301="","",IF($K301="DIESEL",AVERAGEIFS(Table1[RSP],Table1[Customer],$B301,Table1[Date],$A301,Table1[Bill No.],$C301),IF($K301="PETROL",AVERAGEIFS(Table14[RSP],Table14[Customer],$B301,Table14[Date],$A301,Table14[Bill No.],$C301),IF($K301="XtraGreen",AVERAGEIFS(Table146[RSP],Table146[Company],$B301,Table146[Date],$A301,Table146[Bill No.],$C301),IFERROR($F301/$D301,"")))))</f>
        <v/>
      </c>
      <c r="F301" s="330" t="str">
        <f>IF($A301="","",IF($K301="DIESEL",SUMIFS(Table1[Amount],Table1[Customer],$B301,Table1[Date],$A301,Table1[Bill No.],$C301),IF($K301="PETROL",SUMIFS(Table14[Amount],Table14[Customer],$B301,Table14[Date],$A301,Table14[Bill No.],$C301),IF($K301="XtraGreen",SUMIFS(Table146[Amount],Table146[Company],$B301,Table146[Date],$A301,Table146[Bill No.],$C301),SUMIFS('Other Sale'!$D:$D,'Other Sale'!$E:$E,$B301,'Other Sale'!$C:$C,$K301,'Other Sale'!$A:$A,$A301)))))</f>
        <v/>
      </c>
      <c r="G301" s="330" t="str" cm="1">
        <f t="array" ref="G301">IF($A301="","",IF($K301="Payment",IFERROR(INDEX(_xlfn._xlws.FILTER(MasterPaid[Amount Paid],(MasterPaid[Customer]=$B301)*(MasterPaid[Date]=$A301)),COUNTIFS($A$6:$A301,$A301,$B$6:$B301,$B301,$K$6:$K301,"Payment")),0),0))</f>
        <v/>
      </c>
      <c r="H301" s="331"/>
      <c r="I301" s="331"/>
      <c r="J301" s="330" t="str">
        <f t="shared" si="5"/>
        <v/>
      </c>
      <c r="K301" s="289" t="str" cm="1">
        <f t="array" ref="K301">IFERROR(INDEX(_xlfn.ANCHORARRAY($Q$6),ROW()-5,4),"")</f>
        <v/>
      </c>
      <c r="L301" s="290"/>
      <c r="U301">
        <f>IF(OR($A301="",$F301=""),0,MAX(0,MIN($F301,SUMIFS($F$6:$F301,$B$6:$B301,$B301)-(SUMIFS($G$6:$G$355,$B$6:$B$355,$B301)+SUMIFS($H$6:$H$355,$B$6:$B$355,$B301)+SUMIFS($I$6:$I$355,$B$6:$B$355,$B301)))))</f>
        <v>0</v>
      </c>
    </row>
    <row r="302" spans="1:21" ht="23" x14ac:dyDescent="0.25">
      <c r="A302" s="217" t="str" cm="1">
        <f t="array" ref="A302">IFERROR(INDEX(_xlfn.ANCHORARRAY($Q$6),ROW()-5,1),"")</f>
        <v/>
      </c>
      <c r="B302" s="288" t="str" cm="1">
        <f t="array" ref="B302">IFERROR(INDEX(_xlfn.ANCHORARRAY($Q$6),ROW()-5,2),"")</f>
        <v/>
      </c>
      <c r="C302" s="289" t="str" cm="1">
        <f t="array" ref="C302">IFERROR(INDEX(_xlfn.ANCHORARRAY($Q$6),ROW()-5,3),"")</f>
        <v/>
      </c>
      <c r="D302" s="218" t="str">
        <f>IF($A302="","",IF($K302="DIESEL",SUMIFS(Table1[Quantity],Table1[Customer],$B302,Table1[Date],$A302,Table1[Bill No.],$C302),IF($K302="PETROL",SUMIFS(Table14[Quantity],Table14[Customer],$B302,Table14[Date],$A302,Table14[Bill No.],$C302),IF($K302="XtraGreen",SUMIFS(Table146[Quantity],Table146[Company],$B302,Table146[Date],$A302,Table146[Bill No.],$C302),""))))</f>
        <v/>
      </c>
      <c r="E302" s="219" t="str">
        <f>IF($A302="","",IF($K302="DIESEL",AVERAGEIFS(Table1[RSP],Table1[Customer],$B302,Table1[Date],$A302,Table1[Bill No.],$C302),IF($K302="PETROL",AVERAGEIFS(Table14[RSP],Table14[Customer],$B302,Table14[Date],$A302,Table14[Bill No.],$C302),IF($K302="XtraGreen",AVERAGEIFS(Table146[RSP],Table146[Company],$B302,Table146[Date],$A302,Table146[Bill No.],$C302),IFERROR($F302/$D302,"")))))</f>
        <v/>
      </c>
      <c r="F302" s="330" t="str">
        <f>IF($A302="","",IF($K302="DIESEL",SUMIFS(Table1[Amount],Table1[Customer],$B302,Table1[Date],$A302,Table1[Bill No.],$C302),IF($K302="PETROL",SUMIFS(Table14[Amount],Table14[Customer],$B302,Table14[Date],$A302,Table14[Bill No.],$C302),IF($K302="XtraGreen",SUMIFS(Table146[Amount],Table146[Company],$B302,Table146[Date],$A302,Table146[Bill No.],$C302),SUMIFS('Other Sale'!$D:$D,'Other Sale'!$E:$E,$B302,'Other Sale'!$C:$C,$K302,'Other Sale'!$A:$A,$A302)))))</f>
        <v/>
      </c>
      <c r="G302" s="330" t="str" cm="1">
        <f t="array" ref="G302">IF($A302="","",IF($K302="Payment",IFERROR(INDEX(_xlfn._xlws.FILTER(MasterPaid[Amount Paid],(MasterPaid[Customer]=$B302)*(MasterPaid[Date]=$A302)),COUNTIFS($A$6:$A302,$A302,$B$6:$B302,$B302,$K$6:$K302,"Payment")),0),0))</f>
        <v/>
      </c>
      <c r="H302" s="331"/>
      <c r="I302" s="331"/>
      <c r="J302" s="330" t="str">
        <f t="shared" si="5"/>
        <v/>
      </c>
      <c r="K302" s="289" t="str" cm="1">
        <f t="array" ref="K302">IFERROR(INDEX(_xlfn.ANCHORARRAY($Q$6),ROW()-5,4),"")</f>
        <v/>
      </c>
      <c r="L302" s="290"/>
      <c r="U302">
        <f>IF(OR($A302="",$F302=""),0,MAX(0,MIN($F302,SUMIFS($F$6:$F302,$B$6:$B302,$B302)-(SUMIFS($G$6:$G$355,$B$6:$B$355,$B302)+SUMIFS($H$6:$H$355,$B$6:$B$355,$B302)+SUMIFS($I$6:$I$355,$B$6:$B$355,$B302)))))</f>
        <v>0</v>
      </c>
    </row>
    <row r="303" spans="1:21" ht="23" x14ac:dyDescent="0.25">
      <c r="A303" s="217" t="str" cm="1">
        <f t="array" ref="A303">IFERROR(INDEX(_xlfn.ANCHORARRAY($Q$6),ROW()-5,1),"")</f>
        <v/>
      </c>
      <c r="B303" s="288" t="str" cm="1">
        <f t="array" ref="B303">IFERROR(INDEX(_xlfn.ANCHORARRAY($Q$6),ROW()-5,2),"")</f>
        <v/>
      </c>
      <c r="C303" s="289" t="str" cm="1">
        <f t="array" ref="C303">IFERROR(INDEX(_xlfn.ANCHORARRAY($Q$6),ROW()-5,3),"")</f>
        <v/>
      </c>
      <c r="D303" s="218" t="str">
        <f>IF($A303="","",IF($K303="DIESEL",SUMIFS(Table1[Quantity],Table1[Customer],$B303,Table1[Date],$A303,Table1[Bill No.],$C303),IF($K303="PETROL",SUMIFS(Table14[Quantity],Table14[Customer],$B303,Table14[Date],$A303,Table14[Bill No.],$C303),IF($K303="XtraGreen",SUMIFS(Table146[Quantity],Table146[Company],$B303,Table146[Date],$A303,Table146[Bill No.],$C303),""))))</f>
        <v/>
      </c>
      <c r="E303" s="219" t="str">
        <f>IF($A303="","",IF($K303="DIESEL",AVERAGEIFS(Table1[RSP],Table1[Customer],$B303,Table1[Date],$A303,Table1[Bill No.],$C303),IF($K303="PETROL",AVERAGEIFS(Table14[RSP],Table14[Customer],$B303,Table14[Date],$A303,Table14[Bill No.],$C303),IF($K303="XtraGreen",AVERAGEIFS(Table146[RSP],Table146[Company],$B303,Table146[Date],$A303,Table146[Bill No.],$C303),IFERROR($F303/$D303,"")))))</f>
        <v/>
      </c>
      <c r="F303" s="330" t="str">
        <f>IF($A303="","",IF($K303="DIESEL",SUMIFS(Table1[Amount],Table1[Customer],$B303,Table1[Date],$A303,Table1[Bill No.],$C303),IF($K303="PETROL",SUMIFS(Table14[Amount],Table14[Customer],$B303,Table14[Date],$A303,Table14[Bill No.],$C303),IF($K303="XtraGreen",SUMIFS(Table146[Amount],Table146[Company],$B303,Table146[Date],$A303,Table146[Bill No.],$C303),SUMIFS('Other Sale'!$D:$D,'Other Sale'!$E:$E,$B303,'Other Sale'!$C:$C,$K303,'Other Sale'!$A:$A,$A303)))))</f>
        <v/>
      </c>
      <c r="G303" s="330" t="str" cm="1">
        <f t="array" ref="G303">IF($A303="","",IF($K303="Payment",IFERROR(INDEX(_xlfn._xlws.FILTER(MasterPaid[Amount Paid],(MasterPaid[Customer]=$B303)*(MasterPaid[Date]=$A303)),COUNTIFS($A$6:$A303,$A303,$B$6:$B303,$B303,$K$6:$K303,"Payment")),0),0))</f>
        <v/>
      </c>
      <c r="H303" s="331"/>
      <c r="I303" s="331"/>
      <c r="J303" s="330" t="str">
        <f t="shared" si="5"/>
        <v/>
      </c>
      <c r="K303" s="289" t="str" cm="1">
        <f t="array" ref="K303">IFERROR(INDEX(_xlfn.ANCHORARRAY($Q$6),ROW()-5,4),"")</f>
        <v/>
      </c>
      <c r="L303" s="290"/>
      <c r="U303">
        <f>IF(OR($A303="",$F303=""),0,MAX(0,MIN($F303,SUMIFS($F$6:$F303,$B$6:$B303,$B303)-(SUMIFS($G$6:$G$355,$B$6:$B$355,$B303)+SUMIFS($H$6:$H$355,$B$6:$B$355,$B303)+SUMIFS($I$6:$I$355,$B$6:$B$355,$B303)))))</f>
        <v>0</v>
      </c>
    </row>
    <row r="304" spans="1:21" ht="23" x14ac:dyDescent="0.25">
      <c r="A304" s="217" t="str" cm="1">
        <f t="array" ref="A304">IFERROR(INDEX(_xlfn.ANCHORARRAY($Q$6),ROW()-5,1),"")</f>
        <v/>
      </c>
      <c r="B304" s="288" t="str" cm="1">
        <f t="array" ref="B304">IFERROR(INDEX(_xlfn.ANCHORARRAY($Q$6),ROW()-5,2),"")</f>
        <v/>
      </c>
      <c r="C304" s="289" t="str" cm="1">
        <f t="array" ref="C304">IFERROR(INDEX(_xlfn.ANCHORARRAY($Q$6),ROW()-5,3),"")</f>
        <v/>
      </c>
      <c r="D304" s="218" t="str">
        <f>IF($A304="","",IF($K304="DIESEL",SUMIFS(Table1[Quantity],Table1[Customer],$B304,Table1[Date],$A304,Table1[Bill No.],$C304),IF($K304="PETROL",SUMIFS(Table14[Quantity],Table14[Customer],$B304,Table14[Date],$A304,Table14[Bill No.],$C304),IF($K304="XtraGreen",SUMIFS(Table146[Quantity],Table146[Company],$B304,Table146[Date],$A304,Table146[Bill No.],$C304),""))))</f>
        <v/>
      </c>
      <c r="E304" s="219" t="str">
        <f>IF($A304="","",IF($K304="DIESEL",AVERAGEIFS(Table1[RSP],Table1[Customer],$B304,Table1[Date],$A304,Table1[Bill No.],$C304),IF($K304="PETROL",AVERAGEIFS(Table14[RSP],Table14[Customer],$B304,Table14[Date],$A304,Table14[Bill No.],$C304),IF($K304="XtraGreen",AVERAGEIFS(Table146[RSP],Table146[Company],$B304,Table146[Date],$A304,Table146[Bill No.],$C304),IFERROR($F304/$D304,"")))))</f>
        <v/>
      </c>
      <c r="F304" s="330" t="str">
        <f>IF($A304="","",IF($K304="DIESEL",SUMIFS(Table1[Amount],Table1[Customer],$B304,Table1[Date],$A304,Table1[Bill No.],$C304),IF($K304="PETROL",SUMIFS(Table14[Amount],Table14[Customer],$B304,Table14[Date],$A304,Table14[Bill No.],$C304),IF($K304="XtraGreen",SUMIFS(Table146[Amount],Table146[Company],$B304,Table146[Date],$A304,Table146[Bill No.],$C304),SUMIFS('Other Sale'!$D:$D,'Other Sale'!$E:$E,$B304,'Other Sale'!$C:$C,$K304,'Other Sale'!$A:$A,$A304)))))</f>
        <v/>
      </c>
      <c r="G304" s="330" t="str" cm="1">
        <f t="array" ref="G304">IF($A304="","",IF($K304="Payment",IFERROR(INDEX(_xlfn._xlws.FILTER(MasterPaid[Amount Paid],(MasterPaid[Customer]=$B304)*(MasterPaid[Date]=$A304)),COUNTIFS($A$6:$A304,$A304,$B$6:$B304,$B304,$K$6:$K304,"Payment")),0),0))</f>
        <v/>
      </c>
      <c r="H304" s="331"/>
      <c r="I304" s="331"/>
      <c r="J304" s="330" t="str">
        <f t="shared" si="5"/>
        <v/>
      </c>
      <c r="K304" s="289" t="str" cm="1">
        <f t="array" ref="K304">IFERROR(INDEX(_xlfn.ANCHORARRAY($Q$6),ROW()-5,4),"")</f>
        <v/>
      </c>
      <c r="L304" s="290"/>
      <c r="U304">
        <f>IF(OR($A304="",$F304=""),0,MAX(0,MIN($F304,SUMIFS($F$6:$F304,$B$6:$B304,$B304)-(SUMIFS($G$6:$G$355,$B$6:$B$355,$B304)+SUMIFS($H$6:$H$355,$B$6:$B$355,$B304)+SUMIFS($I$6:$I$355,$B$6:$B$355,$B304)))))</f>
        <v>0</v>
      </c>
    </row>
    <row r="305" spans="1:21" ht="23" x14ac:dyDescent="0.25">
      <c r="A305" s="217" t="str" cm="1">
        <f t="array" ref="A305">IFERROR(INDEX(_xlfn.ANCHORARRAY($Q$6),ROW()-5,1),"")</f>
        <v/>
      </c>
      <c r="B305" s="288" t="str" cm="1">
        <f t="array" ref="B305">IFERROR(INDEX(_xlfn.ANCHORARRAY($Q$6),ROW()-5,2),"")</f>
        <v/>
      </c>
      <c r="C305" s="289" t="str" cm="1">
        <f t="array" ref="C305">IFERROR(INDEX(_xlfn.ANCHORARRAY($Q$6),ROW()-5,3),"")</f>
        <v/>
      </c>
      <c r="D305" s="218" t="str">
        <f>IF($A305="","",IF($K305="DIESEL",SUMIFS(Table1[Quantity],Table1[Customer],$B305,Table1[Date],$A305,Table1[Bill No.],$C305),IF($K305="PETROL",SUMIFS(Table14[Quantity],Table14[Customer],$B305,Table14[Date],$A305,Table14[Bill No.],$C305),IF($K305="XtraGreen",SUMIFS(Table146[Quantity],Table146[Company],$B305,Table146[Date],$A305,Table146[Bill No.],$C305),""))))</f>
        <v/>
      </c>
      <c r="E305" s="219" t="str">
        <f>IF($A305="","",IF($K305="DIESEL",AVERAGEIFS(Table1[RSP],Table1[Customer],$B305,Table1[Date],$A305,Table1[Bill No.],$C305),IF($K305="PETROL",AVERAGEIFS(Table14[RSP],Table14[Customer],$B305,Table14[Date],$A305,Table14[Bill No.],$C305),IF($K305="XtraGreen",AVERAGEIFS(Table146[RSP],Table146[Company],$B305,Table146[Date],$A305,Table146[Bill No.],$C305),IFERROR($F305/$D305,"")))))</f>
        <v/>
      </c>
      <c r="F305" s="330" t="str">
        <f>IF($A305="","",IF($K305="DIESEL",SUMIFS(Table1[Amount],Table1[Customer],$B305,Table1[Date],$A305,Table1[Bill No.],$C305),IF($K305="PETROL",SUMIFS(Table14[Amount],Table14[Customer],$B305,Table14[Date],$A305,Table14[Bill No.],$C305),IF($K305="XtraGreen",SUMIFS(Table146[Amount],Table146[Company],$B305,Table146[Date],$A305,Table146[Bill No.],$C305),SUMIFS('Other Sale'!$D:$D,'Other Sale'!$E:$E,$B305,'Other Sale'!$C:$C,$K305,'Other Sale'!$A:$A,$A305)))))</f>
        <v/>
      </c>
      <c r="G305" s="330" t="str" cm="1">
        <f t="array" ref="G305">IF($A305="","",IF($K305="Payment",IFERROR(INDEX(_xlfn._xlws.FILTER(MasterPaid[Amount Paid],(MasterPaid[Customer]=$B305)*(MasterPaid[Date]=$A305)),COUNTIFS($A$6:$A305,$A305,$B$6:$B305,$B305,$K$6:$K305,"Payment")),0),0))</f>
        <v/>
      </c>
      <c r="H305" s="331"/>
      <c r="I305" s="331"/>
      <c r="J305" s="330" t="str">
        <f t="shared" si="5"/>
        <v/>
      </c>
      <c r="K305" s="289" t="str" cm="1">
        <f t="array" ref="K305">IFERROR(INDEX(_xlfn.ANCHORARRAY($Q$6),ROW()-5,4),"")</f>
        <v/>
      </c>
      <c r="L305" s="290"/>
      <c r="U305">
        <f>IF(OR($A305="",$F305=""),0,MAX(0,MIN($F305,SUMIFS($F$6:$F305,$B$6:$B305,$B305)-(SUMIFS($G$6:$G$355,$B$6:$B$355,$B305)+SUMIFS($H$6:$H$355,$B$6:$B$355,$B305)+SUMIFS($I$6:$I$355,$B$6:$B$355,$B305)))))</f>
        <v>0</v>
      </c>
    </row>
    <row r="306" spans="1:21" ht="23" x14ac:dyDescent="0.25">
      <c r="A306" s="217" t="str" cm="1">
        <f t="array" ref="A306">IFERROR(INDEX(_xlfn.ANCHORARRAY($Q$6),ROW()-5,1),"")</f>
        <v/>
      </c>
      <c r="B306" s="288" t="str" cm="1">
        <f t="array" ref="B306">IFERROR(INDEX(_xlfn.ANCHORARRAY($Q$6),ROW()-5,2),"")</f>
        <v/>
      </c>
      <c r="C306" s="289" t="str" cm="1">
        <f t="array" ref="C306">IFERROR(INDEX(_xlfn.ANCHORARRAY($Q$6),ROW()-5,3),"")</f>
        <v/>
      </c>
      <c r="D306" s="218" t="str">
        <f>IF($A306="","",IF($K306="DIESEL",SUMIFS(Table1[Quantity],Table1[Customer],$B306,Table1[Date],$A306,Table1[Bill No.],$C306),IF($K306="PETROL",SUMIFS(Table14[Quantity],Table14[Customer],$B306,Table14[Date],$A306,Table14[Bill No.],$C306),IF($K306="XtraGreen",SUMIFS(Table146[Quantity],Table146[Company],$B306,Table146[Date],$A306,Table146[Bill No.],$C306),""))))</f>
        <v/>
      </c>
      <c r="E306" s="219" t="str">
        <f>IF($A306="","",IF($K306="DIESEL",AVERAGEIFS(Table1[RSP],Table1[Customer],$B306,Table1[Date],$A306,Table1[Bill No.],$C306),IF($K306="PETROL",AVERAGEIFS(Table14[RSP],Table14[Customer],$B306,Table14[Date],$A306,Table14[Bill No.],$C306),IF($K306="XtraGreen",AVERAGEIFS(Table146[RSP],Table146[Company],$B306,Table146[Date],$A306,Table146[Bill No.],$C306),IFERROR($F306/$D306,"")))))</f>
        <v/>
      </c>
      <c r="F306" s="330" t="str">
        <f>IF($A306="","",IF($K306="DIESEL",SUMIFS(Table1[Amount],Table1[Customer],$B306,Table1[Date],$A306,Table1[Bill No.],$C306),IF($K306="PETROL",SUMIFS(Table14[Amount],Table14[Customer],$B306,Table14[Date],$A306,Table14[Bill No.],$C306),IF($K306="XtraGreen",SUMIFS(Table146[Amount],Table146[Company],$B306,Table146[Date],$A306,Table146[Bill No.],$C306),SUMIFS('Other Sale'!$D:$D,'Other Sale'!$E:$E,$B306,'Other Sale'!$C:$C,$K306,'Other Sale'!$A:$A,$A306)))))</f>
        <v/>
      </c>
      <c r="G306" s="330" t="str" cm="1">
        <f t="array" ref="G306">IF($A306="","",IF($K306="Payment",IFERROR(INDEX(_xlfn._xlws.FILTER(MasterPaid[Amount Paid],(MasterPaid[Customer]=$B306)*(MasterPaid[Date]=$A306)),COUNTIFS($A$6:$A306,$A306,$B$6:$B306,$B306,$K$6:$K306,"Payment")),0),0))</f>
        <v/>
      </c>
      <c r="H306" s="331"/>
      <c r="I306" s="331"/>
      <c r="J306" s="330" t="str">
        <f t="shared" si="5"/>
        <v/>
      </c>
      <c r="K306" s="289" t="str" cm="1">
        <f t="array" ref="K306">IFERROR(INDEX(_xlfn.ANCHORARRAY($Q$6),ROW()-5,4),"")</f>
        <v/>
      </c>
      <c r="L306" s="290"/>
      <c r="U306">
        <f>IF(OR($A306="",$F306=""),0,MAX(0,MIN($F306,SUMIFS($F$6:$F306,$B$6:$B306,$B306)-(SUMIFS($G$6:$G$355,$B$6:$B$355,$B306)+SUMIFS($H$6:$H$355,$B$6:$B$355,$B306)+SUMIFS($I$6:$I$355,$B$6:$B$355,$B306)))))</f>
        <v>0</v>
      </c>
    </row>
    <row r="307" spans="1:21" ht="23" x14ac:dyDescent="0.25">
      <c r="A307" s="217" t="str" cm="1">
        <f t="array" ref="A307">IFERROR(INDEX(_xlfn.ANCHORARRAY($Q$6),ROW()-5,1),"")</f>
        <v/>
      </c>
      <c r="B307" s="288" t="str" cm="1">
        <f t="array" ref="B307">IFERROR(INDEX(_xlfn.ANCHORARRAY($Q$6),ROW()-5,2),"")</f>
        <v/>
      </c>
      <c r="C307" s="289" t="str" cm="1">
        <f t="array" ref="C307">IFERROR(INDEX(_xlfn.ANCHORARRAY($Q$6),ROW()-5,3),"")</f>
        <v/>
      </c>
      <c r="D307" s="218" t="str">
        <f>IF($A307="","",IF($K307="DIESEL",SUMIFS(Table1[Quantity],Table1[Customer],$B307,Table1[Date],$A307,Table1[Bill No.],$C307),IF($K307="PETROL",SUMIFS(Table14[Quantity],Table14[Customer],$B307,Table14[Date],$A307,Table14[Bill No.],$C307),IF($K307="XtraGreen",SUMIFS(Table146[Quantity],Table146[Company],$B307,Table146[Date],$A307,Table146[Bill No.],$C307),""))))</f>
        <v/>
      </c>
      <c r="E307" s="219" t="str">
        <f>IF($A307="","",IF($K307="DIESEL",AVERAGEIFS(Table1[RSP],Table1[Customer],$B307,Table1[Date],$A307,Table1[Bill No.],$C307),IF($K307="PETROL",AVERAGEIFS(Table14[RSP],Table14[Customer],$B307,Table14[Date],$A307,Table14[Bill No.],$C307),IF($K307="XtraGreen",AVERAGEIFS(Table146[RSP],Table146[Company],$B307,Table146[Date],$A307,Table146[Bill No.],$C307),IFERROR($F307/$D307,"")))))</f>
        <v/>
      </c>
      <c r="F307" s="330" t="str">
        <f>IF($A307="","",IF($K307="DIESEL",SUMIFS(Table1[Amount],Table1[Customer],$B307,Table1[Date],$A307,Table1[Bill No.],$C307),IF($K307="PETROL",SUMIFS(Table14[Amount],Table14[Customer],$B307,Table14[Date],$A307,Table14[Bill No.],$C307),IF($K307="XtraGreen",SUMIFS(Table146[Amount],Table146[Company],$B307,Table146[Date],$A307,Table146[Bill No.],$C307),SUMIFS('Other Sale'!$D:$D,'Other Sale'!$E:$E,$B307,'Other Sale'!$C:$C,$K307,'Other Sale'!$A:$A,$A307)))))</f>
        <v/>
      </c>
      <c r="G307" s="330" t="str" cm="1">
        <f t="array" ref="G307">IF($A307="","",IF($K307="Payment",IFERROR(INDEX(_xlfn._xlws.FILTER(MasterPaid[Amount Paid],(MasterPaid[Customer]=$B307)*(MasterPaid[Date]=$A307)),COUNTIFS($A$6:$A307,$A307,$B$6:$B307,$B307,$K$6:$K307,"Payment")),0),0))</f>
        <v/>
      </c>
      <c r="H307" s="331"/>
      <c r="I307" s="331"/>
      <c r="J307" s="330" t="str">
        <f t="shared" si="5"/>
        <v/>
      </c>
      <c r="K307" s="289" t="str" cm="1">
        <f t="array" ref="K307">IFERROR(INDEX(_xlfn.ANCHORARRAY($Q$6),ROW()-5,4),"")</f>
        <v/>
      </c>
      <c r="L307" s="290"/>
      <c r="U307">
        <f>IF(OR($A307="",$F307=""),0,MAX(0,MIN($F307,SUMIFS($F$6:$F307,$B$6:$B307,$B307)-(SUMIFS($G$6:$G$355,$B$6:$B$355,$B307)+SUMIFS($H$6:$H$355,$B$6:$B$355,$B307)+SUMIFS($I$6:$I$355,$B$6:$B$355,$B307)))))</f>
        <v>0</v>
      </c>
    </row>
    <row r="308" spans="1:21" ht="23" x14ac:dyDescent="0.25">
      <c r="A308" s="217" t="str" cm="1">
        <f t="array" ref="A308">IFERROR(INDEX(_xlfn.ANCHORARRAY($Q$6),ROW()-5,1),"")</f>
        <v/>
      </c>
      <c r="B308" s="288" t="str" cm="1">
        <f t="array" ref="B308">IFERROR(INDEX(_xlfn.ANCHORARRAY($Q$6),ROW()-5,2),"")</f>
        <v/>
      </c>
      <c r="C308" s="289" t="str" cm="1">
        <f t="array" ref="C308">IFERROR(INDEX(_xlfn.ANCHORARRAY($Q$6),ROW()-5,3),"")</f>
        <v/>
      </c>
      <c r="D308" s="218" t="str">
        <f>IF($A308="","",IF($K308="DIESEL",SUMIFS(Table1[Quantity],Table1[Customer],$B308,Table1[Date],$A308,Table1[Bill No.],$C308),IF($K308="PETROL",SUMIFS(Table14[Quantity],Table14[Customer],$B308,Table14[Date],$A308,Table14[Bill No.],$C308),IF($K308="XtraGreen",SUMIFS(Table146[Quantity],Table146[Company],$B308,Table146[Date],$A308,Table146[Bill No.],$C308),""))))</f>
        <v/>
      </c>
      <c r="E308" s="219" t="str">
        <f>IF($A308="","",IF($K308="DIESEL",AVERAGEIFS(Table1[RSP],Table1[Customer],$B308,Table1[Date],$A308,Table1[Bill No.],$C308),IF($K308="PETROL",AVERAGEIFS(Table14[RSP],Table14[Customer],$B308,Table14[Date],$A308,Table14[Bill No.],$C308),IF($K308="XtraGreen",AVERAGEIFS(Table146[RSP],Table146[Company],$B308,Table146[Date],$A308,Table146[Bill No.],$C308),IFERROR($F308/$D308,"")))))</f>
        <v/>
      </c>
      <c r="F308" s="330" t="str">
        <f>IF($A308="","",IF($K308="DIESEL",SUMIFS(Table1[Amount],Table1[Customer],$B308,Table1[Date],$A308,Table1[Bill No.],$C308),IF($K308="PETROL",SUMIFS(Table14[Amount],Table14[Customer],$B308,Table14[Date],$A308,Table14[Bill No.],$C308),IF($K308="XtraGreen",SUMIFS(Table146[Amount],Table146[Company],$B308,Table146[Date],$A308,Table146[Bill No.],$C308),SUMIFS('Other Sale'!$D:$D,'Other Sale'!$E:$E,$B308,'Other Sale'!$C:$C,$K308,'Other Sale'!$A:$A,$A308)))))</f>
        <v/>
      </c>
      <c r="G308" s="330" t="str" cm="1">
        <f t="array" ref="G308">IF($A308="","",IF($K308="Payment",IFERROR(INDEX(_xlfn._xlws.FILTER(MasterPaid[Amount Paid],(MasterPaid[Customer]=$B308)*(MasterPaid[Date]=$A308)),COUNTIFS($A$6:$A308,$A308,$B$6:$B308,$B308,$K$6:$K308,"Payment")),0),0))</f>
        <v/>
      </c>
      <c r="H308" s="331"/>
      <c r="I308" s="331"/>
      <c r="J308" s="330" t="str">
        <f t="shared" si="5"/>
        <v/>
      </c>
      <c r="K308" s="289" t="str" cm="1">
        <f t="array" ref="K308">IFERROR(INDEX(_xlfn.ANCHORARRAY($Q$6),ROW()-5,4),"")</f>
        <v/>
      </c>
      <c r="L308" s="290"/>
      <c r="U308">
        <f>IF(OR($A308="",$F308=""),0,MAX(0,MIN($F308,SUMIFS($F$6:$F308,$B$6:$B308,$B308)-(SUMIFS($G$6:$G$355,$B$6:$B$355,$B308)+SUMIFS($H$6:$H$355,$B$6:$B$355,$B308)+SUMIFS($I$6:$I$355,$B$6:$B$355,$B308)))))</f>
        <v>0</v>
      </c>
    </row>
    <row r="309" spans="1:21" ht="23" x14ac:dyDescent="0.25">
      <c r="A309" s="217" t="str" cm="1">
        <f t="array" ref="A309">IFERROR(INDEX(_xlfn.ANCHORARRAY($Q$6),ROW()-5,1),"")</f>
        <v/>
      </c>
      <c r="B309" s="288" t="str" cm="1">
        <f t="array" ref="B309">IFERROR(INDEX(_xlfn.ANCHORARRAY($Q$6),ROW()-5,2),"")</f>
        <v/>
      </c>
      <c r="C309" s="289" t="str" cm="1">
        <f t="array" ref="C309">IFERROR(INDEX(_xlfn.ANCHORARRAY($Q$6),ROW()-5,3),"")</f>
        <v/>
      </c>
      <c r="D309" s="218" t="str">
        <f>IF($A309="","",IF($K309="DIESEL",SUMIFS(Table1[Quantity],Table1[Customer],$B309,Table1[Date],$A309,Table1[Bill No.],$C309),IF($K309="PETROL",SUMIFS(Table14[Quantity],Table14[Customer],$B309,Table14[Date],$A309,Table14[Bill No.],$C309),IF($K309="XtraGreen",SUMIFS(Table146[Quantity],Table146[Company],$B309,Table146[Date],$A309,Table146[Bill No.],$C309),""))))</f>
        <v/>
      </c>
      <c r="E309" s="219" t="str">
        <f>IF($A309="","",IF($K309="DIESEL",AVERAGEIFS(Table1[RSP],Table1[Customer],$B309,Table1[Date],$A309,Table1[Bill No.],$C309),IF($K309="PETROL",AVERAGEIFS(Table14[RSP],Table14[Customer],$B309,Table14[Date],$A309,Table14[Bill No.],$C309),IF($K309="XtraGreen",AVERAGEIFS(Table146[RSP],Table146[Company],$B309,Table146[Date],$A309,Table146[Bill No.],$C309),IFERROR($F309/$D309,"")))))</f>
        <v/>
      </c>
      <c r="F309" s="330" t="str">
        <f>IF($A309="","",IF($K309="DIESEL",SUMIFS(Table1[Amount],Table1[Customer],$B309,Table1[Date],$A309,Table1[Bill No.],$C309),IF($K309="PETROL",SUMIFS(Table14[Amount],Table14[Customer],$B309,Table14[Date],$A309,Table14[Bill No.],$C309),IF($K309="XtraGreen",SUMIFS(Table146[Amount],Table146[Company],$B309,Table146[Date],$A309,Table146[Bill No.],$C309),SUMIFS('Other Sale'!$D:$D,'Other Sale'!$E:$E,$B309,'Other Sale'!$C:$C,$K309,'Other Sale'!$A:$A,$A309)))))</f>
        <v/>
      </c>
      <c r="G309" s="330" t="str" cm="1">
        <f t="array" ref="G309">IF($A309="","",IF($K309="Payment",IFERROR(INDEX(_xlfn._xlws.FILTER(MasterPaid[Amount Paid],(MasterPaid[Customer]=$B309)*(MasterPaid[Date]=$A309)),COUNTIFS($A$6:$A309,$A309,$B$6:$B309,$B309,$K$6:$K309,"Payment")),0),0))</f>
        <v/>
      </c>
      <c r="H309" s="331"/>
      <c r="I309" s="331"/>
      <c r="J309" s="330" t="str">
        <f t="shared" si="5"/>
        <v/>
      </c>
      <c r="K309" s="289" t="str" cm="1">
        <f t="array" ref="K309">IFERROR(INDEX(_xlfn.ANCHORARRAY($Q$6),ROW()-5,4),"")</f>
        <v/>
      </c>
      <c r="L309" s="290"/>
      <c r="U309">
        <f>IF(OR($A309="",$F309=""),0,MAX(0,MIN($F309,SUMIFS($F$6:$F309,$B$6:$B309,$B309)-(SUMIFS($G$6:$G$355,$B$6:$B$355,$B309)+SUMIFS($H$6:$H$355,$B$6:$B$355,$B309)+SUMIFS($I$6:$I$355,$B$6:$B$355,$B309)))))</f>
        <v>0</v>
      </c>
    </row>
    <row r="310" spans="1:21" ht="23" x14ac:dyDescent="0.25">
      <c r="A310" s="217" t="str" cm="1">
        <f t="array" ref="A310">IFERROR(INDEX(_xlfn.ANCHORARRAY($Q$6),ROW()-5,1),"")</f>
        <v/>
      </c>
      <c r="B310" s="288" t="str" cm="1">
        <f t="array" ref="B310">IFERROR(INDEX(_xlfn.ANCHORARRAY($Q$6),ROW()-5,2),"")</f>
        <v/>
      </c>
      <c r="C310" s="289" t="str" cm="1">
        <f t="array" ref="C310">IFERROR(INDEX(_xlfn.ANCHORARRAY($Q$6),ROW()-5,3),"")</f>
        <v/>
      </c>
      <c r="D310" s="218" t="str">
        <f>IF($A310="","",IF($K310="DIESEL",SUMIFS(Table1[Quantity],Table1[Customer],$B310,Table1[Date],$A310,Table1[Bill No.],$C310),IF($K310="PETROL",SUMIFS(Table14[Quantity],Table14[Customer],$B310,Table14[Date],$A310,Table14[Bill No.],$C310),IF($K310="XtraGreen",SUMIFS(Table146[Quantity],Table146[Company],$B310,Table146[Date],$A310,Table146[Bill No.],$C310),""))))</f>
        <v/>
      </c>
      <c r="E310" s="219" t="str">
        <f>IF($A310="","",IF($K310="DIESEL",AVERAGEIFS(Table1[RSP],Table1[Customer],$B310,Table1[Date],$A310,Table1[Bill No.],$C310),IF($K310="PETROL",AVERAGEIFS(Table14[RSP],Table14[Customer],$B310,Table14[Date],$A310,Table14[Bill No.],$C310),IF($K310="XtraGreen",AVERAGEIFS(Table146[RSP],Table146[Company],$B310,Table146[Date],$A310,Table146[Bill No.],$C310),IFERROR($F310/$D310,"")))))</f>
        <v/>
      </c>
      <c r="F310" s="330" t="str">
        <f>IF($A310="","",IF($K310="DIESEL",SUMIFS(Table1[Amount],Table1[Customer],$B310,Table1[Date],$A310,Table1[Bill No.],$C310),IF($K310="PETROL",SUMIFS(Table14[Amount],Table14[Customer],$B310,Table14[Date],$A310,Table14[Bill No.],$C310),IF($K310="XtraGreen",SUMIFS(Table146[Amount],Table146[Company],$B310,Table146[Date],$A310,Table146[Bill No.],$C310),SUMIFS('Other Sale'!$D:$D,'Other Sale'!$E:$E,$B310,'Other Sale'!$C:$C,$K310,'Other Sale'!$A:$A,$A310)))))</f>
        <v/>
      </c>
      <c r="G310" s="330" t="str" cm="1">
        <f t="array" ref="G310">IF($A310="","",IF($K310="Payment",IFERROR(INDEX(_xlfn._xlws.FILTER(MasterPaid[Amount Paid],(MasterPaid[Customer]=$B310)*(MasterPaid[Date]=$A310)),COUNTIFS($A$6:$A310,$A310,$B$6:$B310,$B310,$K$6:$K310,"Payment")),0),0))</f>
        <v/>
      </c>
      <c r="H310" s="331"/>
      <c r="I310" s="331"/>
      <c r="J310" s="330" t="str">
        <f t="shared" si="5"/>
        <v/>
      </c>
      <c r="K310" s="289" t="str" cm="1">
        <f t="array" ref="K310">IFERROR(INDEX(_xlfn.ANCHORARRAY($Q$6),ROW()-5,4),"")</f>
        <v/>
      </c>
      <c r="L310" s="290"/>
      <c r="U310">
        <f>IF(OR($A310="",$F310=""),0,MAX(0,MIN($F310,SUMIFS($F$6:$F310,$B$6:$B310,$B310)-(SUMIFS($G$6:$G$355,$B$6:$B$355,$B310)+SUMIFS($H$6:$H$355,$B$6:$B$355,$B310)+SUMIFS($I$6:$I$355,$B$6:$B$355,$B310)))))</f>
        <v>0</v>
      </c>
    </row>
    <row r="311" spans="1:21" ht="23" x14ac:dyDescent="0.25">
      <c r="A311" s="217" t="str" cm="1">
        <f t="array" ref="A311">IFERROR(INDEX(_xlfn.ANCHORARRAY($Q$6),ROW()-5,1),"")</f>
        <v/>
      </c>
      <c r="B311" s="288" t="str" cm="1">
        <f t="array" ref="B311">IFERROR(INDEX(_xlfn.ANCHORARRAY($Q$6),ROW()-5,2),"")</f>
        <v/>
      </c>
      <c r="C311" s="289" t="str" cm="1">
        <f t="array" ref="C311">IFERROR(INDEX(_xlfn.ANCHORARRAY($Q$6),ROW()-5,3),"")</f>
        <v/>
      </c>
      <c r="D311" s="218" t="str">
        <f>IF($A311="","",IF($K311="DIESEL",SUMIFS(Table1[Quantity],Table1[Customer],$B311,Table1[Date],$A311,Table1[Bill No.],$C311),IF($K311="PETROL",SUMIFS(Table14[Quantity],Table14[Customer],$B311,Table14[Date],$A311,Table14[Bill No.],$C311),IF($K311="XtraGreen",SUMIFS(Table146[Quantity],Table146[Company],$B311,Table146[Date],$A311,Table146[Bill No.],$C311),""))))</f>
        <v/>
      </c>
      <c r="E311" s="219" t="str">
        <f>IF($A311="","",IF($K311="DIESEL",AVERAGEIFS(Table1[RSP],Table1[Customer],$B311,Table1[Date],$A311,Table1[Bill No.],$C311),IF($K311="PETROL",AVERAGEIFS(Table14[RSP],Table14[Customer],$B311,Table14[Date],$A311,Table14[Bill No.],$C311),IF($K311="XtraGreen",AVERAGEIFS(Table146[RSP],Table146[Company],$B311,Table146[Date],$A311,Table146[Bill No.],$C311),IFERROR($F311/$D311,"")))))</f>
        <v/>
      </c>
      <c r="F311" s="330" t="str">
        <f>IF($A311="","",IF($K311="DIESEL",SUMIFS(Table1[Amount],Table1[Customer],$B311,Table1[Date],$A311,Table1[Bill No.],$C311),IF($K311="PETROL",SUMIFS(Table14[Amount],Table14[Customer],$B311,Table14[Date],$A311,Table14[Bill No.],$C311),IF($K311="XtraGreen",SUMIFS(Table146[Amount],Table146[Company],$B311,Table146[Date],$A311,Table146[Bill No.],$C311),SUMIFS('Other Sale'!$D:$D,'Other Sale'!$E:$E,$B311,'Other Sale'!$C:$C,$K311,'Other Sale'!$A:$A,$A311)))))</f>
        <v/>
      </c>
      <c r="G311" s="330" t="str" cm="1">
        <f t="array" ref="G311">IF($A311="","",IF($K311="Payment",IFERROR(INDEX(_xlfn._xlws.FILTER(MasterPaid[Amount Paid],(MasterPaid[Customer]=$B311)*(MasterPaid[Date]=$A311)),COUNTIFS($A$6:$A311,$A311,$B$6:$B311,$B311,$K$6:$K311,"Payment")),0),0))</f>
        <v/>
      </c>
      <c r="H311" s="331"/>
      <c r="I311" s="331"/>
      <c r="J311" s="330" t="str">
        <f t="shared" si="5"/>
        <v/>
      </c>
      <c r="K311" s="289" t="str" cm="1">
        <f t="array" ref="K311">IFERROR(INDEX(_xlfn.ANCHORARRAY($Q$6),ROW()-5,4),"")</f>
        <v/>
      </c>
      <c r="L311" s="290"/>
      <c r="U311">
        <f>IF(OR($A311="",$F311=""),0,MAX(0,MIN($F311,SUMIFS($F$6:$F311,$B$6:$B311,$B311)-(SUMIFS($G$6:$G$355,$B$6:$B$355,$B311)+SUMIFS($H$6:$H$355,$B$6:$B$355,$B311)+SUMIFS($I$6:$I$355,$B$6:$B$355,$B311)))))</f>
        <v>0</v>
      </c>
    </row>
    <row r="312" spans="1:21" ht="23" x14ac:dyDescent="0.25">
      <c r="A312" s="217" t="str" cm="1">
        <f t="array" ref="A312">IFERROR(INDEX(_xlfn.ANCHORARRAY($Q$6),ROW()-5,1),"")</f>
        <v/>
      </c>
      <c r="B312" s="288" t="str" cm="1">
        <f t="array" ref="B312">IFERROR(INDEX(_xlfn.ANCHORARRAY($Q$6),ROW()-5,2),"")</f>
        <v/>
      </c>
      <c r="C312" s="289" t="str" cm="1">
        <f t="array" ref="C312">IFERROR(INDEX(_xlfn.ANCHORARRAY($Q$6),ROW()-5,3),"")</f>
        <v/>
      </c>
      <c r="D312" s="218" t="str">
        <f>IF($A312="","",IF($K312="DIESEL",SUMIFS(Table1[Quantity],Table1[Customer],$B312,Table1[Date],$A312,Table1[Bill No.],$C312),IF($K312="PETROL",SUMIFS(Table14[Quantity],Table14[Customer],$B312,Table14[Date],$A312,Table14[Bill No.],$C312),IF($K312="XtraGreen",SUMIFS(Table146[Quantity],Table146[Company],$B312,Table146[Date],$A312,Table146[Bill No.],$C312),""))))</f>
        <v/>
      </c>
      <c r="E312" s="219" t="str">
        <f>IF($A312="","",IF($K312="DIESEL",AVERAGEIFS(Table1[RSP],Table1[Customer],$B312,Table1[Date],$A312,Table1[Bill No.],$C312),IF($K312="PETROL",AVERAGEIFS(Table14[RSP],Table14[Customer],$B312,Table14[Date],$A312,Table14[Bill No.],$C312),IF($K312="XtraGreen",AVERAGEIFS(Table146[RSP],Table146[Company],$B312,Table146[Date],$A312,Table146[Bill No.],$C312),IFERROR($F312/$D312,"")))))</f>
        <v/>
      </c>
      <c r="F312" s="330" t="str">
        <f>IF($A312="","",IF($K312="DIESEL",SUMIFS(Table1[Amount],Table1[Customer],$B312,Table1[Date],$A312,Table1[Bill No.],$C312),IF($K312="PETROL",SUMIFS(Table14[Amount],Table14[Customer],$B312,Table14[Date],$A312,Table14[Bill No.],$C312),IF($K312="XtraGreen",SUMIFS(Table146[Amount],Table146[Company],$B312,Table146[Date],$A312,Table146[Bill No.],$C312),SUMIFS('Other Sale'!$D:$D,'Other Sale'!$E:$E,$B312,'Other Sale'!$C:$C,$K312,'Other Sale'!$A:$A,$A312)))))</f>
        <v/>
      </c>
      <c r="G312" s="330" t="str" cm="1">
        <f t="array" ref="G312">IF($A312="","",IF($K312="Payment",IFERROR(INDEX(_xlfn._xlws.FILTER(MasterPaid[Amount Paid],(MasterPaid[Customer]=$B312)*(MasterPaid[Date]=$A312)),COUNTIFS($A$6:$A312,$A312,$B$6:$B312,$B312,$K$6:$K312,"Payment")),0),0))</f>
        <v/>
      </c>
      <c r="H312" s="331"/>
      <c r="I312" s="331"/>
      <c r="J312" s="330" t="str">
        <f t="shared" si="5"/>
        <v/>
      </c>
      <c r="K312" s="289" t="str" cm="1">
        <f t="array" ref="K312">IFERROR(INDEX(_xlfn.ANCHORARRAY($Q$6),ROW()-5,4),"")</f>
        <v/>
      </c>
      <c r="L312" s="290"/>
      <c r="U312">
        <f>IF(OR($A312="",$F312=""),0,MAX(0,MIN($F312,SUMIFS($F$6:$F312,$B$6:$B312,$B312)-(SUMIFS($G$6:$G$355,$B$6:$B$355,$B312)+SUMIFS($H$6:$H$355,$B$6:$B$355,$B312)+SUMIFS($I$6:$I$355,$B$6:$B$355,$B312)))))</f>
        <v>0</v>
      </c>
    </row>
    <row r="313" spans="1:21" ht="23" x14ac:dyDescent="0.25">
      <c r="A313" s="217" t="str" cm="1">
        <f t="array" ref="A313">IFERROR(INDEX(_xlfn.ANCHORARRAY($Q$6),ROW()-5,1),"")</f>
        <v/>
      </c>
      <c r="B313" s="288" t="str" cm="1">
        <f t="array" ref="B313">IFERROR(INDEX(_xlfn.ANCHORARRAY($Q$6),ROW()-5,2),"")</f>
        <v/>
      </c>
      <c r="C313" s="289" t="str" cm="1">
        <f t="array" ref="C313">IFERROR(INDEX(_xlfn.ANCHORARRAY($Q$6),ROW()-5,3),"")</f>
        <v/>
      </c>
      <c r="D313" s="218" t="str">
        <f>IF($A313="","",IF($K313="DIESEL",SUMIFS(Table1[Quantity],Table1[Customer],$B313,Table1[Date],$A313,Table1[Bill No.],$C313),IF($K313="PETROL",SUMIFS(Table14[Quantity],Table14[Customer],$B313,Table14[Date],$A313,Table14[Bill No.],$C313),IF($K313="XtraGreen",SUMIFS(Table146[Quantity],Table146[Company],$B313,Table146[Date],$A313,Table146[Bill No.],$C313),""))))</f>
        <v/>
      </c>
      <c r="E313" s="219" t="str">
        <f>IF($A313="","",IF($K313="DIESEL",AVERAGEIFS(Table1[RSP],Table1[Customer],$B313,Table1[Date],$A313,Table1[Bill No.],$C313),IF($K313="PETROL",AVERAGEIFS(Table14[RSP],Table14[Customer],$B313,Table14[Date],$A313,Table14[Bill No.],$C313),IF($K313="XtraGreen",AVERAGEIFS(Table146[RSP],Table146[Company],$B313,Table146[Date],$A313,Table146[Bill No.],$C313),IFERROR($F313/$D313,"")))))</f>
        <v/>
      </c>
      <c r="F313" s="330" t="str">
        <f>IF($A313="","",IF($K313="DIESEL",SUMIFS(Table1[Amount],Table1[Customer],$B313,Table1[Date],$A313,Table1[Bill No.],$C313),IF($K313="PETROL",SUMIFS(Table14[Amount],Table14[Customer],$B313,Table14[Date],$A313,Table14[Bill No.],$C313),IF($K313="XtraGreen",SUMIFS(Table146[Amount],Table146[Company],$B313,Table146[Date],$A313,Table146[Bill No.],$C313),SUMIFS('Other Sale'!$D:$D,'Other Sale'!$E:$E,$B313,'Other Sale'!$C:$C,$K313,'Other Sale'!$A:$A,$A313)))))</f>
        <v/>
      </c>
      <c r="G313" s="330" t="str" cm="1">
        <f t="array" ref="G313">IF($A313="","",IF($K313="Payment",IFERROR(INDEX(_xlfn._xlws.FILTER(MasterPaid[Amount Paid],(MasterPaid[Customer]=$B313)*(MasterPaid[Date]=$A313)),COUNTIFS($A$6:$A313,$A313,$B$6:$B313,$B313,$K$6:$K313,"Payment")),0),0))</f>
        <v/>
      </c>
      <c r="H313" s="331"/>
      <c r="I313" s="331"/>
      <c r="J313" s="330" t="str">
        <f t="shared" si="5"/>
        <v/>
      </c>
      <c r="K313" s="289" t="str" cm="1">
        <f t="array" ref="K313">IFERROR(INDEX(_xlfn.ANCHORARRAY($Q$6),ROW()-5,4),"")</f>
        <v/>
      </c>
      <c r="L313" s="290"/>
      <c r="U313">
        <f>IF(OR($A313="",$F313=""),0,MAX(0,MIN($F313,SUMIFS($F$6:$F313,$B$6:$B313,$B313)-(SUMIFS($G$6:$G$355,$B$6:$B$355,$B313)+SUMIFS($H$6:$H$355,$B$6:$B$355,$B313)+SUMIFS($I$6:$I$355,$B$6:$B$355,$B313)))))</f>
        <v>0</v>
      </c>
    </row>
    <row r="314" spans="1:21" ht="23" x14ac:dyDescent="0.25">
      <c r="A314" s="217" t="str" cm="1">
        <f t="array" ref="A314">IFERROR(INDEX(_xlfn.ANCHORARRAY($Q$6),ROW()-5,1),"")</f>
        <v/>
      </c>
      <c r="B314" s="288" t="str" cm="1">
        <f t="array" ref="B314">IFERROR(INDEX(_xlfn.ANCHORARRAY($Q$6),ROW()-5,2),"")</f>
        <v/>
      </c>
      <c r="C314" s="289" t="str" cm="1">
        <f t="array" ref="C314">IFERROR(INDEX(_xlfn.ANCHORARRAY($Q$6),ROW()-5,3),"")</f>
        <v/>
      </c>
      <c r="D314" s="218" t="str">
        <f>IF($A314="","",IF($K314="DIESEL",SUMIFS(Table1[Quantity],Table1[Customer],$B314,Table1[Date],$A314,Table1[Bill No.],$C314),IF($K314="PETROL",SUMIFS(Table14[Quantity],Table14[Customer],$B314,Table14[Date],$A314,Table14[Bill No.],$C314),IF($K314="XtraGreen",SUMIFS(Table146[Quantity],Table146[Company],$B314,Table146[Date],$A314,Table146[Bill No.],$C314),""))))</f>
        <v/>
      </c>
      <c r="E314" s="219" t="str">
        <f>IF($A314="","",IF($K314="DIESEL",AVERAGEIFS(Table1[RSP],Table1[Customer],$B314,Table1[Date],$A314,Table1[Bill No.],$C314),IF($K314="PETROL",AVERAGEIFS(Table14[RSP],Table14[Customer],$B314,Table14[Date],$A314,Table14[Bill No.],$C314),IF($K314="XtraGreen",AVERAGEIFS(Table146[RSP],Table146[Company],$B314,Table146[Date],$A314,Table146[Bill No.],$C314),IFERROR($F314/$D314,"")))))</f>
        <v/>
      </c>
      <c r="F314" s="330" t="str">
        <f>IF($A314="","",IF($K314="DIESEL",SUMIFS(Table1[Amount],Table1[Customer],$B314,Table1[Date],$A314,Table1[Bill No.],$C314),IF($K314="PETROL",SUMIFS(Table14[Amount],Table14[Customer],$B314,Table14[Date],$A314,Table14[Bill No.],$C314),IF($K314="XtraGreen",SUMIFS(Table146[Amount],Table146[Company],$B314,Table146[Date],$A314,Table146[Bill No.],$C314),SUMIFS('Other Sale'!$D:$D,'Other Sale'!$E:$E,$B314,'Other Sale'!$C:$C,$K314,'Other Sale'!$A:$A,$A314)))))</f>
        <v/>
      </c>
      <c r="G314" s="330" t="str" cm="1">
        <f t="array" ref="G314">IF($A314="","",IF($K314="Payment",IFERROR(INDEX(_xlfn._xlws.FILTER(MasterPaid[Amount Paid],(MasterPaid[Customer]=$B314)*(MasterPaid[Date]=$A314)),COUNTIFS($A$6:$A314,$A314,$B$6:$B314,$B314,$K$6:$K314,"Payment")),0),0))</f>
        <v/>
      </c>
      <c r="H314" s="331"/>
      <c r="I314" s="331"/>
      <c r="J314" s="330" t="str">
        <f t="shared" si="5"/>
        <v/>
      </c>
      <c r="K314" s="289" t="str" cm="1">
        <f t="array" ref="K314">IFERROR(INDEX(_xlfn.ANCHORARRAY($Q$6),ROW()-5,4),"")</f>
        <v/>
      </c>
      <c r="L314" s="290"/>
      <c r="U314">
        <f>IF(OR($A314="",$F314=""),0,MAX(0,MIN($F314,SUMIFS($F$6:$F314,$B$6:$B314,$B314)-(SUMIFS($G$6:$G$355,$B$6:$B$355,$B314)+SUMIFS($H$6:$H$355,$B$6:$B$355,$B314)+SUMIFS($I$6:$I$355,$B$6:$B$355,$B314)))))</f>
        <v>0</v>
      </c>
    </row>
    <row r="315" spans="1:21" ht="23" x14ac:dyDescent="0.25">
      <c r="A315" s="217" t="str" cm="1">
        <f t="array" ref="A315">IFERROR(INDEX(_xlfn.ANCHORARRAY($Q$6),ROW()-5,1),"")</f>
        <v/>
      </c>
      <c r="B315" s="288" t="str" cm="1">
        <f t="array" ref="B315">IFERROR(INDEX(_xlfn.ANCHORARRAY($Q$6),ROW()-5,2),"")</f>
        <v/>
      </c>
      <c r="C315" s="289" t="str" cm="1">
        <f t="array" ref="C315">IFERROR(INDEX(_xlfn.ANCHORARRAY($Q$6),ROW()-5,3),"")</f>
        <v/>
      </c>
      <c r="D315" s="218" t="str">
        <f>IF($A315="","",IF($K315="DIESEL",SUMIFS(Table1[Quantity],Table1[Customer],$B315,Table1[Date],$A315,Table1[Bill No.],$C315),IF($K315="PETROL",SUMIFS(Table14[Quantity],Table14[Customer],$B315,Table14[Date],$A315,Table14[Bill No.],$C315),IF($K315="XtraGreen",SUMIFS(Table146[Quantity],Table146[Company],$B315,Table146[Date],$A315,Table146[Bill No.],$C315),""))))</f>
        <v/>
      </c>
      <c r="E315" s="219" t="str">
        <f>IF($A315="","",IF($K315="DIESEL",AVERAGEIFS(Table1[RSP],Table1[Customer],$B315,Table1[Date],$A315,Table1[Bill No.],$C315),IF($K315="PETROL",AVERAGEIFS(Table14[RSP],Table14[Customer],$B315,Table14[Date],$A315,Table14[Bill No.],$C315),IF($K315="XtraGreen",AVERAGEIFS(Table146[RSP],Table146[Company],$B315,Table146[Date],$A315,Table146[Bill No.],$C315),IFERROR($F315/$D315,"")))))</f>
        <v/>
      </c>
      <c r="F315" s="330" t="str">
        <f>IF($A315="","",IF($K315="DIESEL",SUMIFS(Table1[Amount],Table1[Customer],$B315,Table1[Date],$A315,Table1[Bill No.],$C315),IF($K315="PETROL",SUMIFS(Table14[Amount],Table14[Customer],$B315,Table14[Date],$A315,Table14[Bill No.],$C315),IF($K315="XtraGreen",SUMIFS(Table146[Amount],Table146[Company],$B315,Table146[Date],$A315,Table146[Bill No.],$C315),SUMIFS('Other Sale'!$D:$D,'Other Sale'!$E:$E,$B315,'Other Sale'!$C:$C,$K315,'Other Sale'!$A:$A,$A315)))))</f>
        <v/>
      </c>
      <c r="G315" s="330" t="str" cm="1">
        <f t="array" ref="G315">IF($A315="","",IF($K315="Payment",IFERROR(INDEX(_xlfn._xlws.FILTER(MasterPaid[Amount Paid],(MasterPaid[Customer]=$B315)*(MasterPaid[Date]=$A315)),COUNTIFS($A$6:$A315,$A315,$B$6:$B315,$B315,$K$6:$K315,"Payment")),0),0))</f>
        <v/>
      </c>
      <c r="H315" s="331"/>
      <c r="I315" s="331"/>
      <c r="J315" s="330" t="str">
        <f t="shared" si="5"/>
        <v/>
      </c>
      <c r="K315" s="289" t="str" cm="1">
        <f t="array" ref="K315">IFERROR(INDEX(_xlfn.ANCHORARRAY($Q$6),ROW()-5,4),"")</f>
        <v/>
      </c>
      <c r="L315" s="290"/>
      <c r="U315">
        <f>IF(OR($A315="",$F315=""),0,MAX(0,MIN($F315,SUMIFS($F$6:$F315,$B$6:$B315,$B315)-(SUMIFS($G$6:$G$355,$B$6:$B$355,$B315)+SUMIFS($H$6:$H$355,$B$6:$B$355,$B315)+SUMIFS($I$6:$I$355,$B$6:$B$355,$B315)))))</f>
        <v>0</v>
      </c>
    </row>
    <row r="316" spans="1:21" ht="23" x14ac:dyDescent="0.25">
      <c r="A316" s="217" t="str" cm="1">
        <f t="array" ref="A316">IFERROR(INDEX(_xlfn.ANCHORARRAY($Q$6),ROW()-5,1),"")</f>
        <v/>
      </c>
      <c r="B316" s="288" t="str" cm="1">
        <f t="array" ref="B316">IFERROR(INDEX(_xlfn.ANCHORARRAY($Q$6),ROW()-5,2),"")</f>
        <v/>
      </c>
      <c r="C316" s="289" t="str" cm="1">
        <f t="array" ref="C316">IFERROR(INDEX(_xlfn.ANCHORARRAY($Q$6),ROW()-5,3),"")</f>
        <v/>
      </c>
      <c r="D316" s="218" t="str">
        <f>IF($A316="","",IF($K316="DIESEL",SUMIFS(Table1[Quantity],Table1[Customer],$B316,Table1[Date],$A316,Table1[Bill No.],$C316),IF($K316="PETROL",SUMIFS(Table14[Quantity],Table14[Customer],$B316,Table14[Date],$A316,Table14[Bill No.],$C316),IF($K316="XtraGreen",SUMIFS(Table146[Quantity],Table146[Company],$B316,Table146[Date],$A316,Table146[Bill No.],$C316),""))))</f>
        <v/>
      </c>
      <c r="E316" s="219" t="str">
        <f>IF($A316="","",IF($K316="DIESEL",AVERAGEIFS(Table1[RSP],Table1[Customer],$B316,Table1[Date],$A316,Table1[Bill No.],$C316),IF($K316="PETROL",AVERAGEIFS(Table14[RSP],Table14[Customer],$B316,Table14[Date],$A316,Table14[Bill No.],$C316),IF($K316="XtraGreen",AVERAGEIFS(Table146[RSP],Table146[Company],$B316,Table146[Date],$A316,Table146[Bill No.],$C316),IFERROR($F316/$D316,"")))))</f>
        <v/>
      </c>
      <c r="F316" s="330" t="str">
        <f>IF($A316="","",IF($K316="DIESEL",SUMIFS(Table1[Amount],Table1[Customer],$B316,Table1[Date],$A316,Table1[Bill No.],$C316),IF($K316="PETROL",SUMIFS(Table14[Amount],Table14[Customer],$B316,Table14[Date],$A316,Table14[Bill No.],$C316),IF($K316="XtraGreen",SUMIFS(Table146[Amount],Table146[Company],$B316,Table146[Date],$A316,Table146[Bill No.],$C316),SUMIFS('Other Sale'!$D:$D,'Other Sale'!$E:$E,$B316,'Other Sale'!$C:$C,$K316,'Other Sale'!$A:$A,$A316)))))</f>
        <v/>
      </c>
      <c r="G316" s="330" t="str" cm="1">
        <f t="array" ref="G316">IF($A316="","",IF($K316="Payment",IFERROR(INDEX(_xlfn._xlws.FILTER(MasterPaid[Amount Paid],(MasterPaid[Customer]=$B316)*(MasterPaid[Date]=$A316)),COUNTIFS($A$6:$A316,$A316,$B$6:$B316,$B316,$K$6:$K316,"Payment")),0),0))</f>
        <v/>
      </c>
      <c r="H316" s="331"/>
      <c r="I316" s="331"/>
      <c r="J316" s="330" t="str">
        <f t="shared" si="5"/>
        <v/>
      </c>
      <c r="K316" s="289" t="str" cm="1">
        <f t="array" ref="K316">IFERROR(INDEX(_xlfn.ANCHORARRAY($Q$6),ROW()-5,4),"")</f>
        <v/>
      </c>
      <c r="L316" s="290"/>
      <c r="U316">
        <f>IF(OR($A316="",$F316=""),0,MAX(0,MIN($F316,SUMIFS($F$6:$F316,$B$6:$B316,$B316)-(SUMIFS($G$6:$G$355,$B$6:$B$355,$B316)+SUMIFS($H$6:$H$355,$B$6:$B$355,$B316)+SUMIFS($I$6:$I$355,$B$6:$B$355,$B316)))))</f>
        <v>0</v>
      </c>
    </row>
    <row r="317" spans="1:21" ht="23" x14ac:dyDescent="0.25">
      <c r="A317" s="217" t="str" cm="1">
        <f t="array" ref="A317">IFERROR(INDEX(_xlfn.ANCHORARRAY($Q$6),ROW()-5,1),"")</f>
        <v/>
      </c>
      <c r="B317" s="288" t="str" cm="1">
        <f t="array" ref="B317">IFERROR(INDEX(_xlfn.ANCHORARRAY($Q$6),ROW()-5,2),"")</f>
        <v/>
      </c>
      <c r="C317" s="289" t="str" cm="1">
        <f t="array" ref="C317">IFERROR(INDEX(_xlfn.ANCHORARRAY($Q$6),ROW()-5,3),"")</f>
        <v/>
      </c>
      <c r="D317" s="218" t="str">
        <f>IF($A317="","",IF($K317="DIESEL",SUMIFS(Table1[Quantity],Table1[Customer],$B317,Table1[Date],$A317,Table1[Bill No.],$C317),IF($K317="PETROL",SUMIFS(Table14[Quantity],Table14[Customer],$B317,Table14[Date],$A317,Table14[Bill No.],$C317),IF($K317="XtraGreen",SUMIFS(Table146[Quantity],Table146[Company],$B317,Table146[Date],$A317,Table146[Bill No.],$C317),""))))</f>
        <v/>
      </c>
      <c r="E317" s="219" t="str">
        <f>IF($A317="","",IF($K317="DIESEL",AVERAGEIFS(Table1[RSP],Table1[Customer],$B317,Table1[Date],$A317,Table1[Bill No.],$C317),IF($K317="PETROL",AVERAGEIFS(Table14[RSP],Table14[Customer],$B317,Table14[Date],$A317,Table14[Bill No.],$C317),IF($K317="XtraGreen",AVERAGEIFS(Table146[RSP],Table146[Company],$B317,Table146[Date],$A317,Table146[Bill No.],$C317),IFERROR($F317/$D317,"")))))</f>
        <v/>
      </c>
      <c r="F317" s="330" t="str">
        <f>IF($A317="","",IF($K317="DIESEL",SUMIFS(Table1[Amount],Table1[Customer],$B317,Table1[Date],$A317,Table1[Bill No.],$C317),IF($K317="PETROL",SUMIFS(Table14[Amount],Table14[Customer],$B317,Table14[Date],$A317,Table14[Bill No.],$C317),IF($K317="XtraGreen",SUMIFS(Table146[Amount],Table146[Company],$B317,Table146[Date],$A317,Table146[Bill No.],$C317),SUMIFS('Other Sale'!$D:$D,'Other Sale'!$E:$E,$B317,'Other Sale'!$C:$C,$K317,'Other Sale'!$A:$A,$A317)))))</f>
        <v/>
      </c>
      <c r="G317" s="330" t="str" cm="1">
        <f t="array" ref="G317">IF($A317="","",IF($K317="Payment",IFERROR(INDEX(_xlfn._xlws.FILTER(MasterPaid[Amount Paid],(MasterPaid[Customer]=$B317)*(MasterPaid[Date]=$A317)),COUNTIFS($A$6:$A317,$A317,$B$6:$B317,$B317,$K$6:$K317,"Payment")),0),0))</f>
        <v/>
      </c>
      <c r="H317" s="331"/>
      <c r="I317" s="331"/>
      <c r="J317" s="330" t="str">
        <f t="shared" si="5"/>
        <v/>
      </c>
      <c r="K317" s="289" t="str" cm="1">
        <f t="array" ref="K317">IFERROR(INDEX(_xlfn.ANCHORARRAY($Q$6),ROW()-5,4),"")</f>
        <v/>
      </c>
      <c r="L317" s="290"/>
      <c r="U317">
        <f>IF(OR($A317="",$F317=""),0,MAX(0,MIN($F317,SUMIFS($F$6:$F317,$B$6:$B317,$B317)-(SUMIFS($G$6:$G$355,$B$6:$B$355,$B317)+SUMIFS($H$6:$H$355,$B$6:$B$355,$B317)+SUMIFS($I$6:$I$355,$B$6:$B$355,$B317)))))</f>
        <v>0</v>
      </c>
    </row>
    <row r="318" spans="1:21" ht="23" x14ac:dyDescent="0.25">
      <c r="A318" s="217" t="str" cm="1">
        <f t="array" ref="A318">IFERROR(INDEX(_xlfn.ANCHORARRAY($Q$6),ROW()-5,1),"")</f>
        <v/>
      </c>
      <c r="B318" s="288" t="str" cm="1">
        <f t="array" ref="B318">IFERROR(INDEX(_xlfn.ANCHORARRAY($Q$6),ROW()-5,2),"")</f>
        <v/>
      </c>
      <c r="C318" s="289" t="str" cm="1">
        <f t="array" ref="C318">IFERROR(INDEX(_xlfn.ANCHORARRAY($Q$6),ROW()-5,3),"")</f>
        <v/>
      </c>
      <c r="D318" s="218" t="str">
        <f>IF($A318="","",IF($K318="DIESEL",SUMIFS(Table1[Quantity],Table1[Customer],$B318,Table1[Date],$A318,Table1[Bill No.],$C318),IF($K318="PETROL",SUMIFS(Table14[Quantity],Table14[Customer],$B318,Table14[Date],$A318,Table14[Bill No.],$C318),IF($K318="XtraGreen",SUMIFS(Table146[Quantity],Table146[Company],$B318,Table146[Date],$A318,Table146[Bill No.],$C318),""))))</f>
        <v/>
      </c>
      <c r="E318" s="219" t="str">
        <f>IF($A318="","",IF($K318="DIESEL",AVERAGEIFS(Table1[RSP],Table1[Customer],$B318,Table1[Date],$A318,Table1[Bill No.],$C318),IF($K318="PETROL",AVERAGEIFS(Table14[RSP],Table14[Customer],$B318,Table14[Date],$A318,Table14[Bill No.],$C318),IF($K318="XtraGreen",AVERAGEIFS(Table146[RSP],Table146[Company],$B318,Table146[Date],$A318,Table146[Bill No.],$C318),IFERROR($F318/$D318,"")))))</f>
        <v/>
      </c>
      <c r="F318" s="330" t="str">
        <f>IF($A318="","",IF($K318="DIESEL",SUMIFS(Table1[Amount],Table1[Customer],$B318,Table1[Date],$A318,Table1[Bill No.],$C318),IF($K318="PETROL",SUMIFS(Table14[Amount],Table14[Customer],$B318,Table14[Date],$A318,Table14[Bill No.],$C318),IF($K318="XtraGreen",SUMIFS(Table146[Amount],Table146[Company],$B318,Table146[Date],$A318,Table146[Bill No.],$C318),SUMIFS('Other Sale'!$D:$D,'Other Sale'!$E:$E,$B318,'Other Sale'!$C:$C,$K318,'Other Sale'!$A:$A,$A318)))))</f>
        <v/>
      </c>
      <c r="G318" s="330" t="str" cm="1">
        <f t="array" ref="G318">IF($A318="","",IF($K318="Payment",IFERROR(INDEX(_xlfn._xlws.FILTER(MasterPaid[Amount Paid],(MasterPaid[Customer]=$B318)*(MasterPaid[Date]=$A318)),COUNTIFS($A$6:$A318,$A318,$B$6:$B318,$B318,$K$6:$K318,"Payment")),0),0))</f>
        <v/>
      </c>
      <c r="H318" s="331"/>
      <c r="I318" s="331"/>
      <c r="J318" s="330" t="str">
        <f t="shared" si="5"/>
        <v/>
      </c>
      <c r="K318" s="289" t="str" cm="1">
        <f t="array" ref="K318">IFERROR(INDEX(_xlfn.ANCHORARRAY($Q$6),ROW()-5,4),"")</f>
        <v/>
      </c>
      <c r="L318" s="290"/>
      <c r="U318">
        <f>IF(OR($A318="",$F318=""),0,MAX(0,MIN($F318,SUMIFS($F$6:$F318,$B$6:$B318,$B318)-(SUMIFS($G$6:$G$355,$B$6:$B$355,$B318)+SUMIFS($H$6:$H$355,$B$6:$B$355,$B318)+SUMIFS($I$6:$I$355,$B$6:$B$355,$B318)))))</f>
        <v>0</v>
      </c>
    </row>
    <row r="319" spans="1:21" ht="23" x14ac:dyDescent="0.25">
      <c r="A319" s="217" t="str" cm="1">
        <f t="array" ref="A319">IFERROR(INDEX(_xlfn.ANCHORARRAY($Q$6),ROW()-5,1),"")</f>
        <v/>
      </c>
      <c r="B319" s="288" t="str" cm="1">
        <f t="array" ref="B319">IFERROR(INDEX(_xlfn.ANCHORARRAY($Q$6),ROW()-5,2),"")</f>
        <v/>
      </c>
      <c r="C319" s="289" t="str" cm="1">
        <f t="array" ref="C319">IFERROR(INDEX(_xlfn.ANCHORARRAY($Q$6),ROW()-5,3),"")</f>
        <v/>
      </c>
      <c r="D319" s="218" t="str">
        <f>IF($A319="","",IF($K319="DIESEL",SUMIFS(Table1[Quantity],Table1[Customer],$B319,Table1[Date],$A319,Table1[Bill No.],$C319),IF($K319="PETROL",SUMIFS(Table14[Quantity],Table14[Customer],$B319,Table14[Date],$A319,Table14[Bill No.],$C319),IF($K319="XtraGreen",SUMIFS(Table146[Quantity],Table146[Company],$B319,Table146[Date],$A319,Table146[Bill No.],$C319),""))))</f>
        <v/>
      </c>
      <c r="E319" s="219" t="str">
        <f>IF($A319="","",IF($K319="DIESEL",AVERAGEIFS(Table1[RSP],Table1[Customer],$B319,Table1[Date],$A319,Table1[Bill No.],$C319),IF($K319="PETROL",AVERAGEIFS(Table14[RSP],Table14[Customer],$B319,Table14[Date],$A319,Table14[Bill No.],$C319),IF($K319="XtraGreen",AVERAGEIFS(Table146[RSP],Table146[Company],$B319,Table146[Date],$A319,Table146[Bill No.],$C319),IFERROR($F319/$D319,"")))))</f>
        <v/>
      </c>
      <c r="F319" s="330" t="str">
        <f>IF($A319="","",IF($K319="DIESEL",SUMIFS(Table1[Amount],Table1[Customer],$B319,Table1[Date],$A319,Table1[Bill No.],$C319),IF($K319="PETROL",SUMIFS(Table14[Amount],Table14[Customer],$B319,Table14[Date],$A319,Table14[Bill No.],$C319),IF($K319="XtraGreen",SUMIFS(Table146[Amount],Table146[Company],$B319,Table146[Date],$A319,Table146[Bill No.],$C319),SUMIFS('Other Sale'!$D:$D,'Other Sale'!$E:$E,$B319,'Other Sale'!$C:$C,$K319,'Other Sale'!$A:$A,$A319)))))</f>
        <v/>
      </c>
      <c r="G319" s="330" t="str" cm="1">
        <f t="array" ref="G319">IF($A319="","",IF($K319="Payment",IFERROR(INDEX(_xlfn._xlws.FILTER(MasterPaid[Amount Paid],(MasterPaid[Customer]=$B319)*(MasterPaid[Date]=$A319)),COUNTIFS($A$6:$A319,$A319,$B$6:$B319,$B319,$K$6:$K319,"Payment")),0),0))</f>
        <v/>
      </c>
      <c r="H319" s="331"/>
      <c r="I319" s="331"/>
      <c r="J319" s="330" t="str">
        <f t="shared" si="5"/>
        <v/>
      </c>
      <c r="K319" s="289" t="str" cm="1">
        <f t="array" ref="K319">IFERROR(INDEX(_xlfn.ANCHORARRAY($Q$6),ROW()-5,4),"")</f>
        <v/>
      </c>
      <c r="L319" s="290"/>
      <c r="U319">
        <f>IF(OR($A319="",$F319=""),0,MAX(0,MIN($F319,SUMIFS($F$6:$F319,$B$6:$B319,$B319)-(SUMIFS($G$6:$G$355,$B$6:$B$355,$B319)+SUMIFS($H$6:$H$355,$B$6:$B$355,$B319)+SUMIFS($I$6:$I$355,$B$6:$B$355,$B319)))))</f>
        <v>0</v>
      </c>
    </row>
    <row r="320" spans="1:21" ht="23" x14ac:dyDescent="0.25">
      <c r="A320" s="217" t="str" cm="1">
        <f t="array" ref="A320">IFERROR(INDEX(_xlfn.ANCHORARRAY($Q$6),ROW()-5,1),"")</f>
        <v/>
      </c>
      <c r="B320" s="288" t="str" cm="1">
        <f t="array" ref="B320">IFERROR(INDEX(_xlfn.ANCHORARRAY($Q$6),ROW()-5,2),"")</f>
        <v/>
      </c>
      <c r="C320" s="289" t="str" cm="1">
        <f t="array" ref="C320">IFERROR(INDEX(_xlfn.ANCHORARRAY($Q$6),ROW()-5,3),"")</f>
        <v/>
      </c>
      <c r="D320" s="218" t="str">
        <f>IF($A320="","",IF($K320="DIESEL",SUMIFS(Table1[Quantity],Table1[Customer],$B320,Table1[Date],$A320,Table1[Bill No.],$C320),IF($K320="PETROL",SUMIFS(Table14[Quantity],Table14[Customer],$B320,Table14[Date],$A320,Table14[Bill No.],$C320),IF($K320="XtraGreen",SUMIFS(Table146[Quantity],Table146[Company],$B320,Table146[Date],$A320,Table146[Bill No.],$C320),""))))</f>
        <v/>
      </c>
      <c r="E320" s="219" t="str">
        <f>IF($A320="","",IF($K320="DIESEL",AVERAGEIFS(Table1[RSP],Table1[Customer],$B320,Table1[Date],$A320,Table1[Bill No.],$C320),IF($K320="PETROL",AVERAGEIFS(Table14[RSP],Table14[Customer],$B320,Table14[Date],$A320,Table14[Bill No.],$C320),IF($K320="XtraGreen",AVERAGEIFS(Table146[RSP],Table146[Company],$B320,Table146[Date],$A320,Table146[Bill No.],$C320),IFERROR($F320/$D320,"")))))</f>
        <v/>
      </c>
      <c r="F320" s="330" t="str">
        <f>IF($A320="","",IF($K320="DIESEL",SUMIFS(Table1[Amount],Table1[Customer],$B320,Table1[Date],$A320,Table1[Bill No.],$C320),IF($K320="PETROL",SUMIFS(Table14[Amount],Table14[Customer],$B320,Table14[Date],$A320,Table14[Bill No.],$C320),IF($K320="XtraGreen",SUMIFS(Table146[Amount],Table146[Company],$B320,Table146[Date],$A320,Table146[Bill No.],$C320),SUMIFS('Other Sale'!$D:$D,'Other Sale'!$E:$E,$B320,'Other Sale'!$C:$C,$K320,'Other Sale'!$A:$A,$A320)))))</f>
        <v/>
      </c>
      <c r="G320" s="330" t="str" cm="1">
        <f t="array" ref="G320">IF($A320="","",IF($K320="Payment",IFERROR(INDEX(_xlfn._xlws.FILTER(MasterPaid[Amount Paid],(MasterPaid[Customer]=$B320)*(MasterPaid[Date]=$A320)),COUNTIFS($A$6:$A320,$A320,$B$6:$B320,$B320,$K$6:$K320,"Payment")),0),0))</f>
        <v/>
      </c>
      <c r="H320" s="331"/>
      <c r="I320" s="331"/>
      <c r="J320" s="330" t="str">
        <f t="shared" si="5"/>
        <v/>
      </c>
      <c r="K320" s="289" t="str" cm="1">
        <f t="array" ref="K320">IFERROR(INDEX(_xlfn.ANCHORARRAY($Q$6),ROW()-5,4),"")</f>
        <v/>
      </c>
      <c r="L320" s="290"/>
      <c r="U320">
        <f>IF(OR($A320="",$F320=""),0,MAX(0,MIN($F320,SUMIFS($F$6:$F320,$B$6:$B320,$B320)-(SUMIFS($G$6:$G$355,$B$6:$B$355,$B320)+SUMIFS($H$6:$H$355,$B$6:$B$355,$B320)+SUMIFS($I$6:$I$355,$B$6:$B$355,$B320)))))</f>
        <v>0</v>
      </c>
    </row>
    <row r="321" spans="1:21" ht="23" x14ac:dyDescent="0.25">
      <c r="A321" s="217" t="str" cm="1">
        <f t="array" ref="A321">IFERROR(INDEX(_xlfn.ANCHORARRAY($Q$6),ROW()-5,1),"")</f>
        <v/>
      </c>
      <c r="B321" s="288" t="str" cm="1">
        <f t="array" ref="B321">IFERROR(INDEX(_xlfn.ANCHORARRAY($Q$6),ROW()-5,2),"")</f>
        <v/>
      </c>
      <c r="C321" s="289" t="str" cm="1">
        <f t="array" ref="C321">IFERROR(INDEX(_xlfn.ANCHORARRAY($Q$6),ROW()-5,3),"")</f>
        <v/>
      </c>
      <c r="D321" s="218" t="str">
        <f>IF($A321="","",IF($K321="DIESEL",SUMIFS(Table1[Quantity],Table1[Customer],$B321,Table1[Date],$A321,Table1[Bill No.],$C321),IF($K321="PETROL",SUMIFS(Table14[Quantity],Table14[Customer],$B321,Table14[Date],$A321,Table14[Bill No.],$C321),IF($K321="XtraGreen",SUMIFS(Table146[Quantity],Table146[Company],$B321,Table146[Date],$A321,Table146[Bill No.],$C321),""))))</f>
        <v/>
      </c>
      <c r="E321" s="219" t="str">
        <f>IF($A321="","",IF($K321="DIESEL",AVERAGEIFS(Table1[RSP],Table1[Customer],$B321,Table1[Date],$A321,Table1[Bill No.],$C321),IF($K321="PETROL",AVERAGEIFS(Table14[RSP],Table14[Customer],$B321,Table14[Date],$A321,Table14[Bill No.],$C321),IF($K321="XtraGreen",AVERAGEIFS(Table146[RSP],Table146[Company],$B321,Table146[Date],$A321,Table146[Bill No.],$C321),IFERROR($F321/$D321,"")))))</f>
        <v/>
      </c>
      <c r="F321" s="330" t="str">
        <f>IF($A321="","",IF($K321="DIESEL",SUMIFS(Table1[Amount],Table1[Customer],$B321,Table1[Date],$A321,Table1[Bill No.],$C321),IF($K321="PETROL",SUMIFS(Table14[Amount],Table14[Customer],$B321,Table14[Date],$A321,Table14[Bill No.],$C321),IF($K321="XtraGreen",SUMIFS(Table146[Amount],Table146[Company],$B321,Table146[Date],$A321,Table146[Bill No.],$C321),SUMIFS('Other Sale'!$D:$D,'Other Sale'!$E:$E,$B321,'Other Sale'!$C:$C,$K321,'Other Sale'!$A:$A,$A321)))))</f>
        <v/>
      </c>
      <c r="G321" s="330" t="str" cm="1">
        <f t="array" ref="G321">IF($A321="","",IF($K321="Payment",IFERROR(INDEX(_xlfn._xlws.FILTER(MasterPaid[Amount Paid],(MasterPaid[Customer]=$B321)*(MasterPaid[Date]=$A321)),COUNTIFS($A$6:$A321,$A321,$B$6:$B321,$B321,$K$6:$K321,"Payment")),0),0))</f>
        <v/>
      </c>
      <c r="H321" s="331"/>
      <c r="I321" s="331"/>
      <c r="J321" s="330" t="str">
        <f t="shared" si="5"/>
        <v/>
      </c>
      <c r="K321" s="289" t="str" cm="1">
        <f t="array" ref="K321">IFERROR(INDEX(_xlfn.ANCHORARRAY($Q$6),ROW()-5,4),"")</f>
        <v/>
      </c>
      <c r="L321" s="290"/>
      <c r="U321">
        <f>IF(OR($A321="",$F321=""),0,MAX(0,MIN($F321,SUMIFS($F$6:$F321,$B$6:$B321,$B321)-(SUMIFS($G$6:$G$355,$B$6:$B$355,$B321)+SUMIFS($H$6:$H$355,$B$6:$B$355,$B321)+SUMIFS($I$6:$I$355,$B$6:$B$355,$B321)))))</f>
        <v>0</v>
      </c>
    </row>
    <row r="322" spans="1:21" ht="23" x14ac:dyDescent="0.25">
      <c r="A322" s="217" t="str" cm="1">
        <f t="array" ref="A322">IFERROR(INDEX(_xlfn.ANCHORARRAY($Q$6),ROW()-5,1),"")</f>
        <v/>
      </c>
      <c r="B322" s="288" t="str" cm="1">
        <f t="array" ref="B322">IFERROR(INDEX(_xlfn.ANCHORARRAY($Q$6),ROW()-5,2),"")</f>
        <v/>
      </c>
      <c r="C322" s="289" t="str" cm="1">
        <f t="array" ref="C322">IFERROR(INDEX(_xlfn.ANCHORARRAY($Q$6),ROW()-5,3),"")</f>
        <v/>
      </c>
      <c r="D322" s="218" t="str">
        <f>IF($A322="","",IF($K322="DIESEL",SUMIFS(Table1[Quantity],Table1[Customer],$B322,Table1[Date],$A322,Table1[Bill No.],$C322),IF($K322="PETROL",SUMIFS(Table14[Quantity],Table14[Customer],$B322,Table14[Date],$A322,Table14[Bill No.],$C322),IF($K322="XtraGreen",SUMIFS(Table146[Quantity],Table146[Company],$B322,Table146[Date],$A322,Table146[Bill No.],$C322),""))))</f>
        <v/>
      </c>
      <c r="E322" s="219" t="str">
        <f>IF($A322="","",IF($K322="DIESEL",AVERAGEIFS(Table1[RSP],Table1[Customer],$B322,Table1[Date],$A322,Table1[Bill No.],$C322),IF($K322="PETROL",AVERAGEIFS(Table14[RSP],Table14[Customer],$B322,Table14[Date],$A322,Table14[Bill No.],$C322),IF($K322="XtraGreen",AVERAGEIFS(Table146[RSP],Table146[Company],$B322,Table146[Date],$A322,Table146[Bill No.],$C322),IFERROR($F322/$D322,"")))))</f>
        <v/>
      </c>
      <c r="F322" s="330" t="str">
        <f>IF($A322="","",IF($K322="DIESEL",SUMIFS(Table1[Amount],Table1[Customer],$B322,Table1[Date],$A322,Table1[Bill No.],$C322),IF($K322="PETROL",SUMIFS(Table14[Amount],Table14[Customer],$B322,Table14[Date],$A322,Table14[Bill No.],$C322),IF($K322="XtraGreen",SUMIFS(Table146[Amount],Table146[Company],$B322,Table146[Date],$A322,Table146[Bill No.],$C322),SUMIFS('Other Sale'!$D:$D,'Other Sale'!$E:$E,$B322,'Other Sale'!$C:$C,$K322,'Other Sale'!$A:$A,$A322)))))</f>
        <v/>
      </c>
      <c r="G322" s="330" t="str" cm="1">
        <f t="array" ref="G322">IF($A322="","",IF($K322="Payment",IFERROR(INDEX(_xlfn._xlws.FILTER(MasterPaid[Amount Paid],(MasterPaid[Customer]=$B322)*(MasterPaid[Date]=$A322)),COUNTIFS($A$6:$A322,$A322,$B$6:$B322,$B322,$K$6:$K322,"Payment")),0),0))</f>
        <v/>
      </c>
      <c r="H322" s="331"/>
      <c r="I322" s="331"/>
      <c r="J322" s="330" t="str">
        <f t="shared" si="5"/>
        <v/>
      </c>
      <c r="K322" s="289" t="str" cm="1">
        <f t="array" ref="K322">IFERROR(INDEX(_xlfn.ANCHORARRAY($Q$6),ROW()-5,4),"")</f>
        <v/>
      </c>
      <c r="L322" s="290"/>
      <c r="U322">
        <f>IF(OR($A322="",$F322=""),0,MAX(0,MIN($F322,SUMIFS($F$6:$F322,$B$6:$B322,$B322)-(SUMIFS($G$6:$G$355,$B$6:$B$355,$B322)+SUMIFS($H$6:$H$355,$B$6:$B$355,$B322)+SUMIFS($I$6:$I$355,$B$6:$B$355,$B322)))))</f>
        <v>0</v>
      </c>
    </row>
    <row r="323" spans="1:21" ht="23" x14ac:dyDescent="0.25">
      <c r="A323" s="217" t="str" cm="1">
        <f t="array" ref="A323">IFERROR(INDEX(_xlfn.ANCHORARRAY($Q$6),ROW()-5,1),"")</f>
        <v/>
      </c>
      <c r="B323" s="288" t="str" cm="1">
        <f t="array" ref="B323">IFERROR(INDEX(_xlfn.ANCHORARRAY($Q$6),ROW()-5,2),"")</f>
        <v/>
      </c>
      <c r="C323" s="289" t="str" cm="1">
        <f t="array" ref="C323">IFERROR(INDEX(_xlfn.ANCHORARRAY($Q$6),ROW()-5,3),"")</f>
        <v/>
      </c>
      <c r="D323" s="218" t="str">
        <f>IF($A323="","",IF($K323="DIESEL",SUMIFS(Table1[Quantity],Table1[Customer],$B323,Table1[Date],$A323,Table1[Bill No.],$C323),IF($K323="PETROL",SUMIFS(Table14[Quantity],Table14[Customer],$B323,Table14[Date],$A323,Table14[Bill No.],$C323),IF($K323="XtraGreen",SUMIFS(Table146[Quantity],Table146[Company],$B323,Table146[Date],$A323,Table146[Bill No.],$C323),""))))</f>
        <v/>
      </c>
      <c r="E323" s="219" t="str">
        <f>IF($A323="","",IF($K323="DIESEL",AVERAGEIFS(Table1[RSP],Table1[Customer],$B323,Table1[Date],$A323,Table1[Bill No.],$C323),IF($K323="PETROL",AVERAGEIFS(Table14[RSP],Table14[Customer],$B323,Table14[Date],$A323,Table14[Bill No.],$C323),IF($K323="XtraGreen",AVERAGEIFS(Table146[RSP],Table146[Company],$B323,Table146[Date],$A323,Table146[Bill No.],$C323),IFERROR($F323/$D323,"")))))</f>
        <v/>
      </c>
      <c r="F323" s="330" t="str">
        <f>IF($A323="","",IF($K323="DIESEL",SUMIFS(Table1[Amount],Table1[Customer],$B323,Table1[Date],$A323,Table1[Bill No.],$C323),IF($K323="PETROL",SUMIFS(Table14[Amount],Table14[Customer],$B323,Table14[Date],$A323,Table14[Bill No.],$C323),IF($K323="XtraGreen",SUMIFS(Table146[Amount],Table146[Company],$B323,Table146[Date],$A323,Table146[Bill No.],$C323),SUMIFS('Other Sale'!$D:$D,'Other Sale'!$E:$E,$B323,'Other Sale'!$C:$C,$K323,'Other Sale'!$A:$A,$A323)))))</f>
        <v/>
      </c>
      <c r="G323" s="330" t="str" cm="1">
        <f t="array" ref="G323">IF($A323="","",IF($K323="Payment",IFERROR(INDEX(_xlfn._xlws.FILTER(MasterPaid[Amount Paid],(MasterPaid[Customer]=$B323)*(MasterPaid[Date]=$A323)),COUNTIFS($A$6:$A323,$A323,$B$6:$B323,$B323,$K$6:$K323,"Payment")),0),0))</f>
        <v/>
      </c>
      <c r="H323" s="331"/>
      <c r="I323" s="331"/>
      <c r="J323" s="330" t="str">
        <f t="shared" si="5"/>
        <v/>
      </c>
      <c r="K323" s="289" t="str" cm="1">
        <f t="array" ref="K323">IFERROR(INDEX(_xlfn.ANCHORARRAY($Q$6),ROW()-5,4),"")</f>
        <v/>
      </c>
      <c r="L323" s="290"/>
      <c r="U323">
        <f>IF(OR($A323="",$F323=""),0,MAX(0,MIN($F323,SUMIFS($F$6:$F323,$B$6:$B323,$B323)-(SUMIFS($G$6:$G$355,$B$6:$B$355,$B323)+SUMIFS($H$6:$H$355,$B$6:$B$355,$B323)+SUMIFS($I$6:$I$355,$B$6:$B$355,$B323)))))</f>
        <v>0</v>
      </c>
    </row>
    <row r="324" spans="1:21" ht="23" x14ac:dyDescent="0.25">
      <c r="A324" s="217" t="str" cm="1">
        <f t="array" ref="A324">IFERROR(INDEX(_xlfn.ANCHORARRAY($Q$6),ROW()-5,1),"")</f>
        <v/>
      </c>
      <c r="B324" s="288" t="str" cm="1">
        <f t="array" ref="B324">IFERROR(INDEX(_xlfn.ANCHORARRAY($Q$6),ROW()-5,2),"")</f>
        <v/>
      </c>
      <c r="C324" s="289" t="str" cm="1">
        <f t="array" ref="C324">IFERROR(INDEX(_xlfn.ANCHORARRAY($Q$6),ROW()-5,3),"")</f>
        <v/>
      </c>
      <c r="D324" s="218" t="str">
        <f>IF($A324="","",IF($K324="DIESEL",SUMIFS(Table1[Quantity],Table1[Customer],$B324,Table1[Date],$A324,Table1[Bill No.],$C324),IF($K324="PETROL",SUMIFS(Table14[Quantity],Table14[Customer],$B324,Table14[Date],$A324,Table14[Bill No.],$C324),IF($K324="XtraGreen",SUMIFS(Table146[Quantity],Table146[Company],$B324,Table146[Date],$A324,Table146[Bill No.],$C324),""))))</f>
        <v/>
      </c>
      <c r="E324" s="219" t="str">
        <f>IF($A324="","",IF($K324="DIESEL",AVERAGEIFS(Table1[RSP],Table1[Customer],$B324,Table1[Date],$A324,Table1[Bill No.],$C324),IF($K324="PETROL",AVERAGEIFS(Table14[RSP],Table14[Customer],$B324,Table14[Date],$A324,Table14[Bill No.],$C324),IF($K324="XtraGreen",AVERAGEIFS(Table146[RSP],Table146[Company],$B324,Table146[Date],$A324,Table146[Bill No.],$C324),IFERROR($F324/$D324,"")))))</f>
        <v/>
      </c>
      <c r="F324" s="330" t="str">
        <f>IF($A324="","",IF($K324="DIESEL",SUMIFS(Table1[Amount],Table1[Customer],$B324,Table1[Date],$A324,Table1[Bill No.],$C324),IF($K324="PETROL",SUMIFS(Table14[Amount],Table14[Customer],$B324,Table14[Date],$A324,Table14[Bill No.],$C324),IF($K324="XtraGreen",SUMIFS(Table146[Amount],Table146[Company],$B324,Table146[Date],$A324,Table146[Bill No.],$C324),SUMIFS('Other Sale'!$D:$D,'Other Sale'!$E:$E,$B324,'Other Sale'!$C:$C,$K324,'Other Sale'!$A:$A,$A324)))))</f>
        <v/>
      </c>
      <c r="G324" s="330" t="str" cm="1">
        <f t="array" ref="G324">IF($A324="","",IF($K324="Payment",IFERROR(INDEX(_xlfn._xlws.FILTER(MasterPaid[Amount Paid],(MasterPaid[Customer]=$B324)*(MasterPaid[Date]=$A324)),COUNTIFS($A$6:$A324,$A324,$B$6:$B324,$B324,$K$6:$K324,"Payment")),0),0))</f>
        <v/>
      </c>
      <c r="H324" s="331"/>
      <c r="I324" s="331"/>
      <c r="J324" s="330" t="str">
        <f t="shared" si="5"/>
        <v/>
      </c>
      <c r="K324" s="289" t="str" cm="1">
        <f t="array" ref="K324">IFERROR(INDEX(_xlfn.ANCHORARRAY($Q$6),ROW()-5,4),"")</f>
        <v/>
      </c>
      <c r="L324" s="290"/>
      <c r="U324">
        <f>IF(OR($A324="",$F324=""),0,MAX(0,MIN($F324,SUMIFS($F$6:$F324,$B$6:$B324,$B324)-(SUMIFS($G$6:$G$355,$B$6:$B$355,$B324)+SUMIFS($H$6:$H$355,$B$6:$B$355,$B324)+SUMIFS($I$6:$I$355,$B$6:$B$355,$B324)))))</f>
        <v>0</v>
      </c>
    </row>
    <row r="325" spans="1:21" ht="23" x14ac:dyDescent="0.25">
      <c r="A325" s="217" t="str" cm="1">
        <f t="array" ref="A325">IFERROR(INDEX(_xlfn.ANCHORARRAY($Q$6),ROW()-5,1),"")</f>
        <v/>
      </c>
      <c r="B325" s="288" t="str" cm="1">
        <f t="array" ref="B325">IFERROR(INDEX(_xlfn.ANCHORARRAY($Q$6),ROW()-5,2),"")</f>
        <v/>
      </c>
      <c r="C325" s="289" t="str" cm="1">
        <f t="array" ref="C325">IFERROR(INDEX(_xlfn.ANCHORARRAY($Q$6),ROW()-5,3),"")</f>
        <v/>
      </c>
      <c r="D325" s="218" t="str">
        <f>IF($A325="","",IF($K325="DIESEL",SUMIFS(Table1[Quantity],Table1[Customer],$B325,Table1[Date],$A325,Table1[Bill No.],$C325),IF($K325="PETROL",SUMIFS(Table14[Quantity],Table14[Customer],$B325,Table14[Date],$A325,Table14[Bill No.],$C325),IF($K325="XtraGreen",SUMIFS(Table146[Quantity],Table146[Company],$B325,Table146[Date],$A325,Table146[Bill No.],$C325),""))))</f>
        <v/>
      </c>
      <c r="E325" s="219" t="str">
        <f>IF($A325="","",IF($K325="DIESEL",AVERAGEIFS(Table1[RSP],Table1[Customer],$B325,Table1[Date],$A325,Table1[Bill No.],$C325),IF($K325="PETROL",AVERAGEIFS(Table14[RSP],Table14[Customer],$B325,Table14[Date],$A325,Table14[Bill No.],$C325),IF($K325="XtraGreen",AVERAGEIFS(Table146[RSP],Table146[Company],$B325,Table146[Date],$A325,Table146[Bill No.],$C325),IFERROR($F325/$D325,"")))))</f>
        <v/>
      </c>
      <c r="F325" s="330" t="str">
        <f>IF($A325="","",IF($K325="DIESEL",SUMIFS(Table1[Amount],Table1[Customer],$B325,Table1[Date],$A325,Table1[Bill No.],$C325),IF($K325="PETROL",SUMIFS(Table14[Amount],Table14[Customer],$B325,Table14[Date],$A325,Table14[Bill No.],$C325),IF($K325="XtraGreen",SUMIFS(Table146[Amount],Table146[Company],$B325,Table146[Date],$A325,Table146[Bill No.],$C325),SUMIFS('Other Sale'!$D:$D,'Other Sale'!$E:$E,$B325,'Other Sale'!$C:$C,$K325,'Other Sale'!$A:$A,$A325)))))</f>
        <v/>
      </c>
      <c r="G325" s="330" t="str" cm="1">
        <f t="array" ref="G325">IF($A325="","",IF($K325="Payment",IFERROR(INDEX(_xlfn._xlws.FILTER(MasterPaid[Amount Paid],(MasterPaid[Customer]=$B325)*(MasterPaid[Date]=$A325)),COUNTIFS($A$6:$A325,$A325,$B$6:$B325,$B325,$K$6:$K325,"Payment")),0),0))</f>
        <v/>
      </c>
      <c r="H325" s="331"/>
      <c r="I325" s="331"/>
      <c r="J325" s="330" t="str">
        <f t="shared" si="5"/>
        <v/>
      </c>
      <c r="K325" s="289" t="str" cm="1">
        <f t="array" ref="K325">IFERROR(INDEX(_xlfn.ANCHORARRAY($Q$6),ROW()-5,4),"")</f>
        <v/>
      </c>
      <c r="L325" s="290"/>
      <c r="U325">
        <f>IF(OR($A325="",$F325=""),0,MAX(0,MIN($F325,SUMIFS($F$6:$F325,$B$6:$B325,$B325)-(SUMIFS($G$6:$G$355,$B$6:$B$355,$B325)+SUMIFS($H$6:$H$355,$B$6:$B$355,$B325)+SUMIFS($I$6:$I$355,$B$6:$B$355,$B325)))))</f>
        <v>0</v>
      </c>
    </row>
    <row r="326" spans="1:21" ht="23" x14ac:dyDescent="0.25">
      <c r="A326" s="217" t="str" cm="1">
        <f t="array" ref="A326">IFERROR(INDEX(_xlfn.ANCHORARRAY($Q$6),ROW()-5,1),"")</f>
        <v/>
      </c>
      <c r="B326" s="288" t="str" cm="1">
        <f t="array" ref="B326">IFERROR(INDEX(_xlfn.ANCHORARRAY($Q$6),ROW()-5,2),"")</f>
        <v/>
      </c>
      <c r="C326" s="289" t="str" cm="1">
        <f t="array" ref="C326">IFERROR(INDEX(_xlfn.ANCHORARRAY($Q$6),ROW()-5,3),"")</f>
        <v/>
      </c>
      <c r="D326" s="218" t="str">
        <f>IF($A326="","",IF($K326="DIESEL",SUMIFS(Table1[Quantity],Table1[Customer],$B326,Table1[Date],$A326,Table1[Bill No.],$C326),IF($K326="PETROL",SUMIFS(Table14[Quantity],Table14[Customer],$B326,Table14[Date],$A326,Table14[Bill No.],$C326),IF($K326="XtraGreen",SUMIFS(Table146[Quantity],Table146[Company],$B326,Table146[Date],$A326,Table146[Bill No.],$C326),""))))</f>
        <v/>
      </c>
      <c r="E326" s="219" t="str">
        <f>IF($A326="","",IF($K326="DIESEL",AVERAGEIFS(Table1[RSP],Table1[Customer],$B326,Table1[Date],$A326,Table1[Bill No.],$C326),IF($K326="PETROL",AVERAGEIFS(Table14[RSP],Table14[Customer],$B326,Table14[Date],$A326,Table14[Bill No.],$C326),IF($K326="XtraGreen",AVERAGEIFS(Table146[RSP],Table146[Company],$B326,Table146[Date],$A326,Table146[Bill No.],$C326),IFERROR($F326/$D326,"")))))</f>
        <v/>
      </c>
      <c r="F326" s="330" t="str">
        <f>IF($A326="","",IF($K326="DIESEL",SUMIFS(Table1[Amount],Table1[Customer],$B326,Table1[Date],$A326,Table1[Bill No.],$C326),IF($K326="PETROL",SUMIFS(Table14[Amount],Table14[Customer],$B326,Table14[Date],$A326,Table14[Bill No.],$C326),IF($K326="XtraGreen",SUMIFS(Table146[Amount],Table146[Company],$B326,Table146[Date],$A326,Table146[Bill No.],$C326),SUMIFS('Other Sale'!$D:$D,'Other Sale'!$E:$E,$B326,'Other Sale'!$C:$C,$K326,'Other Sale'!$A:$A,$A326)))))</f>
        <v/>
      </c>
      <c r="G326" s="330" t="str" cm="1">
        <f t="array" ref="G326">IF($A326="","",IF($K326="Payment",IFERROR(INDEX(_xlfn._xlws.FILTER(MasterPaid[Amount Paid],(MasterPaid[Customer]=$B326)*(MasterPaid[Date]=$A326)),COUNTIFS($A$6:$A326,$A326,$B$6:$B326,$B326,$K$6:$K326,"Payment")),0),0))</f>
        <v/>
      </c>
      <c r="H326" s="331"/>
      <c r="I326" s="331"/>
      <c r="J326" s="330" t="str">
        <f t="shared" si="5"/>
        <v/>
      </c>
      <c r="K326" s="289" t="str" cm="1">
        <f t="array" ref="K326">IFERROR(INDEX(_xlfn.ANCHORARRAY($Q$6),ROW()-5,4),"")</f>
        <v/>
      </c>
      <c r="L326" s="290"/>
      <c r="U326">
        <f>IF(OR($A326="",$F326=""),0,MAX(0,MIN($F326,SUMIFS($F$6:$F326,$B$6:$B326,$B326)-(SUMIFS($G$6:$G$355,$B$6:$B$355,$B326)+SUMIFS($H$6:$H$355,$B$6:$B$355,$B326)+SUMIFS($I$6:$I$355,$B$6:$B$355,$B326)))))</f>
        <v>0</v>
      </c>
    </row>
    <row r="327" spans="1:21" ht="23" x14ac:dyDescent="0.25">
      <c r="A327" s="217" t="str" cm="1">
        <f t="array" ref="A327">IFERROR(INDEX(_xlfn.ANCHORARRAY($Q$6),ROW()-5,1),"")</f>
        <v/>
      </c>
      <c r="B327" s="288" t="str" cm="1">
        <f t="array" ref="B327">IFERROR(INDEX(_xlfn.ANCHORARRAY($Q$6),ROW()-5,2),"")</f>
        <v/>
      </c>
      <c r="C327" s="289" t="str" cm="1">
        <f t="array" ref="C327">IFERROR(INDEX(_xlfn.ANCHORARRAY($Q$6),ROW()-5,3),"")</f>
        <v/>
      </c>
      <c r="D327" s="218" t="str">
        <f>IF($A327="","",IF($K327="DIESEL",SUMIFS(Table1[Quantity],Table1[Customer],$B327,Table1[Date],$A327,Table1[Bill No.],$C327),IF($K327="PETROL",SUMIFS(Table14[Quantity],Table14[Customer],$B327,Table14[Date],$A327,Table14[Bill No.],$C327),IF($K327="XtraGreen",SUMIFS(Table146[Quantity],Table146[Company],$B327,Table146[Date],$A327,Table146[Bill No.],$C327),""))))</f>
        <v/>
      </c>
      <c r="E327" s="219" t="str">
        <f>IF($A327="","",IF($K327="DIESEL",AVERAGEIFS(Table1[RSP],Table1[Customer],$B327,Table1[Date],$A327,Table1[Bill No.],$C327),IF($K327="PETROL",AVERAGEIFS(Table14[RSP],Table14[Customer],$B327,Table14[Date],$A327,Table14[Bill No.],$C327),IF($K327="XtraGreen",AVERAGEIFS(Table146[RSP],Table146[Company],$B327,Table146[Date],$A327,Table146[Bill No.],$C327),IFERROR($F327/$D327,"")))))</f>
        <v/>
      </c>
      <c r="F327" s="330" t="str">
        <f>IF($A327="","",IF($K327="DIESEL",SUMIFS(Table1[Amount],Table1[Customer],$B327,Table1[Date],$A327,Table1[Bill No.],$C327),IF($K327="PETROL",SUMIFS(Table14[Amount],Table14[Customer],$B327,Table14[Date],$A327,Table14[Bill No.],$C327),IF($K327="XtraGreen",SUMIFS(Table146[Amount],Table146[Company],$B327,Table146[Date],$A327,Table146[Bill No.],$C327),SUMIFS('Other Sale'!$D:$D,'Other Sale'!$E:$E,$B327,'Other Sale'!$C:$C,$K327,'Other Sale'!$A:$A,$A327)))))</f>
        <v/>
      </c>
      <c r="G327" s="330" t="str" cm="1">
        <f t="array" ref="G327">IF($A327="","",IF($K327="Payment",IFERROR(INDEX(_xlfn._xlws.FILTER(MasterPaid[Amount Paid],(MasterPaid[Customer]=$B327)*(MasterPaid[Date]=$A327)),COUNTIFS($A$6:$A327,$A327,$B$6:$B327,$B327,$K$6:$K327,"Payment")),0),0))</f>
        <v/>
      </c>
      <c r="H327" s="331"/>
      <c r="I327" s="331"/>
      <c r="J327" s="330" t="str">
        <f t="shared" si="5"/>
        <v/>
      </c>
      <c r="K327" s="289" t="str" cm="1">
        <f t="array" ref="K327">IFERROR(INDEX(_xlfn.ANCHORARRAY($Q$6),ROW()-5,4),"")</f>
        <v/>
      </c>
      <c r="L327" s="290"/>
      <c r="U327">
        <f>IF(OR($A327="",$F327=""),0,MAX(0,MIN($F327,SUMIFS($F$6:$F327,$B$6:$B327,$B327)-(SUMIFS($G$6:$G$355,$B$6:$B$355,$B327)+SUMIFS($H$6:$H$355,$B$6:$B$355,$B327)+SUMIFS($I$6:$I$355,$B$6:$B$355,$B327)))))</f>
        <v>0</v>
      </c>
    </row>
    <row r="328" spans="1:21" ht="23" x14ac:dyDescent="0.25">
      <c r="A328" s="217" t="str" cm="1">
        <f t="array" ref="A328">IFERROR(INDEX(_xlfn.ANCHORARRAY($Q$6),ROW()-5,1),"")</f>
        <v/>
      </c>
      <c r="B328" s="288" t="str" cm="1">
        <f t="array" ref="B328">IFERROR(INDEX(_xlfn.ANCHORARRAY($Q$6),ROW()-5,2),"")</f>
        <v/>
      </c>
      <c r="C328" s="289" t="str" cm="1">
        <f t="array" ref="C328">IFERROR(INDEX(_xlfn.ANCHORARRAY($Q$6),ROW()-5,3),"")</f>
        <v/>
      </c>
      <c r="D328" s="218" t="str">
        <f>IF($A328="","",IF($K328="DIESEL",SUMIFS(Table1[Quantity],Table1[Customer],$B328,Table1[Date],$A328,Table1[Bill No.],$C328),IF($K328="PETROL",SUMIFS(Table14[Quantity],Table14[Customer],$B328,Table14[Date],$A328,Table14[Bill No.],$C328),IF($K328="XtraGreen",SUMIFS(Table146[Quantity],Table146[Company],$B328,Table146[Date],$A328,Table146[Bill No.],$C328),""))))</f>
        <v/>
      </c>
      <c r="E328" s="219" t="str">
        <f>IF($A328="","",IF($K328="DIESEL",AVERAGEIFS(Table1[RSP],Table1[Customer],$B328,Table1[Date],$A328,Table1[Bill No.],$C328),IF($K328="PETROL",AVERAGEIFS(Table14[RSP],Table14[Customer],$B328,Table14[Date],$A328,Table14[Bill No.],$C328),IF($K328="XtraGreen",AVERAGEIFS(Table146[RSP],Table146[Company],$B328,Table146[Date],$A328,Table146[Bill No.],$C328),IFERROR($F328/$D328,"")))))</f>
        <v/>
      </c>
      <c r="F328" s="330" t="str">
        <f>IF($A328="","",IF($K328="DIESEL",SUMIFS(Table1[Amount],Table1[Customer],$B328,Table1[Date],$A328,Table1[Bill No.],$C328),IF($K328="PETROL",SUMIFS(Table14[Amount],Table14[Customer],$B328,Table14[Date],$A328,Table14[Bill No.],$C328),IF($K328="XtraGreen",SUMIFS(Table146[Amount],Table146[Company],$B328,Table146[Date],$A328,Table146[Bill No.],$C328),SUMIFS('Other Sale'!$D:$D,'Other Sale'!$E:$E,$B328,'Other Sale'!$C:$C,$K328,'Other Sale'!$A:$A,$A328)))))</f>
        <v/>
      </c>
      <c r="G328" s="330" t="str" cm="1">
        <f t="array" ref="G328">IF($A328="","",IF($K328="Payment",IFERROR(INDEX(_xlfn._xlws.FILTER(MasterPaid[Amount Paid],(MasterPaid[Customer]=$B328)*(MasterPaid[Date]=$A328)),COUNTIFS($A$6:$A328,$A328,$B$6:$B328,$B328,$K$6:$K328,"Payment")),0),0))</f>
        <v/>
      </c>
      <c r="H328" s="331"/>
      <c r="I328" s="331"/>
      <c r="J328" s="330" t="str">
        <f t="shared" si="5"/>
        <v/>
      </c>
      <c r="K328" s="289" t="str" cm="1">
        <f t="array" ref="K328">IFERROR(INDEX(_xlfn.ANCHORARRAY($Q$6),ROW()-5,4),"")</f>
        <v/>
      </c>
      <c r="L328" s="290"/>
      <c r="U328">
        <f>IF(OR($A328="",$F328=""),0,MAX(0,MIN($F328,SUMIFS($F$6:$F328,$B$6:$B328,$B328)-(SUMIFS($G$6:$G$355,$B$6:$B$355,$B328)+SUMIFS($H$6:$H$355,$B$6:$B$355,$B328)+SUMIFS($I$6:$I$355,$B$6:$B$355,$B328)))))</f>
        <v>0</v>
      </c>
    </row>
    <row r="329" spans="1:21" ht="23" x14ac:dyDescent="0.25">
      <c r="A329" s="217" t="str" cm="1">
        <f t="array" ref="A329">IFERROR(INDEX(_xlfn.ANCHORARRAY($Q$6),ROW()-5,1),"")</f>
        <v/>
      </c>
      <c r="B329" s="288" t="str" cm="1">
        <f t="array" ref="B329">IFERROR(INDEX(_xlfn.ANCHORARRAY($Q$6),ROW()-5,2),"")</f>
        <v/>
      </c>
      <c r="C329" s="289" t="str" cm="1">
        <f t="array" ref="C329">IFERROR(INDEX(_xlfn.ANCHORARRAY($Q$6),ROW()-5,3),"")</f>
        <v/>
      </c>
      <c r="D329" s="218" t="str">
        <f>IF($A329="","",IF($K329="DIESEL",SUMIFS(Table1[Quantity],Table1[Customer],$B329,Table1[Date],$A329,Table1[Bill No.],$C329),IF($K329="PETROL",SUMIFS(Table14[Quantity],Table14[Customer],$B329,Table14[Date],$A329,Table14[Bill No.],$C329),IF($K329="XtraGreen",SUMIFS(Table146[Quantity],Table146[Company],$B329,Table146[Date],$A329,Table146[Bill No.],$C329),""))))</f>
        <v/>
      </c>
      <c r="E329" s="219" t="str">
        <f>IF($A329="","",IF($K329="DIESEL",AVERAGEIFS(Table1[RSP],Table1[Customer],$B329,Table1[Date],$A329,Table1[Bill No.],$C329),IF($K329="PETROL",AVERAGEIFS(Table14[RSP],Table14[Customer],$B329,Table14[Date],$A329,Table14[Bill No.],$C329),IF($K329="XtraGreen",AVERAGEIFS(Table146[RSP],Table146[Company],$B329,Table146[Date],$A329,Table146[Bill No.],$C329),IFERROR($F329/$D329,"")))))</f>
        <v/>
      </c>
      <c r="F329" s="330" t="str">
        <f>IF($A329="","",IF($K329="DIESEL",SUMIFS(Table1[Amount],Table1[Customer],$B329,Table1[Date],$A329,Table1[Bill No.],$C329),IF($K329="PETROL",SUMIFS(Table14[Amount],Table14[Customer],$B329,Table14[Date],$A329,Table14[Bill No.],$C329),IF($K329="XtraGreen",SUMIFS(Table146[Amount],Table146[Company],$B329,Table146[Date],$A329,Table146[Bill No.],$C329),SUMIFS('Other Sale'!$D:$D,'Other Sale'!$E:$E,$B329,'Other Sale'!$C:$C,$K329,'Other Sale'!$A:$A,$A329)))))</f>
        <v/>
      </c>
      <c r="G329" s="330" t="str" cm="1">
        <f t="array" ref="G329">IF($A329="","",IF($K329="Payment",IFERROR(INDEX(_xlfn._xlws.FILTER(MasterPaid[Amount Paid],(MasterPaid[Customer]=$B329)*(MasterPaid[Date]=$A329)),COUNTIFS($A$6:$A329,$A329,$B$6:$B329,$B329,$K$6:$K329,"Payment")),0),0))</f>
        <v/>
      </c>
      <c r="H329" s="331"/>
      <c r="I329" s="331"/>
      <c r="J329" s="330" t="str">
        <f t="shared" si="5"/>
        <v/>
      </c>
      <c r="K329" s="289" t="str" cm="1">
        <f t="array" ref="K329">IFERROR(INDEX(_xlfn.ANCHORARRAY($Q$6),ROW()-5,4),"")</f>
        <v/>
      </c>
      <c r="L329" s="290"/>
      <c r="U329">
        <f>IF(OR($A329="",$F329=""),0,MAX(0,MIN($F329,SUMIFS($F$6:$F329,$B$6:$B329,$B329)-(SUMIFS($G$6:$G$355,$B$6:$B$355,$B329)+SUMIFS($H$6:$H$355,$B$6:$B$355,$B329)+SUMIFS($I$6:$I$355,$B$6:$B$355,$B329)))))</f>
        <v>0</v>
      </c>
    </row>
    <row r="330" spans="1:21" ht="23" x14ac:dyDescent="0.25">
      <c r="A330" s="217" t="str" cm="1">
        <f t="array" ref="A330">IFERROR(INDEX(_xlfn.ANCHORARRAY($Q$6),ROW()-5,1),"")</f>
        <v/>
      </c>
      <c r="B330" s="288" t="str" cm="1">
        <f t="array" ref="B330">IFERROR(INDEX(_xlfn.ANCHORARRAY($Q$6),ROW()-5,2),"")</f>
        <v/>
      </c>
      <c r="C330" s="289" t="str" cm="1">
        <f t="array" ref="C330">IFERROR(INDEX(_xlfn.ANCHORARRAY($Q$6),ROW()-5,3),"")</f>
        <v/>
      </c>
      <c r="D330" s="218" t="str">
        <f>IF($A330="","",IF($K330="DIESEL",SUMIFS(Table1[Quantity],Table1[Customer],$B330,Table1[Date],$A330,Table1[Bill No.],$C330),IF($K330="PETROL",SUMIFS(Table14[Quantity],Table14[Customer],$B330,Table14[Date],$A330,Table14[Bill No.],$C330),IF($K330="XtraGreen",SUMIFS(Table146[Quantity],Table146[Company],$B330,Table146[Date],$A330,Table146[Bill No.],$C330),""))))</f>
        <v/>
      </c>
      <c r="E330" s="219" t="str">
        <f>IF($A330="","",IF($K330="DIESEL",AVERAGEIFS(Table1[RSP],Table1[Customer],$B330,Table1[Date],$A330,Table1[Bill No.],$C330),IF($K330="PETROL",AVERAGEIFS(Table14[RSP],Table14[Customer],$B330,Table14[Date],$A330,Table14[Bill No.],$C330),IF($K330="XtraGreen",AVERAGEIFS(Table146[RSP],Table146[Company],$B330,Table146[Date],$A330,Table146[Bill No.],$C330),IFERROR($F330/$D330,"")))))</f>
        <v/>
      </c>
      <c r="F330" s="330" t="str">
        <f>IF($A330="","",IF($K330="DIESEL",SUMIFS(Table1[Amount],Table1[Customer],$B330,Table1[Date],$A330,Table1[Bill No.],$C330),IF($K330="PETROL",SUMIFS(Table14[Amount],Table14[Customer],$B330,Table14[Date],$A330,Table14[Bill No.],$C330),IF($K330="XtraGreen",SUMIFS(Table146[Amount],Table146[Company],$B330,Table146[Date],$A330,Table146[Bill No.],$C330),SUMIFS('Other Sale'!$D:$D,'Other Sale'!$E:$E,$B330,'Other Sale'!$C:$C,$K330,'Other Sale'!$A:$A,$A330)))))</f>
        <v/>
      </c>
      <c r="G330" s="330" t="str" cm="1">
        <f t="array" ref="G330">IF($A330="","",IF($K330="Payment",IFERROR(INDEX(_xlfn._xlws.FILTER(MasterPaid[Amount Paid],(MasterPaid[Customer]=$B330)*(MasterPaid[Date]=$A330)),COUNTIFS($A$6:$A330,$A330,$B$6:$B330,$B330,$K$6:$K330,"Payment")),0),0))</f>
        <v/>
      </c>
      <c r="H330" s="331"/>
      <c r="I330" s="331"/>
      <c r="J330" s="330" t="str">
        <f t="shared" si="5"/>
        <v/>
      </c>
      <c r="K330" s="289" t="str" cm="1">
        <f t="array" ref="K330">IFERROR(INDEX(_xlfn.ANCHORARRAY($Q$6),ROW()-5,4),"")</f>
        <v/>
      </c>
      <c r="L330" s="290"/>
      <c r="U330">
        <f>IF(OR($A330="",$F330=""),0,MAX(0,MIN($F330,SUMIFS($F$6:$F330,$B$6:$B330,$B330)-(SUMIFS($G$6:$G$355,$B$6:$B$355,$B330)+SUMIFS($H$6:$H$355,$B$6:$B$355,$B330)+SUMIFS($I$6:$I$355,$B$6:$B$355,$B330)))))</f>
        <v>0</v>
      </c>
    </row>
    <row r="331" spans="1:21" ht="23" x14ac:dyDescent="0.25">
      <c r="A331" s="217" t="str" cm="1">
        <f t="array" ref="A331">IFERROR(INDEX(_xlfn.ANCHORARRAY($Q$6),ROW()-5,1),"")</f>
        <v/>
      </c>
      <c r="B331" s="288" t="str" cm="1">
        <f t="array" ref="B331">IFERROR(INDEX(_xlfn.ANCHORARRAY($Q$6),ROW()-5,2),"")</f>
        <v/>
      </c>
      <c r="C331" s="289" t="str" cm="1">
        <f t="array" ref="C331">IFERROR(INDEX(_xlfn.ANCHORARRAY($Q$6),ROW()-5,3),"")</f>
        <v/>
      </c>
      <c r="D331" s="218" t="str">
        <f>IF($A331="","",IF($K331="DIESEL",SUMIFS(Table1[Quantity],Table1[Customer],$B331,Table1[Date],$A331,Table1[Bill No.],$C331),IF($K331="PETROL",SUMIFS(Table14[Quantity],Table14[Customer],$B331,Table14[Date],$A331,Table14[Bill No.],$C331),IF($K331="XtraGreen",SUMIFS(Table146[Quantity],Table146[Company],$B331,Table146[Date],$A331,Table146[Bill No.],$C331),""))))</f>
        <v/>
      </c>
      <c r="E331" s="219" t="str">
        <f>IF($A331="","",IF($K331="DIESEL",AVERAGEIFS(Table1[RSP],Table1[Customer],$B331,Table1[Date],$A331,Table1[Bill No.],$C331),IF($K331="PETROL",AVERAGEIFS(Table14[RSP],Table14[Customer],$B331,Table14[Date],$A331,Table14[Bill No.],$C331),IF($K331="XtraGreen",AVERAGEIFS(Table146[RSP],Table146[Company],$B331,Table146[Date],$A331,Table146[Bill No.],$C331),IFERROR($F331/$D331,"")))))</f>
        <v/>
      </c>
      <c r="F331" s="330" t="str">
        <f>IF($A331="","",IF($K331="DIESEL",SUMIFS(Table1[Amount],Table1[Customer],$B331,Table1[Date],$A331,Table1[Bill No.],$C331),IF($K331="PETROL",SUMIFS(Table14[Amount],Table14[Customer],$B331,Table14[Date],$A331,Table14[Bill No.],$C331),IF($K331="XtraGreen",SUMIFS(Table146[Amount],Table146[Company],$B331,Table146[Date],$A331,Table146[Bill No.],$C331),SUMIFS('Other Sale'!$D:$D,'Other Sale'!$E:$E,$B331,'Other Sale'!$C:$C,$K331,'Other Sale'!$A:$A,$A331)))))</f>
        <v/>
      </c>
      <c r="G331" s="330" t="str" cm="1">
        <f t="array" ref="G331">IF($A331="","",IF($K331="Payment",IFERROR(INDEX(_xlfn._xlws.FILTER(MasterPaid[Amount Paid],(MasterPaid[Customer]=$B331)*(MasterPaid[Date]=$A331)),COUNTIFS($A$6:$A331,$A331,$B$6:$B331,$B331,$K$6:$K331,"Payment")),0),0))</f>
        <v/>
      </c>
      <c r="H331" s="331"/>
      <c r="I331" s="331"/>
      <c r="J331" s="330" t="str">
        <f t="shared" si="5"/>
        <v/>
      </c>
      <c r="K331" s="289" t="str" cm="1">
        <f t="array" ref="K331">IFERROR(INDEX(_xlfn.ANCHORARRAY($Q$6),ROW()-5,4),"")</f>
        <v/>
      </c>
      <c r="L331" s="290"/>
      <c r="U331">
        <f>IF(OR($A331="",$F331=""),0,MAX(0,MIN($F331,SUMIFS($F$6:$F331,$B$6:$B331,$B331)-(SUMIFS($G$6:$G$355,$B$6:$B$355,$B331)+SUMIFS($H$6:$H$355,$B$6:$B$355,$B331)+SUMIFS($I$6:$I$355,$B$6:$B$355,$B331)))))</f>
        <v>0</v>
      </c>
    </row>
    <row r="332" spans="1:21" ht="23" x14ac:dyDescent="0.25">
      <c r="A332" s="217" t="str" cm="1">
        <f t="array" ref="A332">IFERROR(INDEX(_xlfn.ANCHORARRAY($Q$6),ROW()-5,1),"")</f>
        <v/>
      </c>
      <c r="B332" s="288" t="str" cm="1">
        <f t="array" ref="B332">IFERROR(INDEX(_xlfn.ANCHORARRAY($Q$6),ROW()-5,2),"")</f>
        <v/>
      </c>
      <c r="C332" s="289" t="str" cm="1">
        <f t="array" ref="C332">IFERROR(INDEX(_xlfn.ANCHORARRAY($Q$6),ROW()-5,3),"")</f>
        <v/>
      </c>
      <c r="D332" s="218" t="str">
        <f>IF($A332="","",IF($K332="DIESEL",SUMIFS(Table1[Quantity],Table1[Customer],$B332,Table1[Date],$A332,Table1[Bill No.],$C332),IF($K332="PETROL",SUMIFS(Table14[Quantity],Table14[Customer],$B332,Table14[Date],$A332,Table14[Bill No.],$C332),IF($K332="XtraGreen",SUMIFS(Table146[Quantity],Table146[Company],$B332,Table146[Date],$A332,Table146[Bill No.],$C332),""))))</f>
        <v/>
      </c>
      <c r="E332" s="219" t="str">
        <f>IF($A332="","",IF($K332="DIESEL",AVERAGEIFS(Table1[RSP],Table1[Customer],$B332,Table1[Date],$A332,Table1[Bill No.],$C332),IF($K332="PETROL",AVERAGEIFS(Table14[RSP],Table14[Customer],$B332,Table14[Date],$A332,Table14[Bill No.],$C332),IF($K332="XtraGreen",AVERAGEIFS(Table146[RSP],Table146[Company],$B332,Table146[Date],$A332,Table146[Bill No.],$C332),IFERROR($F332/$D332,"")))))</f>
        <v/>
      </c>
      <c r="F332" s="330" t="str">
        <f>IF($A332="","",IF($K332="DIESEL",SUMIFS(Table1[Amount],Table1[Customer],$B332,Table1[Date],$A332,Table1[Bill No.],$C332),IF($K332="PETROL",SUMIFS(Table14[Amount],Table14[Customer],$B332,Table14[Date],$A332,Table14[Bill No.],$C332),IF($K332="XtraGreen",SUMIFS(Table146[Amount],Table146[Company],$B332,Table146[Date],$A332,Table146[Bill No.],$C332),SUMIFS('Other Sale'!$D:$D,'Other Sale'!$E:$E,$B332,'Other Sale'!$C:$C,$K332,'Other Sale'!$A:$A,$A332)))))</f>
        <v/>
      </c>
      <c r="G332" s="330" t="str" cm="1">
        <f t="array" ref="G332">IF($A332="","",IF($K332="Payment",IFERROR(INDEX(_xlfn._xlws.FILTER(MasterPaid[Amount Paid],(MasterPaid[Customer]=$B332)*(MasterPaid[Date]=$A332)),COUNTIFS($A$6:$A332,$A332,$B$6:$B332,$B332,$K$6:$K332,"Payment")),0),0))</f>
        <v/>
      </c>
      <c r="H332" s="331"/>
      <c r="I332" s="331"/>
      <c r="J332" s="330" t="str">
        <f t="shared" si="5"/>
        <v/>
      </c>
      <c r="K332" s="289" t="str" cm="1">
        <f t="array" ref="K332">IFERROR(INDEX(_xlfn.ANCHORARRAY($Q$6),ROW()-5,4),"")</f>
        <v/>
      </c>
      <c r="L332" s="290"/>
      <c r="U332">
        <f>IF(OR($A332="",$F332=""),0,MAX(0,MIN($F332,SUMIFS($F$6:$F332,$B$6:$B332,$B332)-(SUMIFS($G$6:$G$355,$B$6:$B$355,$B332)+SUMIFS($H$6:$H$355,$B$6:$B$355,$B332)+SUMIFS($I$6:$I$355,$B$6:$B$355,$B332)))))</f>
        <v>0</v>
      </c>
    </row>
    <row r="333" spans="1:21" ht="23" x14ac:dyDescent="0.25">
      <c r="A333" s="217" t="str" cm="1">
        <f t="array" ref="A333">IFERROR(INDEX(_xlfn.ANCHORARRAY($Q$6),ROW()-5,1),"")</f>
        <v/>
      </c>
      <c r="B333" s="288" t="str" cm="1">
        <f t="array" ref="B333">IFERROR(INDEX(_xlfn.ANCHORARRAY($Q$6),ROW()-5,2),"")</f>
        <v/>
      </c>
      <c r="C333" s="289" t="str" cm="1">
        <f t="array" ref="C333">IFERROR(INDEX(_xlfn.ANCHORARRAY($Q$6),ROW()-5,3),"")</f>
        <v/>
      </c>
      <c r="D333" s="218" t="str">
        <f>IF($A333="","",IF($K333="DIESEL",SUMIFS(Table1[Quantity],Table1[Customer],$B333,Table1[Date],$A333,Table1[Bill No.],$C333),IF($K333="PETROL",SUMIFS(Table14[Quantity],Table14[Customer],$B333,Table14[Date],$A333,Table14[Bill No.],$C333),IF($K333="XtraGreen",SUMIFS(Table146[Quantity],Table146[Company],$B333,Table146[Date],$A333,Table146[Bill No.],$C333),""))))</f>
        <v/>
      </c>
      <c r="E333" s="219" t="str">
        <f>IF($A333="","",IF($K333="DIESEL",AVERAGEIFS(Table1[RSP],Table1[Customer],$B333,Table1[Date],$A333,Table1[Bill No.],$C333),IF($K333="PETROL",AVERAGEIFS(Table14[RSP],Table14[Customer],$B333,Table14[Date],$A333,Table14[Bill No.],$C333),IF($K333="XtraGreen",AVERAGEIFS(Table146[RSP],Table146[Company],$B333,Table146[Date],$A333,Table146[Bill No.],$C333),IFERROR($F333/$D333,"")))))</f>
        <v/>
      </c>
      <c r="F333" s="330" t="str">
        <f>IF($A333="","",IF($K333="DIESEL",SUMIFS(Table1[Amount],Table1[Customer],$B333,Table1[Date],$A333,Table1[Bill No.],$C333),IF($K333="PETROL",SUMIFS(Table14[Amount],Table14[Customer],$B333,Table14[Date],$A333,Table14[Bill No.],$C333),IF($K333="XtraGreen",SUMIFS(Table146[Amount],Table146[Company],$B333,Table146[Date],$A333,Table146[Bill No.],$C333),SUMIFS('Other Sale'!$D:$D,'Other Sale'!$E:$E,$B333,'Other Sale'!$C:$C,$K333,'Other Sale'!$A:$A,$A333)))))</f>
        <v/>
      </c>
      <c r="G333" s="330" t="str" cm="1">
        <f t="array" ref="G333">IF($A333="","",IF($K333="Payment",IFERROR(INDEX(_xlfn._xlws.FILTER(MasterPaid[Amount Paid],(MasterPaid[Customer]=$B333)*(MasterPaid[Date]=$A333)),COUNTIFS($A$6:$A333,$A333,$B$6:$B333,$B333,$K$6:$K333,"Payment")),0),0))</f>
        <v/>
      </c>
      <c r="H333" s="331"/>
      <c r="I333" s="331"/>
      <c r="J333" s="330" t="str">
        <f t="shared" si="5"/>
        <v/>
      </c>
      <c r="K333" s="289" t="str" cm="1">
        <f t="array" ref="K333">IFERROR(INDEX(_xlfn.ANCHORARRAY($Q$6),ROW()-5,4),"")</f>
        <v/>
      </c>
      <c r="L333" s="290"/>
      <c r="U333">
        <f>IF(OR($A333="",$F333=""),0,MAX(0,MIN($F333,SUMIFS($F$6:$F333,$B$6:$B333,$B333)-(SUMIFS($G$6:$G$355,$B$6:$B$355,$B333)+SUMIFS($H$6:$H$355,$B$6:$B$355,$B333)+SUMIFS($I$6:$I$355,$B$6:$B$355,$B333)))))</f>
        <v>0</v>
      </c>
    </row>
    <row r="334" spans="1:21" ht="23" x14ac:dyDescent="0.25">
      <c r="A334" s="217" t="str" cm="1">
        <f t="array" ref="A334">IFERROR(INDEX(_xlfn.ANCHORARRAY($Q$6),ROW()-5,1),"")</f>
        <v/>
      </c>
      <c r="B334" s="288" t="str" cm="1">
        <f t="array" ref="B334">IFERROR(INDEX(_xlfn.ANCHORARRAY($Q$6),ROW()-5,2),"")</f>
        <v/>
      </c>
      <c r="C334" s="289" t="str" cm="1">
        <f t="array" ref="C334">IFERROR(INDEX(_xlfn.ANCHORARRAY($Q$6),ROW()-5,3),"")</f>
        <v/>
      </c>
      <c r="D334" s="218" t="str">
        <f>IF($A334="","",IF($K334="DIESEL",SUMIFS(Table1[Quantity],Table1[Customer],$B334,Table1[Date],$A334,Table1[Bill No.],$C334),IF($K334="PETROL",SUMIFS(Table14[Quantity],Table14[Customer],$B334,Table14[Date],$A334,Table14[Bill No.],$C334),IF($K334="XtraGreen",SUMIFS(Table146[Quantity],Table146[Company],$B334,Table146[Date],$A334,Table146[Bill No.],$C334),""))))</f>
        <v/>
      </c>
      <c r="E334" s="219" t="str">
        <f>IF($A334="","",IF($K334="DIESEL",AVERAGEIFS(Table1[RSP],Table1[Customer],$B334,Table1[Date],$A334,Table1[Bill No.],$C334),IF($K334="PETROL",AVERAGEIFS(Table14[RSP],Table14[Customer],$B334,Table14[Date],$A334,Table14[Bill No.],$C334),IF($K334="XtraGreen",AVERAGEIFS(Table146[RSP],Table146[Company],$B334,Table146[Date],$A334,Table146[Bill No.],$C334),IFERROR($F334/$D334,"")))))</f>
        <v/>
      </c>
      <c r="F334" s="330" t="str">
        <f>IF($A334="","",IF($K334="DIESEL",SUMIFS(Table1[Amount],Table1[Customer],$B334,Table1[Date],$A334,Table1[Bill No.],$C334),IF($K334="PETROL",SUMIFS(Table14[Amount],Table14[Customer],$B334,Table14[Date],$A334,Table14[Bill No.],$C334),IF($K334="XtraGreen",SUMIFS(Table146[Amount],Table146[Company],$B334,Table146[Date],$A334,Table146[Bill No.],$C334),SUMIFS('Other Sale'!$D:$D,'Other Sale'!$E:$E,$B334,'Other Sale'!$C:$C,$K334,'Other Sale'!$A:$A,$A334)))))</f>
        <v/>
      </c>
      <c r="G334" s="330" t="str" cm="1">
        <f t="array" ref="G334">IF($A334="","",IF($K334="Payment",IFERROR(INDEX(_xlfn._xlws.FILTER(MasterPaid[Amount Paid],(MasterPaid[Customer]=$B334)*(MasterPaid[Date]=$A334)),COUNTIFS($A$6:$A334,$A334,$B$6:$B334,$B334,$K$6:$K334,"Payment")),0),0))</f>
        <v/>
      </c>
      <c r="H334" s="331"/>
      <c r="I334" s="331"/>
      <c r="J334" s="330" t="str">
        <f t="shared" si="5"/>
        <v/>
      </c>
      <c r="K334" s="289" t="str" cm="1">
        <f t="array" ref="K334">IFERROR(INDEX(_xlfn.ANCHORARRAY($Q$6),ROW()-5,4),"")</f>
        <v/>
      </c>
      <c r="L334" s="290"/>
      <c r="U334">
        <f>IF(OR($A334="",$F334=""),0,MAX(0,MIN($F334,SUMIFS($F$6:$F334,$B$6:$B334,$B334)-(SUMIFS($G$6:$G$355,$B$6:$B$355,$B334)+SUMIFS($H$6:$H$355,$B$6:$B$355,$B334)+SUMIFS($I$6:$I$355,$B$6:$B$355,$B334)))))</f>
        <v>0</v>
      </c>
    </row>
    <row r="335" spans="1:21" ht="23" x14ac:dyDescent="0.25">
      <c r="A335" s="217" t="str" cm="1">
        <f t="array" ref="A335">IFERROR(INDEX(_xlfn.ANCHORARRAY($Q$6),ROW()-5,1),"")</f>
        <v/>
      </c>
      <c r="B335" s="288" t="str" cm="1">
        <f t="array" ref="B335">IFERROR(INDEX(_xlfn.ANCHORARRAY($Q$6),ROW()-5,2),"")</f>
        <v/>
      </c>
      <c r="C335" s="289" t="str" cm="1">
        <f t="array" ref="C335">IFERROR(INDEX(_xlfn.ANCHORARRAY($Q$6),ROW()-5,3),"")</f>
        <v/>
      </c>
      <c r="D335" s="218" t="str">
        <f>IF($A335="","",IF($K335="DIESEL",SUMIFS(Table1[Quantity],Table1[Customer],$B335,Table1[Date],$A335,Table1[Bill No.],$C335),IF($K335="PETROL",SUMIFS(Table14[Quantity],Table14[Customer],$B335,Table14[Date],$A335,Table14[Bill No.],$C335),IF($K335="XtraGreen",SUMIFS(Table146[Quantity],Table146[Company],$B335,Table146[Date],$A335,Table146[Bill No.],$C335),""))))</f>
        <v/>
      </c>
      <c r="E335" s="219" t="str">
        <f>IF($A335="","",IF($K335="DIESEL",AVERAGEIFS(Table1[RSP],Table1[Customer],$B335,Table1[Date],$A335,Table1[Bill No.],$C335),IF($K335="PETROL",AVERAGEIFS(Table14[RSP],Table14[Customer],$B335,Table14[Date],$A335,Table14[Bill No.],$C335),IF($K335="XtraGreen",AVERAGEIFS(Table146[RSP],Table146[Company],$B335,Table146[Date],$A335,Table146[Bill No.],$C335),IFERROR($F335/$D335,"")))))</f>
        <v/>
      </c>
      <c r="F335" s="330" t="str">
        <f>IF($A335="","",IF($K335="DIESEL",SUMIFS(Table1[Amount],Table1[Customer],$B335,Table1[Date],$A335,Table1[Bill No.],$C335),IF($K335="PETROL",SUMIFS(Table14[Amount],Table14[Customer],$B335,Table14[Date],$A335,Table14[Bill No.],$C335),IF($K335="XtraGreen",SUMIFS(Table146[Amount],Table146[Company],$B335,Table146[Date],$A335,Table146[Bill No.],$C335),SUMIFS('Other Sale'!$D:$D,'Other Sale'!$E:$E,$B335,'Other Sale'!$C:$C,$K335,'Other Sale'!$A:$A,$A335)))))</f>
        <v/>
      </c>
      <c r="G335" s="330" t="str" cm="1">
        <f t="array" ref="G335">IF($A335="","",IF($K335="Payment",IFERROR(INDEX(_xlfn._xlws.FILTER(MasterPaid[Amount Paid],(MasterPaid[Customer]=$B335)*(MasterPaid[Date]=$A335)),COUNTIFS($A$6:$A335,$A335,$B$6:$B335,$B335,$K$6:$K335,"Payment")),0),0))</f>
        <v/>
      </c>
      <c r="H335" s="331"/>
      <c r="I335" s="331"/>
      <c r="J335" s="330" t="str">
        <f t="shared" si="5"/>
        <v/>
      </c>
      <c r="K335" s="289" t="str" cm="1">
        <f t="array" ref="K335">IFERROR(INDEX(_xlfn.ANCHORARRAY($Q$6),ROW()-5,4),"")</f>
        <v/>
      </c>
      <c r="L335" s="290"/>
      <c r="U335">
        <f>IF(OR($A335="",$F335=""),0,MAX(0,MIN($F335,SUMIFS($F$6:$F335,$B$6:$B335,$B335)-(SUMIFS($G$6:$G$355,$B$6:$B$355,$B335)+SUMIFS($H$6:$H$355,$B$6:$B$355,$B335)+SUMIFS($I$6:$I$355,$B$6:$B$355,$B335)))))</f>
        <v>0</v>
      </c>
    </row>
    <row r="336" spans="1:21" ht="23" x14ac:dyDescent="0.25">
      <c r="A336" s="217" t="str" cm="1">
        <f t="array" ref="A336">IFERROR(INDEX(_xlfn.ANCHORARRAY($Q$6),ROW()-5,1),"")</f>
        <v/>
      </c>
      <c r="B336" s="288" t="str" cm="1">
        <f t="array" ref="B336">IFERROR(INDEX(_xlfn.ANCHORARRAY($Q$6),ROW()-5,2),"")</f>
        <v/>
      </c>
      <c r="C336" s="289" t="str" cm="1">
        <f t="array" ref="C336">IFERROR(INDEX(_xlfn.ANCHORARRAY($Q$6),ROW()-5,3),"")</f>
        <v/>
      </c>
      <c r="D336" s="218" t="str">
        <f>IF($A336="","",IF($K336="DIESEL",SUMIFS(Table1[Quantity],Table1[Customer],$B336,Table1[Date],$A336,Table1[Bill No.],$C336),IF($K336="PETROL",SUMIFS(Table14[Quantity],Table14[Customer],$B336,Table14[Date],$A336,Table14[Bill No.],$C336),IF($K336="XtraGreen",SUMIFS(Table146[Quantity],Table146[Company],$B336,Table146[Date],$A336,Table146[Bill No.],$C336),""))))</f>
        <v/>
      </c>
      <c r="E336" s="219" t="str">
        <f>IF($A336="","",IF($K336="DIESEL",AVERAGEIFS(Table1[RSP],Table1[Customer],$B336,Table1[Date],$A336,Table1[Bill No.],$C336),IF($K336="PETROL",AVERAGEIFS(Table14[RSP],Table14[Customer],$B336,Table14[Date],$A336,Table14[Bill No.],$C336),IF($K336="XtraGreen",AVERAGEIFS(Table146[RSP],Table146[Company],$B336,Table146[Date],$A336,Table146[Bill No.],$C336),IFERROR($F336/$D336,"")))))</f>
        <v/>
      </c>
      <c r="F336" s="330" t="str">
        <f>IF($A336="","",IF($K336="DIESEL",SUMIFS(Table1[Amount],Table1[Customer],$B336,Table1[Date],$A336,Table1[Bill No.],$C336),IF($K336="PETROL",SUMIFS(Table14[Amount],Table14[Customer],$B336,Table14[Date],$A336,Table14[Bill No.],$C336),IF($K336="XtraGreen",SUMIFS(Table146[Amount],Table146[Company],$B336,Table146[Date],$A336,Table146[Bill No.],$C336),SUMIFS('Other Sale'!$D:$D,'Other Sale'!$E:$E,$B336,'Other Sale'!$C:$C,$K336,'Other Sale'!$A:$A,$A336)))))</f>
        <v/>
      </c>
      <c r="G336" s="330" t="str" cm="1">
        <f t="array" ref="G336">IF($A336="","",IF($K336="Payment",IFERROR(INDEX(_xlfn._xlws.FILTER(MasterPaid[Amount Paid],(MasterPaid[Customer]=$B336)*(MasterPaid[Date]=$A336)),COUNTIFS($A$6:$A336,$A336,$B$6:$B336,$B336,$K$6:$K336,"Payment")),0),0))</f>
        <v/>
      </c>
      <c r="H336" s="331"/>
      <c r="I336" s="331"/>
      <c r="J336" s="330" t="str">
        <f t="shared" si="5"/>
        <v/>
      </c>
      <c r="K336" s="289" t="str" cm="1">
        <f t="array" ref="K336">IFERROR(INDEX(_xlfn.ANCHORARRAY($Q$6),ROW()-5,4),"")</f>
        <v/>
      </c>
      <c r="L336" s="290"/>
      <c r="U336">
        <f>IF(OR($A336="",$F336=""),0,MAX(0,MIN($F336,SUMIFS($F$6:$F336,$B$6:$B336,$B336)-(SUMIFS($G$6:$G$355,$B$6:$B$355,$B336)+SUMIFS($H$6:$H$355,$B$6:$B$355,$B336)+SUMIFS($I$6:$I$355,$B$6:$B$355,$B336)))))</f>
        <v>0</v>
      </c>
    </row>
    <row r="337" spans="1:21" ht="23" x14ac:dyDescent="0.25">
      <c r="A337" s="217" t="str" cm="1">
        <f t="array" ref="A337">IFERROR(INDEX(_xlfn.ANCHORARRAY($Q$6),ROW()-5,1),"")</f>
        <v/>
      </c>
      <c r="B337" s="288" t="str" cm="1">
        <f t="array" ref="B337">IFERROR(INDEX(_xlfn.ANCHORARRAY($Q$6),ROW()-5,2),"")</f>
        <v/>
      </c>
      <c r="C337" s="289" t="str" cm="1">
        <f t="array" ref="C337">IFERROR(INDEX(_xlfn.ANCHORARRAY($Q$6),ROW()-5,3),"")</f>
        <v/>
      </c>
      <c r="D337" s="218" t="str">
        <f>IF($A337="","",IF($K337="DIESEL",SUMIFS(Table1[Quantity],Table1[Customer],$B337,Table1[Date],$A337,Table1[Bill No.],$C337),IF($K337="PETROL",SUMIFS(Table14[Quantity],Table14[Customer],$B337,Table14[Date],$A337,Table14[Bill No.],$C337),IF($K337="XtraGreen",SUMIFS(Table146[Quantity],Table146[Company],$B337,Table146[Date],$A337,Table146[Bill No.],$C337),""))))</f>
        <v/>
      </c>
      <c r="E337" s="219" t="str">
        <f>IF($A337="","",IF($K337="DIESEL",AVERAGEIFS(Table1[RSP],Table1[Customer],$B337,Table1[Date],$A337,Table1[Bill No.],$C337),IF($K337="PETROL",AVERAGEIFS(Table14[RSP],Table14[Customer],$B337,Table14[Date],$A337,Table14[Bill No.],$C337),IF($K337="XtraGreen",AVERAGEIFS(Table146[RSP],Table146[Company],$B337,Table146[Date],$A337,Table146[Bill No.],$C337),IFERROR($F337/$D337,"")))))</f>
        <v/>
      </c>
      <c r="F337" s="330" t="str">
        <f>IF($A337="","",IF($K337="DIESEL",SUMIFS(Table1[Amount],Table1[Customer],$B337,Table1[Date],$A337,Table1[Bill No.],$C337),IF($K337="PETROL",SUMIFS(Table14[Amount],Table14[Customer],$B337,Table14[Date],$A337,Table14[Bill No.],$C337),IF($K337="XtraGreen",SUMIFS(Table146[Amount],Table146[Company],$B337,Table146[Date],$A337,Table146[Bill No.],$C337),SUMIFS('Other Sale'!$D:$D,'Other Sale'!$E:$E,$B337,'Other Sale'!$C:$C,$K337,'Other Sale'!$A:$A,$A337)))))</f>
        <v/>
      </c>
      <c r="G337" s="330" t="str" cm="1">
        <f t="array" ref="G337">IF($A337="","",IF($K337="Payment",IFERROR(INDEX(_xlfn._xlws.FILTER(MasterPaid[Amount Paid],(MasterPaid[Customer]=$B337)*(MasterPaid[Date]=$A337)),COUNTIFS($A$6:$A337,$A337,$B$6:$B337,$B337,$K$6:$K337,"Payment")),0),0))</f>
        <v/>
      </c>
      <c r="H337" s="331"/>
      <c r="I337" s="331"/>
      <c r="J337" s="330" t="str">
        <f t="shared" si="5"/>
        <v/>
      </c>
      <c r="K337" s="289" t="str" cm="1">
        <f t="array" ref="K337">IFERROR(INDEX(_xlfn.ANCHORARRAY($Q$6),ROW()-5,4),"")</f>
        <v/>
      </c>
      <c r="L337" s="290"/>
      <c r="U337">
        <f>IF(OR($A337="",$F337=""),0,MAX(0,MIN($F337,SUMIFS($F$6:$F337,$B$6:$B337,$B337)-(SUMIFS($G$6:$G$355,$B$6:$B$355,$B337)+SUMIFS($H$6:$H$355,$B$6:$B$355,$B337)+SUMIFS($I$6:$I$355,$B$6:$B$355,$B337)))))</f>
        <v>0</v>
      </c>
    </row>
    <row r="338" spans="1:21" ht="23" x14ac:dyDescent="0.25">
      <c r="A338" s="217" t="str" cm="1">
        <f t="array" ref="A338">IFERROR(INDEX(_xlfn.ANCHORARRAY($Q$6),ROW()-5,1),"")</f>
        <v/>
      </c>
      <c r="B338" s="288" t="str" cm="1">
        <f t="array" ref="B338">IFERROR(INDEX(_xlfn.ANCHORARRAY($Q$6),ROW()-5,2),"")</f>
        <v/>
      </c>
      <c r="C338" s="289" t="str" cm="1">
        <f t="array" ref="C338">IFERROR(INDEX(_xlfn.ANCHORARRAY($Q$6),ROW()-5,3),"")</f>
        <v/>
      </c>
      <c r="D338" s="218" t="str">
        <f>IF($A338="","",IF($K338="DIESEL",SUMIFS(Table1[Quantity],Table1[Customer],$B338,Table1[Date],$A338,Table1[Bill No.],$C338),IF($K338="PETROL",SUMIFS(Table14[Quantity],Table14[Customer],$B338,Table14[Date],$A338,Table14[Bill No.],$C338),IF($K338="XtraGreen",SUMIFS(Table146[Quantity],Table146[Company],$B338,Table146[Date],$A338,Table146[Bill No.],$C338),""))))</f>
        <v/>
      </c>
      <c r="E338" s="219" t="str">
        <f>IF($A338="","",IF($K338="DIESEL",AVERAGEIFS(Table1[RSP],Table1[Customer],$B338,Table1[Date],$A338,Table1[Bill No.],$C338),IF($K338="PETROL",AVERAGEIFS(Table14[RSP],Table14[Customer],$B338,Table14[Date],$A338,Table14[Bill No.],$C338),IF($K338="XtraGreen",AVERAGEIFS(Table146[RSP],Table146[Company],$B338,Table146[Date],$A338,Table146[Bill No.],$C338),IFERROR($F338/$D338,"")))))</f>
        <v/>
      </c>
      <c r="F338" s="330" t="str">
        <f>IF($A338="","",IF($K338="DIESEL",SUMIFS(Table1[Amount],Table1[Customer],$B338,Table1[Date],$A338,Table1[Bill No.],$C338),IF($K338="PETROL",SUMIFS(Table14[Amount],Table14[Customer],$B338,Table14[Date],$A338,Table14[Bill No.],$C338),IF($K338="XtraGreen",SUMIFS(Table146[Amount],Table146[Company],$B338,Table146[Date],$A338,Table146[Bill No.],$C338),SUMIFS('Other Sale'!$D:$D,'Other Sale'!$E:$E,$B338,'Other Sale'!$C:$C,$K338,'Other Sale'!$A:$A,$A338)))))</f>
        <v/>
      </c>
      <c r="G338" s="330" t="str" cm="1">
        <f t="array" ref="G338">IF($A338="","",IF($K338="Payment",IFERROR(INDEX(_xlfn._xlws.FILTER(MasterPaid[Amount Paid],(MasterPaid[Customer]=$B338)*(MasterPaid[Date]=$A338)),COUNTIFS($A$6:$A338,$A338,$B$6:$B338,$B338,$K$6:$K338,"Payment")),0),0))</f>
        <v/>
      </c>
      <c r="H338" s="331"/>
      <c r="I338" s="331"/>
      <c r="J338" s="330" t="str">
        <f t="shared" si="5"/>
        <v/>
      </c>
      <c r="K338" s="289" t="str" cm="1">
        <f t="array" ref="K338">IFERROR(INDEX(_xlfn.ANCHORARRAY($Q$6),ROW()-5,4),"")</f>
        <v/>
      </c>
      <c r="L338" s="290"/>
      <c r="U338">
        <f>IF(OR($A338="",$F338=""),0,MAX(0,MIN($F338,SUMIFS($F$6:$F338,$B$6:$B338,$B338)-(SUMIFS($G$6:$G$355,$B$6:$B$355,$B338)+SUMIFS($H$6:$H$355,$B$6:$B$355,$B338)+SUMIFS($I$6:$I$355,$B$6:$B$355,$B338)))))</f>
        <v>0</v>
      </c>
    </row>
    <row r="339" spans="1:21" ht="23" x14ac:dyDescent="0.25">
      <c r="A339" s="217" t="str" cm="1">
        <f t="array" ref="A339">IFERROR(INDEX(_xlfn.ANCHORARRAY($Q$6),ROW()-5,1),"")</f>
        <v/>
      </c>
      <c r="B339" s="288" t="str" cm="1">
        <f t="array" ref="B339">IFERROR(INDEX(_xlfn.ANCHORARRAY($Q$6),ROW()-5,2),"")</f>
        <v/>
      </c>
      <c r="C339" s="289" t="str" cm="1">
        <f t="array" ref="C339">IFERROR(INDEX(_xlfn.ANCHORARRAY($Q$6),ROW()-5,3),"")</f>
        <v/>
      </c>
      <c r="D339" s="218" t="str">
        <f>IF($A339="","",IF($K339="DIESEL",SUMIFS(Table1[Quantity],Table1[Customer],$B339,Table1[Date],$A339,Table1[Bill No.],$C339),IF($K339="PETROL",SUMIFS(Table14[Quantity],Table14[Customer],$B339,Table14[Date],$A339,Table14[Bill No.],$C339),IF($K339="XtraGreen",SUMIFS(Table146[Quantity],Table146[Company],$B339,Table146[Date],$A339,Table146[Bill No.],$C339),""))))</f>
        <v/>
      </c>
      <c r="E339" s="219" t="str">
        <f>IF($A339="","",IF($K339="DIESEL",AVERAGEIFS(Table1[RSP],Table1[Customer],$B339,Table1[Date],$A339,Table1[Bill No.],$C339),IF($K339="PETROL",AVERAGEIFS(Table14[RSP],Table14[Customer],$B339,Table14[Date],$A339,Table14[Bill No.],$C339),IF($K339="XtraGreen",AVERAGEIFS(Table146[RSP],Table146[Company],$B339,Table146[Date],$A339,Table146[Bill No.],$C339),IFERROR($F339/$D339,"")))))</f>
        <v/>
      </c>
      <c r="F339" s="330" t="str">
        <f>IF($A339="","",IF($K339="DIESEL",SUMIFS(Table1[Amount],Table1[Customer],$B339,Table1[Date],$A339,Table1[Bill No.],$C339),IF($K339="PETROL",SUMIFS(Table14[Amount],Table14[Customer],$B339,Table14[Date],$A339,Table14[Bill No.],$C339),IF($K339="XtraGreen",SUMIFS(Table146[Amount],Table146[Company],$B339,Table146[Date],$A339,Table146[Bill No.],$C339),SUMIFS('Other Sale'!$D:$D,'Other Sale'!$E:$E,$B339,'Other Sale'!$C:$C,$K339,'Other Sale'!$A:$A,$A339)))))</f>
        <v/>
      </c>
      <c r="G339" s="330" t="str" cm="1">
        <f t="array" ref="G339">IF($A339="","",IF($K339="Payment",IFERROR(INDEX(_xlfn._xlws.FILTER(MasterPaid[Amount Paid],(MasterPaid[Customer]=$B339)*(MasterPaid[Date]=$A339)),COUNTIFS($A$6:$A339,$A339,$B$6:$B339,$B339,$K$6:$K339,"Payment")),0),0))</f>
        <v/>
      </c>
      <c r="H339" s="331"/>
      <c r="I339" s="331"/>
      <c r="J339" s="330" t="str">
        <f t="shared" si="5"/>
        <v/>
      </c>
      <c r="K339" s="289" t="str" cm="1">
        <f t="array" ref="K339">IFERROR(INDEX(_xlfn.ANCHORARRAY($Q$6),ROW()-5,4),"")</f>
        <v/>
      </c>
      <c r="L339" s="290"/>
      <c r="U339">
        <f>IF(OR($A339="",$F339=""),0,MAX(0,MIN($F339,SUMIFS($F$6:$F339,$B$6:$B339,$B339)-(SUMIFS($G$6:$G$355,$B$6:$B$355,$B339)+SUMIFS($H$6:$H$355,$B$6:$B$355,$B339)+SUMIFS($I$6:$I$355,$B$6:$B$355,$B339)))))</f>
        <v>0</v>
      </c>
    </row>
    <row r="340" spans="1:21" ht="23" x14ac:dyDescent="0.25">
      <c r="A340" s="217" t="str" cm="1">
        <f t="array" ref="A340">IFERROR(INDEX(_xlfn.ANCHORARRAY($Q$6),ROW()-5,1),"")</f>
        <v/>
      </c>
      <c r="B340" s="288" t="str" cm="1">
        <f t="array" ref="B340">IFERROR(INDEX(_xlfn.ANCHORARRAY($Q$6),ROW()-5,2),"")</f>
        <v/>
      </c>
      <c r="C340" s="289" t="str" cm="1">
        <f t="array" ref="C340">IFERROR(INDEX(_xlfn.ANCHORARRAY($Q$6),ROW()-5,3),"")</f>
        <v/>
      </c>
      <c r="D340" s="218" t="str">
        <f>IF($A340="","",IF($K340="DIESEL",SUMIFS(Table1[Quantity],Table1[Customer],$B340,Table1[Date],$A340,Table1[Bill No.],$C340),IF($K340="PETROL",SUMIFS(Table14[Quantity],Table14[Customer],$B340,Table14[Date],$A340,Table14[Bill No.],$C340),IF($K340="XtraGreen",SUMIFS(Table146[Quantity],Table146[Company],$B340,Table146[Date],$A340,Table146[Bill No.],$C340),""))))</f>
        <v/>
      </c>
      <c r="E340" s="219" t="str">
        <f>IF($A340="","",IF($K340="DIESEL",AVERAGEIFS(Table1[RSP],Table1[Customer],$B340,Table1[Date],$A340,Table1[Bill No.],$C340),IF($K340="PETROL",AVERAGEIFS(Table14[RSP],Table14[Customer],$B340,Table14[Date],$A340,Table14[Bill No.],$C340),IF($K340="XtraGreen",AVERAGEIFS(Table146[RSP],Table146[Company],$B340,Table146[Date],$A340,Table146[Bill No.],$C340),IFERROR($F340/$D340,"")))))</f>
        <v/>
      </c>
      <c r="F340" s="330" t="str">
        <f>IF($A340="","",IF($K340="DIESEL",SUMIFS(Table1[Amount],Table1[Customer],$B340,Table1[Date],$A340,Table1[Bill No.],$C340),IF($K340="PETROL",SUMIFS(Table14[Amount],Table14[Customer],$B340,Table14[Date],$A340,Table14[Bill No.],$C340),IF($K340="XtraGreen",SUMIFS(Table146[Amount],Table146[Company],$B340,Table146[Date],$A340,Table146[Bill No.],$C340),SUMIFS('Other Sale'!$D:$D,'Other Sale'!$E:$E,$B340,'Other Sale'!$C:$C,$K340,'Other Sale'!$A:$A,$A340)))))</f>
        <v/>
      </c>
      <c r="G340" s="330" t="str" cm="1">
        <f t="array" ref="G340">IF($A340="","",IF($K340="Payment",IFERROR(INDEX(_xlfn._xlws.FILTER(MasterPaid[Amount Paid],(MasterPaid[Customer]=$B340)*(MasterPaid[Date]=$A340)),COUNTIFS($A$6:$A340,$A340,$B$6:$B340,$B340,$K$6:$K340,"Payment")),0),0))</f>
        <v/>
      </c>
      <c r="H340" s="331"/>
      <c r="I340" s="331"/>
      <c r="J340" s="330" t="str">
        <f t="shared" si="5"/>
        <v/>
      </c>
      <c r="K340" s="289" t="str" cm="1">
        <f t="array" ref="K340">IFERROR(INDEX(_xlfn.ANCHORARRAY($Q$6),ROW()-5,4),"")</f>
        <v/>
      </c>
      <c r="L340" s="290"/>
      <c r="U340">
        <f>IF(OR($A340="",$F340=""),0,MAX(0,MIN($F340,SUMIFS($F$6:$F340,$B$6:$B340,$B340)-(SUMIFS($G$6:$G$355,$B$6:$B$355,$B340)+SUMIFS($H$6:$H$355,$B$6:$B$355,$B340)+SUMIFS($I$6:$I$355,$B$6:$B$355,$B340)))))</f>
        <v>0</v>
      </c>
    </row>
    <row r="341" spans="1:21" ht="23" x14ac:dyDescent="0.25">
      <c r="A341" s="217" t="str" cm="1">
        <f t="array" ref="A341">IFERROR(INDEX(_xlfn.ANCHORARRAY($Q$6),ROW()-5,1),"")</f>
        <v/>
      </c>
      <c r="B341" s="288" t="str" cm="1">
        <f t="array" ref="B341">IFERROR(INDEX(_xlfn.ANCHORARRAY($Q$6),ROW()-5,2),"")</f>
        <v/>
      </c>
      <c r="C341" s="289" t="str" cm="1">
        <f t="array" ref="C341">IFERROR(INDEX(_xlfn.ANCHORARRAY($Q$6),ROW()-5,3),"")</f>
        <v/>
      </c>
      <c r="D341" s="218" t="str">
        <f>IF($A341="","",IF($K341="DIESEL",SUMIFS(Table1[Quantity],Table1[Customer],$B341,Table1[Date],$A341,Table1[Bill No.],$C341),IF($K341="PETROL",SUMIFS(Table14[Quantity],Table14[Customer],$B341,Table14[Date],$A341,Table14[Bill No.],$C341),IF($K341="XtraGreen",SUMIFS(Table146[Quantity],Table146[Company],$B341,Table146[Date],$A341,Table146[Bill No.],$C341),""))))</f>
        <v/>
      </c>
      <c r="E341" s="219" t="str">
        <f>IF($A341="","",IF($K341="DIESEL",AVERAGEIFS(Table1[RSP],Table1[Customer],$B341,Table1[Date],$A341,Table1[Bill No.],$C341),IF($K341="PETROL",AVERAGEIFS(Table14[RSP],Table14[Customer],$B341,Table14[Date],$A341,Table14[Bill No.],$C341),IF($K341="XtraGreen",AVERAGEIFS(Table146[RSP],Table146[Company],$B341,Table146[Date],$A341,Table146[Bill No.],$C341),IFERROR($F341/$D341,"")))))</f>
        <v/>
      </c>
      <c r="F341" s="330" t="str">
        <f>IF($A341="","",IF($K341="DIESEL",SUMIFS(Table1[Amount],Table1[Customer],$B341,Table1[Date],$A341,Table1[Bill No.],$C341),IF($K341="PETROL",SUMIFS(Table14[Amount],Table14[Customer],$B341,Table14[Date],$A341,Table14[Bill No.],$C341),IF($K341="XtraGreen",SUMIFS(Table146[Amount],Table146[Company],$B341,Table146[Date],$A341,Table146[Bill No.],$C341),SUMIFS('Other Sale'!$D:$D,'Other Sale'!$E:$E,$B341,'Other Sale'!$C:$C,$K341,'Other Sale'!$A:$A,$A341)))))</f>
        <v/>
      </c>
      <c r="G341" s="330" t="str" cm="1">
        <f t="array" ref="G341">IF($A341="","",IF($K341="Payment",IFERROR(INDEX(_xlfn._xlws.FILTER(MasterPaid[Amount Paid],(MasterPaid[Customer]=$B341)*(MasterPaid[Date]=$A341)),COUNTIFS($A$6:$A341,$A341,$B$6:$B341,$B341,$K$6:$K341,"Payment")),0),0))</f>
        <v/>
      </c>
      <c r="H341" s="331"/>
      <c r="I341" s="331"/>
      <c r="J341" s="330" t="str">
        <f t="shared" si="5"/>
        <v/>
      </c>
      <c r="K341" s="289" t="str" cm="1">
        <f t="array" ref="K341">IFERROR(INDEX(_xlfn.ANCHORARRAY($Q$6),ROW()-5,4),"")</f>
        <v/>
      </c>
      <c r="L341" s="290"/>
      <c r="U341">
        <f>IF(OR($A341="",$F341=""),0,MAX(0,MIN($F341,SUMIFS($F$6:$F341,$B$6:$B341,$B341)-(SUMIFS($G$6:$G$355,$B$6:$B$355,$B341)+SUMIFS($H$6:$H$355,$B$6:$B$355,$B341)+SUMIFS($I$6:$I$355,$B$6:$B$355,$B341)))))</f>
        <v>0</v>
      </c>
    </row>
    <row r="342" spans="1:21" ht="23" x14ac:dyDescent="0.25">
      <c r="A342" s="217" t="str" cm="1">
        <f t="array" ref="A342">IFERROR(INDEX(_xlfn.ANCHORARRAY($Q$6),ROW()-5,1),"")</f>
        <v/>
      </c>
      <c r="B342" s="288" t="str" cm="1">
        <f t="array" ref="B342">IFERROR(INDEX(_xlfn.ANCHORARRAY($Q$6),ROW()-5,2),"")</f>
        <v/>
      </c>
      <c r="C342" s="289" t="str" cm="1">
        <f t="array" ref="C342">IFERROR(INDEX(_xlfn.ANCHORARRAY($Q$6),ROW()-5,3),"")</f>
        <v/>
      </c>
      <c r="D342" s="218" t="str">
        <f>IF($A342="","",IF($K342="DIESEL",SUMIFS(Table1[Quantity],Table1[Customer],$B342,Table1[Date],$A342,Table1[Bill No.],$C342),IF($K342="PETROL",SUMIFS(Table14[Quantity],Table14[Customer],$B342,Table14[Date],$A342,Table14[Bill No.],$C342),IF($K342="XtraGreen",SUMIFS(Table146[Quantity],Table146[Company],$B342,Table146[Date],$A342,Table146[Bill No.],$C342),""))))</f>
        <v/>
      </c>
      <c r="E342" s="219" t="str">
        <f>IF($A342="","",IF($K342="DIESEL",AVERAGEIFS(Table1[RSP],Table1[Customer],$B342,Table1[Date],$A342,Table1[Bill No.],$C342),IF($K342="PETROL",AVERAGEIFS(Table14[RSP],Table14[Customer],$B342,Table14[Date],$A342,Table14[Bill No.],$C342),IF($K342="XtraGreen",AVERAGEIFS(Table146[RSP],Table146[Company],$B342,Table146[Date],$A342,Table146[Bill No.],$C342),IFERROR($F342/$D342,"")))))</f>
        <v/>
      </c>
      <c r="F342" s="330" t="str">
        <f>IF($A342="","",IF($K342="DIESEL",SUMIFS(Table1[Amount],Table1[Customer],$B342,Table1[Date],$A342,Table1[Bill No.],$C342),IF($K342="PETROL",SUMIFS(Table14[Amount],Table14[Customer],$B342,Table14[Date],$A342,Table14[Bill No.],$C342),IF($K342="XtraGreen",SUMIFS(Table146[Amount],Table146[Company],$B342,Table146[Date],$A342,Table146[Bill No.],$C342),SUMIFS('Other Sale'!$D:$D,'Other Sale'!$E:$E,$B342,'Other Sale'!$C:$C,$K342,'Other Sale'!$A:$A,$A342)))))</f>
        <v/>
      </c>
      <c r="G342" s="330" t="str" cm="1">
        <f t="array" ref="G342">IF($A342="","",IF($K342="Payment",IFERROR(INDEX(_xlfn._xlws.FILTER(MasterPaid[Amount Paid],(MasterPaid[Customer]=$B342)*(MasterPaid[Date]=$A342)),COUNTIFS($A$6:$A342,$A342,$B$6:$B342,$B342,$K$6:$K342,"Payment")),0),0))</f>
        <v/>
      </c>
      <c r="H342" s="331"/>
      <c r="I342" s="331"/>
      <c r="J342" s="330" t="str">
        <f t="shared" ref="J342:J355" si="6">IF($A342="","",J341+N(F342)-N(G342)-N(H342)-N(I342))</f>
        <v/>
      </c>
      <c r="K342" s="289" t="str" cm="1">
        <f t="array" ref="K342">IFERROR(INDEX(_xlfn.ANCHORARRAY($Q$6),ROW()-5,4),"")</f>
        <v/>
      </c>
      <c r="L342" s="290"/>
      <c r="U342">
        <f>IF(OR($A342="",$F342=""),0,MAX(0,MIN($F342,SUMIFS($F$6:$F342,$B$6:$B342,$B342)-(SUMIFS($G$6:$G$355,$B$6:$B$355,$B342)+SUMIFS($H$6:$H$355,$B$6:$B$355,$B342)+SUMIFS($I$6:$I$355,$B$6:$B$355,$B342)))))</f>
        <v>0</v>
      </c>
    </row>
    <row r="343" spans="1:21" ht="23" x14ac:dyDescent="0.25">
      <c r="A343" s="217" t="str" cm="1">
        <f t="array" ref="A343">IFERROR(INDEX(_xlfn.ANCHORARRAY($Q$6),ROW()-5,1),"")</f>
        <v/>
      </c>
      <c r="B343" s="288" t="str" cm="1">
        <f t="array" ref="B343">IFERROR(INDEX(_xlfn.ANCHORARRAY($Q$6),ROW()-5,2),"")</f>
        <v/>
      </c>
      <c r="C343" s="289" t="str" cm="1">
        <f t="array" ref="C343">IFERROR(INDEX(_xlfn.ANCHORARRAY($Q$6),ROW()-5,3),"")</f>
        <v/>
      </c>
      <c r="D343" s="218" t="str">
        <f>IF($A343="","",IF($K343="DIESEL",SUMIFS(Table1[Quantity],Table1[Customer],$B343,Table1[Date],$A343,Table1[Bill No.],$C343),IF($K343="PETROL",SUMIFS(Table14[Quantity],Table14[Customer],$B343,Table14[Date],$A343,Table14[Bill No.],$C343),IF($K343="XtraGreen",SUMIFS(Table146[Quantity],Table146[Company],$B343,Table146[Date],$A343,Table146[Bill No.],$C343),""))))</f>
        <v/>
      </c>
      <c r="E343" s="219" t="str">
        <f>IF($A343="","",IF($K343="DIESEL",AVERAGEIFS(Table1[RSP],Table1[Customer],$B343,Table1[Date],$A343,Table1[Bill No.],$C343),IF($K343="PETROL",AVERAGEIFS(Table14[RSP],Table14[Customer],$B343,Table14[Date],$A343,Table14[Bill No.],$C343),IF($K343="XtraGreen",AVERAGEIFS(Table146[RSP],Table146[Company],$B343,Table146[Date],$A343,Table146[Bill No.],$C343),IFERROR($F343/$D343,"")))))</f>
        <v/>
      </c>
      <c r="F343" s="330" t="str">
        <f>IF($A343="","",IF($K343="DIESEL",SUMIFS(Table1[Amount],Table1[Customer],$B343,Table1[Date],$A343,Table1[Bill No.],$C343),IF($K343="PETROL",SUMIFS(Table14[Amount],Table14[Customer],$B343,Table14[Date],$A343,Table14[Bill No.],$C343),IF($K343="XtraGreen",SUMIFS(Table146[Amount],Table146[Company],$B343,Table146[Date],$A343,Table146[Bill No.],$C343),SUMIFS('Other Sale'!$D:$D,'Other Sale'!$E:$E,$B343,'Other Sale'!$C:$C,$K343,'Other Sale'!$A:$A,$A343)))))</f>
        <v/>
      </c>
      <c r="G343" s="330" t="str" cm="1">
        <f t="array" ref="G343">IF($A343="","",IF($K343="Payment",IFERROR(INDEX(_xlfn._xlws.FILTER(MasterPaid[Amount Paid],(MasterPaid[Customer]=$B343)*(MasterPaid[Date]=$A343)),COUNTIFS($A$6:$A343,$A343,$B$6:$B343,$B343,$K$6:$K343,"Payment")),0),0))</f>
        <v/>
      </c>
      <c r="H343" s="331"/>
      <c r="I343" s="331"/>
      <c r="J343" s="330" t="str">
        <f t="shared" si="6"/>
        <v/>
      </c>
      <c r="K343" s="289" t="str" cm="1">
        <f t="array" ref="K343">IFERROR(INDEX(_xlfn.ANCHORARRAY($Q$6),ROW()-5,4),"")</f>
        <v/>
      </c>
      <c r="L343" s="290"/>
      <c r="U343">
        <f>IF(OR($A343="",$F343=""),0,MAX(0,MIN($F343,SUMIFS($F$6:$F343,$B$6:$B343,$B343)-(SUMIFS($G$6:$G$355,$B$6:$B$355,$B343)+SUMIFS($H$6:$H$355,$B$6:$B$355,$B343)+SUMIFS($I$6:$I$355,$B$6:$B$355,$B343)))))</f>
        <v>0</v>
      </c>
    </row>
    <row r="344" spans="1:21" ht="23" x14ac:dyDescent="0.25">
      <c r="A344" s="217" t="str" cm="1">
        <f t="array" ref="A344">IFERROR(INDEX(_xlfn.ANCHORARRAY($Q$6),ROW()-5,1),"")</f>
        <v/>
      </c>
      <c r="B344" s="288" t="str" cm="1">
        <f t="array" ref="B344">IFERROR(INDEX(_xlfn.ANCHORARRAY($Q$6),ROW()-5,2),"")</f>
        <v/>
      </c>
      <c r="C344" s="289" t="str" cm="1">
        <f t="array" ref="C344">IFERROR(INDEX(_xlfn.ANCHORARRAY($Q$6),ROW()-5,3),"")</f>
        <v/>
      </c>
      <c r="D344" s="218" t="str">
        <f>IF($A344="","",IF($K344="DIESEL",SUMIFS(Table1[Quantity],Table1[Customer],$B344,Table1[Date],$A344,Table1[Bill No.],$C344),IF($K344="PETROL",SUMIFS(Table14[Quantity],Table14[Customer],$B344,Table14[Date],$A344,Table14[Bill No.],$C344),IF($K344="XtraGreen",SUMIFS(Table146[Quantity],Table146[Company],$B344,Table146[Date],$A344,Table146[Bill No.],$C344),""))))</f>
        <v/>
      </c>
      <c r="E344" s="219" t="str">
        <f>IF($A344="","",IF($K344="DIESEL",AVERAGEIFS(Table1[RSP],Table1[Customer],$B344,Table1[Date],$A344,Table1[Bill No.],$C344),IF($K344="PETROL",AVERAGEIFS(Table14[RSP],Table14[Customer],$B344,Table14[Date],$A344,Table14[Bill No.],$C344),IF($K344="XtraGreen",AVERAGEIFS(Table146[RSP],Table146[Company],$B344,Table146[Date],$A344,Table146[Bill No.],$C344),IFERROR($F344/$D344,"")))))</f>
        <v/>
      </c>
      <c r="F344" s="330" t="str">
        <f>IF($A344="","",IF($K344="DIESEL",SUMIFS(Table1[Amount],Table1[Customer],$B344,Table1[Date],$A344,Table1[Bill No.],$C344),IF($K344="PETROL",SUMIFS(Table14[Amount],Table14[Customer],$B344,Table14[Date],$A344,Table14[Bill No.],$C344),IF($K344="XtraGreen",SUMIFS(Table146[Amount],Table146[Company],$B344,Table146[Date],$A344,Table146[Bill No.],$C344),SUMIFS('Other Sale'!$D:$D,'Other Sale'!$E:$E,$B344,'Other Sale'!$C:$C,$K344,'Other Sale'!$A:$A,$A344)))))</f>
        <v/>
      </c>
      <c r="G344" s="330" t="str" cm="1">
        <f t="array" ref="G344">IF($A344="","",IF($K344="Payment",IFERROR(INDEX(_xlfn._xlws.FILTER(MasterPaid[Amount Paid],(MasterPaid[Customer]=$B344)*(MasterPaid[Date]=$A344)),COUNTIFS($A$6:$A344,$A344,$B$6:$B344,$B344,$K$6:$K344,"Payment")),0),0))</f>
        <v/>
      </c>
      <c r="H344" s="331"/>
      <c r="I344" s="331"/>
      <c r="J344" s="330" t="str">
        <f t="shared" si="6"/>
        <v/>
      </c>
      <c r="K344" s="289" t="str" cm="1">
        <f t="array" ref="K344">IFERROR(INDEX(_xlfn.ANCHORARRAY($Q$6),ROW()-5,4),"")</f>
        <v/>
      </c>
      <c r="L344" s="290"/>
      <c r="U344">
        <f>IF(OR($A344="",$F344=""),0,MAX(0,MIN($F344,SUMIFS($F$6:$F344,$B$6:$B344,$B344)-(SUMIFS($G$6:$G$355,$B$6:$B$355,$B344)+SUMIFS($H$6:$H$355,$B$6:$B$355,$B344)+SUMIFS($I$6:$I$355,$B$6:$B$355,$B344)))))</f>
        <v>0</v>
      </c>
    </row>
    <row r="345" spans="1:21" ht="23" x14ac:dyDescent="0.25">
      <c r="A345" s="217" t="str" cm="1">
        <f t="array" ref="A345">IFERROR(INDEX(_xlfn.ANCHORARRAY($Q$6),ROW()-5,1),"")</f>
        <v/>
      </c>
      <c r="B345" s="288" t="str" cm="1">
        <f t="array" ref="B345">IFERROR(INDEX(_xlfn.ANCHORARRAY($Q$6),ROW()-5,2),"")</f>
        <v/>
      </c>
      <c r="C345" s="289" t="str" cm="1">
        <f t="array" ref="C345">IFERROR(INDEX(_xlfn.ANCHORARRAY($Q$6),ROW()-5,3),"")</f>
        <v/>
      </c>
      <c r="D345" s="218" t="str">
        <f>IF($A345="","",IF($K345="DIESEL",SUMIFS(Table1[Quantity],Table1[Customer],$B345,Table1[Date],$A345,Table1[Bill No.],$C345),IF($K345="PETROL",SUMIFS(Table14[Quantity],Table14[Customer],$B345,Table14[Date],$A345,Table14[Bill No.],$C345),IF($K345="XtraGreen",SUMIFS(Table146[Quantity],Table146[Company],$B345,Table146[Date],$A345,Table146[Bill No.],$C345),""))))</f>
        <v/>
      </c>
      <c r="E345" s="219" t="str">
        <f>IF($A345="","",IF($K345="DIESEL",AVERAGEIFS(Table1[RSP],Table1[Customer],$B345,Table1[Date],$A345,Table1[Bill No.],$C345),IF($K345="PETROL",AVERAGEIFS(Table14[RSP],Table14[Customer],$B345,Table14[Date],$A345,Table14[Bill No.],$C345),IF($K345="XtraGreen",AVERAGEIFS(Table146[RSP],Table146[Company],$B345,Table146[Date],$A345,Table146[Bill No.],$C345),IFERROR($F345/$D345,"")))))</f>
        <v/>
      </c>
      <c r="F345" s="330" t="str">
        <f>IF($A345="","",IF($K345="DIESEL",SUMIFS(Table1[Amount],Table1[Customer],$B345,Table1[Date],$A345,Table1[Bill No.],$C345),IF($K345="PETROL",SUMIFS(Table14[Amount],Table14[Customer],$B345,Table14[Date],$A345,Table14[Bill No.],$C345),IF($K345="XtraGreen",SUMIFS(Table146[Amount],Table146[Company],$B345,Table146[Date],$A345,Table146[Bill No.],$C345),SUMIFS('Other Sale'!$D:$D,'Other Sale'!$E:$E,$B345,'Other Sale'!$C:$C,$K345,'Other Sale'!$A:$A,$A345)))))</f>
        <v/>
      </c>
      <c r="G345" s="330" t="str" cm="1">
        <f t="array" ref="G345">IF($A345="","",IF($K345="Payment",IFERROR(INDEX(_xlfn._xlws.FILTER(MasterPaid[Amount Paid],(MasterPaid[Customer]=$B345)*(MasterPaid[Date]=$A345)),COUNTIFS($A$6:$A345,$A345,$B$6:$B345,$B345,$K$6:$K345,"Payment")),0),0))</f>
        <v/>
      </c>
      <c r="H345" s="331"/>
      <c r="I345" s="331"/>
      <c r="J345" s="330" t="str">
        <f t="shared" si="6"/>
        <v/>
      </c>
      <c r="K345" s="289" t="str" cm="1">
        <f t="array" ref="K345">IFERROR(INDEX(_xlfn.ANCHORARRAY($Q$6),ROW()-5,4),"")</f>
        <v/>
      </c>
      <c r="L345" s="290"/>
      <c r="U345">
        <f>IF(OR($A345="",$F345=""),0,MAX(0,MIN($F345,SUMIFS($F$6:$F345,$B$6:$B345,$B345)-(SUMIFS($G$6:$G$355,$B$6:$B$355,$B345)+SUMIFS($H$6:$H$355,$B$6:$B$355,$B345)+SUMIFS($I$6:$I$355,$B$6:$B$355,$B345)))))</f>
        <v>0</v>
      </c>
    </row>
    <row r="346" spans="1:21" ht="23" x14ac:dyDescent="0.25">
      <c r="A346" s="217" t="str" cm="1">
        <f t="array" ref="A346">IFERROR(INDEX(_xlfn.ANCHORARRAY($Q$6),ROW()-5,1),"")</f>
        <v/>
      </c>
      <c r="B346" s="288" t="str" cm="1">
        <f t="array" ref="B346">IFERROR(INDEX(_xlfn.ANCHORARRAY($Q$6),ROW()-5,2),"")</f>
        <v/>
      </c>
      <c r="C346" s="289" t="str" cm="1">
        <f t="array" ref="C346">IFERROR(INDEX(_xlfn.ANCHORARRAY($Q$6),ROW()-5,3),"")</f>
        <v/>
      </c>
      <c r="D346" s="218" t="str">
        <f>IF($A346="","",IF($K346="DIESEL",SUMIFS(Table1[Quantity],Table1[Customer],$B346,Table1[Date],$A346,Table1[Bill No.],$C346),IF($K346="PETROL",SUMIFS(Table14[Quantity],Table14[Customer],$B346,Table14[Date],$A346,Table14[Bill No.],$C346),IF($K346="XtraGreen",SUMIFS(Table146[Quantity],Table146[Company],$B346,Table146[Date],$A346,Table146[Bill No.],$C346),""))))</f>
        <v/>
      </c>
      <c r="E346" s="219" t="str">
        <f>IF($A346="","",IF($K346="DIESEL",AVERAGEIFS(Table1[RSP],Table1[Customer],$B346,Table1[Date],$A346,Table1[Bill No.],$C346),IF($K346="PETROL",AVERAGEIFS(Table14[RSP],Table14[Customer],$B346,Table14[Date],$A346,Table14[Bill No.],$C346),IF($K346="XtraGreen",AVERAGEIFS(Table146[RSP],Table146[Company],$B346,Table146[Date],$A346,Table146[Bill No.],$C346),IFERROR($F346/$D346,"")))))</f>
        <v/>
      </c>
      <c r="F346" s="330" t="str">
        <f>IF($A346="","",IF($K346="DIESEL",SUMIFS(Table1[Amount],Table1[Customer],$B346,Table1[Date],$A346,Table1[Bill No.],$C346),IF($K346="PETROL",SUMIFS(Table14[Amount],Table14[Customer],$B346,Table14[Date],$A346,Table14[Bill No.],$C346),IF($K346="XtraGreen",SUMIFS(Table146[Amount],Table146[Company],$B346,Table146[Date],$A346,Table146[Bill No.],$C346),SUMIFS('Other Sale'!$D:$D,'Other Sale'!$E:$E,$B346,'Other Sale'!$C:$C,$K346,'Other Sale'!$A:$A,$A346)))))</f>
        <v/>
      </c>
      <c r="G346" s="330" t="str" cm="1">
        <f t="array" ref="G346">IF($A346="","",IF($K346="Payment",IFERROR(INDEX(_xlfn._xlws.FILTER(MasterPaid[Amount Paid],(MasterPaid[Customer]=$B346)*(MasterPaid[Date]=$A346)),COUNTIFS($A$6:$A346,$A346,$B$6:$B346,$B346,$K$6:$K346,"Payment")),0),0))</f>
        <v/>
      </c>
      <c r="H346" s="331"/>
      <c r="I346" s="331"/>
      <c r="J346" s="330" t="str">
        <f t="shared" si="6"/>
        <v/>
      </c>
      <c r="K346" s="289" t="str" cm="1">
        <f t="array" ref="K346">IFERROR(INDEX(_xlfn.ANCHORARRAY($Q$6),ROW()-5,4),"")</f>
        <v/>
      </c>
      <c r="L346" s="290"/>
      <c r="U346">
        <f>IF(OR($A346="",$F346=""),0,MAX(0,MIN($F346,SUMIFS($F$6:$F346,$B$6:$B346,$B346)-(SUMIFS($G$6:$G$355,$B$6:$B$355,$B346)+SUMIFS($H$6:$H$355,$B$6:$B$355,$B346)+SUMIFS($I$6:$I$355,$B$6:$B$355,$B346)))))</f>
        <v>0</v>
      </c>
    </row>
    <row r="347" spans="1:21" ht="23" x14ac:dyDescent="0.25">
      <c r="A347" s="217" t="str" cm="1">
        <f t="array" ref="A347">IFERROR(INDEX(_xlfn.ANCHORARRAY($Q$6),ROW()-5,1),"")</f>
        <v/>
      </c>
      <c r="B347" s="288" t="str" cm="1">
        <f t="array" ref="B347">IFERROR(INDEX(_xlfn.ANCHORARRAY($Q$6),ROW()-5,2),"")</f>
        <v/>
      </c>
      <c r="C347" s="289" t="str" cm="1">
        <f t="array" ref="C347">IFERROR(INDEX(_xlfn.ANCHORARRAY($Q$6),ROW()-5,3),"")</f>
        <v/>
      </c>
      <c r="D347" s="218" t="str">
        <f>IF($A347="","",IF($K347="DIESEL",SUMIFS(Table1[Quantity],Table1[Customer],$B347,Table1[Date],$A347,Table1[Bill No.],$C347),IF($K347="PETROL",SUMIFS(Table14[Quantity],Table14[Customer],$B347,Table14[Date],$A347,Table14[Bill No.],$C347),IF($K347="XtraGreen",SUMIFS(Table146[Quantity],Table146[Company],$B347,Table146[Date],$A347,Table146[Bill No.],$C347),""))))</f>
        <v/>
      </c>
      <c r="E347" s="219" t="str">
        <f>IF($A347="","",IF($K347="DIESEL",AVERAGEIFS(Table1[RSP],Table1[Customer],$B347,Table1[Date],$A347,Table1[Bill No.],$C347),IF($K347="PETROL",AVERAGEIFS(Table14[RSP],Table14[Customer],$B347,Table14[Date],$A347,Table14[Bill No.],$C347),IF($K347="XtraGreen",AVERAGEIFS(Table146[RSP],Table146[Company],$B347,Table146[Date],$A347,Table146[Bill No.],$C347),IFERROR($F347/$D347,"")))))</f>
        <v/>
      </c>
      <c r="F347" s="330" t="str">
        <f>IF($A347="","",IF($K347="DIESEL",SUMIFS(Table1[Amount],Table1[Customer],$B347,Table1[Date],$A347,Table1[Bill No.],$C347),IF($K347="PETROL",SUMIFS(Table14[Amount],Table14[Customer],$B347,Table14[Date],$A347,Table14[Bill No.],$C347),IF($K347="XtraGreen",SUMIFS(Table146[Amount],Table146[Company],$B347,Table146[Date],$A347,Table146[Bill No.],$C347),SUMIFS('Other Sale'!$D:$D,'Other Sale'!$E:$E,$B347,'Other Sale'!$C:$C,$K347,'Other Sale'!$A:$A,$A347)))))</f>
        <v/>
      </c>
      <c r="G347" s="330" t="str" cm="1">
        <f t="array" ref="G347">IF($A347="","",IF($K347="Payment",IFERROR(INDEX(_xlfn._xlws.FILTER(MasterPaid[Amount Paid],(MasterPaid[Customer]=$B347)*(MasterPaid[Date]=$A347)),COUNTIFS($A$6:$A347,$A347,$B$6:$B347,$B347,$K$6:$K347,"Payment")),0),0))</f>
        <v/>
      </c>
      <c r="H347" s="331"/>
      <c r="I347" s="331"/>
      <c r="J347" s="330" t="str">
        <f t="shared" si="6"/>
        <v/>
      </c>
      <c r="K347" s="289" t="str" cm="1">
        <f t="array" ref="K347">IFERROR(INDEX(_xlfn.ANCHORARRAY($Q$6),ROW()-5,4),"")</f>
        <v/>
      </c>
      <c r="L347" s="290"/>
      <c r="U347">
        <f>IF(OR($A347="",$F347=""),0,MAX(0,MIN($F347,SUMIFS($F$6:$F347,$B$6:$B347,$B347)-(SUMIFS($G$6:$G$355,$B$6:$B$355,$B347)+SUMIFS($H$6:$H$355,$B$6:$B$355,$B347)+SUMIFS($I$6:$I$355,$B$6:$B$355,$B347)))))</f>
        <v>0</v>
      </c>
    </row>
    <row r="348" spans="1:21" ht="23" x14ac:dyDescent="0.25">
      <c r="A348" s="217" t="str" cm="1">
        <f t="array" ref="A348">IFERROR(INDEX(_xlfn.ANCHORARRAY($Q$6),ROW()-5,1),"")</f>
        <v/>
      </c>
      <c r="B348" s="288" t="str" cm="1">
        <f t="array" ref="B348">IFERROR(INDEX(_xlfn.ANCHORARRAY($Q$6),ROW()-5,2),"")</f>
        <v/>
      </c>
      <c r="C348" s="289" t="str" cm="1">
        <f t="array" ref="C348">IFERROR(INDEX(_xlfn.ANCHORARRAY($Q$6),ROW()-5,3),"")</f>
        <v/>
      </c>
      <c r="D348" s="218" t="str">
        <f>IF($A348="","",IF($K348="DIESEL",SUMIFS(Table1[Quantity],Table1[Customer],$B348,Table1[Date],$A348,Table1[Bill No.],$C348),IF($K348="PETROL",SUMIFS(Table14[Quantity],Table14[Customer],$B348,Table14[Date],$A348,Table14[Bill No.],$C348),IF($K348="XtraGreen",SUMIFS(Table146[Quantity],Table146[Company],$B348,Table146[Date],$A348,Table146[Bill No.],$C348),""))))</f>
        <v/>
      </c>
      <c r="E348" s="219" t="str">
        <f>IF($A348="","",IF($K348="DIESEL",AVERAGEIFS(Table1[RSP],Table1[Customer],$B348,Table1[Date],$A348,Table1[Bill No.],$C348),IF($K348="PETROL",AVERAGEIFS(Table14[RSP],Table14[Customer],$B348,Table14[Date],$A348,Table14[Bill No.],$C348),IF($K348="XtraGreen",AVERAGEIFS(Table146[RSP],Table146[Company],$B348,Table146[Date],$A348,Table146[Bill No.],$C348),IFERROR($F348/$D348,"")))))</f>
        <v/>
      </c>
      <c r="F348" s="330" t="str">
        <f>IF($A348="","",IF($K348="DIESEL",SUMIFS(Table1[Amount],Table1[Customer],$B348,Table1[Date],$A348,Table1[Bill No.],$C348),IF($K348="PETROL",SUMIFS(Table14[Amount],Table14[Customer],$B348,Table14[Date],$A348,Table14[Bill No.],$C348),IF($K348="XtraGreen",SUMIFS(Table146[Amount],Table146[Company],$B348,Table146[Date],$A348,Table146[Bill No.],$C348),SUMIFS('Other Sale'!$D:$D,'Other Sale'!$E:$E,$B348,'Other Sale'!$C:$C,$K348,'Other Sale'!$A:$A,$A348)))))</f>
        <v/>
      </c>
      <c r="G348" s="330" t="str" cm="1">
        <f t="array" ref="G348">IF($A348="","",IF($K348="Payment",IFERROR(INDEX(_xlfn._xlws.FILTER(MasterPaid[Amount Paid],(MasterPaid[Customer]=$B348)*(MasterPaid[Date]=$A348)),COUNTIFS($A$6:$A348,$A348,$B$6:$B348,$B348,$K$6:$K348,"Payment")),0),0))</f>
        <v/>
      </c>
      <c r="H348" s="331"/>
      <c r="I348" s="331"/>
      <c r="J348" s="330" t="str">
        <f t="shared" si="6"/>
        <v/>
      </c>
      <c r="K348" s="289" t="str" cm="1">
        <f t="array" ref="K348">IFERROR(INDEX(_xlfn.ANCHORARRAY($Q$6),ROW()-5,4),"")</f>
        <v/>
      </c>
      <c r="L348" s="290"/>
      <c r="U348">
        <f>IF(OR($A348="",$F348=""),0,MAX(0,MIN($F348,SUMIFS($F$6:$F348,$B$6:$B348,$B348)-(SUMIFS($G$6:$G$355,$B$6:$B$355,$B348)+SUMIFS($H$6:$H$355,$B$6:$B$355,$B348)+SUMIFS($I$6:$I$355,$B$6:$B$355,$B348)))))</f>
        <v>0</v>
      </c>
    </row>
    <row r="349" spans="1:21" ht="23" x14ac:dyDescent="0.25">
      <c r="A349" s="217" t="str" cm="1">
        <f t="array" ref="A349">IFERROR(INDEX(_xlfn.ANCHORARRAY($Q$6),ROW()-5,1),"")</f>
        <v/>
      </c>
      <c r="B349" s="288" t="str" cm="1">
        <f t="array" ref="B349">IFERROR(INDEX(_xlfn.ANCHORARRAY($Q$6),ROW()-5,2),"")</f>
        <v/>
      </c>
      <c r="C349" s="289" t="str" cm="1">
        <f t="array" ref="C349">IFERROR(INDEX(_xlfn.ANCHORARRAY($Q$6),ROW()-5,3),"")</f>
        <v/>
      </c>
      <c r="D349" s="218" t="str">
        <f>IF($A349="","",IF($K349="DIESEL",SUMIFS(Table1[Quantity],Table1[Customer],$B349,Table1[Date],$A349,Table1[Bill No.],$C349),IF($K349="PETROL",SUMIFS(Table14[Quantity],Table14[Customer],$B349,Table14[Date],$A349,Table14[Bill No.],$C349),IF($K349="XtraGreen",SUMIFS(Table146[Quantity],Table146[Company],$B349,Table146[Date],$A349,Table146[Bill No.],$C349),""))))</f>
        <v/>
      </c>
      <c r="E349" s="219" t="str">
        <f>IF($A349="","",IF($K349="DIESEL",AVERAGEIFS(Table1[RSP],Table1[Customer],$B349,Table1[Date],$A349,Table1[Bill No.],$C349),IF($K349="PETROL",AVERAGEIFS(Table14[RSP],Table14[Customer],$B349,Table14[Date],$A349,Table14[Bill No.],$C349),IF($K349="XtraGreen",AVERAGEIFS(Table146[RSP],Table146[Company],$B349,Table146[Date],$A349,Table146[Bill No.],$C349),IFERROR($F349/$D349,"")))))</f>
        <v/>
      </c>
      <c r="F349" s="330" t="str">
        <f>IF($A349="","",IF($K349="DIESEL",SUMIFS(Table1[Amount],Table1[Customer],$B349,Table1[Date],$A349,Table1[Bill No.],$C349),IF($K349="PETROL",SUMIFS(Table14[Amount],Table14[Customer],$B349,Table14[Date],$A349,Table14[Bill No.],$C349),IF($K349="XtraGreen",SUMIFS(Table146[Amount],Table146[Company],$B349,Table146[Date],$A349,Table146[Bill No.],$C349),SUMIFS('Other Sale'!$D:$D,'Other Sale'!$E:$E,$B349,'Other Sale'!$C:$C,$K349,'Other Sale'!$A:$A,$A349)))))</f>
        <v/>
      </c>
      <c r="G349" s="330" t="str" cm="1">
        <f t="array" ref="G349">IF($A349="","",IF($K349="Payment",IFERROR(INDEX(_xlfn._xlws.FILTER(MasterPaid[Amount Paid],(MasterPaid[Customer]=$B349)*(MasterPaid[Date]=$A349)),COUNTIFS($A$6:$A349,$A349,$B$6:$B349,$B349,$K$6:$K349,"Payment")),0),0))</f>
        <v/>
      </c>
      <c r="H349" s="331"/>
      <c r="I349" s="331"/>
      <c r="J349" s="330" t="str">
        <f t="shared" si="6"/>
        <v/>
      </c>
      <c r="K349" s="289" t="str" cm="1">
        <f t="array" ref="K349">IFERROR(INDEX(_xlfn.ANCHORARRAY($Q$6),ROW()-5,4),"")</f>
        <v/>
      </c>
      <c r="L349" s="290"/>
      <c r="U349">
        <f>IF(OR($A349="",$F349=""),0,MAX(0,MIN($F349,SUMIFS($F$6:$F349,$B$6:$B349,$B349)-(SUMIFS($G$6:$G$355,$B$6:$B$355,$B349)+SUMIFS($H$6:$H$355,$B$6:$B$355,$B349)+SUMIFS($I$6:$I$355,$B$6:$B$355,$B349)))))</f>
        <v>0</v>
      </c>
    </row>
    <row r="350" spans="1:21" ht="23" x14ac:dyDescent="0.25">
      <c r="A350" s="217" t="str" cm="1">
        <f t="array" ref="A350">IFERROR(INDEX(_xlfn.ANCHORARRAY($Q$6),ROW()-5,1),"")</f>
        <v/>
      </c>
      <c r="B350" s="288" t="str" cm="1">
        <f t="array" ref="B350">IFERROR(INDEX(_xlfn.ANCHORARRAY($Q$6),ROW()-5,2),"")</f>
        <v/>
      </c>
      <c r="C350" s="289" t="str" cm="1">
        <f t="array" ref="C350">IFERROR(INDEX(_xlfn.ANCHORARRAY($Q$6),ROW()-5,3),"")</f>
        <v/>
      </c>
      <c r="D350" s="218" t="str">
        <f>IF($A350="","",IF($K350="DIESEL",SUMIFS(Table1[Quantity],Table1[Customer],$B350,Table1[Date],$A350,Table1[Bill No.],$C350),IF($K350="PETROL",SUMIFS(Table14[Quantity],Table14[Customer],$B350,Table14[Date],$A350,Table14[Bill No.],$C350),IF($K350="XtraGreen",SUMIFS(Table146[Quantity],Table146[Company],$B350,Table146[Date],$A350,Table146[Bill No.],$C350),""))))</f>
        <v/>
      </c>
      <c r="E350" s="219" t="str">
        <f>IF($A350="","",IF($K350="DIESEL",AVERAGEIFS(Table1[RSP],Table1[Customer],$B350,Table1[Date],$A350,Table1[Bill No.],$C350),IF($K350="PETROL",AVERAGEIFS(Table14[RSP],Table14[Customer],$B350,Table14[Date],$A350,Table14[Bill No.],$C350),IF($K350="XtraGreen",AVERAGEIFS(Table146[RSP],Table146[Company],$B350,Table146[Date],$A350,Table146[Bill No.],$C350),IFERROR($F350/$D350,"")))))</f>
        <v/>
      </c>
      <c r="F350" s="330" t="str">
        <f>IF($A350="","",IF($K350="DIESEL",SUMIFS(Table1[Amount],Table1[Customer],$B350,Table1[Date],$A350,Table1[Bill No.],$C350),IF($K350="PETROL",SUMIFS(Table14[Amount],Table14[Customer],$B350,Table14[Date],$A350,Table14[Bill No.],$C350),IF($K350="XtraGreen",SUMIFS(Table146[Amount],Table146[Company],$B350,Table146[Date],$A350,Table146[Bill No.],$C350),SUMIFS('Other Sale'!$D:$D,'Other Sale'!$E:$E,$B350,'Other Sale'!$C:$C,$K350,'Other Sale'!$A:$A,$A350)))))</f>
        <v/>
      </c>
      <c r="G350" s="330" t="str" cm="1">
        <f t="array" ref="G350">IF($A350="","",IF($K350="Payment",IFERROR(INDEX(_xlfn._xlws.FILTER(MasterPaid[Amount Paid],(MasterPaid[Customer]=$B350)*(MasterPaid[Date]=$A350)),COUNTIFS($A$6:$A350,$A350,$B$6:$B350,$B350,$K$6:$K350,"Payment")),0),0))</f>
        <v/>
      </c>
      <c r="H350" s="331"/>
      <c r="I350" s="331"/>
      <c r="J350" s="330" t="str">
        <f t="shared" si="6"/>
        <v/>
      </c>
      <c r="K350" s="289" t="str" cm="1">
        <f t="array" ref="K350">IFERROR(INDEX(_xlfn.ANCHORARRAY($Q$6),ROW()-5,4),"")</f>
        <v/>
      </c>
      <c r="L350" s="290"/>
      <c r="U350">
        <f>IF(OR($A350="",$F350=""),0,MAX(0,MIN($F350,SUMIFS($F$6:$F350,$B$6:$B350,$B350)-(SUMIFS($G$6:$G$355,$B$6:$B$355,$B350)+SUMIFS($H$6:$H$355,$B$6:$B$355,$B350)+SUMIFS($I$6:$I$355,$B$6:$B$355,$B350)))))</f>
        <v>0</v>
      </c>
    </row>
    <row r="351" spans="1:21" ht="23" x14ac:dyDescent="0.25">
      <c r="A351" s="217" t="str" cm="1">
        <f t="array" ref="A351">IFERROR(INDEX(_xlfn.ANCHORARRAY($Q$6),ROW()-5,1),"")</f>
        <v/>
      </c>
      <c r="B351" s="288" t="str" cm="1">
        <f t="array" ref="B351">IFERROR(INDEX(_xlfn.ANCHORARRAY($Q$6),ROW()-5,2),"")</f>
        <v/>
      </c>
      <c r="C351" s="289" t="str" cm="1">
        <f t="array" ref="C351">IFERROR(INDEX(_xlfn.ANCHORARRAY($Q$6),ROW()-5,3),"")</f>
        <v/>
      </c>
      <c r="D351" s="218" t="str">
        <f>IF($A351="","",IF($K351="DIESEL",SUMIFS(Table1[Quantity],Table1[Customer],$B351,Table1[Date],$A351,Table1[Bill No.],$C351),IF($K351="PETROL",SUMIFS(Table14[Quantity],Table14[Customer],$B351,Table14[Date],$A351,Table14[Bill No.],$C351),IF($K351="XtraGreen",SUMIFS(Table146[Quantity],Table146[Company],$B351,Table146[Date],$A351,Table146[Bill No.],$C351),""))))</f>
        <v/>
      </c>
      <c r="E351" s="219" t="str">
        <f>IF($A351="","",IF($K351="DIESEL",AVERAGEIFS(Table1[RSP],Table1[Customer],$B351,Table1[Date],$A351,Table1[Bill No.],$C351),IF($K351="PETROL",AVERAGEIFS(Table14[RSP],Table14[Customer],$B351,Table14[Date],$A351,Table14[Bill No.],$C351),IF($K351="XtraGreen",AVERAGEIFS(Table146[RSP],Table146[Company],$B351,Table146[Date],$A351,Table146[Bill No.],$C351),IFERROR($F351/$D351,"")))))</f>
        <v/>
      </c>
      <c r="F351" s="330" t="str">
        <f>IF($A351="","",IF($K351="DIESEL",SUMIFS(Table1[Amount],Table1[Customer],$B351,Table1[Date],$A351,Table1[Bill No.],$C351),IF($K351="PETROL",SUMIFS(Table14[Amount],Table14[Customer],$B351,Table14[Date],$A351,Table14[Bill No.],$C351),IF($K351="XtraGreen",SUMIFS(Table146[Amount],Table146[Company],$B351,Table146[Date],$A351,Table146[Bill No.],$C351),SUMIFS('Other Sale'!$D:$D,'Other Sale'!$E:$E,$B351,'Other Sale'!$C:$C,$K351,'Other Sale'!$A:$A,$A351)))))</f>
        <v/>
      </c>
      <c r="G351" s="330" t="str" cm="1">
        <f t="array" ref="G351">IF($A351="","",IF($K351="Payment",IFERROR(INDEX(_xlfn._xlws.FILTER(MasterPaid[Amount Paid],(MasterPaid[Customer]=$B351)*(MasterPaid[Date]=$A351)),COUNTIFS($A$6:$A351,$A351,$B$6:$B351,$B351,$K$6:$K351,"Payment")),0),0))</f>
        <v/>
      </c>
      <c r="H351" s="331"/>
      <c r="I351" s="331"/>
      <c r="J351" s="330" t="str">
        <f t="shared" si="6"/>
        <v/>
      </c>
      <c r="K351" s="289" t="str" cm="1">
        <f t="array" ref="K351">IFERROR(INDEX(_xlfn.ANCHORARRAY($Q$6),ROW()-5,4),"")</f>
        <v/>
      </c>
      <c r="L351" s="290"/>
      <c r="U351">
        <f>IF(OR($A351="",$F351=""),0,MAX(0,MIN($F351,SUMIFS($F$6:$F351,$B$6:$B351,$B351)-(SUMIFS($G$6:$G$355,$B$6:$B$355,$B351)+SUMIFS($H$6:$H$355,$B$6:$B$355,$B351)+SUMIFS($I$6:$I$355,$B$6:$B$355,$B351)))))</f>
        <v>0</v>
      </c>
    </row>
    <row r="352" spans="1:21" ht="23" x14ac:dyDescent="0.25">
      <c r="A352" s="217" t="str" cm="1">
        <f t="array" ref="A352">IFERROR(INDEX(_xlfn.ANCHORARRAY($Q$6),ROW()-5,1),"")</f>
        <v/>
      </c>
      <c r="B352" s="288" t="str" cm="1">
        <f t="array" ref="B352">IFERROR(INDEX(_xlfn.ANCHORARRAY($Q$6),ROW()-5,2),"")</f>
        <v/>
      </c>
      <c r="C352" s="289" t="str" cm="1">
        <f t="array" ref="C352">IFERROR(INDEX(_xlfn.ANCHORARRAY($Q$6),ROW()-5,3),"")</f>
        <v/>
      </c>
      <c r="D352" s="218" t="str">
        <f>IF($A352="","",IF($K352="DIESEL",SUMIFS(Table1[Quantity],Table1[Customer],$B352,Table1[Date],$A352,Table1[Bill No.],$C352),IF($K352="PETROL",SUMIFS(Table14[Quantity],Table14[Customer],$B352,Table14[Date],$A352,Table14[Bill No.],$C352),IF($K352="XtraGreen",SUMIFS(Table146[Quantity],Table146[Company],$B352,Table146[Date],$A352,Table146[Bill No.],$C352),""))))</f>
        <v/>
      </c>
      <c r="E352" s="219" t="str">
        <f>IF($A352="","",IF($K352="DIESEL",AVERAGEIFS(Table1[RSP],Table1[Customer],$B352,Table1[Date],$A352,Table1[Bill No.],$C352),IF($K352="PETROL",AVERAGEIFS(Table14[RSP],Table14[Customer],$B352,Table14[Date],$A352,Table14[Bill No.],$C352),IF($K352="XtraGreen",AVERAGEIFS(Table146[RSP],Table146[Company],$B352,Table146[Date],$A352,Table146[Bill No.],$C352),IFERROR($F352/$D352,"")))))</f>
        <v/>
      </c>
      <c r="F352" s="330" t="str">
        <f>IF($A352="","",IF($K352="DIESEL",SUMIFS(Table1[Amount],Table1[Customer],$B352,Table1[Date],$A352,Table1[Bill No.],$C352),IF($K352="PETROL",SUMIFS(Table14[Amount],Table14[Customer],$B352,Table14[Date],$A352,Table14[Bill No.],$C352),IF($K352="XtraGreen",SUMIFS(Table146[Amount],Table146[Company],$B352,Table146[Date],$A352,Table146[Bill No.],$C352),SUMIFS('Other Sale'!$D:$D,'Other Sale'!$E:$E,$B352,'Other Sale'!$C:$C,$K352,'Other Sale'!$A:$A,$A352)))))</f>
        <v/>
      </c>
      <c r="G352" s="330" t="str" cm="1">
        <f t="array" ref="G352">IF($A352="","",IF($K352="Payment",IFERROR(INDEX(_xlfn._xlws.FILTER(MasterPaid[Amount Paid],(MasterPaid[Customer]=$B352)*(MasterPaid[Date]=$A352)),COUNTIFS($A$6:$A352,$A352,$B$6:$B352,$B352,$K$6:$K352,"Payment")),0),0))</f>
        <v/>
      </c>
      <c r="H352" s="331"/>
      <c r="I352" s="331"/>
      <c r="J352" s="330" t="str">
        <f t="shared" si="6"/>
        <v/>
      </c>
      <c r="K352" s="289" t="str" cm="1">
        <f t="array" ref="K352">IFERROR(INDEX(_xlfn.ANCHORARRAY($Q$6),ROW()-5,4),"")</f>
        <v/>
      </c>
      <c r="L352" s="290"/>
      <c r="U352">
        <f>IF(OR($A352="",$F352=""),0,MAX(0,MIN($F352,SUMIFS($F$6:$F352,$B$6:$B352,$B352)-(SUMIFS($G$6:$G$355,$B$6:$B$355,$B352)+SUMIFS($H$6:$H$355,$B$6:$B$355,$B352)+SUMIFS($I$6:$I$355,$B$6:$B$355,$B352)))))</f>
        <v>0</v>
      </c>
    </row>
    <row r="353" spans="1:21" ht="23" x14ac:dyDescent="0.25">
      <c r="A353" s="217" t="str" cm="1">
        <f t="array" ref="A353">IFERROR(INDEX(_xlfn.ANCHORARRAY($Q$6),ROW()-5,1),"")</f>
        <v/>
      </c>
      <c r="B353" s="288" t="str" cm="1">
        <f t="array" ref="B353">IFERROR(INDEX(_xlfn.ANCHORARRAY($Q$6),ROW()-5,2),"")</f>
        <v/>
      </c>
      <c r="C353" s="289" t="str" cm="1">
        <f t="array" ref="C353">IFERROR(INDEX(_xlfn.ANCHORARRAY($Q$6),ROW()-5,3),"")</f>
        <v/>
      </c>
      <c r="D353" s="218" t="str">
        <f>IF($A353="","",IF($K353="DIESEL",SUMIFS(Table1[Quantity],Table1[Customer],$B353,Table1[Date],$A353,Table1[Bill No.],$C353),IF($K353="PETROL",SUMIFS(Table14[Quantity],Table14[Customer],$B353,Table14[Date],$A353,Table14[Bill No.],$C353),IF($K353="XtraGreen",SUMIFS(Table146[Quantity],Table146[Company],$B353,Table146[Date],$A353,Table146[Bill No.],$C353),""))))</f>
        <v/>
      </c>
      <c r="E353" s="219" t="str">
        <f>IF($A353="","",IF($K353="DIESEL",AVERAGEIFS(Table1[RSP],Table1[Customer],$B353,Table1[Date],$A353,Table1[Bill No.],$C353),IF($K353="PETROL",AVERAGEIFS(Table14[RSP],Table14[Customer],$B353,Table14[Date],$A353,Table14[Bill No.],$C353),IF($K353="XtraGreen",AVERAGEIFS(Table146[RSP],Table146[Company],$B353,Table146[Date],$A353,Table146[Bill No.],$C353),IFERROR($F353/$D353,"")))))</f>
        <v/>
      </c>
      <c r="F353" s="330" t="str">
        <f>IF($A353="","",IF($K353="DIESEL",SUMIFS(Table1[Amount],Table1[Customer],$B353,Table1[Date],$A353,Table1[Bill No.],$C353),IF($K353="PETROL",SUMIFS(Table14[Amount],Table14[Customer],$B353,Table14[Date],$A353,Table14[Bill No.],$C353),IF($K353="XtraGreen",SUMIFS(Table146[Amount],Table146[Company],$B353,Table146[Date],$A353,Table146[Bill No.],$C353),SUMIFS('Other Sale'!$D:$D,'Other Sale'!$E:$E,$B353,'Other Sale'!$C:$C,$K353,'Other Sale'!$A:$A,$A353)))))</f>
        <v/>
      </c>
      <c r="G353" s="330" t="str" cm="1">
        <f t="array" ref="G353">IF($A353="","",IF($K353="Payment",IFERROR(INDEX(_xlfn._xlws.FILTER(MasterPaid[Amount Paid],(MasterPaid[Customer]=$B353)*(MasterPaid[Date]=$A353)),COUNTIFS($A$6:$A353,$A353,$B$6:$B353,$B353,$K$6:$K353,"Payment")),0),0))</f>
        <v/>
      </c>
      <c r="H353" s="331"/>
      <c r="I353" s="331"/>
      <c r="J353" s="330" t="str">
        <f t="shared" si="6"/>
        <v/>
      </c>
      <c r="K353" s="289" t="str" cm="1">
        <f t="array" ref="K353">IFERROR(INDEX(_xlfn.ANCHORARRAY($Q$6),ROW()-5,4),"")</f>
        <v/>
      </c>
      <c r="L353" s="290"/>
      <c r="U353">
        <f>IF(OR($A353="",$F353=""),0,MAX(0,MIN($F353,SUMIFS($F$6:$F353,$B$6:$B353,$B353)-(SUMIFS($G$6:$G$355,$B$6:$B$355,$B353)+SUMIFS($H$6:$H$355,$B$6:$B$355,$B353)+SUMIFS($I$6:$I$355,$B$6:$B$355,$B353)))))</f>
        <v>0</v>
      </c>
    </row>
    <row r="354" spans="1:21" ht="23" x14ac:dyDescent="0.25">
      <c r="A354" s="217" t="str" cm="1">
        <f t="array" ref="A354">IFERROR(INDEX(_xlfn.ANCHORARRAY($Q$6),ROW()-5,1),"")</f>
        <v/>
      </c>
      <c r="B354" s="288" t="str" cm="1">
        <f t="array" ref="B354">IFERROR(INDEX(_xlfn.ANCHORARRAY($Q$6),ROW()-5,2),"")</f>
        <v/>
      </c>
      <c r="C354" s="289" t="str" cm="1">
        <f t="array" ref="C354">IFERROR(INDEX(_xlfn.ANCHORARRAY($Q$6),ROW()-5,3),"")</f>
        <v/>
      </c>
      <c r="D354" s="218" t="str">
        <f>IF($A354="","",IF($K354="DIESEL",SUMIFS(Table1[Quantity],Table1[Customer],$B354,Table1[Date],$A354,Table1[Bill No.],$C354),IF($K354="PETROL",SUMIFS(Table14[Quantity],Table14[Customer],$B354,Table14[Date],$A354,Table14[Bill No.],$C354),IF($K354="XtraGreen",SUMIFS(Table146[Quantity],Table146[Company],$B354,Table146[Date],$A354,Table146[Bill No.],$C354),""))))</f>
        <v/>
      </c>
      <c r="E354" s="219" t="str">
        <f>IF($A354="","",IF($K354="DIESEL",AVERAGEIFS(Table1[RSP],Table1[Customer],$B354,Table1[Date],$A354,Table1[Bill No.],$C354),IF($K354="PETROL",AVERAGEIFS(Table14[RSP],Table14[Customer],$B354,Table14[Date],$A354,Table14[Bill No.],$C354),IF($K354="XtraGreen",AVERAGEIFS(Table146[RSP],Table146[Company],$B354,Table146[Date],$A354,Table146[Bill No.],$C354),IFERROR($F354/$D354,"")))))</f>
        <v/>
      </c>
      <c r="F354" s="330" t="str">
        <f>IF($A354="","",IF($K354="DIESEL",SUMIFS(Table1[Amount],Table1[Customer],$B354,Table1[Date],$A354,Table1[Bill No.],$C354),IF($K354="PETROL",SUMIFS(Table14[Amount],Table14[Customer],$B354,Table14[Date],$A354,Table14[Bill No.],$C354),IF($K354="XtraGreen",SUMIFS(Table146[Amount],Table146[Company],$B354,Table146[Date],$A354,Table146[Bill No.],$C354),SUMIFS('Other Sale'!$D:$D,'Other Sale'!$E:$E,$B354,'Other Sale'!$C:$C,$K354,'Other Sale'!$A:$A,$A354)))))</f>
        <v/>
      </c>
      <c r="G354" s="330" t="str" cm="1">
        <f t="array" ref="G354">IF($A354="","",IF($K354="Payment",IFERROR(INDEX(_xlfn._xlws.FILTER(MasterPaid[Amount Paid],(MasterPaid[Customer]=$B354)*(MasterPaid[Date]=$A354)),COUNTIFS($A$6:$A354,$A354,$B$6:$B354,$B354,$K$6:$K354,"Payment")),0),0))</f>
        <v/>
      </c>
      <c r="H354" s="331"/>
      <c r="I354" s="331"/>
      <c r="J354" s="330" t="str">
        <f t="shared" si="6"/>
        <v/>
      </c>
      <c r="K354" s="289" t="str" cm="1">
        <f t="array" ref="K354">IFERROR(INDEX(_xlfn.ANCHORARRAY($Q$6),ROW()-5,4),"")</f>
        <v/>
      </c>
      <c r="L354" s="290"/>
      <c r="U354">
        <f>IF(OR($A354="",$F354=""),0,MAX(0,MIN($F354,SUMIFS($F$6:$F354,$B$6:$B354,$B354)-(SUMIFS($G$6:$G$355,$B$6:$B$355,$B354)+SUMIFS($H$6:$H$355,$B$6:$B$355,$B354)+SUMIFS($I$6:$I$355,$B$6:$B$355,$B354)))))</f>
        <v>0</v>
      </c>
    </row>
    <row r="355" spans="1:21" ht="23" x14ac:dyDescent="0.25">
      <c r="A355" s="217" t="str" cm="1">
        <f t="array" ref="A355">IFERROR(INDEX(_xlfn.ANCHORARRAY($Q$6),ROW()-5,1),"")</f>
        <v/>
      </c>
      <c r="B355" s="288" t="str" cm="1">
        <f t="array" ref="B355">IFERROR(INDEX(_xlfn.ANCHORARRAY($Q$6),ROW()-5,2),"")</f>
        <v/>
      </c>
      <c r="C355" s="289" t="str" cm="1">
        <f t="array" ref="C355">IFERROR(INDEX(_xlfn.ANCHORARRAY($Q$6),ROW()-5,3),"")</f>
        <v/>
      </c>
      <c r="D355" s="218" t="str">
        <f>IF($A355="","",IF($K355="DIESEL",SUMIFS(Table1[Quantity],Table1[Customer],$B355,Table1[Date],$A355,Table1[Bill No.],$C355),IF($K355="PETROL",SUMIFS(Table14[Quantity],Table14[Customer],$B355,Table14[Date],$A355,Table14[Bill No.],$C355),IF($K355="XtraGreen",SUMIFS(Table146[Quantity],Table146[Company],$B355,Table146[Date],$A355,Table146[Bill No.],$C355),""))))</f>
        <v/>
      </c>
      <c r="E355" s="219" t="str">
        <f>IF($A355="","",IF($K355="DIESEL",AVERAGEIFS(Table1[RSP],Table1[Customer],$B355,Table1[Date],$A355,Table1[Bill No.],$C355),IF($K355="PETROL",AVERAGEIFS(Table14[RSP],Table14[Customer],$B355,Table14[Date],$A355,Table14[Bill No.],$C355),IF($K355="XtraGreen",AVERAGEIFS(Table146[RSP],Table146[Company],$B355,Table146[Date],$A355,Table146[Bill No.],$C355),IFERROR($F355/$D355,"")))))</f>
        <v/>
      </c>
      <c r="F355" s="330" t="str">
        <f>IF($A355="","",IF($K355="DIESEL",SUMIFS(Table1[Amount],Table1[Customer],$B355,Table1[Date],$A355,Table1[Bill No.],$C355),IF($K355="PETROL",SUMIFS(Table14[Amount],Table14[Customer],$B355,Table14[Date],$A355,Table14[Bill No.],$C355),IF($K355="XtraGreen",SUMIFS(Table146[Amount],Table146[Company],$B355,Table146[Date],$A355,Table146[Bill No.],$C355),SUMIFS('Other Sale'!$D:$D,'Other Sale'!$E:$E,$B355,'Other Sale'!$C:$C,$K355,'Other Sale'!$A:$A,$A355)))))</f>
        <v/>
      </c>
      <c r="G355" s="330" t="str" cm="1">
        <f t="array" ref="G355">IF($A355="","",IF($K355="Payment",IFERROR(INDEX(_xlfn._xlws.FILTER(MasterPaid[Amount Paid],(MasterPaid[Customer]=$B355)*(MasterPaid[Date]=$A355)),COUNTIFS($A$6:$A355,$A355,$B$6:$B355,$B355,$K$6:$K355,"Payment")),0),0))</f>
        <v/>
      </c>
      <c r="H355" s="331"/>
      <c r="I355" s="331"/>
      <c r="J355" s="330" t="str">
        <f t="shared" si="6"/>
        <v/>
      </c>
      <c r="K355" s="289" t="str" cm="1">
        <f t="array" ref="K355">IFERROR(INDEX(_xlfn.ANCHORARRAY($Q$6),ROW()-5,4),"")</f>
        <v/>
      </c>
      <c r="L355" s="290"/>
      <c r="U355">
        <f>IF(OR($A355="",$F355=""),0,MAX(0,MIN($F355,SUMIFS($F$6:$F355,$B$6:$B355,$B355)-(SUMIFS($G$6:$G$355,$B$6:$B$355,$B355)+SUMIFS($H$6:$H$355,$B$6:$B$355,$B355)+SUMIFS($I$6:$I$355,$B$6:$B$355,$B355)))))</f>
        <v>0</v>
      </c>
    </row>
  </sheetData>
  <sheetProtection sheet="1" objects="1" scenarios="1"/>
  <mergeCells count="2">
    <mergeCell ref="A1:L1"/>
    <mergeCell ref="Y5:AB5"/>
  </mergeCells>
  <conditionalFormatting sqref="A1:AB355">
    <cfRule type="cellIs" dxfId="1941" priority="1" operator="lessThan">
      <formula>0</formula>
    </cfRule>
  </conditionalFormatting>
  <conditionalFormatting sqref="AD5:BL5">
    <cfRule type="expression" dxfId="1940" priority="2">
      <formula>AD$7&lt;&gt;""</formula>
    </cfRule>
  </conditionalFormatting>
  <conditionalFormatting sqref="AD7:BL7">
    <cfRule type="expression" dxfId="1939" priority="3">
      <formula>AD7&lt;&gt;""</formula>
    </cfRule>
  </conditionalFormatting>
  <conditionalFormatting sqref="AD7:BL200">
    <cfRule type="expression" dxfId="1938" priority="4">
      <formula>AD7&lt;&gt;""</formula>
    </cfRule>
  </conditionalFormatting>
  <conditionalFormatting sqref="AD7:BL200">
    <cfRule type="expression" dxfId="1937" priority="5">
      <formula>$AD7="Total"</formula>
    </cfRule>
  </conditionalFormatting>
  <hyperlinks>
    <hyperlink ref="M1" location="Index!A1" display="→ Index" xr:uid="{0CFF1F8A-8DE5-D349-A128-0E7BE87D2D83}"/>
  </hyperlink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30133-2ADF-0E49-874A-D6C463791E52}">
  <sheetPr codeName="Sheet43"/>
  <dimension ref="A1:AB355"/>
  <sheetViews>
    <sheetView topLeftCell="C1" zoomScale="69" zoomScaleNormal="80" workbookViewId="0">
      <selection activeCell="Y8" sqref="Y8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50.33203125" bestFit="1" customWidth="1"/>
    <col min="3" max="3" width="15.83203125" customWidth="1"/>
    <col min="4" max="4" width="11.5" bestFit="1" customWidth="1"/>
    <col min="5" max="5" width="9.83203125" bestFit="1" customWidth="1"/>
    <col min="6" max="6" width="15" customWidth="1"/>
    <col min="7" max="7" width="16.83203125" customWidth="1"/>
    <col min="8" max="8" width="9.83203125" bestFit="1" customWidth="1"/>
    <col min="9" max="9" width="13" bestFit="1" customWidth="1"/>
    <col min="10" max="10" width="18.6640625" customWidth="1"/>
    <col min="11" max="11" width="12" bestFit="1" customWidth="1"/>
    <col min="12" max="12" width="13.1640625" bestFit="1" customWidth="1"/>
    <col min="14" max="15" width="18.33203125" customWidth="1"/>
    <col min="17" max="19" width="10.83203125" customWidth="1" outlineLevel="1"/>
    <col min="21" max="21" width="10.83203125" customWidth="1" outlineLevel="1"/>
    <col min="25" max="25" width="38.33203125" customWidth="1"/>
    <col min="26" max="26" width="14.1640625" customWidth="1"/>
    <col min="27" max="27" width="11.6640625" customWidth="1"/>
    <col min="28" max="28" width="15.83203125" customWidth="1"/>
  </cols>
  <sheetData>
    <row r="1" spans="1:28" ht="36" customHeight="1" x14ac:dyDescent="0.2">
      <c r="A1" s="499" t="s">
        <v>2072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</row>
    <row r="2" spans="1:28" ht="7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</row>
    <row r="3" spans="1:28" ht="21.75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N3" s="298" t="s">
        <v>2047</v>
      </c>
      <c r="O3" s="299" t="s">
        <v>2073</v>
      </c>
    </row>
    <row r="4" spans="1:28" ht="21.75" x14ac:dyDescent="0.25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N4" s="300" t="s">
        <v>2028</v>
      </c>
      <c r="O4" s="230">
        <v>0</v>
      </c>
    </row>
    <row r="5" spans="1:28" ht="24" thickBot="1" x14ac:dyDescent="0.3">
      <c r="A5" s="285" t="s">
        <v>6</v>
      </c>
      <c r="B5" s="286" t="s">
        <v>2049</v>
      </c>
      <c r="C5" s="285" t="s">
        <v>0</v>
      </c>
      <c r="D5" s="286" t="s">
        <v>1179</v>
      </c>
      <c r="E5" s="286" t="s">
        <v>1180</v>
      </c>
      <c r="F5" s="286" t="s">
        <v>4</v>
      </c>
      <c r="G5" s="286" t="s">
        <v>1181</v>
      </c>
      <c r="H5" s="286" t="s">
        <v>2030</v>
      </c>
      <c r="I5" s="286" t="s">
        <v>2031</v>
      </c>
      <c r="J5" s="286" t="s">
        <v>1182</v>
      </c>
      <c r="K5" s="286" t="s">
        <v>1183</v>
      </c>
      <c r="L5" s="286" t="s">
        <v>2032</v>
      </c>
      <c r="N5" s="301" t="s">
        <v>2029</v>
      </c>
      <c r="O5" s="231">
        <f>DATE(2026,4,1)</f>
        <v>46113</v>
      </c>
      <c r="Q5" t="s">
        <v>2065</v>
      </c>
      <c r="U5" t="s">
        <v>2067</v>
      </c>
      <c r="Y5" s="500" t="s">
        <v>2068</v>
      </c>
      <c r="Z5" s="500"/>
      <c r="AA5" s="500"/>
      <c r="AB5" s="500"/>
    </row>
    <row r="6" spans="1:28" ht="21.75" x14ac:dyDescent="0.25">
      <c r="A6" s="217" cm="1">
        <f t="array" ref="A6">IFERROR(INDEX(_xlfn.ANCHORARRAY($Q$6),ROW()-5,1),"")</f>
        <v>46114</v>
      </c>
      <c r="B6" s="288" t="str" cm="1">
        <f t="array" ref="B6">IFERROR(INDEX(_xlfn.ANCHORARRAY($Q$6),ROW()-5,2),"")</f>
        <v>KRISHNA INFRATECH PVT LTD</v>
      </c>
      <c r="C6" s="289" t="str" cm="1">
        <f t="array" ref="C6">IFERROR(INDEX(_xlfn.ANCHORARRAY($Q$6),ROW()-5,3),"")</f>
        <v>22</v>
      </c>
      <c r="D6" s="218">
        <f>IF($A6="","",IF($K6="DIESEL",SUMIFS(Table1[Quantity],Table1[Customer],$B6,Table1[Date],$A6,Table1[Bill No.],$C6),IF($K6="PETROL",SUMIFS(Table14[Quantity],Table14[Customer],$B6,Table14[Date],$A6,Table14[Bill No.],$C6),IF($K6="XtraGreen",SUMIFS(Table146[Quantity],Table146[Company],$B6,Table146[Date],$A6,Table146[Bill No.],$C6),""))))</f>
        <v>800</v>
      </c>
      <c r="E6" s="219">
        <f>IF($A6="","",IF($K6="DIESEL",AVERAGEIFS(Table1[RSP],Table1[Customer],$B6,Table1[Date],$A6,Table1[Bill No.],$C6),IF($K6="PETROL",AVERAGEIFS(Table14[RSP],Table14[Customer],$B6,Table14[Date],$A6,Table14[Bill No.],$C6),IF($K6="XtraGreen",AVERAGEIFS(Table146[RSP],Table146[Company],$B6,Table146[Date],$A6,Table146[Bill No.],$C6),IFERROR($F6/$D6,"")))))</f>
        <v>92.74</v>
      </c>
      <c r="F6" s="330">
        <f>IF($A6="","",IF($K6="DIESEL",SUMIFS(Table1[Amount],Table1[Customer],$B6,Table1[Date],$A6,Table1[Bill No.],$C6),IF($K6="PETROL",SUMIFS(Table14[Amount],Table14[Customer],$B6,Table14[Date],$A6,Table14[Bill No.],$C6),IF($K6="XtraGreen",SUMIFS(Table146[Amount],Table146[Company],$B6,Table146[Date],$A6,Table146[Bill No.],$C6),SUMIFS('Other Sale'!$D:$D,'Other Sale'!$E:$E,$B6,'Other Sale'!$C:$C,$K6,'Other Sale'!$A:$A,$A6)))))</f>
        <v>74192</v>
      </c>
      <c r="G6" s="330" cm="1">
        <f t="array" ref="G6">IF($A6="","",IF($K6="Payment",IFERROR(INDEX(_xlfn._xlws.FILTER(MasterPaid[Amount Paid],(MasterPaid[Customer]=$B6)*(MasterPaid[Date]=$A6)),COUNTIFS($A$6:$A6,$A6,$B$6:$B6,$B6,$K$6:$K6,"Payment")),0),0))</f>
        <v>0</v>
      </c>
      <c r="H6" s="331"/>
      <c r="I6" s="331"/>
      <c r="J6" s="330">
        <f>IF($A6="","",$O$4+N(F6)-N(G6)-N(H6)-N(I6))</f>
        <v>74192</v>
      </c>
      <c r="K6" s="289" t="str" cm="1">
        <f t="array" ref="K6">IFERROR(INDEX(_xlfn.ANCHORARRAY($Q$6),ROW()-5,4),"")</f>
        <v>DIESEL</v>
      </c>
      <c r="L6" s="290"/>
      <c r="Q6" cm="1">
        <f t="array" ref="Q6:T46">_xlfn.LET(_xlpm.cut,$O$5,_xlpm.grp,'Customer GST'!$L$1:$L$50,_xlpm.hd,'HSD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Sale'!$E$2:$E$5000,_xlpm.ob,'Other Sale'!$B$2:$B$5000,_xlpm.op,'Other Sale'!$C$2:$C$5000,_xlpm.dA,_xlfn.HSTACK(_xlpm.hd,_xlpm.hc,_xlpm.hb,IF(_xlpm.hd&lt;&gt;"","DIESEL","")),_xlpm.mA,_xlfn.HSTACK(_xlpm.md,_xlpm.mc,_xlpm.mb,IF(_xlpm.md&lt;&gt;"","PETROL","")),_xlpm.xA,_xlfn.HSTACK(_xlpm.xd,_xlpm.xc,_xlpm.xb,IF(_xlpm.xd&lt;&gt;"","XtraGreen","")),_xlpm.pA,_xlfn.HSTACK(_xlpm.pd,_xlpm.pc,IF(_xlpm.pd&lt;&gt;"","",""),IF(_xlpm.pd&lt;&gt;"","Payment","")),_xlpm.oA,_xlfn.HSTACK(_xlpm.od,_xlpm.oc,_xlpm.ob,_xlpm.op),_xlpm.stk,_xlfn.VSTACK(_xlpm.dA,_xlpm.mA,_xlpm.xA,_xlpm.pA,_xlpm.oA),_xlpm.sd,INDEX(_xlpm.stk,,1),_xlpm.sc,INDEX(_xlpm.stk,,2),_xlpm.flt,IFERROR(_xlfn._xlws.FILTER(_xlpm.stk,(_xlpm.sd&gt;=_xlpm.cut)*(ISNUMBER(MATCH(_xlpm.sc,_xlpm.grp,0)))),""),IFERROR(_xlfn._xlws.SORT(_xlpm.flt,{1,2,3},{1,1,1}),_xlpm.flt))</f>
        <v>46114</v>
      </c>
      <c r="R6" t="str">
        <v>KRISHNA INFRATECH PVT LTD</v>
      </c>
      <c r="S6" t="str">
        <v>22</v>
      </c>
      <c r="T6" t="str">
        <v>DIESEL</v>
      </c>
      <c r="U6">
        <f>IF(OR($A6="",$F6=""),0,MAX(0,MIN($F6,SUMIFS($F$6:$F6,$B$6:$B6,$B6)-(SUMIFS($G$6:$G$355,$B$6:$B$355,$B6)+SUMIFS($H$6:$H$355,$B$6:$B$355,$B6)+SUMIFS($I$6:$I$355,$B$6:$B$355,$B6)))))</f>
        <v>0</v>
      </c>
      <c r="AA6" s="276" t="s">
        <v>2069</v>
      </c>
      <c r="AB6" s="332">
        <f>SUM($U$6:$U$355)</f>
        <v>120888</v>
      </c>
    </row>
    <row r="7" spans="1:28" ht="21.75" x14ac:dyDescent="0.25">
      <c r="A7" s="217" cm="1">
        <f t="array" ref="A7">IFERROR(INDEX(_xlfn.ANCHORARRAY($Q$6),ROW()-5,1),"")</f>
        <v>46115</v>
      </c>
      <c r="B7" s="288" t="str" cm="1">
        <f t="array" ref="B7">IFERROR(INDEX(_xlfn.ANCHORARRAY($Q$6),ROW()-5,2),"")</f>
        <v>M/s Jai Balaji Oxygen Private Limited</v>
      </c>
      <c r="C7" s="289" t="str" cm="1">
        <f t="array" ref="C7">IFERROR(INDEX(_xlfn.ANCHORARRAY($Q$6),ROW()-5,3),"")</f>
        <v>37</v>
      </c>
      <c r="D7" s="218">
        <f>IF($A7="","",IF($K7="DIESEL",SUMIFS(Table1[Quantity],Table1[Customer],$B7,Table1[Date],$A7,Table1[Bill No.],$C7),IF($K7="PETROL",SUMIFS(Table14[Quantity],Table14[Customer],$B7,Table14[Date],$A7,Table14[Bill No.],$C7),IF($K7="XtraGreen",SUMIFS(Table146[Quantity],Table146[Company],$B7,Table146[Date],$A7,Table146[Bill No.],$C7),""))))</f>
        <v>1200</v>
      </c>
      <c r="E7" s="219">
        <f>IF($A7="","",IF($K7="DIESEL",AVERAGEIFS(Table1[RSP],Table1[Customer],$B7,Table1[Date],$A7,Table1[Bill No.],$C7),IF($K7="PETROL",AVERAGEIFS(Table14[RSP],Table14[Customer],$B7,Table14[Date],$A7,Table14[Bill No.],$C7),IF($K7="XtraGreen",AVERAGEIFS(Table146[RSP],Table146[Company],$B7,Table146[Date],$A7,Table146[Bill No.],$C7),IFERROR($F7/$D7,"")))))</f>
        <v>92.74</v>
      </c>
      <c r="F7" s="330">
        <f>IF($A7="","",IF($K7="DIESEL",SUMIFS(Table1[Amount],Table1[Customer],$B7,Table1[Date],$A7,Table1[Bill No.],$C7),IF($K7="PETROL",SUMIFS(Table14[Amount],Table14[Customer],$B7,Table14[Date],$A7,Table14[Bill No.],$C7),IF($K7="XtraGreen",SUMIFS(Table146[Amount],Table146[Company],$B7,Table146[Date],$A7,Table146[Bill No.],$C7),SUMIFS('Other Sale'!$D:$D,'Other Sale'!$E:$E,$B7,'Other Sale'!$C:$C,$K7,'Other Sale'!$A:$A,$A7)))))</f>
        <v>111288</v>
      </c>
      <c r="G7" s="330" cm="1">
        <f t="array" ref="G7">IF($A7="","",IF($K7="Payment",IFERROR(INDEX(_xlfn._xlws.FILTER(MasterPaid[Amount Paid],(MasterPaid[Customer]=$B7)*(MasterPaid[Date]=$A7)),COUNTIFS($A$6:$A7,$A7,$B$6:$B7,$B7,$K$6:$K7,"Payment")),0),0))</f>
        <v>0</v>
      </c>
      <c r="H7" s="331"/>
      <c r="I7" s="331"/>
      <c r="J7" s="330">
        <f>IF($A7="","",J6+N(F7)-N(G7)-N(H7)-N(I7))</f>
        <v>185480</v>
      </c>
      <c r="K7" s="289" t="str" cm="1">
        <f t="array" ref="K7">IFERROR(INDEX(_xlfn.ANCHORARRAY($Q$6),ROW()-5,4),"")</f>
        <v>DIESEL</v>
      </c>
      <c r="L7" s="290"/>
      <c r="N7" s="302" t="s">
        <v>2033</v>
      </c>
      <c r="O7" s="278"/>
      <c r="Q7">
        <v>46115</v>
      </c>
      <c r="R7" t="str">
        <v>M/s Jai Balaji Oxygen Private Limited</v>
      </c>
      <c r="S7" t="str">
        <v>37</v>
      </c>
      <c r="T7" t="str">
        <v>DIESEL</v>
      </c>
      <c r="U7">
        <f>IF(OR($A7="",$F7=""),0,MAX(0,MIN($F7,SUMIFS($F$6:$F7,$B$6:$B7,$B7)-(SUMIFS($G$6:$G$355,$B$6:$B$355,$B7)+SUMIFS($H$6:$H$355,$B$6:$B$355,$B7)+SUMIFS($I$6:$I$355,$B$6:$B$355,$B7)))))</f>
        <v>0</v>
      </c>
      <c r="Y7" s="293" t="s">
        <v>5</v>
      </c>
      <c r="Z7" s="293" t="s">
        <v>2070</v>
      </c>
      <c r="AA7" s="293" t="s">
        <v>0</v>
      </c>
      <c r="AB7" s="293" t="s">
        <v>2071</v>
      </c>
    </row>
    <row r="8" spans="1:28" ht="21.75" x14ac:dyDescent="0.25">
      <c r="A8" s="217" cm="1">
        <f t="array" ref="A8">IFERROR(INDEX(_xlfn.ANCHORARRAY($Q$6),ROW()-5,1),"")</f>
        <v>46119</v>
      </c>
      <c r="B8" s="288" t="str" cm="1">
        <f t="array" ref="B8">IFERROR(INDEX(_xlfn.ANCHORARRAY($Q$6),ROW()-5,2),"")</f>
        <v>KRISHNA INFRATECH PVT LTD</v>
      </c>
      <c r="C8" s="289" t="str" cm="1">
        <f t="array" ref="C8">IFERROR(INDEX(_xlfn.ANCHORARRAY($Q$6),ROW()-5,3),"")</f>
        <v/>
      </c>
      <c r="D8" s="218" t="str">
        <f>IF($A8="","",IF($K8="DIESEL",SUMIFS(Table1[Quantity],Table1[Customer],$B8,Table1[Date],$A8,Table1[Bill No.],$C8),IF($K8="PETROL",SUMIFS(Table14[Quantity],Table14[Customer],$B8,Table14[Date],$A8,Table14[Bill No.],$C8),IF($K8="XtraGreen",SUMIFS(Table146[Quantity],Table146[Company],$B8,Table146[Date],$A8,Table146[Bill No.],$C8),""))))</f>
        <v/>
      </c>
      <c r="E8" s="219" t="str">
        <f>IF($A8="","",IF($K8="DIESEL",AVERAGEIFS(Table1[RSP],Table1[Customer],$B8,Table1[Date],$A8,Table1[Bill No.],$C8),IF($K8="PETROL",AVERAGEIFS(Table14[RSP],Table14[Customer],$B8,Table14[Date],$A8,Table14[Bill No.],$C8),IF($K8="XtraGreen",AVERAGEIFS(Table146[RSP],Table146[Company],$B8,Table146[Date],$A8,Table146[Bill No.],$C8),IFERROR($F8/$D8,"")))))</f>
        <v/>
      </c>
      <c r="F8" s="330">
        <f>IF($A8="","",IF($K8="DIESEL",SUMIFS(Table1[Amount],Table1[Customer],$B8,Table1[Date],$A8,Table1[Bill No.],$C8),IF($K8="PETROL",SUMIFS(Table14[Amount],Table14[Customer],$B8,Table14[Date],$A8,Table14[Bill No.],$C8),IF($K8="XtraGreen",SUMIFS(Table146[Amount],Table146[Company],$B8,Table146[Date],$A8,Table146[Bill No.],$C8),SUMIFS('Other Sale'!$D:$D,'Other Sale'!$E:$E,$B8,'Other Sale'!$C:$C,$K8,'Other Sale'!$A:$A,$A8)))))</f>
        <v>0</v>
      </c>
      <c r="G8" s="330" cm="1">
        <f t="array" ref="G8">IF($A8="","",IF($K8="Payment",IFERROR(INDEX(_xlfn._xlws.FILTER(MasterPaid[Amount Paid],(MasterPaid[Customer]=$B8)*(MasterPaid[Date]=$A8)),COUNTIFS($A$6:$A8,$A8,$B$6:$B8,$B8,$K$6:$K8,"Payment")),0),0))</f>
        <v>74192</v>
      </c>
      <c r="H8" s="331"/>
      <c r="I8" s="331"/>
      <c r="J8" s="330">
        <f t="shared" ref="J8:J71" si="0">IF($A8="","",J7+N(F8)-N(G8)-N(H8)-N(I8))</f>
        <v>111288</v>
      </c>
      <c r="K8" s="289" t="str" cm="1">
        <f t="array" ref="K8">IFERROR(INDEX(_xlfn.ANCHORARRAY($Q$6),ROW()-5,4),"")</f>
        <v>Payment</v>
      </c>
      <c r="L8" s="290"/>
      <c r="N8" s="303" t="s">
        <v>2034</v>
      </c>
      <c r="O8" s="336">
        <f>SUM(F6:F355)</f>
        <v>1730141</v>
      </c>
      <c r="Q8">
        <v>46119</v>
      </c>
      <c r="R8" t="str">
        <v>KRISHNA INFRATECH PVT LTD</v>
      </c>
      <c r="S8" t="str">
        <v/>
      </c>
      <c r="T8" t="str">
        <v>Payment</v>
      </c>
      <c r="U8">
        <f>IF(OR($A8="",$F8=""),0,MAX(0,MIN($F8,SUMIFS($F$6:$F8,$B$6:$B8,$B8)-(SUMIFS($G$6:$G$355,$B$6:$B$355,$B8)+SUMIFS($H$6:$H$355,$B$6:$B$355,$B8)+SUMIFS($I$6:$I$355,$B$6:$B$355,$B8)))))</f>
        <v>0</v>
      </c>
      <c r="Y8" s="295" t="str" cm="1">
        <f t="array" ref="Y8:AB8">IFERROR(_xlfn._xlws.SORT(_xlfn._xlws.FILTER(_xlfn.HSTACK($B$6:$B$355,$A$6:$A$355,$C$6:$C$355,$U$6:$U$355),$U$6:$U$355&gt;0),{1,2},{1,1}),"All settled — no outstanding")</f>
        <v>M/s  Ankita Air Products Private Limited</v>
      </c>
      <c r="Z8" s="220">
        <v>46261</v>
      </c>
      <c r="AA8" s="296" t="str">
        <v>2426</v>
      </c>
      <c r="AB8" s="334">
        <v>120888</v>
      </c>
    </row>
    <row r="9" spans="1:28" ht="21.75" x14ac:dyDescent="0.25">
      <c r="A9" s="217" cm="1">
        <f t="array" ref="A9">IFERROR(INDEX(_xlfn.ANCHORARRAY($Q$6),ROW()-5,1),"")</f>
        <v>46119</v>
      </c>
      <c r="B9" s="288" t="str" cm="1">
        <f t="array" ref="B9">IFERROR(INDEX(_xlfn.ANCHORARRAY($Q$6),ROW()-5,2),"")</f>
        <v>M/s Jai Balaji Oxygen Private Limited</v>
      </c>
      <c r="C9" s="289" t="str" cm="1">
        <f t="array" ref="C9">IFERROR(INDEX(_xlfn.ANCHORARRAY($Q$6),ROW()-5,3),"")</f>
        <v/>
      </c>
      <c r="D9" s="218" t="str">
        <f>IF($A9="","",IF($K9="DIESEL",SUMIFS(Table1[Quantity],Table1[Customer],$B9,Table1[Date],$A9,Table1[Bill No.],$C9),IF($K9="PETROL",SUMIFS(Table14[Quantity],Table14[Customer],$B9,Table14[Date],$A9,Table14[Bill No.],$C9),IF($K9="XtraGreen",SUMIFS(Table146[Quantity],Table146[Company],$B9,Table146[Date],$A9,Table146[Bill No.],$C9),""))))</f>
        <v/>
      </c>
      <c r="E9" s="219" t="str">
        <f>IF($A9="","",IF($K9="DIESEL",AVERAGEIFS(Table1[RSP],Table1[Customer],$B9,Table1[Date],$A9,Table1[Bill No.],$C9),IF($K9="PETROL",AVERAGEIFS(Table14[RSP],Table14[Customer],$B9,Table14[Date],$A9,Table14[Bill No.],$C9),IF($K9="XtraGreen",AVERAGEIFS(Table146[RSP],Table146[Company],$B9,Table146[Date],$A9,Table146[Bill No.],$C9),IFERROR($F9/$D9,"")))))</f>
        <v/>
      </c>
      <c r="F9" s="330">
        <f>IF($A9="","",IF($K9="DIESEL",SUMIFS(Table1[Amount],Table1[Customer],$B9,Table1[Date],$A9,Table1[Bill No.],$C9),IF($K9="PETROL",SUMIFS(Table14[Amount],Table14[Customer],$B9,Table14[Date],$A9,Table14[Bill No.],$C9),IF($K9="XtraGreen",SUMIFS(Table146[Amount],Table146[Company],$B9,Table146[Date],$A9,Table146[Bill No.],$C9),SUMIFS('Other Sale'!$D:$D,'Other Sale'!$E:$E,$B9,'Other Sale'!$C:$C,$K9,'Other Sale'!$A:$A,$A9)))))</f>
        <v>0</v>
      </c>
      <c r="G9" s="330" cm="1">
        <f t="array" ref="G9">IF($A9="","",IF($K9="Payment",IFERROR(INDEX(_xlfn._xlws.FILTER(MasterPaid[Amount Paid],(MasterPaid[Customer]=$B9)*(MasterPaid[Date]=$A9)),COUNTIFS($A$6:$A9,$A9,$B$6:$B9,$B9,$K$6:$K9,"Payment")),0),0))</f>
        <v>111288</v>
      </c>
      <c r="H9" s="331"/>
      <c r="I9" s="331"/>
      <c r="J9" s="330">
        <f t="shared" si="0"/>
        <v>0</v>
      </c>
      <c r="K9" s="289" t="str" cm="1">
        <f t="array" ref="K9">IFERROR(INDEX(_xlfn.ANCHORARRAY($Q$6),ROW()-5,4),"")</f>
        <v>Payment</v>
      </c>
      <c r="L9" s="290"/>
      <c r="N9" s="303" t="s">
        <v>2035</v>
      </c>
      <c r="O9" s="336">
        <f>SUM(G6:G355)</f>
        <v>1609253</v>
      </c>
      <c r="Q9">
        <v>46119</v>
      </c>
      <c r="R9" t="str">
        <v>M/s Jai Balaji Oxygen Private Limited</v>
      </c>
      <c r="S9" t="str">
        <v/>
      </c>
      <c r="T9" t="str">
        <v>Payment</v>
      </c>
      <c r="U9">
        <f>IF(OR($A9="",$F9=""),0,MAX(0,MIN($F9,SUMIFS($F$6:$F9,$B$6:$B9,$B9)-(SUMIFS($G$6:$G$355,$B$6:$B$355,$B9)+SUMIFS($H$6:$H$355,$B$6:$B$355,$B9)+SUMIFS($I$6:$I$355,$B$6:$B$355,$B9)))))</f>
        <v>0</v>
      </c>
      <c r="Y9" s="295"/>
      <c r="Z9" s="220"/>
      <c r="AA9" s="296"/>
      <c r="AB9" s="334"/>
    </row>
    <row r="10" spans="1:28" ht="21.75" x14ac:dyDescent="0.25">
      <c r="A10" s="217" cm="1">
        <f t="array" ref="A10">IFERROR(INDEX(_xlfn.ANCHORARRAY($Q$6),ROW()-5,1),"")</f>
        <v>46130</v>
      </c>
      <c r="B10" s="288" t="str" cm="1">
        <f t="array" ref="B10">IFERROR(INDEX(_xlfn.ANCHORARRAY($Q$6),ROW()-5,2),"")</f>
        <v>M/s  Ankita Air Products Private Limited</v>
      </c>
      <c r="C10" s="289" t="str" cm="1">
        <f t="array" ref="C10">IFERROR(INDEX(_xlfn.ANCHORARRAY($Q$6),ROW()-5,3),"")</f>
        <v>246</v>
      </c>
      <c r="D10" s="218">
        <f>IF($A10="","",IF($K10="DIESEL",SUMIFS(Table1[Quantity],Table1[Customer],$B10,Table1[Date],$A10,Table1[Bill No.],$C10),IF($K10="PETROL",SUMIFS(Table14[Quantity],Table14[Customer],$B10,Table14[Date],$A10,Table14[Bill No.],$C10),IF($K10="XtraGreen",SUMIFS(Table146[Quantity],Table146[Company],$B10,Table146[Date],$A10,Table146[Bill No.],$C10),""))))</f>
        <v>1200</v>
      </c>
      <c r="E10" s="219">
        <f>IF($A10="","",IF($K10="DIESEL",AVERAGEIFS(Table1[RSP],Table1[Customer],$B10,Table1[Date],$A10,Table1[Bill No.],$C10),IF($K10="PETROL",AVERAGEIFS(Table14[RSP],Table14[Customer],$B10,Table14[Date],$A10,Table14[Bill No.],$C10),IF($K10="XtraGreen",AVERAGEIFS(Table146[RSP],Table146[Company],$B10,Table146[Date],$A10,Table146[Bill No.],$C10),IFERROR($F10/$D10,"")))))</f>
        <v>92.74</v>
      </c>
      <c r="F10" s="330">
        <f>IF($A10="","",IF($K10="DIESEL",SUMIFS(Table1[Amount],Table1[Customer],$B10,Table1[Date],$A10,Table1[Bill No.],$C10),IF($K10="PETROL",SUMIFS(Table14[Amount],Table14[Customer],$B10,Table14[Date],$A10,Table14[Bill No.],$C10),IF($K10="XtraGreen",SUMIFS(Table146[Amount],Table146[Company],$B10,Table146[Date],$A10,Table146[Bill No.],$C10),SUMIFS('Other Sale'!$D:$D,'Other Sale'!$E:$E,$B10,'Other Sale'!$C:$C,$K10,'Other Sale'!$A:$A,$A10)))))</f>
        <v>111288</v>
      </c>
      <c r="G10" s="330" cm="1">
        <f t="array" ref="G10">IF($A10="","",IF($K10="Payment",IFERROR(INDEX(_xlfn._xlws.FILTER(MasterPaid[Amount Paid],(MasterPaid[Customer]=$B10)*(MasterPaid[Date]=$A10)),COUNTIFS($A$6:$A10,$A10,$B$6:$B10,$B10,$K$6:$K10,"Payment")),0),0))</f>
        <v>0</v>
      </c>
      <c r="H10" s="331"/>
      <c r="I10" s="331"/>
      <c r="J10" s="330">
        <f t="shared" si="0"/>
        <v>111288</v>
      </c>
      <c r="K10" s="289" t="str" cm="1">
        <f t="array" ref="K10">IFERROR(INDEX(_xlfn.ANCHORARRAY($Q$6),ROW()-5,4),"")</f>
        <v>DIESEL</v>
      </c>
      <c r="L10" s="290"/>
      <c r="N10" s="303" t="s">
        <v>2036</v>
      </c>
      <c r="O10" s="336">
        <f>SUM(H6:H355)</f>
        <v>0</v>
      </c>
      <c r="Q10">
        <v>46130</v>
      </c>
      <c r="R10" t="str">
        <v>M/s  Ankita Air Products Private Limited</v>
      </c>
      <c r="S10" t="str">
        <v>246</v>
      </c>
      <c r="T10" t="str">
        <v>DIESEL</v>
      </c>
      <c r="U10">
        <f>IF(OR($A10="",$F10=""),0,MAX(0,MIN($F10,SUMIFS($F$6:$F10,$B$6:$B10,$B10)-(SUMIFS($G$6:$G$355,$B$6:$B$355,$B10)+SUMIFS($H$6:$H$355,$B$6:$B$355,$B10)+SUMIFS($I$6:$I$355,$B$6:$B$355,$B10)))))</f>
        <v>0</v>
      </c>
      <c r="Y10" s="295"/>
      <c r="Z10" s="220"/>
      <c r="AA10" s="296"/>
      <c r="AB10" s="334"/>
    </row>
    <row r="11" spans="1:28" ht="21.75" x14ac:dyDescent="0.25">
      <c r="A11" s="217" cm="1">
        <f t="array" ref="A11">IFERROR(INDEX(_xlfn.ANCHORARRAY($Q$6),ROW()-5,1),"")</f>
        <v>46140</v>
      </c>
      <c r="B11" s="288" t="str" cm="1">
        <f t="array" ref="B11">IFERROR(INDEX(_xlfn.ANCHORARRAY($Q$6),ROW()-5,2),"")</f>
        <v>M/s  Ankita Air Products Private Limited</v>
      </c>
      <c r="C11" s="289" t="str" cm="1">
        <f t="array" ref="C11">IFERROR(INDEX(_xlfn.ANCHORARRAY($Q$6),ROW()-5,3),"")</f>
        <v/>
      </c>
      <c r="D11" s="218" t="str">
        <f>IF($A11="","",IF($K11="DIESEL",SUMIFS(Table1[Quantity],Table1[Customer],$B11,Table1[Date],$A11,Table1[Bill No.],$C11),IF($K11="PETROL",SUMIFS(Table14[Quantity],Table14[Customer],$B11,Table14[Date],$A11,Table14[Bill No.],$C11),IF($K11="XtraGreen",SUMIFS(Table146[Quantity],Table146[Company],$B11,Table146[Date],$A11,Table146[Bill No.],$C11),""))))</f>
        <v/>
      </c>
      <c r="E11" s="219" t="str">
        <f>IF($A11="","",IF($K11="DIESEL",AVERAGEIFS(Table1[RSP],Table1[Customer],$B11,Table1[Date],$A11,Table1[Bill No.],$C11),IF($K11="PETROL",AVERAGEIFS(Table14[RSP],Table14[Customer],$B11,Table14[Date],$A11,Table14[Bill No.],$C11),IF($K11="XtraGreen",AVERAGEIFS(Table146[RSP],Table146[Company],$B11,Table146[Date],$A11,Table146[Bill No.],$C11),IFERROR($F11/$D11,"")))))</f>
        <v/>
      </c>
      <c r="F11" s="330">
        <f>IF($A11="","",IF($K11="DIESEL",SUMIFS(Table1[Amount],Table1[Customer],$B11,Table1[Date],$A11,Table1[Bill No.],$C11),IF($K11="PETROL",SUMIFS(Table14[Amount],Table14[Customer],$B11,Table14[Date],$A11,Table14[Bill No.],$C11),IF($K11="XtraGreen",SUMIFS(Table146[Amount],Table146[Company],$B11,Table146[Date],$A11,Table146[Bill No.],$C11),SUMIFS('Other Sale'!$D:$D,'Other Sale'!$E:$E,$B11,'Other Sale'!$C:$C,$K11,'Other Sale'!$A:$A,$A11)))))</f>
        <v>0</v>
      </c>
      <c r="G11" s="330" cm="1">
        <f t="array" ref="G11">IF($A11="","",IF($K11="Payment",IFERROR(INDEX(_xlfn._xlws.FILTER(MasterPaid[Amount Paid],(MasterPaid[Customer]=$B11)*(MasterPaid[Date]=$A11)),COUNTIFS($A$6:$A11,$A11,$B$6:$B11,$B11,$K$6:$K11,"Payment")),0),0))</f>
        <v>111288</v>
      </c>
      <c r="H11" s="331"/>
      <c r="I11" s="331"/>
      <c r="J11" s="330">
        <f t="shared" si="0"/>
        <v>0</v>
      </c>
      <c r="K11" s="289" t="str" cm="1">
        <f t="array" ref="K11">IFERROR(INDEX(_xlfn.ANCHORARRAY($Q$6),ROW()-5,4),"")</f>
        <v>Payment</v>
      </c>
      <c r="L11" s="290"/>
      <c r="N11" s="303" t="s">
        <v>2037</v>
      </c>
      <c r="O11" s="336">
        <f>SUM(I6:I355)</f>
        <v>0</v>
      </c>
      <c r="Q11">
        <v>46140</v>
      </c>
      <c r="R11" t="str">
        <v>M/s  Ankita Air Products Private Limited</v>
      </c>
      <c r="S11" t="str">
        <v/>
      </c>
      <c r="T11" t="str">
        <v>Payment</v>
      </c>
      <c r="U11">
        <f>IF(OR($A11="",$F11=""),0,MAX(0,MIN($F11,SUMIFS($F$6:$F11,$B$6:$B11,$B11)-(SUMIFS($G$6:$G$355,$B$6:$B$355,$B11)+SUMIFS($H$6:$H$355,$B$6:$B$355,$B11)+SUMIFS($I$6:$I$355,$B$6:$B$355,$B11)))))</f>
        <v>0</v>
      </c>
      <c r="Y11" s="295"/>
      <c r="Z11" s="220"/>
      <c r="AA11" s="296"/>
      <c r="AB11" s="334"/>
    </row>
    <row r="12" spans="1:28" ht="21.75" x14ac:dyDescent="0.25">
      <c r="A12" s="217" cm="1">
        <f t="array" ref="A12">IFERROR(INDEX(_xlfn.ANCHORARRAY($Q$6),ROW()-5,1),"")</f>
        <v>46142</v>
      </c>
      <c r="B12" s="288" t="str" cm="1">
        <f t="array" ref="B12">IFERROR(INDEX(_xlfn.ANCHORARRAY($Q$6),ROW()-5,2),"")</f>
        <v>M/s Jai Balaji Oxygen Private Limited</v>
      </c>
      <c r="C12" s="289" t="str" cm="1">
        <f t="array" ref="C12">IFERROR(INDEX(_xlfn.ANCHORARRAY($Q$6),ROW()-5,3),"")</f>
        <v>365</v>
      </c>
      <c r="D12" s="218">
        <f>IF($A12="","",IF($K12="DIESEL",SUMIFS(Table1[Quantity],Table1[Customer],$B12,Table1[Date],$A12,Table1[Bill No.],$C12),IF($K12="PETROL",SUMIFS(Table14[Quantity],Table14[Customer],$B12,Table14[Date],$A12,Table14[Bill No.],$C12),IF($K12="XtraGreen",SUMIFS(Table146[Quantity],Table146[Company],$B12,Table146[Date],$A12,Table146[Bill No.],$C12),""))))</f>
        <v>1150</v>
      </c>
      <c r="E12" s="219">
        <f>IF($A12="","",IF($K12="DIESEL",AVERAGEIFS(Table1[RSP],Table1[Customer],$B12,Table1[Date],$A12,Table1[Bill No.],$C12),IF($K12="PETROL",AVERAGEIFS(Table14[RSP],Table14[Customer],$B12,Table14[Date],$A12,Table14[Bill No.],$C12),IF($K12="XtraGreen",AVERAGEIFS(Table146[RSP],Table146[Company],$B12,Table146[Date],$A12,Table146[Bill No.],$C12),IFERROR($F12/$D12,"")))))</f>
        <v>92.74</v>
      </c>
      <c r="F12" s="330">
        <f>IF($A12="","",IF($K12="DIESEL",SUMIFS(Table1[Amount],Table1[Customer],$B12,Table1[Date],$A12,Table1[Bill No.],$C12),IF($K12="PETROL",SUMIFS(Table14[Amount],Table14[Customer],$B12,Table14[Date],$A12,Table14[Bill No.],$C12),IF($K12="XtraGreen",SUMIFS(Table146[Amount],Table146[Company],$B12,Table146[Date],$A12,Table146[Bill No.],$C12),SUMIFS('Other Sale'!$D:$D,'Other Sale'!$E:$E,$B12,'Other Sale'!$C:$C,$K12,'Other Sale'!$A:$A,$A12)))))</f>
        <v>106651</v>
      </c>
      <c r="G12" s="330" cm="1">
        <f t="array" ref="G12">IF($A12="","",IF($K12="Payment",IFERROR(INDEX(_xlfn._xlws.FILTER(MasterPaid[Amount Paid],(MasterPaid[Customer]=$B12)*(MasterPaid[Date]=$A12)),COUNTIFS($A$6:$A12,$A12,$B$6:$B12,$B12,$K$6:$K12,"Payment")),0),0))</f>
        <v>0</v>
      </c>
      <c r="H12" s="331"/>
      <c r="I12" s="331"/>
      <c r="J12" s="330">
        <f t="shared" si="0"/>
        <v>106651</v>
      </c>
      <c r="K12" s="289" t="str" cm="1">
        <f t="array" ref="K12">IFERROR(INDEX(_xlfn.ANCHORARRAY($Q$6),ROW()-5,4),"")</f>
        <v>DIESEL</v>
      </c>
      <c r="L12" s="290"/>
      <c r="N12" s="304" t="s">
        <v>2038</v>
      </c>
      <c r="O12" s="337">
        <f>O4+O8-O9-O10-O11</f>
        <v>120888</v>
      </c>
      <c r="Q12">
        <v>46142</v>
      </c>
      <c r="R12" t="str">
        <v>M/s Jai Balaji Oxygen Private Limited</v>
      </c>
      <c r="S12" t="str">
        <v>365</v>
      </c>
      <c r="T12" t="str">
        <v>DIESEL</v>
      </c>
      <c r="U12">
        <f>IF(OR($A12="",$F12=""),0,MAX(0,MIN($F12,SUMIFS($F$6:$F12,$B$6:$B12,$B12)-(SUMIFS($G$6:$G$355,$B$6:$B$355,$B12)+SUMIFS($H$6:$H$355,$B$6:$B$355,$B12)+SUMIFS($I$6:$I$355,$B$6:$B$355,$B12)))))</f>
        <v>0</v>
      </c>
      <c r="Y12" s="295"/>
      <c r="Z12" s="220"/>
      <c r="AA12" s="296"/>
      <c r="AB12" s="334"/>
    </row>
    <row r="13" spans="1:28" ht="21.75" x14ac:dyDescent="0.25">
      <c r="A13" s="217" cm="1">
        <f t="array" ref="A13">IFERROR(INDEX(_xlfn.ANCHORARRAY($Q$6),ROW()-5,1),"")</f>
        <v>46147</v>
      </c>
      <c r="B13" s="288" t="str" cm="1">
        <f t="array" ref="B13">IFERROR(INDEX(_xlfn.ANCHORARRAY($Q$6),ROW()-5,2),"")</f>
        <v>KRISHNA INFRATECH PVT LTD</v>
      </c>
      <c r="C13" s="289" t="str" cm="1">
        <f t="array" ref="C13">IFERROR(INDEX(_xlfn.ANCHORARRAY($Q$6),ROW()-5,3),"")</f>
        <v>423</v>
      </c>
      <c r="D13" s="218">
        <f>IF($A13="","",IF($K13="DIESEL",SUMIFS(Table1[Quantity],Table1[Customer],$B13,Table1[Date],$A13,Table1[Bill No.],$C13),IF($K13="PETROL",SUMIFS(Table14[Quantity],Table14[Customer],$B13,Table14[Date],$A13,Table14[Bill No.],$C13),IF($K13="XtraGreen",SUMIFS(Table146[Quantity],Table146[Company],$B13,Table146[Date],$A13,Table146[Bill No.],$C13),""))))</f>
        <v>600</v>
      </c>
      <c r="E13" s="219">
        <f>IF($A13="","",IF($K13="DIESEL",AVERAGEIFS(Table1[RSP],Table1[Customer],$B13,Table1[Date],$A13,Table1[Bill No.],$C13),IF($K13="PETROL",AVERAGEIFS(Table14[RSP],Table14[Customer],$B13,Table14[Date],$A13,Table14[Bill No.],$C13),IF($K13="XtraGreen",AVERAGEIFS(Table146[RSP],Table146[Company],$B13,Table146[Date],$A13,Table146[Bill No.],$C13),IFERROR($F13/$D13,"")))))</f>
        <v>92.74</v>
      </c>
      <c r="F13" s="330">
        <f>IF($A13="","",IF($K13="DIESEL",SUMIFS(Table1[Amount],Table1[Customer],$B13,Table1[Date],$A13,Table1[Bill No.],$C13),IF($K13="PETROL",SUMIFS(Table14[Amount],Table14[Customer],$B13,Table14[Date],$A13,Table14[Bill No.],$C13),IF($K13="XtraGreen",SUMIFS(Table146[Amount],Table146[Company],$B13,Table146[Date],$A13,Table146[Bill No.],$C13),SUMIFS('Other Sale'!$D:$D,'Other Sale'!$E:$E,$B13,'Other Sale'!$C:$C,$K13,'Other Sale'!$A:$A,$A13)))))</f>
        <v>55644</v>
      </c>
      <c r="G13" s="330" cm="1">
        <f t="array" ref="G13">IF($A13="","",IF($K13="Payment",IFERROR(INDEX(_xlfn._xlws.FILTER(MasterPaid[Amount Paid],(MasterPaid[Customer]=$B13)*(MasterPaid[Date]=$A13)),COUNTIFS($A$6:$A13,$A13,$B$6:$B13,$B13,$K$6:$K13,"Payment")),0),0))</f>
        <v>0</v>
      </c>
      <c r="H13" s="331"/>
      <c r="I13" s="331"/>
      <c r="J13" s="330">
        <f t="shared" si="0"/>
        <v>162295</v>
      </c>
      <c r="K13" s="289" t="str" cm="1">
        <f t="array" ref="K13">IFERROR(INDEX(_xlfn.ANCHORARRAY($Q$6),ROW()-5,4),"")</f>
        <v>DIESEL</v>
      </c>
      <c r="L13" s="290"/>
      <c r="Q13">
        <v>46147</v>
      </c>
      <c r="R13" t="str">
        <v>KRISHNA INFRATECH PVT LTD</v>
      </c>
      <c r="S13" t="str">
        <v>423</v>
      </c>
      <c r="T13" t="str">
        <v>DIESEL</v>
      </c>
      <c r="U13">
        <f>IF(OR($A13="",$F13=""),0,MAX(0,MIN($F13,SUMIFS($F$6:$F13,$B$6:$B13,$B13)-(SUMIFS($G$6:$G$355,$B$6:$B$355,$B13)+SUMIFS($H$6:$H$355,$B$6:$B$355,$B13)+SUMIFS($I$6:$I$355,$B$6:$B$355,$B13)))))</f>
        <v>0</v>
      </c>
      <c r="Y13" s="295"/>
      <c r="Z13" s="220"/>
      <c r="AA13" s="296"/>
      <c r="AB13" s="334"/>
    </row>
    <row r="14" spans="1:28" ht="21.75" x14ac:dyDescent="0.25">
      <c r="A14" s="217" cm="1">
        <f t="array" ref="A14">IFERROR(INDEX(_xlfn.ANCHORARRAY($Q$6),ROW()-5,1),"")</f>
        <v>46148</v>
      </c>
      <c r="B14" s="288" t="str" cm="1">
        <f t="array" ref="B14">IFERROR(INDEX(_xlfn.ANCHORARRAY($Q$6),ROW()-5,2),"")</f>
        <v>KRISHNA INFRATECH PVT LTD</v>
      </c>
      <c r="C14" s="289" t="str" cm="1">
        <f t="array" ref="C14">IFERROR(INDEX(_xlfn.ANCHORARRAY($Q$6),ROW()-5,3),"")</f>
        <v>435</v>
      </c>
      <c r="D14" s="218">
        <f>IF($A14="","",IF($K14="DIESEL",SUMIFS(Table1[Quantity],Table1[Customer],$B14,Table1[Date],$A14,Table1[Bill No.],$C14),IF($K14="PETROL",SUMIFS(Table14[Quantity],Table14[Customer],$B14,Table14[Date],$A14,Table14[Bill No.],$C14),IF($K14="XtraGreen",SUMIFS(Table146[Quantity],Table146[Company],$B14,Table146[Date],$A14,Table146[Bill No.],$C14),""))))</f>
        <v>200</v>
      </c>
      <c r="E14" s="219">
        <f>IF($A14="","",IF($K14="DIESEL",AVERAGEIFS(Table1[RSP],Table1[Customer],$B14,Table1[Date],$A14,Table1[Bill No.],$C14),IF($K14="PETROL",AVERAGEIFS(Table14[RSP],Table14[Customer],$B14,Table14[Date],$A14,Table14[Bill No.],$C14),IF($K14="XtraGreen",AVERAGEIFS(Table146[RSP],Table146[Company],$B14,Table146[Date],$A14,Table146[Bill No.],$C14),IFERROR($F14/$D14,"")))))</f>
        <v>92.74</v>
      </c>
      <c r="F14" s="330">
        <f>IF($A14="","",IF($K14="DIESEL",SUMIFS(Table1[Amount],Table1[Customer],$B14,Table1[Date],$A14,Table1[Bill No.],$C14),IF($K14="PETROL",SUMIFS(Table14[Amount],Table14[Customer],$B14,Table14[Date],$A14,Table14[Bill No.],$C14),IF($K14="XtraGreen",SUMIFS(Table146[Amount],Table146[Company],$B14,Table146[Date],$A14,Table146[Bill No.],$C14),SUMIFS('Other Sale'!$D:$D,'Other Sale'!$E:$E,$B14,'Other Sale'!$C:$C,$K14,'Other Sale'!$A:$A,$A14)))))</f>
        <v>18548</v>
      </c>
      <c r="G14" s="330" cm="1">
        <f t="array" ref="G14">IF($A14="","",IF($K14="Payment",IFERROR(INDEX(_xlfn._xlws.FILTER(MasterPaid[Amount Paid],(MasterPaid[Customer]=$B14)*(MasterPaid[Date]=$A14)),COUNTIFS($A$6:$A14,$A14,$B$6:$B14,$B14,$K$6:$K14,"Payment")),0),0))</f>
        <v>0</v>
      </c>
      <c r="H14" s="331"/>
      <c r="I14" s="331"/>
      <c r="J14" s="330">
        <f t="shared" si="0"/>
        <v>180843</v>
      </c>
      <c r="K14" s="289" t="str" cm="1">
        <f t="array" ref="K14">IFERROR(INDEX(_xlfn.ANCHORARRAY($Q$6),ROW()-5,4),"")</f>
        <v>DIESEL</v>
      </c>
      <c r="L14" s="290"/>
      <c r="Q14">
        <v>46148</v>
      </c>
      <c r="R14" t="str">
        <v>KRISHNA INFRATECH PVT LTD</v>
      </c>
      <c r="S14" t="str">
        <v>435</v>
      </c>
      <c r="T14" t="str">
        <v>DIESEL</v>
      </c>
      <c r="U14">
        <f>IF(OR($A14="",$F14=""),0,MAX(0,MIN($F14,SUMIFS($F$6:$F14,$B$6:$B14,$B14)-(SUMIFS($G$6:$G$355,$B$6:$B$355,$B14)+SUMIFS($H$6:$H$355,$B$6:$B$355,$B14)+SUMIFS($I$6:$I$355,$B$6:$B$355,$B14)))))</f>
        <v>0</v>
      </c>
      <c r="Y14" s="295"/>
      <c r="Z14" s="220"/>
      <c r="AA14" s="296"/>
      <c r="AB14" s="334"/>
    </row>
    <row r="15" spans="1:28" ht="21.75" x14ac:dyDescent="0.25">
      <c r="A15" s="217" cm="1">
        <f t="array" ref="A15">IFERROR(INDEX(_xlfn.ANCHORARRAY($Q$6),ROW()-5,1),"")</f>
        <v>46148</v>
      </c>
      <c r="B15" s="288" t="str" cm="1">
        <f t="array" ref="B15">IFERROR(INDEX(_xlfn.ANCHORARRAY($Q$6),ROW()-5,2),"")</f>
        <v>M/s Jai Balaji Oxygen Private Limited</v>
      </c>
      <c r="C15" s="289" t="str" cm="1">
        <f t="array" ref="C15">IFERROR(INDEX(_xlfn.ANCHORARRAY($Q$6),ROW()-5,3),"")</f>
        <v/>
      </c>
      <c r="D15" s="218" t="str">
        <f>IF($A15="","",IF($K15="DIESEL",SUMIFS(Table1[Quantity],Table1[Customer],$B15,Table1[Date],$A15,Table1[Bill No.],$C15),IF($K15="PETROL",SUMIFS(Table14[Quantity],Table14[Customer],$B15,Table14[Date],$A15,Table14[Bill No.],$C15),IF($K15="XtraGreen",SUMIFS(Table146[Quantity],Table146[Company],$B15,Table146[Date],$A15,Table146[Bill No.],$C15),""))))</f>
        <v/>
      </c>
      <c r="E15" s="219" t="str">
        <f>IF($A15="","",IF($K15="DIESEL",AVERAGEIFS(Table1[RSP],Table1[Customer],$B15,Table1[Date],$A15,Table1[Bill No.],$C15),IF($K15="PETROL",AVERAGEIFS(Table14[RSP],Table14[Customer],$B15,Table14[Date],$A15,Table14[Bill No.],$C15),IF($K15="XtraGreen",AVERAGEIFS(Table146[RSP],Table146[Company],$B15,Table146[Date],$A15,Table146[Bill No.],$C15),IFERROR($F15/$D15,"")))))</f>
        <v/>
      </c>
      <c r="F15" s="330">
        <f>IF($A15="","",IF($K15="DIESEL",SUMIFS(Table1[Amount],Table1[Customer],$B15,Table1[Date],$A15,Table1[Bill No.],$C15),IF($K15="PETROL",SUMIFS(Table14[Amount],Table14[Customer],$B15,Table14[Date],$A15,Table14[Bill No.],$C15),IF($K15="XtraGreen",SUMIFS(Table146[Amount],Table146[Company],$B15,Table146[Date],$A15,Table146[Bill No.],$C15),SUMIFS('Other Sale'!$D:$D,'Other Sale'!$E:$E,$B15,'Other Sale'!$C:$C,$K15,'Other Sale'!$A:$A,$A15)))))</f>
        <v>0</v>
      </c>
      <c r="G15" s="330" cm="1">
        <f t="array" ref="G15">IF($A15="","",IF($K15="Payment",IFERROR(INDEX(_xlfn._xlws.FILTER(MasterPaid[Amount Paid],(MasterPaid[Customer]=$B15)*(MasterPaid[Date]=$A15)),COUNTIFS($A$6:$A15,$A15,$B$6:$B15,$B15,$K$6:$K15,"Payment")),0),0))</f>
        <v>106651</v>
      </c>
      <c r="H15" s="331"/>
      <c r="I15" s="331"/>
      <c r="J15" s="330">
        <f t="shared" si="0"/>
        <v>74192</v>
      </c>
      <c r="K15" s="289" t="str" cm="1">
        <f t="array" ref="K15">IFERROR(INDEX(_xlfn.ANCHORARRAY($Q$6),ROW()-5,4),"")</f>
        <v>Payment</v>
      </c>
      <c r="L15" s="290"/>
      <c r="Q15">
        <v>46148</v>
      </c>
      <c r="R15" t="str">
        <v>M/s Jai Balaji Oxygen Private Limited</v>
      </c>
      <c r="S15" t="str">
        <v/>
      </c>
      <c r="T15" t="str">
        <v>Payment</v>
      </c>
      <c r="U15">
        <f>IF(OR($A15="",$F15=""),0,MAX(0,MIN($F15,SUMIFS($F$6:$F15,$B$6:$B15,$B15)-(SUMIFS($G$6:$G$355,$B$6:$B$355,$B15)+SUMIFS($H$6:$H$355,$B$6:$B$355,$B15)+SUMIFS($I$6:$I$355,$B$6:$B$355,$B15)))))</f>
        <v>0</v>
      </c>
      <c r="Y15" s="295"/>
      <c r="Z15" s="220"/>
      <c r="AA15" s="296"/>
      <c r="AB15" s="334"/>
    </row>
    <row r="16" spans="1:28" ht="21.75" x14ac:dyDescent="0.25">
      <c r="A16" s="217" cm="1">
        <f t="array" ref="A16">IFERROR(INDEX(_xlfn.ANCHORARRAY($Q$6),ROW()-5,1),"")</f>
        <v>46154</v>
      </c>
      <c r="B16" s="288" t="str" cm="1">
        <f t="array" ref="B16">IFERROR(INDEX(_xlfn.ANCHORARRAY($Q$6),ROW()-5,2),"")</f>
        <v>KRISHNA INFRATECH PVT LTD</v>
      </c>
      <c r="C16" s="289" t="str" cm="1">
        <f t="array" ref="C16">IFERROR(INDEX(_xlfn.ANCHORARRAY($Q$6),ROW()-5,3),"")</f>
        <v/>
      </c>
      <c r="D16" s="218" t="str">
        <f>IF($A16="","",IF($K16="DIESEL",SUMIFS(Table1[Quantity],Table1[Customer],$B16,Table1[Date],$A16,Table1[Bill No.],$C16),IF($K16="PETROL",SUMIFS(Table14[Quantity],Table14[Customer],$B16,Table14[Date],$A16,Table14[Bill No.],$C16),IF($K16="XtraGreen",SUMIFS(Table146[Quantity],Table146[Company],$B16,Table146[Date],$A16,Table146[Bill No.],$C16),""))))</f>
        <v/>
      </c>
      <c r="E16" s="219" t="str">
        <f>IF($A16="","",IF($K16="DIESEL",AVERAGEIFS(Table1[RSP],Table1[Customer],$B16,Table1[Date],$A16,Table1[Bill No.],$C16),IF($K16="PETROL",AVERAGEIFS(Table14[RSP],Table14[Customer],$B16,Table14[Date],$A16,Table14[Bill No.],$C16),IF($K16="XtraGreen",AVERAGEIFS(Table146[RSP],Table146[Company],$B16,Table146[Date],$A16,Table146[Bill No.],$C16),IFERROR($F16/$D16,"")))))</f>
        <v/>
      </c>
      <c r="F16" s="330">
        <f>IF($A16="","",IF($K16="DIESEL",SUMIFS(Table1[Amount],Table1[Customer],$B16,Table1[Date],$A16,Table1[Bill No.],$C16),IF($K16="PETROL",SUMIFS(Table14[Amount],Table14[Customer],$B16,Table14[Date],$A16,Table14[Bill No.],$C16),IF($K16="XtraGreen",SUMIFS(Table146[Amount],Table146[Company],$B16,Table146[Date],$A16,Table146[Bill No.],$C16),SUMIFS('Other Sale'!$D:$D,'Other Sale'!$E:$E,$B16,'Other Sale'!$C:$C,$K16,'Other Sale'!$A:$A,$A16)))))</f>
        <v>0</v>
      </c>
      <c r="G16" s="330" cm="1">
        <f t="array" ref="G16">IF($A16="","",IF($K16="Payment",IFERROR(INDEX(_xlfn._xlws.FILTER(MasterPaid[Amount Paid],(MasterPaid[Customer]=$B16)*(MasterPaid[Date]=$A16)),COUNTIFS($A$6:$A16,$A16,$B$6:$B16,$B16,$K$6:$K16,"Payment")),0),0))</f>
        <v>18548</v>
      </c>
      <c r="H16" s="331"/>
      <c r="I16" s="331"/>
      <c r="J16" s="330">
        <f t="shared" si="0"/>
        <v>55644</v>
      </c>
      <c r="K16" s="289" t="str" cm="1">
        <f t="array" ref="K16">IFERROR(INDEX(_xlfn.ANCHORARRAY($Q$6),ROW()-5,4),"")</f>
        <v>Payment</v>
      </c>
      <c r="L16" s="290"/>
      <c r="Q16">
        <v>46154</v>
      </c>
      <c r="R16" t="str">
        <v>KRISHNA INFRATECH PVT LTD</v>
      </c>
      <c r="S16" t="str">
        <v/>
      </c>
      <c r="T16" t="str">
        <v>Payment</v>
      </c>
      <c r="U16">
        <f>IF(OR($A16="",$F16=""),0,MAX(0,MIN($F16,SUMIFS($F$6:$F16,$B$6:$B16,$B16)-(SUMIFS($G$6:$G$355,$B$6:$B$355,$B16)+SUMIFS($H$6:$H$355,$B$6:$B$355,$B16)+SUMIFS($I$6:$I$355,$B$6:$B$355,$B16)))))</f>
        <v>0</v>
      </c>
      <c r="Y16" s="295"/>
      <c r="Z16" s="220"/>
      <c r="AA16" s="296"/>
      <c r="AB16" s="334"/>
    </row>
    <row r="17" spans="1:28" ht="21.75" x14ac:dyDescent="0.25">
      <c r="A17" s="217" cm="1">
        <f t="array" ref="A17">IFERROR(INDEX(_xlfn.ANCHORARRAY($Q$6),ROW()-5,1),"")</f>
        <v>46156</v>
      </c>
      <c r="B17" s="288" t="str" cm="1">
        <f t="array" ref="B17">IFERROR(INDEX(_xlfn.ANCHORARRAY($Q$6),ROW()-5,2),"")</f>
        <v>M/s  Ankita Air Products Private Limited</v>
      </c>
      <c r="C17" s="289" t="str" cm="1">
        <f t="array" ref="C17">IFERROR(INDEX(_xlfn.ANCHORARRAY($Q$6),ROW()-5,3),"")</f>
        <v>516</v>
      </c>
      <c r="D17" s="218">
        <f>IF($A17="","",IF($K17="DIESEL",SUMIFS(Table1[Quantity],Table1[Customer],$B17,Table1[Date],$A17,Table1[Bill No.],$C17),IF($K17="PETROL",SUMIFS(Table14[Quantity],Table14[Customer],$B17,Table14[Date],$A17,Table14[Bill No.],$C17),IF($K17="XtraGreen",SUMIFS(Table146[Quantity],Table146[Company],$B17,Table146[Date],$A17,Table146[Bill No.],$C17),""))))</f>
        <v>600</v>
      </c>
      <c r="E17" s="219">
        <f>IF($A17="","",IF($K17="DIESEL",AVERAGEIFS(Table1[RSP],Table1[Customer],$B17,Table1[Date],$A17,Table1[Bill No.],$C17),IF($K17="PETROL",AVERAGEIFS(Table14[RSP],Table14[Customer],$B17,Table14[Date],$A17,Table14[Bill No.],$C17),IF($K17="XtraGreen",AVERAGEIFS(Table146[RSP],Table146[Company],$B17,Table146[Date],$A17,Table146[Bill No.],$C17),IFERROR($F17/$D17,"")))))</f>
        <v>92.74</v>
      </c>
      <c r="F17" s="330">
        <f>IF($A17="","",IF($K17="DIESEL",SUMIFS(Table1[Amount],Table1[Customer],$B17,Table1[Date],$A17,Table1[Bill No.],$C17),IF($K17="PETROL",SUMIFS(Table14[Amount],Table14[Customer],$B17,Table14[Date],$A17,Table14[Bill No.],$C17),IF($K17="XtraGreen",SUMIFS(Table146[Amount],Table146[Company],$B17,Table146[Date],$A17,Table146[Bill No.],$C17),SUMIFS('Other Sale'!$D:$D,'Other Sale'!$E:$E,$B17,'Other Sale'!$C:$C,$K17,'Other Sale'!$A:$A,$A17)))))</f>
        <v>55644</v>
      </c>
      <c r="G17" s="330" cm="1">
        <f t="array" ref="G17">IF($A17="","",IF($K17="Payment",IFERROR(INDEX(_xlfn._xlws.FILTER(MasterPaid[Amount Paid],(MasterPaid[Customer]=$B17)*(MasterPaid[Date]=$A17)),COUNTIFS($A$6:$A17,$A17,$B$6:$B17,$B17,$K$6:$K17,"Payment")),0),0))</f>
        <v>0</v>
      </c>
      <c r="H17" s="331"/>
      <c r="I17" s="331"/>
      <c r="J17" s="330">
        <f t="shared" si="0"/>
        <v>111288</v>
      </c>
      <c r="K17" s="289" t="str" cm="1">
        <f t="array" ref="K17">IFERROR(INDEX(_xlfn.ANCHORARRAY($Q$6),ROW()-5,4),"")</f>
        <v>DIESEL</v>
      </c>
      <c r="L17" s="290"/>
      <c r="Q17">
        <v>46156</v>
      </c>
      <c r="R17" t="str">
        <v>M/s  Ankita Air Products Private Limited</v>
      </c>
      <c r="S17" t="str">
        <v>516</v>
      </c>
      <c r="T17" t="str">
        <v>DIESEL</v>
      </c>
      <c r="U17">
        <f>IF(OR($A17="",$F17=""),0,MAX(0,MIN($F17,SUMIFS($F$6:$F17,$B$6:$B17,$B17)-(SUMIFS($G$6:$G$355,$B$6:$B$355,$B17)+SUMIFS($H$6:$H$355,$B$6:$B$355,$B17)+SUMIFS($I$6:$I$355,$B$6:$B$355,$B17)))))</f>
        <v>0</v>
      </c>
      <c r="Y17" s="295"/>
      <c r="Z17" s="220"/>
      <c r="AA17" s="296"/>
      <c r="AB17" s="334"/>
    </row>
    <row r="18" spans="1:28" ht="21.75" x14ac:dyDescent="0.25">
      <c r="A18" s="217" cm="1">
        <f t="array" ref="A18">IFERROR(INDEX(_xlfn.ANCHORARRAY($Q$6),ROW()-5,1),"")</f>
        <v>46158</v>
      </c>
      <c r="B18" s="288" t="str" cm="1">
        <f t="array" ref="B18">IFERROR(INDEX(_xlfn.ANCHORARRAY($Q$6),ROW()-5,2),"")</f>
        <v>KRISHNA INFRATECH PVT LTD</v>
      </c>
      <c r="C18" s="289" t="str" cm="1">
        <f t="array" ref="C18">IFERROR(INDEX(_xlfn.ANCHORARRAY($Q$6),ROW()-5,3),"")</f>
        <v/>
      </c>
      <c r="D18" s="218" t="str">
        <f>IF($A18="","",IF($K18="DIESEL",SUMIFS(Table1[Quantity],Table1[Customer],$B18,Table1[Date],$A18,Table1[Bill No.],$C18),IF($K18="PETROL",SUMIFS(Table14[Quantity],Table14[Customer],$B18,Table14[Date],$A18,Table14[Bill No.],$C18),IF($K18="XtraGreen",SUMIFS(Table146[Quantity],Table146[Company],$B18,Table146[Date],$A18,Table146[Bill No.],$C18),""))))</f>
        <v/>
      </c>
      <c r="E18" s="219" t="str">
        <f>IF($A18="","",IF($K18="DIESEL",AVERAGEIFS(Table1[RSP],Table1[Customer],$B18,Table1[Date],$A18,Table1[Bill No.],$C18),IF($K18="PETROL",AVERAGEIFS(Table14[RSP],Table14[Customer],$B18,Table14[Date],$A18,Table14[Bill No.],$C18),IF($K18="XtraGreen",AVERAGEIFS(Table146[RSP],Table146[Company],$B18,Table146[Date],$A18,Table146[Bill No.],$C18),IFERROR($F18/$D18,"")))))</f>
        <v/>
      </c>
      <c r="F18" s="330">
        <f>IF($A18="","",IF($K18="DIESEL",SUMIFS(Table1[Amount],Table1[Customer],$B18,Table1[Date],$A18,Table1[Bill No.],$C18),IF($K18="PETROL",SUMIFS(Table14[Amount],Table14[Customer],$B18,Table14[Date],$A18,Table14[Bill No.],$C18),IF($K18="XtraGreen",SUMIFS(Table146[Amount],Table146[Company],$B18,Table146[Date],$A18,Table146[Bill No.],$C18),SUMIFS('Other Sale'!$D:$D,'Other Sale'!$E:$E,$B18,'Other Sale'!$C:$C,$K18,'Other Sale'!$A:$A,$A18)))))</f>
        <v>0</v>
      </c>
      <c r="G18" s="330" cm="1">
        <f t="array" ref="G18">IF($A18="","",IF($K18="Payment",IFERROR(INDEX(_xlfn._xlws.FILTER(MasterPaid[Amount Paid],(MasterPaid[Customer]=$B18)*(MasterPaid[Date]=$A18)),COUNTIFS($A$6:$A18,$A18,$B$6:$B18,$B18,$K$6:$K18,"Payment")),0),0))</f>
        <v>55644</v>
      </c>
      <c r="H18" s="331"/>
      <c r="I18" s="331"/>
      <c r="J18" s="330">
        <f t="shared" si="0"/>
        <v>55644</v>
      </c>
      <c r="K18" s="289" t="str" cm="1">
        <f t="array" ref="K18">IFERROR(INDEX(_xlfn.ANCHORARRAY($Q$6),ROW()-5,4),"")</f>
        <v>Payment</v>
      </c>
      <c r="L18" s="290"/>
      <c r="Q18">
        <v>46158</v>
      </c>
      <c r="R18" t="str">
        <v>KRISHNA INFRATECH PVT LTD</v>
      </c>
      <c r="S18" t="str">
        <v/>
      </c>
      <c r="T18" t="str">
        <v>Payment</v>
      </c>
      <c r="U18">
        <f>IF(OR($A18="",$F18=""),0,MAX(0,MIN($F18,SUMIFS($F$6:$F18,$B$6:$B18,$B18)-(SUMIFS($G$6:$G$355,$B$6:$B$355,$B18)+SUMIFS($H$6:$H$355,$B$6:$B$355,$B18)+SUMIFS($I$6:$I$355,$B$6:$B$355,$B18)))))</f>
        <v>0</v>
      </c>
      <c r="Y18" s="295"/>
      <c r="Z18" s="220"/>
      <c r="AA18" s="296"/>
      <c r="AB18" s="334"/>
    </row>
    <row r="19" spans="1:28" ht="21.75" x14ac:dyDescent="0.25">
      <c r="A19" s="217" cm="1">
        <f t="array" ref="A19">IFERROR(INDEX(_xlfn.ANCHORARRAY($Q$6),ROW()-5,1),"")</f>
        <v>46158</v>
      </c>
      <c r="B19" s="288" t="str" cm="1">
        <f t="array" ref="B19">IFERROR(INDEX(_xlfn.ANCHORARRAY($Q$6),ROW()-5,2),"")</f>
        <v>M/s  Ankita Air Products Private Limited</v>
      </c>
      <c r="C19" s="289" t="str" cm="1">
        <f t="array" ref="C19">IFERROR(INDEX(_xlfn.ANCHORARRAY($Q$6),ROW()-5,3),"")</f>
        <v/>
      </c>
      <c r="D19" s="218" t="str">
        <f>IF($A19="","",IF($K19="DIESEL",SUMIFS(Table1[Quantity],Table1[Customer],$B19,Table1[Date],$A19,Table1[Bill No.],$C19),IF($K19="PETROL",SUMIFS(Table14[Quantity],Table14[Customer],$B19,Table14[Date],$A19,Table14[Bill No.],$C19),IF($K19="XtraGreen",SUMIFS(Table146[Quantity],Table146[Company],$B19,Table146[Date],$A19,Table146[Bill No.],$C19),""))))</f>
        <v/>
      </c>
      <c r="E19" s="219" t="str">
        <f>IF($A19="","",IF($K19="DIESEL",AVERAGEIFS(Table1[RSP],Table1[Customer],$B19,Table1[Date],$A19,Table1[Bill No.],$C19),IF($K19="PETROL",AVERAGEIFS(Table14[RSP],Table14[Customer],$B19,Table14[Date],$A19,Table14[Bill No.],$C19),IF($K19="XtraGreen",AVERAGEIFS(Table146[RSP],Table146[Company],$B19,Table146[Date],$A19,Table146[Bill No.],$C19),IFERROR($F19/$D19,"")))))</f>
        <v/>
      </c>
      <c r="F19" s="330">
        <f>IF($A19="","",IF($K19="DIESEL",SUMIFS(Table1[Amount],Table1[Customer],$B19,Table1[Date],$A19,Table1[Bill No.],$C19),IF($K19="PETROL",SUMIFS(Table14[Amount],Table14[Customer],$B19,Table14[Date],$A19,Table14[Bill No.],$C19),IF($K19="XtraGreen",SUMIFS(Table146[Amount],Table146[Company],$B19,Table146[Date],$A19,Table146[Bill No.],$C19),SUMIFS('Other Sale'!$D:$D,'Other Sale'!$E:$E,$B19,'Other Sale'!$C:$C,$K19,'Other Sale'!$A:$A,$A19)))))</f>
        <v>0</v>
      </c>
      <c r="G19" s="330" cm="1">
        <f t="array" ref="G19">IF($A19="","",IF($K19="Payment",IFERROR(INDEX(_xlfn._xlws.FILTER(MasterPaid[Amount Paid],(MasterPaid[Customer]=$B19)*(MasterPaid[Date]=$A19)),COUNTIFS($A$6:$A19,$A19,$B$6:$B19,$B19,$K$6:$K19,"Payment")),0),0))</f>
        <v>55644</v>
      </c>
      <c r="H19" s="331"/>
      <c r="I19" s="331"/>
      <c r="J19" s="330">
        <f t="shared" si="0"/>
        <v>0</v>
      </c>
      <c r="K19" s="289" t="str" cm="1">
        <f t="array" ref="K19">IFERROR(INDEX(_xlfn.ANCHORARRAY($Q$6),ROW()-5,4),"")</f>
        <v>Payment</v>
      </c>
      <c r="L19" s="290"/>
      <c r="Q19">
        <v>46158</v>
      </c>
      <c r="R19" t="str">
        <v>M/s  Ankita Air Products Private Limited</v>
      </c>
      <c r="S19" t="str">
        <v/>
      </c>
      <c r="T19" t="str">
        <v>Payment</v>
      </c>
      <c r="U19">
        <f>IF(OR($A19="",$F19=""),0,MAX(0,MIN($F19,SUMIFS($F$6:$F19,$B$6:$B19,$B19)-(SUMIFS($G$6:$G$355,$B$6:$B$355,$B19)+SUMIFS($H$6:$H$355,$B$6:$B$355,$B19)+SUMIFS($I$6:$I$355,$B$6:$B$355,$B19)))))</f>
        <v>0</v>
      </c>
      <c r="Y19" s="295"/>
      <c r="Z19" s="220"/>
      <c r="AA19" s="296"/>
      <c r="AB19" s="334"/>
    </row>
    <row r="20" spans="1:28" ht="21.75" x14ac:dyDescent="0.25">
      <c r="A20" s="217" cm="1">
        <f t="array" ref="A20">IFERROR(INDEX(_xlfn.ANCHORARRAY($Q$6),ROW()-5,1),"")</f>
        <v>46162</v>
      </c>
      <c r="B20" s="288" t="str" cm="1">
        <f t="array" ref="B20">IFERROR(INDEX(_xlfn.ANCHORARRAY($Q$6),ROW()-5,2),"")</f>
        <v>M/s Jai Balaji Oxygen Private Limited</v>
      </c>
      <c r="C20" s="289" t="str" cm="1">
        <f t="array" ref="C20">IFERROR(INDEX(_xlfn.ANCHORARRAY($Q$6),ROW()-5,3),"")</f>
        <v>568</v>
      </c>
      <c r="D20" s="218">
        <f>IF($A20="","",IF($K20="DIESEL",SUMIFS(Table1[Quantity],Table1[Customer],$B20,Table1[Date],$A20,Table1[Bill No.],$C20),IF($K20="PETROL",SUMIFS(Table14[Quantity],Table14[Customer],$B20,Table14[Date],$A20,Table14[Bill No.],$C20),IF($K20="XtraGreen",SUMIFS(Table146[Quantity],Table146[Company],$B20,Table146[Date],$A20,Table146[Bill No.],$C20),""))))</f>
        <v>500</v>
      </c>
      <c r="E20" s="219">
        <f>IF($A20="","",IF($K20="DIESEL",AVERAGEIFS(Table1[RSP],Table1[Customer],$B20,Table1[Date],$A20,Table1[Bill No.],$C20),IF($K20="PETROL",AVERAGEIFS(Table14[RSP],Table14[Customer],$B20,Table14[Date],$A20,Table14[Bill No.],$C20),IF($K20="XtraGreen",AVERAGEIFS(Table146[RSP],Table146[Company],$B20,Table146[Date],$A20,Table146[Bill No.],$C20),IFERROR($F20/$D20,"")))))</f>
        <v>96.9</v>
      </c>
      <c r="F20" s="330">
        <f>IF($A20="","",IF($K20="DIESEL",SUMIFS(Table1[Amount],Table1[Customer],$B20,Table1[Date],$A20,Table1[Bill No.],$C20),IF($K20="PETROL",SUMIFS(Table14[Amount],Table14[Customer],$B20,Table14[Date],$A20,Table14[Bill No.],$C20),IF($K20="XtraGreen",SUMIFS(Table146[Amount],Table146[Company],$B20,Table146[Date],$A20,Table146[Bill No.],$C20),SUMIFS('Other Sale'!$D:$D,'Other Sale'!$E:$E,$B20,'Other Sale'!$C:$C,$K20,'Other Sale'!$A:$A,$A20)))))</f>
        <v>48450</v>
      </c>
      <c r="G20" s="330" cm="1">
        <f t="array" ref="G20">IF($A20="","",IF($K20="Payment",IFERROR(INDEX(_xlfn._xlws.FILTER(MasterPaid[Amount Paid],(MasterPaid[Customer]=$B20)*(MasterPaid[Date]=$A20)),COUNTIFS($A$6:$A20,$A20,$B$6:$B20,$B20,$K$6:$K20,"Payment")),0),0))</f>
        <v>0</v>
      </c>
      <c r="H20" s="331"/>
      <c r="I20" s="331"/>
      <c r="J20" s="330">
        <f t="shared" si="0"/>
        <v>48450</v>
      </c>
      <c r="K20" s="289" t="str" cm="1">
        <f t="array" ref="K20">IFERROR(INDEX(_xlfn.ANCHORARRAY($Q$6),ROW()-5,4),"")</f>
        <v>DIESEL</v>
      </c>
      <c r="L20" s="290"/>
      <c r="Q20">
        <v>46162</v>
      </c>
      <c r="R20" t="str">
        <v>M/s Jai Balaji Oxygen Private Limited</v>
      </c>
      <c r="S20" t="str">
        <v>568</v>
      </c>
      <c r="T20" t="str">
        <v>DIESEL</v>
      </c>
      <c r="U20">
        <f>IF(OR($A20="",$F20=""),0,MAX(0,MIN($F20,SUMIFS($F$6:$F20,$B$6:$B20,$B20)-(SUMIFS($G$6:$G$355,$B$6:$B$355,$B20)+SUMIFS($H$6:$H$355,$B$6:$B$355,$B20)+SUMIFS($I$6:$I$355,$B$6:$B$355,$B20)))))</f>
        <v>0</v>
      </c>
      <c r="Y20" s="295"/>
      <c r="Z20" s="220"/>
      <c r="AA20" s="296"/>
      <c r="AB20" s="334"/>
    </row>
    <row r="21" spans="1:28" ht="21.75" x14ac:dyDescent="0.25">
      <c r="A21" s="217" cm="1">
        <f t="array" ref="A21">IFERROR(INDEX(_xlfn.ANCHORARRAY($Q$6),ROW()-5,1),"")</f>
        <v>46163</v>
      </c>
      <c r="B21" s="288" t="str" cm="1">
        <f t="array" ref="B21">IFERROR(INDEX(_xlfn.ANCHORARRAY($Q$6),ROW()-5,2),"")</f>
        <v>M/s Jai Balaji Oxygen Private Limited</v>
      </c>
      <c r="C21" s="289" t="str" cm="1">
        <f t="array" ref="C21">IFERROR(INDEX(_xlfn.ANCHORARRAY($Q$6),ROW()-5,3),"")</f>
        <v/>
      </c>
      <c r="D21" s="218" t="str">
        <f>IF($A21="","",IF($K21="DIESEL",SUMIFS(Table1[Quantity],Table1[Customer],$B21,Table1[Date],$A21,Table1[Bill No.],$C21),IF($K21="PETROL",SUMIFS(Table14[Quantity],Table14[Customer],$B21,Table14[Date],$A21,Table14[Bill No.],$C21),IF($K21="XtraGreen",SUMIFS(Table146[Quantity],Table146[Company],$B21,Table146[Date],$A21,Table146[Bill No.],$C21),""))))</f>
        <v/>
      </c>
      <c r="E21" s="219" t="str">
        <f>IF($A21="","",IF($K21="DIESEL",AVERAGEIFS(Table1[RSP],Table1[Customer],$B21,Table1[Date],$A21,Table1[Bill No.],$C21),IF($K21="PETROL",AVERAGEIFS(Table14[RSP],Table14[Customer],$B21,Table14[Date],$A21,Table14[Bill No.],$C21),IF($K21="XtraGreen",AVERAGEIFS(Table146[RSP],Table146[Company],$B21,Table146[Date],$A21,Table146[Bill No.],$C21),IFERROR($F21/$D21,"")))))</f>
        <v/>
      </c>
      <c r="F21" s="330">
        <f>IF($A21="","",IF($K21="DIESEL",SUMIFS(Table1[Amount],Table1[Customer],$B21,Table1[Date],$A21,Table1[Bill No.],$C21),IF($K21="PETROL",SUMIFS(Table14[Amount],Table14[Customer],$B21,Table14[Date],$A21,Table14[Bill No.],$C21),IF($K21="XtraGreen",SUMIFS(Table146[Amount],Table146[Company],$B21,Table146[Date],$A21,Table146[Bill No.],$C21),SUMIFS('Other Sale'!$D:$D,'Other Sale'!$E:$E,$B21,'Other Sale'!$C:$C,$K21,'Other Sale'!$A:$A,$A21)))))</f>
        <v>0</v>
      </c>
      <c r="G21" s="330" cm="1">
        <f t="array" ref="G21">IF($A21="","",IF($K21="Payment",IFERROR(INDEX(_xlfn._xlws.FILTER(MasterPaid[Amount Paid],(MasterPaid[Customer]=$B21)*(MasterPaid[Date]=$A21)),COUNTIFS($A$6:$A21,$A21,$B$6:$B21,$B21,$K$6:$K21,"Payment")),0),0))</f>
        <v>48450</v>
      </c>
      <c r="H21" s="331"/>
      <c r="I21" s="331"/>
      <c r="J21" s="330">
        <f t="shared" si="0"/>
        <v>0</v>
      </c>
      <c r="K21" s="289" t="str" cm="1">
        <f t="array" ref="K21">IFERROR(INDEX(_xlfn.ANCHORARRAY($Q$6),ROW()-5,4),"")</f>
        <v>Payment</v>
      </c>
      <c r="L21" s="290"/>
      <c r="Q21">
        <v>46163</v>
      </c>
      <c r="R21" t="str">
        <v>M/s Jai Balaji Oxygen Private Limited</v>
      </c>
      <c r="S21" t="str">
        <v/>
      </c>
      <c r="T21" t="str">
        <v>Payment</v>
      </c>
      <c r="U21">
        <f>IF(OR($A21="",$F21=""),0,MAX(0,MIN($F21,SUMIFS($F$6:$F21,$B$6:$B21,$B21)-(SUMIFS($G$6:$G$355,$B$6:$B$355,$B21)+SUMIFS($H$6:$H$355,$B$6:$B$355,$B21)+SUMIFS($I$6:$I$355,$B$6:$B$355,$B21)))))</f>
        <v>0</v>
      </c>
      <c r="Y21" s="295"/>
      <c r="Z21" s="220"/>
      <c r="AA21" s="296"/>
      <c r="AB21" s="334"/>
    </row>
    <row r="22" spans="1:28" ht="21.75" x14ac:dyDescent="0.25">
      <c r="A22" s="217" cm="1">
        <f t="array" ref="A22">IFERROR(INDEX(_xlfn.ANCHORARRAY($Q$6),ROW()-5,1),"")</f>
        <v>46167</v>
      </c>
      <c r="B22" s="288" t="str" cm="1">
        <f t="array" ref="B22">IFERROR(INDEX(_xlfn.ANCHORARRAY($Q$6),ROW()-5,2),"")</f>
        <v>KRISHNA INFRATECH PVT LTD</v>
      </c>
      <c r="C22" s="289" t="str" cm="1">
        <f t="array" ref="C22">IFERROR(INDEX(_xlfn.ANCHORARRAY($Q$6),ROW()-5,3),"")</f>
        <v>630</v>
      </c>
      <c r="D22" s="218">
        <f>IF($A22="","",IF($K22="DIESEL",SUMIFS(Table1[Quantity],Table1[Customer],$B22,Table1[Date],$A22,Table1[Bill No.],$C22),IF($K22="PETROL",SUMIFS(Table14[Quantity],Table14[Customer],$B22,Table14[Date],$A22,Table14[Bill No.],$C22),IF($K22="XtraGreen",SUMIFS(Table146[Quantity],Table146[Company],$B22,Table146[Date],$A22,Table146[Bill No.],$C22),""))))</f>
        <v>600</v>
      </c>
      <c r="E22" s="219">
        <f>IF($A22="","",IF($K22="DIESEL",AVERAGEIFS(Table1[RSP],Table1[Customer],$B22,Table1[Date],$A22,Table1[Bill No.],$C22),IF($K22="PETROL",AVERAGEIFS(Table14[RSP],Table14[Customer],$B22,Table14[Date],$A22,Table14[Bill No.],$C22),IF($K22="XtraGreen",AVERAGEIFS(Table146[RSP],Table146[Company],$B22,Table146[Date],$A22,Table146[Bill No.],$C22),IFERROR($F22/$D22,"")))))</f>
        <v>100.74</v>
      </c>
      <c r="F22" s="330">
        <f>IF($A22="","",IF($K22="DIESEL",SUMIFS(Table1[Amount],Table1[Customer],$B22,Table1[Date],$A22,Table1[Bill No.],$C22),IF($K22="PETROL",SUMIFS(Table14[Amount],Table14[Customer],$B22,Table14[Date],$A22,Table14[Bill No.],$C22),IF($K22="XtraGreen",SUMIFS(Table146[Amount],Table146[Company],$B22,Table146[Date],$A22,Table146[Bill No.],$C22),SUMIFS('Other Sale'!$D:$D,'Other Sale'!$E:$E,$B22,'Other Sale'!$C:$C,$K22,'Other Sale'!$A:$A,$A22)))))</f>
        <v>60444</v>
      </c>
      <c r="G22" s="330" cm="1">
        <f t="array" ref="G22">IF($A22="","",IF($K22="Payment",IFERROR(INDEX(_xlfn._xlws.FILTER(MasterPaid[Amount Paid],(MasterPaid[Customer]=$B22)*(MasterPaid[Date]=$A22)),COUNTIFS($A$6:$A22,$A22,$B$6:$B22,$B22,$K$6:$K22,"Payment")),0),0))</f>
        <v>0</v>
      </c>
      <c r="H22" s="331"/>
      <c r="I22" s="331"/>
      <c r="J22" s="330">
        <f t="shared" si="0"/>
        <v>60444</v>
      </c>
      <c r="K22" s="289" t="str" cm="1">
        <f t="array" ref="K22">IFERROR(INDEX(_xlfn.ANCHORARRAY($Q$6),ROW()-5,4),"")</f>
        <v>DIESEL</v>
      </c>
      <c r="L22" s="290"/>
      <c r="Q22">
        <v>46167</v>
      </c>
      <c r="R22" t="str">
        <v>KRISHNA INFRATECH PVT LTD</v>
      </c>
      <c r="S22" t="str">
        <v>630</v>
      </c>
      <c r="T22" t="str">
        <v>DIESEL</v>
      </c>
      <c r="U22">
        <f>IF(OR($A22="",$F22=""),0,MAX(0,MIN($F22,SUMIFS($F$6:$F22,$B$6:$B22,$B22)-(SUMIFS($G$6:$G$355,$B$6:$B$355,$B22)+SUMIFS($H$6:$H$355,$B$6:$B$355,$B22)+SUMIFS($I$6:$I$355,$B$6:$B$355,$B22)))))</f>
        <v>0</v>
      </c>
      <c r="Y22" s="295"/>
      <c r="Z22" s="220"/>
      <c r="AA22" s="296"/>
      <c r="AB22" s="334"/>
    </row>
    <row r="23" spans="1:28" ht="21.75" x14ac:dyDescent="0.25">
      <c r="A23" s="217" cm="1">
        <f t="array" ref="A23">IFERROR(INDEX(_xlfn.ANCHORARRAY($Q$6),ROW()-5,1),"")</f>
        <v>46168</v>
      </c>
      <c r="B23" s="288" t="str" cm="1">
        <f t="array" ref="B23">IFERROR(INDEX(_xlfn.ANCHORARRAY($Q$6),ROW()-5,2),"")</f>
        <v>KRISHNA INFRATECH PVT LTD</v>
      </c>
      <c r="C23" s="289" t="str" cm="1">
        <f t="array" ref="C23">IFERROR(INDEX(_xlfn.ANCHORARRAY($Q$6),ROW()-5,3),"")</f>
        <v/>
      </c>
      <c r="D23" s="218" t="str">
        <f>IF($A23="","",IF($K23="DIESEL",SUMIFS(Table1[Quantity],Table1[Customer],$B23,Table1[Date],$A23,Table1[Bill No.],$C23),IF($K23="PETROL",SUMIFS(Table14[Quantity],Table14[Customer],$B23,Table14[Date],$A23,Table14[Bill No.],$C23),IF($K23="XtraGreen",SUMIFS(Table146[Quantity],Table146[Company],$B23,Table146[Date],$A23,Table146[Bill No.],$C23),""))))</f>
        <v/>
      </c>
      <c r="E23" s="219" t="str">
        <f>IF($A23="","",IF($K23="DIESEL",AVERAGEIFS(Table1[RSP],Table1[Customer],$B23,Table1[Date],$A23,Table1[Bill No.],$C23),IF($K23="PETROL",AVERAGEIFS(Table14[RSP],Table14[Customer],$B23,Table14[Date],$A23,Table14[Bill No.],$C23),IF($K23="XtraGreen",AVERAGEIFS(Table146[RSP],Table146[Company],$B23,Table146[Date],$A23,Table146[Bill No.],$C23),IFERROR($F23/$D23,"")))))</f>
        <v/>
      </c>
      <c r="F23" s="330">
        <f>IF($A23="","",IF($K23="DIESEL",SUMIFS(Table1[Amount],Table1[Customer],$B23,Table1[Date],$A23,Table1[Bill No.],$C23),IF($K23="PETROL",SUMIFS(Table14[Amount],Table14[Customer],$B23,Table14[Date],$A23,Table14[Bill No.],$C23),IF($K23="XtraGreen",SUMIFS(Table146[Amount],Table146[Company],$B23,Table146[Date],$A23,Table146[Bill No.],$C23),SUMIFS('Other Sale'!$D:$D,'Other Sale'!$E:$E,$B23,'Other Sale'!$C:$C,$K23,'Other Sale'!$A:$A,$A23)))))</f>
        <v>0</v>
      </c>
      <c r="G23" s="330" cm="1">
        <f t="array" ref="G23">IF($A23="","",IF($K23="Payment",IFERROR(INDEX(_xlfn._xlws.FILTER(MasterPaid[Amount Paid],(MasterPaid[Customer]=$B23)*(MasterPaid[Date]=$A23)),COUNTIFS($A$6:$A23,$A23,$B$6:$B23,$B23,$K$6:$K23,"Payment")),0),0))</f>
        <v>60444</v>
      </c>
      <c r="H23" s="331"/>
      <c r="I23" s="331"/>
      <c r="J23" s="330">
        <f t="shared" si="0"/>
        <v>0</v>
      </c>
      <c r="K23" s="289" t="str" cm="1">
        <f t="array" ref="K23">IFERROR(INDEX(_xlfn.ANCHORARRAY($Q$6),ROW()-5,4),"")</f>
        <v>Payment</v>
      </c>
      <c r="L23" s="290"/>
      <c r="Q23">
        <v>46168</v>
      </c>
      <c r="R23" t="str">
        <v>KRISHNA INFRATECH PVT LTD</v>
      </c>
      <c r="S23" t="str">
        <v/>
      </c>
      <c r="T23" t="str">
        <v>Payment</v>
      </c>
      <c r="U23">
        <f>IF(OR($A23="",$F23=""),0,MAX(0,MIN($F23,SUMIFS($F$6:$F23,$B$6:$B23,$B23)-(SUMIFS($G$6:$G$355,$B$6:$B$355,$B23)+SUMIFS($H$6:$H$355,$B$6:$B$355,$B23)+SUMIFS($I$6:$I$355,$B$6:$B$355,$B23)))))</f>
        <v>0</v>
      </c>
      <c r="Y23" s="295"/>
      <c r="Z23" s="220"/>
      <c r="AA23" s="296"/>
      <c r="AB23" s="334"/>
    </row>
    <row r="24" spans="1:28" ht="21.75" x14ac:dyDescent="0.25">
      <c r="A24" s="217" cm="1">
        <f t="array" ref="A24">IFERROR(INDEX(_xlfn.ANCHORARRAY($Q$6),ROW()-5,1),"")</f>
        <v>46171</v>
      </c>
      <c r="B24" s="288" t="str" cm="1">
        <f t="array" ref="B24">IFERROR(INDEX(_xlfn.ANCHORARRAY($Q$6),ROW()-5,2),"")</f>
        <v>KRISHNA INFRATECH PVT LTD</v>
      </c>
      <c r="C24" s="289" t="str" cm="1">
        <f t="array" ref="C24">IFERROR(INDEX(_xlfn.ANCHORARRAY($Q$6),ROW()-5,3),"")</f>
        <v>670</v>
      </c>
      <c r="D24" s="218">
        <f>IF($A24="","",IF($K24="DIESEL",SUMIFS(Table1[Quantity],Table1[Customer],$B24,Table1[Date],$A24,Table1[Bill No.],$C24),IF($K24="PETROL",SUMIFS(Table14[Quantity],Table14[Customer],$B24,Table14[Date],$A24,Table14[Bill No.],$C24),IF($K24="XtraGreen",SUMIFS(Table146[Quantity],Table146[Company],$B24,Table146[Date],$A24,Table146[Bill No.],$C24),""))))</f>
        <v>200</v>
      </c>
      <c r="E24" s="219">
        <f>IF($A24="","",IF($K24="DIESEL",AVERAGEIFS(Table1[RSP],Table1[Customer],$B24,Table1[Date],$A24,Table1[Bill No.],$C24),IF($K24="PETROL",AVERAGEIFS(Table14[RSP],Table14[Customer],$B24,Table14[Date],$A24,Table14[Bill No.],$C24),IF($K24="XtraGreen",AVERAGEIFS(Table146[RSP],Table146[Company],$B24,Table146[Date],$A24,Table146[Bill No.],$C24),IFERROR($F24/$D24,"")))))</f>
        <v>100.74</v>
      </c>
      <c r="F24" s="330">
        <f>IF($A24="","",IF($K24="DIESEL",SUMIFS(Table1[Amount],Table1[Customer],$B24,Table1[Date],$A24,Table1[Bill No.],$C24),IF($K24="PETROL",SUMIFS(Table14[Amount],Table14[Customer],$B24,Table14[Date],$A24,Table14[Bill No.],$C24),IF($K24="XtraGreen",SUMIFS(Table146[Amount],Table146[Company],$B24,Table146[Date],$A24,Table146[Bill No.],$C24),SUMIFS('Other Sale'!$D:$D,'Other Sale'!$E:$E,$B24,'Other Sale'!$C:$C,$K24,'Other Sale'!$A:$A,$A24)))))</f>
        <v>20148</v>
      </c>
      <c r="G24" s="330" cm="1">
        <f t="array" ref="G24">IF($A24="","",IF($K24="Payment",IFERROR(INDEX(_xlfn._xlws.FILTER(MasterPaid[Amount Paid],(MasterPaid[Customer]=$B24)*(MasterPaid[Date]=$A24)),COUNTIFS($A$6:$A24,$A24,$B$6:$B24,$B24,$K$6:$K24,"Payment")),0),0))</f>
        <v>0</v>
      </c>
      <c r="H24" s="331"/>
      <c r="I24" s="331"/>
      <c r="J24" s="330">
        <f t="shared" si="0"/>
        <v>20148</v>
      </c>
      <c r="K24" s="289" t="str" cm="1">
        <f t="array" ref="K24">IFERROR(INDEX(_xlfn.ANCHORARRAY($Q$6),ROW()-5,4),"")</f>
        <v>DIESEL</v>
      </c>
      <c r="L24" s="290"/>
      <c r="Q24">
        <v>46171</v>
      </c>
      <c r="R24" t="str">
        <v>KRISHNA INFRATECH PVT LTD</v>
      </c>
      <c r="S24" t="str">
        <v>670</v>
      </c>
      <c r="T24" t="str">
        <v>DIESEL</v>
      </c>
      <c r="U24">
        <f>IF(OR($A24="",$F24=""),0,MAX(0,MIN($F24,SUMIFS($F$6:$F24,$B$6:$B24,$B24)-(SUMIFS($G$6:$G$355,$B$6:$B$355,$B24)+SUMIFS($H$6:$H$355,$B$6:$B$355,$B24)+SUMIFS($I$6:$I$355,$B$6:$B$355,$B24)))))</f>
        <v>0</v>
      </c>
      <c r="Y24" s="295"/>
      <c r="Z24" s="220"/>
      <c r="AA24" s="296"/>
      <c r="AB24" s="334"/>
    </row>
    <row r="25" spans="1:28" ht="21.75" x14ac:dyDescent="0.25">
      <c r="A25" s="217" cm="1">
        <f t="array" ref="A25">IFERROR(INDEX(_xlfn.ANCHORARRAY($Q$6),ROW()-5,1),"")</f>
        <v>46171</v>
      </c>
      <c r="B25" s="288" t="str" cm="1">
        <f t="array" ref="B25">IFERROR(INDEX(_xlfn.ANCHORARRAY($Q$6),ROW()-5,2),"")</f>
        <v>M/s  Ankita Air Products Private Limited</v>
      </c>
      <c r="C25" s="289" t="str" cm="1">
        <f t="array" ref="C25">IFERROR(INDEX(_xlfn.ANCHORARRAY($Q$6),ROW()-5,3),"")</f>
        <v>671</v>
      </c>
      <c r="D25" s="218">
        <f>IF($A25="","",IF($K25="DIESEL",SUMIFS(Table1[Quantity],Table1[Customer],$B25,Table1[Date],$A25,Table1[Bill No.],$C25),IF($K25="PETROL",SUMIFS(Table14[Quantity],Table14[Customer],$B25,Table14[Date],$A25,Table14[Bill No.],$C25),IF($K25="XtraGreen",SUMIFS(Table146[Quantity],Table146[Company],$B25,Table146[Date],$A25,Table146[Bill No.],$C25),""))))</f>
        <v>400</v>
      </c>
      <c r="E25" s="219">
        <f>IF($A25="","",IF($K25="DIESEL",AVERAGEIFS(Table1[RSP],Table1[Customer],$B25,Table1[Date],$A25,Table1[Bill No.],$C25),IF($K25="PETROL",AVERAGEIFS(Table14[RSP],Table14[Customer],$B25,Table14[Date],$A25,Table14[Bill No.],$C25),IF($K25="XtraGreen",AVERAGEIFS(Table146[RSP],Table146[Company],$B25,Table146[Date],$A25,Table146[Bill No.],$C25),IFERROR($F25/$D25,"")))))</f>
        <v>100.74</v>
      </c>
      <c r="F25" s="330">
        <f>IF($A25="","",IF($K25="DIESEL",SUMIFS(Table1[Amount],Table1[Customer],$B25,Table1[Date],$A25,Table1[Bill No.],$C25),IF($K25="PETROL",SUMIFS(Table14[Amount],Table14[Customer],$B25,Table14[Date],$A25,Table14[Bill No.],$C25),IF($K25="XtraGreen",SUMIFS(Table146[Amount],Table146[Company],$B25,Table146[Date],$A25,Table146[Bill No.],$C25),SUMIFS('Other Sale'!$D:$D,'Other Sale'!$E:$E,$B25,'Other Sale'!$C:$C,$K25,'Other Sale'!$A:$A,$A25)))))</f>
        <v>40296</v>
      </c>
      <c r="G25" s="330" cm="1">
        <f t="array" ref="G25">IF($A25="","",IF($K25="Payment",IFERROR(INDEX(_xlfn._xlws.FILTER(MasterPaid[Amount Paid],(MasterPaid[Customer]=$B25)*(MasterPaid[Date]=$A25)),COUNTIFS($A$6:$A25,$A25,$B$6:$B25,$B25,$K$6:$K25,"Payment")),0),0))</f>
        <v>0</v>
      </c>
      <c r="H25" s="331"/>
      <c r="I25" s="331"/>
      <c r="J25" s="330">
        <f t="shared" si="0"/>
        <v>60444</v>
      </c>
      <c r="K25" s="289" t="str" cm="1">
        <f t="array" ref="K25">IFERROR(INDEX(_xlfn.ANCHORARRAY($Q$6),ROW()-5,4),"")</f>
        <v>DIESEL</v>
      </c>
      <c r="L25" s="290"/>
      <c r="Q25">
        <v>46171</v>
      </c>
      <c r="R25" t="str">
        <v>M/s  Ankita Air Products Private Limited</v>
      </c>
      <c r="S25" t="str">
        <v>671</v>
      </c>
      <c r="T25" t="str">
        <v>DIESEL</v>
      </c>
      <c r="U25">
        <f>IF(OR($A25="",$F25=""),0,MAX(0,MIN($F25,SUMIFS($F$6:$F25,$B$6:$B25,$B25)-(SUMIFS($G$6:$G$355,$B$6:$B$355,$B25)+SUMIFS($H$6:$H$355,$B$6:$B$355,$B25)+SUMIFS($I$6:$I$355,$B$6:$B$355,$B25)))))</f>
        <v>0</v>
      </c>
      <c r="Y25" s="295"/>
      <c r="Z25" s="220"/>
      <c r="AA25" s="296"/>
      <c r="AB25" s="334"/>
    </row>
    <row r="26" spans="1:28" ht="21.75" x14ac:dyDescent="0.25">
      <c r="A26" s="217" cm="1">
        <f t="array" ref="A26">IFERROR(INDEX(_xlfn.ANCHORARRAY($Q$6),ROW()-5,1),"")</f>
        <v>46175</v>
      </c>
      <c r="B26" s="288" t="str" cm="1">
        <f t="array" ref="B26">IFERROR(INDEX(_xlfn.ANCHORARRAY($Q$6),ROW()-5,2),"")</f>
        <v>KRISHNA INFRATECH PVT LTD</v>
      </c>
      <c r="C26" s="289" t="str" cm="1">
        <f t="array" ref="C26">IFERROR(INDEX(_xlfn.ANCHORARRAY($Q$6),ROW()-5,3),"")</f>
        <v/>
      </c>
      <c r="D26" s="218" t="str">
        <f>IF($A26="","",IF($K26="DIESEL",SUMIFS(Table1[Quantity],Table1[Customer],$B26,Table1[Date],$A26,Table1[Bill No.],$C26),IF($K26="PETROL",SUMIFS(Table14[Quantity],Table14[Customer],$B26,Table14[Date],$A26,Table14[Bill No.],$C26),IF($K26="XtraGreen",SUMIFS(Table146[Quantity],Table146[Company],$B26,Table146[Date],$A26,Table146[Bill No.],$C26),""))))</f>
        <v/>
      </c>
      <c r="E26" s="219" t="str">
        <f>IF($A26="","",IF($K26="DIESEL",AVERAGEIFS(Table1[RSP],Table1[Customer],$B26,Table1[Date],$A26,Table1[Bill No.],$C26),IF($K26="PETROL",AVERAGEIFS(Table14[RSP],Table14[Customer],$B26,Table14[Date],$A26,Table14[Bill No.],$C26),IF($K26="XtraGreen",AVERAGEIFS(Table146[RSP],Table146[Company],$B26,Table146[Date],$A26,Table146[Bill No.],$C26),IFERROR($F26/$D26,"")))))</f>
        <v/>
      </c>
      <c r="F26" s="330">
        <f>IF($A26="","",IF($K26="DIESEL",SUMIFS(Table1[Amount],Table1[Customer],$B26,Table1[Date],$A26,Table1[Bill No.],$C26),IF($K26="PETROL",SUMIFS(Table14[Amount],Table14[Customer],$B26,Table14[Date],$A26,Table14[Bill No.],$C26),IF($K26="XtraGreen",SUMIFS(Table146[Amount],Table146[Company],$B26,Table146[Date],$A26,Table146[Bill No.],$C26),SUMIFS('Other Sale'!$D:$D,'Other Sale'!$E:$E,$B26,'Other Sale'!$C:$C,$K26,'Other Sale'!$A:$A,$A26)))))</f>
        <v>0</v>
      </c>
      <c r="G26" s="330" cm="1">
        <f t="array" ref="G26">IF($A26="","",IF($K26="Payment",IFERROR(INDEX(_xlfn._xlws.FILTER(MasterPaid[Amount Paid],(MasterPaid[Customer]=$B26)*(MasterPaid[Date]=$A26)),COUNTIFS($A$6:$A26,$A26,$B$6:$B26,$B26,$K$6:$K26,"Payment")),0),0))</f>
        <v>20148</v>
      </c>
      <c r="H26" s="331"/>
      <c r="I26" s="331"/>
      <c r="J26" s="330">
        <f t="shared" si="0"/>
        <v>40296</v>
      </c>
      <c r="K26" s="289" t="str" cm="1">
        <f t="array" ref="K26">IFERROR(INDEX(_xlfn.ANCHORARRAY($Q$6),ROW()-5,4),"")</f>
        <v>Payment</v>
      </c>
      <c r="L26" s="290"/>
      <c r="Q26">
        <v>46175</v>
      </c>
      <c r="R26" t="str">
        <v>KRISHNA INFRATECH PVT LTD</v>
      </c>
      <c r="S26" t="str">
        <v/>
      </c>
      <c r="T26" t="str">
        <v>Payment</v>
      </c>
      <c r="U26">
        <f>IF(OR($A26="",$F26=""),0,MAX(0,MIN($F26,SUMIFS($F$6:$F26,$B$6:$B26,$B26)-(SUMIFS($G$6:$G$355,$B$6:$B$355,$B26)+SUMIFS($H$6:$H$355,$B$6:$B$355,$B26)+SUMIFS($I$6:$I$355,$B$6:$B$355,$B26)))))</f>
        <v>0</v>
      </c>
    </row>
    <row r="27" spans="1:28" ht="21.75" x14ac:dyDescent="0.25">
      <c r="A27" s="217" cm="1">
        <f t="array" ref="A27">IFERROR(INDEX(_xlfn.ANCHORARRAY($Q$6),ROW()-5,1),"")</f>
        <v>46176</v>
      </c>
      <c r="B27" s="288" t="str" cm="1">
        <f t="array" ref="B27">IFERROR(INDEX(_xlfn.ANCHORARRAY($Q$6),ROW()-5,2),"")</f>
        <v>M/s Jai Balaji Oxygen Private Limited</v>
      </c>
      <c r="C27" s="289" t="str" cm="1">
        <f t="array" ref="C27">IFERROR(INDEX(_xlfn.ANCHORARRAY($Q$6),ROW()-5,3),"")</f>
        <v>714</v>
      </c>
      <c r="D27" s="218">
        <f>IF($A27="","",IF($K27="DIESEL",SUMIFS(Table1[Quantity],Table1[Customer],$B27,Table1[Date],$A27,Table1[Bill No.],$C27),IF($K27="PETROL",SUMIFS(Table14[Quantity],Table14[Customer],$B27,Table14[Date],$A27,Table14[Bill No.],$C27),IF($K27="XtraGreen",SUMIFS(Table146[Quantity],Table146[Company],$B27,Table146[Date],$A27,Table146[Bill No.],$C27),""))))</f>
        <v>1000</v>
      </c>
      <c r="E27" s="219">
        <f>IF($A27="","",IF($K27="DIESEL",AVERAGEIFS(Table1[RSP],Table1[Customer],$B27,Table1[Date],$A27,Table1[Bill No.],$C27),IF($K27="PETROL",AVERAGEIFS(Table14[RSP],Table14[Customer],$B27,Table14[Date],$A27,Table14[Bill No.],$C27),IF($K27="XtraGreen",AVERAGEIFS(Table146[RSP],Table146[Company],$B27,Table146[Date],$A27,Table146[Bill No.],$C27),IFERROR($F27/$D27,"")))))</f>
        <v>100.74</v>
      </c>
      <c r="F27" s="330">
        <f>IF($A27="","",IF($K27="DIESEL",SUMIFS(Table1[Amount],Table1[Customer],$B27,Table1[Date],$A27,Table1[Bill No.],$C27),IF($K27="PETROL",SUMIFS(Table14[Amount],Table14[Customer],$B27,Table14[Date],$A27,Table14[Bill No.],$C27),IF($K27="XtraGreen",SUMIFS(Table146[Amount],Table146[Company],$B27,Table146[Date],$A27,Table146[Bill No.],$C27),SUMIFS('Other Sale'!$D:$D,'Other Sale'!$E:$E,$B27,'Other Sale'!$C:$C,$K27,'Other Sale'!$A:$A,$A27)))))</f>
        <v>100740</v>
      </c>
      <c r="G27" s="330" cm="1">
        <f t="array" ref="G27">IF($A27="","",IF($K27="Payment",IFERROR(INDEX(_xlfn._xlws.FILTER(MasterPaid[Amount Paid],(MasterPaid[Customer]=$B27)*(MasterPaid[Date]=$A27)),COUNTIFS($A$6:$A27,$A27,$B$6:$B27,$B27,$K$6:$K27,"Payment")),0),0))</f>
        <v>0</v>
      </c>
      <c r="H27" s="331"/>
      <c r="I27" s="331"/>
      <c r="J27" s="330">
        <f t="shared" si="0"/>
        <v>141036</v>
      </c>
      <c r="K27" s="289" t="str" cm="1">
        <f t="array" ref="K27">IFERROR(INDEX(_xlfn.ANCHORARRAY($Q$6),ROW()-5,4),"")</f>
        <v>DIESEL</v>
      </c>
      <c r="L27" s="290"/>
      <c r="Q27">
        <v>46176</v>
      </c>
      <c r="R27" t="str">
        <v>M/s Jai Balaji Oxygen Private Limited</v>
      </c>
      <c r="S27" t="str">
        <v>714</v>
      </c>
      <c r="T27" t="str">
        <v>DIESEL</v>
      </c>
      <c r="U27">
        <f>IF(OR($A27="",$F27=""),0,MAX(0,MIN($F27,SUMIFS($F$6:$F27,$B$6:$B27,$B27)-(SUMIFS($G$6:$G$355,$B$6:$B$355,$B27)+SUMIFS($H$6:$H$355,$B$6:$B$355,$B27)+SUMIFS($I$6:$I$355,$B$6:$B$355,$B27)))))</f>
        <v>0</v>
      </c>
    </row>
    <row r="28" spans="1:28" ht="21.75" x14ac:dyDescent="0.25">
      <c r="A28" s="217" cm="1">
        <f t="array" ref="A28">IFERROR(INDEX(_xlfn.ANCHORARRAY($Q$6),ROW()-5,1),"")</f>
        <v>46177</v>
      </c>
      <c r="B28" s="288" t="str" cm="1">
        <f t="array" ref="B28">IFERROR(INDEX(_xlfn.ANCHORARRAY($Q$6),ROW()-5,2),"")</f>
        <v>M/s  Ankita Air Products Private Limited</v>
      </c>
      <c r="C28" s="289" t="str" cm="1">
        <f t="array" ref="C28">IFERROR(INDEX(_xlfn.ANCHORARRAY($Q$6),ROW()-5,3),"")</f>
        <v/>
      </c>
      <c r="D28" s="218" t="str">
        <f>IF($A28="","",IF($K28="DIESEL",SUMIFS(Table1[Quantity],Table1[Customer],$B28,Table1[Date],$A28,Table1[Bill No.],$C28),IF($K28="PETROL",SUMIFS(Table14[Quantity],Table14[Customer],$B28,Table14[Date],$A28,Table14[Bill No.],$C28),IF($K28="XtraGreen",SUMIFS(Table146[Quantity],Table146[Company],$B28,Table146[Date],$A28,Table146[Bill No.],$C28),""))))</f>
        <v/>
      </c>
      <c r="E28" s="219" t="str">
        <f>IF($A28="","",IF($K28="DIESEL",AVERAGEIFS(Table1[RSP],Table1[Customer],$B28,Table1[Date],$A28,Table1[Bill No.],$C28),IF($K28="PETROL",AVERAGEIFS(Table14[RSP],Table14[Customer],$B28,Table14[Date],$A28,Table14[Bill No.],$C28),IF($K28="XtraGreen",AVERAGEIFS(Table146[RSP],Table146[Company],$B28,Table146[Date],$A28,Table146[Bill No.],$C28),IFERROR($F28/$D28,"")))))</f>
        <v/>
      </c>
      <c r="F28" s="330">
        <f>IF($A28="","",IF($K28="DIESEL",SUMIFS(Table1[Amount],Table1[Customer],$B28,Table1[Date],$A28,Table1[Bill No.],$C28),IF($K28="PETROL",SUMIFS(Table14[Amount],Table14[Customer],$B28,Table14[Date],$A28,Table14[Bill No.],$C28),IF($K28="XtraGreen",SUMIFS(Table146[Amount],Table146[Company],$B28,Table146[Date],$A28,Table146[Bill No.],$C28),SUMIFS('Other Sale'!$D:$D,'Other Sale'!$E:$E,$B28,'Other Sale'!$C:$C,$K28,'Other Sale'!$A:$A,$A28)))))</f>
        <v>0</v>
      </c>
      <c r="G28" s="330" cm="1">
        <f t="array" ref="G28">IF($A28="","",IF($K28="Payment",IFERROR(INDEX(_xlfn._xlws.FILTER(MasterPaid[Amount Paid],(MasterPaid[Customer]=$B28)*(MasterPaid[Date]=$A28)),COUNTIFS($A$6:$A28,$A28,$B$6:$B28,$B28,$K$6:$K28,"Payment")),0),0))</f>
        <v>40296</v>
      </c>
      <c r="H28" s="331"/>
      <c r="I28" s="331"/>
      <c r="J28" s="330">
        <f t="shared" si="0"/>
        <v>100740</v>
      </c>
      <c r="K28" s="289" t="str" cm="1">
        <f t="array" ref="K28">IFERROR(INDEX(_xlfn.ANCHORARRAY($Q$6),ROW()-5,4),"")</f>
        <v>Payment</v>
      </c>
      <c r="L28" s="290"/>
      <c r="Q28">
        <v>46177</v>
      </c>
      <c r="R28" t="str">
        <v>M/s  Ankita Air Products Private Limited</v>
      </c>
      <c r="S28" t="str">
        <v/>
      </c>
      <c r="T28" t="str">
        <v>Payment</v>
      </c>
      <c r="U28">
        <f>IF(OR($A28="",$F28=""),0,MAX(0,MIN($F28,SUMIFS($F$6:$F28,$B$6:$B28,$B28)-(SUMIFS($G$6:$G$355,$B$6:$B$355,$B28)+SUMIFS($H$6:$H$355,$B$6:$B$355,$B28)+SUMIFS($I$6:$I$355,$B$6:$B$355,$B28)))))</f>
        <v>0</v>
      </c>
    </row>
    <row r="29" spans="1:28" ht="21.75" x14ac:dyDescent="0.25">
      <c r="A29" s="217" cm="1">
        <f t="array" ref="A29">IFERROR(INDEX(_xlfn.ANCHORARRAY($Q$6),ROW()-5,1),"")</f>
        <v>46177</v>
      </c>
      <c r="B29" s="288" t="str" cm="1">
        <f t="array" ref="B29">IFERROR(INDEX(_xlfn.ANCHORARRAY($Q$6),ROW()-5,2),"")</f>
        <v>M/s Jai Balaji Oxygen Private Limited</v>
      </c>
      <c r="C29" s="289" t="str" cm="1">
        <f t="array" ref="C29">IFERROR(INDEX(_xlfn.ANCHORARRAY($Q$6),ROW()-5,3),"")</f>
        <v/>
      </c>
      <c r="D29" s="218" t="str">
        <f>IF($A29="","",IF($K29="DIESEL",SUMIFS(Table1[Quantity],Table1[Customer],$B29,Table1[Date],$A29,Table1[Bill No.],$C29),IF($K29="PETROL",SUMIFS(Table14[Quantity],Table14[Customer],$B29,Table14[Date],$A29,Table14[Bill No.],$C29),IF($K29="XtraGreen",SUMIFS(Table146[Quantity],Table146[Company],$B29,Table146[Date],$A29,Table146[Bill No.],$C29),""))))</f>
        <v/>
      </c>
      <c r="E29" s="219" t="str">
        <f>IF($A29="","",IF($K29="DIESEL",AVERAGEIFS(Table1[RSP],Table1[Customer],$B29,Table1[Date],$A29,Table1[Bill No.],$C29),IF($K29="PETROL",AVERAGEIFS(Table14[RSP],Table14[Customer],$B29,Table14[Date],$A29,Table14[Bill No.],$C29),IF($K29="XtraGreen",AVERAGEIFS(Table146[RSP],Table146[Company],$B29,Table146[Date],$A29,Table146[Bill No.],$C29),IFERROR($F29/$D29,"")))))</f>
        <v/>
      </c>
      <c r="F29" s="330">
        <f>IF($A29="","",IF($K29="DIESEL",SUMIFS(Table1[Amount],Table1[Customer],$B29,Table1[Date],$A29,Table1[Bill No.],$C29),IF($K29="PETROL",SUMIFS(Table14[Amount],Table14[Customer],$B29,Table14[Date],$A29,Table14[Bill No.],$C29),IF($K29="XtraGreen",SUMIFS(Table146[Amount],Table146[Company],$B29,Table146[Date],$A29,Table146[Bill No.],$C29),SUMIFS('Other Sale'!$D:$D,'Other Sale'!$E:$E,$B29,'Other Sale'!$C:$C,$K29,'Other Sale'!$A:$A,$A29)))))</f>
        <v>0</v>
      </c>
      <c r="G29" s="330" cm="1">
        <f t="array" ref="G29">IF($A29="","",IF($K29="Payment",IFERROR(INDEX(_xlfn._xlws.FILTER(MasterPaid[Amount Paid],(MasterPaid[Customer]=$B29)*(MasterPaid[Date]=$A29)),COUNTIFS($A$6:$A29,$A29,$B$6:$B29,$B29,$K$6:$K29,"Payment")),0),0))</f>
        <v>104740</v>
      </c>
      <c r="H29" s="331"/>
      <c r="I29" s="331"/>
      <c r="J29" s="330">
        <f t="shared" si="0"/>
        <v>-4000</v>
      </c>
      <c r="K29" s="289" t="str" cm="1">
        <f t="array" ref="K29">IFERROR(INDEX(_xlfn.ANCHORARRAY($Q$6),ROW()-5,4),"")</f>
        <v>Payment</v>
      </c>
      <c r="L29" s="290"/>
      <c r="Q29">
        <v>46177</v>
      </c>
      <c r="R29" t="str">
        <v>M/s Jai Balaji Oxygen Private Limited</v>
      </c>
      <c r="S29" t="str">
        <v/>
      </c>
      <c r="T29" t="str">
        <v>Payment</v>
      </c>
      <c r="U29">
        <f>IF(OR($A29="",$F29=""),0,MAX(0,MIN($F29,SUMIFS($F$6:$F29,$B$6:$B29,$B29)-(SUMIFS($G$6:$G$355,$B$6:$B$355,$B29)+SUMIFS($H$6:$H$355,$B$6:$B$355,$B29)+SUMIFS($I$6:$I$355,$B$6:$B$355,$B29)))))</f>
        <v>0</v>
      </c>
    </row>
    <row r="30" spans="1:28" ht="21.75" x14ac:dyDescent="0.25">
      <c r="A30" s="217" cm="1">
        <f t="array" ref="A30">IFERROR(INDEX(_xlfn.ANCHORARRAY($Q$6),ROW()-5,1),"")</f>
        <v>46193</v>
      </c>
      <c r="B30" s="288" t="str" cm="1">
        <f t="array" ref="B30">IFERROR(INDEX(_xlfn.ANCHORARRAY($Q$6),ROW()-5,2),"")</f>
        <v>M/s  Ankita Air Products Private Limited</v>
      </c>
      <c r="C30" s="289" t="str" cm="1">
        <f t="array" ref="C30">IFERROR(INDEX(_xlfn.ANCHORARRAY($Q$6),ROW()-5,3),"")</f>
        <v>982</v>
      </c>
      <c r="D30" s="218">
        <f>IF($A30="","",IF($K30="DIESEL",SUMIFS(Table1[Quantity],Table1[Customer],$B30,Table1[Date],$A30,Table1[Bill No.],$C30),IF($K30="PETROL",SUMIFS(Table14[Quantity],Table14[Customer],$B30,Table14[Date],$A30,Table14[Bill No.],$C30),IF($K30="XtraGreen",SUMIFS(Table146[Quantity],Table146[Company],$B30,Table146[Date],$A30,Table146[Bill No.],$C30),""))))</f>
        <v>1000</v>
      </c>
      <c r="E30" s="219">
        <f>IF($A30="","",IF($K30="DIESEL",AVERAGEIFS(Table1[RSP],Table1[Customer],$B30,Table1[Date],$A30,Table1[Bill No.],$C30),IF($K30="PETROL",AVERAGEIFS(Table14[RSP],Table14[Customer],$B30,Table14[Date],$A30,Table14[Bill No.],$C30),IF($K30="XtraGreen",AVERAGEIFS(Table146[RSP],Table146[Company],$B30,Table146[Date],$A30,Table146[Bill No.],$C30),IFERROR($F30/$D30,"")))))</f>
        <v>100.74</v>
      </c>
      <c r="F30" s="330">
        <f>IF($A30="","",IF($K30="DIESEL",SUMIFS(Table1[Amount],Table1[Customer],$B30,Table1[Date],$A30,Table1[Bill No.],$C30),IF($K30="PETROL",SUMIFS(Table14[Amount],Table14[Customer],$B30,Table14[Date],$A30,Table14[Bill No.],$C30),IF($K30="XtraGreen",SUMIFS(Table146[Amount],Table146[Company],$B30,Table146[Date],$A30,Table146[Bill No.],$C30),SUMIFS('Other Sale'!$D:$D,'Other Sale'!$E:$E,$B30,'Other Sale'!$C:$C,$K30,'Other Sale'!$A:$A,$A30)))))</f>
        <v>100740</v>
      </c>
      <c r="G30" s="330" cm="1">
        <f t="array" ref="G30">IF($A30="","",IF($K30="Payment",IFERROR(INDEX(_xlfn._xlws.FILTER(MasterPaid[Amount Paid],(MasterPaid[Customer]=$B30)*(MasterPaid[Date]=$A30)),COUNTIFS($A$6:$A30,$A30,$B$6:$B30,$B30,$K$6:$K30,"Payment")),0),0))</f>
        <v>0</v>
      </c>
      <c r="H30" s="331"/>
      <c r="I30" s="331"/>
      <c r="J30" s="330">
        <f t="shared" si="0"/>
        <v>96740</v>
      </c>
      <c r="K30" s="289" t="str" cm="1">
        <f t="array" ref="K30">IFERROR(INDEX(_xlfn.ANCHORARRAY($Q$6),ROW()-5,4),"")</f>
        <v>DIESEL</v>
      </c>
      <c r="L30" s="290"/>
      <c r="Q30">
        <v>46193</v>
      </c>
      <c r="R30" t="str">
        <v>M/s  Ankita Air Products Private Limited</v>
      </c>
      <c r="S30" t="str">
        <v>982</v>
      </c>
      <c r="T30" t="str">
        <v>DIESEL</v>
      </c>
      <c r="U30">
        <f>IF(OR($A30="",$F30=""),0,MAX(0,MIN($F30,SUMIFS($F$6:$F30,$B$6:$B30,$B30)-(SUMIFS($G$6:$G$355,$B$6:$B$355,$B30)+SUMIFS($H$6:$H$355,$B$6:$B$355,$B30)+SUMIFS($I$6:$I$355,$B$6:$B$355,$B30)))))</f>
        <v>0</v>
      </c>
    </row>
    <row r="31" spans="1:28" ht="21.75" x14ac:dyDescent="0.25">
      <c r="A31" s="217" cm="1">
        <f t="array" ref="A31">IFERROR(INDEX(_xlfn.ANCHORARRAY($Q$6),ROW()-5,1),"")</f>
        <v>46196</v>
      </c>
      <c r="B31" s="288" t="str" cm="1">
        <f t="array" ref="B31">IFERROR(INDEX(_xlfn.ANCHORARRAY($Q$6),ROW()-5,2),"")</f>
        <v>M/s  Ankita Air Products Private Limited</v>
      </c>
      <c r="C31" s="289" t="str" cm="1">
        <f t="array" ref="C31">IFERROR(INDEX(_xlfn.ANCHORARRAY($Q$6),ROW()-5,3),"")</f>
        <v/>
      </c>
      <c r="D31" s="218" t="str">
        <f>IF($A31="","",IF($K31="DIESEL",SUMIFS(Table1[Quantity],Table1[Customer],$B31,Table1[Date],$A31,Table1[Bill No.],$C31),IF($K31="PETROL",SUMIFS(Table14[Quantity],Table14[Customer],$B31,Table14[Date],$A31,Table14[Bill No.],$C31),IF($K31="XtraGreen",SUMIFS(Table146[Quantity],Table146[Company],$B31,Table146[Date],$A31,Table146[Bill No.],$C31),""))))</f>
        <v/>
      </c>
      <c r="E31" s="219" t="str">
        <f>IF($A31="","",IF($K31="DIESEL",AVERAGEIFS(Table1[RSP],Table1[Customer],$B31,Table1[Date],$A31,Table1[Bill No.],$C31),IF($K31="PETROL",AVERAGEIFS(Table14[RSP],Table14[Customer],$B31,Table14[Date],$A31,Table14[Bill No.],$C31),IF($K31="XtraGreen",AVERAGEIFS(Table146[RSP],Table146[Company],$B31,Table146[Date],$A31,Table146[Bill No.],$C31),IFERROR($F31/$D31,"")))))</f>
        <v/>
      </c>
      <c r="F31" s="330">
        <f>IF($A31="","",IF($K31="DIESEL",SUMIFS(Table1[Amount],Table1[Customer],$B31,Table1[Date],$A31,Table1[Bill No.],$C31),IF($K31="PETROL",SUMIFS(Table14[Amount],Table14[Customer],$B31,Table14[Date],$A31,Table14[Bill No.],$C31),IF($K31="XtraGreen",SUMIFS(Table146[Amount],Table146[Company],$B31,Table146[Date],$A31,Table146[Bill No.],$C31),SUMIFS('Other Sale'!$D:$D,'Other Sale'!$E:$E,$B31,'Other Sale'!$C:$C,$K31,'Other Sale'!$A:$A,$A31)))))</f>
        <v>0</v>
      </c>
      <c r="G31" s="330" cm="1">
        <f t="array" ref="G31">IF($A31="","",IF($K31="Payment",IFERROR(INDEX(_xlfn._xlws.FILTER(MasterPaid[Amount Paid],(MasterPaid[Customer]=$B31)*(MasterPaid[Date]=$A31)),COUNTIFS($A$6:$A31,$A31,$B$6:$B31,$B31,$K$6:$K31,"Payment")),0),0))</f>
        <v>100740</v>
      </c>
      <c r="H31" s="331"/>
      <c r="I31" s="331"/>
      <c r="J31" s="330">
        <f t="shared" si="0"/>
        <v>-4000</v>
      </c>
      <c r="K31" s="289" t="str" cm="1">
        <f t="array" ref="K31">IFERROR(INDEX(_xlfn.ANCHORARRAY($Q$6),ROW()-5,4),"")</f>
        <v>Payment</v>
      </c>
      <c r="L31" s="290"/>
      <c r="Q31">
        <v>46196</v>
      </c>
      <c r="R31" t="str">
        <v>M/s  Ankita Air Products Private Limited</v>
      </c>
      <c r="S31" t="str">
        <v/>
      </c>
      <c r="T31" t="str">
        <v>Payment</v>
      </c>
      <c r="U31">
        <f>IF(OR($A31="",$F31=""),0,MAX(0,MIN($F31,SUMIFS($F$6:$F31,$B$6:$B31,$B31)-(SUMIFS($G$6:$G$355,$B$6:$B$355,$B31)+SUMIFS($H$6:$H$355,$B$6:$B$355,$B31)+SUMIFS($I$6:$I$355,$B$6:$B$355,$B31)))))</f>
        <v>0</v>
      </c>
    </row>
    <row r="32" spans="1:28" ht="21.75" x14ac:dyDescent="0.25">
      <c r="A32" s="217" cm="1">
        <f t="array" ref="A32">IFERROR(INDEX(_xlfn.ANCHORARRAY($Q$6),ROW()-5,1),"")</f>
        <v>46204</v>
      </c>
      <c r="B32" s="288" t="str" cm="1">
        <f t="array" ref="B32">IFERROR(INDEX(_xlfn.ANCHORARRAY($Q$6),ROW()-5,2),"")</f>
        <v>M/s Jai Balaji Oxygen Private Limited</v>
      </c>
      <c r="C32" s="289" t="str" cm="1">
        <f t="array" ref="C32">IFERROR(INDEX(_xlfn.ANCHORARRAY($Q$6),ROW()-5,3),"")</f>
        <v>1255</v>
      </c>
      <c r="D32" s="218">
        <f>IF($A32="","",IF($K32="DIESEL",SUMIFS(Table1[Quantity],Table1[Customer],$B32,Table1[Date],$A32,Table1[Bill No.],$C32),IF($K32="PETROL",SUMIFS(Table14[Quantity],Table14[Customer],$B32,Table14[Date],$A32,Table14[Bill No.],$C32),IF($K32="XtraGreen",SUMIFS(Table146[Quantity],Table146[Company],$B32,Table146[Date],$A32,Table146[Bill No.],$C32),""))))</f>
        <v>1000</v>
      </c>
      <c r="E32" s="219">
        <f>IF($A32="","",IF($K32="DIESEL",AVERAGEIFS(Table1[RSP],Table1[Customer],$B32,Table1[Date],$A32,Table1[Bill No.],$C32),IF($K32="PETROL",AVERAGEIFS(Table14[RSP],Table14[Customer],$B32,Table14[Date],$A32,Table14[Bill No.],$C32),IF($K32="XtraGreen",AVERAGEIFS(Table146[RSP],Table146[Company],$B32,Table146[Date],$A32,Table146[Bill No.],$C32),IFERROR($F32/$D32,"")))))</f>
        <v>100.74</v>
      </c>
      <c r="F32" s="330">
        <f>IF($A32="","",IF($K32="DIESEL",SUMIFS(Table1[Amount],Table1[Customer],$B32,Table1[Date],$A32,Table1[Bill No.],$C32),IF($K32="PETROL",SUMIFS(Table14[Amount],Table14[Customer],$B32,Table14[Date],$A32,Table14[Bill No.],$C32),IF($K32="XtraGreen",SUMIFS(Table146[Amount],Table146[Company],$B32,Table146[Date],$A32,Table146[Bill No.],$C32),SUMIFS('Other Sale'!$D:$D,'Other Sale'!$E:$E,$B32,'Other Sale'!$C:$C,$K32,'Other Sale'!$A:$A,$A32)))))</f>
        <v>100740</v>
      </c>
      <c r="G32" s="330" cm="1">
        <f t="array" ref="G32">IF($A32="","",IF($K32="Payment",IFERROR(INDEX(_xlfn._xlws.FILTER(MasterPaid[Amount Paid],(MasterPaid[Customer]=$B32)*(MasterPaid[Date]=$A32)),COUNTIFS($A$6:$A32,$A32,$B$6:$B32,$B32,$K$6:$K32,"Payment")),0),0))</f>
        <v>0</v>
      </c>
      <c r="H32" s="331"/>
      <c r="I32" s="331"/>
      <c r="J32" s="330">
        <f t="shared" si="0"/>
        <v>96740</v>
      </c>
      <c r="K32" s="289" t="str" cm="1">
        <f t="array" ref="K32">IFERROR(INDEX(_xlfn.ANCHORARRAY($Q$6),ROW()-5,4),"")</f>
        <v>DIESEL</v>
      </c>
      <c r="L32" s="290"/>
      <c r="Q32">
        <v>46204</v>
      </c>
      <c r="R32" t="str">
        <v>M/s Jai Balaji Oxygen Private Limited</v>
      </c>
      <c r="S32" t="str">
        <v>1255</v>
      </c>
      <c r="T32" t="str">
        <v>DIESEL</v>
      </c>
      <c r="U32">
        <f>IF(OR($A32="",$F32=""),0,MAX(0,MIN($F32,SUMIFS($F$6:$F32,$B$6:$B32,$B32)-(SUMIFS($G$6:$G$355,$B$6:$B$355,$B32)+SUMIFS($H$6:$H$355,$B$6:$B$355,$B32)+SUMIFS($I$6:$I$355,$B$6:$B$355,$B32)))))</f>
        <v>0</v>
      </c>
    </row>
    <row r="33" spans="1:21" ht="21.75" x14ac:dyDescent="0.25">
      <c r="A33" s="217" cm="1">
        <f t="array" ref="A33">IFERROR(INDEX(_xlfn.ANCHORARRAY($Q$6),ROW()-5,1),"")</f>
        <v>46205</v>
      </c>
      <c r="B33" s="288" t="str" cm="1">
        <f t="array" ref="B33">IFERROR(INDEX(_xlfn.ANCHORARRAY($Q$6),ROW()-5,2),"")</f>
        <v>M/s Jai Balaji Oxygen Private Limited</v>
      </c>
      <c r="C33" s="289" t="str" cm="1">
        <f t="array" ref="C33">IFERROR(INDEX(_xlfn.ANCHORARRAY($Q$6),ROW()-5,3),"")</f>
        <v/>
      </c>
      <c r="D33" s="218" t="str">
        <f>IF($A33="","",IF($K33="DIESEL",SUMIFS(Table1[Quantity],Table1[Customer],$B33,Table1[Date],$A33,Table1[Bill No.],$C33),IF($K33="PETROL",SUMIFS(Table14[Quantity],Table14[Customer],$B33,Table14[Date],$A33,Table14[Bill No.],$C33),IF($K33="XtraGreen",SUMIFS(Table146[Quantity],Table146[Company],$B33,Table146[Date],$A33,Table146[Bill No.],$C33),""))))</f>
        <v/>
      </c>
      <c r="E33" s="219" t="str">
        <f>IF($A33="","",IF($K33="DIESEL",AVERAGEIFS(Table1[RSP],Table1[Customer],$B33,Table1[Date],$A33,Table1[Bill No.],$C33),IF($K33="PETROL",AVERAGEIFS(Table14[RSP],Table14[Customer],$B33,Table14[Date],$A33,Table14[Bill No.],$C33),IF($K33="XtraGreen",AVERAGEIFS(Table146[RSP],Table146[Company],$B33,Table146[Date],$A33,Table146[Bill No.],$C33),IFERROR($F33/$D33,"")))))</f>
        <v/>
      </c>
      <c r="F33" s="330">
        <f>IF($A33="","",IF($K33="DIESEL",SUMIFS(Table1[Amount],Table1[Customer],$B33,Table1[Date],$A33,Table1[Bill No.],$C33),IF($K33="PETROL",SUMIFS(Table14[Amount],Table14[Customer],$B33,Table14[Date],$A33,Table14[Bill No.],$C33),IF($K33="XtraGreen",SUMIFS(Table146[Amount],Table146[Company],$B33,Table146[Date],$A33,Table146[Bill No.],$C33),SUMIFS('Other Sale'!$D:$D,'Other Sale'!$E:$E,$B33,'Other Sale'!$C:$C,$K33,'Other Sale'!$A:$A,$A33)))))</f>
        <v>0</v>
      </c>
      <c r="G33" s="330" cm="1">
        <f t="array" ref="G33">IF($A33="","",IF($K33="Payment",IFERROR(INDEX(_xlfn._xlws.FILTER(MasterPaid[Amount Paid],(MasterPaid[Customer]=$B33)*(MasterPaid[Date]=$A33)),COUNTIFS($A$6:$A33,$A33,$B$6:$B33,$B33,$K$6:$K33,"Payment")),0),0))</f>
        <v>96740</v>
      </c>
      <c r="H33" s="331"/>
      <c r="I33" s="331"/>
      <c r="J33" s="330">
        <f t="shared" si="0"/>
        <v>0</v>
      </c>
      <c r="K33" s="289" t="str" cm="1">
        <f t="array" ref="K33">IFERROR(INDEX(_xlfn.ANCHORARRAY($Q$6),ROW()-5,4),"")</f>
        <v>Payment</v>
      </c>
      <c r="L33" s="290"/>
      <c r="Q33">
        <v>46205</v>
      </c>
      <c r="R33" t="str">
        <v>M/s Jai Balaji Oxygen Private Limited</v>
      </c>
      <c r="S33" t="str">
        <v/>
      </c>
      <c r="T33" t="str">
        <v>Payment</v>
      </c>
      <c r="U33">
        <f>IF(OR($A33="",$F33=""),0,MAX(0,MIN($F33,SUMIFS($F$6:$F33,$B$6:$B33,$B33)-(SUMIFS($G$6:$G$355,$B$6:$B$355,$B33)+SUMIFS($H$6:$H$355,$B$6:$B$355,$B33)+SUMIFS($I$6:$I$355,$B$6:$B$355,$B33)))))</f>
        <v>0</v>
      </c>
    </row>
    <row r="34" spans="1:21" ht="21.75" x14ac:dyDescent="0.25">
      <c r="A34" s="217" cm="1">
        <f t="array" ref="A34">IFERROR(INDEX(_xlfn.ANCHORARRAY($Q$6),ROW()-5,1),"")</f>
        <v>46211</v>
      </c>
      <c r="B34" s="288" t="str" cm="1">
        <f t="array" ref="B34">IFERROR(INDEX(_xlfn.ANCHORARRAY($Q$6),ROW()-5,2),"")</f>
        <v>KRISHNA INFRATECH PVT LTD</v>
      </c>
      <c r="C34" s="289" t="str" cm="1">
        <f t="array" ref="C34">IFERROR(INDEX(_xlfn.ANCHORARRAY($Q$6),ROW()-5,3),"")</f>
        <v>1409</v>
      </c>
      <c r="D34" s="218">
        <f>IF($A34="","",IF($K34="DIESEL",SUMIFS(Table1[Quantity],Table1[Customer],$B34,Table1[Date],$A34,Table1[Bill No.],$C34),IF($K34="PETROL",SUMIFS(Table14[Quantity],Table14[Customer],$B34,Table14[Date],$A34,Table14[Bill No.],$C34),IF($K34="XtraGreen",SUMIFS(Table146[Quantity],Table146[Company],$B34,Table146[Date],$A34,Table146[Bill No.],$C34),""))))</f>
        <v>600</v>
      </c>
      <c r="E34" s="219">
        <f>IF($A34="","",IF($K34="DIESEL",AVERAGEIFS(Table1[RSP],Table1[Customer],$B34,Table1[Date],$A34,Table1[Bill No.],$C34),IF($K34="PETROL",AVERAGEIFS(Table14[RSP],Table14[Customer],$B34,Table14[Date],$A34,Table14[Bill No.],$C34),IF($K34="XtraGreen",AVERAGEIFS(Table146[RSP],Table146[Company],$B34,Table146[Date],$A34,Table146[Bill No.],$C34),IFERROR($F34/$D34,"")))))</f>
        <v>100.74</v>
      </c>
      <c r="F34" s="330">
        <f>IF($A34="","",IF($K34="DIESEL",SUMIFS(Table1[Amount],Table1[Customer],$B34,Table1[Date],$A34,Table1[Bill No.],$C34),IF($K34="PETROL",SUMIFS(Table14[Amount],Table14[Customer],$B34,Table14[Date],$A34,Table14[Bill No.],$C34),IF($K34="XtraGreen",SUMIFS(Table146[Amount],Table146[Company],$B34,Table146[Date],$A34,Table146[Bill No.],$C34),SUMIFS('Other Sale'!$D:$D,'Other Sale'!$E:$E,$B34,'Other Sale'!$C:$C,$K34,'Other Sale'!$A:$A,$A34)))))</f>
        <v>60444</v>
      </c>
      <c r="G34" s="330" cm="1">
        <f t="array" ref="G34">IF($A34="","",IF($K34="Payment",IFERROR(INDEX(_xlfn._xlws.FILTER(MasterPaid[Amount Paid],(MasterPaid[Customer]=$B34)*(MasterPaid[Date]=$A34)),COUNTIFS($A$6:$A34,$A34,$B$6:$B34,$B34,$K$6:$K34,"Payment")),0),0))</f>
        <v>0</v>
      </c>
      <c r="H34" s="331"/>
      <c r="I34" s="331"/>
      <c r="J34" s="330">
        <f t="shared" si="0"/>
        <v>60444</v>
      </c>
      <c r="K34" s="289" t="str" cm="1">
        <f t="array" ref="K34">IFERROR(INDEX(_xlfn.ANCHORARRAY($Q$6),ROW()-5,4),"")</f>
        <v>DIESEL</v>
      </c>
      <c r="L34" s="290"/>
      <c r="Q34">
        <v>46211</v>
      </c>
      <c r="R34" t="str">
        <v>KRISHNA INFRATECH PVT LTD</v>
      </c>
      <c r="S34" t="str">
        <v>1409</v>
      </c>
      <c r="T34" t="str">
        <v>DIESEL</v>
      </c>
      <c r="U34">
        <f>IF(OR($A34="",$F34=""),0,MAX(0,MIN($F34,SUMIFS($F$6:$F34,$B$6:$B34,$B34)-(SUMIFS($G$6:$G$355,$B$6:$B$355,$B34)+SUMIFS($H$6:$H$355,$B$6:$B$355,$B34)+SUMIFS($I$6:$I$355,$B$6:$B$355,$B34)))))</f>
        <v>0</v>
      </c>
    </row>
    <row r="35" spans="1:21" ht="21.75" x14ac:dyDescent="0.25">
      <c r="A35" s="217" cm="1">
        <f t="array" ref="A35">IFERROR(INDEX(_xlfn.ANCHORARRAY($Q$6),ROW()-5,1),"")</f>
        <v>46212</v>
      </c>
      <c r="B35" s="288" t="str" cm="1">
        <f t="array" ref="B35">IFERROR(INDEX(_xlfn.ANCHORARRAY($Q$6),ROW()-5,2),"")</f>
        <v>KRISHNA INFRATECH PVT LTD</v>
      </c>
      <c r="C35" s="289" t="str" cm="1">
        <f t="array" ref="C35">IFERROR(INDEX(_xlfn.ANCHORARRAY($Q$6),ROW()-5,3),"")</f>
        <v/>
      </c>
      <c r="D35" s="218" t="str">
        <f>IF($A35="","",IF($K35="DIESEL",SUMIFS(Table1[Quantity],Table1[Customer],$B35,Table1[Date],$A35,Table1[Bill No.],$C35),IF($K35="PETROL",SUMIFS(Table14[Quantity],Table14[Customer],$B35,Table14[Date],$A35,Table14[Bill No.],$C35),IF($K35="XtraGreen",SUMIFS(Table146[Quantity],Table146[Company],$B35,Table146[Date],$A35,Table146[Bill No.],$C35),""))))</f>
        <v/>
      </c>
      <c r="E35" s="219" t="str">
        <f>IF($A35="","",IF($K35="DIESEL",AVERAGEIFS(Table1[RSP],Table1[Customer],$B35,Table1[Date],$A35,Table1[Bill No.],$C35),IF($K35="PETROL",AVERAGEIFS(Table14[RSP],Table14[Customer],$B35,Table14[Date],$A35,Table14[Bill No.],$C35),IF($K35="XtraGreen",AVERAGEIFS(Table146[RSP],Table146[Company],$B35,Table146[Date],$A35,Table146[Bill No.],$C35),IFERROR($F35/$D35,"")))))</f>
        <v/>
      </c>
      <c r="F35" s="330">
        <f>IF($A35="","",IF($K35="DIESEL",SUMIFS(Table1[Amount],Table1[Customer],$B35,Table1[Date],$A35,Table1[Bill No.],$C35),IF($K35="PETROL",SUMIFS(Table14[Amount],Table14[Customer],$B35,Table14[Date],$A35,Table14[Bill No.],$C35),IF($K35="XtraGreen",SUMIFS(Table146[Amount],Table146[Company],$B35,Table146[Date],$A35,Table146[Bill No.],$C35),SUMIFS('Other Sale'!$D:$D,'Other Sale'!$E:$E,$B35,'Other Sale'!$C:$C,$K35,'Other Sale'!$A:$A,$A35)))))</f>
        <v>0</v>
      </c>
      <c r="G35" s="330" cm="1">
        <f t="array" ref="G35">IF($A35="","",IF($K35="Payment",IFERROR(INDEX(_xlfn._xlws.FILTER(MasterPaid[Amount Paid],(MasterPaid[Customer]=$B35)*(MasterPaid[Date]=$A35)),COUNTIFS($A$6:$A35,$A35,$B$6:$B35,$B35,$K$6:$K35,"Payment")),0),0))</f>
        <v>60444</v>
      </c>
      <c r="H35" s="331"/>
      <c r="I35" s="331"/>
      <c r="J35" s="330">
        <f t="shared" si="0"/>
        <v>0</v>
      </c>
      <c r="K35" s="289" t="str" cm="1">
        <f t="array" ref="K35">IFERROR(INDEX(_xlfn.ANCHORARRAY($Q$6),ROW()-5,4),"")</f>
        <v>Payment</v>
      </c>
      <c r="L35" s="290"/>
      <c r="Q35">
        <v>46212</v>
      </c>
      <c r="R35" t="str">
        <v>KRISHNA INFRATECH PVT LTD</v>
      </c>
      <c r="S35" t="str">
        <v/>
      </c>
      <c r="T35" t="str">
        <v>Payment</v>
      </c>
      <c r="U35">
        <f>IF(OR($A35="",$F35=""),0,MAX(0,MIN($F35,SUMIFS($F$6:$F35,$B$6:$B35,$B35)-(SUMIFS($G$6:$G$355,$B$6:$B$355,$B35)+SUMIFS($H$6:$H$355,$B$6:$B$355,$B35)+SUMIFS($I$6:$I$355,$B$6:$B$355,$B35)))))</f>
        <v>0</v>
      </c>
    </row>
    <row r="36" spans="1:21" ht="21.75" x14ac:dyDescent="0.25">
      <c r="A36" s="217" cm="1">
        <f t="array" ref="A36">IFERROR(INDEX(_xlfn.ANCHORARRAY($Q$6),ROW()-5,1),"")</f>
        <v>46220</v>
      </c>
      <c r="B36" s="288" t="str" cm="1">
        <f t="array" ref="B36">IFERROR(INDEX(_xlfn.ANCHORARRAY($Q$6),ROW()-5,2),"")</f>
        <v>M/s  Ankita Air Products Private Limited</v>
      </c>
      <c r="C36" s="289" t="str" cm="1">
        <f t="array" ref="C36">IFERROR(INDEX(_xlfn.ANCHORARRAY($Q$6),ROW()-5,3),"")</f>
        <v>1577</v>
      </c>
      <c r="D36" s="218">
        <f>IF($A36="","",IF($K36="DIESEL",SUMIFS(Table1[Quantity],Table1[Customer],$B36,Table1[Date],$A36,Table1[Bill No.],$C36),IF($K36="PETROL",SUMIFS(Table14[Quantity],Table14[Customer],$B36,Table14[Date],$A36,Table14[Bill No.],$C36),IF($K36="XtraGreen",SUMIFS(Table146[Quantity],Table146[Company],$B36,Table146[Date],$A36,Table146[Bill No.],$C36),""))))</f>
        <v>1200</v>
      </c>
      <c r="E36" s="219">
        <f>IF($A36="","",IF($K36="DIESEL",AVERAGEIFS(Table1[RSP],Table1[Customer],$B36,Table1[Date],$A36,Table1[Bill No.],$C36),IF($K36="PETROL",AVERAGEIFS(Table14[RSP],Table14[Customer],$B36,Table14[Date],$A36,Table14[Bill No.],$C36),IF($K36="XtraGreen",AVERAGEIFS(Table146[RSP],Table146[Company],$B36,Table146[Date],$A36,Table146[Bill No.],$C36),IFERROR($F36/$D36,"")))))</f>
        <v>100.74</v>
      </c>
      <c r="F36" s="330">
        <f>IF($A36="","",IF($K36="DIESEL",SUMIFS(Table1[Amount],Table1[Customer],$B36,Table1[Date],$A36,Table1[Bill No.],$C36),IF($K36="PETROL",SUMIFS(Table14[Amount],Table14[Customer],$B36,Table14[Date],$A36,Table14[Bill No.],$C36),IF($K36="XtraGreen",SUMIFS(Table146[Amount],Table146[Company],$B36,Table146[Date],$A36,Table146[Bill No.],$C36),SUMIFS('Other Sale'!$D:$D,'Other Sale'!$E:$E,$B36,'Other Sale'!$C:$C,$K36,'Other Sale'!$A:$A,$A36)))))</f>
        <v>120888</v>
      </c>
      <c r="G36" s="330" cm="1">
        <f t="array" ref="G36">IF($A36="","",IF($K36="Payment",IFERROR(INDEX(_xlfn._xlws.FILTER(MasterPaid[Amount Paid],(MasterPaid[Customer]=$B36)*(MasterPaid[Date]=$A36)),COUNTIFS($A$6:$A36,$A36,$B$6:$B36,$B36,$K$6:$K36,"Payment")),0),0))</f>
        <v>0</v>
      </c>
      <c r="H36" s="331"/>
      <c r="I36" s="331"/>
      <c r="J36" s="330">
        <f t="shared" si="0"/>
        <v>120888</v>
      </c>
      <c r="K36" s="289" t="str" cm="1">
        <f t="array" ref="K36">IFERROR(INDEX(_xlfn.ANCHORARRAY($Q$6),ROW()-5,4),"")</f>
        <v>DIESEL</v>
      </c>
      <c r="L36" s="290"/>
      <c r="Q36">
        <v>46220</v>
      </c>
      <c r="R36" t="str">
        <v>M/s  Ankita Air Products Private Limited</v>
      </c>
      <c r="S36" t="str">
        <v>1577</v>
      </c>
      <c r="T36" t="str">
        <v>DIESEL</v>
      </c>
      <c r="U36">
        <f>IF(OR($A36="",$F36=""),0,MAX(0,MIN($F36,SUMIFS($F$6:$F36,$B$6:$B36,$B36)-(SUMIFS($G$6:$G$355,$B$6:$B$355,$B36)+SUMIFS($H$6:$H$355,$B$6:$B$355,$B36)+SUMIFS($I$6:$I$355,$B$6:$B$355,$B36)))))</f>
        <v>0</v>
      </c>
    </row>
    <row r="37" spans="1:21" ht="21.75" x14ac:dyDescent="0.25">
      <c r="A37" s="217" cm="1">
        <f t="array" ref="A37">IFERROR(INDEX(_xlfn.ANCHORARRAY($Q$6),ROW()-5,1),"")</f>
        <v>46224</v>
      </c>
      <c r="B37" s="288" t="str" cm="1">
        <f t="array" ref="B37">IFERROR(INDEX(_xlfn.ANCHORARRAY($Q$6),ROW()-5,2),"")</f>
        <v>M/s  Ankita Air Products Private Limited</v>
      </c>
      <c r="C37" s="289" t="str" cm="1">
        <f t="array" ref="C37">IFERROR(INDEX(_xlfn.ANCHORARRAY($Q$6),ROW()-5,3),"")</f>
        <v/>
      </c>
      <c r="D37" s="218" t="str">
        <f>IF($A37="","",IF($K37="DIESEL",SUMIFS(Table1[Quantity],Table1[Customer],$B37,Table1[Date],$A37,Table1[Bill No.],$C37),IF($K37="PETROL",SUMIFS(Table14[Quantity],Table14[Customer],$B37,Table14[Date],$A37,Table14[Bill No.],$C37),IF($K37="XtraGreen",SUMIFS(Table146[Quantity],Table146[Company],$B37,Table146[Date],$A37,Table146[Bill No.],$C37),""))))</f>
        <v/>
      </c>
      <c r="E37" s="219" t="str">
        <f>IF($A37="","",IF($K37="DIESEL",AVERAGEIFS(Table1[RSP],Table1[Customer],$B37,Table1[Date],$A37,Table1[Bill No.],$C37),IF($K37="PETROL",AVERAGEIFS(Table14[RSP],Table14[Customer],$B37,Table14[Date],$A37,Table14[Bill No.],$C37),IF($K37="XtraGreen",AVERAGEIFS(Table146[RSP],Table146[Company],$B37,Table146[Date],$A37,Table146[Bill No.],$C37),IFERROR($F37/$D37,"")))))</f>
        <v/>
      </c>
      <c r="F37" s="330">
        <f>IF($A37="","",IF($K37="DIESEL",SUMIFS(Table1[Amount],Table1[Customer],$B37,Table1[Date],$A37,Table1[Bill No.],$C37),IF($K37="PETROL",SUMIFS(Table14[Amount],Table14[Customer],$B37,Table14[Date],$A37,Table14[Bill No.],$C37),IF($K37="XtraGreen",SUMIFS(Table146[Amount],Table146[Company],$B37,Table146[Date],$A37,Table146[Bill No.],$C37),SUMIFS('Other Sale'!$D:$D,'Other Sale'!$E:$E,$B37,'Other Sale'!$C:$C,$K37,'Other Sale'!$A:$A,$A37)))))</f>
        <v>0</v>
      </c>
      <c r="G37" s="330" cm="1">
        <f t="array" ref="G37">IF($A37="","",IF($K37="Payment",IFERROR(INDEX(_xlfn._xlws.FILTER(MasterPaid[Amount Paid],(MasterPaid[Customer]=$B37)*(MasterPaid[Date]=$A37)),COUNTIFS($A$6:$A37,$A37,$B$6:$B37,$B37,$K$6:$K37,"Payment")),0),0))</f>
        <v>120888</v>
      </c>
      <c r="H37" s="331"/>
      <c r="I37" s="331"/>
      <c r="J37" s="330">
        <f t="shared" si="0"/>
        <v>0</v>
      </c>
      <c r="K37" s="289" t="str" cm="1">
        <f t="array" ref="K37">IFERROR(INDEX(_xlfn.ANCHORARRAY($Q$6),ROW()-5,4),"")</f>
        <v>Payment</v>
      </c>
      <c r="L37" s="290"/>
      <c r="Q37">
        <v>46224</v>
      </c>
      <c r="R37" t="str">
        <v>M/s  Ankita Air Products Private Limited</v>
      </c>
      <c r="S37" t="str">
        <v/>
      </c>
      <c r="T37" t="str">
        <v>Payment</v>
      </c>
      <c r="U37">
        <f>IF(OR($A37="",$F37=""),0,MAX(0,MIN($F37,SUMIFS($F$6:$F37,$B$6:$B37,$B37)-(SUMIFS($G$6:$G$355,$B$6:$B$355,$B37)+SUMIFS($H$6:$H$355,$B$6:$B$355,$B37)+SUMIFS($I$6:$I$355,$B$6:$B$355,$B37)))))</f>
        <v>0</v>
      </c>
    </row>
    <row r="38" spans="1:21" ht="21.75" x14ac:dyDescent="0.25">
      <c r="A38" s="217" cm="1">
        <f t="array" ref="A38">IFERROR(INDEX(_xlfn.ANCHORARRAY($Q$6),ROW()-5,1),"")</f>
        <v>46229</v>
      </c>
      <c r="B38" s="288" t="str" cm="1">
        <f t="array" ref="B38">IFERROR(INDEX(_xlfn.ANCHORARRAY($Q$6),ROW()-5,2),"")</f>
        <v>M/s Jai Balaji Oxygen Private Limited</v>
      </c>
      <c r="C38" s="289" t="str" cm="1">
        <f t="array" ref="C38">IFERROR(INDEX(_xlfn.ANCHORARRAY($Q$6),ROW()-5,3),"")</f>
        <v>1767</v>
      </c>
      <c r="D38" s="218">
        <f>IF($A38="","",IF($K38="DIESEL",SUMIFS(Table1[Quantity],Table1[Customer],$B38,Table1[Date],$A38,Table1[Bill No.],$C38),IF($K38="PETROL",SUMIFS(Table14[Quantity],Table14[Customer],$B38,Table14[Date],$A38,Table14[Bill No.],$C38),IF($K38="XtraGreen",SUMIFS(Table146[Quantity],Table146[Company],$B38,Table146[Date],$A38,Table146[Bill No.],$C38),""))))</f>
        <v>1200</v>
      </c>
      <c r="E38" s="219">
        <f>IF($A38="","",IF($K38="DIESEL",AVERAGEIFS(Table1[RSP],Table1[Customer],$B38,Table1[Date],$A38,Table1[Bill No.],$C38),IF($K38="PETROL",AVERAGEIFS(Table14[RSP],Table14[Customer],$B38,Table14[Date],$A38,Table14[Bill No.],$C38),IF($K38="XtraGreen",AVERAGEIFS(Table146[RSP],Table146[Company],$B38,Table146[Date],$A38,Table146[Bill No.],$C38),IFERROR($F38/$D38,"")))))</f>
        <v>100.74</v>
      </c>
      <c r="F38" s="330">
        <f>IF($A38="","",IF($K38="DIESEL",SUMIFS(Table1[Amount],Table1[Customer],$B38,Table1[Date],$A38,Table1[Bill No.],$C38),IF($K38="PETROL",SUMIFS(Table14[Amount],Table14[Customer],$B38,Table14[Date],$A38,Table14[Bill No.],$C38),IF($K38="XtraGreen",SUMIFS(Table146[Amount],Table146[Company],$B38,Table146[Date],$A38,Table146[Bill No.],$C38),SUMIFS('Other Sale'!$D:$D,'Other Sale'!$E:$E,$B38,'Other Sale'!$C:$C,$K38,'Other Sale'!$A:$A,$A38)))))</f>
        <v>120888</v>
      </c>
      <c r="G38" s="330" cm="1">
        <f t="array" ref="G38">IF($A38="","",IF($K38="Payment",IFERROR(INDEX(_xlfn._xlws.FILTER(MasterPaid[Amount Paid],(MasterPaid[Customer]=$B38)*(MasterPaid[Date]=$A38)),COUNTIFS($A$6:$A38,$A38,$B$6:$B38,$B38,$K$6:$K38,"Payment")),0),0))</f>
        <v>0</v>
      </c>
      <c r="H38" s="331"/>
      <c r="I38" s="331"/>
      <c r="J38" s="330">
        <f t="shared" si="0"/>
        <v>120888</v>
      </c>
      <c r="K38" s="289" t="str" cm="1">
        <f t="array" ref="K38">IFERROR(INDEX(_xlfn.ANCHORARRAY($Q$6),ROW()-5,4),"")</f>
        <v>DIESEL</v>
      </c>
      <c r="L38" s="290"/>
      <c r="Q38">
        <v>46229</v>
      </c>
      <c r="R38" t="str">
        <v>M/s Jai Balaji Oxygen Private Limited</v>
      </c>
      <c r="S38" t="str">
        <v>1767</v>
      </c>
      <c r="T38" t="str">
        <v>DIESEL</v>
      </c>
      <c r="U38">
        <f>IF(OR($A38="",$F38=""),0,MAX(0,MIN($F38,SUMIFS($F$6:$F38,$B$6:$B38,$B38)-(SUMIFS($G$6:$G$355,$B$6:$B$355,$B38)+SUMIFS($H$6:$H$355,$B$6:$B$355,$B38)+SUMIFS($I$6:$I$355,$B$6:$B$355,$B38)))))</f>
        <v>0</v>
      </c>
    </row>
    <row r="39" spans="1:21" ht="21.75" x14ac:dyDescent="0.25">
      <c r="A39" s="217" cm="1">
        <f t="array" ref="A39">IFERROR(INDEX(_xlfn.ANCHORARRAY($Q$6),ROW()-5,1),"")</f>
        <v>46230</v>
      </c>
      <c r="B39" s="288" t="str" cm="1">
        <f t="array" ref="B39">IFERROR(INDEX(_xlfn.ANCHORARRAY($Q$6),ROW()-5,2),"")</f>
        <v>M/s Jai Balaji Oxygen Private Limited</v>
      </c>
      <c r="C39" s="289" t="str" cm="1">
        <f t="array" ref="C39">IFERROR(INDEX(_xlfn.ANCHORARRAY($Q$6),ROW()-5,3),"")</f>
        <v/>
      </c>
      <c r="D39" s="218" t="str">
        <f>IF($A39="","",IF($K39="DIESEL",SUMIFS(Table1[Quantity],Table1[Customer],$B39,Table1[Date],$A39,Table1[Bill No.],$C39),IF($K39="PETROL",SUMIFS(Table14[Quantity],Table14[Customer],$B39,Table14[Date],$A39,Table14[Bill No.],$C39),IF($K39="XtraGreen",SUMIFS(Table146[Quantity],Table146[Company],$B39,Table146[Date],$A39,Table146[Bill No.],$C39),""))))</f>
        <v/>
      </c>
      <c r="E39" s="219" t="str">
        <f>IF($A39="","",IF($K39="DIESEL",AVERAGEIFS(Table1[RSP],Table1[Customer],$B39,Table1[Date],$A39,Table1[Bill No.],$C39),IF($K39="PETROL",AVERAGEIFS(Table14[RSP],Table14[Customer],$B39,Table14[Date],$A39,Table14[Bill No.],$C39),IF($K39="XtraGreen",AVERAGEIFS(Table146[RSP],Table146[Company],$B39,Table146[Date],$A39,Table146[Bill No.],$C39),IFERROR($F39/$D39,"")))))</f>
        <v/>
      </c>
      <c r="F39" s="330">
        <f>IF($A39="","",IF($K39="DIESEL",SUMIFS(Table1[Amount],Table1[Customer],$B39,Table1[Date],$A39,Table1[Bill No.],$C39),IF($K39="PETROL",SUMIFS(Table14[Amount],Table14[Customer],$B39,Table14[Date],$A39,Table14[Bill No.],$C39),IF($K39="XtraGreen",SUMIFS(Table146[Amount],Table146[Company],$B39,Table146[Date],$A39,Table146[Bill No.],$C39),SUMIFS('Other Sale'!$D:$D,'Other Sale'!$E:$E,$B39,'Other Sale'!$C:$C,$K39,'Other Sale'!$A:$A,$A39)))))</f>
        <v>0</v>
      </c>
      <c r="G39" s="330" cm="1">
        <f t="array" ref="G39">IF($A39="","",IF($K39="Payment",IFERROR(INDEX(_xlfn._xlws.FILTER(MasterPaid[Amount Paid],(MasterPaid[Customer]=$B39)*(MasterPaid[Date]=$A39)),COUNTIFS($A$6:$A39,$A39,$B$6:$B39,$B39,$K$6:$K39,"Payment")),0),0))</f>
        <v>120888</v>
      </c>
      <c r="H39" s="331"/>
      <c r="I39" s="331"/>
      <c r="J39" s="330">
        <f t="shared" si="0"/>
        <v>0</v>
      </c>
      <c r="K39" s="289" t="str" cm="1">
        <f t="array" ref="K39">IFERROR(INDEX(_xlfn.ANCHORARRAY($Q$6),ROW()-5,4),"")</f>
        <v>Payment</v>
      </c>
      <c r="L39" s="290"/>
      <c r="Q39">
        <v>46230</v>
      </c>
      <c r="R39" t="str">
        <v>M/s Jai Balaji Oxygen Private Limited</v>
      </c>
      <c r="S39" t="str">
        <v/>
      </c>
      <c r="T39" t="str">
        <v>Payment</v>
      </c>
      <c r="U39">
        <f>IF(OR($A39="",$F39=""),0,MAX(0,MIN($F39,SUMIFS($F$6:$F39,$B$6:$B39,$B39)-(SUMIFS($G$6:$G$355,$B$6:$B$355,$B39)+SUMIFS($H$6:$H$355,$B$6:$B$355,$B39)+SUMIFS($I$6:$I$355,$B$6:$B$355,$B39)))))</f>
        <v>0</v>
      </c>
    </row>
    <row r="40" spans="1:21" ht="21.75" x14ac:dyDescent="0.25">
      <c r="A40" s="217" cm="1">
        <f t="array" ref="A40">IFERROR(INDEX(_xlfn.ANCHORARRAY($Q$6),ROW()-5,1),"")</f>
        <v>46237</v>
      </c>
      <c r="B40" s="288" t="str" cm="1">
        <f t="array" ref="B40">IFERROR(INDEX(_xlfn.ANCHORARRAY($Q$6),ROW()-5,2),"")</f>
        <v>M/s  Ankita Air Products Private Limited</v>
      </c>
      <c r="C40" s="289" t="str" cm="1">
        <f t="array" ref="C40">IFERROR(INDEX(_xlfn.ANCHORARRAY($Q$6),ROW()-5,3),"")</f>
        <v>1941</v>
      </c>
      <c r="D40" s="218">
        <f>IF($A40="","",IF($K40="DIESEL",SUMIFS(Table1[Quantity],Table1[Customer],$B40,Table1[Date],$A40,Table1[Bill No.],$C40),IF($K40="PETROL",SUMIFS(Table14[Quantity],Table14[Customer],$B40,Table14[Date],$A40,Table14[Bill No.],$C40),IF($K40="XtraGreen",SUMIFS(Table146[Quantity],Table146[Company],$B40,Table146[Date],$A40,Table146[Bill No.],$C40),""))))</f>
        <v>1200</v>
      </c>
      <c r="E40" s="219">
        <f>IF($A40="","",IF($K40="DIESEL",AVERAGEIFS(Table1[RSP],Table1[Customer],$B40,Table1[Date],$A40,Table1[Bill No.],$C40),IF($K40="PETROL",AVERAGEIFS(Table14[RSP],Table14[Customer],$B40,Table14[Date],$A40,Table14[Bill No.],$C40),IF($K40="XtraGreen",AVERAGEIFS(Table146[RSP],Table146[Company],$B40,Table146[Date],$A40,Table146[Bill No.],$C40),IFERROR($F40/$D40,"")))))</f>
        <v>100.74</v>
      </c>
      <c r="F40" s="330">
        <f>IF($A40="","",IF($K40="DIESEL",SUMIFS(Table1[Amount],Table1[Customer],$B40,Table1[Date],$A40,Table1[Bill No.],$C40),IF($K40="PETROL",SUMIFS(Table14[Amount],Table14[Customer],$B40,Table14[Date],$A40,Table14[Bill No.],$C40),IF($K40="XtraGreen",SUMIFS(Table146[Amount],Table146[Company],$B40,Table146[Date],$A40,Table146[Bill No.],$C40),SUMIFS('Other Sale'!$D:$D,'Other Sale'!$E:$E,$B40,'Other Sale'!$C:$C,$K40,'Other Sale'!$A:$A,$A40)))))</f>
        <v>120888</v>
      </c>
      <c r="G40" s="330" cm="1">
        <f t="array" ref="G40">IF($A40="","",IF($K40="Payment",IFERROR(INDEX(_xlfn._xlws.FILTER(MasterPaid[Amount Paid],(MasterPaid[Customer]=$B40)*(MasterPaid[Date]=$A40)),COUNTIFS($A$6:$A40,$A40,$B$6:$B40,$B40,$K$6:$K40,"Payment")),0),0))</f>
        <v>0</v>
      </c>
      <c r="H40" s="331"/>
      <c r="I40" s="331"/>
      <c r="J40" s="330">
        <f t="shared" si="0"/>
        <v>120888</v>
      </c>
      <c r="K40" s="289" t="str" cm="1">
        <f t="array" ref="K40">IFERROR(INDEX(_xlfn.ANCHORARRAY($Q$6),ROW()-5,4),"")</f>
        <v>DIESEL</v>
      </c>
      <c r="L40" s="290"/>
      <c r="Q40">
        <v>46237</v>
      </c>
      <c r="R40" t="str">
        <v>M/s  Ankita Air Products Private Limited</v>
      </c>
      <c r="S40" t="str">
        <v>1941</v>
      </c>
      <c r="T40" t="str">
        <v>DIESEL</v>
      </c>
      <c r="U40">
        <f>IF(OR($A40="",$F40=""),0,MAX(0,MIN($F40,SUMIFS($F$6:$F40,$B$6:$B40,$B40)-(SUMIFS($G$6:$G$355,$B$6:$B$355,$B40)+SUMIFS($H$6:$H$355,$B$6:$B$355,$B40)+SUMIFS($I$6:$I$355,$B$6:$B$355,$B40)))))</f>
        <v>0</v>
      </c>
    </row>
    <row r="41" spans="1:21" ht="21.75" x14ac:dyDescent="0.25">
      <c r="A41" s="217" cm="1">
        <f t="array" ref="A41">IFERROR(INDEX(_xlfn.ANCHORARRAY($Q$6),ROW()-5,1),"")</f>
        <v>46238</v>
      </c>
      <c r="B41" s="288" t="str" cm="1">
        <f t="array" ref="B41">IFERROR(INDEX(_xlfn.ANCHORARRAY($Q$6),ROW()-5,2),"")</f>
        <v>M/s  Ankita Air Products Private Limited</v>
      </c>
      <c r="C41" s="289" t="str" cm="1">
        <f t="array" ref="C41">IFERROR(INDEX(_xlfn.ANCHORARRAY($Q$6),ROW()-5,3),"")</f>
        <v/>
      </c>
      <c r="D41" s="218" t="str">
        <f>IF($A41="","",IF($K41="DIESEL",SUMIFS(Table1[Quantity],Table1[Customer],$B41,Table1[Date],$A41,Table1[Bill No.],$C41),IF($K41="PETROL",SUMIFS(Table14[Quantity],Table14[Customer],$B41,Table14[Date],$A41,Table14[Bill No.],$C41),IF($K41="XtraGreen",SUMIFS(Table146[Quantity],Table146[Company],$B41,Table146[Date],$A41,Table146[Bill No.],$C41),""))))</f>
        <v/>
      </c>
      <c r="E41" s="219" t="str">
        <f>IF($A41="","",IF($K41="DIESEL",AVERAGEIFS(Table1[RSP],Table1[Customer],$B41,Table1[Date],$A41,Table1[Bill No.],$C41),IF($K41="PETROL",AVERAGEIFS(Table14[RSP],Table14[Customer],$B41,Table14[Date],$A41,Table14[Bill No.],$C41),IF($K41="XtraGreen",AVERAGEIFS(Table146[RSP],Table146[Company],$B41,Table146[Date],$A41,Table146[Bill No.],$C41),IFERROR($F41/$D41,"")))))</f>
        <v/>
      </c>
      <c r="F41" s="330">
        <f>IF($A41="","",IF($K41="DIESEL",SUMIFS(Table1[Amount],Table1[Customer],$B41,Table1[Date],$A41,Table1[Bill No.],$C41),IF($K41="PETROL",SUMIFS(Table14[Amount],Table14[Customer],$B41,Table14[Date],$A41,Table14[Bill No.],$C41),IF($K41="XtraGreen",SUMIFS(Table146[Amount],Table146[Company],$B41,Table146[Date],$A41,Table146[Bill No.],$C41),SUMIFS('Other Sale'!$D:$D,'Other Sale'!$E:$E,$B41,'Other Sale'!$C:$C,$K41,'Other Sale'!$A:$A,$A41)))))</f>
        <v>0</v>
      </c>
      <c r="G41" s="330" cm="1">
        <f t="array" ref="G41">IF($A41="","",IF($K41="Payment",IFERROR(INDEX(_xlfn._xlws.FILTER(MasterPaid[Amount Paid],(MasterPaid[Customer]=$B41)*(MasterPaid[Date]=$A41)),COUNTIFS($A$6:$A41,$A41,$B$6:$B41,$B41,$K$6:$K41,"Payment")),0),0))</f>
        <v>120888</v>
      </c>
      <c r="H41" s="331"/>
      <c r="I41" s="331"/>
      <c r="J41" s="330">
        <f t="shared" si="0"/>
        <v>0</v>
      </c>
      <c r="K41" s="289" t="str" cm="1">
        <f t="array" ref="K41">IFERROR(INDEX(_xlfn.ANCHORARRAY($Q$6),ROW()-5,4),"")</f>
        <v>Payment</v>
      </c>
      <c r="L41" s="290"/>
      <c r="Q41">
        <v>46238</v>
      </c>
      <c r="R41" t="str">
        <v>M/s  Ankita Air Products Private Limited</v>
      </c>
      <c r="S41" t="str">
        <v/>
      </c>
      <c r="T41" t="str">
        <v>Payment</v>
      </c>
      <c r="U41">
        <f>IF(OR($A41="",$F41=""),0,MAX(0,MIN($F41,SUMIFS($F$6:$F41,$B$6:$B41,$B41)-(SUMIFS($G$6:$G$355,$B$6:$B$355,$B41)+SUMIFS($H$6:$H$355,$B$6:$B$355,$B41)+SUMIFS($I$6:$I$355,$B$6:$B$355,$B41)))))</f>
        <v>0</v>
      </c>
    </row>
    <row r="42" spans="1:21" ht="21.75" x14ac:dyDescent="0.25">
      <c r="A42" s="217" cm="1">
        <f t="array" ref="A42">IFERROR(INDEX(_xlfn.ANCHORARRAY($Q$6),ROW()-5,1),"")</f>
        <v>46239</v>
      </c>
      <c r="B42" s="288" t="str" cm="1">
        <f t="array" ref="B42">IFERROR(INDEX(_xlfn.ANCHORARRAY($Q$6),ROW()-5,2),"")</f>
        <v>KRISHNA INFRATECH PVT LTD</v>
      </c>
      <c r="C42" s="289" t="str" cm="1">
        <f t="array" ref="C42">IFERROR(INDEX(_xlfn.ANCHORARRAY($Q$6),ROW()-5,3),"")</f>
        <v>1997</v>
      </c>
      <c r="D42" s="218">
        <f>IF($A42="","",IF($K42="DIESEL",SUMIFS(Table1[Quantity],Table1[Customer],$B42,Table1[Date],$A42,Table1[Bill No.],$C42),IF($K42="PETROL",SUMIFS(Table14[Quantity],Table14[Customer],$B42,Table14[Date],$A42,Table14[Bill No.],$C42),IF($K42="XtraGreen",SUMIFS(Table146[Quantity],Table146[Company],$B42,Table146[Date],$A42,Table146[Bill No.],$C42),""))))</f>
        <v>600</v>
      </c>
      <c r="E42" s="219">
        <f>IF($A42="","",IF($K42="DIESEL",AVERAGEIFS(Table1[RSP],Table1[Customer],$B42,Table1[Date],$A42,Table1[Bill No.],$C42),IF($K42="PETROL",AVERAGEIFS(Table14[RSP],Table14[Customer],$B42,Table14[Date],$A42,Table14[Bill No.],$C42),IF($K42="XtraGreen",AVERAGEIFS(Table146[RSP],Table146[Company],$B42,Table146[Date],$A42,Table146[Bill No.],$C42),IFERROR($F42/$D42,"")))))</f>
        <v>100.74</v>
      </c>
      <c r="F42" s="330">
        <f>IF($A42="","",IF($K42="DIESEL",SUMIFS(Table1[Amount],Table1[Customer],$B42,Table1[Date],$A42,Table1[Bill No.],$C42),IF($K42="PETROL",SUMIFS(Table14[Amount],Table14[Customer],$B42,Table14[Date],$A42,Table14[Bill No.],$C42),IF($K42="XtraGreen",SUMIFS(Table146[Amount],Table146[Company],$B42,Table146[Date],$A42,Table146[Bill No.],$C42),SUMIFS('Other Sale'!$D:$D,'Other Sale'!$E:$E,$B42,'Other Sale'!$C:$C,$K42,'Other Sale'!$A:$A,$A42)))))</f>
        <v>60444</v>
      </c>
      <c r="G42" s="330" cm="1">
        <f t="array" ref="G42">IF($A42="","",IF($K42="Payment",IFERROR(INDEX(_xlfn._xlws.FILTER(MasterPaid[Amount Paid],(MasterPaid[Customer]=$B42)*(MasterPaid[Date]=$A42)),COUNTIFS($A$6:$A42,$A42,$B$6:$B42,$B42,$K$6:$K42,"Payment")),0),0))</f>
        <v>0</v>
      </c>
      <c r="H42" s="331"/>
      <c r="I42" s="331"/>
      <c r="J42" s="330">
        <f t="shared" si="0"/>
        <v>60444</v>
      </c>
      <c r="K42" s="289" t="str" cm="1">
        <f t="array" ref="K42">IFERROR(INDEX(_xlfn.ANCHORARRAY($Q$6),ROW()-5,4),"")</f>
        <v>DIESEL</v>
      </c>
      <c r="L42" s="290"/>
      <c r="Q42">
        <v>46239</v>
      </c>
      <c r="R42" t="str">
        <v>KRISHNA INFRATECH PVT LTD</v>
      </c>
      <c r="S42" t="str">
        <v>1997</v>
      </c>
      <c r="T42" t="str">
        <v>DIESEL</v>
      </c>
      <c r="U42">
        <f>IF(OR($A42="",$F42=""),0,MAX(0,MIN($F42,SUMIFS($F$6:$F42,$B$6:$B42,$B42)-(SUMIFS($G$6:$G$355,$B$6:$B$355,$B42)+SUMIFS($H$6:$H$355,$B$6:$B$355,$B42)+SUMIFS($I$6:$I$355,$B$6:$B$355,$B42)))))</f>
        <v>0</v>
      </c>
    </row>
    <row r="43" spans="1:21" ht="21.75" x14ac:dyDescent="0.25">
      <c r="A43" s="217" cm="1">
        <f t="array" ref="A43">IFERROR(INDEX(_xlfn.ANCHORARRAY($Q$6),ROW()-5,1),"")</f>
        <v>46241</v>
      </c>
      <c r="B43" s="288" t="str" cm="1">
        <f t="array" ref="B43">IFERROR(INDEX(_xlfn.ANCHORARRAY($Q$6),ROW()-5,2),"")</f>
        <v>KRISHNA INFRATECH PVT LTD</v>
      </c>
      <c r="C43" s="289" t="str" cm="1">
        <f t="array" ref="C43">IFERROR(INDEX(_xlfn.ANCHORARRAY($Q$6),ROW()-5,3),"")</f>
        <v/>
      </c>
      <c r="D43" s="218" t="str">
        <f>IF($A43="","",IF($K43="DIESEL",SUMIFS(Table1[Quantity],Table1[Customer],$B43,Table1[Date],$A43,Table1[Bill No.],$C43),IF($K43="PETROL",SUMIFS(Table14[Quantity],Table14[Customer],$B43,Table14[Date],$A43,Table14[Bill No.],$C43),IF($K43="XtraGreen",SUMIFS(Table146[Quantity],Table146[Company],$B43,Table146[Date],$A43,Table146[Bill No.],$C43),""))))</f>
        <v/>
      </c>
      <c r="E43" s="219" t="str">
        <f>IF($A43="","",IF($K43="DIESEL",AVERAGEIFS(Table1[RSP],Table1[Customer],$B43,Table1[Date],$A43,Table1[Bill No.],$C43),IF($K43="PETROL",AVERAGEIFS(Table14[RSP],Table14[Customer],$B43,Table14[Date],$A43,Table14[Bill No.],$C43),IF($K43="XtraGreen",AVERAGEIFS(Table146[RSP],Table146[Company],$B43,Table146[Date],$A43,Table146[Bill No.],$C43),IFERROR($F43/$D43,"")))))</f>
        <v/>
      </c>
      <c r="F43" s="330">
        <f>IF($A43="","",IF($K43="DIESEL",SUMIFS(Table1[Amount],Table1[Customer],$B43,Table1[Date],$A43,Table1[Bill No.],$C43),IF($K43="PETROL",SUMIFS(Table14[Amount],Table14[Customer],$B43,Table14[Date],$A43,Table14[Bill No.],$C43),IF($K43="XtraGreen",SUMIFS(Table146[Amount],Table146[Company],$B43,Table146[Date],$A43,Table146[Bill No.],$C43),SUMIFS('Other Sale'!$D:$D,'Other Sale'!$E:$E,$B43,'Other Sale'!$C:$C,$K43,'Other Sale'!$A:$A,$A43)))))</f>
        <v>0</v>
      </c>
      <c r="G43" s="330" cm="1">
        <f t="array" ref="G43">IF($A43="","",IF($K43="Payment",IFERROR(INDEX(_xlfn._xlws.FILTER(MasterPaid[Amount Paid],(MasterPaid[Customer]=$B43)*(MasterPaid[Date]=$A43)),COUNTIFS($A$6:$A43,$A43,$B$6:$B43,$B43,$K$6:$K43,"Payment")),0),0))</f>
        <v>60444</v>
      </c>
      <c r="H43" s="331"/>
      <c r="I43" s="331"/>
      <c r="J43" s="330">
        <f t="shared" si="0"/>
        <v>0</v>
      </c>
      <c r="K43" s="289" t="str" cm="1">
        <f t="array" ref="K43">IFERROR(INDEX(_xlfn.ANCHORARRAY($Q$6),ROW()-5,4),"")</f>
        <v>Payment</v>
      </c>
      <c r="L43" s="290"/>
      <c r="Q43">
        <v>46241</v>
      </c>
      <c r="R43" t="str">
        <v>KRISHNA INFRATECH PVT LTD</v>
      </c>
      <c r="S43" t="str">
        <v/>
      </c>
      <c r="T43" t="str">
        <v>Payment</v>
      </c>
      <c r="U43">
        <f>IF(OR($A43="",$F43=""),0,MAX(0,MIN($F43,SUMIFS($F$6:$F43,$B$6:$B43,$B43)-(SUMIFS($G$6:$G$355,$B$6:$B$355,$B43)+SUMIFS($H$6:$H$355,$B$6:$B$355,$B43)+SUMIFS($I$6:$I$355,$B$6:$B$355,$B43)))))</f>
        <v>0</v>
      </c>
    </row>
    <row r="44" spans="1:21" ht="21.75" x14ac:dyDescent="0.25">
      <c r="A44" s="217" cm="1">
        <f t="array" ref="A44">IFERROR(INDEX(_xlfn.ANCHORARRAY($Q$6),ROW()-5,1),"")</f>
        <v>46248</v>
      </c>
      <c r="B44" s="288" t="str" cm="1">
        <f t="array" ref="B44">IFERROR(INDEX(_xlfn.ANCHORARRAY($Q$6),ROW()-5,2),"")</f>
        <v>M/s Jai Balaji Oxygen Private Limited</v>
      </c>
      <c r="C44" s="289" t="str" cm="1">
        <f t="array" ref="C44">IFERROR(INDEX(_xlfn.ANCHORARRAY($Q$6),ROW()-5,3),"")</f>
        <v>2184</v>
      </c>
      <c r="D44" s="218">
        <f>IF($A44="","",IF($K44="DIESEL",SUMIFS(Table1[Quantity],Table1[Customer],$B44,Table1[Date],$A44,Table1[Bill No.],$C44),IF($K44="PETROL",SUMIFS(Table14[Quantity],Table14[Customer],$B44,Table14[Date],$A44,Table14[Bill No.],$C44),IF($K44="XtraGreen",SUMIFS(Table146[Quantity],Table146[Company],$B44,Table146[Date],$A44,Table146[Bill No.],$C44),""))))</f>
        <v>1200</v>
      </c>
      <c r="E44" s="219">
        <f>IF($A44="","",IF($K44="DIESEL",AVERAGEIFS(Table1[RSP],Table1[Customer],$B44,Table1[Date],$A44,Table1[Bill No.],$C44),IF($K44="PETROL",AVERAGEIFS(Table14[RSP],Table14[Customer],$B44,Table14[Date],$A44,Table14[Bill No.],$C44),IF($K44="XtraGreen",AVERAGEIFS(Table146[RSP],Table146[Company],$B44,Table146[Date],$A44,Table146[Bill No.],$C44),IFERROR($F44/$D44,"")))))</f>
        <v>100.74</v>
      </c>
      <c r="F44" s="330">
        <f>IF($A44="","",IF($K44="DIESEL",SUMIFS(Table1[Amount],Table1[Customer],$B44,Table1[Date],$A44,Table1[Bill No.],$C44),IF($K44="PETROL",SUMIFS(Table14[Amount],Table14[Customer],$B44,Table14[Date],$A44,Table14[Bill No.],$C44),IF($K44="XtraGreen",SUMIFS(Table146[Amount],Table146[Company],$B44,Table146[Date],$A44,Table146[Bill No.],$C44),SUMIFS('Other Sale'!$D:$D,'Other Sale'!$E:$E,$B44,'Other Sale'!$C:$C,$K44,'Other Sale'!$A:$A,$A44)))))</f>
        <v>120888</v>
      </c>
      <c r="G44" s="330" cm="1">
        <f t="array" ref="G44">IF($A44="","",IF($K44="Payment",IFERROR(INDEX(_xlfn._xlws.FILTER(MasterPaid[Amount Paid],(MasterPaid[Customer]=$B44)*(MasterPaid[Date]=$A44)),COUNTIFS($A$6:$A44,$A44,$B$6:$B44,$B44,$K$6:$K44,"Payment")),0),0))</f>
        <v>0</v>
      </c>
      <c r="H44" s="331"/>
      <c r="I44" s="331"/>
      <c r="J44" s="330">
        <f t="shared" si="0"/>
        <v>120888</v>
      </c>
      <c r="K44" s="289" t="str" cm="1">
        <f t="array" ref="K44">IFERROR(INDEX(_xlfn.ANCHORARRAY($Q$6),ROW()-5,4),"")</f>
        <v>DIESEL</v>
      </c>
      <c r="L44" s="290"/>
      <c r="Q44">
        <v>46248</v>
      </c>
      <c r="R44" t="str">
        <v>M/s Jai Balaji Oxygen Private Limited</v>
      </c>
      <c r="S44" t="str">
        <v>2184</v>
      </c>
      <c r="T44" t="str">
        <v>DIESEL</v>
      </c>
      <c r="U44">
        <f>IF(OR($A44="",$F44=""),0,MAX(0,MIN($F44,SUMIFS($F$6:$F44,$B$6:$B44,$B44)-(SUMIFS($G$6:$G$355,$B$6:$B$355,$B44)+SUMIFS($H$6:$H$355,$B$6:$B$355,$B44)+SUMIFS($I$6:$I$355,$B$6:$B$355,$B44)))))</f>
        <v>0</v>
      </c>
    </row>
    <row r="45" spans="1:21" ht="21.75" x14ac:dyDescent="0.25">
      <c r="A45" s="217" cm="1">
        <f t="array" ref="A45">IFERROR(INDEX(_xlfn.ANCHORARRAY($Q$6),ROW()-5,1),"")</f>
        <v>46253</v>
      </c>
      <c r="B45" s="288" t="str" cm="1">
        <f t="array" ref="B45">IFERROR(INDEX(_xlfn.ANCHORARRAY($Q$6),ROW()-5,2),"")</f>
        <v>M/s Jai Balaji Oxygen Private Limited</v>
      </c>
      <c r="C45" s="289" t="str" cm="1">
        <f t="array" ref="C45">IFERROR(INDEX(_xlfn.ANCHORARRAY($Q$6),ROW()-5,3),"")</f>
        <v/>
      </c>
      <c r="D45" s="218" t="str">
        <f>IF($A45="","",IF($K45="DIESEL",SUMIFS(Table1[Quantity],Table1[Customer],$B45,Table1[Date],$A45,Table1[Bill No.],$C45),IF($K45="PETROL",SUMIFS(Table14[Quantity],Table14[Customer],$B45,Table14[Date],$A45,Table14[Bill No.],$C45),IF($K45="XtraGreen",SUMIFS(Table146[Quantity],Table146[Company],$B45,Table146[Date],$A45,Table146[Bill No.],$C45),""))))</f>
        <v/>
      </c>
      <c r="E45" s="219" t="str">
        <f>IF($A45="","",IF($K45="DIESEL",AVERAGEIFS(Table1[RSP],Table1[Customer],$B45,Table1[Date],$A45,Table1[Bill No.],$C45),IF($K45="PETROL",AVERAGEIFS(Table14[RSP],Table14[Customer],$B45,Table14[Date],$A45,Table14[Bill No.],$C45),IF($K45="XtraGreen",AVERAGEIFS(Table146[RSP],Table146[Company],$B45,Table146[Date],$A45,Table146[Bill No.],$C45),IFERROR($F45/$D45,"")))))</f>
        <v/>
      </c>
      <c r="F45" s="330">
        <f>IF($A45="","",IF($K45="DIESEL",SUMIFS(Table1[Amount],Table1[Customer],$B45,Table1[Date],$A45,Table1[Bill No.],$C45),IF($K45="PETROL",SUMIFS(Table14[Amount],Table14[Customer],$B45,Table14[Date],$A45,Table14[Bill No.],$C45),IF($K45="XtraGreen",SUMIFS(Table146[Amount],Table146[Company],$B45,Table146[Date],$A45,Table146[Bill No.],$C45),SUMIFS('Other Sale'!$D:$D,'Other Sale'!$E:$E,$B45,'Other Sale'!$C:$C,$K45,'Other Sale'!$A:$A,$A45)))))</f>
        <v>0</v>
      </c>
      <c r="G45" s="330" cm="1">
        <f t="array" ref="G45">IF($A45="","",IF($K45="Payment",IFERROR(INDEX(_xlfn._xlws.FILTER(MasterPaid[Amount Paid],(MasterPaid[Customer]=$B45)*(MasterPaid[Date]=$A45)),COUNTIFS($A$6:$A45,$A45,$B$6:$B45,$B45,$K$6:$K45,"Payment")),0),0))</f>
        <v>120888</v>
      </c>
      <c r="H45" s="331"/>
      <c r="I45" s="331"/>
      <c r="J45" s="330">
        <f t="shared" si="0"/>
        <v>0</v>
      </c>
      <c r="K45" s="289" t="str" cm="1">
        <f t="array" ref="K45">IFERROR(INDEX(_xlfn.ANCHORARRAY($Q$6),ROW()-5,4),"")</f>
        <v>Payment</v>
      </c>
      <c r="L45" s="290"/>
      <c r="Q45">
        <v>46253</v>
      </c>
      <c r="R45" t="str">
        <v>M/s Jai Balaji Oxygen Private Limited</v>
      </c>
      <c r="S45" t="str">
        <v/>
      </c>
      <c r="T45" t="str">
        <v>Payment</v>
      </c>
      <c r="U45">
        <f>IF(OR($A45="",$F45=""),0,MAX(0,MIN($F45,SUMIFS($F$6:$F45,$B$6:$B45,$B45)-(SUMIFS($G$6:$G$355,$B$6:$B$355,$B45)+SUMIFS($H$6:$H$355,$B$6:$B$355,$B45)+SUMIFS($I$6:$I$355,$B$6:$B$355,$B45)))))</f>
        <v>0</v>
      </c>
    </row>
    <row r="46" spans="1:21" ht="21.75" x14ac:dyDescent="0.25">
      <c r="A46" s="217" cm="1">
        <f t="array" ref="A46">IFERROR(INDEX(_xlfn.ANCHORARRAY($Q$6),ROW()-5,1),"")</f>
        <v>46261</v>
      </c>
      <c r="B46" s="288" t="str" cm="1">
        <f t="array" ref="B46">IFERROR(INDEX(_xlfn.ANCHORARRAY($Q$6),ROW()-5,2),"")</f>
        <v>M/s  Ankita Air Products Private Limited</v>
      </c>
      <c r="C46" s="289" t="str" cm="1">
        <f t="array" ref="C46">IFERROR(INDEX(_xlfn.ANCHORARRAY($Q$6),ROW()-5,3),"")</f>
        <v>2426</v>
      </c>
      <c r="D46" s="218">
        <f>IF($A46="","",IF($K46="DIESEL",SUMIFS(Table1[Quantity],Table1[Customer],$B46,Table1[Date],$A46,Table1[Bill No.],$C46),IF($K46="PETROL",SUMIFS(Table14[Quantity],Table14[Customer],$B46,Table14[Date],$A46,Table14[Bill No.],$C46),IF($K46="XtraGreen",SUMIFS(Table146[Quantity],Table146[Company],$B46,Table146[Date],$A46,Table146[Bill No.],$C46),""))))</f>
        <v>1200</v>
      </c>
      <c r="E46" s="219">
        <f>IF($A46="","",IF($K46="DIESEL",AVERAGEIFS(Table1[RSP],Table1[Customer],$B46,Table1[Date],$A46,Table1[Bill No.],$C46),IF($K46="PETROL",AVERAGEIFS(Table14[RSP],Table14[Customer],$B46,Table14[Date],$A46,Table14[Bill No.],$C46),IF($K46="XtraGreen",AVERAGEIFS(Table146[RSP],Table146[Company],$B46,Table146[Date],$A46,Table146[Bill No.],$C46),IFERROR($F46/$D46,"")))))</f>
        <v>100.74</v>
      </c>
      <c r="F46" s="330">
        <f>IF($A46="","",IF($K46="DIESEL",SUMIFS(Table1[Amount],Table1[Customer],$B46,Table1[Date],$A46,Table1[Bill No.],$C46),IF($K46="PETROL",SUMIFS(Table14[Amount],Table14[Customer],$B46,Table14[Date],$A46,Table14[Bill No.],$C46),IF($K46="XtraGreen",SUMIFS(Table146[Amount],Table146[Company],$B46,Table146[Date],$A46,Table146[Bill No.],$C46),SUMIFS('Other Sale'!$D:$D,'Other Sale'!$E:$E,$B46,'Other Sale'!$C:$C,$K46,'Other Sale'!$A:$A,$A46)))))</f>
        <v>120888</v>
      </c>
      <c r="G46" s="330" cm="1">
        <f t="array" ref="G46">IF($A46="","",IF($K46="Payment",IFERROR(INDEX(_xlfn._xlws.FILTER(MasterPaid[Amount Paid],(MasterPaid[Customer]=$B46)*(MasterPaid[Date]=$A46)),COUNTIFS($A$6:$A46,$A46,$B$6:$B46,$B46,$K$6:$K46,"Payment")),0),0))</f>
        <v>0</v>
      </c>
      <c r="H46" s="331"/>
      <c r="I46" s="331"/>
      <c r="J46" s="330">
        <f t="shared" si="0"/>
        <v>120888</v>
      </c>
      <c r="K46" s="289" t="str" cm="1">
        <f t="array" ref="K46">IFERROR(INDEX(_xlfn.ANCHORARRAY($Q$6),ROW()-5,4),"")</f>
        <v>DIESEL</v>
      </c>
      <c r="L46" s="290"/>
      <c r="Q46">
        <v>46261</v>
      </c>
      <c r="R46" t="str">
        <v>M/s  Ankita Air Products Private Limited</v>
      </c>
      <c r="S46" t="str">
        <v>2426</v>
      </c>
      <c r="T46" t="str">
        <v>DIESEL</v>
      </c>
      <c r="U46">
        <f>IF(OR($A46="",$F46=""),0,MAX(0,MIN($F46,SUMIFS($F$6:$F46,$B$6:$B46,$B46)-(SUMIFS($G$6:$G$355,$B$6:$B$355,$B46)+SUMIFS($H$6:$H$355,$B$6:$B$355,$B46)+SUMIFS($I$6:$I$355,$B$6:$B$355,$B46)))))</f>
        <v>120888</v>
      </c>
    </row>
    <row r="47" spans="1:21" ht="23" x14ac:dyDescent="0.25">
      <c r="A47" s="217" t="str" cm="1">
        <f t="array" ref="A47">IFERROR(INDEX(_xlfn.ANCHORARRAY($Q$6),ROW()-5,1),"")</f>
        <v/>
      </c>
      <c r="B47" s="288" t="str" cm="1">
        <f t="array" ref="B47">IFERROR(INDEX(_xlfn.ANCHORARRAY($Q$6),ROW()-5,2),"")</f>
        <v/>
      </c>
      <c r="C47" s="289" t="str" cm="1">
        <f t="array" ref="C47">IFERROR(INDEX(_xlfn.ANCHORARRAY($Q$6),ROW()-5,3),"")</f>
        <v/>
      </c>
      <c r="D47" s="218" t="str">
        <f>IF($A47="","",IF($K47="DIESEL",SUMIFS(Table1[Quantity],Table1[Customer],$B47,Table1[Date],$A47,Table1[Bill No.],$C47),IF($K47="PETROL",SUMIFS(Table14[Quantity],Table14[Customer],$B47,Table14[Date],$A47,Table14[Bill No.],$C47),IF($K47="XtraGreen",SUMIFS(Table146[Quantity],Table146[Company],$B47,Table146[Date],$A47,Table146[Bill No.],$C47),""))))</f>
        <v/>
      </c>
      <c r="E47" s="219" t="str">
        <f>IF($A47="","",IF($K47="DIESEL",AVERAGEIFS(Table1[RSP],Table1[Customer],$B47,Table1[Date],$A47,Table1[Bill No.],$C47),IF($K47="PETROL",AVERAGEIFS(Table14[RSP],Table14[Customer],$B47,Table14[Date],$A47,Table14[Bill No.],$C47),IF($K47="XtraGreen",AVERAGEIFS(Table146[RSP],Table146[Company],$B47,Table146[Date],$A47,Table146[Bill No.],$C47),IFERROR($F47/$D47,"")))))</f>
        <v/>
      </c>
      <c r="F47" s="330" t="str">
        <f>IF($A47="","",IF($K47="DIESEL",SUMIFS(Table1[Amount],Table1[Customer],$B47,Table1[Date],$A47,Table1[Bill No.],$C47),IF($K47="PETROL",SUMIFS(Table14[Amount],Table14[Customer],$B47,Table14[Date],$A47,Table14[Bill No.],$C47),IF($K47="XtraGreen",SUMIFS(Table146[Amount],Table146[Company],$B47,Table146[Date],$A47,Table146[Bill No.],$C47),SUMIFS('Other Sale'!$D:$D,'Other Sale'!$E:$E,$B47,'Other Sale'!$C:$C,$K47,'Other Sale'!$A:$A,$A47)))))</f>
        <v/>
      </c>
      <c r="G47" s="330" t="str" cm="1">
        <f t="array" ref="G47">IF($A47="","",IF($K47="Payment",IFERROR(INDEX(_xlfn._xlws.FILTER(MasterPaid[Amount Paid],(MasterPaid[Customer]=$B47)*(MasterPaid[Date]=$A47)),COUNTIFS($A$6:$A47,$A47,$B$6:$B47,$B47,$K$6:$K47,"Payment")),0),0))</f>
        <v/>
      </c>
      <c r="H47" s="331"/>
      <c r="I47" s="331"/>
      <c r="J47" s="330" t="str">
        <f t="shared" si="0"/>
        <v/>
      </c>
      <c r="K47" s="289" t="str" cm="1">
        <f t="array" ref="K47">IFERROR(INDEX(_xlfn.ANCHORARRAY($Q$6),ROW()-5,4),"")</f>
        <v/>
      </c>
      <c r="L47" s="290"/>
      <c r="U47">
        <f>IF(OR($A47="",$F47=""),0,MAX(0,MIN($F47,SUMIFS($F$6:$F47,$B$6:$B47,$B47)-(SUMIFS($G$6:$G$355,$B$6:$B$355,$B47)+SUMIFS($H$6:$H$355,$B$6:$B$355,$B47)+SUMIFS($I$6:$I$355,$B$6:$B$355,$B47)))))</f>
        <v>0</v>
      </c>
    </row>
    <row r="48" spans="1:21" ht="23" x14ac:dyDescent="0.25">
      <c r="A48" s="217" t="str" cm="1">
        <f t="array" ref="A48">IFERROR(INDEX(_xlfn.ANCHORARRAY($Q$6),ROW()-5,1),"")</f>
        <v/>
      </c>
      <c r="B48" s="288" t="str" cm="1">
        <f t="array" ref="B48">IFERROR(INDEX(_xlfn.ANCHORARRAY($Q$6),ROW()-5,2),"")</f>
        <v/>
      </c>
      <c r="C48" s="289" t="str" cm="1">
        <f t="array" ref="C48">IFERROR(INDEX(_xlfn.ANCHORARRAY($Q$6),ROW()-5,3),"")</f>
        <v/>
      </c>
      <c r="D48" s="218" t="str">
        <f>IF($A48="","",IF($K48="DIESEL",SUMIFS(Table1[Quantity],Table1[Customer],$B48,Table1[Date],$A48,Table1[Bill No.],$C48),IF($K48="PETROL",SUMIFS(Table14[Quantity],Table14[Customer],$B48,Table14[Date],$A48,Table14[Bill No.],$C48),IF($K48="XtraGreen",SUMIFS(Table146[Quantity],Table146[Company],$B48,Table146[Date],$A48,Table146[Bill No.],$C48),""))))</f>
        <v/>
      </c>
      <c r="E48" s="219" t="str">
        <f>IF($A48="","",IF($K48="DIESEL",AVERAGEIFS(Table1[RSP],Table1[Customer],$B48,Table1[Date],$A48,Table1[Bill No.],$C48),IF($K48="PETROL",AVERAGEIFS(Table14[RSP],Table14[Customer],$B48,Table14[Date],$A48,Table14[Bill No.],$C48),IF($K48="XtraGreen",AVERAGEIFS(Table146[RSP],Table146[Company],$B48,Table146[Date],$A48,Table146[Bill No.],$C48),IFERROR($F48/$D48,"")))))</f>
        <v/>
      </c>
      <c r="F48" s="330" t="str">
        <f>IF($A48="","",IF($K48="DIESEL",SUMIFS(Table1[Amount],Table1[Customer],$B48,Table1[Date],$A48,Table1[Bill No.],$C48),IF($K48="PETROL",SUMIFS(Table14[Amount],Table14[Customer],$B48,Table14[Date],$A48,Table14[Bill No.],$C48),IF($K48="XtraGreen",SUMIFS(Table146[Amount],Table146[Company],$B48,Table146[Date],$A48,Table146[Bill No.],$C48),SUMIFS('Other Sale'!$D:$D,'Other Sale'!$E:$E,$B48,'Other Sale'!$C:$C,$K48,'Other Sale'!$A:$A,$A48)))))</f>
        <v/>
      </c>
      <c r="G48" s="330" t="str" cm="1">
        <f t="array" ref="G48">IF($A48="","",IF($K48="Payment",IFERROR(INDEX(_xlfn._xlws.FILTER(MasterPaid[Amount Paid],(MasterPaid[Customer]=$B48)*(MasterPaid[Date]=$A48)),COUNTIFS($A$6:$A48,$A48,$B$6:$B48,$B48,$K$6:$K48,"Payment")),0),0))</f>
        <v/>
      </c>
      <c r="H48" s="331"/>
      <c r="I48" s="331"/>
      <c r="J48" s="330" t="str">
        <f t="shared" si="0"/>
        <v/>
      </c>
      <c r="K48" s="289" t="str" cm="1">
        <f t="array" ref="K48">IFERROR(INDEX(_xlfn.ANCHORARRAY($Q$6),ROW()-5,4),"")</f>
        <v/>
      </c>
      <c r="L48" s="290"/>
      <c r="U48">
        <f>IF(OR($A48="",$F48=""),0,MAX(0,MIN($F48,SUMIFS($F$6:$F48,$B$6:$B48,$B48)-(SUMIFS($G$6:$G$355,$B$6:$B$355,$B48)+SUMIFS($H$6:$H$355,$B$6:$B$355,$B48)+SUMIFS($I$6:$I$355,$B$6:$B$355,$B48)))))</f>
        <v>0</v>
      </c>
    </row>
    <row r="49" spans="1:21" ht="23" x14ac:dyDescent="0.25">
      <c r="A49" s="217" t="str" cm="1">
        <f t="array" ref="A49">IFERROR(INDEX(_xlfn.ANCHORARRAY($Q$6),ROW()-5,1),"")</f>
        <v/>
      </c>
      <c r="B49" s="288" t="str" cm="1">
        <f t="array" ref="B49">IFERROR(INDEX(_xlfn.ANCHORARRAY($Q$6),ROW()-5,2),"")</f>
        <v/>
      </c>
      <c r="C49" s="289" t="str" cm="1">
        <f t="array" ref="C49">IFERROR(INDEX(_xlfn.ANCHORARRAY($Q$6),ROW()-5,3),"")</f>
        <v/>
      </c>
      <c r="D49" s="218" t="str">
        <f>IF($A49="","",IF($K49="DIESEL",SUMIFS(Table1[Quantity],Table1[Customer],$B49,Table1[Date],$A49,Table1[Bill No.],$C49),IF($K49="PETROL",SUMIFS(Table14[Quantity],Table14[Customer],$B49,Table14[Date],$A49,Table14[Bill No.],$C49),IF($K49="XtraGreen",SUMIFS(Table146[Quantity],Table146[Company],$B49,Table146[Date],$A49,Table146[Bill No.],$C49),""))))</f>
        <v/>
      </c>
      <c r="E49" s="219" t="str">
        <f>IF($A49="","",IF($K49="DIESEL",AVERAGEIFS(Table1[RSP],Table1[Customer],$B49,Table1[Date],$A49,Table1[Bill No.],$C49),IF($K49="PETROL",AVERAGEIFS(Table14[RSP],Table14[Customer],$B49,Table14[Date],$A49,Table14[Bill No.],$C49),IF($K49="XtraGreen",AVERAGEIFS(Table146[RSP],Table146[Company],$B49,Table146[Date],$A49,Table146[Bill No.],$C49),IFERROR($F49/$D49,"")))))</f>
        <v/>
      </c>
      <c r="F49" s="330" t="str">
        <f>IF($A49="","",IF($K49="DIESEL",SUMIFS(Table1[Amount],Table1[Customer],$B49,Table1[Date],$A49,Table1[Bill No.],$C49),IF($K49="PETROL",SUMIFS(Table14[Amount],Table14[Customer],$B49,Table14[Date],$A49,Table14[Bill No.],$C49),IF($K49="XtraGreen",SUMIFS(Table146[Amount],Table146[Company],$B49,Table146[Date],$A49,Table146[Bill No.],$C49),SUMIFS('Other Sale'!$D:$D,'Other Sale'!$E:$E,$B49,'Other Sale'!$C:$C,$K49,'Other Sale'!$A:$A,$A49)))))</f>
        <v/>
      </c>
      <c r="G49" s="330" t="str" cm="1">
        <f t="array" ref="G49">IF($A49="","",IF($K49="Payment",IFERROR(INDEX(_xlfn._xlws.FILTER(MasterPaid[Amount Paid],(MasterPaid[Customer]=$B49)*(MasterPaid[Date]=$A49)),COUNTIFS($A$6:$A49,$A49,$B$6:$B49,$B49,$K$6:$K49,"Payment")),0),0))</f>
        <v/>
      </c>
      <c r="H49" s="331"/>
      <c r="I49" s="331"/>
      <c r="J49" s="330" t="str">
        <f t="shared" si="0"/>
        <v/>
      </c>
      <c r="K49" s="289" t="str" cm="1">
        <f t="array" ref="K49">IFERROR(INDEX(_xlfn.ANCHORARRAY($Q$6),ROW()-5,4),"")</f>
        <v/>
      </c>
      <c r="L49" s="290"/>
      <c r="U49">
        <f>IF(OR($A49="",$F49=""),0,MAX(0,MIN($F49,SUMIFS($F$6:$F49,$B$6:$B49,$B49)-(SUMIFS($G$6:$G$355,$B$6:$B$355,$B49)+SUMIFS($H$6:$H$355,$B$6:$B$355,$B49)+SUMIFS($I$6:$I$355,$B$6:$B$355,$B49)))))</f>
        <v>0</v>
      </c>
    </row>
    <row r="50" spans="1:21" ht="23" x14ac:dyDescent="0.25">
      <c r="A50" s="217" t="str" cm="1">
        <f t="array" ref="A50">IFERROR(INDEX(_xlfn.ANCHORARRAY($Q$6),ROW()-5,1),"")</f>
        <v/>
      </c>
      <c r="B50" s="288" t="str" cm="1">
        <f t="array" ref="B50">IFERROR(INDEX(_xlfn.ANCHORARRAY($Q$6),ROW()-5,2),"")</f>
        <v/>
      </c>
      <c r="C50" s="289" t="str" cm="1">
        <f t="array" ref="C50">IFERROR(INDEX(_xlfn.ANCHORARRAY($Q$6),ROW()-5,3),"")</f>
        <v/>
      </c>
      <c r="D50" s="218" t="str">
        <f>IF($A50="","",IF($K50="DIESEL",SUMIFS(Table1[Quantity],Table1[Customer],$B50,Table1[Date],$A50,Table1[Bill No.],$C50),IF($K50="PETROL",SUMIFS(Table14[Quantity],Table14[Customer],$B50,Table14[Date],$A50,Table14[Bill No.],$C50),IF($K50="XtraGreen",SUMIFS(Table146[Quantity],Table146[Company],$B50,Table146[Date],$A50,Table146[Bill No.],$C50),""))))</f>
        <v/>
      </c>
      <c r="E50" s="219" t="str">
        <f>IF($A50="","",IF($K50="DIESEL",AVERAGEIFS(Table1[RSP],Table1[Customer],$B50,Table1[Date],$A50,Table1[Bill No.],$C50),IF($K50="PETROL",AVERAGEIFS(Table14[RSP],Table14[Customer],$B50,Table14[Date],$A50,Table14[Bill No.],$C50),IF($K50="XtraGreen",AVERAGEIFS(Table146[RSP],Table146[Company],$B50,Table146[Date],$A50,Table146[Bill No.],$C50),IFERROR($F50/$D50,"")))))</f>
        <v/>
      </c>
      <c r="F50" s="330" t="str">
        <f>IF($A50="","",IF($K50="DIESEL",SUMIFS(Table1[Amount],Table1[Customer],$B50,Table1[Date],$A50,Table1[Bill No.],$C50),IF($K50="PETROL",SUMIFS(Table14[Amount],Table14[Customer],$B50,Table14[Date],$A50,Table14[Bill No.],$C50),IF($K50="XtraGreen",SUMIFS(Table146[Amount],Table146[Company],$B50,Table146[Date],$A50,Table146[Bill No.],$C50),SUMIFS('Other Sale'!$D:$D,'Other Sale'!$E:$E,$B50,'Other Sale'!$C:$C,$K50,'Other Sale'!$A:$A,$A50)))))</f>
        <v/>
      </c>
      <c r="G50" s="330" t="str" cm="1">
        <f t="array" ref="G50">IF($A50="","",IF($K50="Payment",IFERROR(INDEX(_xlfn._xlws.FILTER(MasterPaid[Amount Paid],(MasterPaid[Customer]=$B50)*(MasterPaid[Date]=$A50)),COUNTIFS($A$6:$A50,$A50,$B$6:$B50,$B50,$K$6:$K50,"Payment")),0),0))</f>
        <v/>
      </c>
      <c r="H50" s="331"/>
      <c r="I50" s="331"/>
      <c r="J50" s="330" t="str">
        <f t="shared" si="0"/>
        <v/>
      </c>
      <c r="K50" s="289" t="str" cm="1">
        <f t="array" ref="K50">IFERROR(INDEX(_xlfn.ANCHORARRAY($Q$6),ROW()-5,4),"")</f>
        <v/>
      </c>
      <c r="L50" s="290"/>
      <c r="U50">
        <f>IF(OR($A50="",$F50=""),0,MAX(0,MIN($F50,SUMIFS($F$6:$F50,$B$6:$B50,$B50)-(SUMIFS($G$6:$G$355,$B$6:$B$355,$B50)+SUMIFS($H$6:$H$355,$B$6:$B$355,$B50)+SUMIFS($I$6:$I$355,$B$6:$B$355,$B50)))))</f>
        <v>0</v>
      </c>
    </row>
    <row r="51" spans="1:21" ht="23" x14ac:dyDescent="0.25">
      <c r="A51" s="217" t="str" cm="1">
        <f t="array" ref="A51">IFERROR(INDEX(_xlfn.ANCHORARRAY($Q$6),ROW()-5,1),"")</f>
        <v/>
      </c>
      <c r="B51" s="288" t="str" cm="1">
        <f t="array" ref="B51">IFERROR(INDEX(_xlfn.ANCHORARRAY($Q$6),ROW()-5,2),"")</f>
        <v/>
      </c>
      <c r="C51" s="289" t="str" cm="1">
        <f t="array" ref="C51">IFERROR(INDEX(_xlfn.ANCHORARRAY($Q$6),ROW()-5,3),"")</f>
        <v/>
      </c>
      <c r="D51" s="218" t="str">
        <f>IF($A51="","",IF($K51="DIESEL",SUMIFS(Table1[Quantity],Table1[Customer],$B51,Table1[Date],$A51,Table1[Bill No.],$C51),IF($K51="PETROL",SUMIFS(Table14[Quantity],Table14[Customer],$B51,Table14[Date],$A51,Table14[Bill No.],$C51),IF($K51="XtraGreen",SUMIFS(Table146[Quantity],Table146[Company],$B51,Table146[Date],$A51,Table146[Bill No.],$C51),""))))</f>
        <v/>
      </c>
      <c r="E51" s="219" t="str">
        <f>IF($A51="","",IF($K51="DIESEL",AVERAGEIFS(Table1[RSP],Table1[Customer],$B51,Table1[Date],$A51,Table1[Bill No.],$C51),IF($K51="PETROL",AVERAGEIFS(Table14[RSP],Table14[Customer],$B51,Table14[Date],$A51,Table14[Bill No.],$C51),IF($K51="XtraGreen",AVERAGEIFS(Table146[RSP],Table146[Company],$B51,Table146[Date],$A51,Table146[Bill No.],$C51),IFERROR($F51/$D51,"")))))</f>
        <v/>
      </c>
      <c r="F51" s="330" t="str">
        <f>IF($A51="","",IF($K51="DIESEL",SUMIFS(Table1[Amount],Table1[Customer],$B51,Table1[Date],$A51,Table1[Bill No.],$C51),IF($K51="PETROL",SUMIFS(Table14[Amount],Table14[Customer],$B51,Table14[Date],$A51,Table14[Bill No.],$C51),IF($K51="XtraGreen",SUMIFS(Table146[Amount],Table146[Company],$B51,Table146[Date],$A51,Table146[Bill No.],$C51),SUMIFS('Other Sale'!$D:$D,'Other Sale'!$E:$E,$B51,'Other Sale'!$C:$C,$K51,'Other Sale'!$A:$A,$A51)))))</f>
        <v/>
      </c>
      <c r="G51" s="330" t="str" cm="1">
        <f t="array" ref="G51">IF($A51="","",IF($K51="Payment",IFERROR(INDEX(_xlfn._xlws.FILTER(MasterPaid[Amount Paid],(MasterPaid[Customer]=$B51)*(MasterPaid[Date]=$A51)),COUNTIFS($A$6:$A51,$A51,$B$6:$B51,$B51,$K$6:$K51,"Payment")),0),0))</f>
        <v/>
      </c>
      <c r="H51" s="331"/>
      <c r="I51" s="331"/>
      <c r="J51" s="330" t="str">
        <f t="shared" si="0"/>
        <v/>
      </c>
      <c r="K51" s="289" t="str" cm="1">
        <f t="array" ref="K51">IFERROR(INDEX(_xlfn.ANCHORARRAY($Q$6),ROW()-5,4),"")</f>
        <v/>
      </c>
      <c r="L51" s="290"/>
      <c r="U51">
        <f>IF(OR($A51="",$F51=""),0,MAX(0,MIN($F51,SUMIFS($F$6:$F51,$B$6:$B51,$B51)-(SUMIFS($G$6:$G$355,$B$6:$B$355,$B51)+SUMIFS($H$6:$H$355,$B$6:$B$355,$B51)+SUMIFS($I$6:$I$355,$B$6:$B$355,$B51)))))</f>
        <v>0</v>
      </c>
    </row>
    <row r="52" spans="1:21" ht="23" x14ac:dyDescent="0.25">
      <c r="A52" s="217" t="str" cm="1">
        <f t="array" ref="A52">IFERROR(INDEX(_xlfn.ANCHORARRAY($Q$6),ROW()-5,1),"")</f>
        <v/>
      </c>
      <c r="B52" s="288" t="str" cm="1">
        <f t="array" ref="B52">IFERROR(INDEX(_xlfn.ANCHORARRAY($Q$6),ROW()-5,2),"")</f>
        <v/>
      </c>
      <c r="C52" s="289" t="str" cm="1">
        <f t="array" ref="C52">IFERROR(INDEX(_xlfn.ANCHORARRAY($Q$6),ROW()-5,3),"")</f>
        <v/>
      </c>
      <c r="D52" s="218" t="str">
        <f>IF($A52="","",IF($K52="DIESEL",SUMIFS(Table1[Quantity],Table1[Customer],$B52,Table1[Date],$A52,Table1[Bill No.],$C52),IF($K52="PETROL",SUMIFS(Table14[Quantity],Table14[Customer],$B52,Table14[Date],$A52,Table14[Bill No.],$C52),IF($K52="XtraGreen",SUMIFS(Table146[Quantity],Table146[Company],$B52,Table146[Date],$A52,Table146[Bill No.],$C52),""))))</f>
        <v/>
      </c>
      <c r="E52" s="219" t="str">
        <f>IF($A52="","",IF($K52="DIESEL",AVERAGEIFS(Table1[RSP],Table1[Customer],$B52,Table1[Date],$A52,Table1[Bill No.],$C52),IF($K52="PETROL",AVERAGEIFS(Table14[RSP],Table14[Customer],$B52,Table14[Date],$A52,Table14[Bill No.],$C52),IF($K52="XtraGreen",AVERAGEIFS(Table146[RSP],Table146[Company],$B52,Table146[Date],$A52,Table146[Bill No.],$C52),IFERROR($F52/$D52,"")))))</f>
        <v/>
      </c>
      <c r="F52" s="330" t="str">
        <f>IF($A52="","",IF($K52="DIESEL",SUMIFS(Table1[Amount],Table1[Customer],$B52,Table1[Date],$A52,Table1[Bill No.],$C52),IF($K52="PETROL",SUMIFS(Table14[Amount],Table14[Customer],$B52,Table14[Date],$A52,Table14[Bill No.],$C52),IF($K52="XtraGreen",SUMIFS(Table146[Amount],Table146[Company],$B52,Table146[Date],$A52,Table146[Bill No.],$C52),SUMIFS('Other Sale'!$D:$D,'Other Sale'!$E:$E,$B52,'Other Sale'!$C:$C,$K52,'Other Sale'!$A:$A,$A52)))))</f>
        <v/>
      </c>
      <c r="G52" s="330" t="str" cm="1">
        <f t="array" ref="G52">IF($A52="","",IF($K52="Payment",IFERROR(INDEX(_xlfn._xlws.FILTER(MasterPaid[Amount Paid],(MasterPaid[Customer]=$B52)*(MasterPaid[Date]=$A52)),COUNTIFS($A$6:$A52,$A52,$B$6:$B52,$B52,$K$6:$K52,"Payment")),0),0))</f>
        <v/>
      </c>
      <c r="H52" s="331"/>
      <c r="I52" s="331"/>
      <c r="J52" s="330" t="str">
        <f t="shared" si="0"/>
        <v/>
      </c>
      <c r="K52" s="289" t="str" cm="1">
        <f t="array" ref="K52">IFERROR(INDEX(_xlfn.ANCHORARRAY($Q$6),ROW()-5,4),"")</f>
        <v/>
      </c>
      <c r="L52" s="290"/>
      <c r="U52">
        <f>IF(OR($A52="",$F52=""),0,MAX(0,MIN($F52,SUMIFS($F$6:$F52,$B$6:$B52,$B52)-(SUMIFS($G$6:$G$355,$B$6:$B$355,$B52)+SUMIFS($H$6:$H$355,$B$6:$B$355,$B52)+SUMIFS($I$6:$I$355,$B$6:$B$355,$B52)))))</f>
        <v>0</v>
      </c>
    </row>
    <row r="53" spans="1:21" ht="23" x14ac:dyDescent="0.25">
      <c r="A53" s="217" t="str" cm="1">
        <f t="array" ref="A53">IFERROR(INDEX(_xlfn.ANCHORARRAY($Q$6),ROW()-5,1),"")</f>
        <v/>
      </c>
      <c r="B53" s="288" t="str" cm="1">
        <f t="array" ref="B53">IFERROR(INDEX(_xlfn.ANCHORARRAY($Q$6),ROW()-5,2),"")</f>
        <v/>
      </c>
      <c r="C53" s="289" t="str" cm="1">
        <f t="array" ref="C53">IFERROR(INDEX(_xlfn.ANCHORARRAY($Q$6),ROW()-5,3),"")</f>
        <v/>
      </c>
      <c r="D53" s="218" t="str">
        <f>IF($A53="","",IF($K53="DIESEL",SUMIFS(Table1[Quantity],Table1[Customer],$B53,Table1[Date],$A53,Table1[Bill No.],$C53),IF($K53="PETROL",SUMIFS(Table14[Quantity],Table14[Customer],$B53,Table14[Date],$A53,Table14[Bill No.],$C53),IF($K53="XtraGreen",SUMIFS(Table146[Quantity],Table146[Company],$B53,Table146[Date],$A53,Table146[Bill No.],$C53),""))))</f>
        <v/>
      </c>
      <c r="E53" s="219" t="str">
        <f>IF($A53="","",IF($K53="DIESEL",AVERAGEIFS(Table1[RSP],Table1[Customer],$B53,Table1[Date],$A53,Table1[Bill No.],$C53),IF($K53="PETROL",AVERAGEIFS(Table14[RSP],Table14[Customer],$B53,Table14[Date],$A53,Table14[Bill No.],$C53),IF($K53="XtraGreen",AVERAGEIFS(Table146[RSP],Table146[Company],$B53,Table146[Date],$A53,Table146[Bill No.],$C53),IFERROR($F53/$D53,"")))))</f>
        <v/>
      </c>
      <c r="F53" s="330" t="str">
        <f>IF($A53="","",IF($K53="DIESEL",SUMIFS(Table1[Amount],Table1[Customer],$B53,Table1[Date],$A53,Table1[Bill No.],$C53),IF($K53="PETROL",SUMIFS(Table14[Amount],Table14[Customer],$B53,Table14[Date],$A53,Table14[Bill No.],$C53),IF($K53="XtraGreen",SUMIFS(Table146[Amount],Table146[Company],$B53,Table146[Date],$A53,Table146[Bill No.],$C53),SUMIFS('Other Sale'!$D:$D,'Other Sale'!$E:$E,$B53,'Other Sale'!$C:$C,$K53,'Other Sale'!$A:$A,$A53)))))</f>
        <v/>
      </c>
      <c r="G53" s="330" t="str" cm="1">
        <f t="array" ref="G53">IF($A53="","",IF($K53="Payment",IFERROR(INDEX(_xlfn._xlws.FILTER(MasterPaid[Amount Paid],(MasterPaid[Customer]=$B53)*(MasterPaid[Date]=$A53)),COUNTIFS($A$6:$A53,$A53,$B$6:$B53,$B53,$K$6:$K53,"Payment")),0),0))</f>
        <v/>
      </c>
      <c r="H53" s="331"/>
      <c r="I53" s="331"/>
      <c r="J53" s="330" t="str">
        <f t="shared" si="0"/>
        <v/>
      </c>
      <c r="K53" s="289" t="str" cm="1">
        <f t="array" ref="K53">IFERROR(INDEX(_xlfn.ANCHORARRAY($Q$6),ROW()-5,4),"")</f>
        <v/>
      </c>
      <c r="L53" s="290"/>
      <c r="U53">
        <f>IF(OR($A53="",$F53=""),0,MAX(0,MIN($F53,SUMIFS($F$6:$F53,$B$6:$B53,$B53)-(SUMIFS($G$6:$G$355,$B$6:$B$355,$B53)+SUMIFS($H$6:$H$355,$B$6:$B$355,$B53)+SUMIFS($I$6:$I$355,$B$6:$B$355,$B53)))))</f>
        <v>0</v>
      </c>
    </row>
    <row r="54" spans="1:21" ht="23" x14ac:dyDescent="0.25">
      <c r="A54" s="217" t="str" cm="1">
        <f t="array" ref="A54">IFERROR(INDEX(_xlfn.ANCHORARRAY($Q$6),ROW()-5,1),"")</f>
        <v/>
      </c>
      <c r="B54" s="288" t="str" cm="1">
        <f t="array" ref="B54">IFERROR(INDEX(_xlfn.ANCHORARRAY($Q$6),ROW()-5,2),"")</f>
        <v/>
      </c>
      <c r="C54" s="289" t="str" cm="1">
        <f t="array" ref="C54">IFERROR(INDEX(_xlfn.ANCHORARRAY($Q$6),ROW()-5,3),"")</f>
        <v/>
      </c>
      <c r="D54" s="218" t="str">
        <f>IF($A54="","",IF($K54="DIESEL",SUMIFS(Table1[Quantity],Table1[Customer],$B54,Table1[Date],$A54,Table1[Bill No.],$C54),IF($K54="PETROL",SUMIFS(Table14[Quantity],Table14[Customer],$B54,Table14[Date],$A54,Table14[Bill No.],$C54),IF($K54="XtraGreen",SUMIFS(Table146[Quantity],Table146[Company],$B54,Table146[Date],$A54,Table146[Bill No.],$C54),""))))</f>
        <v/>
      </c>
      <c r="E54" s="219" t="str">
        <f>IF($A54="","",IF($K54="DIESEL",AVERAGEIFS(Table1[RSP],Table1[Customer],$B54,Table1[Date],$A54,Table1[Bill No.],$C54),IF($K54="PETROL",AVERAGEIFS(Table14[RSP],Table14[Customer],$B54,Table14[Date],$A54,Table14[Bill No.],$C54),IF($K54="XtraGreen",AVERAGEIFS(Table146[RSP],Table146[Company],$B54,Table146[Date],$A54,Table146[Bill No.],$C54),IFERROR($F54/$D54,"")))))</f>
        <v/>
      </c>
      <c r="F54" s="330" t="str">
        <f>IF($A54="","",IF($K54="DIESEL",SUMIFS(Table1[Amount],Table1[Customer],$B54,Table1[Date],$A54,Table1[Bill No.],$C54),IF($K54="PETROL",SUMIFS(Table14[Amount],Table14[Customer],$B54,Table14[Date],$A54,Table14[Bill No.],$C54),IF($K54="XtraGreen",SUMIFS(Table146[Amount],Table146[Company],$B54,Table146[Date],$A54,Table146[Bill No.],$C54),SUMIFS('Other Sale'!$D:$D,'Other Sale'!$E:$E,$B54,'Other Sale'!$C:$C,$K54,'Other Sale'!$A:$A,$A54)))))</f>
        <v/>
      </c>
      <c r="G54" s="330" t="str" cm="1">
        <f t="array" ref="G54">IF($A54="","",IF($K54="Payment",IFERROR(INDEX(_xlfn._xlws.FILTER(MasterPaid[Amount Paid],(MasterPaid[Customer]=$B54)*(MasterPaid[Date]=$A54)),COUNTIFS($A$6:$A54,$A54,$B$6:$B54,$B54,$K$6:$K54,"Payment")),0),0))</f>
        <v/>
      </c>
      <c r="H54" s="331"/>
      <c r="I54" s="331"/>
      <c r="J54" s="330" t="str">
        <f t="shared" si="0"/>
        <v/>
      </c>
      <c r="K54" s="289" t="str" cm="1">
        <f t="array" ref="K54">IFERROR(INDEX(_xlfn.ANCHORARRAY($Q$6),ROW()-5,4),"")</f>
        <v/>
      </c>
      <c r="L54" s="290"/>
      <c r="U54">
        <f>IF(OR($A54="",$F54=""),0,MAX(0,MIN($F54,SUMIFS($F$6:$F54,$B$6:$B54,$B54)-(SUMIFS($G$6:$G$355,$B$6:$B$355,$B54)+SUMIFS($H$6:$H$355,$B$6:$B$355,$B54)+SUMIFS($I$6:$I$355,$B$6:$B$355,$B54)))))</f>
        <v>0</v>
      </c>
    </row>
    <row r="55" spans="1:21" ht="23" x14ac:dyDescent="0.25">
      <c r="A55" s="217" t="str" cm="1">
        <f t="array" ref="A55">IFERROR(INDEX(_xlfn.ANCHORARRAY($Q$6),ROW()-5,1),"")</f>
        <v/>
      </c>
      <c r="B55" s="288" t="str" cm="1">
        <f t="array" ref="B55">IFERROR(INDEX(_xlfn.ANCHORARRAY($Q$6),ROW()-5,2),"")</f>
        <v/>
      </c>
      <c r="C55" s="289" t="str" cm="1">
        <f t="array" ref="C55">IFERROR(INDEX(_xlfn.ANCHORARRAY($Q$6),ROW()-5,3),"")</f>
        <v/>
      </c>
      <c r="D55" s="218" t="str">
        <f>IF($A55="","",IF($K55="DIESEL",SUMIFS(Table1[Quantity],Table1[Customer],$B55,Table1[Date],$A55,Table1[Bill No.],$C55),IF($K55="PETROL",SUMIFS(Table14[Quantity],Table14[Customer],$B55,Table14[Date],$A55,Table14[Bill No.],$C55),IF($K55="XtraGreen",SUMIFS(Table146[Quantity],Table146[Company],$B55,Table146[Date],$A55,Table146[Bill No.],$C55),""))))</f>
        <v/>
      </c>
      <c r="E55" s="219" t="str">
        <f>IF($A55="","",IF($K55="DIESEL",AVERAGEIFS(Table1[RSP],Table1[Customer],$B55,Table1[Date],$A55,Table1[Bill No.],$C55),IF($K55="PETROL",AVERAGEIFS(Table14[RSP],Table14[Customer],$B55,Table14[Date],$A55,Table14[Bill No.],$C55),IF($K55="XtraGreen",AVERAGEIFS(Table146[RSP],Table146[Company],$B55,Table146[Date],$A55,Table146[Bill No.],$C55),IFERROR($F55/$D55,"")))))</f>
        <v/>
      </c>
      <c r="F55" s="330" t="str">
        <f>IF($A55="","",IF($K55="DIESEL",SUMIFS(Table1[Amount],Table1[Customer],$B55,Table1[Date],$A55,Table1[Bill No.],$C55),IF($K55="PETROL",SUMIFS(Table14[Amount],Table14[Customer],$B55,Table14[Date],$A55,Table14[Bill No.],$C55),IF($K55="XtraGreen",SUMIFS(Table146[Amount],Table146[Company],$B55,Table146[Date],$A55,Table146[Bill No.],$C55),SUMIFS('Other Sale'!$D:$D,'Other Sale'!$E:$E,$B55,'Other Sale'!$C:$C,$K55,'Other Sale'!$A:$A,$A55)))))</f>
        <v/>
      </c>
      <c r="G55" s="330" t="str" cm="1">
        <f t="array" ref="G55">IF($A55="","",IF($K55="Payment",IFERROR(INDEX(_xlfn._xlws.FILTER(MasterPaid[Amount Paid],(MasterPaid[Customer]=$B55)*(MasterPaid[Date]=$A55)),COUNTIFS($A$6:$A55,$A55,$B$6:$B55,$B55,$K$6:$K55,"Payment")),0),0))</f>
        <v/>
      </c>
      <c r="H55" s="331"/>
      <c r="I55" s="331"/>
      <c r="J55" s="330" t="str">
        <f t="shared" si="0"/>
        <v/>
      </c>
      <c r="K55" s="289" t="str" cm="1">
        <f t="array" ref="K55">IFERROR(INDEX(_xlfn.ANCHORARRAY($Q$6),ROW()-5,4),"")</f>
        <v/>
      </c>
      <c r="L55" s="290"/>
      <c r="U55">
        <f>IF(OR($A55="",$F55=""),0,MAX(0,MIN($F55,SUMIFS($F$6:$F55,$B$6:$B55,$B55)-(SUMIFS($G$6:$G$355,$B$6:$B$355,$B55)+SUMIFS($H$6:$H$355,$B$6:$B$355,$B55)+SUMIFS($I$6:$I$355,$B$6:$B$355,$B55)))))</f>
        <v>0</v>
      </c>
    </row>
    <row r="56" spans="1:21" ht="23" x14ac:dyDescent="0.25">
      <c r="A56" s="217" t="str" cm="1">
        <f t="array" ref="A56">IFERROR(INDEX(_xlfn.ANCHORARRAY($Q$6),ROW()-5,1),"")</f>
        <v/>
      </c>
      <c r="B56" s="288" t="str" cm="1">
        <f t="array" ref="B56">IFERROR(INDEX(_xlfn.ANCHORARRAY($Q$6),ROW()-5,2),"")</f>
        <v/>
      </c>
      <c r="C56" s="289" t="str" cm="1">
        <f t="array" ref="C56">IFERROR(INDEX(_xlfn.ANCHORARRAY($Q$6),ROW()-5,3),"")</f>
        <v/>
      </c>
      <c r="D56" s="218" t="str">
        <f>IF($A56="","",IF($K56="DIESEL",SUMIFS(Table1[Quantity],Table1[Customer],$B56,Table1[Date],$A56,Table1[Bill No.],$C56),IF($K56="PETROL",SUMIFS(Table14[Quantity],Table14[Customer],$B56,Table14[Date],$A56,Table14[Bill No.],$C56),IF($K56="XtraGreen",SUMIFS(Table146[Quantity],Table146[Company],$B56,Table146[Date],$A56,Table146[Bill No.],$C56),""))))</f>
        <v/>
      </c>
      <c r="E56" s="219" t="str">
        <f>IF($A56="","",IF($K56="DIESEL",AVERAGEIFS(Table1[RSP],Table1[Customer],$B56,Table1[Date],$A56,Table1[Bill No.],$C56),IF($K56="PETROL",AVERAGEIFS(Table14[RSP],Table14[Customer],$B56,Table14[Date],$A56,Table14[Bill No.],$C56),IF($K56="XtraGreen",AVERAGEIFS(Table146[RSP],Table146[Company],$B56,Table146[Date],$A56,Table146[Bill No.],$C56),IFERROR($F56/$D56,"")))))</f>
        <v/>
      </c>
      <c r="F56" s="330" t="str">
        <f>IF($A56="","",IF($K56="DIESEL",SUMIFS(Table1[Amount],Table1[Customer],$B56,Table1[Date],$A56,Table1[Bill No.],$C56),IF($K56="PETROL",SUMIFS(Table14[Amount],Table14[Customer],$B56,Table14[Date],$A56,Table14[Bill No.],$C56),IF($K56="XtraGreen",SUMIFS(Table146[Amount],Table146[Company],$B56,Table146[Date],$A56,Table146[Bill No.],$C56),SUMIFS('Other Sale'!$D:$D,'Other Sale'!$E:$E,$B56,'Other Sale'!$C:$C,$K56,'Other Sale'!$A:$A,$A56)))))</f>
        <v/>
      </c>
      <c r="G56" s="330" t="str" cm="1">
        <f t="array" ref="G56">IF($A56="","",IF($K56="Payment",IFERROR(INDEX(_xlfn._xlws.FILTER(MasterPaid[Amount Paid],(MasterPaid[Customer]=$B56)*(MasterPaid[Date]=$A56)),COUNTIFS($A$6:$A56,$A56,$B$6:$B56,$B56,$K$6:$K56,"Payment")),0),0))</f>
        <v/>
      </c>
      <c r="H56" s="331"/>
      <c r="I56" s="331"/>
      <c r="J56" s="330" t="str">
        <f t="shared" si="0"/>
        <v/>
      </c>
      <c r="K56" s="289" t="str" cm="1">
        <f t="array" ref="K56">IFERROR(INDEX(_xlfn.ANCHORARRAY($Q$6),ROW()-5,4),"")</f>
        <v/>
      </c>
      <c r="L56" s="290"/>
      <c r="U56">
        <f>IF(OR($A56="",$F56=""),0,MAX(0,MIN($F56,SUMIFS($F$6:$F56,$B$6:$B56,$B56)-(SUMIFS($G$6:$G$355,$B$6:$B$355,$B56)+SUMIFS($H$6:$H$355,$B$6:$B$355,$B56)+SUMIFS($I$6:$I$355,$B$6:$B$355,$B56)))))</f>
        <v>0</v>
      </c>
    </row>
    <row r="57" spans="1:21" ht="23" x14ac:dyDescent="0.25">
      <c r="A57" s="217" t="str" cm="1">
        <f t="array" ref="A57">IFERROR(INDEX(_xlfn.ANCHORARRAY($Q$6),ROW()-5,1),"")</f>
        <v/>
      </c>
      <c r="B57" s="288" t="str" cm="1">
        <f t="array" ref="B57">IFERROR(INDEX(_xlfn.ANCHORARRAY($Q$6),ROW()-5,2),"")</f>
        <v/>
      </c>
      <c r="C57" s="289" t="str" cm="1">
        <f t="array" ref="C57">IFERROR(INDEX(_xlfn.ANCHORARRAY($Q$6),ROW()-5,3),"")</f>
        <v/>
      </c>
      <c r="D57" s="218" t="str">
        <f>IF($A57="","",IF($K57="DIESEL",SUMIFS(Table1[Quantity],Table1[Customer],$B57,Table1[Date],$A57,Table1[Bill No.],$C57),IF($K57="PETROL",SUMIFS(Table14[Quantity],Table14[Customer],$B57,Table14[Date],$A57,Table14[Bill No.],$C57),IF($K57="XtraGreen",SUMIFS(Table146[Quantity],Table146[Company],$B57,Table146[Date],$A57,Table146[Bill No.],$C57),""))))</f>
        <v/>
      </c>
      <c r="E57" s="219" t="str">
        <f>IF($A57="","",IF($K57="DIESEL",AVERAGEIFS(Table1[RSP],Table1[Customer],$B57,Table1[Date],$A57,Table1[Bill No.],$C57),IF($K57="PETROL",AVERAGEIFS(Table14[RSP],Table14[Customer],$B57,Table14[Date],$A57,Table14[Bill No.],$C57),IF($K57="XtraGreen",AVERAGEIFS(Table146[RSP],Table146[Company],$B57,Table146[Date],$A57,Table146[Bill No.],$C57),IFERROR($F57/$D57,"")))))</f>
        <v/>
      </c>
      <c r="F57" s="330" t="str">
        <f>IF($A57="","",IF($K57="DIESEL",SUMIFS(Table1[Amount],Table1[Customer],$B57,Table1[Date],$A57,Table1[Bill No.],$C57),IF($K57="PETROL",SUMIFS(Table14[Amount],Table14[Customer],$B57,Table14[Date],$A57,Table14[Bill No.],$C57),IF($K57="XtraGreen",SUMIFS(Table146[Amount],Table146[Company],$B57,Table146[Date],$A57,Table146[Bill No.],$C57),SUMIFS('Other Sale'!$D:$D,'Other Sale'!$E:$E,$B57,'Other Sale'!$C:$C,$K57,'Other Sale'!$A:$A,$A57)))))</f>
        <v/>
      </c>
      <c r="G57" s="330" t="str" cm="1">
        <f t="array" ref="G57">IF($A57="","",IF($K57="Payment",IFERROR(INDEX(_xlfn._xlws.FILTER(MasterPaid[Amount Paid],(MasterPaid[Customer]=$B57)*(MasterPaid[Date]=$A57)),COUNTIFS($A$6:$A57,$A57,$B$6:$B57,$B57,$K$6:$K57,"Payment")),0),0))</f>
        <v/>
      </c>
      <c r="H57" s="331"/>
      <c r="I57" s="331"/>
      <c r="J57" s="330" t="str">
        <f t="shared" si="0"/>
        <v/>
      </c>
      <c r="K57" s="289" t="str" cm="1">
        <f t="array" ref="K57">IFERROR(INDEX(_xlfn.ANCHORARRAY($Q$6),ROW()-5,4),"")</f>
        <v/>
      </c>
      <c r="L57" s="290"/>
      <c r="U57">
        <f>IF(OR($A57="",$F57=""),0,MAX(0,MIN($F57,SUMIFS($F$6:$F57,$B$6:$B57,$B57)-(SUMIFS($G$6:$G$355,$B$6:$B$355,$B57)+SUMIFS($H$6:$H$355,$B$6:$B$355,$B57)+SUMIFS($I$6:$I$355,$B$6:$B$355,$B57)))))</f>
        <v>0</v>
      </c>
    </row>
    <row r="58" spans="1:21" ht="23" x14ac:dyDescent="0.25">
      <c r="A58" s="217" t="str" cm="1">
        <f t="array" ref="A58">IFERROR(INDEX(_xlfn.ANCHORARRAY($Q$6),ROW()-5,1),"")</f>
        <v/>
      </c>
      <c r="B58" s="288" t="str" cm="1">
        <f t="array" ref="B58">IFERROR(INDEX(_xlfn.ANCHORARRAY($Q$6),ROW()-5,2),"")</f>
        <v/>
      </c>
      <c r="C58" s="289" t="str" cm="1">
        <f t="array" ref="C58">IFERROR(INDEX(_xlfn.ANCHORARRAY($Q$6),ROW()-5,3),"")</f>
        <v/>
      </c>
      <c r="D58" s="218" t="str">
        <f>IF($A58="","",IF($K58="DIESEL",SUMIFS(Table1[Quantity],Table1[Customer],$B58,Table1[Date],$A58,Table1[Bill No.],$C58),IF($K58="PETROL",SUMIFS(Table14[Quantity],Table14[Customer],$B58,Table14[Date],$A58,Table14[Bill No.],$C58),IF($K58="XtraGreen",SUMIFS(Table146[Quantity],Table146[Company],$B58,Table146[Date],$A58,Table146[Bill No.],$C58),""))))</f>
        <v/>
      </c>
      <c r="E58" s="219" t="str">
        <f>IF($A58="","",IF($K58="DIESEL",AVERAGEIFS(Table1[RSP],Table1[Customer],$B58,Table1[Date],$A58,Table1[Bill No.],$C58),IF($K58="PETROL",AVERAGEIFS(Table14[RSP],Table14[Customer],$B58,Table14[Date],$A58,Table14[Bill No.],$C58),IF($K58="XtraGreen",AVERAGEIFS(Table146[RSP],Table146[Company],$B58,Table146[Date],$A58,Table146[Bill No.],$C58),IFERROR($F58/$D58,"")))))</f>
        <v/>
      </c>
      <c r="F58" s="330" t="str">
        <f>IF($A58="","",IF($K58="DIESEL",SUMIFS(Table1[Amount],Table1[Customer],$B58,Table1[Date],$A58,Table1[Bill No.],$C58),IF($K58="PETROL",SUMIFS(Table14[Amount],Table14[Customer],$B58,Table14[Date],$A58,Table14[Bill No.],$C58),IF($K58="XtraGreen",SUMIFS(Table146[Amount],Table146[Company],$B58,Table146[Date],$A58,Table146[Bill No.],$C58),SUMIFS('Other Sale'!$D:$D,'Other Sale'!$E:$E,$B58,'Other Sale'!$C:$C,$K58,'Other Sale'!$A:$A,$A58)))))</f>
        <v/>
      </c>
      <c r="G58" s="330" t="str" cm="1">
        <f t="array" ref="G58">IF($A58="","",IF($K58="Payment",IFERROR(INDEX(_xlfn._xlws.FILTER(MasterPaid[Amount Paid],(MasterPaid[Customer]=$B58)*(MasterPaid[Date]=$A58)),COUNTIFS($A$6:$A58,$A58,$B$6:$B58,$B58,$K$6:$K58,"Payment")),0),0))</f>
        <v/>
      </c>
      <c r="H58" s="331"/>
      <c r="I58" s="331"/>
      <c r="J58" s="330" t="str">
        <f t="shared" si="0"/>
        <v/>
      </c>
      <c r="K58" s="289" t="str" cm="1">
        <f t="array" ref="K58">IFERROR(INDEX(_xlfn.ANCHORARRAY($Q$6),ROW()-5,4),"")</f>
        <v/>
      </c>
      <c r="L58" s="290"/>
      <c r="U58">
        <f>IF(OR($A58="",$F58=""),0,MAX(0,MIN($F58,SUMIFS($F$6:$F58,$B$6:$B58,$B58)-(SUMIFS($G$6:$G$355,$B$6:$B$355,$B58)+SUMIFS($H$6:$H$355,$B$6:$B$355,$B58)+SUMIFS($I$6:$I$355,$B$6:$B$355,$B58)))))</f>
        <v>0</v>
      </c>
    </row>
    <row r="59" spans="1:21" ht="23" x14ac:dyDescent="0.25">
      <c r="A59" s="217" t="str" cm="1">
        <f t="array" ref="A59">IFERROR(INDEX(_xlfn.ANCHORARRAY($Q$6),ROW()-5,1),"")</f>
        <v/>
      </c>
      <c r="B59" s="288" t="str" cm="1">
        <f t="array" ref="B59">IFERROR(INDEX(_xlfn.ANCHORARRAY($Q$6),ROW()-5,2),"")</f>
        <v/>
      </c>
      <c r="C59" s="289" t="str" cm="1">
        <f t="array" ref="C59">IFERROR(INDEX(_xlfn.ANCHORARRAY($Q$6),ROW()-5,3),"")</f>
        <v/>
      </c>
      <c r="D59" s="218" t="str">
        <f>IF($A59="","",IF($K59="DIESEL",SUMIFS(Table1[Quantity],Table1[Customer],$B59,Table1[Date],$A59,Table1[Bill No.],$C59),IF($K59="PETROL",SUMIFS(Table14[Quantity],Table14[Customer],$B59,Table14[Date],$A59,Table14[Bill No.],$C59),IF($K59="XtraGreen",SUMIFS(Table146[Quantity],Table146[Company],$B59,Table146[Date],$A59,Table146[Bill No.],$C59),""))))</f>
        <v/>
      </c>
      <c r="E59" s="219" t="str">
        <f>IF($A59="","",IF($K59="DIESEL",AVERAGEIFS(Table1[RSP],Table1[Customer],$B59,Table1[Date],$A59,Table1[Bill No.],$C59),IF($K59="PETROL",AVERAGEIFS(Table14[RSP],Table14[Customer],$B59,Table14[Date],$A59,Table14[Bill No.],$C59),IF($K59="XtraGreen",AVERAGEIFS(Table146[RSP],Table146[Company],$B59,Table146[Date],$A59,Table146[Bill No.],$C59),IFERROR($F59/$D59,"")))))</f>
        <v/>
      </c>
      <c r="F59" s="330" t="str">
        <f>IF($A59="","",IF($K59="DIESEL",SUMIFS(Table1[Amount],Table1[Customer],$B59,Table1[Date],$A59,Table1[Bill No.],$C59),IF($K59="PETROL",SUMIFS(Table14[Amount],Table14[Customer],$B59,Table14[Date],$A59,Table14[Bill No.],$C59),IF($K59="XtraGreen",SUMIFS(Table146[Amount],Table146[Company],$B59,Table146[Date],$A59,Table146[Bill No.],$C59),SUMIFS('Other Sale'!$D:$D,'Other Sale'!$E:$E,$B59,'Other Sale'!$C:$C,$K59,'Other Sale'!$A:$A,$A59)))))</f>
        <v/>
      </c>
      <c r="G59" s="330" t="str" cm="1">
        <f t="array" ref="G59">IF($A59="","",IF($K59="Payment",IFERROR(INDEX(_xlfn._xlws.FILTER(MasterPaid[Amount Paid],(MasterPaid[Customer]=$B59)*(MasterPaid[Date]=$A59)),COUNTIFS($A$6:$A59,$A59,$B$6:$B59,$B59,$K$6:$K59,"Payment")),0),0))</f>
        <v/>
      </c>
      <c r="H59" s="331"/>
      <c r="I59" s="331"/>
      <c r="J59" s="330" t="str">
        <f t="shared" si="0"/>
        <v/>
      </c>
      <c r="K59" s="289" t="str" cm="1">
        <f t="array" ref="K59">IFERROR(INDEX(_xlfn.ANCHORARRAY($Q$6),ROW()-5,4),"")</f>
        <v/>
      </c>
      <c r="L59" s="290"/>
      <c r="U59">
        <f>IF(OR($A59="",$F59=""),0,MAX(0,MIN($F59,SUMIFS($F$6:$F59,$B$6:$B59,$B59)-(SUMIFS($G$6:$G$355,$B$6:$B$355,$B59)+SUMIFS($H$6:$H$355,$B$6:$B$355,$B59)+SUMIFS($I$6:$I$355,$B$6:$B$355,$B59)))))</f>
        <v>0</v>
      </c>
    </row>
    <row r="60" spans="1:21" ht="23" x14ac:dyDescent="0.25">
      <c r="A60" s="217" t="str" cm="1">
        <f t="array" ref="A60">IFERROR(INDEX(_xlfn.ANCHORARRAY($Q$6),ROW()-5,1),"")</f>
        <v/>
      </c>
      <c r="B60" s="288" t="str" cm="1">
        <f t="array" ref="B60">IFERROR(INDEX(_xlfn.ANCHORARRAY($Q$6),ROW()-5,2),"")</f>
        <v/>
      </c>
      <c r="C60" s="289" t="str" cm="1">
        <f t="array" ref="C60">IFERROR(INDEX(_xlfn.ANCHORARRAY($Q$6),ROW()-5,3),"")</f>
        <v/>
      </c>
      <c r="D60" s="218" t="str">
        <f>IF($A60="","",IF($K60="DIESEL",SUMIFS(Table1[Quantity],Table1[Customer],$B60,Table1[Date],$A60,Table1[Bill No.],$C60),IF($K60="PETROL",SUMIFS(Table14[Quantity],Table14[Customer],$B60,Table14[Date],$A60,Table14[Bill No.],$C60),IF($K60="XtraGreen",SUMIFS(Table146[Quantity],Table146[Company],$B60,Table146[Date],$A60,Table146[Bill No.],$C60),""))))</f>
        <v/>
      </c>
      <c r="E60" s="219" t="str">
        <f>IF($A60="","",IF($K60="DIESEL",AVERAGEIFS(Table1[RSP],Table1[Customer],$B60,Table1[Date],$A60,Table1[Bill No.],$C60),IF($K60="PETROL",AVERAGEIFS(Table14[RSP],Table14[Customer],$B60,Table14[Date],$A60,Table14[Bill No.],$C60),IF($K60="XtraGreen",AVERAGEIFS(Table146[RSP],Table146[Company],$B60,Table146[Date],$A60,Table146[Bill No.],$C60),IFERROR($F60/$D60,"")))))</f>
        <v/>
      </c>
      <c r="F60" s="330" t="str">
        <f>IF($A60="","",IF($K60="DIESEL",SUMIFS(Table1[Amount],Table1[Customer],$B60,Table1[Date],$A60,Table1[Bill No.],$C60),IF($K60="PETROL",SUMIFS(Table14[Amount],Table14[Customer],$B60,Table14[Date],$A60,Table14[Bill No.],$C60),IF($K60="XtraGreen",SUMIFS(Table146[Amount],Table146[Company],$B60,Table146[Date],$A60,Table146[Bill No.],$C60),SUMIFS('Other Sale'!$D:$D,'Other Sale'!$E:$E,$B60,'Other Sale'!$C:$C,$K60,'Other Sale'!$A:$A,$A60)))))</f>
        <v/>
      </c>
      <c r="G60" s="330" t="str" cm="1">
        <f t="array" ref="G60">IF($A60="","",IF($K60="Payment",IFERROR(INDEX(_xlfn._xlws.FILTER(MasterPaid[Amount Paid],(MasterPaid[Customer]=$B60)*(MasterPaid[Date]=$A60)),COUNTIFS($A$6:$A60,$A60,$B$6:$B60,$B60,$K$6:$K60,"Payment")),0),0))</f>
        <v/>
      </c>
      <c r="H60" s="331"/>
      <c r="I60" s="331"/>
      <c r="J60" s="330" t="str">
        <f t="shared" si="0"/>
        <v/>
      </c>
      <c r="K60" s="289" t="str" cm="1">
        <f t="array" ref="K60">IFERROR(INDEX(_xlfn.ANCHORARRAY($Q$6),ROW()-5,4),"")</f>
        <v/>
      </c>
      <c r="L60" s="290"/>
      <c r="U60">
        <f>IF(OR($A60="",$F60=""),0,MAX(0,MIN($F60,SUMIFS($F$6:$F60,$B$6:$B60,$B60)-(SUMIFS($G$6:$G$355,$B$6:$B$355,$B60)+SUMIFS($H$6:$H$355,$B$6:$B$355,$B60)+SUMIFS($I$6:$I$355,$B$6:$B$355,$B60)))))</f>
        <v>0</v>
      </c>
    </row>
    <row r="61" spans="1:21" ht="23" x14ac:dyDescent="0.25">
      <c r="A61" s="217" t="str" cm="1">
        <f t="array" ref="A61">IFERROR(INDEX(_xlfn.ANCHORARRAY($Q$6),ROW()-5,1),"")</f>
        <v/>
      </c>
      <c r="B61" s="288" t="str" cm="1">
        <f t="array" ref="B61">IFERROR(INDEX(_xlfn.ANCHORARRAY($Q$6),ROW()-5,2),"")</f>
        <v/>
      </c>
      <c r="C61" s="289" t="str" cm="1">
        <f t="array" ref="C61">IFERROR(INDEX(_xlfn.ANCHORARRAY($Q$6),ROW()-5,3),"")</f>
        <v/>
      </c>
      <c r="D61" s="218" t="str">
        <f>IF($A61="","",IF($K61="DIESEL",SUMIFS(Table1[Quantity],Table1[Customer],$B61,Table1[Date],$A61,Table1[Bill No.],$C61),IF($K61="PETROL",SUMIFS(Table14[Quantity],Table14[Customer],$B61,Table14[Date],$A61,Table14[Bill No.],$C61),IF($K61="XtraGreen",SUMIFS(Table146[Quantity],Table146[Company],$B61,Table146[Date],$A61,Table146[Bill No.],$C61),""))))</f>
        <v/>
      </c>
      <c r="E61" s="219" t="str">
        <f>IF($A61="","",IF($K61="DIESEL",AVERAGEIFS(Table1[RSP],Table1[Customer],$B61,Table1[Date],$A61,Table1[Bill No.],$C61),IF($K61="PETROL",AVERAGEIFS(Table14[RSP],Table14[Customer],$B61,Table14[Date],$A61,Table14[Bill No.],$C61),IF($K61="XtraGreen",AVERAGEIFS(Table146[RSP],Table146[Company],$B61,Table146[Date],$A61,Table146[Bill No.],$C61),IFERROR($F61/$D61,"")))))</f>
        <v/>
      </c>
      <c r="F61" s="330" t="str">
        <f>IF($A61="","",IF($K61="DIESEL",SUMIFS(Table1[Amount],Table1[Customer],$B61,Table1[Date],$A61,Table1[Bill No.],$C61),IF($K61="PETROL",SUMIFS(Table14[Amount],Table14[Customer],$B61,Table14[Date],$A61,Table14[Bill No.],$C61),IF($K61="XtraGreen",SUMIFS(Table146[Amount],Table146[Company],$B61,Table146[Date],$A61,Table146[Bill No.],$C61),SUMIFS('Other Sale'!$D:$D,'Other Sale'!$E:$E,$B61,'Other Sale'!$C:$C,$K61,'Other Sale'!$A:$A,$A61)))))</f>
        <v/>
      </c>
      <c r="G61" s="330" t="str" cm="1">
        <f t="array" ref="G61">IF($A61="","",IF($K61="Payment",IFERROR(INDEX(_xlfn._xlws.FILTER(MasterPaid[Amount Paid],(MasterPaid[Customer]=$B61)*(MasterPaid[Date]=$A61)),COUNTIFS($A$6:$A61,$A61,$B$6:$B61,$B61,$K$6:$K61,"Payment")),0),0))</f>
        <v/>
      </c>
      <c r="H61" s="331"/>
      <c r="I61" s="331"/>
      <c r="J61" s="330" t="str">
        <f t="shared" si="0"/>
        <v/>
      </c>
      <c r="K61" s="289" t="str" cm="1">
        <f t="array" ref="K61">IFERROR(INDEX(_xlfn.ANCHORARRAY($Q$6),ROW()-5,4),"")</f>
        <v/>
      </c>
      <c r="L61" s="290"/>
      <c r="U61">
        <f>IF(OR($A61="",$F61=""),0,MAX(0,MIN($F61,SUMIFS($F$6:$F61,$B$6:$B61,$B61)-(SUMIFS($G$6:$G$355,$B$6:$B$355,$B61)+SUMIFS($H$6:$H$355,$B$6:$B$355,$B61)+SUMIFS($I$6:$I$355,$B$6:$B$355,$B61)))))</f>
        <v>0</v>
      </c>
    </row>
    <row r="62" spans="1:21" ht="23" x14ac:dyDescent="0.25">
      <c r="A62" s="217" t="str" cm="1">
        <f t="array" ref="A62">IFERROR(INDEX(_xlfn.ANCHORARRAY($Q$6),ROW()-5,1),"")</f>
        <v/>
      </c>
      <c r="B62" s="288" t="str" cm="1">
        <f t="array" ref="B62">IFERROR(INDEX(_xlfn.ANCHORARRAY($Q$6),ROW()-5,2),"")</f>
        <v/>
      </c>
      <c r="C62" s="289" t="str" cm="1">
        <f t="array" ref="C62">IFERROR(INDEX(_xlfn.ANCHORARRAY($Q$6),ROW()-5,3),"")</f>
        <v/>
      </c>
      <c r="D62" s="218" t="str">
        <f>IF($A62="","",IF($K62="DIESEL",SUMIFS(Table1[Quantity],Table1[Customer],$B62,Table1[Date],$A62,Table1[Bill No.],$C62),IF($K62="PETROL",SUMIFS(Table14[Quantity],Table14[Customer],$B62,Table14[Date],$A62,Table14[Bill No.],$C62),IF($K62="XtraGreen",SUMIFS(Table146[Quantity],Table146[Company],$B62,Table146[Date],$A62,Table146[Bill No.],$C62),""))))</f>
        <v/>
      </c>
      <c r="E62" s="219" t="str">
        <f>IF($A62="","",IF($K62="DIESEL",AVERAGEIFS(Table1[RSP],Table1[Customer],$B62,Table1[Date],$A62,Table1[Bill No.],$C62),IF($K62="PETROL",AVERAGEIFS(Table14[RSP],Table14[Customer],$B62,Table14[Date],$A62,Table14[Bill No.],$C62),IF($K62="XtraGreen",AVERAGEIFS(Table146[RSP],Table146[Company],$B62,Table146[Date],$A62,Table146[Bill No.],$C62),IFERROR($F62/$D62,"")))))</f>
        <v/>
      </c>
      <c r="F62" s="330" t="str">
        <f>IF($A62="","",IF($K62="DIESEL",SUMIFS(Table1[Amount],Table1[Customer],$B62,Table1[Date],$A62,Table1[Bill No.],$C62),IF($K62="PETROL",SUMIFS(Table14[Amount],Table14[Customer],$B62,Table14[Date],$A62,Table14[Bill No.],$C62),IF($K62="XtraGreen",SUMIFS(Table146[Amount],Table146[Company],$B62,Table146[Date],$A62,Table146[Bill No.],$C62),SUMIFS('Other Sale'!$D:$D,'Other Sale'!$E:$E,$B62,'Other Sale'!$C:$C,$K62,'Other Sale'!$A:$A,$A62)))))</f>
        <v/>
      </c>
      <c r="G62" s="330" t="str" cm="1">
        <f t="array" ref="G62">IF($A62="","",IF($K62="Payment",IFERROR(INDEX(_xlfn._xlws.FILTER(MasterPaid[Amount Paid],(MasterPaid[Customer]=$B62)*(MasterPaid[Date]=$A62)),COUNTIFS($A$6:$A62,$A62,$B$6:$B62,$B62,$K$6:$K62,"Payment")),0),0))</f>
        <v/>
      </c>
      <c r="H62" s="331"/>
      <c r="I62" s="331"/>
      <c r="J62" s="330" t="str">
        <f t="shared" si="0"/>
        <v/>
      </c>
      <c r="K62" s="289" t="str" cm="1">
        <f t="array" ref="K62">IFERROR(INDEX(_xlfn.ANCHORARRAY($Q$6),ROW()-5,4),"")</f>
        <v/>
      </c>
      <c r="L62" s="290"/>
      <c r="U62">
        <f>IF(OR($A62="",$F62=""),0,MAX(0,MIN($F62,SUMIFS($F$6:$F62,$B$6:$B62,$B62)-(SUMIFS($G$6:$G$355,$B$6:$B$355,$B62)+SUMIFS($H$6:$H$355,$B$6:$B$355,$B62)+SUMIFS($I$6:$I$355,$B$6:$B$355,$B62)))))</f>
        <v>0</v>
      </c>
    </row>
    <row r="63" spans="1:21" ht="23" x14ac:dyDescent="0.25">
      <c r="A63" s="217" t="str" cm="1">
        <f t="array" ref="A63">IFERROR(INDEX(_xlfn.ANCHORARRAY($Q$6),ROW()-5,1),"")</f>
        <v/>
      </c>
      <c r="B63" s="288" t="str" cm="1">
        <f t="array" ref="B63">IFERROR(INDEX(_xlfn.ANCHORARRAY($Q$6),ROW()-5,2),"")</f>
        <v/>
      </c>
      <c r="C63" s="289" t="str" cm="1">
        <f t="array" ref="C63">IFERROR(INDEX(_xlfn.ANCHORARRAY($Q$6),ROW()-5,3),"")</f>
        <v/>
      </c>
      <c r="D63" s="218" t="str">
        <f>IF($A63="","",IF($K63="DIESEL",SUMIFS(Table1[Quantity],Table1[Customer],$B63,Table1[Date],$A63,Table1[Bill No.],$C63),IF($K63="PETROL",SUMIFS(Table14[Quantity],Table14[Customer],$B63,Table14[Date],$A63,Table14[Bill No.],$C63),IF($K63="XtraGreen",SUMIFS(Table146[Quantity],Table146[Company],$B63,Table146[Date],$A63,Table146[Bill No.],$C63),""))))</f>
        <v/>
      </c>
      <c r="E63" s="219" t="str">
        <f>IF($A63="","",IF($K63="DIESEL",AVERAGEIFS(Table1[RSP],Table1[Customer],$B63,Table1[Date],$A63,Table1[Bill No.],$C63),IF($K63="PETROL",AVERAGEIFS(Table14[RSP],Table14[Customer],$B63,Table14[Date],$A63,Table14[Bill No.],$C63),IF($K63="XtraGreen",AVERAGEIFS(Table146[RSP],Table146[Company],$B63,Table146[Date],$A63,Table146[Bill No.],$C63),IFERROR($F63/$D63,"")))))</f>
        <v/>
      </c>
      <c r="F63" s="330" t="str">
        <f>IF($A63="","",IF($K63="DIESEL",SUMIFS(Table1[Amount],Table1[Customer],$B63,Table1[Date],$A63,Table1[Bill No.],$C63),IF($K63="PETROL",SUMIFS(Table14[Amount],Table14[Customer],$B63,Table14[Date],$A63,Table14[Bill No.],$C63),IF($K63="XtraGreen",SUMIFS(Table146[Amount],Table146[Company],$B63,Table146[Date],$A63,Table146[Bill No.],$C63),SUMIFS('Other Sale'!$D:$D,'Other Sale'!$E:$E,$B63,'Other Sale'!$C:$C,$K63,'Other Sale'!$A:$A,$A63)))))</f>
        <v/>
      </c>
      <c r="G63" s="330" t="str" cm="1">
        <f t="array" ref="G63">IF($A63="","",IF($K63="Payment",IFERROR(INDEX(_xlfn._xlws.FILTER(MasterPaid[Amount Paid],(MasterPaid[Customer]=$B63)*(MasterPaid[Date]=$A63)),COUNTIFS($A$6:$A63,$A63,$B$6:$B63,$B63,$K$6:$K63,"Payment")),0),0))</f>
        <v/>
      </c>
      <c r="H63" s="331"/>
      <c r="I63" s="331"/>
      <c r="J63" s="330" t="str">
        <f t="shared" si="0"/>
        <v/>
      </c>
      <c r="K63" s="289" t="str" cm="1">
        <f t="array" ref="K63">IFERROR(INDEX(_xlfn.ANCHORARRAY($Q$6),ROW()-5,4),"")</f>
        <v/>
      </c>
      <c r="L63" s="290"/>
      <c r="U63">
        <f>IF(OR($A63="",$F63=""),0,MAX(0,MIN($F63,SUMIFS($F$6:$F63,$B$6:$B63,$B63)-(SUMIFS($G$6:$G$355,$B$6:$B$355,$B63)+SUMIFS($H$6:$H$355,$B$6:$B$355,$B63)+SUMIFS($I$6:$I$355,$B$6:$B$355,$B63)))))</f>
        <v>0</v>
      </c>
    </row>
    <row r="64" spans="1:21" ht="23" x14ac:dyDescent="0.25">
      <c r="A64" s="217" t="str" cm="1">
        <f t="array" ref="A64">IFERROR(INDEX(_xlfn.ANCHORARRAY($Q$6),ROW()-5,1),"")</f>
        <v/>
      </c>
      <c r="B64" s="288" t="str" cm="1">
        <f t="array" ref="B64">IFERROR(INDEX(_xlfn.ANCHORARRAY($Q$6),ROW()-5,2),"")</f>
        <v/>
      </c>
      <c r="C64" s="289" t="str" cm="1">
        <f t="array" ref="C64">IFERROR(INDEX(_xlfn.ANCHORARRAY($Q$6),ROW()-5,3),"")</f>
        <v/>
      </c>
      <c r="D64" s="218" t="str">
        <f>IF($A64="","",IF($K64="DIESEL",SUMIFS(Table1[Quantity],Table1[Customer],$B64,Table1[Date],$A64,Table1[Bill No.],$C64),IF($K64="PETROL",SUMIFS(Table14[Quantity],Table14[Customer],$B64,Table14[Date],$A64,Table14[Bill No.],$C64),IF($K64="XtraGreen",SUMIFS(Table146[Quantity],Table146[Company],$B64,Table146[Date],$A64,Table146[Bill No.],$C64),""))))</f>
        <v/>
      </c>
      <c r="E64" s="219" t="str">
        <f>IF($A64="","",IF($K64="DIESEL",AVERAGEIFS(Table1[RSP],Table1[Customer],$B64,Table1[Date],$A64,Table1[Bill No.],$C64),IF($K64="PETROL",AVERAGEIFS(Table14[RSP],Table14[Customer],$B64,Table14[Date],$A64,Table14[Bill No.],$C64),IF($K64="XtraGreen",AVERAGEIFS(Table146[RSP],Table146[Company],$B64,Table146[Date],$A64,Table146[Bill No.],$C64),IFERROR($F64/$D64,"")))))</f>
        <v/>
      </c>
      <c r="F64" s="330" t="str">
        <f>IF($A64="","",IF($K64="DIESEL",SUMIFS(Table1[Amount],Table1[Customer],$B64,Table1[Date],$A64,Table1[Bill No.],$C64),IF($K64="PETROL",SUMIFS(Table14[Amount],Table14[Customer],$B64,Table14[Date],$A64,Table14[Bill No.],$C64),IF($K64="XtraGreen",SUMIFS(Table146[Amount],Table146[Company],$B64,Table146[Date],$A64,Table146[Bill No.],$C64),SUMIFS('Other Sale'!$D:$D,'Other Sale'!$E:$E,$B64,'Other Sale'!$C:$C,$K64,'Other Sale'!$A:$A,$A64)))))</f>
        <v/>
      </c>
      <c r="G64" s="330" t="str" cm="1">
        <f t="array" ref="G64">IF($A64="","",IF($K64="Payment",IFERROR(INDEX(_xlfn._xlws.FILTER(MasterPaid[Amount Paid],(MasterPaid[Customer]=$B64)*(MasterPaid[Date]=$A64)),COUNTIFS($A$6:$A64,$A64,$B$6:$B64,$B64,$K$6:$K64,"Payment")),0),0))</f>
        <v/>
      </c>
      <c r="H64" s="331"/>
      <c r="I64" s="331"/>
      <c r="J64" s="330" t="str">
        <f t="shared" si="0"/>
        <v/>
      </c>
      <c r="K64" s="289" t="str" cm="1">
        <f t="array" ref="K64">IFERROR(INDEX(_xlfn.ANCHORARRAY($Q$6),ROW()-5,4),"")</f>
        <v/>
      </c>
      <c r="L64" s="290"/>
      <c r="U64">
        <f>IF(OR($A64="",$F64=""),0,MAX(0,MIN($F64,SUMIFS($F$6:$F64,$B$6:$B64,$B64)-(SUMIFS($G$6:$G$355,$B$6:$B$355,$B64)+SUMIFS($H$6:$H$355,$B$6:$B$355,$B64)+SUMIFS($I$6:$I$355,$B$6:$B$355,$B64)))))</f>
        <v>0</v>
      </c>
    </row>
    <row r="65" spans="1:21" ht="23" x14ac:dyDescent="0.25">
      <c r="A65" s="217" t="str" cm="1">
        <f t="array" ref="A65">IFERROR(INDEX(_xlfn.ANCHORARRAY($Q$6),ROW()-5,1),"")</f>
        <v/>
      </c>
      <c r="B65" s="288" t="str" cm="1">
        <f t="array" ref="B65">IFERROR(INDEX(_xlfn.ANCHORARRAY($Q$6),ROW()-5,2),"")</f>
        <v/>
      </c>
      <c r="C65" s="289" t="str" cm="1">
        <f t="array" ref="C65">IFERROR(INDEX(_xlfn.ANCHORARRAY($Q$6),ROW()-5,3),"")</f>
        <v/>
      </c>
      <c r="D65" s="218" t="str">
        <f>IF($A65="","",IF($K65="DIESEL",SUMIFS(Table1[Quantity],Table1[Customer],$B65,Table1[Date],$A65,Table1[Bill No.],$C65),IF($K65="PETROL",SUMIFS(Table14[Quantity],Table14[Customer],$B65,Table14[Date],$A65,Table14[Bill No.],$C65),IF($K65="XtraGreen",SUMIFS(Table146[Quantity],Table146[Company],$B65,Table146[Date],$A65,Table146[Bill No.],$C65),""))))</f>
        <v/>
      </c>
      <c r="E65" s="219" t="str">
        <f>IF($A65="","",IF($K65="DIESEL",AVERAGEIFS(Table1[RSP],Table1[Customer],$B65,Table1[Date],$A65,Table1[Bill No.],$C65),IF($K65="PETROL",AVERAGEIFS(Table14[RSP],Table14[Customer],$B65,Table14[Date],$A65,Table14[Bill No.],$C65),IF($K65="XtraGreen",AVERAGEIFS(Table146[RSP],Table146[Company],$B65,Table146[Date],$A65,Table146[Bill No.],$C65),IFERROR($F65/$D65,"")))))</f>
        <v/>
      </c>
      <c r="F65" s="330" t="str">
        <f>IF($A65="","",IF($K65="DIESEL",SUMIFS(Table1[Amount],Table1[Customer],$B65,Table1[Date],$A65,Table1[Bill No.],$C65),IF($K65="PETROL",SUMIFS(Table14[Amount],Table14[Customer],$B65,Table14[Date],$A65,Table14[Bill No.],$C65),IF($K65="XtraGreen",SUMIFS(Table146[Amount],Table146[Company],$B65,Table146[Date],$A65,Table146[Bill No.],$C65),SUMIFS('Other Sale'!$D:$D,'Other Sale'!$E:$E,$B65,'Other Sale'!$C:$C,$K65,'Other Sale'!$A:$A,$A65)))))</f>
        <v/>
      </c>
      <c r="G65" s="330" t="str" cm="1">
        <f t="array" ref="G65">IF($A65="","",IF($K65="Payment",IFERROR(INDEX(_xlfn._xlws.FILTER(MasterPaid[Amount Paid],(MasterPaid[Customer]=$B65)*(MasterPaid[Date]=$A65)),COUNTIFS($A$6:$A65,$A65,$B$6:$B65,$B65,$K$6:$K65,"Payment")),0),0))</f>
        <v/>
      </c>
      <c r="H65" s="331"/>
      <c r="I65" s="331"/>
      <c r="J65" s="330" t="str">
        <f t="shared" si="0"/>
        <v/>
      </c>
      <c r="K65" s="289" t="str" cm="1">
        <f t="array" ref="K65">IFERROR(INDEX(_xlfn.ANCHORARRAY($Q$6),ROW()-5,4),"")</f>
        <v/>
      </c>
      <c r="L65" s="290"/>
      <c r="U65">
        <f>IF(OR($A65="",$F65=""),0,MAX(0,MIN($F65,SUMIFS($F$6:$F65,$B$6:$B65,$B65)-(SUMIFS($G$6:$G$355,$B$6:$B$355,$B65)+SUMIFS($H$6:$H$355,$B$6:$B$355,$B65)+SUMIFS($I$6:$I$355,$B$6:$B$355,$B65)))))</f>
        <v>0</v>
      </c>
    </row>
    <row r="66" spans="1:21" ht="23" x14ac:dyDescent="0.25">
      <c r="A66" s="217" t="str" cm="1">
        <f t="array" ref="A66">IFERROR(INDEX(_xlfn.ANCHORARRAY($Q$6),ROW()-5,1),"")</f>
        <v/>
      </c>
      <c r="B66" s="288" t="str" cm="1">
        <f t="array" ref="B66">IFERROR(INDEX(_xlfn.ANCHORARRAY($Q$6),ROW()-5,2),"")</f>
        <v/>
      </c>
      <c r="C66" s="289" t="str" cm="1">
        <f t="array" ref="C66">IFERROR(INDEX(_xlfn.ANCHORARRAY($Q$6),ROW()-5,3),"")</f>
        <v/>
      </c>
      <c r="D66" s="218" t="str">
        <f>IF($A66="","",IF($K66="DIESEL",SUMIFS(Table1[Quantity],Table1[Customer],$B66,Table1[Date],$A66,Table1[Bill No.],$C66),IF($K66="PETROL",SUMIFS(Table14[Quantity],Table14[Customer],$B66,Table14[Date],$A66,Table14[Bill No.],$C66),IF($K66="XtraGreen",SUMIFS(Table146[Quantity],Table146[Company],$B66,Table146[Date],$A66,Table146[Bill No.],$C66),""))))</f>
        <v/>
      </c>
      <c r="E66" s="219" t="str">
        <f>IF($A66="","",IF($K66="DIESEL",AVERAGEIFS(Table1[RSP],Table1[Customer],$B66,Table1[Date],$A66,Table1[Bill No.],$C66),IF($K66="PETROL",AVERAGEIFS(Table14[RSP],Table14[Customer],$B66,Table14[Date],$A66,Table14[Bill No.],$C66),IF($K66="XtraGreen",AVERAGEIFS(Table146[RSP],Table146[Company],$B66,Table146[Date],$A66,Table146[Bill No.],$C66),IFERROR($F66/$D66,"")))))</f>
        <v/>
      </c>
      <c r="F66" s="330" t="str">
        <f>IF($A66="","",IF($K66="DIESEL",SUMIFS(Table1[Amount],Table1[Customer],$B66,Table1[Date],$A66,Table1[Bill No.],$C66),IF($K66="PETROL",SUMIFS(Table14[Amount],Table14[Customer],$B66,Table14[Date],$A66,Table14[Bill No.],$C66),IF($K66="XtraGreen",SUMIFS(Table146[Amount],Table146[Company],$B66,Table146[Date],$A66,Table146[Bill No.],$C66),SUMIFS('Other Sale'!$D:$D,'Other Sale'!$E:$E,$B66,'Other Sale'!$C:$C,$K66,'Other Sale'!$A:$A,$A66)))))</f>
        <v/>
      </c>
      <c r="G66" s="330" t="str" cm="1">
        <f t="array" ref="G66">IF($A66="","",IF($K66="Payment",IFERROR(INDEX(_xlfn._xlws.FILTER(MasterPaid[Amount Paid],(MasterPaid[Customer]=$B66)*(MasterPaid[Date]=$A66)),COUNTIFS($A$6:$A66,$A66,$B$6:$B66,$B66,$K$6:$K66,"Payment")),0),0))</f>
        <v/>
      </c>
      <c r="H66" s="331"/>
      <c r="I66" s="331"/>
      <c r="J66" s="330" t="str">
        <f t="shared" si="0"/>
        <v/>
      </c>
      <c r="K66" s="289" t="str" cm="1">
        <f t="array" ref="K66">IFERROR(INDEX(_xlfn.ANCHORARRAY($Q$6),ROW()-5,4),"")</f>
        <v/>
      </c>
      <c r="L66" s="290"/>
      <c r="U66">
        <f>IF(OR($A66="",$F66=""),0,MAX(0,MIN($F66,SUMIFS($F$6:$F66,$B$6:$B66,$B66)-(SUMIFS($G$6:$G$355,$B$6:$B$355,$B66)+SUMIFS($H$6:$H$355,$B$6:$B$355,$B66)+SUMIFS($I$6:$I$355,$B$6:$B$355,$B66)))))</f>
        <v>0</v>
      </c>
    </row>
    <row r="67" spans="1:21" ht="23" x14ac:dyDescent="0.25">
      <c r="A67" s="217" t="str" cm="1">
        <f t="array" ref="A67">IFERROR(INDEX(_xlfn.ANCHORARRAY($Q$6),ROW()-5,1),"")</f>
        <v/>
      </c>
      <c r="B67" s="288" t="str" cm="1">
        <f t="array" ref="B67">IFERROR(INDEX(_xlfn.ANCHORARRAY($Q$6),ROW()-5,2),"")</f>
        <v/>
      </c>
      <c r="C67" s="289" t="str" cm="1">
        <f t="array" ref="C67">IFERROR(INDEX(_xlfn.ANCHORARRAY($Q$6),ROW()-5,3),"")</f>
        <v/>
      </c>
      <c r="D67" s="218" t="str">
        <f>IF($A67="","",IF($K67="DIESEL",SUMIFS(Table1[Quantity],Table1[Customer],$B67,Table1[Date],$A67,Table1[Bill No.],$C67),IF($K67="PETROL",SUMIFS(Table14[Quantity],Table14[Customer],$B67,Table14[Date],$A67,Table14[Bill No.],$C67),IF($K67="XtraGreen",SUMIFS(Table146[Quantity],Table146[Company],$B67,Table146[Date],$A67,Table146[Bill No.],$C67),""))))</f>
        <v/>
      </c>
      <c r="E67" s="219" t="str">
        <f>IF($A67="","",IF($K67="DIESEL",AVERAGEIFS(Table1[RSP],Table1[Customer],$B67,Table1[Date],$A67,Table1[Bill No.],$C67),IF($K67="PETROL",AVERAGEIFS(Table14[RSP],Table14[Customer],$B67,Table14[Date],$A67,Table14[Bill No.],$C67),IF($K67="XtraGreen",AVERAGEIFS(Table146[RSP],Table146[Company],$B67,Table146[Date],$A67,Table146[Bill No.],$C67),IFERROR($F67/$D67,"")))))</f>
        <v/>
      </c>
      <c r="F67" s="330" t="str">
        <f>IF($A67="","",IF($K67="DIESEL",SUMIFS(Table1[Amount],Table1[Customer],$B67,Table1[Date],$A67,Table1[Bill No.],$C67),IF($K67="PETROL",SUMIFS(Table14[Amount],Table14[Customer],$B67,Table14[Date],$A67,Table14[Bill No.],$C67),IF($K67="XtraGreen",SUMIFS(Table146[Amount],Table146[Company],$B67,Table146[Date],$A67,Table146[Bill No.],$C67),SUMIFS('Other Sale'!$D:$D,'Other Sale'!$E:$E,$B67,'Other Sale'!$C:$C,$K67,'Other Sale'!$A:$A,$A67)))))</f>
        <v/>
      </c>
      <c r="G67" s="330" t="str" cm="1">
        <f t="array" ref="G67">IF($A67="","",IF($K67="Payment",IFERROR(INDEX(_xlfn._xlws.FILTER(MasterPaid[Amount Paid],(MasterPaid[Customer]=$B67)*(MasterPaid[Date]=$A67)),COUNTIFS($A$6:$A67,$A67,$B$6:$B67,$B67,$K$6:$K67,"Payment")),0),0))</f>
        <v/>
      </c>
      <c r="H67" s="331"/>
      <c r="I67" s="331"/>
      <c r="J67" s="330" t="str">
        <f t="shared" si="0"/>
        <v/>
      </c>
      <c r="K67" s="289" t="str" cm="1">
        <f t="array" ref="K67">IFERROR(INDEX(_xlfn.ANCHORARRAY($Q$6),ROW()-5,4),"")</f>
        <v/>
      </c>
      <c r="L67" s="290"/>
      <c r="U67">
        <f>IF(OR($A67="",$F67=""),0,MAX(0,MIN($F67,SUMIFS($F$6:$F67,$B$6:$B67,$B67)-(SUMIFS($G$6:$G$355,$B$6:$B$355,$B67)+SUMIFS($H$6:$H$355,$B$6:$B$355,$B67)+SUMIFS($I$6:$I$355,$B$6:$B$355,$B67)))))</f>
        <v>0</v>
      </c>
    </row>
    <row r="68" spans="1:21" ht="23" x14ac:dyDescent="0.25">
      <c r="A68" s="217" t="str" cm="1">
        <f t="array" ref="A68">IFERROR(INDEX(_xlfn.ANCHORARRAY($Q$6),ROW()-5,1),"")</f>
        <v/>
      </c>
      <c r="B68" s="288" t="str" cm="1">
        <f t="array" ref="B68">IFERROR(INDEX(_xlfn.ANCHORARRAY($Q$6),ROW()-5,2),"")</f>
        <v/>
      </c>
      <c r="C68" s="289" t="str" cm="1">
        <f t="array" ref="C68">IFERROR(INDEX(_xlfn.ANCHORARRAY($Q$6),ROW()-5,3),"")</f>
        <v/>
      </c>
      <c r="D68" s="218" t="str">
        <f>IF($A68="","",IF($K68="DIESEL",SUMIFS(Table1[Quantity],Table1[Customer],$B68,Table1[Date],$A68,Table1[Bill No.],$C68),IF($K68="PETROL",SUMIFS(Table14[Quantity],Table14[Customer],$B68,Table14[Date],$A68,Table14[Bill No.],$C68),IF($K68="XtraGreen",SUMIFS(Table146[Quantity],Table146[Company],$B68,Table146[Date],$A68,Table146[Bill No.],$C68),""))))</f>
        <v/>
      </c>
      <c r="E68" s="219" t="str">
        <f>IF($A68="","",IF($K68="DIESEL",AVERAGEIFS(Table1[RSP],Table1[Customer],$B68,Table1[Date],$A68,Table1[Bill No.],$C68),IF($K68="PETROL",AVERAGEIFS(Table14[RSP],Table14[Customer],$B68,Table14[Date],$A68,Table14[Bill No.],$C68),IF($K68="XtraGreen",AVERAGEIFS(Table146[RSP],Table146[Company],$B68,Table146[Date],$A68,Table146[Bill No.],$C68),IFERROR($F68/$D68,"")))))</f>
        <v/>
      </c>
      <c r="F68" s="330" t="str">
        <f>IF($A68="","",IF($K68="DIESEL",SUMIFS(Table1[Amount],Table1[Customer],$B68,Table1[Date],$A68,Table1[Bill No.],$C68),IF($K68="PETROL",SUMIFS(Table14[Amount],Table14[Customer],$B68,Table14[Date],$A68,Table14[Bill No.],$C68),IF($K68="XtraGreen",SUMIFS(Table146[Amount],Table146[Company],$B68,Table146[Date],$A68,Table146[Bill No.],$C68),SUMIFS('Other Sale'!$D:$D,'Other Sale'!$E:$E,$B68,'Other Sale'!$C:$C,$K68,'Other Sale'!$A:$A,$A68)))))</f>
        <v/>
      </c>
      <c r="G68" s="330" t="str" cm="1">
        <f t="array" ref="G68">IF($A68="","",IF($K68="Payment",IFERROR(INDEX(_xlfn._xlws.FILTER(MasterPaid[Amount Paid],(MasterPaid[Customer]=$B68)*(MasterPaid[Date]=$A68)),COUNTIFS($A$6:$A68,$A68,$B$6:$B68,$B68,$K$6:$K68,"Payment")),0),0))</f>
        <v/>
      </c>
      <c r="H68" s="331"/>
      <c r="I68" s="331"/>
      <c r="J68" s="330" t="str">
        <f t="shared" si="0"/>
        <v/>
      </c>
      <c r="K68" s="289" t="str" cm="1">
        <f t="array" ref="K68">IFERROR(INDEX(_xlfn.ANCHORARRAY($Q$6),ROW()-5,4),"")</f>
        <v/>
      </c>
      <c r="L68" s="290"/>
      <c r="U68">
        <f>IF(OR($A68="",$F68=""),0,MAX(0,MIN($F68,SUMIFS($F$6:$F68,$B$6:$B68,$B68)-(SUMIFS($G$6:$G$355,$B$6:$B$355,$B68)+SUMIFS($H$6:$H$355,$B$6:$B$355,$B68)+SUMIFS($I$6:$I$355,$B$6:$B$355,$B68)))))</f>
        <v>0</v>
      </c>
    </row>
    <row r="69" spans="1:21" ht="23" x14ac:dyDescent="0.25">
      <c r="A69" s="217" t="str" cm="1">
        <f t="array" ref="A69">IFERROR(INDEX(_xlfn.ANCHORARRAY($Q$6),ROW()-5,1),"")</f>
        <v/>
      </c>
      <c r="B69" s="288" t="str" cm="1">
        <f t="array" ref="B69">IFERROR(INDEX(_xlfn.ANCHORARRAY($Q$6),ROW()-5,2),"")</f>
        <v/>
      </c>
      <c r="C69" s="289" t="str" cm="1">
        <f t="array" ref="C69">IFERROR(INDEX(_xlfn.ANCHORARRAY($Q$6),ROW()-5,3),"")</f>
        <v/>
      </c>
      <c r="D69" s="218" t="str">
        <f>IF($A69="","",IF($K69="DIESEL",SUMIFS(Table1[Quantity],Table1[Customer],$B69,Table1[Date],$A69,Table1[Bill No.],$C69),IF($K69="PETROL",SUMIFS(Table14[Quantity],Table14[Customer],$B69,Table14[Date],$A69,Table14[Bill No.],$C69),IF($K69="XtraGreen",SUMIFS(Table146[Quantity],Table146[Company],$B69,Table146[Date],$A69,Table146[Bill No.],$C69),""))))</f>
        <v/>
      </c>
      <c r="E69" s="219" t="str">
        <f>IF($A69="","",IF($K69="DIESEL",AVERAGEIFS(Table1[RSP],Table1[Customer],$B69,Table1[Date],$A69,Table1[Bill No.],$C69),IF($K69="PETROL",AVERAGEIFS(Table14[RSP],Table14[Customer],$B69,Table14[Date],$A69,Table14[Bill No.],$C69),IF($K69="XtraGreen",AVERAGEIFS(Table146[RSP],Table146[Company],$B69,Table146[Date],$A69,Table146[Bill No.],$C69),IFERROR($F69/$D69,"")))))</f>
        <v/>
      </c>
      <c r="F69" s="330" t="str">
        <f>IF($A69="","",IF($K69="DIESEL",SUMIFS(Table1[Amount],Table1[Customer],$B69,Table1[Date],$A69,Table1[Bill No.],$C69),IF($K69="PETROL",SUMIFS(Table14[Amount],Table14[Customer],$B69,Table14[Date],$A69,Table14[Bill No.],$C69),IF($K69="XtraGreen",SUMIFS(Table146[Amount],Table146[Company],$B69,Table146[Date],$A69,Table146[Bill No.],$C69),SUMIFS('Other Sale'!$D:$D,'Other Sale'!$E:$E,$B69,'Other Sale'!$C:$C,$K69,'Other Sale'!$A:$A,$A69)))))</f>
        <v/>
      </c>
      <c r="G69" s="330" t="str" cm="1">
        <f t="array" ref="G69">IF($A69="","",IF($K69="Payment",IFERROR(INDEX(_xlfn._xlws.FILTER(MasterPaid[Amount Paid],(MasterPaid[Customer]=$B69)*(MasterPaid[Date]=$A69)),COUNTIFS($A$6:$A69,$A69,$B$6:$B69,$B69,$K$6:$K69,"Payment")),0),0))</f>
        <v/>
      </c>
      <c r="H69" s="331"/>
      <c r="I69" s="331"/>
      <c r="J69" s="330" t="str">
        <f t="shared" si="0"/>
        <v/>
      </c>
      <c r="K69" s="289" t="str" cm="1">
        <f t="array" ref="K69">IFERROR(INDEX(_xlfn.ANCHORARRAY($Q$6),ROW()-5,4),"")</f>
        <v/>
      </c>
      <c r="L69" s="290"/>
      <c r="U69">
        <f>IF(OR($A69="",$F69=""),0,MAX(0,MIN($F69,SUMIFS($F$6:$F69,$B$6:$B69,$B69)-(SUMIFS($G$6:$G$355,$B$6:$B$355,$B69)+SUMIFS($H$6:$H$355,$B$6:$B$355,$B69)+SUMIFS($I$6:$I$355,$B$6:$B$355,$B69)))))</f>
        <v>0</v>
      </c>
    </row>
    <row r="70" spans="1:21" ht="23" x14ac:dyDescent="0.25">
      <c r="A70" s="217" t="str" cm="1">
        <f t="array" ref="A70">IFERROR(INDEX(_xlfn.ANCHORARRAY($Q$6),ROW()-5,1),"")</f>
        <v/>
      </c>
      <c r="B70" s="288" t="str" cm="1">
        <f t="array" ref="B70">IFERROR(INDEX(_xlfn.ANCHORARRAY($Q$6),ROW()-5,2),"")</f>
        <v/>
      </c>
      <c r="C70" s="289" t="str" cm="1">
        <f t="array" ref="C70">IFERROR(INDEX(_xlfn.ANCHORARRAY($Q$6),ROW()-5,3),"")</f>
        <v/>
      </c>
      <c r="D70" s="218" t="str">
        <f>IF($A70="","",IF($K70="DIESEL",SUMIFS(Table1[Quantity],Table1[Customer],$B70,Table1[Date],$A70,Table1[Bill No.],$C70),IF($K70="PETROL",SUMIFS(Table14[Quantity],Table14[Customer],$B70,Table14[Date],$A70,Table14[Bill No.],$C70),IF($K70="XtraGreen",SUMIFS(Table146[Quantity],Table146[Company],$B70,Table146[Date],$A70,Table146[Bill No.],$C70),""))))</f>
        <v/>
      </c>
      <c r="E70" s="219" t="str">
        <f>IF($A70="","",IF($K70="DIESEL",AVERAGEIFS(Table1[RSP],Table1[Customer],$B70,Table1[Date],$A70,Table1[Bill No.],$C70),IF($K70="PETROL",AVERAGEIFS(Table14[RSP],Table14[Customer],$B70,Table14[Date],$A70,Table14[Bill No.],$C70),IF($K70="XtraGreen",AVERAGEIFS(Table146[RSP],Table146[Company],$B70,Table146[Date],$A70,Table146[Bill No.],$C70),IFERROR($F70/$D70,"")))))</f>
        <v/>
      </c>
      <c r="F70" s="330" t="str">
        <f>IF($A70="","",IF($K70="DIESEL",SUMIFS(Table1[Amount],Table1[Customer],$B70,Table1[Date],$A70,Table1[Bill No.],$C70),IF($K70="PETROL",SUMIFS(Table14[Amount],Table14[Customer],$B70,Table14[Date],$A70,Table14[Bill No.],$C70),IF($K70="XtraGreen",SUMIFS(Table146[Amount],Table146[Company],$B70,Table146[Date],$A70,Table146[Bill No.],$C70),SUMIFS('Other Sale'!$D:$D,'Other Sale'!$E:$E,$B70,'Other Sale'!$C:$C,$K70,'Other Sale'!$A:$A,$A70)))))</f>
        <v/>
      </c>
      <c r="G70" s="330" t="str" cm="1">
        <f t="array" ref="G70">IF($A70="","",IF($K70="Payment",IFERROR(INDEX(_xlfn._xlws.FILTER(MasterPaid[Amount Paid],(MasterPaid[Customer]=$B70)*(MasterPaid[Date]=$A70)),COUNTIFS($A$6:$A70,$A70,$B$6:$B70,$B70,$K$6:$K70,"Payment")),0),0))</f>
        <v/>
      </c>
      <c r="H70" s="331"/>
      <c r="I70" s="331"/>
      <c r="J70" s="330" t="str">
        <f t="shared" si="0"/>
        <v/>
      </c>
      <c r="K70" s="289" t="str" cm="1">
        <f t="array" ref="K70">IFERROR(INDEX(_xlfn.ANCHORARRAY($Q$6),ROW()-5,4),"")</f>
        <v/>
      </c>
      <c r="L70" s="290"/>
      <c r="U70">
        <f>IF(OR($A70="",$F70=""),0,MAX(0,MIN($F70,SUMIFS($F$6:$F70,$B$6:$B70,$B70)-(SUMIFS($G$6:$G$355,$B$6:$B$355,$B70)+SUMIFS($H$6:$H$355,$B$6:$B$355,$B70)+SUMIFS($I$6:$I$355,$B$6:$B$355,$B70)))))</f>
        <v>0</v>
      </c>
    </row>
    <row r="71" spans="1:21" ht="23" x14ac:dyDescent="0.25">
      <c r="A71" s="217" t="str" cm="1">
        <f t="array" ref="A71">IFERROR(INDEX(_xlfn.ANCHORARRAY($Q$6),ROW()-5,1),"")</f>
        <v/>
      </c>
      <c r="B71" s="288" t="str" cm="1">
        <f t="array" ref="B71">IFERROR(INDEX(_xlfn.ANCHORARRAY($Q$6),ROW()-5,2),"")</f>
        <v/>
      </c>
      <c r="C71" s="289" t="str" cm="1">
        <f t="array" ref="C71">IFERROR(INDEX(_xlfn.ANCHORARRAY($Q$6),ROW()-5,3),"")</f>
        <v/>
      </c>
      <c r="D71" s="218" t="str">
        <f>IF($A71="","",IF($K71="DIESEL",SUMIFS(Table1[Quantity],Table1[Customer],$B71,Table1[Date],$A71,Table1[Bill No.],$C71),IF($K71="PETROL",SUMIFS(Table14[Quantity],Table14[Customer],$B71,Table14[Date],$A71,Table14[Bill No.],$C71),IF($K71="XtraGreen",SUMIFS(Table146[Quantity],Table146[Company],$B71,Table146[Date],$A71,Table146[Bill No.],$C71),""))))</f>
        <v/>
      </c>
      <c r="E71" s="219" t="str">
        <f>IF($A71="","",IF($K71="DIESEL",AVERAGEIFS(Table1[RSP],Table1[Customer],$B71,Table1[Date],$A71,Table1[Bill No.],$C71),IF($K71="PETROL",AVERAGEIFS(Table14[RSP],Table14[Customer],$B71,Table14[Date],$A71,Table14[Bill No.],$C71),IF($K71="XtraGreen",AVERAGEIFS(Table146[RSP],Table146[Company],$B71,Table146[Date],$A71,Table146[Bill No.],$C71),IFERROR($F71/$D71,"")))))</f>
        <v/>
      </c>
      <c r="F71" s="330" t="str">
        <f>IF($A71="","",IF($K71="DIESEL",SUMIFS(Table1[Amount],Table1[Customer],$B71,Table1[Date],$A71,Table1[Bill No.],$C71),IF($K71="PETROL",SUMIFS(Table14[Amount],Table14[Customer],$B71,Table14[Date],$A71,Table14[Bill No.],$C71),IF($K71="XtraGreen",SUMIFS(Table146[Amount],Table146[Company],$B71,Table146[Date],$A71,Table146[Bill No.],$C71),SUMIFS('Other Sale'!$D:$D,'Other Sale'!$E:$E,$B71,'Other Sale'!$C:$C,$K71,'Other Sale'!$A:$A,$A71)))))</f>
        <v/>
      </c>
      <c r="G71" s="330" t="str" cm="1">
        <f t="array" ref="G71">IF($A71="","",IF($K71="Payment",IFERROR(INDEX(_xlfn._xlws.FILTER(MasterPaid[Amount Paid],(MasterPaid[Customer]=$B71)*(MasterPaid[Date]=$A71)),COUNTIFS($A$6:$A71,$A71,$B$6:$B71,$B71,$K$6:$K71,"Payment")),0),0))</f>
        <v/>
      </c>
      <c r="H71" s="331"/>
      <c r="I71" s="331"/>
      <c r="J71" s="330" t="str">
        <f t="shared" si="0"/>
        <v/>
      </c>
      <c r="K71" s="289" t="str" cm="1">
        <f t="array" ref="K71">IFERROR(INDEX(_xlfn.ANCHORARRAY($Q$6),ROW()-5,4),"")</f>
        <v/>
      </c>
      <c r="L71" s="290"/>
      <c r="U71">
        <f>IF(OR($A71="",$F71=""),0,MAX(0,MIN($F71,SUMIFS($F$6:$F71,$B$6:$B71,$B71)-(SUMIFS($G$6:$G$355,$B$6:$B$355,$B71)+SUMIFS($H$6:$H$355,$B$6:$B$355,$B71)+SUMIFS($I$6:$I$355,$B$6:$B$355,$B71)))))</f>
        <v>0</v>
      </c>
    </row>
    <row r="72" spans="1:21" ht="23" x14ac:dyDescent="0.25">
      <c r="A72" s="217" t="str" cm="1">
        <f t="array" ref="A72">IFERROR(INDEX(_xlfn.ANCHORARRAY($Q$6),ROW()-5,1),"")</f>
        <v/>
      </c>
      <c r="B72" s="288" t="str" cm="1">
        <f t="array" ref="B72">IFERROR(INDEX(_xlfn.ANCHORARRAY($Q$6),ROW()-5,2),"")</f>
        <v/>
      </c>
      <c r="C72" s="289" t="str" cm="1">
        <f t="array" ref="C72">IFERROR(INDEX(_xlfn.ANCHORARRAY($Q$6),ROW()-5,3),"")</f>
        <v/>
      </c>
      <c r="D72" s="218" t="str">
        <f>IF($A72="","",IF($K72="DIESEL",SUMIFS(Table1[Quantity],Table1[Customer],$B72,Table1[Date],$A72,Table1[Bill No.],$C72),IF($K72="PETROL",SUMIFS(Table14[Quantity],Table14[Customer],$B72,Table14[Date],$A72,Table14[Bill No.],$C72),IF($K72="XtraGreen",SUMIFS(Table146[Quantity],Table146[Company],$B72,Table146[Date],$A72,Table146[Bill No.],$C72),""))))</f>
        <v/>
      </c>
      <c r="E72" s="219" t="str">
        <f>IF($A72="","",IF($K72="DIESEL",AVERAGEIFS(Table1[RSP],Table1[Customer],$B72,Table1[Date],$A72,Table1[Bill No.],$C72),IF($K72="PETROL",AVERAGEIFS(Table14[RSP],Table14[Customer],$B72,Table14[Date],$A72,Table14[Bill No.],$C72),IF($K72="XtraGreen",AVERAGEIFS(Table146[RSP],Table146[Company],$B72,Table146[Date],$A72,Table146[Bill No.],$C72),IFERROR($F72/$D72,"")))))</f>
        <v/>
      </c>
      <c r="F72" s="330" t="str">
        <f>IF($A72="","",IF($K72="DIESEL",SUMIFS(Table1[Amount],Table1[Customer],$B72,Table1[Date],$A72,Table1[Bill No.],$C72),IF($K72="PETROL",SUMIFS(Table14[Amount],Table14[Customer],$B72,Table14[Date],$A72,Table14[Bill No.],$C72),IF($K72="XtraGreen",SUMIFS(Table146[Amount],Table146[Company],$B72,Table146[Date],$A72,Table146[Bill No.],$C72),SUMIFS('Other Sale'!$D:$D,'Other Sale'!$E:$E,$B72,'Other Sale'!$C:$C,$K72,'Other Sale'!$A:$A,$A72)))))</f>
        <v/>
      </c>
      <c r="G72" s="330" t="str" cm="1">
        <f t="array" ref="G72">IF($A72="","",IF($K72="Payment",IFERROR(INDEX(_xlfn._xlws.FILTER(MasterPaid[Amount Paid],(MasterPaid[Customer]=$B72)*(MasterPaid[Date]=$A72)),COUNTIFS($A$6:$A72,$A72,$B$6:$B72,$B72,$K$6:$K72,"Payment")),0),0))</f>
        <v/>
      </c>
      <c r="H72" s="331"/>
      <c r="I72" s="331"/>
      <c r="J72" s="330" t="str">
        <f t="shared" ref="J72:J135" si="1">IF($A72="","",J71+N(F72)-N(G72)-N(H72)-N(I72))</f>
        <v/>
      </c>
      <c r="K72" s="289" t="str" cm="1">
        <f t="array" ref="K72">IFERROR(INDEX(_xlfn.ANCHORARRAY($Q$6),ROW()-5,4),"")</f>
        <v/>
      </c>
      <c r="L72" s="290"/>
      <c r="U72">
        <f>IF(OR($A72="",$F72=""),0,MAX(0,MIN($F72,SUMIFS($F$6:$F72,$B$6:$B72,$B72)-(SUMIFS($G$6:$G$355,$B$6:$B$355,$B72)+SUMIFS($H$6:$H$355,$B$6:$B$355,$B72)+SUMIFS($I$6:$I$355,$B$6:$B$355,$B72)))))</f>
        <v>0</v>
      </c>
    </row>
    <row r="73" spans="1:21" ht="23" x14ac:dyDescent="0.25">
      <c r="A73" s="217" t="str" cm="1">
        <f t="array" ref="A73">IFERROR(INDEX(_xlfn.ANCHORARRAY($Q$6),ROW()-5,1),"")</f>
        <v/>
      </c>
      <c r="B73" s="288" t="str" cm="1">
        <f t="array" ref="B73">IFERROR(INDEX(_xlfn.ANCHORARRAY($Q$6),ROW()-5,2),"")</f>
        <v/>
      </c>
      <c r="C73" s="289" t="str" cm="1">
        <f t="array" ref="C73">IFERROR(INDEX(_xlfn.ANCHORARRAY($Q$6),ROW()-5,3),"")</f>
        <v/>
      </c>
      <c r="D73" s="218" t="str">
        <f>IF($A73="","",IF($K73="DIESEL",SUMIFS(Table1[Quantity],Table1[Customer],$B73,Table1[Date],$A73,Table1[Bill No.],$C73),IF($K73="PETROL",SUMIFS(Table14[Quantity],Table14[Customer],$B73,Table14[Date],$A73,Table14[Bill No.],$C73),IF($K73="XtraGreen",SUMIFS(Table146[Quantity],Table146[Company],$B73,Table146[Date],$A73,Table146[Bill No.],$C73),""))))</f>
        <v/>
      </c>
      <c r="E73" s="219" t="str">
        <f>IF($A73="","",IF($K73="DIESEL",AVERAGEIFS(Table1[RSP],Table1[Customer],$B73,Table1[Date],$A73,Table1[Bill No.],$C73),IF($K73="PETROL",AVERAGEIFS(Table14[RSP],Table14[Customer],$B73,Table14[Date],$A73,Table14[Bill No.],$C73),IF($K73="XtraGreen",AVERAGEIFS(Table146[RSP],Table146[Company],$B73,Table146[Date],$A73,Table146[Bill No.],$C73),IFERROR($F73/$D73,"")))))</f>
        <v/>
      </c>
      <c r="F73" s="330" t="str">
        <f>IF($A73="","",IF($K73="DIESEL",SUMIFS(Table1[Amount],Table1[Customer],$B73,Table1[Date],$A73,Table1[Bill No.],$C73),IF($K73="PETROL",SUMIFS(Table14[Amount],Table14[Customer],$B73,Table14[Date],$A73,Table14[Bill No.],$C73),IF($K73="XtraGreen",SUMIFS(Table146[Amount],Table146[Company],$B73,Table146[Date],$A73,Table146[Bill No.],$C73),SUMIFS('Other Sale'!$D:$D,'Other Sale'!$E:$E,$B73,'Other Sale'!$C:$C,$K73,'Other Sale'!$A:$A,$A73)))))</f>
        <v/>
      </c>
      <c r="G73" s="330" t="str" cm="1">
        <f t="array" ref="G73">IF($A73="","",IF($K73="Payment",IFERROR(INDEX(_xlfn._xlws.FILTER(MasterPaid[Amount Paid],(MasterPaid[Customer]=$B73)*(MasterPaid[Date]=$A73)),COUNTIFS($A$6:$A73,$A73,$B$6:$B73,$B73,$K$6:$K73,"Payment")),0),0))</f>
        <v/>
      </c>
      <c r="H73" s="331"/>
      <c r="I73" s="331"/>
      <c r="J73" s="330" t="str">
        <f t="shared" si="1"/>
        <v/>
      </c>
      <c r="K73" s="289" t="str" cm="1">
        <f t="array" ref="K73">IFERROR(INDEX(_xlfn.ANCHORARRAY($Q$6),ROW()-5,4),"")</f>
        <v/>
      </c>
      <c r="L73" s="290"/>
      <c r="U73">
        <f>IF(OR($A73="",$F73=""),0,MAX(0,MIN($F73,SUMIFS($F$6:$F73,$B$6:$B73,$B73)-(SUMIFS($G$6:$G$355,$B$6:$B$355,$B73)+SUMIFS($H$6:$H$355,$B$6:$B$355,$B73)+SUMIFS($I$6:$I$355,$B$6:$B$355,$B73)))))</f>
        <v>0</v>
      </c>
    </row>
    <row r="74" spans="1:21" ht="23" x14ac:dyDescent="0.25">
      <c r="A74" s="217" t="str" cm="1">
        <f t="array" ref="A74">IFERROR(INDEX(_xlfn.ANCHORARRAY($Q$6),ROW()-5,1),"")</f>
        <v/>
      </c>
      <c r="B74" s="288" t="str" cm="1">
        <f t="array" ref="B74">IFERROR(INDEX(_xlfn.ANCHORARRAY($Q$6),ROW()-5,2),"")</f>
        <v/>
      </c>
      <c r="C74" s="289" t="str" cm="1">
        <f t="array" ref="C74">IFERROR(INDEX(_xlfn.ANCHORARRAY($Q$6),ROW()-5,3),"")</f>
        <v/>
      </c>
      <c r="D74" s="218" t="str">
        <f>IF($A74="","",IF($K74="DIESEL",SUMIFS(Table1[Quantity],Table1[Customer],$B74,Table1[Date],$A74,Table1[Bill No.],$C74),IF($K74="PETROL",SUMIFS(Table14[Quantity],Table14[Customer],$B74,Table14[Date],$A74,Table14[Bill No.],$C74),IF($K74="XtraGreen",SUMIFS(Table146[Quantity],Table146[Company],$B74,Table146[Date],$A74,Table146[Bill No.],$C74),""))))</f>
        <v/>
      </c>
      <c r="E74" s="219" t="str">
        <f>IF($A74="","",IF($K74="DIESEL",AVERAGEIFS(Table1[RSP],Table1[Customer],$B74,Table1[Date],$A74,Table1[Bill No.],$C74),IF($K74="PETROL",AVERAGEIFS(Table14[RSP],Table14[Customer],$B74,Table14[Date],$A74,Table14[Bill No.],$C74),IF($K74="XtraGreen",AVERAGEIFS(Table146[RSP],Table146[Company],$B74,Table146[Date],$A74,Table146[Bill No.],$C74),IFERROR($F74/$D74,"")))))</f>
        <v/>
      </c>
      <c r="F74" s="330" t="str">
        <f>IF($A74="","",IF($K74="DIESEL",SUMIFS(Table1[Amount],Table1[Customer],$B74,Table1[Date],$A74,Table1[Bill No.],$C74),IF($K74="PETROL",SUMIFS(Table14[Amount],Table14[Customer],$B74,Table14[Date],$A74,Table14[Bill No.],$C74),IF($K74="XtraGreen",SUMIFS(Table146[Amount],Table146[Company],$B74,Table146[Date],$A74,Table146[Bill No.],$C74),SUMIFS('Other Sale'!$D:$D,'Other Sale'!$E:$E,$B74,'Other Sale'!$C:$C,$K74,'Other Sale'!$A:$A,$A74)))))</f>
        <v/>
      </c>
      <c r="G74" s="330" t="str" cm="1">
        <f t="array" ref="G74">IF($A74="","",IF($K74="Payment",IFERROR(INDEX(_xlfn._xlws.FILTER(MasterPaid[Amount Paid],(MasterPaid[Customer]=$B74)*(MasterPaid[Date]=$A74)),COUNTIFS($A$6:$A74,$A74,$B$6:$B74,$B74,$K$6:$K74,"Payment")),0),0))</f>
        <v/>
      </c>
      <c r="H74" s="331"/>
      <c r="I74" s="331"/>
      <c r="J74" s="330" t="str">
        <f t="shared" si="1"/>
        <v/>
      </c>
      <c r="K74" s="289" t="str" cm="1">
        <f t="array" ref="K74">IFERROR(INDEX(_xlfn.ANCHORARRAY($Q$6),ROW()-5,4),"")</f>
        <v/>
      </c>
      <c r="L74" s="290"/>
      <c r="U74">
        <f>IF(OR($A74="",$F74=""),0,MAX(0,MIN($F74,SUMIFS($F$6:$F74,$B$6:$B74,$B74)-(SUMIFS($G$6:$G$355,$B$6:$B$355,$B74)+SUMIFS($H$6:$H$355,$B$6:$B$355,$B74)+SUMIFS($I$6:$I$355,$B$6:$B$355,$B74)))))</f>
        <v>0</v>
      </c>
    </row>
    <row r="75" spans="1:21" ht="23" x14ac:dyDescent="0.25">
      <c r="A75" s="217" t="str" cm="1">
        <f t="array" ref="A75">IFERROR(INDEX(_xlfn.ANCHORARRAY($Q$6),ROW()-5,1),"")</f>
        <v/>
      </c>
      <c r="B75" s="288" t="str" cm="1">
        <f t="array" ref="B75">IFERROR(INDEX(_xlfn.ANCHORARRAY($Q$6),ROW()-5,2),"")</f>
        <v/>
      </c>
      <c r="C75" s="289" t="str" cm="1">
        <f t="array" ref="C75">IFERROR(INDEX(_xlfn.ANCHORARRAY($Q$6),ROW()-5,3),"")</f>
        <v/>
      </c>
      <c r="D75" s="218" t="str">
        <f>IF($A75="","",IF($K75="DIESEL",SUMIFS(Table1[Quantity],Table1[Customer],$B75,Table1[Date],$A75,Table1[Bill No.],$C75),IF($K75="PETROL",SUMIFS(Table14[Quantity],Table14[Customer],$B75,Table14[Date],$A75,Table14[Bill No.],$C75),IF($K75="XtraGreen",SUMIFS(Table146[Quantity],Table146[Company],$B75,Table146[Date],$A75,Table146[Bill No.],$C75),""))))</f>
        <v/>
      </c>
      <c r="E75" s="219" t="str">
        <f>IF($A75="","",IF($K75="DIESEL",AVERAGEIFS(Table1[RSP],Table1[Customer],$B75,Table1[Date],$A75,Table1[Bill No.],$C75),IF($K75="PETROL",AVERAGEIFS(Table14[RSP],Table14[Customer],$B75,Table14[Date],$A75,Table14[Bill No.],$C75),IF($K75="XtraGreen",AVERAGEIFS(Table146[RSP],Table146[Company],$B75,Table146[Date],$A75,Table146[Bill No.],$C75),IFERROR($F75/$D75,"")))))</f>
        <v/>
      </c>
      <c r="F75" s="330" t="str">
        <f>IF($A75="","",IF($K75="DIESEL",SUMIFS(Table1[Amount],Table1[Customer],$B75,Table1[Date],$A75,Table1[Bill No.],$C75),IF($K75="PETROL",SUMIFS(Table14[Amount],Table14[Customer],$B75,Table14[Date],$A75,Table14[Bill No.],$C75),IF($K75="XtraGreen",SUMIFS(Table146[Amount],Table146[Company],$B75,Table146[Date],$A75,Table146[Bill No.],$C75),SUMIFS('Other Sale'!$D:$D,'Other Sale'!$E:$E,$B75,'Other Sale'!$C:$C,$K75,'Other Sale'!$A:$A,$A75)))))</f>
        <v/>
      </c>
      <c r="G75" s="330" t="str" cm="1">
        <f t="array" ref="G75">IF($A75="","",IF($K75="Payment",IFERROR(INDEX(_xlfn._xlws.FILTER(MasterPaid[Amount Paid],(MasterPaid[Customer]=$B75)*(MasterPaid[Date]=$A75)),COUNTIFS($A$6:$A75,$A75,$B$6:$B75,$B75,$K$6:$K75,"Payment")),0),0))</f>
        <v/>
      </c>
      <c r="H75" s="331"/>
      <c r="I75" s="331"/>
      <c r="J75" s="330" t="str">
        <f t="shared" si="1"/>
        <v/>
      </c>
      <c r="K75" s="289" t="str" cm="1">
        <f t="array" ref="K75">IFERROR(INDEX(_xlfn.ANCHORARRAY($Q$6),ROW()-5,4),"")</f>
        <v/>
      </c>
      <c r="L75" s="290"/>
      <c r="U75">
        <f>IF(OR($A75="",$F75=""),0,MAX(0,MIN($F75,SUMIFS($F$6:$F75,$B$6:$B75,$B75)-(SUMIFS($G$6:$G$355,$B$6:$B$355,$B75)+SUMIFS($H$6:$H$355,$B$6:$B$355,$B75)+SUMIFS($I$6:$I$355,$B$6:$B$355,$B75)))))</f>
        <v>0</v>
      </c>
    </row>
    <row r="76" spans="1:21" ht="23" x14ac:dyDescent="0.25">
      <c r="A76" s="217" t="str" cm="1">
        <f t="array" ref="A76">IFERROR(INDEX(_xlfn.ANCHORARRAY($Q$6),ROW()-5,1),"")</f>
        <v/>
      </c>
      <c r="B76" s="288" t="str" cm="1">
        <f t="array" ref="B76">IFERROR(INDEX(_xlfn.ANCHORARRAY($Q$6),ROW()-5,2),"")</f>
        <v/>
      </c>
      <c r="C76" s="289" t="str" cm="1">
        <f t="array" ref="C76">IFERROR(INDEX(_xlfn.ANCHORARRAY($Q$6),ROW()-5,3),"")</f>
        <v/>
      </c>
      <c r="D76" s="218" t="str">
        <f>IF($A76="","",IF($K76="DIESEL",SUMIFS(Table1[Quantity],Table1[Customer],$B76,Table1[Date],$A76,Table1[Bill No.],$C76),IF($K76="PETROL",SUMIFS(Table14[Quantity],Table14[Customer],$B76,Table14[Date],$A76,Table14[Bill No.],$C76),IF($K76="XtraGreen",SUMIFS(Table146[Quantity],Table146[Company],$B76,Table146[Date],$A76,Table146[Bill No.],$C76),""))))</f>
        <v/>
      </c>
      <c r="E76" s="219" t="str">
        <f>IF($A76="","",IF($K76="DIESEL",AVERAGEIFS(Table1[RSP],Table1[Customer],$B76,Table1[Date],$A76,Table1[Bill No.],$C76),IF($K76="PETROL",AVERAGEIFS(Table14[RSP],Table14[Customer],$B76,Table14[Date],$A76,Table14[Bill No.],$C76),IF($K76="XtraGreen",AVERAGEIFS(Table146[RSP],Table146[Company],$B76,Table146[Date],$A76,Table146[Bill No.],$C76),IFERROR($F76/$D76,"")))))</f>
        <v/>
      </c>
      <c r="F76" s="330" t="str">
        <f>IF($A76="","",IF($K76="DIESEL",SUMIFS(Table1[Amount],Table1[Customer],$B76,Table1[Date],$A76,Table1[Bill No.],$C76),IF($K76="PETROL",SUMIFS(Table14[Amount],Table14[Customer],$B76,Table14[Date],$A76,Table14[Bill No.],$C76),IF($K76="XtraGreen",SUMIFS(Table146[Amount],Table146[Company],$B76,Table146[Date],$A76,Table146[Bill No.],$C76),SUMIFS('Other Sale'!$D:$D,'Other Sale'!$E:$E,$B76,'Other Sale'!$C:$C,$K76,'Other Sale'!$A:$A,$A76)))))</f>
        <v/>
      </c>
      <c r="G76" s="330" t="str" cm="1">
        <f t="array" ref="G76">IF($A76="","",IF($K76="Payment",IFERROR(INDEX(_xlfn._xlws.FILTER(MasterPaid[Amount Paid],(MasterPaid[Customer]=$B76)*(MasterPaid[Date]=$A76)),COUNTIFS($A$6:$A76,$A76,$B$6:$B76,$B76,$K$6:$K76,"Payment")),0),0))</f>
        <v/>
      </c>
      <c r="H76" s="331"/>
      <c r="I76" s="331"/>
      <c r="J76" s="330" t="str">
        <f t="shared" si="1"/>
        <v/>
      </c>
      <c r="K76" s="289" t="str" cm="1">
        <f t="array" ref="K76">IFERROR(INDEX(_xlfn.ANCHORARRAY($Q$6),ROW()-5,4),"")</f>
        <v/>
      </c>
      <c r="L76" s="290"/>
      <c r="U76">
        <f>IF(OR($A76="",$F76=""),0,MAX(0,MIN($F76,SUMIFS($F$6:$F76,$B$6:$B76,$B76)-(SUMIFS($G$6:$G$355,$B$6:$B$355,$B76)+SUMIFS($H$6:$H$355,$B$6:$B$355,$B76)+SUMIFS($I$6:$I$355,$B$6:$B$355,$B76)))))</f>
        <v>0</v>
      </c>
    </row>
    <row r="77" spans="1:21" ht="23" x14ac:dyDescent="0.25">
      <c r="A77" s="217" t="str" cm="1">
        <f t="array" ref="A77">IFERROR(INDEX(_xlfn.ANCHORARRAY($Q$6),ROW()-5,1),"")</f>
        <v/>
      </c>
      <c r="B77" s="288" t="str" cm="1">
        <f t="array" ref="B77">IFERROR(INDEX(_xlfn.ANCHORARRAY($Q$6),ROW()-5,2),"")</f>
        <v/>
      </c>
      <c r="C77" s="289" t="str" cm="1">
        <f t="array" ref="C77">IFERROR(INDEX(_xlfn.ANCHORARRAY($Q$6),ROW()-5,3),"")</f>
        <v/>
      </c>
      <c r="D77" s="218" t="str">
        <f>IF($A77="","",IF($K77="DIESEL",SUMIFS(Table1[Quantity],Table1[Customer],$B77,Table1[Date],$A77,Table1[Bill No.],$C77),IF($K77="PETROL",SUMIFS(Table14[Quantity],Table14[Customer],$B77,Table14[Date],$A77,Table14[Bill No.],$C77),IF($K77="XtraGreen",SUMIFS(Table146[Quantity],Table146[Company],$B77,Table146[Date],$A77,Table146[Bill No.],$C77),""))))</f>
        <v/>
      </c>
      <c r="E77" s="219" t="str">
        <f>IF($A77="","",IF($K77="DIESEL",AVERAGEIFS(Table1[RSP],Table1[Customer],$B77,Table1[Date],$A77,Table1[Bill No.],$C77),IF($K77="PETROL",AVERAGEIFS(Table14[RSP],Table14[Customer],$B77,Table14[Date],$A77,Table14[Bill No.],$C77),IF($K77="XtraGreen",AVERAGEIFS(Table146[RSP],Table146[Company],$B77,Table146[Date],$A77,Table146[Bill No.],$C77),IFERROR($F77/$D77,"")))))</f>
        <v/>
      </c>
      <c r="F77" s="330" t="str">
        <f>IF($A77="","",IF($K77="DIESEL",SUMIFS(Table1[Amount],Table1[Customer],$B77,Table1[Date],$A77,Table1[Bill No.],$C77),IF($K77="PETROL",SUMIFS(Table14[Amount],Table14[Customer],$B77,Table14[Date],$A77,Table14[Bill No.],$C77),IF($K77="XtraGreen",SUMIFS(Table146[Amount],Table146[Company],$B77,Table146[Date],$A77,Table146[Bill No.],$C77),SUMIFS('Other Sale'!$D:$D,'Other Sale'!$E:$E,$B77,'Other Sale'!$C:$C,$K77,'Other Sale'!$A:$A,$A77)))))</f>
        <v/>
      </c>
      <c r="G77" s="330" t="str" cm="1">
        <f t="array" ref="G77">IF($A77="","",IF($K77="Payment",IFERROR(INDEX(_xlfn._xlws.FILTER(MasterPaid[Amount Paid],(MasterPaid[Customer]=$B77)*(MasterPaid[Date]=$A77)),COUNTIFS($A$6:$A77,$A77,$B$6:$B77,$B77,$K$6:$K77,"Payment")),0),0))</f>
        <v/>
      </c>
      <c r="H77" s="331"/>
      <c r="I77" s="331"/>
      <c r="J77" s="330" t="str">
        <f t="shared" si="1"/>
        <v/>
      </c>
      <c r="K77" s="289" t="str" cm="1">
        <f t="array" ref="K77">IFERROR(INDEX(_xlfn.ANCHORARRAY($Q$6),ROW()-5,4),"")</f>
        <v/>
      </c>
      <c r="L77" s="290"/>
      <c r="U77">
        <f>IF(OR($A77="",$F77=""),0,MAX(0,MIN($F77,SUMIFS($F$6:$F77,$B$6:$B77,$B77)-(SUMIFS($G$6:$G$355,$B$6:$B$355,$B77)+SUMIFS($H$6:$H$355,$B$6:$B$355,$B77)+SUMIFS($I$6:$I$355,$B$6:$B$355,$B77)))))</f>
        <v>0</v>
      </c>
    </row>
    <row r="78" spans="1:21" ht="23" x14ac:dyDescent="0.25">
      <c r="A78" s="217" t="str" cm="1">
        <f t="array" ref="A78">IFERROR(INDEX(_xlfn.ANCHORARRAY($Q$6),ROW()-5,1),"")</f>
        <v/>
      </c>
      <c r="B78" s="288" t="str" cm="1">
        <f t="array" ref="B78">IFERROR(INDEX(_xlfn.ANCHORARRAY($Q$6),ROW()-5,2),"")</f>
        <v/>
      </c>
      <c r="C78" s="289" t="str" cm="1">
        <f t="array" ref="C78">IFERROR(INDEX(_xlfn.ANCHORARRAY($Q$6),ROW()-5,3),"")</f>
        <v/>
      </c>
      <c r="D78" s="218" t="str">
        <f>IF($A78="","",IF($K78="DIESEL",SUMIFS(Table1[Quantity],Table1[Customer],$B78,Table1[Date],$A78,Table1[Bill No.],$C78),IF($K78="PETROL",SUMIFS(Table14[Quantity],Table14[Customer],$B78,Table14[Date],$A78,Table14[Bill No.],$C78),IF($K78="XtraGreen",SUMIFS(Table146[Quantity],Table146[Company],$B78,Table146[Date],$A78,Table146[Bill No.],$C78),""))))</f>
        <v/>
      </c>
      <c r="E78" s="219" t="str">
        <f>IF($A78="","",IF($K78="DIESEL",AVERAGEIFS(Table1[RSP],Table1[Customer],$B78,Table1[Date],$A78,Table1[Bill No.],$C78),IF($K78="PETROL",AVERAGEIFS(Table14[RSP],Table14[Customer],$B78,Table14[Date],$A78,Table14[Bill No.],$C78),IF($K78="XtraGreen",AVERAGEIFS(Table146[RSP],Table146[Company],$B78,Table146[Date],$A78,Table146[Bill No.],$C78),IFERROR($F78/$D78,"")))))</f>
        <v/>
      </c>
      <c r="F78" s="330" t="str">
        <f>IF($A78="","",IF($K78="DIESEL",SUMIFS(Table1[Amount],Table1[Customer],$B78,Table1[Date],$A78,Table1[Bill No.],$C78),IF($K78="PETROL",SUMIFS(Table14[Amount],Table14[Customer],$B78,Table14[Date],$A78,Table14[Bill No.],$C78),IF($K78="XtraGreen",SUMIFS(Table146[Amount],Table146[Company],$B78,Table146[Date],$A78,Table146[Bill No.],$C78),SUMIFS('Other Sale'!$D:$D,'Other Sale'!$E:$E,$B78,'Other Sale'!$C:$C,$K78,'Other Sale'!$A:$A,$A78)))))</f>
        <v/>
      </c>
      <c r="G78" s="330" t="str" cm="1">
        <f t="array" ref="G78">IF($A78="","",IF($K78="Payment",IFERROR(INDEX(_xlfn._xlws.FILTER(MasterPaid[Amount Paid],(MasterPaid[Customer]=$B78)*(MasterPaid[Date]=$A78)),COUNTIFS($A$6:$A78,$A78,$B$6:$B78,$B78,$K$6:$K78,"Payment")),0),0))</f>
        <v/>
      </c>
      <c r="H78" s="331"/>
      <c r="I78" s="331"/>
      <c r="J78" s="330" t="str">
        <f t="shared" si="1"/>
        <v/>
      </c>
      <c r="K78" s="289" t="str" cm="1">
        <f t="array" ref="K78">IFERROR(INDEX(_xlfn.ANCHORARRAY($Q$6),ROW()-5,4),"")</f>
        <v/>
      </c>
      <c r="L78" s="290"/>
      <c r="U78">
        <f>IF(OR($A78="",$F78=""),0,MAX(0,MIN($F78,SUMIFS($F$6:$F78,$B$6:$B78,$B78)-(SUMIFS($G$6:$G$355,$B$6:$B$355,$B78)+SUMIFS($H$6:$H$355,$B$6:$B$355,$B78)+SUMIFS($I$6:$I$355,$B$6:$B$355,$B78)))))</f>
        <v>0</v>
      </c>
    </row>
    <row r="79" spans="1:21" ht="23" x14ac:dyDescent="0.25">
      <c r="A79" s="217" t="str" cm="1">
        <f t="array" ref="A79">IFERROR(INDEX(_xlfn.ANCHORARRAY($Q$6),ROW()-5,1),"")</f>
        <v/>
      </c>
      <c r="B79" s="288" t="str" cm="1">
        <f t="array" ref="B79">IFERROR(INDEX(_xlfn.ANCHORARRAY($Q$6),ROW()-5,2),"")</f>
        <v/>
      </c>
      <c r="C79" s="289" t="str" cm="1">
        <f t="array" ref="C79">IFERROR(INDEX(_xlfn.ANCHORARRAY($Q$6),ROW()-5,3),"")</f>
        <v/>
      </c>
      <c r="D79" s="218" t="str">
        <f>IF($A79="","",IF($K79="DIESEL",SUMIFS(Table1[Quantity],Table1[Customer],$B79,Table1[Date],$A79,Table1[Bill No.],$C79),IF($K79="PETROL",SUMIFS(Table14[Quantity],Table14[Customer],$B79,Table14[Date],$A79,Table14[Bill No.],$C79),IF($K79="XtraGreen",SUMIFS(Table146[Quantity],Table146[Company],$B79,Table146[Date],$A79,Table146[Bill No.],$C79),""))))</f>
        <v/>
      </c>
      <c r="E79" s="219" t="str">
        <f>IF($A79="","",IF($K79="DIESEL",AVERAGEIFS(Table1[RSP],Table1[Customer],$B79,Table1[Date],$A79,Table1[Bill No.],$C79),IF($K79="PETROL",AVERAGEIFS(Table14[RSP],Table14[Customer],$B79,Table14[Date],$A79,Table14[Bill No.],$C79),IF($K79="XtraGreen",AVERAGEIFS(Table146[RSP],Table146[Company],$B79,Table146[Date],$A79,Table146[Bill No.],$C79),IFERROR($F79/$D79,"")))))</f>
        <v/>
      </c>
      <c r="F79" s="330" t="str">
        <f>IF($A79="","",IF($K79="DIESEL",SUMIFS(Table1[Amount],Table1[Customer],$B79,Table1[Date],$A79,Table1[Bill No.],$C79),IF($K79="PETROL",SUMIFS(Table14[Amount],Table14[Customer],$B79,Table14[Date],$A79,Table14[Bill No.],$C79),IF($K79="XtraGreen",SUMIFS(Table146[Amount],Table146[Company],$B79,Table146[Date],$A79,Table146[Bill No.],$C79),SUMIFS('Other Sale'!$D:$D,'Other Sale'!$E:$E,$B79,'Other Sale'!$C:$C,$K79,'Other Sale'!$A:$A,$A79)))))</f>
        <v/>
      </c>
      <c r="G79" s="330" t="str" cm="1">
        <f t="array" ref="G79">IF($A79="","",IF($K79="Payment",IFERROR(INDEX(_xlfn._xlws.FILTER(MasterPaid[Amount Paid],(MasterPaid[Customer]=$B79)*(MasterPaid[Date]=$A79)),COUNTIFS($A$6:$A79,$A79,$B$6:$B79,$B79,$K$6:$K79,"Payment")),0),0))</f>
        <v/>
      </c>
      <c r="H79" s="331"/>
      <c r="I79" s="331"/>
      <c r="J79" s="330" t="str">
        <f t="shared" si="1"/>
        <v/>
      </c>
      <c r="K79" s="289" t="str" cm="1">
        <f t="array" ref="K79">IFERROR(INDEX(_xlfn.ANCHORARRAY($Q$6),ROW()-5,4),"")</f>
        <v/>
      </c>
      <c r="L79" s="290"/>
      <c r="U79">
        <f>IF(OR($A79="",$F79=""),0,MAX(0,MIN($F79,SUMIFS($F$6:$F79,$B$6:$B79,$B79)-(SUMIFS($G$6:$G$355,$B$6:$B$355,$B79)+SUMIFS($H$6:$H$355,$B$6:$B$355,$B79)+SUMIFS($I$6:$I$355,$B$6:$B$355,$B79)))))</f>
        <v>0</v>
      </c>
    </row>
    <row r="80" spans="1:21" ht="23" x14ac:dyDescent="0.25">
      <c r="A80" s="217" t="str" cm="1">
        <f t="array" ref="A80">IFERROR(INDEX(_xlfn.ANCHORARRAY($Q$6),ROW()-5,1),"")</f>
        <v/>
      </c>
      <c r="B80" s="288" t="str" cm="1">
        <f t="array" ref="B80">IFERROR(INDEX(_xlfn.ANCHORARRAY($Q$6),ROW()-5,2),"")</f>
        <v/>
      </c>
      <c r="C80" s="289" t="str" cm="1">
        <f t="array" ref="C80">IFERROR(INDEX(_xlfn.ANCHORARRAY($Q$6),ROW()-5,3),"")</f>
        <v/>
      </c>
      <c r="D80" s="218" t="str">
        <f>IF($A80="","",IF($K80="DIESEL",SUMIFS(Table1[Quantity],Table1[Customer],$B80,Table1[Date],$A80,Table1[Bill No.],$C80),IF($K80="PETROL",SUMIFS(Table14[Quantity],Table14[Customer],$B80,Table14[Date],$A80,Table14[Bill No.],$C80),IF($K80="XtraGreen",SUMIFS(Table146[Quantity],Table146[Company],$B80,Table146[Date],$A80,Table146[Bill No.],$C80),""))))</f>
        <v/>
      </c>
      <c r="E80" s="219" t="str">
        <f>IF($A80="","",IF($K80="DIESEL",AVERAGEIFS(Table1[RSP],Table1[Customer],$B80,Table1[Date],$A80,Table1[Bill No.],$C80),IF($K80="PETROL",AVERAGEIFS(Table14[RSP],Table14[Customer],$B80,Table14[Date],$A80,Table14[Bill No.],$C80),IF($K80="XtraGreen",AVERAGEIFS(Table146[RSP],Table146[Company],$B80,Table146[Date],$A80,Table146[Bill No.],$C80),IFERROR($F80/$D80,"")))))</f>
        <v/>
      </c>
      <c r="F80" s="330" t="str">
        <f>IF($A80="","",IF($K80="DIESEL",SUMIFS(Table1[Amount],Table1[Customer],$B80,Table1[Date],$A80,Table1[Bill No.],$C80),IF($K80="PETROL",SUMIFS(Table14[Amount],Table14[Customer],$B80,Table14[Date],$A80,Table14[Bill No.],$C80),IF($K80="XtraGreen",SUMIFS(Table146[Amount],Table146[Company],$B80,Table146[Date],$A80,Table146[Bill No.],$C80),SUMIFS('Other Sale'!$D:$D,'Other Sale'!$E:$E,$B80,'Other Sale'!$C:$C,$K80,'Other Sale'!$A:$A,$A80)))))</f>
        <v/>
      </c>
      <c r="G80" s="330" t="str" cm="1">
        <f t="array" ref="G80">IF($A80="","",IF($K80="Payment",IFERROR(INDEX(_xlfn._xlws.FILTER(MasterPaid[Amount Paid],(MasterPaid[Customer]=$B80)*(MasterPaid[Date]=$A80)),COUNTIFS($A$6:$A80,$A80,$B$6:$B80,$B80,$K$6:$K80,"Payment")),0),0))</f>
        <v/>
      </c>
      <c r="H80" s="331"/>
      <c r="I80" s="331"/>
      <c r="J80" s="330" t="str">
        <f t="shared" si="1"/>
        <v/>
      </c>
      <c r="K80" s="289" t="str" cm="1">
        <f t="array" ref="K80">IFERROR(INDEX(_xlfn.ANCHORARRAY($Q$6),ROW()-5,4),"")</f>
        <v/>
      </c>
      <c r="L80" s="290"/>
      <c r="U80">
        <f>IF(OR($A80="",$F80=""),0,MAX(0,MIN($F80,SUMIFS($F$6:$F80,$B$6:$B80,$B80)-(SUMIFS($G$6:$G$355,$B$6:$B$355,$B80)+SUMIFS($H$6:$H$355,$B$6:$B$355,$B80)+SUMIFS($I$6:$I$355,$B$6:$B$355,$B80)))))</f>
        <v>0</v>
      </c>
    </row>
    <row r="81" spans="1:21" ht="23" x14ac:dyDescent="0.25">
      <c r="A81" s="217" t="str" cm="1">
        <f t="array" ref="A81">IFERROR(INDEX(_xlfn.ANCHORARRAY($Q$6),ROW()-5,1),"")</f>
        <v/>
      </c>
      <c r="B81" s="288" t="str" cm="1">
        <f t="array" ref="B81">IFERROR(INDEX(_xlfn.ANCHORARRAY($Q$6),ROW()-5,2),"")</f>
        <v/>
      </c>
      <c r="C81" s="289" t="str" cm="1">
        <f t="array" ref="C81">IFERROR(INDEX(_xlfn.ANCHORARRAY($Q$6),ROW()-5,3),"")</f>
        <v/>
      </c>
      <c r="D81" s="218" t="str">
        <f>IF($A81="","",IF($K81="DIESEL",SUMIFS(Table1[Quantity],Table1[Customer],$B81,Table1[Date],$A81,Table1[Bill No.],$C81),IF($K81="PETROL",SUMIFS(Table14[Quantity],Table14[Customer],$B81,Table14[Date],$A81,Table14[Bill No.],$C81),IF($K81="XtraGreen",SUMIFS(Table146[Quantity],Table146[Company],$B81,Table146[Date],$A81,Table146[Bill No.],$C81),""))))</f>
        <v/>
      </c>
      <c r="E81" s="219" t="str">
        <f>IF($A81="","",IF($K81="DIESEL",AVERAGEIFS(Table1[RSP],Table1[Customer],$B81,Table1[Date],$A81,Table1[Bill No.],$C81),IF($K81="PETROL",AVERAGEIFS(Table14[RSP],Table14[Customer],$B81,Table14[Date],$A81,Table14[Bill No.],$C81),IF($K81="XtraGreen",AVERAGEIFS(Table146[RSP],Table146[Company],$B81,Table146[Date],$A81,Table146[Bill No.],$C81),IFERROR($F81/$D81,"")))))</f>
        <v/>
      </c>
      <c r="F81" s="330" t="str">
        <f>IF($A81="","",IF($K81="DIESEL",SUMIFS(Table1[Amount],Table1[Customer],$B81,Table1[Date],$A81,Table1[Bill No.],$C81),IF($K81="PETROL",SUMIFS(Table14[Amount],Table14[Customer],$B81,Table14[Date],$A81,Table14[Bill No.],$C81),IF($K81="XtraGreen",SUMIFS(Table146[Amount],Table146[Company],$B81,Table146[Date],$A81,Table146[Bill No.],$C81),SUMIFS('Other Sale'!$D:$D,'Other Sale'!$E:$E,$B81,'Other Sale'!$C:$C,$K81,'Other Sale'!$A:$A,$A81)))))</f>
        <v/>
      </c>
      <c r="G81" s="330" t="str" cm="1">
        <f t="array" ref="G81">IF($A81="","",IF($K81="Payment",IFERROR(INDEX(_xlfn._xlws.FILTER(MasterPaid[Amount Paid],(MasterPaid[Customer]=$B81)*(MasterPaid[Date]=$A81)),COUNTIFS($A$6:$A81,$A81,$B$6:$B81,$B81,$K$6:$K81,"Payment")),0),0))</f>
        <v/>
      </c>
      <c r="H81" s="331"/>
      <c r="I81" s="331"/>
      <c r="J81" s="330" t="str">
        <f t="shared" si="1"/>
        <v/>
      </c>
      <c r="K81" s="289" t="str" cm="1">
        <f t="array" ref="K81">IFERROR(INDEX(_xlfn.ANCHORARRAY($Q$6),ROW()-5,4),"")</f>
        <v/>
      </c>
      <c r="L81" s="290"/>
      <c r="U81">
        <f>IF(OR($A81="",$F81=""),0,MAX(0,MIN($F81,SUMIFS($F$6:$F81,$B$6:$B81,$B81)-(SUMIFS($G$6:$G$355,$B$6:$B$355,$B81)+SUMIFS($H$6:$H$355,$B$6:$B$355,$B81)+SUMIFS($I$6:$I$355,$B$6:$B$355,$B81)))))</f>
        <v>0</v>
      </c>
    </row>
    <row r="82" spans="1:21" ht="23" x14ac:dyDescent="0.25">
      <c r="A82" s="217" t="str" cm="1">
        <f t="array" ref="A82">IFERROR(INDEX(_xlfn.ANCHORARRAY($Q$6),ROW()-5,1),"")</f>
        <v/>
      </c>
      <c r="B82" s="288" t="str" cm="1">
        <f t="array" ref="B82">IFERROR(INDEX(_xlfn.ANCHORARRAY($Q$6),ROW()-5,2),"")</f>
        <v/>
      </c>
      <c r="C82" s="289" t="str" cm="1">
        <f t="array" ref="C82">IFERROR(INDEX(_xlfn.ANCHORARRAY($Q$6),ROW()-5,3),"")</f>
        <v/>
      </c>
      <c r="D82" s="218" t="str">
        <f>IF($A82="","",IF($K82="DIESEL",SUMIFS(Table1[Quantity],Table1[Customer],$B82,Table1[Date],$A82,Table1[Bill No.],$C82),IF($K82="PETROL",SUMIFS(Table14[Quantity],Table14[Customer],$B82,Table14[Date],$A82,Table14[Bill No.],$C82),IF($K82="XtraGreen",SUMIFS(Table146[Quantity],Table146[Company],$B82,Table146[Date],$A82,Table146[Bill No.],$C82),""))))</f>
        <v/>
      </c>
      <c r="E82" s="219" t="str">
        <f>IF($A82="","",IF($K82="DIESEL",AVERAGEIFS(Table1[RSP],Table1[Customer],$B82,Table1[Date],$A82,Table1[Bill No.],$C82),IF($K82="PETROL",AVERAGEIFS(Table14[RSP],Table14[Customer],$B82,Table14[Date],$A82,Table14[Bill No.],$C82),IF($K82="XtraGreen",AVERAGEIFS(Table146[RSP],Table146[Company],$B82,Table146[Date],$A82,Table146[Bill No.],$C82),IFERROR($F82/$D82,"")))))</f>
        <v/>
      </c>
      <c r="F82" s="330" t="str">
        <f>IF($A82="","",IF($K82="DIESEL",SUMIFS(Table1[Amount],Table1[Customer],$B82,Table1[Date],$A82,Table1[Bill No.],$C82),IF($K82="PETROL",SUMIFS(Table14[Amount],Table14[Customer],$B82,Table14[Date],$A82,Table14[Bill No.],$C82),IF($K82="XtraGreen",SUMIFS(Table146[Amount],Table146[Company],$B82,Table146[Date],$A82,Table146[Bill No.],$C82),SUMIFS('Other Sale'!$D:$D,'Other Sale'!$E:$E,$B82,'Other Sale'!$C:$C,$K82,'Other Sale'!$A:$A,$A82)))))</f>
        <v/>
      </c>
      <c r="G82" s="330" t="str" cm="1">
        <f t="array" ref="G82">IF($A82="","",IF($K82="Payment",IFERROR(INDEX(_xlfn._xlws.FILTER(MasterPaid[Amount Paid],(MasterPaid[Customer]=$B82)*(MasterPaid[Date]=$A82)),COUNTIFS($A$6:$A82,$A82,$B$6:$B82,$B82,$K$6:$K82,"Payment")),0),0))</f>
        <v/>
      </c>
      <c r="H82" s="331"/>
      <c r="I82" s="331"/>
      <c r="J82" s="330" t="str">
        <f t="shared" si="1"/>
        <v/>
      </c>
      <c r="K82" s="289" t="str" cm="1">
        <f t="array" ref="K82">IFERROR(INDEX(_xlfn.ANCHORARRAY($Q$6),ROW()-5,4),"")</f>
        <v/>
      </c>
      <c r="L82" s="290"/>
      <c r="U82">
        <f>IF(OR($A82="",$F82=""),0,MAX(0,MIN($F82,SUMIFS($F$6:$F82,$B$6:$B82,$B82)-(SUMIFS($G$6:$G$355,$B$6:$B$355,$B82)+SUMIFS($H$6:$H$355,$B$6:$B$355,$B82)+SUMIFS($I$6:$I$355,$B$6:$B$355,$B82)))))</f>
        <v>0</v>
      </c>
    </row>
    <row r="83" spans="1:21" ht="23" x14ac:dyDescent="0.25">
      <c r="A83" s="217" t="str" cm="1">
        <f t="array" ref="A83">IFERROR(INDEX(_xlfn.ANCHORARRAY($Q$6),ROW()-5,1),"")</f>
        <v/>
      </c>
      <c r="B83" s="288" t="str" cm="1">
        <f t="array" ref="B83">IFERROR(INDEX(_xlfn.ANCHORARRAY($Q$6),ROW()-5,2),"")</f>
        <v/>
      </c>
      <c r="C83" s="289" t="str" cm="1">
        <f t="array" ref="C83">IFERROR(INDEX(_xlfn.ANCHORARRAY($Q$6),ROW()-5,3),"")</f>
        <v/>
      </c>
      <c r="D83" s="218" t="str">
        <f>IF($A83="","",IF($K83="DIESEL",SUMIFS(Table1[Quantity],Table1[Customer],$B83,Table1[Date],$A83,Table1[Bill No.],$C83),IF($K83="PETROL",SUMIFS(Table14[Quantity],Table14[Customer],$B83,Table14[Date],$A83,Table14[Bill No.],$C83),IF($K83="XtraGreen",SUMIFS(Table146[Quantity],Table146[Company],$B83,Table146[Date],$A83,Table146[Bill No.],$C83),""))))</f>
        <v/>
      </c>
      <c r="E83" s="219" t="str">
        <f>IF($A83="","",IF($K83="DIESEL",AVERAGEIFS(Table1[RSP],Table1[Customer],$B83,Table1[Date],$A83,Table1[Bill No.],$C83),IF($K83="PETROL",AVERAGEIFS(Table14[RSP],Table14[Customer],$B83,Table14[Date],$A83,Table14[Bill No.],$C83),IF($K83="XtraGreen",AVERAGEIFS(Table146[RSP],Table146[Company],$B83,Table146[Date],$A83,Table146[Bill No.],$C83),IFERROR($F83/$D83,"")))))</f>
        <v/>
      </c>
      <c r="F83" s="330" t="str">
        <f>IF($A83="","",IF($K83="DIESEL",SUMIFS(Table1[Amount],Table1[Customer],$B83,Table1[Date],$A83,Table1[Bill No.],$C83),IF($K83="PETROL",SUMIFS(Table14[Amount],Table14[Customer],$B83,Table14[Date],$A83,Table14[Bill No.],$C83),IF($K83="XtraGreen",SUMIFS(Table146[Amount],Table146[Company],$B83,Table146[Date],$A83,Table146[Bill No.],$C83),SUMIFS('Other Sale'!$D:$D,'Other Sale'!$E:$E,$B83,'Other Sale'!$C:$C,$K83,'Other Sale'!$A:$A,$A83)))))</f>
        <v/>
      </c>
      <c r="G83" s="330" t="str" cm="1">
        <f t="array" ref="G83">IF($A83="","",IF($K83="Payment",IFERROR(INDEX(_xlfn._xlws.FILTER(MasterPaid[Amount Paid],(MasterPaid[Customer]=$B83)*(MasterPaid[Date]=$A83)),COUNTIFS($A$6:$A83,$A83,$B$6:$B83,$B83,$K$6:$K83,"Payment")),0),0))</f>
        <v/>
      </c>
      <c r="H83" s="331"/>
      <c r="I83" s="331"/>
      <c r="J83" s="330" t="str">
        <f t="shared" si="1"/>
        <v/>
      </c>
      <c r="K83" s="289" t="str" cm="1">
        <f t="array" ref="K83">IFERROR(INDEX(_xlfn.ANCHORARRAY($Q$6),ROW()-5,4),"")</f>
        <v/>
      </c>
      <c r="L83" s="290"/>
      <c r="U83">
        <f>IF(OR($A83="",$F83=""),0,MAX(0,MIN($F83,SUMIFS($F$6:$F83,$B$6:$B83,$B83)-(SUMIFS($G$6:$G$355,$B$6:$B$355,$B83)+SUMIFS($H$6:$H$355,$B$6:$B$355,$B83)+SUMIFS($I$6:$I$355,$B$6:$B$355,$B83)))))</f>
        <v>0</v>
      </c>
    </row>
    <row r="84" spans="1:21" ht="23" x14ac:dyDescent="0.25">
      <c r="A84" s="217" t="str" cm="1">
        <f t="array" ref="A84">IFERROR(INDEX(_xlfn.ANCHORARRAY($Q$6),ROW()-5,1),"")</f>
        <v/>
      </c>
      <c r="B84" s="288" t="str" cm="1">
        <f t="array" ref="B84">IFERROR(INDEX(_xlfn.ANCHORARRAY($Q$6),ROW()-5,2),"")</f>
        <v/>
      </c>
      <c r="C84" s="289" t="str" cm="1">
        <f t="array" ref="C84">IFERROR(INDEX(_xlfn.ANCHORARRAY($Q$6),ROW()-5,3),"")</f>
        <v/>
      </c>
      <c r="D84" s="218" t="str">
        <f>IF($A84="","",IF($K84="DIESEL",SUMIFS(Table1[Quantity],Table1[Customer],$B84,Table1[Date],$A84,Table1[Bill No.],$C84),IF($K84="PETROL",SUMIFS(Table14[Quantity],Table14[Customer],$B84,Table14[Date],$A84,Table14[Bill No.],$C84),IF($K84="XtraGreen",SUMIFS(Table146[Quantity],Table146[Company],$B84,Table146[Date],$A84,Table146[Bill No.],$C84),""))))</f>
        <v/>
      </c>
      <c r="E84" s="219" t="str">
        <f>IF($A84="","",IF($K84="DIESEL",AVERAGEIFS(Table1[RSP],Table1[Customer],$B84,Table1[Date],$A84,Table1[Bill No.],$C84),IF($K84="PETROL",AVERAGEIFS(Table14[RSP],Table14[Customer],$B84,Table14[Date],$A84,Table14[Bill No.],$C84),IF($K84="XtraGreen",AVERAGEIFS(Table146[RSP],Table146[Company],$B84,Table146[Date],$A84,Table146[Bill No.],$C84),IFERROR($F84/$D84,"")))))</f>
        <v/>
      </c>
      <c r="F84" s="330" t="str">
        <f>IF($A84="","",IF($K84="DIESEL",SUMIFS(Table1[Amount],Table1[Customer],$B84,Table1[Date],$A84,Table1[Bill No.],$C84),IF($K84="PETROL",SUMIFS(Table14[Amount],Table14[Customer],$B84,Table14[Date],$A84,Table14[Bill No.],$C84),IF($K84="XtraGreen",SUMIFS(Table146[Amount],Table146[Company],$B84,Table146[Date],$A84,Table146[Bill No.],$C84),SUMIFS('Other Sale'!$D:$D,'Other Sale'!$E:$E,$B84,'Other Sale'!$C:$C,$K84,'Other Sale'!$A:$A,$A84)))))</f>
        <v/>
      </c>
      <c r="G84" s="330" t="str" cm="1">
        <f t="array" ref="G84">IF($A84="","",IF($K84="Payment",IFERROR(INDEX(_xlfn._xlws.FILTER(MasterPaid[Amount Paid],(MasterPaid[Customer]=$B84)*(MasterPaid[Date]=$A84)),COUNTIFS($A$6:$A84,$A84,$B$6:$B84,$B84,$K$6:$K84,"Payment")),0),0))</f>
        <v/>
      </c>
      <c r="H84" s="331"/>
      <c r="I84" s="331"/>
      <c r="J84" s="330" t="str">
        <f t="shared" si="1"/>
        <v/>
      </c>
      <c r="K84" s="289" t="str" cm="1">
        <f t="array" ref="K84">IFERROR(INDEX(_xlfn.ANCHORARRAY($Q$6),ROW()-5,4),"")</f>
        <v/>
      </c>
      <c r="L84" s="290"/>
      <c r="U84">
        <f>IF(OR($A84="",$F84=""),0,MAX(0,MIN($F84,SUMIFS($F$6:$F84,$B$6:$B84,$B84)-(SUMIFS($G$6:$G$355,$B$6:$B$355,$B84)+SUMIFS($H$6:$H$355,$B$6:$B$355,$B84)+SUMIFS($I$6:$I$355,$B$6:$B$355,$B84)))))</f>
        <v>0</v>
      </c>
    </row>
    <row r="85" spans="1:21" ht="23" x14ac:dyDescent="0.25">
      <c r="A85" s="217" t="str" cm="1">
        <f t="array" ref="A85">IFERROR(INDEX(_xlfn.ANCHORARRAY($Q$6),ROW()-5,1),"")</f>
        <v/>
      </c>
      <c r="B85" s="288" t="str" cm="1">
        <f t="array" ref="B85">IFERROR(INDEX(_xlfn.ANCHORARRAY($Q$6),ROW()-5,2),"")</f>
        <v/>
      </c>
      <c r="C85" s="289" t="str" cm="1">
        <f t="array" ref="C85">IFERROR(INDEX(_xlfn.ANCHORARRAY($Q$6),ROW()-5,3),"")</f>
        <v/>
      </c>
      <c r="D85" s="218" t="str">
        <f>IF($A85="","",IF($K85="DIESEL",SUMIFS(Table1[Quantity],Table1[Customer],$B85,Table1[Date],$A85,Table1[Bill No.],$C85),IF($K85="PETROL",SUMIFS(Table14[Quantity],Table14[Customer],$B85,Table14[Date],$A85,Table14[Bill No.],$C85),IF($K85="XtraGreen",SUMIFS(Table146[Quantity],Table146[Company],$B85,Table146[Date],$A85,Table146[Bill No.],$C85),""))))</f>
        <v/>
      </c>
      <c r="E85" s="219" t="str">
        <f>IF($A85="","",IF($K85="DIESEL",AVERAGEIFS(Table1[RSP],Table1[Customer],$B85,Table1[Date],$A85,Table1[Bill No.],$C85),IF($K85="PETROL",AVERAGEIFS(Table14[RSP],Table14[Customer],$B85,Table14[Date],$A85,Table14[Bill No.],$C85),IF($K85="XtraGreen",AVERAGEIFS(Table146[RSP],Table146[Company],$B85,Table146[Date],$A85,Table146[Bill No.],$C85),IFERROR($F85/$D85,"")))))</f>
        <v/>
      </c>
      <c r="F85" s="330" t="str">
        <f>IF($A85="","",IF($K85="DIESEL",SUMIFS(Table1[Amount],Table1[Customer],$B85,Table1[Date],$A85,Table1[Bill No.],$C85),IF($K85="PETROL",SUMIFS(Table14[Amount],Table14[Customer],$B85,Table14[Date],$A85,Table14[Bill No.],$C85),IF($K85="XtraGreen",SUMIFS(Table146[Amount],Table146[Company],$B85,Table146[Date],$A85,Table146[Bill No.],$C85),SUMIFS('Other Sale'!$D:$D,'Other Sale'!$E:$E,$B85,'Other Sale'!$C:$C,$K85,'Other Sale'!$A:$A,$A85)))))</f>
        <v/>
      </c>
      <c r="G85" s="330" t="str" cm="1">
        <f t="array" ref="G85">IF($A85="","",IF($K85="Payment",IFERROR(INDEX(_xlfn._xlws.FILTER(MasterPaid[Amount Paid],(MasterPaid[Customer]=$B85)*(MasterPaid[Date]=$A85)),COUNTIFS($A$6:$A85,$A85,$B$6:$B85,$B85,$K$6:$K85,"Payment")),0),0))</f>
        <v/>
      </c>
      <c r="H85" s="331"/>
      <c r="I85" s="331"/>
      <c r="J85" s="330" t="str">
        <f t="shared" si="1"/>
        <v/>
      </c>
      <c r="K85" s="289" t="str" cm="1">
        <f t="array" ref="K85">IFERROR(INDEX(_xlfn.ANCHORARRAY($Q$6),ROW()-5,4),"")</f>
        <v/>
      </c>
      <c r="L85" s="290"/>
      <c r="U85">
        <f>IF(OR($A85="",$F85=""),0,MAX(0,MIN($F85,SUMIFS($F$6:$F85,$B$6:$B85,$B85)-(SUMIFS($G$6:$G$355,$B$6:$B$355,$B85)+SUMIFS($H$6:$H$355,$B$6:$B$355,$B85)+SUMIFS($I$6:$I$355,$B$6:$B$355,$B85)))))</f>
        <v>0</v>
      </c>
    </row>
    <row r="86" spans="1:21" ht="23" x14ac:dyDescent="0.25">
      <c r="A86" s="217" t="str" cm="1">
        <f t="array" ref="A86">IFERROR(INDEX(_xlfn.ANCHORARRAY($Q$6),ROW()-5,1),"")</f>
        <v/>
      </c>
      <c r="B86" s="288" t="str" cm="1">
        <f t="array" ref="B86">IFERROR(INDEX(_xlfn.ANCHORARRAY($Q$6),ROW()-5,2),"")</f>
        <v/>
      </c>
      <c r="C86" s="289" t="str" cm="1">
        <f t="array" ref="C86">IFERROR(INDEX(_xlfn.ANCHORARRAY($Q$6),ROW()-5,3),"")</f>
        <v/>
      </c>
      <c r="D86" s="218" t="str">
        <f>IF($A86="","",IF($K86="DIESEL",SUMIFS(Table1[Quantity],Table1[Customer],$B86,Table1[Date],$A86,Table1[Bill No.],$C86),IF($K86="PETROL",SUMIFS(Table14[Quantity],Table14[Customer],$B86,Table14[Date],$A86,Table14[Bill No.],$C86),IF($K86="XtraGreen",SUMIFS(Table146[Quantity],Table146[Company],$B86,Table146[Date],$A86,Table146[Bill No.],$C86),""))))</f>
        <v/>
      </c>
      <c r="E86" s="219" t="str">
        <f>IF($A86="","",IF($K86="DIESEL",AVERAGEIFS(Table1[RSP],Table1[Customer],$B86,Table1[Date],$A86,Table1[Bill No.],$C86),IF($K86="PETROL",AVERAGEIFS(Table14[RSP],Table14[Customer],$B86,Table14[Date],$A86,Table14[Bill No.],$C86),IF($K86="XtraGreen",AVERAGEIFS(Table146[RSP],Table146[Company],$B86,Table146[Date],$A86,Table146[Bill No.],$C86),IFERROR($F86/$D86,"")))))</f>
        <v/>
      </c>
      <c r="F86" s="330" t="str">
        <f>IF($A86="","",IF($K86="DIESEL",SUMIFS(Table1[Amount],Table1[Customer],$B86,Table1[Date],$A86,Table1[Bill No.],$C86),IF($K86="PETROL",SUMIFS(Table14[Amount],Table14[Customer],$B86,Table14[Date],$A86,Table14[Bill No.],$C86),IF($K86="XtraGreen",SUMIFS(Table146[Amount],Table146[Company],$B86,Table146[Date],$A86,Table146[Bill No.],$C86),SUMIFS('Other Sale'!$D:$D,'Other Sale'!$E:$E,$B86,'Other Sale'!$C:$C,$K86,'Other Sale'!$A:$A,$A86)))))</f>
        <v/>
      </c>
      <c r="G86" s="330" t="str" cm="1">
        <f t="array" ref="G86">IF($A86="","",IF($K86="Payment",IFERROR(INDEX(_xlfn._xlws.FILTER(MasterPaid[Amount Paid],(MasterPaid[Customer]=$B86)*(MasterPaid[Date]=$A86)),COUNTIFS($A$6:$A86,$A86,$B$6:$B86,$B86,$K$6:$K86,"Payment")),0),0))</f>
        <v/>
      </c>
      <c r="H86" s="331"/>
      <c r="I86" s="331"/>
      <c r="J86" s="330" t="str">
        <f t="shared" si="1"/>
        <v/>
      </c>
      <c r="K86" s="289" t="str" cm="1">
        <f t="array" ref="K86">IFERROR(INDEX(_xlfn.ANCHORARRAY($Q$6),ROW()-5,4),"")</f>
        <v/>
      </c>
      <c r="L86" s="290"/>
      <c r="U86">
        <f>IF(OR($A86="",$F86=""),0,MAX(0,MIN($F86,SUMIFS($F$6:$F86,$B$6:$B86,$B86)-(SUMIFS($G$6:$G$355,$B$6:$B$355,$B86)+SUMIFS($H$6:$H$355,$B$6:$B$355,$B86)+SUMIFS($I$6:$I$355,$B$6:$B$355,$B86)))))</f>
        <v>0</v>
      </c>
    </row>
    <row r="87" spans="1:21" ht="23" x14ac:dyDescent="0.25">
      <c r="A87" s="217" t="str" cm="1">
        <f t="array" ref="A87">IFERROR(INDEX(_xlfn.ANCHORARRAY($Q$6),ROW()-5,1),"")</f>
        <v/>
      </c>
      <c r="B87" s="288" t="str" cm="1">
        <f t="array" ref="B87">IFERROR(INDEX(_xlfn.ANCHORARRAY($Q$6),ROW()-5,2),"")</f>
        <v/>
      </c>
      <c r="C87" s="289" t="str" cm="1">
        <f t="array" ref="C87">IFERROR(INDEX(_xlfn.ANCHORARRAY($Q$6),ROW()-5,3),"")</f>
        <v/>
      </c>
      <c r="D87" s="218" t="str">
        <f>IF($A87="","",IF($K87="DIESEL",SUMIFS(Table1[Quantity],Table1[Customer],$B87,Table1[Date],$A87,Table1[Bill No.],$C87),IF($K87="PETROL",SUMIFS(Table14[Quantity],Table14[Customer],$B87,Table14[Date],$A87,Table14[Bill No.],$C87),IF($K87="XtraGreen",SUMIFS(Table146[Quantity],Table146[Company],$B87,Table146[Date],$A87,Table146[Bill No.],$C87),""))))</f>
        <v/>
      </c>
      <c r="E87" s="219" t="str">
        <f>IF($A87="","",IF($K87="DIESEL",AVERAGEIFS(Table1[RSP],Table1[Customer],$B87,Table1[Date],$A87,Table1[Bill No.],$C87),IF($K87="PETROL",AVERAGEIFS(Table14[RSP],Table14[Customer],$B87,Table14[Date],$A87,Table14[Bill No.],$C87),IF($K87="XtraGreen",AVERAGEIFS(Table146[RSP],Table146[Company],$B87,Table146[Date],$A87,Table146[Bill No.],$C87),IFERROR($F87/$D87,"")))))</f>
        <v/>
      </c>
      <c r="F87" s="330" t="str">
        <f>IF($A87="","",IF($K87="DIESEL",SUMIFS(Table1[Amount],Table1[Customer],$B87,Table1[Date],$A87,Table1[Bill No.],$C87),IF($K87="PETROL",SUMIFS(Table14[Amount],Table14[Customer],$B87,Table14[Date],$A87,Table14[Bill No.],$C87),IF($K87="XtraGreen",SUMIFS(Table146[Amount],Table146[Company],$B87,Table146[Date],$A87,Table146[Bill No.],$C87),SUMIFS('Other Sale'!$D:$D,'Other Sale'!$E:$E,$B87,'Other Sale'!$C:$C,$K87,'Other Sale'!$A:$A,$A87)))))</f>
        <v/>
      </c>
      <c r="G87" s="330" t="str" cm="1">
        <f t="array" ref="G87">IF($A87="","",IF($K87="Payment",IFERROR(INDEX(_xlfn._xlws.FILTER(MasterPaid[Amount Paid],(MasterPaid[Customer]=$B87)*(MasterPaid[Date]=$A87)),COUNTIFS($A$6:$A87,$A87,$B$6:$B87,$B87,$K$6:$K87,"Payment")),0),0))</f>
        <v/>
      </c>
      <c r="H87" s="331"/>
      <c r="I87" s="331"/>
      <c r="J87" s="330" t="str">
        <f t="shared" si="1"/>
        <v/>
      </c>
      <c r="K87" s="289" t="str" cm="1">
        <f t="array" ref="K87">IFERROR(INDEX(_xlfn.ANCHORARRAY($Q$6),ROW()-5,4),"")</f>
        <v/>
      </c>
      <c r="L87" s="290"/>
      <c r="U87">
        <f>IF(OR($A87="",$F87=""),0,MAX(0,MIN($F87,SUMIFS($F$6:$F87,$B$6:$B87,$B87)-(SUMIFS($G$6:$G$355,$B$6:$B$355,$B87)+SUMIFS($H$6:$H$355,$B$6:$B$355,$B87)+SUMIFS($I$6:$I$355,$B$6:$B$355,$B87)))))</f>
        <v>0</v>
      </c>
    </row>
    <row r="88" spans="1:21" ht="23" x14ac:dyDescent="0.25">
      <c r="A88" s="217" t="str" cm="1">
        <f t="array" ref="A88">IFERROR(INDEX(_xlfn.ANCHORARRAY($Q$6),ROW()-5,1),"")</f>
        <v/>
      </c>
      <c r="B88" s="288" t="str" cm="1">
        <f t="array" ref="B88">IFERROR(INDEX(_xlfn.ANCHORARRAY($Q$6),ROW()-5,2),"")</f>
        <v/>
      </c>
      <c r="C88" s="289" t="str" cm="1">
        <f t="array" ref="C88">IFERROR(INDEX(_xlfn.ANCHORARRAY($Q$6),ROW()-5,3),"")</f>
        <v/>
      </c>
      <c r="D88" s="218" t="str">
        <f>IF($A88="","",IF($K88="DIESEL",SUMIFS(Table1[Quantity],Table1[Customer],$B88,Table1[Date],$A88,Table1[Bill No.],$C88),IF($K88="PETROL",SUMIFS(Table14[Quantity],Table14[Customer],$B88,Table14[Date],$A88,Table14[Bill No.],$C88),IF($K88="XtraGreen",SUMIFS(Table146[Quantity],Table146[Company],$B88,Table146[Date],$A88,Table146[Bill No.],$C88),""))))</f>
        <v/>
      </c>
      <c r="E88" s="219" t="str">
        <f>IF($A88="","",IF($K88="DIESEL",AVERAGEIFS(Table1[RSP],Table1[Customer],$B88,Table1[Date],$A88,Table1[Bill No.],$C88),IF($K88="PETROL",AVERAGEIFS(Table14[RSP],Table14[Customer],$B88,Table14[Date],$A88,Table14[Bill No.],$C88),IF($K88="XtraGreen",AVERAGEIFS(Table146[RSP],Table146[Company],$B88,Table146[Date],$A88,Table146[Bill No.],$C88),IFERROR($F88/$D88,"")))))</f>
        <v/>
      </c>
      <c r="F88" s="330" t="str">
        <f>IF($A88="","",IF($K88="DIESEL",SUMIFS(Table1[Amount],Table1[Customer],$B88,Table1[Date],$A88,Table1[Bill No.],$C88),IF($K88="PETROL",SUMIFS(Table14[Amount],Table14[Customer],$B88,Table14[Date],$A88,Table14[Bill No.],$C88),IF($K88="XtraGreen",SUMIFS(Table146[Amount],Table146[Company],$B88,Table146[Date],$A88,Table146[Bill No.],$C88),SUMIFS('Other Sale'!$D:$D,'Other Sale'!$E:$E,$B88,'Other Sale'!$C:$C,$K88,'Other Sale'!$A:$A,$A88)))))</f>
        <v/>
      </c>
      <c r="G88" s="330" t="str" cm="1">
        <f t="array" ref="G88">IF($A88="","",IF($K88="Payment",IFERROR(INDEX(_xlfn._xlws.FILTER(MasterPaid[Amount Paid],(MasterPaid[Customer]=$B88)*(MasterPaid[Date]=$A88)),COUNTIFS($A$6:$A88,$A88,$B$6:$B88,$B88,$K$6:$K88,"Payment")),0),0))</f>
        <v/>
      </c>
      <c r="H88" s="331"/>
      <c r="I88" s="331"/>
      <c r="J88" s="330" t="str">
        <f t="shared" si="1"/>
        <v/>
      </c>
      <c r="K88" s="289" t="str" cm="1">
        <f t="array" ref="K88">IFERROR(INDEX(_xlfn.ANCHORARRAY($Q$6),ROW()-5,4),"")</f>
        <v/>
      </c>
      <c r="L88" s="290"/>
      <c r="U88">
        <f>IF(OR($A88="",$F88=""),0,MAX(0,MIN($F88,SUMIFS($F$6:$F88,$B$6:$B88,$B88)-(SUMIFS($G$6:$G$355,$B$6:$B$355,$B88)+SUMIFS($H$6:$H$355,$B$6:$B$355,$B88)+SUMIFS($I$6:$I$355,$B$6:$B$355,$B88)))))</f>
        <v>0</v>
      </c>
    </row>
    <row r="89" spans="1:21" ht="23" x14ac:dyDescent="0.25">
      <c r="A89" s="217" t="str" cm="1">
        <f t="array" ref="A89">IFERROR(INDEX(_xlfn.ANCHORARRAY($Q$6),ROW()-5,1),"")</f>
        <v/>
      </c>
      <c r="B89" s="288" t="str" cm="1">
        <f t="array" ref="B89">IFERROR(INDEX(_xlfn.ANCHORARRAY($Q$6),ROW()-5,2),"")</f>
        <v/>
      </c>
      <c r="C89" s="289" t="str" cm="1">
        <f t="array" ref="C89">IFERROR(INDEX(_xlfn.ANCHORARRAY($Q$6),ROW()-5,3),"")</f>
        <v/>
      </c>
      <c r="D89" s="218" t="str">
        <f>IF($A89="","",IF($K89="DIESEL",SUMIFS(Table1[Quantity],Table1[Customer],$B89,Table1[Date],$A89,Table1[Bill No.],$C89),IF($K89="PETROL",SUMIFS(Table14[Quantity],Table14[Customer],$B89,Table14[Date],$A89,Table14[Bill No.],$C89),IF($K89="XtraGreen",SUMIFS(Table146[Quantity],Table146[Company],$B89,Table146[Date],$A89,Table146[Bill No.],$C89),""))))</f>
        <v/>
      </c>
      <c r="E89" s="219" t="str">
        <f>IF($A89="","",IF($K89="DIESEL",AVERAGEIFS(Table1[RSP],Table1[Customer],$B89,Table1[Date],$A89,Table1[Bill No.],$C89),IF($K89="PETROL",AVERAGEIFS(Table14[RSP],Table14[Customer],$B89,Table14[Date],$A89,Table14[Bill No.],$C89),IF($K89="XtraGreen",AVERAGEIFS(Table146[RSP],Table146[Company],$B89,Table146[Date],$A89,Table146[Bill No.],$C89),IFERROR($F89/$D89,"")))))</f>
        <v/>
      </c>
      <c r="F89" s="330" t="str">
        <f>IF($A89="","",IF($K89="DIESEL",SUMIFS(Table1[Amount],Table1[Customer],$B89,Table1[Date],$A89,Table1[Bill No.],$C89),IF($K89="PETROL",SUMIFS(Table14[Amount],Table14[Customer],$B89,Table14[Date],$A89,Table14[Bill No.],$C89),IF($K89="XtraGreen",SUMIFS(Table146[Amount],Table146[Company],$B89,Table146[Date],$A89,Table146[Bill No.],$C89),SUMIFS('Other Sale'!$D:$D,'Other Sale'!$E:$E,$B89,'Other Sale'!$C:$C,$K89,'Other Sale'!$A:$A,$A89)))))</f>
        <v/>
      </c>
      <c r="G89" s="330" t="str" cm="1">
        <f t="array" ref="G89">IF($A89="","",IF($K89="Payment",IFERROR(INDEX(_xlfn._xlws.FILTER(MasterPaid[Amount Paid],(MasterPaid[Customer]=$B89)*(MasterPaid[Date]=$A89)),COUNTIFS($A$6:$A89,$A89,$B$6:$B89,$B89,$K$6:$K89,"Payment")),0),0))</f>
        <v/>
      </c>
      <c r="H89" s="331"/>
      <c r="I89" s="331"/>
      <c r="J89" s="330" t="str">
        <f t="shared" si="1"/>
        <v/>
      </c>
      <c r="K89" s="289" t="str" cm="1">
        <f t="array" ref="K89">IFERROR(INDEX(_xlfn.ANCHORARRAY($Q$6),ROW()-5,4),"")</f>
        <v/>
      </c>
      <c r="L89" s="290"/>
      <c r="U89">
        <f>IF(OR($A89="",$F89=""),0,MAX(0,MIN($F89,SUMIFS($F$6:$F89,$B$6:$B89,$B89)-(SUMIFS($G$6:$G$355,$B$6:$B$355,$B89)+SUMIFS($H$6:$H$355,$B$6:$B$355,$B89)+SUMIFS($I$6:$I$355,$B$6:$B$355,$B89)))))</f>
        <v>0</v>
      </c>
    </row>
    <row r="90" spans="1:21" ht="23" x14ac:dyDescent="0.25">
      <c r="A90" s="217" t="str" cm="1">
        <f t="array" ref="A90">IFERROR(INDEX(_xlfn.ANCHORARRAY($Q$6),ROW()-5,1),"")</f>
        <v/>
      </c>
      <c r="B90" s="288" t="str" cm="1">
        <f t="array" ref="B90">IFERROR(INDEX(_xlfn.ANCHORARRAY($Q$6),ROW()-5,2),"")</f>
        <v/>
      </c>
      <c r="C90" s="289" t="str" cm="1">
        <f t="array" ref="C90">IFERROR(INDEX(_xlfn.ANCHORARRAY($Q$6),ROW()-5,3),"")</f>
        <v/>
      </c>
      <c r="D90" s="218" t="str">
        <f>IF($A90="","",IF($K90="DIESEL",SUMIFS(Table1[Quantity],Table1[Customer],$B90,Table1[Date],$A90,Table1[Bill No.],$C90),IF($K90="PETROL",SUMIFS(Table14[Quantity],Table14[Customer],$B90,Table14[Date],$A90,Table14[Bill No.],$C90),IF($K90="XtraGreen",SUMIFS(Table146[Quantity],Table146[Company],$B90,Table146[Date],$A90,Table146[Bill No.],$C90),""))))</f>
        <v/>
      </c>
      <c r="E90" s="219" t="str">
        <f>IF($A90="","",IF($K90="DIESEL",AVERAGEIFS(Table1[RSP],Table1[Customer],$B90,Table1[Date],$A90,Table1[Bill No.],$C90),IF($K90="PETROL",AVERAGEIFS(Table14[RSP],Table14[Customer],$B90,Table14[Date],$A90,Table14[Bill No.],$C90),IF($K90="XtraGreen",AVERAGEIFS(Table146[RSP],Table146[Company],$B90,Table146[Date],$A90,Table146[Bill No.],$C90),IFERROR($F90/$D90,"")))))</f>
        <v/>
      </c>
      <c r="F90" s="330" t="str">
        <f>IF($A90="","",IF($K90="DIESEL",SUMIFS(Table1[Amount],Table1[Customer],$B90,Table1[Date],$A90,Table1[Bill No.],$C90),IF($K90="PETROL",SUMIFS(Table14[Amount],Table14[Customer],$B90,Table14[Date],$A90,Table14[Bill No.],$C90),IF($K90="XtraGreen",SUMIFS(Table146[Amount],Table146[Company],$B90,Table146[Date],$A90,Table146[Bill No.],$C90),SUMIFS('Other Sale'!$D:$D,'Other Sale'!$E:$E,$B90,'Other Sale'!$C:$C,$K90,'Other Sale'!$A:$A,$A90)))))</f>
        <v/>
      </c>
      <c r="G90" s="330" t="str" cm="1">
        <f t="array" ref="G90">IF($A90="","",IF($K90="Payment",IFERROR(INDEX(_xlfn._xlws.FILTER(MasterPaid[Amount Paid],(MasterPaid[Customer]=$B90)*(MasterPaid[Date]=$A90)),COUNTIFS($A$6:$A90,$A90,$B$6:$B90,$B90,$K$6:$K90,"Payment")),0),0))</f>
        <v/>
      </c>
      <c r="H90" s="331"/>
      <c r="I90" s="331"/>
      <c r="J90" s="330" t="str">
        <f t="shared" si="1"/>
        <v/>
      </c>
      <c r="K90" s="289" t="str" cm="1">
        <f t="array" ref="K90">IFERROR(INDEX(_xlfn.ANCHORARRAY($Q$6),ROW()-5,4),"")</f>
        <v/>
      </c>
      <c r="L90" s="290"/>
      <c r="U90">
        <f>IF(OR($A90="",$F90=""),0,MAX(0,MIN($F90,SUMIFS($F$6:$F90,$B$6:$B90,$B90)-(SUMIFS($G$6:$G$355,$B$6:$B$355,$B90)+SUMIFS($H$6:$H$355,$B$6:$B$355,$B90)+SUMIFS($I$6:$I$355,$B$6:$B$355,$B90)))))</f>
        <v>0</v>
      </c>
    </row>
    <row r="91" spans="1:21" ht="23" x14ac:dyDescent="0.25">
      <c r="A91" s="217" t="str" cm="1">
        <f t="array" ref="A91">IFERROR(INDEX(_xlfn.ANCHORARRAY($Q$6),ROW()-5,1),"")</f>
        <v/>
      </c>
      <c r="B91" s="288" t="str" cm="1">
        <f t="array" ref="B91">IFERROR(INDEX(_xlfn.ANCHORARRAY($Q$6),ROW()-5,2),"")</f>
        <v/>
      </c>
      <c r="C91" s="289" t="str" cm="1">
        <f t="array" ref="C91">IFERROR(INDEX(_xlfn.ANCHORARRAY($Q$6),ROW()-5,3),"")</f>
        <v/>
      </c>
      <c r="D91" s="218" t="str">
        <f>IF($A91="","",IF($K91="DIESEL",SUMIFS(Table1[Quantity],Table1[Customer],$B91,Table1[Date],$A91,Table1[Bill No.],$C91),IF($K91="PETROL",SUMIFS(Table14[Quantity],Table14[Customer],$B91,Table14[Date],$A91,Table14[Bill No.],$C91),IF($K91="XtraGreen",SUMIFS(Table146[Quantity],Table146[Company],$B91,Table146[Date],$A91,Table146[Bill No.],$C91),""))))</f>
        <v/>
      </c>
      <c r="E91" s="219" t="str">
        <f>IF($A91="","",IF($K91="DIESEL",AVERAGEIFS(Table1[RSP],Table1[Customer],$B91,Table1[Date],$A91,Table1[Bill No.],$C91),IF($K91="PETROL",AVERAGEIFS(Table14[RSP],Table14[Customer],$B91,Table14[Date],$A91,Table14[Bill No.],$C91),IF($K91="XtraGreen",AVERAGEIFS(Table146[RSP],Table146[Company],$B91,Table146[Date],$A91,Table146[Bill No.],$C91),IFERROR($F91/$D91,"")))))</f>
        <v/>
      </c>
      <c r="F91" s="330" t="str">
        <f>IF($A91="","",IF($K91="DIESEL",SUMIFS(Table1[Amount],Table1[Customer],$B91,Table1[Date],$A91,Table1[Bill No.],$C91),IF($K91="PETROL",SUMIFS(Table14[Amount],Table14[Customer],$B91,Table14[Date],$A91,Table14[Bill No.],$C91),IF($K91="XtraGreen",SUMIFS(Table146[Amount],Table146[Company],$B91,Table146[Date],$A91,Table146[Bill No.],$C91),SUMIFS('Other Sale'!$D:$D,'Other Sale'!$E:$E,$B91,'Other Sale'!$C:$C,$K91,'Other Sale'!$A:$A,$A91)))))</f>
        <v/>
      </c>
      <c r="G91" s="330" t="str" cm="1">
        <f t="array" ref="G91">IF($A91="","",IF($K91="Payment",IFERROR(INDEX(_xlfn._xlws.FILTER(MasterPaid[Amount Paid],(MasterPaid[Customer]=$B91)*(MasterPaid[Date]=$A91)),COUNTIFS($A$6:$A91,$A91,$B$6:$B91,$B91,$K$6:$K91,"Payment")),0),0))</f>
        <v/>
      </c>
      <c r="H91" s="331"/>
      <c r="I91" s="331"/>
      <c r="J91" s="330" t="str">
        <f t="shared" si="1"/>
        <v/>
      </c>
      <c r="K91" s="289" t="str" cm="1">
        <f t="array" ref="K91">IFERROR(INDEX(_xlfn.ANCHORARRAY($Q$6),ROW()-5,4),"")</f>
        <v/>
      </c>
      <c r="L91" s="290"/>
      <c r="U91">
        <f>IF(OR($A91="",$F91=""),0,MAX(0,MIN($F91,SUMIFS($F$6:$F91,$B$6:$B91,$B91)-(SUMIFS($G$6:$G$355,$B$6:$B$355,$B91)+SUMIFS($H$6:$H$355,$B$6:$B$355,$B91)+SUMIFS($I$6:$I$355,$B$6:$B$355,$B91)))))</f>
        <v>0</v>
      </c>
    </row>
    <row r="92" spans="1:21" ht="23" x14ac:dyDescent="0.25">
      <c r="A92" s="217" t="str" cm="1">
        <f t="array" ref="A92">IFERROR(INDEX(_xlfn.ANCHORARRAY($Q$6),ROW()-5,1),"")</f>
        <v/>
      </c>
      <c r="B92" s="288" t="str" cm="1">
        <f t="array" ref="B92">IFERROR(INDEX(_xlfn.ANCHORARRAY($Q$6),ROW()-5,2),"")</f>
        <v/>
      </c>
      <c r="C92" s="289" t="str" cm="1">
        <f t="array" ref="C92">IFERROR(INDEX(_xlfn.ANCHORARRAY($Q$6),ROW()-5,3),"")</f>
        <v/>
      </c>
      <c r="D92" s="218" t="str">
        <f>IF($A92="","",IF($K92="DIESEL",SUMIFS(Table1[Quantity],Table1[Customer],$B92,Table1[Date],$A92,Table1[Bill No.],$C92),IF($K92="PETROL",SUMIFS(Table14[Quantity],Table14[Customer],$B92,Table14[Date],$A92,Table14[Bill No.],$C92),IF($K92="XtraGreen",SUMIFS(Table146[Quantity],Table146[Company],$B92,Table146[Date],$A92,Table146[Bill No.],$C92),""))))</f>
        <v/>
      </c>
      <c r="E92" s="219" t="str">
        <f>IF($A92="","",IF($K92="DIESEL",AVERAGEIFS(Table1[RSP],Table1[Customer],$B92,Table1[Date],$A92,Table1[Bill No.],$C92),IF($K92="PETROL",AVERAGEIFS(Table14[RSP],Table14[Customer],$B92,Table14[Date],$A92,Table14[Bill No.],$C92),IF($K92="XtraGreen",AVERAGEIFS(Table146[RSP],Table146[Company],$B92,Table146[Date],$A92,Table146[Bill No.],$C92),IFERROR($F92/$D92,"")))))</f>
        <v/>
      </c>
      <c r="F92" s="330" t="str">
        <f>IF($A92="","",IF($K92="DIESEL",SUMIFS(Table1[Amount],Table1[Customer],$B92,Table1[Date],$A92,Table1[Bill No.],$C92),IF($K92="PETROL",SUMIFS(Table14[Amount],Table14[Customer],$B92,Table14[Date],$A92,Table14[Bill No.],$C92),IF($K92="XtraGreen",SUMIFS(Table146[Amount],Table146[Company],$B92,Table146[Date],$A92,Table146[Bill No.],$C92),SUMIFS('Other Sale'!$D:$D,'Other Sale'!$E:$E,$B92,'Other Sale'!$C:$C,$K92,'Other Sale'!$A:$A,$A92)))))</f>
        <v/>
      </c>
      <c r="G92" s="330" t="str" cm="1">
        <f t="array" ref="G92">IF($A92="","",IF($K92="Payment",IFERROR(INDEX(_xlfn._xlws.FILTER(MasterPaid[Amount Paid],(MasterPaid[Customer]=$B92)*(MasterPaid[Date]=$A92)),COUNTIFS($A$6:$A92,$A92,$B$6:$B92,$B92,$K$6:$K92,"Payment")),0),0))</f>
        <v/>
      </c>
      <c r="H92" s="331"/>
      <c r="I92" s="331"/>
      <c r="J92" s="330" t="str">
        <f t="shared" si="1"/>
        <v/>
      </c>
      <c r="K92" s="289" t="str" cm="1">
        <f t="array" ref="K92">IFERROR(INDEX(_xlfn.ANCHORARRAY($Q$6),ROW()-5,4),"")</f>
        <v/>
      </c>
      <c r="L92" s="290"/>
      <c r="U92">
        <f>IF(OR($A92="",$F92=""),0,MAX(0,MIN($F92,SUMIFS($F$6:$F92,$B$6:$B92,$B92)-(SUMIFS($G$6:$G$355,$B$6:$B$355,$B92)+SUMIFS($H$6:$H$355,$B$6:$B$355,$B92)+SUMIFS($I$6:$I$355,$B$6:$B$355,$B92)))))</f>
        <v>0</v>
      </c>
    </row>
    <row r="93" spans="1:21" ht="23" x14ac:dyDescent="0.25">
      <c r="A93" s="217" t="str" cm="1">
        <f t="array" ref="A93">IFERROR(INDEX(_xlfn.ANCHORARRAY($Q$6),ROW()-5,1),"")</f>
        <v/>
      </c>
      <c r="B93" s="288" t="str" cm="1">
        <f t="array" ref="B93">IFERROR(INDEX(_xlfn.ANCHORARRAY($Q$6),ROW()-5,2),"")</f>
        <v/>
      </c>
      <c r="C93" s="289" t="str" cm="1">
        <f t="array" ref="C93">IFERROR(INDEX(_xlfn.ANCHORARRAY($Q$6),ROW()-5,3),"")</f>
        <v/>
      </c>
      <c r="D93" s="218" t="str">
        <f>IF($A93="","",IF($K93="DIESEL",SUMIFS(Table1[Quantity],Table1[Customer],$B93,Table1[Date],$A93,Table1[Bill No.],$C93),IF($K93="PETROL",SUMIFS(Table14[Quantity],Table14[Customer],$B93,Table14[Date],$A93,Table14[Bill No.],$C93),IF($K93="XtraGreen",SUMIFS(Table146[Quantity],Table146[Company],$B93,Table146[Date],$A93,Table146[Bill No.],$C93),""))))</f>
        <v/>
      </c>
      <c r="E93" s="219" t="str">
        <f>IF($A93="","",IF($K93="DIESEL",AVERAGEIFS(Table1[RSP],Table1[Customer],$B93,Table1[Date],$A93,Table1[Bill No.],$C93),IF($K93="PETROL",AVERAGEIFS(Table14[RSP],Table14[Customer],$B93,Table14[Date],$A93,Table14[Bill No.],$C93),IF($K93="XtraGreen",AVERAGEIFS(Table146[RSP],Table146[Company],$B93,Table146[Date],$A93,Table146[Bill No.],$C93),IFERROR($F93/$D93,"")))))</f>
        <v/>
      </c>
      <c r="F93" s="330" t="str">
        <f>IF($A93="","",IF($K93="DIESEL",SUMIFS(Table1[Amount],Table1[Customer],$B93,Table1[Date],$A93,Table1[Bill No.],$C93),IF($K93="PETROL",SUMIFS(Table14[Amount],Table14[Customer],$B93,Table14[Date],$A93,Table14[Bill No.],$C93),IF($K93="XtraGreen",SUMIFS(Table146[Amount],Table146[Company],$B93,Table146[Date],$A93,Table146[Bill No.],$C93),SUMIFS('Other Sale'!$D:$D,'Other Sale'!$E:$E,$B93,'Other Sale'!$C:$C,$K93,'Other Sale'!$A:$A,$A93)))))</f>
        <v/>
      </c>
      <c r="G93" s="330" t="str" cm="1">
        <f t="array" ref="G93">IF($A93="","",IF($K93="Payment",IFERROR(INDEX(_xlfn._xlws.FILTER(MasterPaid[Amount Paid],(MasterPaid[Customer]=$B93)*(MasterPaid[Date]=$A93)),COUNTIFS($A$6:$A93,$A93,$B$6:$B93,$B93,$K$6:$K93,"Payment")),0),0))</f>
        <v/>
      </c>
      <c r="H93" s="331"/>
      <c r="I93" s="331"/>
      <c r="J93" s="330" t="str">
        <f t="shared" si="1"/>
        <v/>
      </c>
      <c r="K93" s="289" t="str" cm="1">
        <f t="array" ref="K93">IFERROR(INDEX(_xlfn.ANCHORARRAY($Q$6),ROW()-5,4),"")</f>
        <v/>
      </c>
      <c r="L93" s="290"/>
      <c r="U93">
        <f>IF(OR($A93="",$F93=""),0,MAX(0,MIN($F93,SUMIFS($F$6:$F93,$B$6:$B93,$B93)-(SUMIFS($G$6:$G$355,$B$6:$B$355,$B93)+SUMIFS($H$6:$H$355,$B$6:$B$355,$B93)+SUMIFS($I$6:$I$355,$B$6:$B$355,$B93)))))</f>
        <v>0</v>
      </c>
    </row>
    <row r="94" spans="1:21" ht="23" x14ac:dyDescent="0.25">
      <c r="A94" s="217" t="str" cm="1">
        <f t="array" ref="A94">IFERROR(INDEX(_xlfn.ANCHORARRAY($Q$6),ROW()-5,1),"")</f>
        <v/>
      </c>
      <c r="B94" s="288" t="str" cm="1">
        <f t="array" ref="B94">IFERROR(INDEX(_xlfn.ANCHORARRAY($Q$6),ROW()-5,2),"")</f>
        <v/>
      </c>
      <c r="C94" s="289" t="str" cm="1">
        <f t="array" ref="C94">IFERROR(INDEX(_xlfn.ANCHORARRAY($Q$6),ROW()-5,3),"")</f>
        <v/>
      </c>
      <c r="D94" s="218" t="str">
        <f>IF($A94="","",IF($K94="DIESEL",SUMIFS(Table1[Quantity],Table1[Customer],$B94,Table1[Date],$A94,Table1[Bill No.],$C94),IF($K94="PETROL",SUMIFS(Table14[Quantity],Table14[Customer],$B94,Table14[Date],$A94,Table14[Bill No.],$C94),IF($K94="XtraGreen",SUMIFS(Table146[Quantity],Table146[Company],$B94,Table146[Date],$A94,Table146[Bill No.],$C94),""))))</f>
        <v/>
      </c>
      <c r="E94" s="219" t="str">
        <f>IF($A94="","",IF($K94="DIESEL",AVERAGEIFS(Table1[RSP],Table1[Customer],$B94,Table1[Date],$A94,Table1[Bill No.],$C94),IF($K94="PETROL",AVERAGEIFS(Table14[RSP],Table14[Customer],$B94,Table14[Date],$A94,Table14[Bill No.],$C94),IF($K94="XtraGreen",AVERAGEIFS(Table146[RSP],Table146[Company],$B94,Table146[Date],$A94,Table146[Bill No.],$C94),IFERROR($F94/$D94,"")))))</f>
        <v/>
      </c>
      <c r="F94" s="330" t="str">
        <f>IF($A94="","",IF($K94="DIESEL",SUMIFS(Table1[Amount],Table1[Customer],$B94,Table1[Date],$A94,Table1[Bill No.],$C94),IF($K94="PETROL",SUMIFS(Table14[Amount],Table14[Customer],$B94,Table14[Date],$A94,Table14[Bill No.],$C94),IF($K94="XtraGreen",SUMIFS(Table146[Amount],Table146[Company],$B94,Table146[Date],$A94,Table146[Bill No.],$C94),SUMIFS('Other Sale'!$D:$D,'Other Sale'!$E:$E,$B94,'Other Sale'!$C:$C,$K94,'Other Sale'!$A:$A,$A94)))))</f>
        <v/>
      </c>
      <c r="G94" s="330" t="str" cm="1">
        <f t="array" ref="G94">IF($A94="","",IF($K94="Payment",IFERROR(INDEX(_xlfn._xlws.FILTER(MasterPaid[Amount Paid],(MasterPaid[Customer]=$B94)*(MasterPaid[Date]=$A94)),COUNTIFS($A$6:$A94,$A94,$B$6:$B94,$B94,$K$6:$K94,"Payment")),0),0))</f>
        <v/>
      </c>
      <c r="H94" s="331"/>
      <c r="I94" s="331"/>
      <c r="J94" s="330" t="str">
        <f t="shared" si="1"/>
        <v/>
      </c>
      <c r="K94" s="289" t="str" cm="1">
        <f t="array" ref="K94">IFERROR(INDEX(_xlfn.ANCHORARRAY($Q$6),ROW()-5,4),"")</f>
        <v/>
      </c>
      <c r="L94" s="290"/>
      <c r="U94">
        <f>IF(OR($A94="",$F94=""),0,MAX(0,MIN($F94,SUMIFS($F$6:$F94,$B$6:$B94,$B94)-(SUMIFS($G$6:$G$355,$B$6:$B$355,$B94)+SUMIFS($H$6:$H$355,$B$6:$B$355,$B94)+SUMIFS($I$6:$I$355,$B$6:$B$355,$B94)))))</f>
        <v>0</v>
      </c>
    </row>
    <row r="95" spans="1:21" ht="23" x14ac:dyDescent="0.25">
      <c r="A95" s="217" t="str" cm="1">
        <f t="array" ref="A95">IFERROR(INDEX(_xlfn.ANCHORARRAY($Q$6),ROW()-5,1),"")</f>
        <v/>
      </c>
      <c r="B95" s="288" t="str" cm="1">
        <f t="array" ref="B95">IFERROR(INDEX(_xlfn.ANCHORARRAY($Q$6),ROW()-5,2),"")</f>
        <v/>
      </c>
      <c r="C95" s="289" t="str" cm="1">
        <f t="array" ref="C95">IFERROR(INDEX(_xlfn.ANCHORARRAY($Q$6),ROW()-5,3),"")</f>
        <v/>
      </c>
      <c r="D95" s="218" t="str">
        <f>IF($A95="","",IF($K95="DIESEL",SUMIFS(Table1[Quantity],Table1[Customer],$B95,Table1[Date],$A95,Table1[Bill No.],$C95),IF($K95="PETROL",SUMIFS(Table14[Quantity],Table14[Customer],$B95,Table14[Date],$A95,Table14[Bill No.],$C95),IF($K95="XtraGreen",SUMIFS(Table146[Quantity],Table146[Company],$B95,Table146[Date],$A95,Table146[Bill No.],$C95),""))))</f>
        <v/>
      </c>
      <c r="E95" s="219" t="str">
        <f>IF($A95="","",IF($K95="DIESEL",AVERAGEIFS(Table1[RSP],Table1[Customer],$B95,Table1[Date],$A95,Table1[Bill No.],$C95),IF($K95="PETROL",AVERAGEIFS(Table14[RSP],Table14[Customer],$B95,Table14[Date],$A95,Table14[Bill No.],$C95),IF($K95="XtraGreen",AVERAGEIFS(Table146[RSP],Table146[Company],$B95,Table146[Date],$A95,Table146[Bill No.],$C95),IFERROR($F95/$D95,"")))))</f>
        <v/>
      </c>
      <c r="F95" s="330" t="str">
        <f>IF($A95="","",IF($K95="DIESEL",SUMIFS(Table1[Amount],Table1[Customer],$B95,Table1[Date],$A95,Table1[Bill No.],$C95),IF($K95="PETROL",SUMIFS(Table14[Amount],Table14[Customer],$B95,Table14[Date],$A95,Table14[Bill No.],$C95),IF($K95="XtraGreen",SUMIFS(Table146[Amount],Table146[Company],$B95,Table146[Date],$A95,Table146[Bill No.],$C95),SUMIFS('Other Sale'!$D:$D,'Other Sale'!$E:$E,$B95,'Other Sale'!$C:$C,$K95,'Other Sale'!$A:$A,$A95)))))</f>
        <v/>
      </c>
      <c r="G95" s="330" t="str" cm="1">
        <f t="array" ref="G95">IF($A95="","",IF($K95="Payment",IFERROR(INDEX(_xlfn._xlws.FILTER(MasterPaid[Amount Paid],(MasterPaid[Customer]=$B95)*(MasterPaid[Date]=$A95)),COUNTIFS($A$6:$A95,$A95,$B$6:$B95,$B95,$K$6:$K95,"Payment")),0),0))</f>
        <v/>
      </c>
      <c r="H95" s="331"/>
      <c r="I95" s="331"/>
      <c r="J95" s="330" t="str">
        <f t="shared" si="1"/>
        <v/>
      </c>
      <c r="K95" s="289" t="str" cm="1">
        <f t="array" ref="K95">IFERROR(INDEX(_xlfn.ANCHORARRAY($Q$6),ROW()-5,4),"")</f>
        <v/>
      </c>
      <c r="L95" s="290"/>
      <c r="U95">
        <f>IF(OR($A95="",$F95=""),0,MAX(0,MIN($F95,SUMIFS($F$6:$F95,$B$6:$B95,$B95)-(SUMIFS($G$6:$G$355,$B$6:$B$355,$B95)+SUMIFS($H$6:$H$355,$B$6:$B$355,$B95)+SUMIFS($I$6:$I$355,$B$6:$B$355,$B95)))))</f>
        <v>0</v>
      </c>
    </row>
    <row r="96" spans="1:21" ht="23" x14ac:dyDescent="0.25">
      <c r="A96" s="217" t="str" cm="1">
        <f t="array" ref="A96">IFERROR(INDEX(_xlfn.ANCHORARRAY($Q$6),ROW()-5,1),"")</f>
        <v/>
      </c>
      <c r="B96" s="288" t="str" cm="1">
        <f t="array" ref="B96">IFERROR(INDEX(_xlfn.ANCHORARRAY($Q$6),ROW()-5,2),"")</f>
        <v/>
      </c>
      <c r="C96" s="289" t="str" cm="1">
        <f t="array" ref="C96">IFERROR(INDEX(_xlfn.ANCHORARRAY($Q$6),ROW()-5,3),"")</f>
        <v/>
      </c>
      <c r="D96" s="218" t="str">
        <f>IF($A96="","",IF($K96="DIESEL",SUMIFS(Table1[Quantity],Table1[Customer],$B96,Table1[Date],$A96,Table1[Bill No.],$C96),IF($K96="PETROL",SUMIFS(Table14[Quantity],Table14[Customer],$B96,Table14[Date],$A96,Table14[Bill No.],$C96),IF($K96="XtraGreen",SUMIFS(Table146[Quantity],Table146[Company],$B96,Table146[Date],$A96,Table146[Bill No.],$C96),""))))</f>
        <v/>
      </c>
      <c r="E96" s="219" t="str">
        <f>IF($A96="","",IF($K96="DIESEL",AVERAGEIFS(Table1[RSP],Table1[Customer],$B96,Table1[Date],$A96,Table1[Bill No.],$C96),IF($K96="PETROL",AVERAGEIFS(Table14[RSP],Table14[Customer],$B96,Table14[Date],$A96,Table14[Bill No.],$C96),IF($K96="XtraGreen",AVERAGEIFS(Table146[RSP],Table146[Company],$B96,Table146[Date],$A96,Table146[Bill No.],$C96),IFERROR($F96/$D96,"")))))</f>
        <v/>
      </c>
      <c r="F96" s="330" t="str">
        <f>IF($A96="","",IF($K96="DIESEL",SUMIFS(Table1[Amount],Table1[Customer],$B96,Table1[Date],$A96,Table1[Bill No.],$C96),IF($K96="PETROL",SUMIFS(Table14[Amount],Table14[Customer],$B96,Table14[Date],$A96,Table14[Bill No.],$C96),IF($K96="XtraGreen",SUMIFS(Table146[Amount],Table146[Company],$B96,Table146[Date],$A96,Table146[Bill No.],$C96),SUMIFS('Other Sale'!$D:$D,'Other Sale'!$E:$E,$B96,'Other Sale'!$C:$C,$K96,'Other Sale'!$A:$A,$A96)))))</f>
        <v/>
      </c>
      <c r="G96" s="330" t="str" cm="1">
        <f t="array" ref="G96">IF($A96="","",IF($K96="Payment",IFERROR(INDEX(_xlfn._xlws.FILTER(MasterPaid[Amount Paid],(MasterPaid[Customer]=$B96)*(MasterPaid[Date]=$A96)),COUNTIFS($A$6:$A96,$A96,$B$6:$B96,$B96,$K$6:$K96,"Payment")),0),0))</f>
        <v/>
      </c>
      <c r="H96" s="331"/>
      <c r="I96" s="331"/>
      <c r="J96" s="330" t="str">
        <f t="shared" si="1"/>
        <v/>
      </c>
      <c r="K96" s="289" t="str" cm="1">
        <f t="array" ref="K96">IFERROR(INDEX(_xlfn.ANCHORARRAY($Q$6),ROW()-5,4),"")</f>
        <v/>
      </c>
      <c r="L96" s="290"/>
      <c r="U96">
        <f>IF(OR($A96="",$F96=""),0,MAX(0,MIN($F96,SUMIFS($F$6:$F96,$B$6:$B96,$B96)-(SUMIFS($G$6:$G$355,$B$6:$B$355,$B96)+SUMIFS($H$6:$H$355,$B$6:$B$355,$B96)+SUMIFS($I$6:$I$355,$B$6:$B$355,$B96)))))</f>
        <v>0</v>
      </c>
    </row>
    <row r="97" spans="1:21" ht="23" x14ac:dyDescent="0.25">
      <c r="A97" s="217" t="str" cm="1">
        <f t="array" ref="A97">IFERROR(INDEX(_xlfn.ANCHORARRAY($Q$6),ROW()-5,1),"")</f>
        <v/>
      </c>
      <c r="B97" s="288" t="str" cm="1">
        <f t="array" ref="B97">IFERROR(INDEX(_xlfn.ANCHORARRAY($Q$6),ROW()-5,2),"")</f>
        <v/>
      </c>
      <c r="C97" s="289" t="str" cm="1">
        <f t="array" ref="C97">IFERROR(INDEX(_xlfn.ANCHORARRAY($Q$6),ROW()-5,3),"")</f>
        <v/>
      </c>
      <c r="D97" s="218" t="str">
        <f>IF($A97="","",IF($K97="DIESEL",SUMIFS(Table1[Quantity],Table1[Customer],$B97,Table1[Date],$A97,Table1[Bill No.],$C97),IF($K97="PETROL",SUMIFS(Table14[Quantity],Table14[Customer],$B97,Table14[Date],$A97,Table14[Bill No.],$C97),IF($K97="XtraGreen",SUMIFS(Table146[Quantity],Table146[Company],$B97,Table146[Date],$A97,Table146[Bill No.],$C97),""))))</f>
        <v/>
      </c>
      <c r="E97" s="219" t="str">
        <f>IF($A97="","",IF($K97="DIESEL",AVERAGEIFS(Table1[RSP],Table1[Customer],$B97,Table1[Date],$A97,Table1[Bill No.],$C97),IF($K97="PETROL",AVERAGEIFS(Table14[RSP],Table14[Customer],$B97,Table14[Date],$A97,Table14[Bill No.],$C97),IF($K97="XtraGreen",AVERAGEIFS(Table146[RSP],Table146[Company],$B97,Table146[Date],$A97,Table146[Bill No.],$C97),IFERROR($F97/$D97,"")))))</f>
        <v/>
      </c>
      <c r="F97" s="330" t="str">
        <f>IF($A97="","",IF($K97="DIESEL",SUMIFS(Table1[Amount],Table1[Customer],$B97,Table1[Date],$A97,Table1[Bill No.],$C97),IF($K97="PETROL",SUMIFS(Table14[Amount],Table14[Customer],$B97,Table14[Date],$A97,Table14[Bill No.],$C97),IF($K97="XtraGreen",SUMIFS(Table146[Amount],Table146[Company],$B97,Table146[Date],$A97,Table146[Bill No.],$C97),SUMIFS('Other Sale'!$D:$D,'Other Sale'!$E:$E,$B97,'Other Sale'!$C:$C,$K97,'Other Sale'!$A:$A,$A97)))))</f>
        <v/>
      </c>
      <c r="G97" s="330" t="str" cm="1">
        <f t="array" ref="G97">IF($A97="","",IF($K97="Payment",IFERROR(INDEX(_xlfn._xlws.FILTER(MasterPaid[Amount Paid],(MasterPaid[Customer]=$B97)*(MasterPaid[Date]=$A97)),COUNTIFS($A$6:$A97,$A97,$B$6:$B97,$B97,$K$6:$K97,"Payment")),0),0))</f>
        <v/>
      </c>
      <c r="H97" s="331"/>
      <c r="I97" s="331"/>
      <c r="J97" s="330" t="str">
        <f t="shared" si="1"/>
        <v/>
      </c>
      <c r="K97" s="289" t="str" cm="1">
        <f t="array" ref="K97">IFERROR(INDEX(_xlfn.ANCHORARRAY($Q$6),ROW()-5,4),"")</f>
        <v/>
      </c>
      <c r="L97" s="290"/>
      <c r="U97">
        <f>IF(OR($A97="",$F97=""),0,MAX(0,MIN($F97,SUMIFS($F$6:$F97,$B$6:$B97,$B97)-(SUMIFS($G$6:$G$355,$B$6:$B$355,$B97)+SUMIFS($H$6:$H$355,$B$6:$B$355,$B97)+SUMIFS($I$6:$I$355,$B$6:$B$355,$B97)))))</f>
        <v>0</v>
      </c>
    </row>
    <row r="98" spans="1:21" ht="23" x14ac:dyDescent="0.25">
      <c r="A98" s="217" t="str" cm="1">
        <f t="array" ref="A98">IFERROR(INDEX(_xlfn.ANCHORARRAY($Q$6),ROW()-5,1),"")</f>
        <v/>
      </c>
      <c r="B98" s="288" t="str" cm="1">
        <f t="array" ref="B98">IFERROR(INDEX(_xlfn.ANCHORARRAY($Q$6),ROW()-5,2),"")</f>
        <v/>
      </c>
      <c r="C98" s="289" t="str" cm="1">
        <f t="array" ref="C98">IFERROR(INDEX(_xlfn.ANCHORARRAY($Q$6),ROW()-5,3),"")</f>
        <v/>
      </c>
      <c r="D98" s="218" t="str">
        <f>IF($A98="","",IF($K98="DIESEL",SUMIFS(Table1[Quantity],Table1[Customer],$B98,Table1[Date],$A98,Table1[Bill No.],$C98),IF($K98="PETROL",SUMIFS(Table14[Quantity],Table14[Customer],$B98,Table14[Date],$A98,Table14[Bill No.],$C98),IF($K98="XtraGreen",SUMIFS(Table146[Quantity],Table146[Company],$B98,Table146[Date],$A98,Table146[Bill No.],$C98),""))))</f>
        <v/>
      </c>
      <c r="E98" s="219" t="str">
        <f>IF($A98="","",IF($K98="DIESEL",AVERAGEIFS(Table1[RSP],Table1[Customer],$B98,Table1[Date],$A98,Table1[Bill No.],$C98),IF($K98="PETROL",AVERAGEIFS(Table14[RSP],Table14[Customer],$B98,Table14[Date],$A98,Table14[Bill No.],$C98),IF($K98="XtraGreen",AVERAGEIFS(Table146[RSP],Table146[Company],$B98,Table146[Date],$A98,Table146[Bill No.],$C98),IFERROR($F98/$D98,"")))))</f>
        <v/>
      </c>
      <c r="F98" s="330" t="str">
        <f>IF($A98="","",IF($K98="DIESEL",SUMIFS(Table1[Amount],Table1[Customer],$B98,Table1[Date],$A98,Table1[Bill No.],$C98),IF($K98="PETROL",SUMIFS(Table14[Amount],Table14[Customer],$B98,Table14[Date],$A98,Table14[Bill No.],$C98),IF($K98="XtraGreen",SUMIFS(Table146[Amount],Table146[Company],$B98,Table146[Date],$A98,Table146[Bill No.],$C98),SUMIFS('Other Sale'!$D:$D,'Other Sale'!$E:$E,$B98,'Other Sale'!$C:$C,$K98,'Other Sale'!$A:$A,$A98)))))</f>
        <v/>
      </c>
      <c r="G98" s="330" t="str" cm="1">
        <f t="array" ref="G98">IF($A98="","",IF($K98="Payment",IFERROR(INDEX(_xlfn._xlws.FILTER(MasterPaid[Amount Paid],(MasterPaid[Customer]=$B98)*(MasterPaid[Date]=$A98)),COUNTIFS($A$6:$A98,$A98,$B$6:$B98,$B98,$K$6:$K98,"Payment")),0),0))</f>
        <v/>
      </c>
      <c r="H98" s="331"/>
      <c r="I98" s="331"/>
      <c r="J98" s="330" t="str">
        <f t="shared" si="1"/>
        <v/>
      </c>
      <c r="K98" s="289" t="str" cm="1">
        <f t="array" ref="K98">IFERROR(INDEX(_xlfn.ANCHORARRAY($Q$6),ROW()-5,4),"")</f>
        <v/>
      </c>
      <c r="L98" s="290"/>
      <c r="U98">
        <f>IF(OR($A98="",$F98=""),0,MAX(0,MIN($F98,SUMIFS($F$6:$F98,$B$6:$B98,$B98)-(SUMIFS($G$6:$G$355,$B$6:$B$355,$B98)+SUMIFS($H$6:$H$355,$B$6:$B$355,$B98)+SUMIFS($I$6:$I$355,$B$6:$B$355,$B98)))))</f>
        <v>0</v>
      </c>
    </row>
    <row r="99" spans="1:21" ht="23" x14ac:dyDescent="0.25">
      <c r="A99" s="217" t="str" cm="1">
        <f t="array" ref="A99">IFERROR(INDEX(_xlfn.ANCHORARRAY($Q$6),ROW()-5,1),"")</f>
        <v/>
      </c>
      <c r="B99" s="288" t="str" cm="1">
        <f t="array" ref="B99">IFERROR(INDEX(_xlfn.ANCHORARRAY($Q$6),ROW()-5,2),"")</f>
        <v/>
      </c>
      <c r="C99" s="289" t="str" cm="1">
        <f t="array" ref="C99">IFERROR(INDEX(_xlfn.ANCHORARRAY($Q$6),ROW()-5,3),"")</f>
        <v/>
      </c>
      <c r="D99" s="218" t="str">
        <f>IF($A99="","",IF($K99="DIESEL",SUMIFS(Table1[Quantity],Table1[Customer],$B99,Table1[Date],$A99,Table1[Bill No.],$C99),IF($K99="PETROL",SUMIFS(Table14[Quantity],Table14[Customer],$B99,Table14[Date],$A99,Table14[Bill No.],$C99),IF($K99="XtraGreen",SUMIFS(Table146[Quantity],Table146[Company],$B99,Table146[Date],$A99,Table146[Bill No.],$C99),""))))</f>
        <v/>
      </c>
      <c r="E99" s="219" t="str">
        <f>IF($A99="","",IF($K99="DIESEL",AVERAGEIFS(Table1[RSP],Table1[Customer],$B99,Table1[Date],$A99,Table1[Bill No.],$C99),IF($K99="PETROL",AVERAGEIFS(Table14[RSP],Table14[Customer],$B99,Table14[Date],$A99,Table14[Bill No.],$C99),IF($K99="XtraGreen",AVERAGEIFS(Table146[RSP],Table146[Company],$B99,Table146[Date],$A99,Table146[Bill No.],$C99),IFERROR($F99/$D99,"")))))</f>
        <v/>
      </c>
      <c r="F99" s="330" t="str">
        <f>IF($A99="","",IF($K99="DIESEL",SUMIFS(Table1[Amount],Table1[Customer],$B99,Table1[Date],$A99,Table1[Bill No.],$C99),IF($K99="PETROL",SUMIFS(Table14[Amount],Table14[Customer],$B99,Table14[Date],$A99,Table14[Bill No.],$C99),IF($K99="XtraGreen",SUMIFS(Table146[Amount],Table146[Company],$B99,Table146[Date],$A99,Table146[Bill No.],$C99),SUMIFS('Other Sale'!$D:$D,'Other Sale'!$E:$E,$B99,'Other Sale'!$C:$C,$K99,'Other Sale'!$A:$A,$A99)))))</f>
        <v/>
      </c>
      <c r="G99" s="330" t="str" cm="1">
        <f t="array" ref="G99">IF($A99="","",IF($K99="Payment",IFERROR(INDEX(_xlfn._xlws.FILTER(MasterPaid[Amount Paid],(MasterPaid[Customer]=$B99)*(MasterPaid[Date]=$A99)),COUNTIFS($A$6:$A99,$A99,$B$6:$B99,$B99,$K$6:$K99,"Payment")),0),0))</f>
        <v/>
      </c>
      <c r="H99" s="331"/>
      <c r="I99" s="331"/>
      <c r="J99" s="330" t="str">
        <f t="shared" si="1"/>
        <v/>
      </c>
      <c r="K99" s="289" t="str" cm="1">
        <f t="array" ref="K99">IFERROR(INDEX(_xlfn.ANCHORARRAY($Q$6),ROW()-5,4),"")</f>
        <v/>
      </c>
      <c r="L99" s="290"/>
      <c r="U99">
        <f>IF(OR($A99="",$F99=""),0,MAX(0,MIN($F99,SUMIFS($F$6:$F99,$B$6:$B99,$B99)-(SUMIFS($G$6:$G$355,$B$6:$B$355,$B99)+SUMIFS($H$6:$H$355,$B$6:$B$355,$B99)+SUMIFS($I$6:$I$355,$B$6:$B$355,$B99)))))</f>
        <v>0</v>
      </c>
    </row>
    <row r="100" spans="1:21" ht="23" x14ac:dyDescent="0.25">
      <c r="A100" s="217" t="str" cm="1">
        <f t="array" ref="A100">IFERROR(INDEX(_xlfn.ANCHORARRAY($Q$6),ROW()-5,1),"")</f>
        <v/>
      </c>
      <c r="B100" s="288" t="str" cm="1">
        <f t="array" ref="B100">IFERROR(INDEX(_xlfn.ANCHORARRAY($Q$6),ROW()-5,2),"")</f>
        <v/>
      </c>
      <c r="C100" s="289" t="str" cm="1">
        <f t="array" ref="C100">IFERROR(INDEX(_xlfn.ANCHORARRAY($Q$6),ROW()-5,3),"")</f>
        <v/>
      </c>
      <c r="D100" s="218" t="str">
        <f>IF($A100="","",IF($K100="DIESEL",SUMIFS(Table1[Quantity],Table1[Customer],$B100,Table1[Date],$A100,Table1[Bill No.],$C100),IF($K100="PETROL",SUMIFS(Table14[Quantity],Table14[Customer],$B100,Table14[Date],$A100,Table14[Bill No.],$C100),IF($K100="XtraGreen",SUMIFS(Table146[Quantity],Table146[Company],$B100,Table146[Date],$A100,Table146[Bill No.],$C100),""))))</f>
        <v/>
      </c>
      <c r="E100" s="219" t="str">
        <f>IF($A100="","",IF($K100="DIESEL",AVERAGEIFS(Table1[RSP],Table1[Customer],$B100,Table1[Date],$A100,Table1[Bill No.],$C100),IF($K100="PETROL",AVERAGEIFS(Table14[RSP],Table14[Customer],$B100,Table14[Date],$A100,Table14[Bill No.],$C100),IF($K100="XtraGreen",AVERAGEIFS(Table146[RSP],Table146[Company],$B100,Table146[Date],$A100,Table146[Bill No.],$C100),IFERROR($F100/$D100,"")))))</f>
        <v/>
      </c>
      <c r="F100" s="330" t="str">
        <f>IF($A100="","",IF($K100="DIESEL",SUMIFS(Table1[Amount],Table1[Customer],$B100,Table1[Date],$A100,Table1[Bill No.],$C100),IF($K100="PETROL",SUMIFS(Table14[Amount],Table14[Customer],$B100,Table14[Date],$A100,Table14[Bill No.],$C100),IF($K100="XtraGreen",SUMIFS(Table146[Amount],Table146[Company],$B100,Table146[Date],$A100,Table146[Bill No.],$C100),SUMIFS('Other Sale'!$D:$D,'Other Sale'!$E:$E,$B100,'Other Sale'!$C:$C,$K100,'Other Sale'!$A:$A,$A100)))))</f>
        <v/>
      </c>
      <c r="G100" s="330" t="str" cm="1">
        <f t="array" ref="G100">IF($A100="","",IF($K100="Payment",IFERROR(INDEX(_xlfn._xlws.FILTER(MasterPaid[Amount Paid],(MasterPaid[Customer]=$B100)*(MasterPaid[Date]=$A100)),COUNTIFS($A$6:$A100,$A100,$B$6:$B100,$B100,$K$6:$K100,"Payment")),0),0))</f>
        <v/>
      </c>
      <c r="H100" s="331"/>
      <c r="I100" s="331"/>
      <c r="J100" s="330" t="str">
        <f t="shared" si="1"/>
        <v/>
      </c>
      <c r="K100" s="289" t="str" cm="1">
        <f t="array" ref="K100">IFERROR(INDEX(_xlfn.ANCHORARRAY($Q$6),ROW()-5,4),"")</f>
        <v/>
      </c>
      <c r="L100" s="290"/>
      <c r="U100">
        <f>IF(OR($A100="",$F100=""),0,MAX(0,MIN($F100,SUMIFS($F$6:$F100,$B$6:$B100,$B100)-(SUMIFS($G$6:$G$355,$B$6:$B$355,$B100)+SUMIFS($H$6:$H$355,$B$6:$B$355,$B100)+SUMIFS($I$6:$I$355,$B$6:$B$355,$B100)))))</f>
        <v>0</v>
      </c>
    </row>
    <row r="101" spans="1:21" ht="23" x14ac:dyDescent="0.25">
      <c r="A101" s="217" t="str" cm="1">
        <f t="array" ref="A101">IFERROR(INDEX(_xlfn.ANCHORARRAY($Q$6),ROW()-5,1),"")</f>
        <v/>
      </c>
      <c r="B101" s="288" t="str" cm="1">
        <f t="array" ref="B101">IFERROR(INDEX(_xlfn.ANCHORARRAY($Q$6),ROW()-5,2),"")</f>
        <v/>
      </c>
      <c r="C101" s="289" t="str" cm="1">
        <f t="array" ref="C101">IFERROR(INDEX(_xlfn.ANCHORARRAY($Q$6),ROW()-5,3),"")</f>
        <v/>
      </c>
      <c r="D101" s="218" t="str">
        <f>IF($A101="","",IF($K101="DIESEL",SUMIFS(Table1[Quantity],Table1[Customer],$B101,Table1[Date],$A101,Table1[Bill No.],$C101),IF($K101="PETROL",SUMIFS(Table14[Quantity],Table14[Customer],$B101,Table14[Date],$A101,Table14[Bill No.],$C101),IF($K101="XtraGreen",SUMIFS(Table146[Quantity],Table146[Company],$B101,Table146[Date],$A101,Table146[Bill No.],$C101),""))))</f>
        <v/>
      </c>
      <c r="E101" s="219" t="str">
        <f>IF($A101="","",IF($K101="DIESEL",AVERAGEIFS(Table1[RSP],Table1[Customer],$B101,Table1[Date],$A101,Table1[Bill No.],$C101),IF($K101="PETROL",AVERAGEIFS(Table14[RSP],Table14[Customer],$B101,Table14[Date],$A101,Table14[Bill No.],$C101),IF($K101="XtraGreen",AVERAGEIFS(Table146[RSP],Table146[Company],$B101,Table146[Date],$A101,Table146[Bill No.],$C101),IFERROR($F101/$D101,"")))))</f>
        <v/>
      </c>
      <c r="F101" s="330" t="str">
        <f>IF($A101="","",IF($K101="DIESEL",SUMIFS(Table1[Amount],Table1[Customer],$B101,Table1[Date],$A101,Table1[Bill No.],$C101),IF($K101="PETROL",SUMIFS(Table14[Amount],Table14[Customer],$B101,Table14[Date],$A101,Table14[Bill No.],$C101),IF($K101="XtraGreen",SUMIFS(Table146[Amount],Table146[Company],$B101,Table146[Date],$A101,Table146[Bill No.],$C101),SUMIFS('Other Sale'!$D:$D,'Other Sale'!$E:$E,$B101,'Other Sale'!$C:$C,$K101,'Other Sale'!$A:$A,$A101)))))</f>
        <v/>
      </c>
      <c r="G101" s="330" t="str" cm="1">
        <f t="array" ref="G101">IF($A101="","",IF($K101="Payment",IFERROR(INDEX(_xlfn._xlws.FILTER(MasterPaid[Amount Paid],(MasterPaid[Customer]=$B101)*(MasterPaid[Date]=$A101)),COUNTIFS($A$6:$A101,$A101,$B$6:$B101,$B101,$K$6:$K101,"Payment")),0),0))</f>
        <v/>
      </c>
      <c r="H101" s="331"/>
      <c r="I101" s="331"/>
      <c r="J101" s="330" t="str">
        <f t="shared" si="1"/>
        <v/>
      </c>
      <c r="K101" s="289" t="str" cm="1">
        <f t="array" ref="K101">IFERROR(INDEX(_xlfn.ANCHORARRAY($Q$6),ROW()-5,4),"")</f>
        <v/>
      </c>
      <c r="L101" s="290"/>
      <c r="U101">
        <f>IF(OR($A101="",$F101=""),0,MAX(0,MIN($F101,SUMIFS($F$6:$F101,$B$6:$B101,$B101)-(SUMIFS($G$6:$G$355,$B$6:$B$355,$B101)+SUMIFS($H$6:$H$355,$B$6:$B$355,$B101)+SUMIFS($I$6:$I$355,$B$6:$B$355,$B101)))))</f>
        <v>0</v>
      </c>
    </row>
    <row r="102" spans="1:21" ht="23" x14ac:dyDescent="0.25">
      <c r="A102" s="217" t="str" cm="1">
        <f t="array" ref="A102">IFERROR(INDEX(_xlfn.ANCHORARRAY($Q$6),ROW()-5,1),"")</f>
        <v/>
      </c>
      <c r="B102" s="288" t="str" cm="1">
        <f t="array" ref="B102">IFERROR(INDEX(_xlfn.ANCHORARRAY($Q$6),ROW()-5,2),"")</f>
        <v/>
      </c>
      <c r="C102" s="289" t="str" cm="1">
        <f t="array" ref="C102">IFERROR(INDEX(_xlfn.ANCHORARRAY($Q$6),ROW()-5,3),"")</f>
        <v/>
      </c>
      <c r="D102" s="218" t="str">
        <f>IF($A102="","",IF($K102="DIESEL",SUMIFS(Table1[Quantity],Table1[Customer],$B102,Table1[Date],$A102,Table1[Bill No.],$C102),IF($K102="PETROL",SUMIFS(Table14[Quantity],Table14[Customer],$B102,Table14[Date],$A102,Table14[Bill No.],$C102),IF($K102="XtraGreen",SUMIFS(Table146[Quantity],Table146[Company],$B102,Table146[Date],$A102,Table146[Bill No.],$C102),""))))</f>
        <v/>
      </c>
      <c r="E102" s="219" t="str">
        <f>IF($A102="","",IF($K102="DIESEL",AVERAGEIFS(Table1[RSP],Table1[Customer],$B102,Table1[Date],$A102,Table1[Bill No.],$C102),IF($K102="PETROL",AVERAGEIFS(Table14[RSP],Table14[Customer],$B102,Table14[Date],$A102,Table14[Bill No.],$C102),IF($K102="XtraGreen",AVERAGEIFS(Table146[RSP],Table146[Company],$B102,Table146[Date],$A102,Table146[Bill No.],$C102),IFERROR($F102/$D102,"")))))</f>
        <v/>
      </c>
      <c r="F102" s="330" t="str">
        <f>IF($A102="","",IF($K102="DIESEL",SUMIFS(Table1[Amount],Table1[Customer],$B102,Table1[Date],$A102,Table1[Bill No.],$C102),IF($K102="PETROL",SUMIFS(Table14[Amount],Table14[Customer],$B102,Table14[Date],$A102,Table14[Bill No.],$C102),IF($K102="XtraGreen",SUMIFS(Table146[Amount],Table146[Company],$B102,Table146[Date],$A102,Table146[Bill No.],$C102),SUMIFS('Other Sale'!$D:$D,'Other Sale'!$E:$E,$B102,'Other Sale'!$C:$C,$K102,'Other Sale'!$A:$A,$A102)))))</f>
        <v/>
      </c>
      <c r="G102" s="330" t="str" cm="1">
        <f t="array" ref="G102">IF($A102="","",IF($K102="Payment",IFERROR(INDEX(_xlfn._xlws.FILTER(MasterPaid[Amount Paid],(MasterPaid[Customer]=$B102)*(MasterPaid[Date]=$A102)),COUNTIFS($A$6:$A102,$A102,$B$6:$B102,$B102,$K$6:$K102,"Payment")),0),0))</f>
        <v/>
      </c>
      <c r="H102" s="331"/>
      <c r="I102" s="331"/>
      <c r="J102" s="330" t="str">
        <f t="shared" si="1"/>
        <v/>
      </c>
      <c r="K102" s="289" t="str" cm="1">
        <f t="array" ref="K102">IFERROR(INDEX(_xlfn.ANCHORARRAY($Q$6),ROW()-5,4),"")</f>
        <v/>
      </c>
      <c r="L102" s="290"/>
      <c r="U102">
        <f>IF(OR($A102="",$F102=""),0,MAX(0,MIN($F102,SUMIFS($F$6:$F102,$B$6:$B102,$B102)-(SUMIFS($G$6:$G$355,$B$6:$B$355,$B102)+SUMIFS($H$6:$H$355,$B$6:$B$355,$B102)+SUMIFS($I$6:$I$355,$B$6:$B$355,$B102)))))</f>
        <v>0</v>
      </c>
    </row>
    <row r="103" spans="1:21" ht="23" x14ac:dyDescent="0.25">
      <c r="A103" s="217" t="str" cm="1">
        <f t="array" ref="A103">IFERROR(INDEX(_xlfn.ANCHORARRAY($Q$6),ROW()-5,1),"")</f>
        <v/>
      </c>
      <c r="B103" s="288" t="str" cm="1">
        <f t="array" ref="B103">IFERROR(INDEX(_xlfn.ANCHORARRAY($Q$6),ROW()-5,2),"")</f>
        <v/>
      </c>
      <c r="C103" s="289" t="str" cm="1">
        <f t="array" ref="C103">IFERROR(INDEX(_xlfn.ANCHORARRAY($Q$6),ROW()-5,3),"")</f>
        <v/>
      </c>
      <c r="D103" s="218" t="str">
        <f>IF($A103="","",IF($K103="DIESEL",SUMIFS(Table1[Quantity],Table1[Customer],$B103,Table1[Date],$A103,Table1[Bill No.],$C103),IF($K103="PETROL",SUMIFS(Table14[Quantity],Table14[Customer],$B103,Table14[Date],$A103,Table14[Bill No.],$C103),IF($K103="XtraGreen",SUMIFS(Table146[Quantity],Table146[Company],$B103,Table146[Date],$A103,Table146[Bill No.],$C103),""))))</f>
        <v/>
      </c>
      <c r="E103" s="219" t="str">
        <f>IF($A103="","",IF($K103="DIESEL",AVERAGEIFS(Table1[RSP],Table1[Customer],$B103,Table1[Date],$A103,Table1[Bill No.],$C103),IF($K103="PETROL",AVERAGEIFS(Table14[RSP],Table14[Customer],$B103,Table14[Date],$A103,Table14[Bill No.],$C103),IF($K103="XtraGreen",AVERAGEIFS(Table146[RSP],Table146[Company],$B103,Table146[Date],$A103,Table146[Bill No.],$C103),IFERROR($F103/$D103,"")))))</f>
        <v/>
      </c>
      <c r="F103" s="330" t="str">
        <f>IF($A103="","",IF($K103="DIESEL",SUMIFS(Table1[Amount],Table1[Customer],$B103,Table1[Date],$A103,Table1[Bill No.],$C103),IF($K103="PETROL",SUMIFS(Table14[Amount],Table14[Customer],$B103,Table14[Date],$A103,Table14[Bill No.],$C103),IF($K103="XtraGreen",SUMIFS(Table146[Amount],Table146[Company],$B103,Table146[Date],$A103,Table146[Bill No.],$C103),SUMIFS('Other Sale'!$D:$D,'Other Sale'!$E:$E,$B103,'Other Sale'!$C:$C,$K103,'Other Sale'!$A:$A,$A103)))))</f>
        <v/>
      </c>
      <c r="G103" s="330" t="str" cm="1">
        <f t="array" ref="G103">IF($A103="","",IF($K103="Payment",IFERROR(INDEX(_xlfn._xlws.FILTER(MasterPaid[Amount Paid],(MasterPaid[Customer]=$B103)*(MasterPaid[Date]=$A103)),COUNTIFS($A$6:$A103,$A103,$B$6:$B103,$B103,$K$6:$K103,"Payment")),0),0))</f>
        <v/>
      </c>
      <c r="H103" s="331"/>
      <c r="I103" s="331"/>
      <c r="J103" s="330" t="str">
        <f t="shared" si="1"/>
        <v/>
      </c>
      <c r="K103" s="289" t="str" cm="1">
        <f t="array" ref="K103">IFERROR(INDEX(_xlfn.ANCHORARRAY($Q$6),ROW()-5,4),"")</f>
        <v/>
      </c>
      <c r="L103" s="290"/>
      <c r="U103">
        <f>IF(OR($A103="",$F103=""),0,MAX(0,MIN($F103,SUMIFS($F$6:$F103,$B$6:$B103,$B103)-(SUMIFS($G$6:$G$355,$B$6:$B$355,$B103)+SUMIFS($H$6:$H$355,$B$6:$B$355,$B103)+SUMIFS($I$6:$I$355,$B$6:$B$355,$B103)))))</f>
        <v>0</v>
      </c>
    </row>
    <row r="104" spans="1:21" ht="23" x14ac:dyDescent="0.25">
      <c r="A104" s="217" t="str" cm="1">
        <f t="array" ref="A104">IFERROR(INDEX(_xlfn.ANCHORARRAY($Q$6),ROW()-5,1),"")</f>
        <v/>
      </c>
      <c r="B104" s="288" t="str" cm="1">
        <f t="array" ref="B104">IFERROR(INDEX(_xlfn.ANCHORARRAY($Q$6),ROW()-5,2),"")</f>
        <v/>
      </c>
      <c r="C104" s="289" t="str" cm="1">
        <f t="array" ref="C104">IFERROR(INDEX(_xlfn.ANCHORARRAY($Q$6),ROW()-5,3),"")</f>
        <v/>
      </c>
      <c r="D104" s="218" t="str">
        <f>IF($A104="","",IF($K104="DIESEL",SUMIFS(Table1[Quantity],Table1[Customer],$B104,Table1[Date],$A104,Table1[Bill No.],$C104),IF($K104="PETROL",SUMIFS(Table14[Quantity],Table14[Customer],$B104,Table14[Date],$A104,Table14[Bill No.],$C104),IF($K104="XtraGreen",SUMIFS(Table146[Quantity],Table146[Company],$B104,Table146[Date],$A104,Table146[Bill No.],$C104),""))))</f>
        <v/>
      </c>
      <c r="E104" s="219" t="str">
        <f>IF($A104="","",IF($K104="DIESEL",AVERAGEIFS(Table1[RSP],Table1[Customer],$B104,Table1[Date],$A104,Table1[Bill No.],$C104),IF($K104="PETROL",AVERAGEIFS(Table14[RSP],Table14[Customer],$B104,Table14[Date],$A104,Table14[Bill No.],$C104),IF($K104="XtraGreen",AVERAGEIFS(Table146[RSP],Table146[Company],$B104,Table146[Date],$A104,Table146[Bill No.],$C104),IFERROR($F104/$D104,"")))))</f>
        <v/>
      </c>
      <c r="F104" s="330" t="str">
        <f>IF($A104="","",IF($K104="DIESEL",SUMIFS(Table1[Amount],Table1[Customer],$B104,Table1[Date],$A104,Table1[Bill No.],$C104),IF($K104="PETROL",SUMIFS(Table14[Amount],Table14[Customer],$B104,Table14[Date],$A104,Table14[Bill No.],$C104),IF($K104="XtraGreen",SUMIFS(Table146[Amount],Table146[Company],$B104,Table146[Date],$A104,Table146[Bill No.],$C104),SUMIFS('Other Sale'!$D:$D,'Other Sale'!$E:$E,$B104,'Other Sale'!$C:$C,$K104,'Other Sale'!$A:$A,$A104)))))</f>
        <v/>
      </c>
      <c r="G104" s="330" t="str" cm="1">
        <f t="array" ref="G104">IF($A104="","",IF($K104="Payment",IFERROR(INDEX(_xlfn._xlws.FILTER(MasterPaid[Amount Paid],(MasterPaid[Customer]=$B104)*(MasterPaid[Date]=$A104)),COUNTIFS($A$6:$A104,$A104,$B$6:$B104,$B104,$K$6:$K104,"Payment")),0),0))</f>
        <v/>
      </c>
      <c r="H104" s="331"/>
      <c r="I104" s="331"/>
      <c r="J104" s="330" t="str">
        <f t="shared" si="1"/>
        <v/>
      </c>
      <c r="K104" s="289" t="str" cm="1">
        <f t="array" ref="K104">IFERROR(INDEX(_xlfn.ANCHORARRAY($Q$6),ROW()-5,4),"")</f>
        <v/>
      </c>
      <c r="L104" s="290"/>
      <c r="U104">
        <f>IF(OR($A104="",$F104=""),0,MAX(0,MIN($F104,SUMIFS($F$6:$F104,$B$6:$B104,$B104)-(SUMIFS($G$6:$G$355,$B$6:$B$355,$B104)+SUMIFS($H$6:$H$355,$B$6:$B$355,$B104)+SUMIFS($I$6:$I$355,$B$6:$B$355,$B104)))))</f>
        <v>0</v>
      </c>
    </row>
    <row r="105" spans="1:21" ht="23" x14ac:dyDescent="0.25">
      <c r="A105" s="217" t="str" cm="1">
        <f t="array" ref="A105">IFERROR(INDEX(_xlfn.ANCHORARRAY($Q$6),ROW()-5,1),"")</f>
        <v/>
      </c>
      <c r="B105" s="288" t="str" cm="1">
        <f t="array" ref="B105">IFERROR(INDEX(_xlfn.ANCHORARRAY($Q$6),ROW()-5,2),"")</f>
        <v/>
      </c>
      <c r="C105" s="289" t="str" cm="1">
        <f t="array" ref="C105">IFERROR(INDEX(_xlfn.ANCHORARRAY($Q$6),ROW()-5,3),"")</f>
        <v/>
      </c>
      <c r="D105" s="218" t="str">
        <f>IF($A105="","",IF($K105="DIESEL",SUMIFS(Table1[Quantity],Table1[Customer],$B105,Table1[Date],$A105,Table1[Bill No.],$C105),IF($K105="PETROL",SUMIFS(Table14[Quantity],Table14[Customer],$B105,Table14[Date],$A105,Table14[Bill No.],$C105),IF($K105="XtraGreen",SUMIFS(Table146[Quantity],Table146[Company],$B105,Table146[Date],$A105,Table146[Bill No.],$C105),""))))</f>
        <v/>
      </c>
      <c r="E105" s="219" t="str">
        <f>IF($A105="","",IF($K105="DIESEL",AVERAGEIFS(Table1[RSP],Table1[Customer],$B105,Table1[Date],$A105,Table1[Bill No.],$C105),IF($K105="PETROL",AVERAGEIFS(Table14[RSP],Table14[Customer],$B105,Table14[Date],$A105,Table14[Bill No.],$C105),IF($K105="XtraGreen",AVERAGEIFS(Table146[RSP],Table146[Company],$B105,Table146[Date],$A105,Table146[Bill No.],$C105),IFERROR($F105/$D105,"")))))</f>
        <v/>
      </c>
      <c r="F105" s="330" t="str">
        <f>IF($A105="","",IF($K105="DIESEL",SUMIFS(Table1[Amount],Table1[Customer],$B105,Table1[Date],$A105,Table1[Bill No.],$C105),IF($K105="PETROL",SUMIFS(Table14[Amount],Table14[Customer],$B105,Table14[Date],$A105,Table14[Bill No.],$C105),IF($K105="XtraGreen",SUMIFS(Table146[Amount],Table146[Company],$B105,Table146[Date],$A105,Table146[Bill No.],$C105),SUMIFS('Other Sale'!$D:$D,'Other Sale'!$E:$E,$B105,'Other Sale'!$C:$C,$K105,'Other Sale'!$A:$A,$A105)))))</f>
        <v/>
      </c>
      <c r="G105" s="330" t="str" cm="1">
        <f t="array" ref="G105">IF($A105="","",IF($K105="Payment",IFERROR(INDEX(_xlfn._xlws.FILTER(MasterPaid[Amount Paid],(MasterPaid[Customer]=$B105)*(MasterPaid[Date]=$A105)),COUNTIFS($A$6:$A105,$A105,$B$6:$B105,$B105,$K$6:$K105,"Payment")),0),0))</f>
        <v/>
      </c>
      <c r="H105" s="331"/>
      <c r="I105" s="331"/>
      <c r="J105" s="330" t="str">
        <f t="shared" si="1"/>
        <v/>
      </c>
      <c r="K105" s="289" t="str" cm="1">
        <f t="array" ref="K105">IFERROR(INDEX(_xlfn.ANCHORARRAY($Q$6),ROW()-5,4),"")</f>
        <v/>
      </c>
      <c r="L105" s="290"/>
      <c r="U105">
        <f>IF(OR($A105="",$F105=""),0,MAX(0,MIN($F105,SUMIFS($F$6:$F105,$B$6:$B105,$B105)-(SUMIFS($G$6:$G$355,$B$6:$B$355,$B105)+SUMIFS($H$6:$H$355,$B$6:$B$355,$B105)+SUMIFS($I$6:$I$355,$B$6:$B$355,$B105)))))</f>
        <v>0</v>
      </c>
    </row>
    <row r="106" spans="1:21" ht="23" x14ac:dyDescent="0.25">
      <c r="A106" s="217" t="str" cm="1">
        <f t="array" ref="A106">IFERROR(INDEX(_xlfn.ANCHORARRAY($Q$6),ROW()-5,1),"")</f>
        <v/>
      </c>
      <c r="B106" s="288" t="str" cm="1">
        <f t="array" ref="B106">IFERROR(INDEX(_xlfn.ANCHORARRAY($Q$6),ROW()-5,2),"")</f>
        <v/>
      </c>
      <c r="C106" s="289" t="str" cm="1">
        <f t="array" ref="C106">IFERROR(INDEX(_xlfn.ANCHORARRAY($Q$6),ROW()-5,3),"")</f>
        <v/>
      </c>
      <c r="D106" s="218" t="str">
        <f>IF($A106="","",IF($K106="DIESEL",SUMIFS(Table1[Quantity],Table1[Customer],$B106,Table1[Date],$A106,Table1[Bill No.],$C106),IF($K106="PETROL",SUMIFS(Table14[Quantity],Table14[Customer],$B106,Table14[Date],$A106,Table14[Bill No.],$C106),IF($K106="XtraGreen",SUMIFS(Table146[Quantity],Table146[Company],$B106,Table146[Date],$A106,Table146[Bill No.],$C106),""))))</f>
        <v/>
      </c>
      <c r="E106" s="219" t="str">
        <f>IF($A106="","",IF($K106="DIESEL",AVERAGEIFS(Table1[RSP],Table1[Customer],$B106,Table1[Date],$A106,Table1[Bill No.],$C106),IF($K106="PETROL",AVERAGEIFS(Table14[RSP],Table14[Customer],$B106,Table14[Date],$A106,Table14[Bill No.],$C106),IF($K106="XtraGreen",AVERAGEIFS(Table146[RSP],Table146[Company],$B106,Table146[Date],$A106,Table146[Bill No.],$C106),IFERROR($F106/$D106,"")))))</f>
        <v/>
      </c>
      <c r="F106" s="330" t="str">
        <f>IF($A106="","",IF($K106="DIESEL",SUMIFS(Table1[Amount],Table1[Customer],$B106,Table1[Date],$A106,Table1[Bill No.],$C106),IF($K106="PETROL",SUMIFS(Table14[Amount],Table14[Customer],$B106,Table14[Date],$A106,Table14[Bill No.],$C106),IF($K106="XtraGreen",SUMIFS(Table146[Amount],Table146[Company],$B106,Table146[Date],$A106,Table146[Bill No.],$C106),SUMIFS('Other Sale'!$D:$D,'Other Sale'!$E:$E,$B106,'Other Sale'!$C:$C,$K106,'Other Sale'!$A:$A,$A106)))))</f>
        <v/>
      </c>
      <c r="G106" s="330" t="str" cm="1">
        <f t="array" ref="G106">IF($A106="","",IF($K106="Payment",IFERROR(INDEX(_xlfn._xlws.FILTER(MasterPaid[Amount Paid],(MasterPaid[Customer]=$B106)*(MasterPaid[Date]=$A106)),COUNTIFS($A$6:$A106,$A106,$B$6:$B106,$B106,$K$6:$K106,"Payment")),0),0))</f>
        <v/>
      </c>
      <c r="H106" s="331"/>
      <c r="I106" s="331"/>
      <c r="J106" s="330" t="str">
        <f t="shared" si="1"/>
        <v/>
      </c>
      <c r="K106" s="289" t="str" cm="1">
        <f t="array" ref="K106">IFERROR(INDEX(_xlfn.ANCHORARRAY($Q$6),ROW()-5,4),"")</f>
        <v/>
      </c>
      <c r="L106" s="290"/>
      <c r="U106">
        <f>IF(OR($A106="",$F106=""),0,MAX(0,MIN($F106,SUMIFS($F$6:$F106,$B$6:$B106,$B106)-(SUMIFS($G$6:$G$355,$B$6:$B$355,$B106)+SUMIFS($H$6:$H$355,$B$6:$B$355,$B106)+SUMIFS($I$6:$I$355,$B$6:$B$355,$B106)))))</f>
        <v>0</v>
      </c>
    </row>
    <row r="107" spans="1:21" ht="23" x14ac:dyDescent="0.25">
      <c r="A107" s="217" t="str" cm="1">
        <f t="array" ref="A107">IFERROR(INDEX(_xlfn.ANCHORARRAY($Q$6),ROW()-5,1),"")</f>
        <v/>
      </c>
      <c r="B107" s="288" t="str" cm="1">
        <f t="array" ref="B107">IFERROR(INDEX(_xlfn.ANCHORARRAY($Q$6),ROW()-5,2),"")</f>
        <v/>
      </c>
      <c r="C107" s="289" t="str" cm="1">
        <f t="array" ref="C107">IFERROR(INDEX(_xlfn.ANCHORARRAY($Q$6),ROW()-5,3),"")</f>
        <v/>
      </c>
      <c r="D107" s="218" t="str">
        <f>IF($A107="","",IF($K107="DIESEL",SUMIFS(Table1[Quantity],Table1[Customer],$B107,Table1[Date],$A107,Table1[Bill No.],$C107),IF($K107="PETROL",SUMIFS(Table14[Quantity],Table14[Customer],$B107,Table14[Date],$A107,Table14[Bill No.],$C107),IF($K107="XtraGreen",SUMIFS(Table146[Quantity],Table146[Company],$B107,Table146[Date],$A107,Table146[Bill No.],$C107),""))))</f>
        <v/>
      </c>
      <c r="E107" s="219" t="str">
        <f>IF($A107="","",IF($K107="DIESEL",AVERAGEIFS(Table1[RSP],Table1[Customer],$B107,Table1[Date],$A107,Table1[Bill No.],$C107),IF($K107="PETROL",AVERAGEIFS(Table14[RSP],Table14[Customer],$B107,Table14[Date],$A107,Table14[Bill No.],$C107),IF($K107="XtraGreen",AVERAGEIFS(Table146[RSP],Table146[Company],$B107,Table146[Date],$A107,Table146[Bill No.],$C107),IFERROR($F107/$D107,"")))))</f>
        <v/>
      </c>
      <c r="F107" s="330" t="str">
        <f>IF($A107="","",IF($K107="DIESEL",SUMIFS(Table1[Amount],Table1[Customer],$B107,Table1[Date],$A107,Table1[Bill No.],$C107),IF($K107="PETROL",SUMIFS(Table14[Amount],Table14[Customer],$B107,Table14[Date],$A107,Table14[Bill No.],$C107),IF($K107="XtraGreen",SUMIFS(Table146[Amount],Table146[Company],$B107,Table146[Date],$A107,Table146[Bill No.],$C107),SUMIFS('Other Sale'!$D:$D,'Other Sale'!$E:$E,$B107,'Other Sale'!$C:$C,$K107,'Other Sale'!$A:$A,$A107)))))</f>
        <v/>
      </c>
      <c r="G107" s="330" t="str" cm="1">
        <f t="array" ref="G107">IF($A107="","",IF($K107="Payment",IFERROR(INDEX(_xlfn._xlws.FILTER(MasterPaid[Amount Paid],(MasterPaid[Customer]=$B107)*(MasterPaid[Date]=$A107)),COUNTIFS($A$6:$A107,$A107,$B$6:$B107,$B107,$K$6:$K107,"Payment")),0),0))</f>
        <v/>
      </c>
      <c r="H107" s="331"/>
      <c r="I107" s="331"/>
      <c r="J107" s="330" t="str">
        <f t="shared" si="1"/>
        <v/>
      </c>
      <c r="K107" s="289" t="str" cm="1">
        <f t="array" ref="K107">IFERROR(INDEX(_xlfn.ANCHORARRAY($Q$6),ROW()-5,4),"")</f>
        <v/>
      </c>
      <c r="L107" s="290"/>
      <c r="U107">
        <f>IF(OR($A107="",$F107=""),0,MAX(0,MIN($F107,SUMIFS($F$6:$F107,$B$6:$B107,$B107)-(SUMIFS($G$6:$G$355,$B$6:$B$355,$B107)+SUMIFS($H$6:$H$355,$B$6:$B$355,$B107)+SUMIFS($I$6:$I$355,$B$6:$B$355,$B107)))))</f>
        <v>0</v>
      </c>
    </row>
    <row r="108" spans="1:21" ht="23" x14ac:dyDescent="0.25">
      <c r="A108" s="217" t="str" cm="1">
        <f t="array" ref="A108">IFERROR(INDEX(_xlfn.ANCHORARRAY($Q$6),ROW()-5,1),"")</f>
        <v/>
      </c>
      <c r="B108" s="288" t="str" cm="1">
        <f t="array" ref="B108">IFERROR(INDEX(_xlfn.ANCHORARRAY($Q$6),ROW()-5,2),"")</f>
        <v/>
      </c>
      <c r="C108" s="289" t="str" cm="1">
        <f t="array" ref="C108">IFERROR(INDEX(_xlfn.ANCHORARRAY($Q$6),ROW()-5,3),"")</f>
        <v/>
      </c>
      <c r="D108" s="218" t="str">
        <f>IF($A108="","",IF($K108="DIESEL",SUMIFS(Table1[Quantity],Table1[Customer],$B108,Table1[Date],$A108,Table1[Bill No.],$C108),IF($K108="PETROL",SUMIFS(Table14[Quantity],Table14[Customer],$B108,Table14[Date],$A108,Table14[Bill No.],$C108),IF($K108="XtraGreen",SUMIFS(Table146[Quantity],Table146[Company],$B108,Table146[Date],$A108,Table146[Bill No.],$C108),""))))</f>
        <v/>
      </c>
      <c r="E108" s="219" t="str">
        <f>IF($A108="","",IF($K108="DIESEL",AVERAGEIFS(Table1[RSP],Table1[Customer],$B108,Table1[Date],$A108,Table1[Bill No.],$C108),IF($K108="PETROL",AVERAGEIFS(Table14[RSP],Table14[Customer],$B108,Table14[Date],$A108,Table14[Bill No.],$C108),IF($K108="XtraGreen",AVERAGEIFS(Table146[RSP],Table146[Company],$B108,Table146[Date],$A108,Table146[Bill No.],$C108),IFERROR($F108/$D108,"")))))</f>
        <v/>
      </c>
      <c r="F108" s="330" t="str">
        <f>IF($A108="","",IF($K108="DIESEL",SUMIFS(Table1[Amount],Table1[Customer],$B108,Table1[Date],$A108,Table1[Bill No.],$C108),IF($K108="PETROL",SUMIFS(Table14[Amount],Table14[Customer],$B108,Table14[Date],$A108,Table14[Bill No.],$C108),IF($K108="XtraGreen",SUMIFS(Table146[Amount],Table146[Company],$B108,Table146[Date],$A108,Table146[Bill No.],$C108),SUMIFS('Other Sale'!$D:$D,'Other Sale'!$E:$E,$B108,'Other Sale'!$C:$C,$K108,'Other Sale'!$A:$A,$A108)))))</f>
        <v/>
      </c>
      <c r="G108" s="330" t="str" cm="1">
        <f t="array" ref="G108">IF($A108="","",IF($K108="Payment",IFERROR(INDEX(_xlfn._xlws.FILTER(MasterPaid[Amount Paid],(MasterPaid[Customer]=$B108)*(MasterPaid[Date]=$A108)),COUNTIFS($A$6:$A108,$A108,$B$6:$B108,$B108,$K$6:$K108,"Payment")),0),0))</f>
        <v/>
      </c>
      <c r="H108" s="331"/>
      <c r="I108" s="331"/>
      <c r="J108" s="330" t="str">
        <f t="shared" si="1"/>
        <v/>
      </c>
      <c r="K108" s="289" t="str" cm="1">
        <f t="array" ref="K108">IFERROR(INDEX(_xlfn.ANCHORARRAY($Q$6),ROW()-5,4),"")</f>
        <v/>
      </c>
      <c r="L108" s="290"/>
      <c r="U108">
        <f>IF(OR($A108="",$F108=""),0,MAX(0,MIN($F108,SUMIFS($F$6:$F108,$B$6:$B108,$B108)-(SUMIFS($G$6:$G$355,$B$6:$B$355,$B108)+SUMIFS($H$6:$H$355,$B$6:$B$355,$B108)+SUMIFS($I$6:$I$355,$B$6:$B$355,$B108)))))</f>
        <v>0</v>
      </c>
    </row>
    <row r="109" spans="1:21" ht="23" x14ac:dyDescent="0.25">
      <c r="A109" s="217" t="str" cm="1">
        <f t="array" ref="A109">IFERROR(INDEX(_xlfn.ANCHORARRAY($Q$6),ROW()-5,1),"")</f>
        <v/>
      </c>
      <c r="B109" s="288" t="str" cm="1">
        <f t="array" ref="B109">IFERROR(INDEX(_xlfn.ANCHORARRAY($Q$6),ROW()-5,2),"")</f>
        <v/>
      </c>
      <c r="C109" s="289" t="str" cm="1">
        <f t="array" ref="C109">IFERROR(INDEX(_xlfn.ANCHORARRAY($Q$6),ROW()-5,3),"")</f>
        <v/>
      </c>
      <c r="D109" s="218" t="str">
        <f>IF($A109="","",IF($K109="DIESEL",SUMIFS(Table1[Quantity],Table1[Customer],$B109,Table1[Date],$A109,Table1[Bill No.],$C109),IF($K109="PETROL",SUMIFS(Table14[Quantity],Table14[Customer],$B109,Table14[Date],$A109,Table14[Bill No.],$C109),IF($K109="XtraGreen",SUMIFS(Table146[Quantity],Table146[Company],$B109,Table146[Date],$A109,Table146[Bill No.],$C109),""))))</f>
        <v/>
      </c>
      <c r="E109" s="219" t="str">
        <f>IF($A109="","",IF($K109="DIESEL",AVERAGEIFS(Table1[RSP],Table1[Customer],$B109,Table1[Date],$A109,Table1[Bill No.],$C109),IF($K109="PETROL",AVERAGEIFS(Table14[RSP],Table14[Customer],$B109,Table14[Date],$A109,Table14[Bill No.],$C109),IF($K109="XtraGreen",AVERAGEIFS(Table146[RSP],Table146[Company],$B109,Table146[Date],$A109,Table146[Bill No.],$C109),IFERROR($F109/$D109,"")))))</f>
        <v/>
      </c>
      <c r="F109" s="330" t="str">
        <f>IF($A109="","",IF($K109="DIESEL",SUMIFS(Table1[Amount],Table1[Customer],$B109,Table1[Date],$A109,Table1[Bill No.],$C109),IF($K109="PETROL",SUMIFS(Table14[Amount],Table14[Customer],$B109,Table14[Date],$A109,Table14[Bill No.],$C109),IF($K109="XtraGreen",SUMIFS(Table146[Amount],Table146[Company],$B109,Table146[Date],$A109,Table146[Bill No.],$C109),SUMIFS('Other Sale'!$D:$D,'Other Sale'!$E:$E,$B109,'Other Sale'!$C:$C,$K109,'Other Sale'!$A:$A,$A109)))))</f>
        <v/>
      </c>
      <c r="G109" s="330" t="str" cm="1">
        <f t="array" ref="G109">IF($A109="","",IF($K109="Payment",IFERROR(INDEX(_xlfn._xlws.FILTER(MasterPaid[Amount Paid],(MasterPaid[Customer]=$B109)*(MasterPaid[Date]=$A109)),COUNTIFS($A$6:$A109,$A109,$B$6:$B109,$B109,$K$6:$K109,"Payment")),0),0))</f>
        <v/>
      </c>
      <c r="H109" s="331"/>
      <c r="I109" s="331"/>
      <c r="J109" s="330" t="str">
        <f t="shared" si="1"/>
        <v/>
      </c>
      <c r="K109" s="289" t="str" cm="1">
        <f t="array" ref="K109">IFERROR(INDEX(_xlfn.ANCHORARRAY($Q$6),ROW()-5,4),"")</f>
        <v/>
      </c>
      <c r="L109" s="290"/>
      <c r="U109">
        <f>IF(OR($A109="",$F109=""),0,MAX(0,MIN($F109,SUMIFS($F$6:$F109,$B$6:$B109,$B109)-(SUMIFS($G$6:$G$355,$B$6:$B$355,$B109)+SUMIFS($H$6:$H$355,$B$6:$B$355,$B109)+SUMIFS($I$6:$I$355,$B$6:$B$355,$B109)))))</f>
        <v>0</v>
      </c>
    </row>
    <row r="110" spans="1:21" ht="23" x14ac:dyDescent="0.25">
      <c r="A110" s="217" t="str" cm="1">
        <f t="array" ref="A110">IFERROR(INDEX(_xlfn.ANCHORARRAY($Q$6),ROW()-5,1),"")</f>
        <v/>
      </c>
      <c r="B110" s="288" t="str" cm="1">
        <f t="array" ref="B110">IFERROR(INDEX(_xlfn.ANCHORARRAY($Q$6),ROW()-5,2),"")</f>
        <v/>
      </c>
      <c r="C110" s="289" t="str" cm="1">
        <f t="array" ref="C110">IFERROR(INDEX(_xlfn.ANCHORARRAY($Q$6),ROW()-5,3),"")</f>
        <v/>
      </c>
      <c r="D110" s="218" t="str">
        <f>IF($A110="","",IF($K110="DIESEL",SUMIFS(Table1[Quantity],Table1[Customer],$B110,Table1[Date],$A110,Table1[Bill No.],$C110),IF($K110="PETROL",SUMIFS(Table14[Quantity],Table14[Customer],$B110,Table14[Date],$A110,Table14[Bill No.],$C110),IF($K110="XtraGreen",SUMIFS(Table146[Quantity],Table146[Company],$B110,Table146[Date],$A110,Table146[Bill No.],$C110),""))))</f>
        <v/>
      </c>
      <c r="E110" s="219" t="str">
        <f>IF($A110="","",IF($K110="DIESEL",AVERAGEIFS(Table1[RSP],Table1[Customer],$B110,Table1[Date],$A110,Table1[Bill No.],$C110),IF($K110="PETROL",AVERAGEIFS(Table14[RSP],Table14[Customer],$B110,Table14[Date],$A110,Table14[Bill No.],$C110),IF($K110="XtraGreen",AVERAGEIFS(Table146[RSP],Table146[Company],$B110,Table146[Date],$A110,Table146[Bill No.],$C110),IFERROR($F110/$D110,"")))))</f>
        <v/>
      </c>
      <c r="F110" s="330" t="str">
        <f>IF($A110="","",IF($K110="DIESEL",SUMIFS(Table1[Amount],Table1[Customer],$B110,Table1[Date],$A110,Table1[Bill No.],$C110),IF($K110="PETROL",SUMIFS(Table14[Amount],Table14[Customer],$B110,Table14[Date],$A110,Table14[Bill No.],$C110),IF($K110="XtraGreen",SUMIFS(Table146[Amount],Table146[Company],$B110,Table146[Date],$A110,Table146[Bill No.],$C110),SUMIFS('Other Sale'!$D:$D,'Other Sale'!$E:$E,$B110,'Other Sale'!$C:$C,$K110,'Other Sale'!$A:$A,$A110)))))</f>
        <v/>
      </c>
      <c r="G110" s="330" t="str" cm="1">
        <f t="array" ref="G110">IF($A110="","",IF($K110="Payment",IFERROR(INDEX(_xlfn._xlws.FILTER(MasterPaid[Amount Paid],(MasterPaid[Customer]=$B110)*(MasterPaid[Date]=$A110)),COUNTIFS($A$6:$A110,$A110,$B$6:$B110,$B110,$K$6:$K110,"Payment")),0),0))</f>
        <v/>
      </c>
      <c r="H110" s="331"/>
      <c r="I110" s="331"/>
      <c r="J110" s="330" t="str">
        <f t="shared" si="1"/>
        <v/>
      </c>
      <c r="K110" s="289" t="str" cm="1">
        <f t="array" ref="K110">IFERROR(INDEX(_xlfn.ANCHORARRAY($Q$6),ROW()-5,4),"")</f>
        <v/>
      </c>
      <c r="L110" s="290"/>
      <c r="U110">
        <f>IF(OR($A110="",$F110=""),0,MAX(0,MIN($F110,SUMIFS($F$6:$F110,$B$6:$B110,$B110)-(SUMIFS($G$6:$G$355,$B$6:$B$355,$B110)+SUMIFS($H$6:$H$355,$B$6:$B$355,$B110)+SUMIFS($I$6:$I$355,$B$6:$B$355,$B110)))))</f>
        <v>0</v>
      </c>
    </row>
    <row r="111" spans="1:21" ht="23" x14ac:dyDescent="0.25">
      <c r="A111" s="217" t="str" cm="1">
        <f t="array" ref="A111">IFERROR(INDEX(_xlfn.ANCHORARRAY($Q$6),ROW()-5,1),"")</f>
        <v/>
      </c>
      <c r="B111" s="288" t="str" cm="1">
        <f t="array" ref="B111">IFERROR(INDEX(_xlfn.ANCHORARRAY($Q$6),ROW()-5,2),"")</f>
        <v/>
      </c>
      <c r="C111" s="289" t="str" cm="1">
        <f t="array" ref="C111">IFERROR(INDEX(_xlfn.ANCHORARRAY($Q$6),ROW()-5,3),"")</f>
        <v/>
      </c>
      <c r="D111" s="218" t="str">
        <f>IF($A111="","",IF($K111="DIESEL",SUMIFS(Table1[Quantity],Table1[Customer],$B111,Table1[Date],$A111,Table1[Bill No.],$C111),IF($K111="PETROL",SUMIFS(Table14[Quantity],Table14[Customer],$B111,Table14[Date],$A111,Table14[Bill No.],$C111),IF($K111="XtraGreen",SUMIFS(Table146[Quantity],Table146[Company],$B111,Table146[Date],$A111,Table146[Bill No.],$C111),""))))</f>
        <v/>
      </c>
      <c r="E111" s="219" t="str">
        <f>IF($A111="","",IF($K111="DIESEL",AVERAGEIFS(Table1[RSP],Table1[Customer],$B111,Table1[Date],$A111,Table1[Bill No.],$C111),IF($K111="PETROL",AVERAGEIFS(Table14[RSP],Table14[Customer],$B111,Table14[Date],$A111,Table14[Bill No.],$C111),IF($K111="XtraGreen",AVERAGEIFS(Table146[RSP],Table146[Company],$B111,Table146[Date],$A111,Table146[Bill No.],$C111),IFERROR($F111/$D111,"")))))</f>
        <v/>
      </c>
      <c r="F111" s="330" t="str">
        <f>IF($A111="","",IF($K111="DIESEL",SUMIFS(Table1[Amount],Table1[Customer],$B111,Table1[Date],$A111,Table1[Bill No.],$C111),IF($K111="PETROL",SUMIFS(Table14[Amount],Table14[Customer],$B111,Table14[Date],$A111,Table14[Bill No.],$C111),IF($K111="XtraGreen",SUMIFS(Table146[Amount],Table146[Company],$B111,Table146[Date],$A111,Table146[Bill No.],$C111),SUMIFS('Other Sale'!$D:$D,'Other Sale'!$E:$E,$B111,'Other Sale'!$C:$C,$K111,'Other Sale'!$A:$A,$A111)))))</f>
        <v/>
      </c>
      <c r="G111" s="330" t="str" cm="1">
        <f t="array" ref="G111">IF($A111="","",IF($K111="Payment",IFERROR(INDEX(_xlfn._xlws.FILTER(MasterPaid[Amount Paid],(MasterPaid[Customer]=$B111)*(MasterPaid[Date]=$A111)),COUNTIFS($A$6:$A111,$A111,$B$6:$B111,$B111,$K$6:$K111,"Payment")),0),0))</f>
        <v/>
      </c>
      <c r="H111" s="331"/>
      <c r="I111" s="331"/>
      <c r="J111" s="330" t="str">
        <f t="shared" si="1"/>
        <v/>
      </c>
      <c r="K111" s="289" t="str" cm="1">
        <f t="array" ref="K111">IFERROR(INDEX(_xlfn.ANCHORARRAY($Q$6),ROW()-5,4),"")</f>
        <v/>
      </c>
      <c r="L111" s="290"/>
      <c r="U111">
        <f>IF(OR($A111="",$F111=""),0,MAX(0,MIN($F111,SUMIFS($F$6:$F111,$B$6:$B111,$B111)-(SUMIFS($G$6:$G$355,$B$6:$B$355,$B111)+SUMIFS($H$6:$H$355,$B$6:$B$355,$B111)+SUMIFS($I$6:$I$355,$B$6:$B$355,$B111)))))</f>
        <v>0</v>
      </c>
    </row>
    <row r="112" spans="1:21" ht="23" x14ac:dyDescent="0.25">
      <c r="A112" s="217" t="str" cm="1">
        <f t="array" ref="A112">IFERROR(INDEX(_xlfn.ANCHORARRAY($Q$6),ROW()-5,1),"")</f>
        <v/>
      </c>
      <c r="B112" s="288" t="str" cm="1">
        <f t="array" ref="B112">IFERROR(INDEX(_xlfn.ANCHORARRAY($Q$6),ROW()-5,2),"")</f>
        <v/>
      </c>
      <c r="C112" s="289" t="str" cm="1">
        <f t="array" ref="C112">IFERROR(INDEX(_xlfn.ANCHORARRAY($Q$6),ROW()-5,3),"")</f>
        <v/>
      </c>
      <c r="D112" s="218" t="str">
        <f>IF($A112="","",IF($K112="DIESEL",SUMIFS(Table1[Quantity],Table1[Customer],$B112,Table1[Date],$A112,Table1[Bill No.],$C112),IF($K112="PETROL",SUMIFS(Table14[Quantity],Table14[Customer],$B112,Table14[Date],$A112,Table14[Bill No.],$C112),IF($K112="XtraGreen",SUMIFS(Table146[Quantity],Table146[Company],$B112,Table146[Date],$A112,Table146[Bill No.],$C112),""))))</f>
        <v/>
      </c>
      <c r="E112" s="219" t="str">
        <f>IF($A112="","",IF($K112="DIESEL",AVERAGEIFS(Table1[RSP],Table1[Customer],$B112,Table1[Date],$A112,Table1[Bill No.],$C112),IF($K112="PETROL",AVERAGEIFS(Table14[RSP],Table14[Customer],$B112,Table14[Date],$A112,Table14[Bill No.],$C112),IF($K112="XtraGreen",AVERAGEIFS(Table146[RSP],Table146[Company],$B112,Table146[Date],$A112,Table146[Bill No.],$C112),IFERROR($F112/$D112,"")))))</f>
        <v/>
      </c>
      <c r="F112" s="330" t="str">
        <f>IF($A112="","",IF($K112="DIESEL",SUMIFS(Table1[Amount],Table1[Customer],$B112,Table1[Date],$A112,Table1[Bill No.],$C112),IF($K112="PETROL",SUMIFS(Table14[Amount],Table14[Customer],$B112,Table14[Date],$A112,Table14[Bill No.],$C112),IF($K112="XtraGreen",SUMIFS(Table146[Amount],Table146[Company],$B112,Table146[Date],$A112,Table146[Bill No.],$C112),SUMIFS('Other Sale'!$D:$D,'Other Sale'!$E:$E,$B112,'Other Sale'!$C:$C,$K112,'Other Sale'!$A:$A,$A112)))))</f>
        <v/>
      </c>
      <c r="G112" s="330" t="str" cm="1">
        <f t="array" ref="G112">IF($A112="","",IF($K112="Payment",IFERROR(INDEX(_xlfn._xlws.FILTER(MasterPaid[Amount Paid],(MasterPaid[Customer]=$B112)*(MasterPaid[Date]=$A112)),COUNTIFS($A$6:$A112,$A112,$B$6:$B112,$B112,$K$6:$K112,"Payment")),0),0))</f>
        <v/>
      </c>
      <c r="H112" s="331"/>
      <c r="I112" s="331"/>
      <c r="J112" s="330" t="str">
        <f t="shared" si="1"/>
        <v/>
      </c>
      <c r="K112" s="289" t="str" cm="1">
        <f t="array" ref="K112">IFERROR(INDEX(_xlfn.ANCHORARRAY($Q$6),ROW()-5,4),"")</f>
        <v/>
      </c>
      <c r="L112" s="290"/>
      <c r="U112">
        <f>IF(OR($A112="",$F112=""),0,MAX(0,MIN($F112,SUMIFS($F$6:$F112,$B$6:$B112,$B112)-(SUMIFS($G$6:$G$355,$B$6:$B$355,$B112)+SUMIFS($H$6:$H$355,$B$6:$B$355,$B112)+SUMIFS($I$6:$I$355,$B$6:$B$355,$B112)))))</f>
        <v>0</v>
      </c>
    </row>
    <row r="113" spans="1:21" ht="23" x14ac:dyDescent="0.25">
      <c r="A113" s="217" t="str" cm="1">
        <f t="array" ref="A113">IFERROR(INDEX(_xlfn.ANCHORARRAY($Q$6),ROW()-5,1),"")</f>
        <v/>
      </c>
      <c r="B113" s="288" t="str" cm="1">
        <f t="array" ref="B113">IFERROR(INDEX(_xlfn.ANCHORARRAY($Q$6),ROW()-5,2),"")</f>
        <v/>
      </c>
      <c r="C113" s="289" t="str" cm="1">
        <f t="array" ref="C113">IFERROR(INDEX(_xlfn.ANCHORARRAY($Q$6),ROW()-5,3),"")</f>
        <v/>
      </c>
      <c r="D113" s="218" t="str">
        <f>IF($A113="","",IF($K113="DIESEL",SUMIFS(Table1[Quantity],Table1[Customer],$B113,Table1[Date],$A113,Table1[Bill No.],$C113),IF($K113="PETROL",SUMIFS(Table14[Quantity],Table14[Customer],$B113,Table14[Date],$A113,Table14[Bill No.],$C113),IF($K113="XtraGreen",SUMIFS(Table146[Quantity],Table146[Company],$B113,Table146[Date],$A113,Table146[Bill No.],$C113),""))))</f>
        <v/>
      </c>
      <c r="E113" s="219" t="str">
        <f>IF($A113="","",IF($K113="DIESEL",AVERAGEIFS(Table1[RSP],Table1[Customer],$B113,Table1[Date],$A113,Table1[Bill No.],$C113),IF($K113="PETROL",AVERAGEIFS(Table14[RSP],Table14[Customer],$B113,Table14[Date],$A113,Table14[Bill No.],$C113),IF($K113="XtraGreen",AVERAGEIFS(Table146[RSP],Table146[Company],$B113,Table146[Date],$A113,Table146[Bill No.],$C113),IFERROR($F113/$D113,"")))))</f>
        <v/>
      </c>
      <c r="F113" s="330" t="str">
        <f>IF($A113="","",IF($K113="DIESEL",SUMIFS(Table1[Amount],Table1[Customer],$B113,Table1[Date],$A113,Table1[Bill No.],$C113),IF($K113="PETROL",SUMIFS(Table14[Amount],Table14[Customer],$B113,Table14[Date],$A113,Table14[Bill No.],$C113),IF($K113="XtraGreen",SUMIFS(Table146[Amount],Table146[Company],$B113,Table146[Date],$A113,Table146[Bill No.],$C113),SUMIFS('Other Sale'!$D:$D,'Other Sale'!$E:$E,$B113,'Other Sale'!$C:$C,$K113,'Other Sale'!$A:$A,$A113)))))</f>
        <v/>
      </c>
      <c r="G113" s="330" t="str" cm="1">
        <f t="array" ref="G113">IF($A113="","",IF($K113="Payment",IFERROR(INDEX(_xlfn._xlws.FILTER(MasterPaid[Amount Paid],(MasterPaid[Customer]=$B113)*(MasterPaid[Date]=$A113)),COUNTIFS($A$6:$A113,$A113,$B$6:$B113,$B113,$K$6:$K113,"Payment")),0),0))</f>
        <v/>
      </c>
      <c r="H113" s="331"/>
      <c r="I113" s="331"/>
      <c r="J113" s="330" t="str">
        <f t="shared" si="1"/>
        <v/>
      </c>
      <c r="K113" s="289" t="str" cm="1">
        <f t="array" ref="K113">IFERROR(INDEX(_xlfn.ANCHORARRAY($Q$6),ROW()-5,4),"")</f>
        <v/>
      </c>
      <c r="L113" s="290"/>
      <c r="U113">
        <f>IF(OR($A113="",$F113=""),0,MAX(0,MIN($F113,SUMIFS($F$6:$F113,$B$6:$B113,$B113)-(SUMIFS($G$6:$G$355,$B$6:$B$355,$B113)+SUMIFS($H$6:$H$355,$B$6:$B$355,$B113)+SUMIFS($I$6:$I$355,$B$6:$B$355,$B113)))))</f>
        <v>0</v>
      </c>
    </row>
    <row r="114" spans="1:21" ht="23" x14ac:dyDescent="0.25">
      <c r="A114" s="217" t="str" cm="1">
        <f t="array" ref="A114">IFERROR(INDEX(_xlfn.ANCHORARRAY($Q$6),ROW()-5,1),"")</f>
        <v/>
      </c>
      <c r="B114" s="288" t="str" cm="1">
        <f t="array" ref="B114">IFERROR(INDEX(_xlfn.ANCHORARRAY($Q$6),ROW()-5,2),"")</f>
        <v/>
      </c>
      <c r="C114" s="289" t="str" cm="1">
        <f t="array" ref="C114">IFERROR(INDEX(_xlfn.ANCHORARRAY($Q$6),ROW()-5,3),"")</f>
        <v/>
      </c>
      <c r="D114" s="218" t="str">
        <f>IF($A114="","",IF($K114="DIESEL",SUMIFS(Table1[Quantity],Table1[Customer],$B114,Table1[Date],$A114,Table1[Bill No.],$C114),IF($K114="PETROL",SUMIFS(Table14[Quantity],Table14[Customer],$B114,Table14[Date],$A114,Table14[Bill No.],$C114),IF($K114="XtraGreen",SUMIFS(Table146[Quantity],Table146[Company],$B114,Table146[Date],$A114,Table146[Bill No.],$C114),""))))</f>
        <v/>
      </c>
      <c r="E114" s="219" t="str">
        <f>IF($A114="","",IF($K114="DIESEL",AVERAGEIFS(Table1[RSP],Table1[Customer],$B114,Table1[Date],$A114,Table1[Bill No.],$C114),IF($K114="PETROL",AVERAGEIFS(Table14[RSP],Table14[Customer],$B114,Table14[Date],$A114,Table14[Bill No.],$C114),IF($K114="XtraGreen",AVERAGEIFS(Table146[RSP],Table146[Company],$B114,Table146[Date],$A114,Table146[Bill No.],$C114),IFERROR($F114/$D114,"")))))</f>
        <v/>
      </c>
      <c r="F114" s="330" t="str">
        <f>IF($A114="","",IF($K114="DIESEL",SUMIFS(Table1[Amount],Table1[Customer],$B114,Table1[Date],$A114,Table1[Bill No.],$C114),IF($K114="PETROL",SUMIFS(Table14[Amount],Table14[Customer],$B114,Table14[Date],$A114,Table14[Bill No.],$C114),IF($K114="XtraGreen",SUMIFS(Table146[Amount],Table146[Company],$B114,Table146[Date],$A114,Table146[Bill No.],$C114),SUMIFS('Other Sale'!$D:$D,'Other Sale'!$E:$E,$B114,'Other Sale'!$C:$C,$K114,'Other Sale'!$A:$A,$A114)))))</f>
        <v/>
      </c>
      <c r="G114" s="330" t="str" cm="1">
        <f t="array" ref="G114">IF($A114="","",IF($K114="Payment",IFERROR(INDEX(_xlfn._xlws.FILTER(MasterPaid[Amount Paid],(MasterPaid[Customer]=$B114)*(MasterPaid[Date]=$A114)),COUNTIFS($A$6:$A114,$A114,$B$6:$B114,$B114,$K$6:$K114,"Payment")),0),0))</f>
        <v/>
      </c>
      <c r="H114" s="331"/>
      <c r="I114" s="331"/>
      <c r="J114" s="330" t="str">
        <f t="shared" si="1"/>
        <v/>
      </c>
      <c r="K114" s="289" t="str" cm="1">
        <f t="array" ref="K114">IFERROR(INDEX(_xlfn.ANCHORARRAY($Q$6),ROW()-5,4),"")</f>
        <v/>
      </c>
      <c r="L114" s="290"/>
      <c r="U114">
        <f>IF(OR($A114="",$F114=""),0,MAX(0,MIN($F114,SUMIFS($F$6:$F114,$B$6:$B114,$B114)-(SUMIFS($G$6:$G$355,$B$6:$B$355,$B114)+SUMIFS($H$6:$H$355,$B$6:$B$355,$B114)+SUMIFS($I$6:$I$355,$B$6:$B$355,$B114)))))</f>
        <v>0</v>
      </c>
    </row>
    <row r="115" spans="1:21" ht="23" x14ac:dyDescent="0.25">
      <c r="A115" s="217" t="str" cm="1">
        <f t="array" ref="A115">IFERROR(INDEX(_xlfn.ANCHORARRAY($Q$6),ROW()-5,1),"")</f>
        <v/>
      </c>
      <c r="B115" s="288" t="str" cm="1">
        <f t="array" ref="B115">IFERROR(INDEX(_xlfn.ANCHORARRAY($Q$6),ROW()-5,2),"")</f>
        <v/>
      </c>
      <c r="C115" s="289" t="str" cm="1">
        <f t="array" ref="C115">IFERROR(INDEX(_xlfn.ANCHORARRAY($Q$6),ROW()-5,3),"")</f>
        <v/>
      </c>
      <c r="D115" s="218" t="str">
        <f>IF($A115="","",IF($K115="DIESEL",SUMIFS(Table1[Quantity],Table1[Customer],$B115,Table1[Date],$A115,Table1[Bill No.],$C115),IF($K115="PETROL",SUMIFS(Table14[Quantity],Table14[Customer],$B115,Table14[Date],$A115,Table14[Bill No.],$C115),IF($K115="XtraGreen",SUMIFS(Table146[Quantity],Table146[Company],$B115,Table146[Date],$A115,Table146[Bill No.],$C115),""))))</f>
        <v/>
      </c>
      <c r="E115" s="219" t="str">
        <f>IF($A115="","",IF($K115="DIESEL",AVERAGEIFS(Table1[RSP],Table1[Customer],$B115,Table1[Date],$A115,Table1[Bill No.],$C115),IF($K115="PETROL",AVERAGEIFS(Table14[RSP],Table14[Customer],$B115,Table14[Date],$A115,Table14[Bill No.],$C115),IF($K115="XtraGreen",AVERAGEIFS(Table146[RSP],Table146[Company],$B115,Table146[Date],$A115,Table146[Bill No.],$C115),IFERROR($F115/$D115,"")))))</f>
        <v/>
      </c>
      <c r="F115" s="330" t="str">
        <f>IF($A115="","",IF($K115="DIESEL",SUMIFS(Table1[Amount],Table1[Customer],$B115,Table1[Date],$A115,Table1[Bill No.],$C115),IF($K115="PETROL",SUMIFS(Table14[Amount],Table14[Customer],$B115,Table14[Date],$A115,Table14[Bill No.],$C115),IF($K115="XtraGreen",SUMIFS(Table146[Amount],Table146[Company],$B115,Table146[Date],$A115,Table146[Bill No.],$C115),SUMIFS('Other Sale'!$D:$D,'Other Sale'!$E:$E,$B115,'Other Sale'!$C:$C,$K115,'Other Sale'!$A:$A,$A115)))))</f>
        <v/>
      </c>
      <c r="G115" s="330" t="str" cm="1">
        <f t="array" ref="G115">IF($A115="","",IF($K115="Payment",IFERROR(INDEX(_xlfn._xlws.FILTER(MasterPaid[Amount Paid],(MasterPaid[Customer]=$B115)*(MasterPaid[Date]=$A115)),COUNTIFS($A$6:$A115,$A115,$B$6:$B115,$B115,$K$6:$K115,"Payment")),0),0))</f>
        <v/>
      </c>
      <c r="H115" s="331"/>
      <c r="I115" s="331"/>
      <c r="J115" s="330" t="str">
        <f t="shared" si="1"/>
        <v/>
      </c>
      <c r="K115" s="289" t="str" cm="1">
        <f t="array" ref="K115">IFERROR(INDEX(_xlfn.ANCHORARRAY($Q$6),ROW()-5,4),"")</f>
        <v/>
      </c>
      <c r="L115" s="290"/>
      <c r="U115">
        <f>IF(OR($A115="",$F115=""),0,MAX(0,MIN($F115,SUMIFS($F$6:$F115,$B$6:$B115,$B115)-(SUMIFS($G$6:$G$355,$B$6:$B$355,$B115)+SUMIFS($H$6:$H$355,$B$6:$B$355,$B115)+SUMIFS($I$6:$I$355,$B$6:$B$355,$B115)))))</f>
        <v>0</v>
      </c>
    </row>
    <row r="116" spans="1:21" ht="23" x14ac:dyDescent="0.25">
      <c r="A116" s="217" t="str" cm="1">
        <f t="array" ref="A116">IFERROR(INDEX(_xlfn.ANCHORARRAY($Q$6),ROW()-5,1),"")</f>
        <v/>
      </c>
      <c r="B116" s="288" t="str" cm="1">
        <f t="array" ref="B116">IFERROR(INDEX(_xlfn.ANCHORARRAY($Q$6),ROW()-5,2),"")</f>
        <v/>
      </c>
      <c r="C116" s="289" t="str" cm="1">
        <f t="array" ref="C116">IFERROR(INDEX(_xlfn.ANCHORARRAY($Q$6),ROW()-5,3),"")</f>
        <v/>
      </c>
      <c r="D116" s="218" t="str">
        <f>IF($A116="","",IF($K116="DIESEL",SUMIFS(Table1[Quantity],Table1[Customer],$B116,Table1[Date],$A116,Table1[Bill No.],$C116),IF($K116="PETROL",SUMIFS(Table14[Quantity],Table14[Customer],$B116,Table14[Date],$A116,Table14[Bill No.],$C116),IF($K116="XtraGreen",SUMIFS(Table146[Quantity],Table146[Company],$B116,Table146[Date],$A116,Table146[Bill No.],$C116),""))))</f>
        <v/>
      </c>
      <c r="E116" s="219" t="str">
        <f>IF($A116="","",IF($K116="DIESEL",AVERAGEIFS(Table1[RSP],Table1[Customer],$B116,Table1[Date],$A116,Table1[Bill No.],$C116),IF($K116="PETROL",AVERAGEIFS(Table14[RSP],Table14[Customer],$B116,Table14[Date],$A116,Table14[Bill No.],$C116),IF($K116="XtraGreen",AVERAGEIFS(Table146[RSP],Table146[Company],$B116,Table146[Date],$A116,Table146[Bill No.],$C116),IFERROR($F116/$D116,"")))))</f>
        <v/>
      </c>
      <c r="F116" s="330" t="str">
        <f>IF($A116="","",IF($K116="DIESEL",SUMIFS(Table1[Amount],Table1[Customer],$B116,Table1[Date],$A116,Table1[Bill No.],$C116),IF($K116="PETROL",SUMIFS(Table14[Amount],Table14[Customer],$B116,Table14[Date],$A116,Table14[Bill No.],$C116),IF($K116="XtraGreen",SUMIFS(Table146[Amount],Table146[Company],$B116,Table146[Date],$A116,Table146[Bill No.],$C116),SUMIFS('Other Sale'!$D:$D,'Other Sale'!$E:$E,$B116,'Other Sale'!$C:$C,$K116,'Other Sale'!$A:$A,$A116)))))</f>
        <v/>
      </c>
      <c r="G116" s="330" t="str" cm="1">
        <f t="array" ref="G116">IF($A116="","",IF($K116="Payment",IFERROR(INDEX(_xlfn._xlws.FILTER(MasterPaid[Amount Paid],(MasterPaid[Customer]=$B116)*(MasterPaid[Date]=$A116)),COUNTIFS($A$6:$A116,$A116,$B$6:$B116,$B116,$K$6:$K116,"Payment")),0),0))</f>
        <v/>
      </c>
      <c r="H116" s="331"/>
      <c r="I116" s="331"/>
      <c r="J116" s="330" t="str">
        <f t="shared" si="1"/>
        <v/>
      </c>
      <c r="K116" s="289" t="str" cm="1">
        <f t="array" ref="K116">IFERROR(INDEX(_xlfn.ANCHORARRAY($Q$6),ROW()-5,4),"")</f>
        <v/>
      </c>
      <c r="L116" s="290"/>
      <c r="U116">
        <f>IF(OR($A116="",$F116=""),0,MAX(0,MIN($F116,SUMIFS($F$6:$F116,$B$6:$B116,$B116)-(SUMIFS($G$6:$G$355,$B$6:$B$355,$B116)+SUMIFS($H$6:$H$355,$B$6:$B$355,$B116)+SUMIFS($I$6:$I$355,$B$6:$B$355,$B116)))))</f>
        <v>0</v>
      </c>
    </row>
    <row r="117" spans="1:21" ht="23" x14ac:dyDescent="0.25">
      <c r="A117" s="217" t="str" cm="1">
        <f t="array" ref="A117">IFERROR(INDEX(_xlfn.ANCHORARRAY($Q$6),ROW()-5,1),"")</f>
        <v/>
      </c>
      <c r="B117" s="288" t="str" cm="1">
        <f t="array" ref="B117">IFERROR(INDEX(_xlfn.ANCHORARRAY($Q$6),ROW()-5,2),"")</f>
        <v/>
      </c>
      <c r="C117" s="289" t="str" cm="1">
        <f t="array" ref="C117">IFERROR(INDEX(_xlfn.ANCHORARRAY($Q$6),ROW()-5,3),"")</f>
        <v/>
      </c>
      <c r="D117" s="218" t="str">
        <f>IF($A117="","",IF($K117="DIESEL",SUMIFS(Table1[Quantity],Table1[Customer],$B117,Table1[Date],$A117,Table1[Bill No.],$C117),IF($K117="PETROL",SUMIFS(Table14[Quantity],Table14[Customer],$B117,Table14[Date],$A117,Table14[Bill No.],$C117),IF($K117="XtraGreen",SUMIFS(Table146[Quantity],Table146[Company],$B117,Table146[Date],$A117,Table146[Bill No.],$C117),""))))</f>
        <v/>
      </c>
      <c r="E117" s="219" t="str">
        <f>IF($A117="","",IF($K117="DIESEL",AVERAGEIFS(Table1[RSP],Table1[Customer],$B117,Table1[Date],$A117,Table1[Bill No.],$C117),IF($K117="PETROL",AVERAGEIFS(Table14[RSP],Table14[Customer],$B117,Table14[Date],$A117,Table14[Bill No.],$C117),IF($K117="XtraGreen",AVERAGEIFS(Table146[RSP],Table146[Company],$B117,Table146[Date],$A117,Table146[Bill No.],$C117),IFERROR($F117/$D117,"")))))</f>
        <v/>
      </c>
      <c r="F117" s="330" t="str">
        <f>IF($A117="","",IF($K117="DIESEL",SUMIFS(Table1[Amount],Table1[Customer],$B117,Table1[Date],$A117,Table1[Bill No.],$C117),IF($K117="PETROL",SUMIFS(Table14[Amount],Table14[Customer],$B117,Table14[Date],$A117,Table14[Bill No.],$C117),IF($K117="XtraGreen",SUMIFS(Table146[Amount],Table146[Company],$B117,Table146[Date],$A117,Table146[Bill No.],$C117),SUMIFS('Other Sale'!$D:$D,'Other Sale'!$E:$E,$B117,'Other Sale'!$C:$C,$K117,'Other Sale'!$A:$A,$A117)))))</f>
        <v/>
      </c>
      <c r="G117" s="330" t="str" cm="1">
        <f t="array" ref="G117">IF($A117="","",IF($K117="Payment",IFERROR(INDEX(_xlfn._xlws.FILTER(MasterPaid[Amount Paid],(MasterPaid[Customer]=$B117)*(MasterPaid[Date]=$A117)),COUNTIFS($A$6:$A117,$A117,$B$6:$B117,$B117,$K$6:$K117,"Payment")),0),0))</f>
        <v/>
      </c>
      <c r="H117" s="331"/>
      <c r="I117" s="331"/>
      <c r="J117" s="330" t="str">
        <f t="shared" si="1"/>
        <v/>
      </c>
      <c r="K117" s="289" t="str" cm="1">
        <f t="array" ref="K117">IFERROR(INDEX(_xlfn.ANCHORARRAY($Q$6),ROW()-5,4),"")</f>
        <v/>
      </c>
      <c r="L117" s="290"/>
      <c r="U117">
        <f>IF(OR($A117="",$F117=""),0,MAX(0,MIN($F117,SUMIFS($F$6:$F117,$B$6:$B117,$B117)-(SUMIFS($G$6:$G$355,$B$6:$B$355,$B117)+SUMIFS($H$6:$H$355,$B$6:$B$355,$B117)+SUMIFS($I$6:$I$355,$B$6:$B$355,$B117)))))</f>
        <v>0</v>
      </c>
    </row>
    <row r="118" spans="1:21" ht="23" x14ac:dyDescent="0.25">
      <c r="A118" s="217" t="str" cm="1">
        <f t="array" ref="A118">IFERROR(INDEX(_xlfn.ANCHORARRAY($Q$6),ROW()-5,1),"")</f>
        <v/>
      </c>
      <c r="B118" s="288" t="str" cm="1">
        <f t="array" ref="B118">IFERROR(INDEX(_xlfn.ANCHORARRAY($Q$6),ROW()-5,2),"")</f>
        <v/>
      </c>
      <c r="C118" s="289" t="str" cm="1">
        <f t="array" ref="C118">IFERROR(INDEX(_xlfn.ANCHORARRAY($Q$6),ROW()-5,3),"")</f>
        <v/>
      </c>
      <c r="D118" s="218" t="str">
        <f>IF($A118="","",IF($K118="DIESEL",SUMIFS(Table1[Quantity],Table1[Customer],$B118,Table1[Date],$A118,Table1[Bill No.],$C118),IF($K118="PETROL",SUMIFS(Table14[Quantity],Table14[Customer],$B118,Table14[Date],$A118,Table14[Bill No.],$C118),IF($K118="XtraGreen",SUMIFS(Table146[Quantity],Table146[Company],$B118,Table146[Date],$A118,Table146[Bill No.],$C118),""))))</f>
        <v/>
      </c>
      <c r="E118" s="219" t="str">
        <f>IF($A118="","",IF($K118="DIESEL",AVERAGEIFS(Table1[RSP],Table1[Customer],$B118,Table1[Date],$A118,Table1[Bill No.],$C118),IF($K118="PETROL",AVERAGEIFS(Table14[RSP],Table14[Customer],$B118,Table14[Date],$A118,Table14[Bill No.],$C118),IF($K118="XtraGreen",AVERAGEIFS(Table146[RSP],Table146[Company],$B118,Table146[Date],$A118,Table146[Bill No.],$C118),IFERROR($F118/$D118,"")))))</f>
        <v/>
      </c>
      <c r="F118" s="330" t="str">
        <f>IF($A118="","",IF($K118="DIESEL",SUMIFS(Table1[Amount],Table1[Customer],$B118,Table1[Date],$A118,Table1[Bill No.],$C118),IF($K118="PETROL",SUMIFS(Table14[Amount],Table14[Customer],$B118,Table14[Date],$A118,Table14[Bill No.],$C118),IF($K118="XtraGreen",SUMIFS(Table146[Amount],Table146[Company],$B118,Table146[Date],$A118,Table146[Bill No.],$C118),SUMIFS('Other Sale'!$D:$D,'Other Sale'!$E:$E,$B118,'Other Sale'!$C:$C,$K118,'Other Sale'!$A:$A,$A118)))))</f>
        <v/>
      </c>
      <c r="G118" s="330" t="str" cm="1">
        <f t="array" ref="G118">IF($A118="","",IF($K118="Payment",IFERROR(INDEX(_xlfn._xlws.FILTER(MasterPaid[Amount Paid],(MasterPaid[Customer]=$B118)*(MasterPaid[Date]=$A118)),COUNTIFS($A$6:$A118,$A118,$B$6:$B118,$B118,$K$6:$K118,"Payment")),0),0))</f>
        <v/>
      </c>
      <c r="H118" s="331"/>
      <c r="I118" s="331"/>
      <c r="J118" s="330" t="str">
        <f t="shared" si="1"/>
        <v/>
      </c>
      <c r="K118" s="289" t="str" cm="1">
        <f t="array" ref="K118">IFERROR(INDEX(_xlfn.ANCHORARRAY($Q$6),ROW()-5,4),"")</f>
        <v/>
      </c>
      <c r="L118" s="290"/>
      <c r="U118">
        <f>IF(OR($A118="",$F118=""),0,MAX(0,MIN($F118,SUMIFS($F$6:$F118,$B$6:$B118,$B118)-(SUMIFS($G$6:$G$355,$B$6:$B$355,$B118)+SUMIFS($H$6:$H$355,$B$6:$B$355,$B118)+SUMIFS($I$6:$I$355,$B$6:$B$355,$B118)))))</f>
        <v>0</v>
      </c>
    </row>
    <row r="119" spans="1:21" ht="23" x14ac:dyDescent="0.25">
      <c r="A119" s="217" t="str" cm="1">
        <f t="array" ref="A119">IFERROR(INDEX(_xlfn.ANCHORARRAY($Q$6),ROW()-5,1),"")</f>
        <v/>
      </c>
      <c r="B119" s="288" t="str" cm="1">
        <f t="array" ref="B119">IFERROR(INDEX(_xlfn.ANCHORARRAY($Q$6),ROW()-5,2),"")</f>
        <v/>
      </c>
      <c r="C119" s="289" t="str" cm="1">
        <f t="array" ref="C119">IFERROR(INDEX(_xlfn.ANCHORARRAY($Q$6),ROW()-5,3),"")</f>
        <v/>
      </c>
      <c r="D119" s="218" t="str">
        <f>IF($A119="","",IF($K119="DIESEL",SUMIFS(Table1[Quantity],Table1[Customer],$B119,Table1[Date],$A119,Table1[Bill No.],$C119),IF($K119="PETROL",SUMIFS(Table14[Quantity],Table14[Customer],$B119,Table14[Date],$A119,Table14[Bill No.],$C119),IF($K119="XtraGreen",SUMIFS(Table146[Quantity],Table146[Company],$B119,Table146[Date],$A119,Table146[Bill No.],$C119),""))))</f>
        <v/>
      </c>
      <c r="E119" s="219" t="str">
        <f>IF($A119="","",IF($K119="DIESEL",AVERAGEIFS(Table1[RSP],Table1[Customer],$B119,Table1[Date],$A119,Table1[Bill No.],$C119),IF($K119="PETROL",AVERAGEIFS(Table14[RSP],Table14[Customer],$B119,Table14[Date],$A119,Table14[Bill No.],$C119),IF($K119="XtraGreen",AVERAGEIFS(Table146[RSP],Table146[Company],$B119,Table146[Date],$A119,Table146[Bill No.],$C119),IFERROR($F119/$D119,"")))))</f>
        <v/>
      </c>
      <c r="F119" s="330" t="str">
        <f>IF($A119="","",IF($K119="DIESEL",SUMIFS(Table1[Amount],Table1[Customer],$B119,Table1[Date],$A119,Table1[Bill No.],$C119),IF($K119="PETROL",SUMIFS(Table14[Amount],Table14[Customer],$B119,Table14[Date],$A119,Table14[Bill No.],$C119),IF($K119="XtraGreen",SUMIFS(Table146[Amount],Table146[Company],$B119,Table146[Date],$A119,Table146[Bill No.],$C119),SUMIFS('Other Sale'!$D:$D,'Other Sale'!$E:$E,$B119,'Other Sale'!$C:$C,$K119,'Other Sale'!$A:$A,$A119)))))</f>
        <v/>
      </c>
      <c r="G119" s="330" t="str" cm="1">
        <f t="array" ref="G119">IF($A119="","",IF($K119="Payment",IFERROR(INDEX(_xlfn._xlws.FILTER(MasterPaid[Amount Paid],(MasterPaid[Customer]=$B119)*(MasterPaid[Date]=$A119)),COUNTIFS($A$6:$A119,$A119,$B$6:$B119,$B119,$K$6:$K119,"Payment")),0),0))</f>
        <v/>
      </c>
      <c r="H119" s="331"/>
      <c r="I119" s="331"/>
      <c r="J119" s="330" t="str">
        <f t="shared" si="1"/>
        <v/>
      </c>
      <c r="K119" s="289" t="str" cm="1">
        <f t="array" ref="K119">IFERROR(INDEX(_xlfn.ANCHORARRAY($Q$6),ROW()-5,4),"")</f>
        <v/>
      </c>
      <c r="L119" s="290"/>
      <c r="U119">
        <f>IF(OR($A119="",$F119=""),0,MAX(0,MIN($F119,SUMIFS($F$6:$F119,$B$6:$B119,$B119)-(SUMIFS($G$6:$G$355,$B$6:$B$355,$B119)+SUMIFS($H$6:$H$355,$B$6:$B$355,$B119)+SUMIFS($I$6:$I$355,$B$6:$B$355,$B119)))))</f>
        <v>0</v>
      </c>
    </row>
    <row r="120" spans="1:21" ht="23" x14ac:dyDescent="0.25">
      <c r="A120" s="217" t="str" cm="1">
        <f t="array" ref="A120">IFERROR(INDEX(_xlfn.ANCHORARRAY($Q$6),ROW()-5,1),"")</f>
        <v/>
      </c>
      <c r="B120" s="288" t="str" cm="1">
        <f t="array" ref="B120">IFERROR(INDEX(_xlfn.ANCHORARRAY($Q$6),ROW()-5,2),"")</f>
        <v/>
      </c>
      <c r="C120" s="289" t="str" cm="1">
        <f t="array" ref="C120">IFERROR(INDEX(_xlfn.ANCHORARRAY($Q$6),ROW()-5,3),"")</f>
        <v/>
      </c>
      <c r="D120" s="218" t="str">
        <f>IF($A120="","",IF($K120="DIESEL",SUMIFS(Table1[Quantity],Table1[Customer],$B120,Table1[Date],$A120,Table1[Bill No.],$C120),IF($K120="PETROL",SUMIFS(Table14[Quantity],Table14[Customer],$B120,Table14[Date],$A120,Table14[Bill No.],$C120),IF($K120="XtraGreen",SUMIFS(Table146[Quantity],Table146[Company],$B120,Table146[Date],$A120,Table146[Bill No.],$C120),""))))</f>
        <v/>
      </c>
      <c r="E120" s="219" t="str">
        <f>IF($A120="","",IF($K120="DIESEL",AVERAGEIFS(Table1[RSP],Table1[Customer],$B120,Table1[Date],$A120,Table1[Bill No.],$C120),IF($K120="PETROL",AVERAGEIFS(Table14[RSP],Table14[Customer],$B120,Table14[Date],$A120,Table14[Bill No.],$C120),IF($K120="XtraGreen",AVERAGEIFS(Table146[RSP],Table146[Company],$B120,Table146[Date],$A120,Table146[Bill No.],$C120),IFERROR($F120/$D120,"")))))</f>
        <v/>
      </c>
      <c r="F120" s="330" t="str">
        <f>IF($A120="","",IF($K120="DIESEL",SUMIFS(Table1[Amount],Table1[Customer],$B120,Table1[Date],$A120,Table1[Bill No.],$C120),IF($K120="PETROL",SUMIFS(Table14[Amount],Table14[Customer],$B120,Table14[Date],$A120,Table14[Bill No.],$C120),IF($K120="XtraGreen",SUMIFS(Table146[Amount],Table146[Company],$B120,Table146[Date],$A120,Table146[Bill No.],$C120),SUMIFS('Other Sale'!$D:$D,'Other Sale'!$E:$E,$B120,'Other Sale'!$C:$C,$K120,'Other Sale'!$A:$A,$A120)))))</f>
        <v/>
      </c>
      <c r="G120" s="330" t="str" cm="1">
        <f t="array" ref="G120">IF($A120="","",IF($K120="Payment",IFERROR(INDEX(_xlfn._xlws.FILTER(MasterPaid[Amount Paid],(MasterPaid[Customer]=$B120)*(MasterPaid[Date]=$A120)),COUNTIFS($A$6:$A120,$A120,$B$6:$B120,$B120,$K$6:$K120,"Payment")),0),0))</f>
        <v/>
      </c>
      <c r="H120" s="331"/>
      <c r="I120" s="331"/>
      <c r="J120" s="330" t="str">
        <f t="shared" si="1"/>
        <v/>
      </c>
      <c r="K120" s="289" t="str" cm="1">
        <f t="array" ref="K120">IFERROR(INDEX(_xlfn.ANCHORARRAY($Q$6),ROW()-5,4),"")</f>
        <v/>
      </c>
      <c r="L120" s="290"/>
      <c r="U120">
        <f>IF(OR($A120="",$F120=""),0,MAX(0,MIN($F120,SUMIFS($F$6:$F120,$B$6:$B120,$B120)-(SUMIFS($G$6:$G$355,$B$6:$B$355,$B120)+SUMIFS($H$6:$H$355,$B$6:$B$355,$B120)+SUMIFS($I$6:$I$355,$B$6:$B$355,$B120)))))</f>
        <v>0</v>
      </c>
    </row>
    <row r="121" spans="1:21" ht="23" x14ac:dyDescent="0.25">
      <c r="A121" s="217" t="str" cm="1">
        <f t="array" ref="A121">IFERROR(INDEX(_xlfn.ANCHORARRAY($Q$6),ROW()-5,1),"")</f>
        <v/>
      </c>
      <c r="B121" s="288" t="str" cm="1">
        <f t="array" ref="B121">IFERROR(INDEX(_xlfn.ANCHORARRAY($Q$6),ROW()-5,2),"")</f>
        <v/>
      </c>
      <c r="C121" s="289" t="str" cm="1">
        <f t="array" ref="C121">IFERROR(INDEX(_xlfn.ANCHORARRAY($Q$6),ROW()-5,3),"")</f>
        <v/>
      </c>
      <c r="D121" s="218" t="str">
        <f>IF($A121="","",IF($K121="DIESEL",SUMIFS(Table1[Quantity],Table1[Customer],$B121,Table1[Date],$A121,Table1[Bill No.],$C121),IF($K121="PETROL",SUMIFS(Table14[Quantity],Table14[Customer],$B121,Table14[Date],$A121,Table14[Bill No.],$C121),IF($K121="XtraGreen",SUMIFS(Table146[Quantity],Table146[Company],$B121,Table146[Date],$A121,Table146[Bill No.],$C121),""))))</f>
        <v/>
      </c>
      <c r="E121" s="219" t="str">
        <f>IF($A121="","",IF($K121="DIESEL",AVERAGEIFS(Table1[RSP],Table1[Customer],$B121,Table1[Date],$A121,Table1[Bill No.],$C121),IF($K121="PETROL",AVERAGEIFS(Table14[RSP],Table14[Customer],$B121,Table14[Date],$A121,Table14[Bill No.],$C121),IF($K121="XtraGreen",AVERAGEIFS(Table146[RSP],Table146[Company],$B121,Table146[Date],$A121,Table146[Bill No.],$C121),IFERROR($F121/$D121,"")))))</f>
        <v/>
      </c>
      <c r="F121" s="330" t="str">
        <f>IF($A121="","",IF($K121="DIESEL",SUMIFS(Table1[Amount],Table1[Customer],$B121,Table1[Date],$A121,Table1[Bill No.],$C121),IF($K121="PETROL",SUMIFS(Table14[Amount],Table14[Customer],$B121,Table14[Date],$A121,Table14[Bill No.],$C121),IF($K121="XtraGreen",SUMIFS(Table146[Amount],Table146[Company],$B121,Table146[Date],$A121,Table146[Bill No.],$C121),SUMIFS('Other Sale'!$D:$D,'Other Sale'!$E:$E,$B121,'Other Sale'!$C:$C,$K121,'Other Sale'!$A:$A,$A121)))))</f>
        <v/>
      </c>
      <c r="G121" s="330" t="str" cm="1">
        <f t="array" ref="G121">IF($A121="","",IF($K121="Payment",IFERROR(INDEX(_xlfn._xlws.FILTER(MasterPaid[Amount Paid],(MasterPaid[Customer]=$B121)*(MasterPaid[Date]=$A121)),COUNTIFS($A$6:$A121,$A121,$B$6:$B121,$B121,$K$6:$K121,"Payment")),0),0))</f>
        <v/>
      </c>
      <c r="H121" s="331"/>
      <c r="I121" s="331"/>
      <c r="J121" s="330" t="str">
        <f t="shared" si="1"/>
        <v/>
      </c>
      <c r="K121" s="289" t="str" cm="1">
        <f t="array" ref="K121">IFERROR(INDEX(_xlfn.ANCHORARRAY($Q$6),ROW()-5,4),"")</f>
        <v/>
      </c>
      <c r="L121" s="290"/>
      <c r="U121">
        <f>IF(OR($A121="",$F121=""),0,MAX(0,MIN($F121,SUMIFS($F$6:$F121,$B$6:$B121,$B121)-(SUMIFS($G$6:$G$355,$B$6:$B$355,$B121)+SUMIFS($H$6:$H$355,$B$6:$B$355,$B121)+SUMIFS($I$6:$I$355,$B$6:$B$355,$B121)))))</f>
        <v>0</v>
      </c>
    </row>
    <row r="122" spans="1:21" ht="23" x14ac:dyDescent="0.25">
      <c r="A122" s="217" t="str" cm="1">
        <f t="array" ref="A122">IFERROR(INDEX(_xlfn.ANCHORARRAY($Q$6),ROW()-5,1),"")</f>
        <v/>
      </c>
      <c r="B122" s="288" t="str" cm="1">
        <f t="array" ref="B122">IFERROR(INDEX(_xlfn.ANCHORARRAY($Q$6),ROW()-5,2),"")</f>
        <v/>
      </c>
      <c r="C122" s="289" t="str" cm="1">
        <f t="array" ref="C122">IFERROR(INDEX(_xlfn.ANCHORARRAY($Q$6),ROW()-5,3),"")</f>
        <v/>
      </c>
      <c r="D122" s="218" t="str">
        <f>IF($A122="","",IF($K122="DIESEL",SUMIFS(Table1[Quantity],Table1[Customer],$B122,Table1[Date],$A122,Table1[Bill No.],$C122),IF($K122="PETROL",SUMIFS(Table14[Quantity],Table14[Customer],$B122,Table14[Date],$A122,Table14[Bill No.],$C122),IF($K122="XtraGreen",SUMIFS(Table146[Quantity],Table146[Company],$B122,Table146[Date],$A122,Table146[Bill No.],$C122),""))))</f>
        <v/>
      </c>
      <c r="E122" s="219" t="str">
        <f>IF($A122="","",IF($K122="DIESEL",AVERAGEIFS(Table1[RSP],Table1[Customer],$B122,Table1[Date],$A122,Table1[Bill No.],$C122),IF($K122="PETROL",AVERAGEIFS(Table14[RSP],Table14[Customer],$B122,Table14[Date],$A122,Table14[Bill No.],$C122),IF($K122="XtraGreen",AVERAGEIFS(Table146[RSP],Table146[Company],$B122,Table146[Date],$A122,Table146[Bill No.],$C122),IFERROR($F122/$D122,"")))))</f>
        <v/>
      </c>
      <c r="F122" s="330" t="str">
        <f>IF($A122="","",IF($K122="DIESEL",SUMIFS(Table1[Amount],Table1[Customer],$B122,Table1[Date],$A122,Table1[Bill No.],$C122),IF($K122="PETROL",SUMIFS(Table14[Amount],Table14[Customer],$B122,Table14[Date],$A122,Table14[Bill No.],$C122),IF($K122="XtraGreen",SUMIFS(Table146[Amount],Table146[Company],$B122,Table146[Date],$A122,Table146[Bill No.],$C122),SUMIFS('Other Sale'!$D:$D,'Other Sale'!$E:$E,$B122,'Other Sale'!$C:$C,$K122,'Other Sale'!$A:$A,$A122)))))</f>
        <v/>
      </c>
      <c r="G122" s="330" t="str" cm="1">
        <f t="array" ref="G122">IF($A122="","",IF($K122="Payment",IFERROR(INDEX(_xlfn._xlws.FILTER(MasterPaid[Amount Paid],(MasterPaid[Customer]=$B122)*(MasterPaid[Date]=$A122)),COUNTIFS($A$6:$A122,$A122,$B$6:$B122,$B122,$K$6:$K122,"Payment")),0),0))</f>
        <v/>
      </c>
      <c r="H122" s="331"/>
      <c r="I122" s="331"/>
      <c r="J122" s="330" t="str">
        <f t="shared" si="1"/>
        <v/>
      </c>
      <c r="K122" s="289" t="str" cm="1">
        <f t="array" ref="K122">IFERROR(INDEX(_xlfn.ANCHORARRAY($Q$6),ROW()-5,4),"")</f>
        <v/>
      </c>
      <c r="L122" s="290"/>
      <c r="U122">
        <f>IF(OR($A122="",$F122=""),0,MAX(0,MIN($F122,SUMIFS($F$6:$F122,$B$6:$B122,$B122)-(SUMIFS($G$6:$G$355,$B$6:$B$355,$B122)+SUMIFS($H$6:$H$355,$B$6:$B$355,$B122)+SUMIFS($I$6:$I$355,$B$6:$B$355,$B122)))))</f>
        <v>0</v>
      </c>
    </row>
    <row r="123" spans="1:21" ht="23" x14ac:dyDescent="0.25">
      <c r="A123" s="217" t="str" cm="1">
        <f t="array" ref="A123">IFERROR(INDEX(_xlfn.ANCHORARRAY($Q$6),ROW()-5,1),"")</f>
        <v/>
      </c>
      <c r="B123" s="288" t="str" cm="1">
        <f t="array" ref="B123">IFERROR(INDEX(_xlfn.ANCHORARRAY($Q$6),ROW()-5,2),"")</f>
        <v/>
      </c>
      <c r="C123" s="289" t="str" cm="1">
        <f t="array" ref="C123">IFERROR(INDEX(_xlfn.ANCHORARRAY($Q$6),ROW()-5,3),"")</f>
        <v/>
      </c>
      <c r="D123" s="218" t="str">
        <f>IF($A123="","",IF($K123="DIESEL",SUMIFS(Table1[Quantity],Table1[Customer],$B123,Table1[Date],$A123,Table1[Bill No.],$C123),IF($K123="PETROL",SUMIFS(Table14[Quantity],Table14[Customer],$B123,Table14[Date],$A123,Table14[Bill No.],$C123),IF($K123="XtraGreen",SUMIFS(Table146[Quantity],Table146[Company],$B123,Table146[Date],$A123,Table146[Bill No.],$C123),""))))</f>
        <v/>
      </c>
      <c r="E123" s="219" t="str">
        <f>IF($A123="","",IF($K123="DIESEL",AVERAGEIFS(Table1[RSP],Table1[Customer],$B123,Table1[Date],$A123,Table1[Bill No.],$C123),IF($K123="PETROL",AVERAGEIFS(Table14[RSP],Table14[Customer],$B123,Table14[Date],$A123,Table14[Bill No.],$C123),IF($K123="XtraGreen",AVERAGEIFS(Table146[RSP],Table146[Company],$B123,Table146[Date],$A123,Table146[Bill No.],$C123),IFERROR($F123/$D123,"")))))</f>
        <v/>
      </c>
      <c r="F123" s="330" t="str">
        <f>IF($A123="","",IF($K123="DIESEL",SUMIFS(Table1[Amount],Table1[Customer],$B123,Table1[Date],$A123,Table1[Bill No.],$C123),IF($K123="PETROL",SUMIFS(Table14[Amount],Table14[Customer],$B123,Table14[Date],$A123,Table14[Bill No.],$C123),IF($K123="XtraGreen",SUMIFS(Table146[Amount],Table146[Company],$B123,Table146[Date],$A123,Table146[Bill No.],$C123),SUMIFS('Other Sale'!$D:$D,'Other Sale'!$E:$E,$B123,'Other Sale'!$C:$C,$K123,'Other Sale'!$A:$A,$A123)))))</f>
        <v/>
      </c>
      <c r="G123" s="330" t="str" cm="1">
        <f t="array" ref="G123">IF($A123="","",IF($K123="Payment",IFERROR(INDEX(_xlfn._xlws.FILTER(MasterPaid[Amount Paid],(MasterPaid[Customer]=$B123)*(MasterPaid[Date]=$A123)),COUNTIFS($A$6:$A123,$A123,$B$6:$B123,$B123,$K$6:$K123,"Payment")),0),0))</f>
        <v/>
      </c>
      <c r="H123" s="331"/>
      <c r="I123" s="331"/>
      <c r="J123" s="330" t="str">
        <f t="shared" si="1"/>
        <v/>
      </c>
      <c r="K123" s="289" t="str" cm="1">
        <f t="array" ref="K123">IFERROR(INDEX(_xlfn.ANCHORARRAY($Q$6),ROW()-5,4),"")</f>
        <v/>
      </c>
      <c r="L123" s="290"/>
      <c r="U123">
        <f>IF(OR($A123="",$F123=""),0,MAX(0,MIN($F123,SUMIFS($F$6:$F123,$B$6:$B123,$B123)-(SUMIFS($G$6:$G$355,$B$6:$B$355,$B123)+SUMIFS($H$6:$H$355,$B$6:$B$355,$B123)+SUMIFS($I$6:$I$355,$B$6:$B$355,$B123)))))</f>
        <v>0</v>
      </c>
    </row>
    <row r="124" spans="1:21" ht="23" x14ac:dyDescent="0.25">
      <c r="A124" s="217" t="str" cm="1">
        <f t="array" ref="A124">IFERROR(INDEX(_xlfn.ANCHORARRAY($Q$6),ROW()-5,1),"")</f>
        <v/>
      </c>
      <c r="B124" s="288" t="str" cm="1">
        <f t="array" ref="B124">IFERROR(INDEX(_xlfn.ANCHORARRAY($Q$6),ROW()-5,2),"")</f>
        <v/>
      </c>
      <c r="C124" s="289" t="str" cm="1">
        <f t="array" ref="C124">IFERROR(INDEX(_xlfn.ANCHORARRAY($Q$6),ROW()-5,3),"")</f>
        <v/>
      </c>
      <c r="D124" s="218" t="str">
        <f>IF($A124="","",IF($K124="DIESEL",SUMIFS(Table1[Quantity],Table1[Customer],$B124,Table1[Date],$A124,Table1[Bill No.],$C124),IF($K124="PETROL",SUMIFS(Table14[Quantity],Table14[Customer],$B124,Table14[Date],$A124,Table14[Bill No.],$C124),IF($K124="XtraGreen",SUMIFS(Table146[Quantity],Table146[Company],$B124,Table146[Date],$A124,Table146[Bill No.],$C124),""))))</f>
        <v/>
      </c>
      <c r="E124" s="219" t="str">
        <f>IF($A124="","",IF($K124="DIESEL",AVERAGEIFS(Table1[RSP],Table1[Customer],$B124,Table1[Date],$A124,Table1[Bill No.],$C124),IF($K124="PETROL",AVERAGEIFS(Table14[RSP],Table14[Customer],$B124,Table14[Date],$A124,Table14[Bill No.],$C124),IF($K124="XtraGreen",AVERAGEIFS(Table146[RSP],Table146[Company],$B124,Table146[Date],$A124,Table146[Bill No.],$C124),IFERROR($F124/$D124,"")))))</f>
        <v/>
      </c>
      <c r="F124" s="330" t="str">
        <f>IF($A124="","",IF($K124="DIESEL",SUMIFS(Table1[Amount],Table1[Customer],$B124,Table1[Date],$A124,Table1[Bill No.],$C124),IF($K124="PETROL",SUMIFS(Table14[Amount],Table14[Customer],$B124,Table14[Date],$A124,Table14[Bill No.],$C124),IF($K124="XtraGreen",SUMIFS(Table146[Amount],Table146[Company],$B124,Table146[Date],$A124,Table146[Bill No.],$C124),SUMIFS('Other Sale'!$D:$D,'Other Sale'!$E:$E,$B124,'Other Sale'!$C:$C,$K124,'Other Sale'!$A:$A,$A124)))))</f>
        <v/>
      </c>
      <c r="G124" s="330" t="str" cm="1">
        <f t="array" ref="G124">IF($A124="","",IF($K124="Payment",IFERROR(INDEX(_xlfn._xlws.FILTER(MasterPaid[Amount Paid],(MasterPaid[Customer]=$B124)*(MasterPaid[Date]=$A124)),COUNTIFS($A$6:$A124,$A124,$B$6:$B124,$B124,$K$6:$K124,"Payment")),0),0))</f>
        <v/>
      </c>
      <c r="H124" s="331"/>
      <c r="I124" s="331"/>
      <c r="J124" s="330" t="str">
        <f t="shared" si="1"/>
        <v/>
      </c>
      <c r="K124" s="289" t="str" cm="1">
        <f t="array" ref="K124">IFERROR(INDEX(_xlfn.ANCHORARRAY($Q$6),ROW()-5,4),"")</f>
        <v/>
      </c>
      <c r="L124" s="290"/>
      <c r="U124">
        <f>IF(OR($A124="",$F124=""),0,MAX(0,MIN($F124,SUMIFS($F$6:$F124,$B$6:$B124,$B124)-(SUMIFS($G$6:$G$355,$B$6:$B$355,$B124)+SUMIFS($H$6:$H$355,$B$6:$B$355,$B124)+SUMIFS($I$6:$I$355,$B$6:$B$355,$B124)))))</f>
        <v>0</v>
      </c>
    </row>
    <row r="125" spans="1:21" ht="23" x14ac:dyDescent="0.25">
      <c r="A125" s="217" t="str" cm="1">
        <f t="array" ref="A125">IFERROR(INDEX(_xlfn.ANCHORARRAY($Q$6),ROW()-5,1),"")</f>
        <v/>
      </c>
      <c r="B125" s="288" t="str" cm="1">
        <f t="array" ref="B125">IFERROR(INDEX(_xlfn.ANCHORARRAY($Q$6),ROW()-5,2),"")</f>
        <v/>
      </c>
      <c r="C125" s="289" t="str" cm="1">
        <f t="array" ref="C125">IFERROR(INDEX(_xlfn.ANCHORARRAY($Q$6),ROW()-5,3),"")</f>
        <v/>
      </c>
      <c r="D125" s="218" t="str">
        <f>IF($A125="","",IF($K125="DIESEL",SUMIFS(Table1[Quantity],Table1[Customer],$B125,Table1[Date],$A125,Table1[Bill No.],$C125),IF($K125="PETROL",SUMIFS(Table14[Quantity],Table14[Customer],$B125,Table14[Date],$A125,Table14[Bill No.],$C125),IF($K125="XtraGreen",SUMIFS(Table146[Quantity],Table146[Company],$B125,Table146[Date],$A125,Table146[Bill No.],$C125),""))))</f>
        <v/>
      </c>
      <c r="E125" s="219" t="str">
        <f>IF($A125="","",IF($K125="DIESEL",AVERAGEIFS(Table1[RSP],Table1[Customer],$B125,Table1[Date],$A125,Table1[Bill No.],$C125),IF($K125="PETROL",AVERAGEIFS(Table14[RSP],Table14[Customer],$B125,Table14[Date],$A125,Table14[Bill No.],$C125),IF($K125="XtraGreen",AVERAGEIFS(Table146[RSP],Table146[Company],$B125,Table146[Date],$A125,Table146[Bill No.],$C125),IFERROR($F125/$D125,"")))))</f>
        <v/>
      </c>
      <c r="F125" s="330" t="str">
        <f>IF($A125="","",IF($K125="DIESEL",SUMIFS(Table1[Amount],Table1[Customer],$B125,Table1[Date],$A125,Table1[Bill No.],$C125),IF($K125="PETROL",SUMIFS(Table14[Amount],Table14[Customer],$B125,Table14[Date],$A125,Table14[Bill No.],$C125),IF($K125="XtraGreen",SUMIFS(Table146[Amount],Table146[Company],$B125,Table146[Date],$A125,Table146[Bill No.],$C125),SUMIFS('Other Sale'!$D:$D,'Other Sale'!$E:$E,$B125,'Other Sale'!$C:$C,$K125,'Other Sale'!$A:$A,$A125)))))</f>
        <v/>
      </c>
      <c r="G125" s="330" t="str" cm="1">
        <f t="array" ref="G125">IF($A125="","",IF($K125="Payment",IFERROR(INDEX(_xlfn._xlws.FILTER(MasterPaid[Amount Paid],(MasterPaid[Customer]=$B125)*(MasterPaid[Date]=$A125)),COUNTIFS($A$6:$A125,$A125,$B$6:$B125,$B125,$K$6:$K125,"Payment")),0),0))</f>
        <v/>
      </c>
      <c r="H125" s="331"/>
      <c r="I125" s="331"/>
      <c r="J125" s="330" t="str">
        <f t="shared" si="1"/>
        <v/>
      </c>
      <c r="K125" s="289" t="str" cm="1">
        <f t="array" ref="K125">IFERROR(INDEX(_xlfn.ANCHORARRAY($Q$6),ROW()-5,4),"")</f>
        <v/>
      </c>
      <c r="L125" s="290"/>
      <c r="U125">
        <f>IF(OR($A125="",$F125=""),0,MAX(0,MIN($F125,SUMIFS($F$6:$F125,$B$6:$B125,$B125)-(SUMIFS($G$6:$G$355,$B$6:$B$355,$B125)+SUMIFS($H$6:$H$355,$B$6:$B$355,$B125)+SUMIFS($I$6:$I$355,$B$6:$B$355,$B125)))))</f>
        <v>0</v>
      </c>
    </row>
    <row r="126" spans="1:21" ht="23" x14ac:dyDescent="0.25">
      <c r="A126" s="217" t="str" cm="1">
        <f t="array" ref="A126">IFERROR(INDEX(_xlfn.ANCHORARRAY($Q$6),ROW()-5,1),"")</f>
        <v/>
      </c>
      <c r="B126" s="288" t="str" cm="1">
        <f t="array" ref="B126">IFERROR(INDEX(_xlfn.ANCHORARRAY($Q$6),ROW()-5,2),"")</f>
        <v/>
      </c>
      <c r="C126" s="289" t="str" cm="1">
        <f t="array" ref="C126">IFERROR(INDEX(_xlfn.ANCHORARRAY($Q$6),ROW()-5,3),"")</f>
        <v/>
      </c>
      <c r="D126" s="218" t="str">
        <f>IF($A126="","",IF($K126="DIESEL",SUMIFS(Table1[Quantity],Table1[Customer],$B126,Table1[Date],$A126,Table1[Bill No.],$C126),IF($K126="PETROL",SUMIFS(Table14[Quantity],Table14[Customer],$B126,Table14[Date],$A126,Table14[Bill No.],$C126),IF($K126="XtraGreen",SUMIFS(Table146[Quantity],Table146[Company],$B126,Table146[Date],$A126,Table146[Bill No.],$C126),""))))</f>
        <v/>
      </c>
      <c r="E126" s="219" t="str">
        <f>IF($A126="","",IF($K126="DIESEL",AVERAGEIFS(Table1[RSP],Table1[Customer],$B126,Table1[Date],$A126,Table1[Bill No.],$C126),IF($K126="PETROL",AVERAGEIFS(Table14[RSP],Table14[Customer],$B126,Table14[Date],$A126,Table14[Bill No.],$C126),IF($K126="XtraGreen",AVERAGEIFS(Table146[RSP],Table146[Company],$B126,Table146[Date],$A126,Table146[Bill No.],$C126),IFERROR($F126/$D126,"")))))</f>
        <v/>
      </c>
      <c r="F126" s="330" t="str">
        <f>IF($A126="","",IF($K126="DIESEL",SUMIFS(Table1[Amount],Table1[Customer],$B126,Table1[Date],$A126,Table1[Bill No.],$C126),IF($K126="PETROL",SUMIFS(Table14[Amount],Table14[Customer],$B126,Table14[Date],$A126,Table14[Bill No.],$C126),IF($K126="XtraGreen",SUMIFS(Table146[Amount],Table146[Company],$B126,Table146[Date],$A126,Table146[Bill No.],$C126),SUMIFS('Other Sale'!$D:$D,'Other Sale'!$E:$E,$B126,'Other Sale'!$C:$C,$K126,'Other Sale'!$A:$A,$A126)))))</f>
        <v/>
      </c>
      <c r="G126" s="330" t="str" cm="1">
        <f t="array" ref="G126">IF($A126="","",IF($K126="Payment",IFERROR(INDEX(_xlfn._xlws.FILTER(MasterPaid[Amount Paid],(MasterPaid[Customer]=$B126)*(MasterPaid[Date]=$A126)),COUNTIFS($A$6:$A126,$A126,$B$6:$B126,$B126,$K$6:$K126,"Payment")),0),0))</f>
        <v/>
      </c>
      <c r="H126" s="331"/>
      <c r="I126" s="331"/>
      <c r="J126" s="330" t="str">
        <f t="shared" si="1"/>
        <v/>
      </c>
      <c r="K126" s="289" t="str" cm="1">
        <f t="array" ref="K126">IFERROR(INDEX(_xlfn.ANCHORARRAY($Q$6),ROW()-5,4),"")</f>
        <v/>
      </c>
      <c r="L126" s="290"/>
      <c r="U126">
        <f>IF(OR($A126="",$F126=""),0,MAX(0,MIN($F126,SUMIFS($F$6:$F126,$B$6:$B126,$B126)-(SUMIFS($G$6:$G$355,$B$6:$B$355,$B126)+SUMIFS($H$6:$H$355,$B$6:$B$355,$B126)+SUMIFS($I$6:$I$355,$B$6:$B$355,$B126)))))</f>
        <v>0</v>
      </c>
    </row>
    <row r="127" spans="1:21" ht="23" x14ac:dyDescent="0.25">
      <c r="A127" s="217" t="str" cm="1">
        <f t="array" ref="A127">IFERROR(INDEX(_xlfn.ANCHORARRAY($Q$6),ROW()-5,1),"")</f>
        <v/>
      </c>
      <c r="B127" s="288" t="str" cm="1">
        <f t="array" ref="B127">IFERROR(INDEX(_xlfn.ANCHORARRAY($Q$6),ROW()-5,2),"")</f>
        <v/>
      </c>
      <c r="C127" s="289" t="str" cm="1">
        <f t="array" ref="C127">IFERROR(INDEX(_xlfn.ANCHORARRAY($Q$6),ROW()-5,3),"")</f>
        <v/>
      </c>
      <c r="D127" s="218" t="str">
        <f>IF($A127="","",IF($K127="DIESEL",SUMIFS(Table1[Quantity],Table1[Customer],$B127,Table1[Date],$A127,Table1[Bill No.],$C127),IF($K127="PETROL",SUMIFS(Table14[Quantity],Table14[Customer],$B127,Table14[Date],$A127,Table14[Bill No.],$C127),IF($K127="XtraGreen",SUMIFS(Table146[Quantity],Table146[Company],$B127,Table146[Date],$A127,Table146[Bill No.],$C127),""))))</f>
        <v/>
      </c>
      <c r="E127" s="219" t="str">
        <f>IF($A127="","",IF($K127="DIESEL",AVERAGEIFS(Table1[RSP],Table1[Customer],$B127,Table1[Date],$A127,Table1[Bill No.],$C127),IF($K127="PETROL",AVERAGEIFS(Table14[RSP],Table14[Customer],$B127,Table14[Date],$A127,Table14[Bill No.],$C127),IF($K127="XtraGreen",AVERAGEIFS(Table146[RSP],Table146[Company],$B127,Table146[Date],$A127,Table146[Bill No.],$C127),IFERROR($F127/$D127,"")))))</f>
        <v/>
      </c>
      <c r="F127" s="330" t="str">
        <f>IF($A127="","",IF($K127="DIESEL",SUMIFS(Table1[Amount],Table1[Customer],$B127,Table1[Date],$A127,Table1[Bill No.],$C127),IF($K127="PETROL",SUMIFS(Table14[Amount],Table14[Customer],$B127,Table14[Date],$A127,Table14[Bill No.],$C127),IF($K127="XtraGreen",SUMIFS(Table146[Amount],Table146[Company],$B127,Table146[Date],$A127,Table146[Bill No.],$C127),SUMIFS('Other Sale'!$D:$D,'Other Sale'!$E:$E,$B127,'Other Sale'!$C:$C,$K127,'Other Sale'!$A:$A,$A127)))))</f>
        <v/>
      </c>
      <c r="G127" s="330" t="str" cm="1">
        <f t="array" ref="G127">IF($A127="","",IF($K127="Payment",IFERROR(INDEX(_xlfn._xlws.FILTER(MasterPaid[Amount Paid],(MasterPaid[Customer]=$B127)*(MasterPaid[Date]=$A127)),COUNTIFS($A$6:$A127,$A127,$B$6:$B127,$B127,$K$6:$K127,"Payment")),0),0))</f>
        <v/>
      </c>
      <c r="H127" s="331"/>
      <c r="I127" s="331"/>
      <c r="J127" s="330" t="str">
        <f t="shared" si="1"/>
        <v/>
      </c>
      <c r="K127" s="289" t="str" cm="1">
        <f t="array" ref="K127">IFERROR(INDEX(_xlfn.ANCHORARRAY($Q$6),ROW()-5,4),"")</f>
        <v/>
      </c>
      <c r="L127" s="290"/>
      <c r="U127">
        <f>IF(OR($A127="",$F127=""),0,MAX(0,MIN($F127,SUMIFS($F$6:$F127,$B$6:$B127,$B127)-(SUMIFS($G$6:$G$355,$B$6:$B$355,$B127)+SUMIFS($H$6:$H$355,$B$6:$B$355,$B127)+SUMIFS($I$6:$I$355,$B$6:$B$355,$B127)))))</f>
        <v>0</v>
      </c>
    </row>
    <row r="128" spans="1:21" ht="23" x14ac:dyDescent="0.25">
      <c r="A128" s="217" t="str" cm="1">
        <f t="array" ref="A128">IFERROR(INDEX(_xlfn.ANCHORARRAY($Q$6),ROW()-5,1),"")</f>
        <v/>
      </c>
      <c r="B128" s="288" t="str" cm="1">
        <f t="array" ref="B128">IFERROR(INDEX(_xlfn.ANCHORARRAY($Q$6),ROW()-5,2),"")</f>
        <v/>
      </c>
      <c r="C128" s="289" t="str" cm="1">
        <f t="array" ref="C128">IFERROR(INDEX(_xlfn.ANCHORARRAY($Q$6),ROW()-5,3),"")</f>
        <v/>
      </c>
      <c r="D128" s="218" t="str">
        <f>IF($A128="","",IF($K128="DIESEL",SUMIFS(Table1[Quantity],Table1[Customer],$B128,Table1[Date],$A128,Table1[Bill No.],$C128),IF($K128="PETROL",SUMIFS(Table14[Quantity],Table14[Customer],$B128,Table14[Date],$A128,Table14[Bill No.],$C128),IF($K128="XtraGreen",SUMIFS(Table146[Quantity],Table146[Company],$B128,Table146[Date],$A128,Table146[Bill No.],$C128),""))))</f>
        <v/>
      </c>
      <c r="E128" s="219" t="str">
        <f>IF($A128="","",IF($K128="DIESEL",AVERAGEIFS(Table1[RSP],Table1[Customer],$B128,Table1[Date],$A128,Table1[Bill No.],$C128),IF($K128="PETROL",AVERAGEIFS(Table14[RSP],Table14[Customer],$B128,Table14[Date],$A128,Table14[Bill No.],$C128),IF($K128="XtraGreen",AVERAGEIFS(Table146[RSP],Table146[Company],$B128,Table146[Date],$A128,Table146[Bill No.],$C128),IFERROR($F128/$D128,"")))))</f>
        <v/>
      </c>
      <c r="F128" s="330" t="str">
        <f>IF($A128="","",IF($K128="DIESEL",SUMIFS(Table1[Amount],Table1[Customer],$B128,Table1[Date],$A128,Table1[Bill No.],$C128),IF($K128="PETROL",SUMIFS(Table14[Amount],Table14[Customer],$B128,Table14[Date],$A128,Table14[Bill No.],$C128),IF($K128="XtraGreen",SUMIFS(Table146[Amount],Table146[Company],$B128,Table146[Date],$A128,Table146[Bill No.],$C128),SUMIFS('Other Sale'!$D:$D,'Other Sale'!$E:$E,$B128,'Other Sale'!$C:$C,$K128,'Other Sale'!$A:$A,$A128)))))</f>
        <v/>
      </c>
      <c r="G128" s="330" t="str" cm="1">
        <f t="array" ref="G128">IF($A128="","",IF($K128="Payment",IFERROR(INDEX(_xlfn._xlws.FILTER(MasterPaid[Amount Paid],(MasterPaid[Customer]=$B128)*(MasterPaid[Date]=$A128)),COUNTIFS($A$6:$A128,$A128,$B$6:$B128,$B128,$K$6:$K128,"Payment")),0),0))</f>
        <v/>
      </c>
      <c r="H128" s="331"/>
      <c r="I128" s="331"/>
      <c r="J128" s="330" t="str">
        <f t="shared" si="1"/>
        <v/>
      </c>
      <c r="K128" s="289" t="str" cm="1">
        <f t="array" ref="K128">IFERROR(INDEX(_xlfn.ANCHORARRAY($Q$6),ROW()-5,4),"")</f>
        <v/>
      </c>
      <c r="L128" s="290"/>
      <c r="U128">
        <f>IF(OR($A128="",$F128=""),0,MAX(0,MIN($F128,SUMIFS($F$6:$F128,$B$6:$B128,$B128)-(SUMIFS($G$6:$G$355,$B$6:$B$355,$B128)+SUMIFS($H$6:$H$355,$B$6:$B$355,$B128)+SUMIFS($I$6:$I$355,$B$6:$B$355,$B128)))))</f>
        <v>0</v>
      </c>
    </row>
    <row r="129" spans="1:21" ht="23" x14ac:dyDescent="0.25">
      <c r="A129" s="217" t="str" cm="1">
        <f t="array" ref="A129">IFERROR(INDEX(_xlfn.ANCHORARRAY($Q$6),ROW()-5,1),"")</f>
        <v/>
      </c>
      <c r="B129" s="288" t="str" cm="1">
        <f t="array" ref="B129">IFERROR(INDEX(_xlfn.ANCHORARRAY($Q$6),ROW()-5,2),"")</f>
        <v/>
      </c>
      <c r="C129" s="289" t="str" cm="1">
        <f t="array" ref="C129">IFERROR(INDEX(_xlfn.ANCHORARRAY($Q$6),ROW()-5,3),"")</f>
        <v/>
      </c>
      <c r="D129" s="218" t="str">
        <f>IF($A129="","",IF($K129="DIESEL",SUMIFS(Table1[Quantity],Table1[Customer],$B129,Table1[Date],$A129,Table1[Bill No.],$C129),IF($K129="PETROL",SUMIFS(Table14[Quantity],Table14[Customer],$B129,Table14[Date],$A129,Table14[Bill No.],$C129),IF($K129="XtraGreen",SUMIFS(Table146[Quantity],Table146[Company],$B129,Table146[Date],$A129,Table146[Bill No.],$C129),""))))</f>
        <v/>
      </c>
      <c r="E129" s="219" t="str">
        <f>IF($A129="","",IF($K129="DIESEL",AVERAGEIFS(Table1[RSP],Table1[Customer],$B129,Table1[Date],$A129,Table1[Bill No.],$C129),IF($K129="PETROL",AVERAGEIFS(Table14[RSP],Table14[Customer],$B129,Table14[Date],$A129,Table14[Bill No.],$C129),IF($K129="XtraGreen",AVERAGEIFS(Table146[RSP],Table146[Company],$B129,Table146[Date],$A129,Table146[Bill No.],$C129),IFERROR($F129/$D129,"")))))</f>
        <v/>
      </c>
      <c r="F129" s="330" t="str">
        <f>IF($A129="","",IF($K129="DIESEL",SUMIFS(Table1[Amount],Table1[Customer],$B129,Table1[Date],$A129,Table1[Bill No.],$C129),IF($K129="PETROL",SUMIFS(Table14[Amount],Table14[Customer],$B129,Table14[Date],$A129,Table14[Bill No.],$C129),IF($K129="XtraGreen",SUMIFS(Table146[Amount],Table146[Company],$B129,Table146[Date],$A129,Table146[Bill No.],$C129),SUMIFS('Other Sale'!$D:$D,'Other Sale'!$E:$E,$B129,'Other Sale'!$C:$C,$K129,'Other Sale'!$A:$A,$A129)))))</f>
        <v/>
      </c>
      <c r="G129" s="330" t="str" cm="1">
        <f t="array" ref="G129">IF($A129="","",IF($K129="Payment",IFERROR(INDEX(_xlfn._xlws.FILTER(MasterPaid[Amount Paid],(MasterPaid[Customer]=$B129)*(MasterPaid[Date]=$A129)),COUNTIFS($A$6:$A129,$A129,$B$6:$B129,$B129,$K$6:$K129,"Payment")),0),0))</f>
        <v/>
      </c>
      <c r="H129" s="331"/>
      <c r="I129" s="331"/>
      <c r="J129" s="330" t="str">
        <f t="shared" si="1"/>
        <v/>
      </c>
      <c r="K129" s="289" t="str" cm="1">
        <f t="array" ref="K129">IFERROR(INDEX(_xlfn.ANCHORARRAY($Q$6),ROW()-5,4),"")</f>
        <v/>
      </c>
      <c r="L129" s="290"/>
      <c r="U129">
        <f>IF(OR($A129="",$F129=""),0,MAX(0,MIN($F129,SUMIFS($F$6:$F129,$B$6:$B129,$B129)-(SUMIFS($G$6:$G$355,$B$6:$B$355,$B129)+SUMIFS($H$6:$H$355,$B$6:$B$355,$B129)+SUMIFS($I$6:$I$355,$B$6:$B$355,$B129)))))</f>
        <v>0</v>
      </c>
    </row>
    <row r="130" spans="1:21" ht="23" x14ac:dyDescent="0.25">
      <c r="A130" s="217" t="str" cm="1">
        <f t="array" ref="A130">IFERROR(INDEX(_xlfn.ANCHORARRAY($Q$6),ROW()-5,1),"")</f>
        <v/>
      </c>
      <c r="B130" s="288" t="str" cm="1">
        <f t="array" ref="B130">IFERROR(INDEX(_xlfn.ANCHORARRAY($Q$6),ROW()-5,2),"")</f>
        <v/>
      </c>
      <c r="C130" s="289" t="str" cm="1">
        <f t="array" ref="C130">IFERROR(INDEX(_xlfn.ANCHORARRAY($Q$6),ROW()-5,3),"")</f>
        <v/>
      </c>
      <c r="D130" s="218" t="str">
        <f>IF($A130="","",IF($K130="DIESEL",SUMIFS(Table1[Quantity],Table1[Customer],$B130,Table1[Date],$A130,Table1[Bill No.],$C130),IF($K130="PETROL",SUMIFS(Table14[Quantity],Table14[Customer],$B130,Table14[Date],$A130,Table14[Bill No.],$C130),IF($K130="XtraGreen",SUMIFS(Table146[Quantity],Table146[Company],$B130,Table146[Date],$A130,Table146[Bill No.],$C130),""))))</f>
        <v/>
      </c>
      <c r="E130" s="219" t="str">
        <f>IF($A130="","",IF($K130="DIESEL",AVERAGEIFS(Table1[RSP],Table1[Customer],$B130,Table1[Date],$A130,Table1[Bill No.],$C130),IF($K130="PETROL",AVERAGEIFS(Table14[RSP],Table14[Customer],$B130,Table14[Date],$A130,Table14[Bill No.],$C130),IF($K130="XtraGreen",AVERAGEIFS(Table146[RSP],Table146[Company],$B130,Table146[Date],$A130,Table146[Bill No.],$C130),IFERROR($F130/$D130,"")))))</f>
        <v/>
      </c>
      <c r="F130" s="330" t="str">
        <f>IF($A130="","",IF($K130="DIESEL",SUMIFS(Table1[Amount],Table1[Customer],$B130,Table1[Date],$A130,Table1[Bill No.],$C130),IF($K130="PETROL",SUMIFS(Table14[Amount],Table14[Customer],$B130,Table14[Date],$A130,Table14[Bill No.],$C130),IF($K130="XtraGreen",SUMIFS(Table146[Amount],Table146[Company],$B130,Table146[Date],$A130,Table146[Bill No.],$C130),SUMIFS('Other Sale'!$D:$D,'Other Sale'!$E:$E,$B130,'Other Sale'!$C:$C,$K130,'Other Sale'!$A:$A,$A130)))))</f>
        <v/>
      </c>
      <c r="G130" s="330" t="str" cm="1">
        <f t="array" ref="G130">IF($A130="","",IF($K130="Payment",IFERROR(INDEX(_xlfn._xlws.FILTER(MasterPaid[Amount Paid],(MasterPaid[Customer]=$B130)*(MasterPaid[Date]=$A130)),COUNTIFS($A$6:$A130,$A130,$B$6:$B130,$B130,$K$6:$K130,"Payment")),0),0))</f>
        <v/>
      </c>
      <c r="H130" s="331"/>
      <c r="I130" s="331"/>
      <c r="J130" s="330" t="str">
        <f t="shared" si="1"/>
        <v/>
      </c>
      <c r="K130" s="289" t="str" cm="1">
        <f t="array" ref="K130">IFERROR(INDEX(_xlfn.ANCHORARRAY($Q$6),ROW()-5,4),"")</f>
        <v/>
      </c>
      <c r="L130" s="290"/>
      <c r="U130">
        <f>IF(OR($A130="",$F130=""),0,MAX(0,MIN($F130,SUMIFS($F$6:$F130,$B$6:$B130,$B130)-(SUMIFS($G$6:$G$355,$B$6:$B$355,$B130)+SUMIFS($H$6:$H$355,$B$6:$B$355,$B130)+SUMIFS($I$6:$I$355,$B$6:$B$355,$B130)))))</f>
        <v>0</v>
      </c>
    </row>
    <row r="131" spans="1:21" ht="23" x14ac:dyDescent="0.25">
      <c r="A131" s="217" t="str" cm="1">
        <f t="array" ref="A131">IFERROR(INDEX(_xlfn.ANCHORARRAY($Q$6),ROW()-5,1),"")</f>
        <v/>
      </c>
      <c r="B131" s="288" t="str" cm="1">
        <f t="array" ref="B131">IFERROR(INDEX(_xlfn.ANCHORARRAY($Q$6),ROW()-5,2),"")</f>
        <v/>
      </c>
      <c r="C131" s="289" t="str" cm="1">
        <f t="array" ref="C131">IFERROR(INDEX(_xlfn.ANCHORARRAY($Q$6),ROW()-5,3),"")</f>
        <v/>
      </c>
      <c r="D131" s="218" t="str">
        <f>IF($A131="","",IF($K131="DIESEL",SUMIFS(Table1[Quantity],Table1[Customer],$B131,Table1[Date],$A131,Table1[Bill No.],$C131),IF($K131="PETROL",SUMIFS(Table14[Quantity],Table14[Customer],$B131,Table14[Date],$A131,Table14[Bill No.],$C131),IF($K131="XtraGreen",SUMIFS(Table146[Quantity],Table146[Company],$B131,Table146[Date],$A131,Table146[Bill No.],$C131),""))))</f>
        <v/>
      </c>
      <c r="E131" s="219" t="str">
        <f>IF($A131="","",IF($K131="DIESEL",AVERAGEIFS(Table1[RSP],Table1[Customer],$B131,Table1[Date],$A131,Table1[Bill No.],$C131),IF($K131="PETROL",AVERAGEIFS(Table14[RSP],Table14[Customer],$B131,Table14[Date],$A131,Table14[Bill No.],$C131),IF($K131="XtraGreen",AVERAGEIFS(Table146[RSP],Table146[Company],$B131,Table146[Date],$A131,Table146[Bill No.],$C131),IFERROR($F131/$D131,"")))))</f>
        <v/>
      </c>
      <c r="F131" s="330" t="str">
        <f>IF($A131="","",IF($K131="DIESEL",SUMIFS(Table1[Amount],Table1[Customer],$B131,Table1[Date],$A131,Table1[Bill No.],$C131),IF($K131="PETROL",SUMIFS(Table14[Amount],Table14[Customer],$B131,Table14[Date],$A131,Table14[Bill No.],$C131),IF($K131="XtraGreen",SUMIFS(Table146[Amount],Table146[Company],$B131,Table146[Date],$A131,Table146[Bill No.],$C131),SUMIFS('Other Sale'!$D:$D,'Other Sale'!$E:$E,$B131,'Other Sale'!$C:$C,$K131,'Other Sale'!$A:$A,$A131)))))</f>
        <v/>
      </c>
      <c r="G131" s="330" t="str" cm="1">
        <f t="array" ref="G131">IF($A131="","",IF($K131="Payment",IFERROR(INDEX(_xlfn._xlws.FILTER(MasterPaid[Amount Paid],(MasterPaid[Customer]=$B131)*(MasterPaid[Date]=$A131)),COUNTIFS($A$6:$A131,$A131,$B$6:$B131,$B131,$K$6:$K131,"Payment")),0),0))</f>
        <v/>
      </c>
      <c r="H131" s="331"/>
      <c r="I131" s="331"/>
      <c r="J131" s="330" t="str">
        <f t="shared" si="1"/>
        <v/>
      </c>
      <c r="K131" s="289" t="str" cm="1">
        <f t="array" ref="K131">IFERROR(INDEX(_xlfn.ANCHORARRAY($Q$6),ROW()-5,4),"")</f>
        <v/>
      </c>
      <c r="L131" s="290"/>
      <c r="U131">
        <f>IF(OR($A131="",$F131=""),0,MAX(0,MIN($F131,SUMIFS($F$6:$F131,$B$6:$B131,$B131)-(SUMIFS($G$6:$G$355,$B$6:$B$355,$B131)+SUMIFS($H$6:$H$355,$B$6:$B$355,$B131)+SUMIFS($I$6:$I$355,$B$6:$B$355,$B131)))))</f>
        <v>0</v>
      </c>
    </row>
    <row r="132" spans="1:21" ht="23" x14ac:dyDescent="0.25">
      <c r="A132" s="217" t="str" cm="1">
        <f t="array" ref="A132">IFERROR(INDEX(_xlfn.ANCHORARRAY($Q$6),ROW()-5,1),"")</f>
        <v/>
      </c>
      <c r="B132" s="288" t="str" cm="1">
        <f t="array" ref="B132">IFERROR(INDEX(_xlfn.ANCHORARRAY($Q$6),ROW()-5,2),"")</f>
        <v/>
      </c>
      <c r="C132" s="289" t="str" cm="1">
        <f t="array" ref="C132">IFERROR(INDEX(_xlfn.ANCHORARRAY($Q$6),ROW()-5,3),"")</f>
        <v/>
      </c>
      <c r="D132" s="218" t="str">
        <f>IF($A132="","",IF($K132="DIESEL",SUMIFS(Table1[Quantity],Table1[Customer],$B132,Table1[Date],$A132,Table1[Bill No.],$C132),IF($K132="PETROL",SUMIFS(Table14[Quantity],Table14[Customer],$B132,Table14[Date],$A132,Table14[Bill No.],$C132),IF($K132="XtraGreen",SUMIFS(Table146[Quantity],Table146[Company],$B132,Table146[Date],$A132,Table146[Bill No.],$C132),""))))</f>
        <v/>
      </c>
      <c r="E132" s="219" t="str">
        <f>IF($A132="","",IF($K132="DIESEL",AVERAGEIFS(Table1[RSP],Table1[Customer],$B132,Table1[Date],$A132,Table1[Bill No.],$C132),IF($K132="PETROL",AVERAGEIFS(Table14[RSP],Table14[Customer],$B132,Table14[Date],$A132,Table14[Bill No.],$C132),IF($K132="XtraGreen",AVERAGEIFS(Table146[RSP],Table146[Company],$B132,Table146[Date],$A132,Table146[Bill No.],$C132),IFERROR($F132/$D132,"")))))</f>
        <v/>
      </c>
      <c r="F132" s="330" t="str">
        <f>IF($A132="","",IF($K132="DIESEL",SUMIFS(Table1[Amount],Table1[Customer],$B132,Table1[Date],$A132,Table1[Bill No.],$C132),IF($K132="PETROL",SUMIFS(Table14[Amount],Table14[Customer],$B132,Table14[Date],$A132,Table14[Bill No.],$C132),IF($K132="XtraGreen",SUMIFS(Table146[Amount],Table146[Company],$B132,Table146[Date],$A132,Table146[Bill No.],$C132),SUMIFS('Other Sale'!$D:$D,'Other Sale'!$E:$E,$B132,'Other Sale'!$C:$C,$K132,'Other Sale'!$A:$A,$A132)))))</f>
        <v/>
      </c>
      <c r="G132" s="330" t="str" cm="1">
        <f t="array" ref="G132">IF($A132="","",IF($K132="Payment",IFERROR(INDEX(_xlfn._xlws.FILTER(MasterPaid[Amount Paid],(MasterPaid[Customer]=$B132)*(MasterPaid[Date]=$A132)),COUNTIFS($A$6:$A132,$A132,$B$6:$B132,$B132,$K$6:$K132,"Payment")),0),0))</f>
        <v/>
      </c>
      <c r="H132" s="331"/>
      <c r="I132" s="331"/>
      <c r="J132" s="330" t="str">
        <f t="shared" si="1"/>
        <v/>
      </c>
      <c r="K132" s="289" t="str" cm="1">
        <f t="array" ref="K132">IFERROR(INDEX(_xlfn.ANCHORARRAY($Q$6),ROW()-5,4),"")</f>
        <v/>
      </c>
      <c r="L132" s="290"/>
      <c r="U132">
        <f>IF(OR($A132="",$F132=""),0,MAX(0,MIN($F132,SUMIFS($F$6:$F132,$B$6:$B132,$B132)-(SUMIFS($G$6:$G$355,$B$6:$B$355,$B132)+SUMIFS($H$6:$H$355,$B$6:$B$355,$B132)+SUMIFS($I$6:$I$355,$B$6:$B$355,$B132)))))</f>
        <v>0</v>
      </c>
    </row>
    <row r="133" spans="1:21" ht="23" x14ac:dyDescent="0.25">
      <c r="A133" s="217" t="str" cm="1">
        <f t="array" ref="A133">IFERROR(INDEX(_xlfn.ANCHORARRAY($Q$6),ROW()-5,1),"")</f>
        <v/>
      </c>
      <c r="B133" s="288" t="str" cm="1">
        <f t="array" ref="B133">IFERROR(INDEX(_xlfn.ANCHORARRAY($Q$6),ROW()-5,2),"")</f>
        <v/>
      </c>
      <c r="C133" s="289" t="str" cm="1">
        <f t="array" ref="C133">IFERROR(INDEX(_xlfn.ANCHORARRAY($Q$6),ROW()-5,3),"")</f>
        <v/>
      </c>
      <c r="D133" s="218" t="str">
        <f>IF($A133="","",IF($K133="DIESEL",SUMIFS(Table1[Quantity],Table1[Customer],$B133,Table1[Date],$A133,Table1[Bill No.],$C133),IF($K133="PETROL",SUMIFS(Table14[Quantity],Table14[Customer],$B133,Table14[Date],$A133,Table14[Bill No.],$C133),IF($K133="XtraGreen",SUMIFS(Table146[Quantity],Table146[Company],$B133,Table146[Date],$A133,Table146[Bill No.],$C133),""))))</f>
        <v/>
      </c>
      <c r="E133" s="219" t="str">
        <f>IF($A133="","",IF($K133="DIESEL",AVERAGEIFS(Table1[RSP],Table1[Customer],$B133,Table1[Date],$A133,Table1[Bill No.],$C133),IF($K133="PETROL",AVERAGEIFS(Table14[RSP],Table14[Customer],$B133,Table14[Date],$A133,Table14[Bill No.],$C133),IF($K133="XtraGreen",AVERAGEIFS(Table146[RSP],Table146[Company],$B133,Table146[Date],$A133,Table146[Bill No.],$C133),IFERROR($F133/$D133,"")))))</f>
        <v/>
      </c>
      <c r="F133" s="330" t="str">
        <f>IF($A133="","",IF($K133="DIESEL",SUMIFS(Table1[Amount],Table1[Customer],$B133,Table1[Date],$A133,Table1[Bill No.],$C133),IF($K133="PETROL",SUMIFS(Table14[Amount],Table14[Customer],$B133,Table14[Date],$A133,Table14[Bill No.],$C133),IF($K133="XtraGreen",SUMIFS(Table146[Amount],Table146[Company],$B133,Table146[Date],$A133,Table146[Bill No.],$C133),SUMIFS('Other Sale'!$D:$D,'Other Sale'!$E:$E,$B133,'Other Sale'!$C:$C,$K133,'Other Sale'!$A:$A,$A133)))))</f>
        <v/>
      </c>
      <c r="G133" s="330" t="str" cm="1">
        <f t="array" ref="G133">IF($A133="","",IF($K133="Payment",IFERROR(INDEX(_xlfn._xlws.FILTER(MasterPaid[Amount Paid],(MasterPaid[Customer]=$B133)*(MasterPaid[Date]=$A133)),COUNTIFS($A$6:$A133,$A133,$B$6:$B133,$B133,$K$6:$K133,"Payment")),0),0))</f>
        <v/>
      </c>
      <c r="H133" s="331"/>
      <c r="I133" s="331"/>
      <c r="J133" s="330" t="str">
        <f t="shared" si="1"/>
        <v/>
      </c>
      <c r="K133" s="289" t="str" cm="1">
        <f t="array" ref="K133">IFERROR(INDEX(_xlfn.ANCHORARRAY($Q$6),ROW()-5,4),"")</f>
        <v/>
      </c>
      <c r="L133" s="290"/>
      <c r="U133">
        <f>IF(OR($A133="",$F133=""),0,MAX(0,MIN($F133,SUMIFS($F$6:$F133,$B$6:$B133,$B133)-(SUMIFS($G$6:$G$355,$B$6:$B$355,$B133)+SUMIFS($H$6:$H$355,$B$6:$B$355,$B133)+SUMIFS($I$6:$I$355,$B$6:$B$355,$B133)))))</f>
        <v>0</v>
      </c>
    </row>
    <row r="134" spans="1:21" ht="23" x14ac:dyDescent="0.25">
      <c r="A134" s="217" t="str" cm="1">
        <f t="array" ref="A134">IFERROR(INDEX(_xlfn.ANCHORARRAY($Q$6),ROW()-5,1),"")</f>
        <v/>
      </c>
      <c r="B134" s="288" t="str" cm="1">
        <f t="array" ref="B134">IFERROR(INDEX(_xlfn.ANCHORARRAY($Q$6),ROW()-5,2),"")</f>
        <v/>
      </c>
      <c r="C134" s="289" t="str" cm="1">
        <f t="array" ref="C134">IFERROR(INDEX(_xlfn.ANCHORARRAY($Q$6),ROW()-5,3),"")</f>
        <v/>
      </c>
      <c r="D134" s="218" t="str">
        <f>IF($A134="","",IF($K134="DIESEL",SUMIFS(Table1[Quantity],Table1[Customer],$B134,Table1[Date],$A134,Table1[Bill No.],$C134),IF($K134="PETROL",SUMIFS(Table14[Quantity],Table14[Customer],$B134,Table14[Date],$A134,Table14[Bill No.],$C134),IF($K134="XtraGreen",SUMIFS(Table146[Quantity],Table146[Company],$B134,Table146[Date],$A134,Table146[Bill No.],$C134),""))))</f>
        <v/>
      </c>
      <c r="E134" s="219" t="str">
        <f>IF($A134="","",IF($K134="DIESEL",AVERAGEIFS(Table1[RSP],Table1[Customer],$B134,Table1[Date],$A134,Table1[Bill No.],$C134),IF($K134="PETROL",AVERAGEIFS(Table14[RSP],Table14[Customer],$B134,Table14[Date],$A134,Table14[Bill No.],$C134),IF($K134="XtraGreen",AVERAGEIFS(Table146[RSP],Table146[Company],$B134,Table146[Date],$A134,Table146[Bill No.],$C134),IFERROR($F134/$D134,"")))))</f>
        <v/>
      </c>
      <c r="F134" s="330" t="str">
        <f>IF($A134="","",IF($K134="DIESEL",SUMIFS(Table1[Amount],Table1[Customer],$B134,Table1[Date],$A134,Table1[Bill No.],$C134),IF($K134="PETROL",SUMIFS(Table14[Amount],Table14[Customer],$B134,Table14[Date],$A134,Table14[Bill No.],$C134),IF($K134="XtraGreen",SUMIFS(Table146[Amount],Table146[Company],$B134,Table146[Date],$A134,Table146[Bill No.],$C134),SUMIFS('Other Sale'!$D:$D,'Other Sale'!$E:$E,$B134,'Other Sale'!$C:$C,$K134,'Other Sale'!$A:$A,$A134)))))</f>
        <v/>
      </c>
      <c r="G134" s="330" t="str" cm="1">
        <f t="array" ref="G134">IF($A134="","",IF($K134="Payment",IFERROR(INDEX(_xlfn._xlws.FILTER(MasterPaid[Amount Paid],(MasterPaid[Customer]=$B134)*(MasterPaid[Date]=$A134)),COUNTIFS($A$6:$A134,$A134,$B$6:$B134,$B134,$K$6:$K134,"Payment")),0),0))</f>
        <v/>
      </c>
      <c r="H134" s="331"/>
      <c r="I134" s="331"/>
      <c r="J134" s="330" t="str">
        <f t="shared" si="1"/>
        <v/>
      </c>
      <c r="K134" s="289" t="str" cm="1">
        <f t="array" ref="K134">IFERROR(INDEX(_xlfn.ANCHORARRAY($Q$6),ROW()-5,4),"")</f>
        <v/>
      </c>
      <c r="L134" s="290"/>
      <c r="U134">
        <f>IF(OR($A134="",$F134=""),0,MAX(0,MIN($F134,SUMIFS($F$6:$F134,$B$6:$B134,$B134)-(SUMIFS($G$6:$G$355,$B$6:$B$355,$B134)+SUMIFS($H$6:$H$355,$B$6:$B$355,$B134)+SUMIFS($I$6:$I$355,$B$6:$B$355,$B134)))))</f>
        <v>0</v>
      </c>
    </row>
    <row r="135" spans="1:21" ht="23" x14ac:dyDescent="0.25">
      <c r="A135" s="217" t="str" cm="1">
        <f t="array" ref="A135">IFERROR(INDEX(_xlfn.ANCHORARRAY($Q$6),ROW()-5,1),"")</f>
        <v/>
      </c>
      <c r="B135" s="288" t="str" cm="1">
        <f t="array" ref="B135">IFERROR(INDEX(_xlfn.ANCHORARRAY($Q$6),ROW()-5,2),"")</f>
        <v/>
      </c>
      <c r="C135" s="289" t="str" cm="1">
        <f t="array" ref="C135">IFERROR(INDEX(_xlfn.ANCHORARRAY($Q$6),ROW()-5,3),"")</f>
        <v/>
      </c>
      <c r="D135" s="218" t="str">
        <f>IF($A135="","",IF($K135="DIESEL",SUMIFS(Table1[Quantity],Table1[Customer],$B135,Table1[Date],$A135,Table1[Bill No.],$C135),IF($K135="PETROL",SUMIFS(Table14[Quantity],Table14[Customer],$B135,Table14[Date],$A135,Table14[Bill No.],$C135),IF($K135="XtraGreen",SUMIFS(Table146[Quantity],Table146[Company],$B135,Table146[Date],$A135,Table146[Bill No.],$C135),""))))</f>
        <v/>
      </c>
      <c r="E135" s="219" t="str">
        <f>IF($A135="","",IF($K135="DIESEL",AVERAGEIFS(Table1[RSP],Table1[Customer],$B135,Table1[Date],$A135,Table1[Bill No.],$C135),IF($K135="PETROL",AVERAGEIFS(Table14[RSP],Table14[Customer],$B135,Table14[Date],$A135,Table14[Bill No.],$C135),IF($K135="XtraGreen",AVERAGEIFS(Table146[RSP],Table146[Company],$B135,Table146[Date],$A135,Table146[Bill No.],$C135),IFERROR($F135/$D135,"")))))</f>
        <v/>
      </c>
      <c r="F135" s="330" t="str">
        <f>IF($A135="","",IF($K135="DIESEL",SUMIFS(Table1[Amount],Table1[Customer],$B135,Table1[Date],$A135,Table1[Bill No.],$C135),IF($K135="PETROL",SUMIFS(Table14[Amount],Table14[Customer],$B135,Table14[Date],$A135,Table14[Bill No.],$C135),IF($K135="XtraGreen",SUMIFS(Table146[Amount],Table146[Company],$B135,Table146[Date],$A135,Table146[Bill No.],$C135),SUMIFS('Other Sale'!$D:$D,'Other Sale'!$E:$E,$B135,'Other Sale'!$C:$C,$K135,'Other Sale'!$A:$A,$A135)))))</f>
        <v/>
      </c>
      <c r="G135" s="330" t="str" cm="1">
        <f t="array" ref="G135">IF($A135="","",IF($K135="Payment",IFERROR(INDEX(_xlfn._xlws.FILTER(MasterPaid[Amount Paid],(MasterPaid[Customer]=$B135)*(MasterPaid[Date]=$A135)),COUNTIFS($A$6:$A135,$A135,$B$6:$B135,$B135,$K$6:$K135,"Payment")),0),0))</f>
        <v/>
      </c>
      <c r="H135" s="331"/>
      <c r="I135" s="331"/>
      <c r="J135" s="330" t="str">
        <f t="shared" si="1"/>
        <v/>
      </c>
      <c r="K135" s="289" t="str" cm="1">
        <f t="array" ref="K135">IFERROR(INDEX(_xlfn.ANCHORARRAY($Q$6),ROW()-5,4),"")</f>
        <v/>
      </c>
      <c r="L135" s="290"/>
      <c r="U135">
        <f>IF(OR($A135="",$F135=""),0,MAX(0,MIN($F135,SUMIFS($F$6:$F135,$B$6:$B135,$B135)-(SUMIFS($G$6:$G$355,$B$6:$B$355,$B135)+SUMIFS($H$6:$H$355,$B$6:$B$355,$B135)+SUMIFS($I$6:$I$355,$B$6:$B$355,$B135)))))</f>
        <v>0</v>
      </c>
    </row>
    <row r="136" spans="1:21" ht="23" x14ac:dyDescent="0.25">
      <c r="A136" s="217" t="str" cm="1">
        <f t="array" ref="A136">IFERROR(INDEX(_xlfn.ANCHORARRAY($Q$6),ROW()-5,1),"")</f>
        <v/>
      </c>
      <c r="B136" s="288" t="str" cm="1">
        <f t="array" ref="B136">IFERROR(INDEX(_xlfn.ANCHORARRAY($Q$6),ROW()-5,2),"")</f>
        <v/>
      </c>
      <c r="C136" s="289" t="str" cm="1">
        <f t="array" ref="C136">IFERROR(INDEX(_xlfn.ANCHORARRAY($Q$6),ROW()-5,3),"")</f>
        <v/>
      </c>
      <c r="D136" s="218" t="str">
        <f>IF($A136="","",IF($K136="DIESEL",SUMIFS(Table1[Quantity],Table1[Customer],$B136,Table1[Date],$A136,Table1[Bill No.],$C136),IF($K136="PETROL",SUMIFS(Table14[Quantity],Table14[Customer],$B136,Table14[Date],$A136,Table14[Bill No.],$C136),IF($K136="XtraGreen",SUMIFS(Table146[Quantity],Table146[Company],$B136,Table146[Date],$A136,Table146[Bill No.],$C136),""))))</f>
        <v/>
      </c>
      <c r="E136" s="219" t="str">
        <f>IF($A136="","",IF($K136="DIESEL",AVERAGEIFS(Table1[RSP],Table1[Customer],$B136,Table1[Date],$A136,Table1[Bill No.],$C136),IF($K136="PETROL",AVERAGEIFS(Table14[RSP],Table14[Customer],$B136,Table14[Date],$A136,Table14[Bill No.],$C136),IF($K136="XtraGreen",AVERAGEIFS(Table146[RSP],Table146[Company],$B136,Table146[Date],$A136,Table146[Bill No.],$C136),IFERROR($F136/$D136,"")))))</f>
        <v/>
      </c>
      <c r="F136" s="330" t="str">
        <f>IF($A136="","",IF($K136="DIESEL",SUMIFS(Table1[Amount],Table1[Customer],$B136,Table1[Date],$A136,Table1[Bill No.],$C136),IF($K136="PETROL",SUMIFS(Table14[Amount],Table14[Customer],$B136,Table14[Date],$A136,Table14[Bill No.],$C136),IF($K136="XtraGreen",SUMIFS(Table146[Amount],Table146[Company],$B136,Table146[Date],$A136,Table146[Bill No.],$C136),SUMIFS('Other Sale'!$D:$D,'Other Sale'!$E:$E,$B136,'Other Sale'!$C:$C,$K136,'Other Sale'!$A:$A,$A136)))))</f>
        <v/>
      </c>
      <c r="G136" s="330" t="str" cm="1">
        <f t="array" ref="G136">IF($A136="","",IF($K136="Payment",IFERROR(INDEX(_xlfn._xlws.FILTER(MasterPaid[Amount Paid],(MasterPaid[Customer]=$B136)*(MasterPaid[Date]=$A136)),COUNTIFS($A$6:$A136,$A136,$B$6:$B136,$B136,$K$6:$K136,"Payment")),0),0))</f>
        <v/>
      </c>
      <c r="H136" s="331"/>
      <c r="I136" s="331"/>
      <c r="J136" s="330" t="str">
        <f t="shared" ref="J136:J199" si="2">IF($A136="","",J135+N(F136)-N(G136)-N(H136)-N(I136))</f>
        <v/>
      </c>
      <c r="K136" s="289" t="str" cm="1">
        <f t="array" ref="K136">IFERROR(INDEX(_xlfn.ANCHORARRAY($Q$6),ROW()-5,4),"")</f>
        <v/>
      </c>
      <c r="L136" s="290"/>
      <c r="U136">
        <f>IF(OR($A136="",$F136=""),0,MAX(0,MIN($F136,SUMIFS($F$6:$F136,$B$6:$B136,$B136)-(SUMIFS($G$6:$G$355,$B$6:$B$355,$B136)+SUMIFS($H$6:$H$355,$B$6:$B$355,$B136)+SUMIFS($I$6:$I$355,$B$6:$B$355,$B136)))))</f>
        <v>0</v>
      </c>
    </row>
    <row r="137" spans="1:21" ht="23" x14ac:dyDescent="0.25">
      <c r="A137" s="217" t="str" cm="1">
        <f t="array" ref="A137">IFERROR(INDEX(_xlfn.ANCHORARRAY($Q$6),ROW()-5,1),"")</f>
        <v/>
      </c>
      <c r="B137" s="288" t="str" cm="1">
        <f t="array" ref="B137">IFERROR(INDEX(_xlfn.ANCHORARRAY($Q$6),ROW()-5,2),"")</f>
        <v/>
      </c>
      <c r="C137" s="289" t="str" cm="1">
        <f t="array" ref="C137">IFERROR(INDEX(_xlfn.ANCHORARRAY($Q$6),ROW()-5,3),"")</f>
        <v/>
      </c>
      <c r="D137" s="218" t="str">
        <f>IF($A137="","",IF($K137="DIESEL",SUMIFS(Table1[Quantity],Table1[Customer],$B137,Table1[Date],$A137,Table1[Bill No.],$C137),IF($K137="PETROL",SUMIFS(Table14[Quantity],Table14[Customer],$B137,Table14[Date],$A137,Table14[Bill No.],$C137),IF($K137="XtraGreen",SUMIFS(Table146[Quantity],Table146[Company],$B137,Table146[Date],$A137,Table146[Bill No.],$C137),""))))</f>
        <v/>
      </c>
      <c r="E137" s="219" t="str">
        <f>IF($A137="","",IF($K137="DIESEL",AVERAGEIFS(Table1[RSP],Table1[Customer],$B137,Table1[Date],$A137,Table1[Bill No.],$C137),IF($K137="PETROL",AVERAGEIFS(Table14[RSP],Table14[Customer],$B137,Table14[Date],$A137,Table14[Bill No.],$C137),IF($K137="XtraGreen",AVERAGEIFS(Table146[RSP],Table146[Company],$B137,Table146[Date],$A137,Table146[Bill No.],$C137),IFERROR($F137/$D137,"")))))</f>
        <v/>
      </c>
      <c r="F137" s="330" t="str">
        <f>IF($A137="","",IF($K137="DIESEL",SUMIFS(Table1[Amount],Table1[Customer],$B137,Table1[Date],$A137,Table1[Bill No.],$C137),IF($K137="PETROL",SUMIFS(Table14[Amount],Table14[Customer],$B137,Table14[Date],$A137,Table14[Bill No.],$C137),IF($K137="XtraGreen",SUMIFS(Table146[Amount],Table146[Company],$B137,Table146[Date],$A137,Table146[Bill No.],$C137),SUMIFS('Other Sale'!$D:$D,'Other Sale'!$E:$E,$B137,'Other Sale'!$C:$C,$K137,'Other Sale'!$A:$A,$A137)))))</f>
        <v/>
      </c>
      <c r="G137" s="330" t="str" cm="1">
        <f t="array" ref="G137">IF($A137="","",IF($K137="Payment",IFERROR(INDEX(_xlfn._xlws.FILTER(MasterPaid[Amount Paid],(MasterPaid[Customer]=$B137)*(MasterPaid[Date]=$A137)),COUNTIFS($A$6:$A137,$A137,$B$6:$B137,$B137,$K$6:$K137,"Payment")),0),0))</f>
        <v/>
      </c>
      <c r="H137" s="331"/>
      <c r="I137" s="331"/>
      <c r="J137" s="330" t="str">
        <f t="shared" si="2"/>
        <v/>
      </c>
      <c r="K137" s="289" t="str" cm="1">
        <f t="array" ref="K137">IFERROR(INDEX(_xlfn.ANCHORARRAY($Q$6),ROW()-5,4),"")</f>
        <v/>
      </c>
      <c r="L137" s="290"/>
      <c r="U137">
        <f>IF(OR($A137="",$F137=""),0,MAX(0,MIN($F137,SUMIFS($F$6:$F137,$B$6:$B137,$B137)-(SUMIFS($G$6:$G$355,$B$6:$B$355,$B137)+SUMIFS($H$6:$H$355,$B$6:$B$355,$B137)+SUMIFS($I$6:$I$355,$B$6:$B$355,$B137)))))</f>
        <v>0</v>
      </c>
    </row>
    <row r="138" spans="1:21" ht="23" x14ac:dyDescent="0.25">
      <c r="A138" s="217" t="str" cm="1">
        <f t="array" ref="A138">IFERROR(INDEX(_xlfn.ANCHORARRAY($Q$6),ROW()-5,1),"")</f>
        <v/>
      </c>
      <c r="B138" s="288" t="str" cm="1">
        <f t="array" ref="B138">IFERROR(INDEX(_xlfn.ANCHORARRAY($Q$6),ROW()-5,2),"")</f>
        <v/>
      </c>
      <c r="C138" s="289" t="str" cm="1">
        <f t="array" ref="C138">IFERROR(INDEX(_xlfn.ANCHORARRAY($Q$6),ROW()-5,3),"")</f>
        <v/>
      </c>
      <c r="D138" s="218" t="str">
        <f>IF($A138="","",IF($K138="DIESEL",SUMIFS(Table1[Quantity],Table1[Customer],$B138,Table1[Date],$A138,Table1[Bill No.],$C138),IF($K138="PETROL",SUMIFS(Table14[Quantity],Table14[Customer],$B138,Table14[Date],$A138,Table14[Bill No.],$C138),IF($K138="XtraGreen",SUMIFS(Table146[Quantity],Table146[Company],$B138,Table146[Date],$A138,Table146[Bill No.],$C138),""))))</f>
        <v/>
      </c>
      <c r="E138" s="219" t="str">
        <f>IF($A138="","",IF($K138="DIESEL",AVERAGEIFS(Table1[RSP],Table1[Customer],$B138,Table1[Date],$A138,Table1[Bill No.],$C138),IF($K138="PETROL",AVERAGEIFS(Table14[RSP],Table14[Customer],$B138,Table14[Date],$A138,Table14[Bill No.],$C138),IF($K138="XtraGreen",AVERAGEIFS(Table146[RSP],Table146[Company],$B138,Table146[Date],$A138,Table146[Bill No.],$C138),IFERROR($F138/$D138,"")))))</f>
        <v/>
      </c>
      <c r="F138" s="330" t="str">
        <f>IF($A138="","",IF($K138="DIESEL",SUMIFS(Table1[Amount],Table1[Customer],$B138,Table1[Date],$A138,Table1[Bill No.],$C138),IF($K138="PETROL",SUMIFS(Table14[Amount],Table14[Customer],$B138,Table14[Date],$A138,Table14[Bill No.],$C138),IF($K138="XtraGreen",SUMIFS(Table146[Amount],Table146[Company],$B138,Table146[Date],$A138,Table146[Bill No.],$C138),SUMIFS('Other Sale'!$D:$D,'Other Sale'!$E:$E,$B138,'Other Sale'!$C:$C,$K138,'Other Sale'!$A:$A,$A138)))))</f>
        <v/>
      </c>
      <c r="G138" s="330" t="str" cm="1">
        <f t="array" ref="G138">IF($A138="","",IF($K138="Payment",IFERROR(INDEX(_xlfn._xlws.FILTER(MasterPaid[Amount Paid],(MasterPaid[Customer]=$B138)*(MasterPaid[Date]=$A138)),COUNTIFS($A$6:$A138,$A138,$B$6:$B138,$B138,$K$6:$K138,"Payment")),0),0))</f>
        <v/>
      </c>
      <c r="H138" s="331"/>
      <c r="I138" s="331"/>
      <c r="J138" s="330" t="str">
        <f t="shared" si="2"/>
        <v/>
      </c>
      <c r="K138" s="289" t="str" cm="1">
        <f t="array" ref="K138">IFERROR(INDEX(_xlfn.ANCHORARRAY($Q$6),ROW()-5,4),"")</f>
        <v/>
      </c>
      <c r="L138" s="290"/>
      <c r="U138">
        <f>IF(OR($A138="",$F138=""),0,MAX(0,MIN($F138,SUMIFS($F$6:$F138,$B$6:$B138,$B138)-(SUMIFS($G$6:$G$355,$B$6:$B$355,$B138)+SUMIFS($H$6:$H$355,$B$6:$B$355,$B138)+SUMIFS($I$6:$I$355,$B$6:$B$355,$B138)))))</f>
        <v>0</v>
      </c>
    </row>
    <row r="139" spans="1:21" ht="23" x14ac:dyDescent="0.25">
      <c r="A139" s="217" t="str" cm="1">
        <f t="array" ref="A139">IFERROR(INDEX(_xlfn.ANCHORARRAY($Q$6),ROW()-5,1),"")</f>
        <v/>
      </c>
      <c r="B139" s="288" t="str" cm="1">
        <f t="array" ref="B139">IFERROR(INDEX(_xlfn.ANCHORARRAY($Q$6),ROW()-5,2),"")</f>
        <v/>
      </c>
      <c r="C139" s="289" t="str" cm="1">
        <f t="array" ref="C139">IFERROR(INDEX(_xlfn.ANCHORARRAY($Q$6),ROW()-5,3),"")</f>
        <v/>
      </c>
      <c r="D139" s="218" t="str">
        <f>IF($A139="","",IF($K139="DIESEL",SUMIFS(Table1[Quantity],Table1[Customer],$B139,Table1[Date],$A139,Table1[Bill No.],$C139),IF($K139="PETROL",SUMIFS(Table14[Quantity],Table14[Customer],$B139,Table14[Date],$A139,Table14[Bill No.],$C139),IF($K139="XtraGreen",SUMIFS(Table146[Quantity],Table146[Company],$B139,Table146[Date],$A139,Table146[Bill No.],$C139),""))))</f>
        <v/>
      </c>
      <c r="E139" s="219" t="str">
        <f>IF($A139="","",IF($K139="DIESEL",AVERAGEIFS(Table1[RSP],Table1[Customer],$B139,Table1[Date],$A139,Table1[Bill No.],$C139),IF($K139="PETROL",AVERAGEIFS(Table14[RSP],Table14[Customer],$B139,Table14[Date],$A139,Table14[Bill No.],$C139),IF($K139="XtraGreen",AVERAGEIFS(Table146[RSP],Table146[Company],$B139,Table146[Date],$A139,Table146[Bill No.],$C139),IFERROR($F139/$D139,"")))))</f>
        <v/>
      </c>
      <c r="F139" s="330" t="str">
        <f>IF($A139="","",IF($K139="DIESEL",SUMIFS(Table1[Amount],Table1[Customer],$B139,Table1[Date],$A139,Table1[Bill No.],$C139),IF($K139="PETROL",SUMIFS(Table14[Amount],Table14[Customer],$B139,Table14[Date],$A139,Table14[Bill No.],$C139),IF($K139="XtraGreen",SUMIFS(Table146[Amount],Table146[Company],$B139,Table146[Date],$A139,Table146[Bill No.],$C139),SUMIFS('Other Sale'!$D:$D,'Other Sale'!$E:$E,$B139,'Other Sale'!$C:$C,$K139,'Other Sale'!$A:$A,$A139)))))</f>
        <v/>
      </c>
      <c r="G139" s="330" t="str" cm="1">
        <f t="array" ref="G139">IF($A139="","",IF($K139="Payment",IFERROR(INDEX(_xlfn._xlws.FILTER(MasterPaid[Amount Paid],(MasterPaid[Customer]=$B139)*(MasterPaid[Date]=$A139)),COUNTIFS($A$6:$A139,$A139,$B$6:$B139,$B139,$K$6:$K139,"Payment")),0),0))</f>
        <v/>
      </c>
      <c r="H139" s="331"/>
      <c r="I139" s="331"/>
      <c r="J139" s="330" t="str">
        <f t="shared" si="2"/>
        <v/>
      </c>
      <c r="K139" s="289" t="str" cm="1">
        <f t="array" ref="K139">IFERROR(INDEX(_xlfn.ANCHORARRAY($Q$6),ROW()-5,4),"")</f>
        <v/>
      </c>
      <c r="L139" s="290"/>
      <c r="U139">
        <f>IF(OR($A139="",$F139=""),0,MAX(0,MIN($F139,SUMIFS($F$6:$F139,$B$6:$B139,$B139)-(SUMIFS($G$6:$G$355,$B$6:$B$355,$B139)+SUMIFS($H$6:$H$355,$B$6:$B$355,$B139)+SUMIFS($I$6:$I$355,$B$6:$B$355,$B139)))))</f>
        <v>0</v>
      </c>
    </row>
    <row r="140" spans="1:21" ht="23" x14ac:dyDescent="0.25">
      <c r="A140" s="217" t="str" cm="1">
        <f t="array" ref="A140">IFERROR(INDEX(_xlfn.ANCHORARRAY($Q$6),ROW()-5,1),"")</f>
        <v/>
      </c>
      <c r="B140" s="288" t="str" cm="1">
        <f t="array" ref="B140">IFERROR(INDEX(_xlfn.ANCHORARRAY($Q$6),ROW()-5,2),"")</f>
        <v/>
      </c>
      <c r="C140" s="289" t="str" cm="1">
        <f t="array" ref="C140">IFERROR(INDEX(_xlfn.ANCHORARRAY($Q$6),ROW()-5,3),"")</f>
        <v/>
      </c>
      <c r="D140" s="218" t="str">
        <f>IF($A140="","",IF($K140="DIESEL",SUMIFS(Table1[Quantity],Table1[Customer],$B140,Table1[Date],$A140,Table1[Bill No.],$C140),IF($K140="PETROL",SUMIFS(Table14[Quantity],Table14[Customer],$B140,Table14[Date],$A140,Table14[Bill No.],$C140),IF($K140="XtraGreen",SUMIFS(Table146[Quantity],Table146[Company],$B140,Table146[Date],$A140,Table146[Bill No.],$C140),""))))</f>
        <v/>
      </c>
      <c r="E140" s="219" t="str">
        <f>IF($A140="","",IF($K140="DIESEL",AVERAGEIFS(Table1[RSP],Table1[Customer],$B140,Table1[Date],$A140,Table1[Bill No.],$C140),IF($K140="PETROL",AVERAGEIFS(Table14[RSP],Table14[Customer],$B140,Table14[Date],$A140,Table14[Bill No.],$C140),IF($K140="XtraGreen",AVERAGEIFS(Table146[RSP],Table146[Company],$B140,Table146[Date],$A140,Table146[Bill No.],$C140),IFERROR($F140/$D140,"")))))</f>
        <v/>
      </c>
      <c r="F140" s="330" t="str">
        <f>IF($A140="","",IF($K140="DIESEL",SUMIFS(Table1[Amount],Table1[Customer],$B140,Table1[Date],$A140,Table1[Bill No.],$C140),IF($K140="PETROL",SUMIFS(Table14[Amount],Table14[Customer],$B140,Table14[Date],$A140,Table14[Bill No.],$C140),IF($K140="XtraGreen",SUMIFS(Table146[Amount],Table146[Company],$B140,Table146[Date],$A140,Table146[Bill No.],$C140),SUMIFS('Other Sale'!$D:$D,'Other Sale'!$E:$E,$B140,'Other Sale'!$C:$C,$K140,'Other Sale'!$A:$A,$A140)))))</f>
        <v/>
      </c>
      <c r="G140" s="330" t="str" cm="1">
        <f t="array" ref="G140">IF($A140="","",IF($K140="Payment",IFERROR(INDEX(_xlfn._xlws.FILTER(MasterPaid[Amount Paid],(MasterPaid[Customer]=$B140)*(MasterPaid[Date]=$A140)),COUNTIFS($A$6:$A140,$A140,$B$6:$B140,$B140,$K$6:$K140,"Payment")),0),0))</f>
        <v/>
      </c>
      <c r="H140" s="331"/>
      <c r="I140" s="331"/>
      <c r="J140" s="330" t="str">
        <f t="shared" si="2"/>
        <v/>
      </c>
      <c r="K140" s="289" t="str" cm="1">
        <f t="array" ref="K140">IFERROR(INDEX(_xlfn.ANCHORARRAY($Q$6),ROW()-5,4),"")</f>
        <v/>
      </c>
      <c r="L140" s="290"/>
      <c r="U140">
        <f>IF(OR($A140="",$F140=""),0,MAX(0,MIN($F140,SUMIFS($F$6:$F140,$B$6:$B140,$B140)-(SUMIFS($G$6:$G$355,$B$6:$B$355,$B140)+SUMIFS($H$6:$H$355,$B$6:$B$355,$B140)+SUMIFS($I$6:$I$355,$B$6:$B$355,$B140)))))</f>
        <v>0</v>
      </c>
    </row>
    <row r="141" spans="1:21" ht="23" x14ac:dyDescent="0.25">
      <c r="A141" s="217" t="str" cm="1">
        <f t="array" ref="A141">IFERROR(INDEX(_xlfn.ANCHORARRAY($Q$6),ROW()-5,1),"")</f>
        <v/>
      </c>
      <c r="B141" s="288" t="str" cm="1">
        <f t="array" ref="B141">IFERROR(INDEX(_xlfn.ANCHORARRAY($Q$6),ROW()-5,2),"")</f>
        <v/>
      </c>
      <c r="C141" s="289" t="str" cm="1">
        <f t="array" ref="C141">IFERROR(INDEX(_xlfn.ANCHORARRAY($Q$6),ROW()-5,3),"")</f>
        <v/>
      </c>
      <c r="D141" s="218" t="str">
        <f>IF($A141="","",IF($K141="DIESEL",SUMIFS(Table1[Quantity],Table1[Customer],$B141,Table1[Date],$A141,Table1[Bill No.],$C141),IF($K141="PETROL",SUMIFS(Table14[Quantity],Table14[Customer],$B141,Table14[Date],$A141,Table14[Bill No.],$C141),IF($K141="XtraGreen",SUMIFS(Table146[Quantity],Table146[Company],$B141,Table146[Date],$A141,Table146[Bill No.],$C141),""))))</f>
        <v/>
      </c>
      <c r="E141" s="219" t="str">
        <f>IF($A141="","",IF($K141="DIESEL",AVERAGEIFS(Table1[RSP],Table1[Customer],$B141,Table1[Date],$A141,Table1[Bill No.],$C141),IF($K141="PETROL",AVERAGEIFS(Table14[RSP],Table14[Customer],$B141,Table14[Date],$A141,Table14[Bill No.],$C141),IF($K141="XtraGreen",AVERAGEIFS(Table146[RSP],Table146[Company],$B141,Table146[Date],$A141,Table146[Bill No.],$C141),IFERROR($F141/$D141,"")))))</f>
        <v/>
      </c>
      <c r="F141" s="330" t="str">
        <f>IF($A141="","",IF($K141="DIESEL",SUMIFS(Table1[Amount],Table1[Customer],$B141,Table1[Date],$A141,Table1[Bill No.],$C141),IF($K141="PETROL",SUMIFS(Table14[Amount],Table14[Customer],$B141,Table14[Date],$A141,Table14[Bill No.],$C141),IF($K141="XtraGreen",SUMIFS(Table146[Amount],Table146[Company],$B141,Table146[Date],$A141,Table146[Bill No.],$C141),SUMIFS('Other Sale'!$D:$D,'Other Sale'!$E:$E,$B141,'Other Sale'!$C:$C,$K141,'Other Sale'!$A:$A,$A141)))))</f>
        <v/>
      </c>
      <c r="G141" s="330" t="str" cm="1">
        <f t="array" ref="G141">IF($A141="","",IF($K141="Payment",IFERROR(INDEX(_xlfn._xlws.FILTER(MasterPaid[Amount Paid],(MasterPaid[Customer]=$B141)*(MasterPaid[Date]=$A141)),COUNTIFS($A$6:$A141,$A141,$B$6:$B141,$B141,$K$6:$K141,"Payment")),0),0))</f>
        <v/>
      </c>
      <c r="H141" s="331"/>
      <c r="I141" s="331"/>
      <c r="J141" s="330" t="str">
        <f t="shared" si="2"/>
        <v/>
      </c>
      <c r="K141" s="289" t="str" cm="1">
        <f t="array" ref="K141">IFERROR(INDEX(_xlfn.ANCHORARRAY($Q$6),ROW()-5,4),"")</f>
        <v/>
      </c>
      <c r="L141" s="290"/>
      <c r="U141">
        <f>IF(OR($A141="",$F141=""),0,MAX(0,MIN($F141,SUMIFS($F$6:$F141,$B$6:$B141,$B141)-(SUMIFS($G$6:$G$355,$B$6:$B$355,$B141)+SUMIFS($H$6:$H$355,$B$6:$B$355,$B141)+SUMIFS($I$6:$I$355,$B$6:$B$355,$B141)))))</f>
        <v>0</v>
      </c>
    </row>
    <row r="142" spans="1:21" ht="23" x14ac:dyDescent="0.25">
      <c r="A142" s="217" t="str" cm="1">
        <f t="array" ref="A142">IFERROR(INDEX(_xlfn.ANCHORARRAY($Q$6),ROW()-5,1),"")</f>
        <v/>
      </c>
      <c r="B142" s="288" t="str" cm="1">
        <f t="array" ref="B142">IFERROR(INDEX(_xlfn.ANCHORARRAY($Q$6),ROW()-5,2),"")</f>
        <v/>
      </c>
      <c r="C142" s="289" t="str" cm="1">
        <f t="array" ref="C142">IFERROR(INDEX(_xlfn.ANCHORARRAY($Q$6),ROW()-5,3),"")</f>
        <v/>
      </c>
      <c r="D142" s="218" t="str">
        <f>IF($A142="","",IF($K142="DIESEL",SUMIFS(Table1[Quantity],Table1[Customer],$B142,Table1[Date],$A142,Table1[Bill No.],$C142),IF($K142="PETROL",SUMIFS(Table14[Quantity],Table14[Customer],$B142,Table14[Date],$A142,Table14[Bill No.],$C142),IF($K142="XtraGreen",SUMIFS(Table146[Quantity],Table146[Company],$B142,Table146[Date],$A142,Table146[Bill No.],$C142),""))))</f>
        <v/>
      </c>
      <c r="E142" s="219" t="str">
        <f>IF($A142="","",IF($K142="DIESEL",AVERAGEIFS(Table1[RSP],Table1[Customer],$B142,Table1[Date],$A142,Table1[Bill No.],$C142),IF($K142="PETROL",AVERAGEIFS(Table14[RSP],Table14[Customer],$B142,Table14[Date],$A142,Table14[Bill No.],$C142),IF($K142="XtraGreen",AVERAGEIFS(Table146[RSP],Table146[Company],$B142,Table146[Date],$A142,Table146[Bill No.],$C142),IFERROR($F142/$D142,"")))))</f>
        <v/>
      </c>
      <c r="F142" s="330" t="str">
        <f>IF($A142="","",IF($K142="DIESEL",SUMIFS(Table1[Amount],Table1[Customer],$B142,Table1[Date],$A142,Table1[Bill No.],$C142),IF($K142="PETROL",SUMIFS(Table14[Amount],Table14[Customer],$B142,Table14[Date],$A142,Table14[Bill No.],$C142),IF($K142="XtraGreen",SUMIFS(Table146[Amount],Table146[Company],$B142,Table146[Date],$A142,Table146[Bill No.],$C142),SUMIFS('Other Sale'!$D:$D,'Other Sale'!$E:$E,$B142,'Other Sale'!$C:$C,$K142,'Other Sale'!$A:$A,$A142)))))</f>
        <v/>
      </c>
      <c r="G142" s="330" t="str" cm="1">
        <f t="array" ref="G142">IF($A142="","",IF($K142="Payment",IFERROR(INDEX(_xlfn._xlws.FILTER(MasterPaid[Amount Paid],(MasterPaid[Customer]=$B142)*(MasterPaid[Date]=$A142)),COUNTIFS($A$6:$A142,$A142,$B$6:$B142,$B142,$K$6:$K142,"Payment")),0),0))</f>
        <v/>
      </c>
      <c r="H142" s="331"/>
      <c r="I142" s="331"/>
      <c r="J142" s="330" t="str">
        <f t="shared" si="2"/>
        <v/>
      </c>
      <c r="K142" s="289" t="str" cm="1">
        <f t="array" ref="K142">IFERROR(INDEX(_xlfn.ANCHORARRAY($Q$6),ROW()-5,4),"")</f>
        <v/>
      </c>
      <c r="L142" s="290"/>
      <c r="U142">
        <f>IF(OR($A142="",$F142=""),0,MAX(0,MIN($F142,SUMIFS($F$6:$F142,$B$6:$B142,$B142)-(SUMIFS($G$6:$G$355,$B$6:$B$355,$B142)+SUMIFS($H$6:$H$355,$B$6:$B$355,$B142)+SUMIFS($I$6:$I$355,$B$6:$B$355,$B142)))))</f>
        <v>0</v>
      </c>
    </row>
    <row r="143" spans="1:21" ht="23" x14ac:dyDescent="0.25">
      <c r="A143" s="217" t="str" cm="1">
        <f t="array" ref="A143">IFERROR(INDEX(_xlfn.ANCHORARRAY($Q$6),ROW()-5,1),"")</f>
        <v/>
      </c>
      <c r="B143" s="288" t="str" cm="1">
        <f t="array" ref="B143">IFERROR(INDEX(_xlfn.ANCHORARRAY($Q$6),ROW()-5,2),"")</f>
        <v/>
      </c>
      <c r="C143" s="289" t="str" cm="1">
        <f t="array" ref="C143">IFERROR(INDEX(_xlfn.ANCHORARRAY($Q$6),ROW()-5,3),"")</f>
        <v/>
      </c>
      <c r="D143" s="218" t="str">
        <f>IF($A143="","",IF($K143="DIESEL",SUMIFS(Table1[Quantity],Table1[Customer],$B143,Table1[Date],$A143,Table1[Bill No.],$C143),IF($K143="PETROL",SUMIFS(Table14[Quantity],Table14[Customer],$B143,Table14[Date],$A143,Table14[Bill No.],$C143),IF($K143="XtraGreen",SUMIFS(Table146[Quantity],Table146[Company],$B143,Table146[Date],$A143,Table146[Bill No.],$C143),""))))</f>
        <v/>
      </c>
      <c r="E143" s="219" t="str">
        <f>IF($A143="","",IF($K143="DIESEL",AVERAGEIFS(Table1[RSP],Table1[Customer],$B143,Table1[Date],$A143,Table1[Bill No.],$C143),IF($K143="PETROL",AVERAGEIFS(Table14[RSP],Table14[Customer],$B143,Table14[Date],$A143,Table14[Bill No.],$C143),IF($K143="XtraGreen",AVERAGEIFS(Table146[RSP],Table146[Company],$B143,Table146[Date],$A143,Table146[Bill No.],$C143),IFERROR($F143/$D143,"")))))</f>
        <v/>
      </c>
      <c r="F143" s="330" t="str">
        <f>IF($A143="","",IF($K143="DIESEL",SUMIFS(Table1[Amount],Table1[Customer],$B143,Table1[Date],$A143,Table1[Bill No.],$C143),IF($K143="PETROL",SUMIFS(Table14[Amount],Table14[Customer],$B143,Table14[Date],$A143,Table14[Bill No.],$C143),IF($K143="XtraGreen",SUMIFS(Table146[Amount],Table146[Company],$B143,Table146[Date],$A143,Table146[Bill No.],$C143),SUMIFS('Other Sale'!$D:$D,'Other Sale'!$E:$E,$B143,'Other Sale'!$C:$C,$K143,'Other Sale'!$A:$A,$A143)))))</f>
        <v/>
      </c>
      <c r="G143" s="330" t="str" cm="1">
        <f t="array" ref="G143">IF($A143="","",IF($K143="Payment",IFERROR(INDEX(_xlfn._xlws.FILTER(MasterPaid[Amount Paid],(MasterPaid[Customer]=$B143)*(MasterPaid[Date]=$A143)),COUNTIFS($A$6:$A143,$A143,$B$6:$B143,$B143,$K$6:$K143,"Payment")),0),0))</f>
        <v/>
      </c>
      <c r="H143" s="331"/>
      <c r="I143" s="331"/>
      <c r="J143" s="330" t="str">
        <f t="shared" si="2"/>
        <v/>
      </c>
      <c r="K143" s="289" t="str" cm="1">
        <f t="array" ref="K143">IFERROR(INDEX(_xlfn.ANCHORARRAY($Q$6),ROW()-5,4),"")</f>
        <v/>
      </c>
      <c r="L143" s="290"/>
      <c r="U143">
        <f>IF(OR($A143="",$F143=""),0,MAX(0,MIN($F143,SUMIFS($F$6:$F143,$B$6:$B143,$B143)-(SUMIFS($G$6:$G$355,$B$6:$B$355,$B143)+SUMIFS($H$6:$H$355,$B$6:$B$355,$B143)+SUMIFS($I$6:$I$355,$B$6:$B$355,$B143)))))</f>
        <v>0</v>
      </c>
    </row>
    <row r="144" spans="1:21" ht="23" x14ac:dyDescent="0.25">
      <c r="A144" s="217" t="str" cm="1">
        <f t="array" ref="A144">IFERROR(INDEX(_xlfn.ANCHORARRAY($Q$6),ROW()-5,1),"")</f>
        <v/>
      </c>
      <c r="B144" s="288" t="str" cm="1">
        <f t="array" ref="B144">IFERROR(INDEX(_xlfn.ANCHORARRAY($Q$6),ROW()-5,2),"")</f>
        <v/>
      </c>
      <c r="C144" s="289" t="str" cm="1">
        <f t="array" ref="C144">IFERROR(INDEX(_xlfn.ANCHORARRAY($Q$6),ROW()-5,3),"")</f>
        <v/>
      </c>
      <c r="D144" s="218" t="str">
        <f>IF($A144="","",IF($K144="DIESEL",SUMIFS(Table1[Quantity],Table1[Customer],$B144,Table1[Date],$A144,Table1[Bill No.],$C144),IF($K144="PETROL",SUMIFS(Table14[Quantity],Table14[Customer],$B144,Table14[Date],$A144,Table14[Bill No.],$C144),IF($K144="XtraGreen",SUMIFS(Table146[Quantity],Table146[Company],$B144,Table146[Date],$A144,Table146[Bill No.],$C144),""))))</f>
        <v/>
      </c>
      <c r="E144" s="219" t="str">
        <f>IF($A144="","",IF($K144="DIESEL",AVERAGEIFS(Table1[RSP],Table1[Customer],$B144,Table1[Date],$A144,Table1[Bill No.],$C144),IF($K144="PETROL",AVERAGEIFS(Table14[RSP],Table14[Customer],$B144,Table14[Date],$A144,Table14[Bill No.],$C144),IF($K144="XtraGreen",AVERAGEIFS(Table146[RSP],Table146[Company],$B144,Table146[Date],$A144,Table146[Bill No.],$C144),IFERROR($F144/$D144,"")))))</f>
        <v/>
      </c>
      <c r="F144" s="330" t="str">
        <f>IF($A144="","",IF($K144="DIESEL",SUMIFS(Table1[Amount],Table1[Customer],$B144,Table1[Date],$A144,Table1[Bill No.],$C144),IF($K144="PETROL",SUMIFS(Table14[Amount],Table14[Customer],$B144,Table14[Date],$A144,Table14[Bill No.],$C144),IF($K144="XtraGreen",SUMIFS(Table146[Amount],Table146[Company],$B144,Table146[Date],$A144,Table146[Bill No.],$C144),SUMIFS('Other Sale'!$D:$D,'Other Sale'!$E:$E,$B144,'Other Sale'!$C:$C,$K144,'Other Sale'!$A:$A,$A144)))))</f>
        <v/>
      </c>
      <c r="G144" s="330" t="str" cm="1">
        <f t="array" ref="G144">IF($A144="","",IF($K144="Payment",IFERROR(INDEX(_xlfn._xlws.FILTER(MasterPaid[Amount Paid],(MasterPaid[Customer]=$B144)*(MasterPaid[Date]=$A144)),COUNTIFS($A$6:$A144,$A144,$B$6:$B144,$B144,$K$6:$K144,"Payment")),0),0))</f>
        <v/>
      </c>
      <c r="H144" s="331"/>
      <c r="I144" s="331"/>
      <c r="J144" s="330" t="str">
        <f t="shared" si="2"/>
        <v/>
      </c>
      <c r="K144" s="289" t="str" cm="1">
        <f t="array" ref="K144">IFERROR(INDEX(_xlfn.ANCHORARRAY($Q$6),ROW()-5,4),"")</f>
        <v/>
      </c>
      <c r="L144" s="290"/>
      <c r="U144">
        <f>IF(OR($A144="",$F144=""),0,MAX(0,MIN($F144,SUMIFS($F$6:$F144,$B$6:$B144,$B144)-(SUMIFS($G$6:$G$355,$B$6:$B$355,$B144)+SUMIFS($H$6:$H$355,$B$6:$B$355,$B144)+SUMIFS($I$6:$I$355,$B$6:$B$355,$B144)))))</f>
        <v>0</v>
      </c>
    </row>
    <row r="145" spans="1:21" ht="23" x14ac:dyDescent="0.25">
      <c r="A145" s="217" t="str" cm="1">
        <f t="array" ref="A145">IFERROR(INDEX(_xlfn.ANCHORARRAY($Q$6),ROW()-5,1),"")</f>
        <v/>
      </c>
      <c r="B145" s="288" t="str" cm="1">
        <f t="array" ref="B145">IFERROR(INDEX(_xlfn.ANCHORARRAY($Q$6),ROW()-5,2),"")</f>
        <v/>
      </c>
      <c r="C145" s="289" t="str" cm="1">
        <f t="array" ref="C145">IFERROR(INDEX(_xlfn.ANCHORARRAY($Q$6),ROW()-5,3),"")</f>
        <v/>
      </c>
      <c r="D145" s="218" t="str">
        <f>IF($A145="","",IF($K145="DIESEL",SUMIFS(Table1[Quantity],Table1[Customer],$B145,Table1[Date],$A145,Table1[Bill No.],$C145),IF($K145="PETROL",SUMIFS(Table14[Quantity],Table14[Customer],$B145,Table14[Date],$A145,Table14[Bill No.],$C145),IF($K145="XtraGreen",SUMIFS(Table146[Quantity],Table146[Company],$B145,Table146[Date],$A145,Table146[Bill No.],$C145),""))))</f>
        <v/>
      </c>
      <c r="E145" s="219" t="str">
        <f>IF($A145="","",IF($K145="DIESEL",AVERAGEIFS(Table1[RSP],Table1[Customer],$B145,Table1[Date],$A145,Table1[Bill No.],$C145),IF($K145="PETROL",AVERAGEIFS(Table14[RSP],Table14[Customer],$B145,Table14[Date],$A145,Table14[Bill No.],$C145),IF($K145="XtraGreen",AVERAGEIFS(Table146[RSP],Table146[Company],$B145,Table146[Date],$A145,Table146[Bill No.],$C145),IFERROR($F145/$D145,"")))))</f>
        <v/>
      </c>
      <c r="F145" s="330" t="str">
        <f>IF($A145="","",IF($K145="DIESEL",SUMIFS(Table1[Amount],Table1[Customer],$B145,Table1[Date],$A145,Table1[Bill No.],$C145),IF($K145="PETROL",SUMIFS(Table14[Amount],Table14[Customer],$B145,Table14[Date],$A145,Table14[Bill No.],$C145),IF($K145="XtraGreen",SUMIFS(Table146[Amount],Table146[Company],$B145,Table146[Date],$A145,Table146[Bill No.],$C145),SUMIFS('Other Sale'!$D:$D,'Other Sale'!$E:$E,$B145,'Other Sale'!$C:$C,$K145,'Other Sale'!$A:$A,$A145)))))</f>
        <v/>
      </c>
      <c r="G145" s="330" t="str" cm="1">
        <f t="array" ref="G145">IF($A145="","",IF($K145="Payment",IFERROR(INDEX(_xlfn._xlws.FILTER(MasterPaid[Amount Paid],(MasterPaid[Customer]=$B145)*(MasterPaid[Date]=$A145)),COUNTIFS($A$6:$A145,$A145,$B$6:$B145,$B145,$K$6:$K145,"Payment")),0),0))</f>
        <v/>
      </c>
      <c r="H145" s="331"/>
      <c r="I145" s="331"/>
      <c r="J145" s="330" t="str">
        <f t="shared" si="2"/>
        <v/>
      </c>
      <c r="K145" s="289" t="str" cm="1">
        <f t="array" ref="K145">IFERROR(INDEX(_xlfn.ANCHORARRAY($Q$6),ROW()-5,4),"")</f>
        <v/>
      </c>
      <c r="L145" s="290"/>
      <c r="U145">
        <f>IF(OR($A145="",$F145=""),0,MAX(0,MIN($F145,SUMIFS($F$6:$F145,$B$6:$B145,$B145)-(SUMIFS($G$6:$G$355,$B$6:$B$355,$B145)+SUMIFS($H$6:$H$355,$B$6:$B$355,$B145)+SUMIFS($I$6:$I$355,$B$6:$B$355,$B145)))))</f>
        <v>0</v>
      </c>
    </row>
    <row r="146" spans="1:21" ht="23" x14ac:dyDescent="0.25">
      <c r="A146" s="217" t="str" cm="1">
        <f t="array" ref="A146">IFERROR(INDEX(_xlfn.ANCHORARRAY($Q$6),ROW()-5,1),"")</f>
        <v/>
      </c>
      <c r="B146" s="288" t="str" cm="1">
        <f t="array" ref="B146">IFERROR(INDEX(_xlfn.ANCHORARRAY($Q$6),ROW()-5,2),"")</f>
        <v/>
      </c>
      <c r="C146" s="289" t="str" cm="1">
        <f t="array" ref="C146">IFERROR(INDEX(_xlfn.ANCHORARRAY($Q$6),ROW()-5,3),"")</f>
        <v/>
      </c>
      <c r="D146" s="218" t="str">
        <f>IF($A146="","",IF($K146="DIESEL",SUMIFS(Table1[Quantity],Table1[Customer],$B146,Table1[Date],$A146,Table1[Bill No.],$C146),IF($K146="PETROL",SUMIFS(Table14[Quantity],Table14[Customer],$B146,Table14[Date],$A146,Table14[Bill No.],$C146),IF($K146="XtraGreen",SUMIFS(Table146[Quantity],Table146[Company],$B146,Table146[Date],$A146,Table146[Bill No.],$C146),""))))</f>
        <v/>
      </c>
      <c r="E146" s="219" t="str">
        <f>IF($A146="","",IF($K146="DIESEL",AVERAGEIFS(Table1[RSP],Table1[Customer],$B146,Table1[Date],$A146,Table1[Bill No.],$C146),IF($K146="PETROL",AVERAGEIFS(Table14[RSP],Table14[Customer],$B146,Table14[Date],$A146,Table14[Bill No.],$C146),IF($K146="XtraGreen",AVERAGEIFS(Table146[RSP],Table146[Company],$B146,Table146[Date],$A146,Table146[Bill No.],$C146),IFERROR($F146/$D146,"")))))</f>
        <v/>
      </c>
      <c r="F146" s="330" t="str">
        <f>IF($A146="","",IF($K146="DIESEL",SUMIFS(Table1[Amount],Table1[Customer],$B146,Table1[Date],$A146,Table1[Bill No.],$C146),IF($K146="PETROL",SUMIFS(Table14[Amount],Table14[Customer],$B146,Table14[Date],$A146,Table14[Bill No.],$C146),IF($K146="XtraGreen",SUMIFS(Table146[Amount],Table146[Company],$B146,Table146[Date],$A146,Table146[Bill No.],$C146),SUMIFS('Other Sale'!$D:$D,'Other Sale'!$E:$E,$B146,'Other Sale'!$C:$C,$K146,'Other Sale'!$A:$A,$A146)))))</f>
        <v/>
      </c>
      <c r="G146" s="330" t="str" cm="1">
        <f t="array" ref="G146">IF($A146="","",IF($K146="Payment",IFERROR(INDEX(_xlfn._xlws.FILTER(MasterPaid[Amount Paid],(MasterPaid[Customer]=$B146)*(MasterPaid[Date]=$A146)),COUNTIFS($A$6:$A146,$A146,$B$6:$B146,$B146,$K$6:$K146,"Payment")),0),0))</f>
        <v/>
      </c>
      <c r="H146" s="331"/>
      <c r="I146" s="331"/>
      <c r="J146" s="330" t="str">
        <f t="shared" si="2"/>
        <v/>
      </c>
      <c r="K146" s="289" t="str" cm="1">
        <f t="array" ref="K146">IFERROR(INDEX(_xlfn.ANCHORARRAY($Q$6),ROW()-5,4),"")</f>
        <v/>
      </c>
      <c r="L146" s="290"/>
      <c r="U146">
        <f>IF(OR($A146="",$F146=""),0,MAX(0,MIN($F146,SUMIFS($F$6:$F146,$B$6:$B146,$B146)-(SUMIFS($G$6:$G$355,$B$6:$B$355,$B146)+SUMIFS($H$6:$H$355,$B$6:$B$355,$B146)+SUMIFS($I$6:$I$355,$B$6:$B$355,$B146)))))</f>
        <v>0</v>
      </c>
    </row>
    <row r="147" spans="1:21" ht="23" x14ac:dyDescent="0.25">
      <c r="A147" s="217" t="str" cm="1">
        <f t="array" ref="A147">IFERROR(INDEX(_xlfn.ANCHORARRAY($Q$6),ROW()-5,1),"")</f>
        <v/>
      </c>
      <c r="B147" s="288" t="str" cm="1">
        <f t="array" ref="B147">IFERROR(INDEX(_xlfn.ANCHORARRAY($Q$6),ROW()-5,2),"")</f>
        <v/>
      </c>
      <c r="C147" s="289" t="str" cm="1">
        <f t="array" ref="C147">IFERROR(INDEX(_xlfn.ANCHORARRAY($Q$6),ROW()-5,3),"")</f>
        <v/>
      </c>
      <c r="D147" s="218" t="str">
        <f>IF($A147="","",IF($K147="DIESEL",SUMIFS(Table1[Quantity],Table1[Customer],$B147,Table1[Date],$A147,Table1[Bill No.],$C147),IF($K147="PETROL",SUMIFS(Table14[Quantity],Table14[Customer],$B147,Table14[Date],$A147,Table14[Bill No.],$C147),IF($K147="XtraGreen",SUMIFS(Table146[Quantity],Table146[Company],$B147,Table146[Date],$A147,Table146[Bill No.],$C147),""))))</f>
        <v/>
      </c>
      <c r="E147" s="219" t="str">
        <f>IF($A147="","",IF($K147="DIESEL",AVERAGEIFS(Table1[RSP],Table1[Customer],$B147,Table1[Date],$A147,Table1[Bill No.],$C147),IF($K147="PETROL",AVERAGEIFS(Table14[RSP],Table14[Customer],$B147,Table14[Date],$A147,Table14[Bill No.],$C147),IF($K147="XtraGreen",AVERAGEIFS(Table146[RSP],Table146[Company],$B147,Table146[Date],$A147,Table146[Bill No.],$C147),IFERROR($F147/$D147,"")))))</f>
        <v/>
      </c>
      <c r="F147" s="330" t="str">
        <f>IF($A147="","",IF($K147="DIESEL",SUMIFS(Table1[Amount],Table1[Customer],$B147,Table1[Date],$A147,Table1[Bill No.],$C147),IF($K147="PETROL",SUMIFS(Table14[Amount],Table14[Customer],$B147,Table14[Date],$A147,Table14[Bill No.],$C147),IF($K147="XtraGreen",SUMIFS(Table146[Amount],Table146[Company],$B147,Table146[Date],$A147,Table146[Bill No.],$C147),SUMIFS('Other Sale'!$D:$D,'Other Sale'!$E:$E,$B147,'Other Sale'!$C:$C,$K147,'Other Sale'!$A:$A,$A147)))))</f>
        <v/>
      </c>
      <c r="G147" s="330" t="str" cm="1">
        <f t="array" ref="G147">IF($A147="","",IF($K147="Payment",IFERROR(INDEX(_xlfn._xlws.FILTER(MasterPaid[Amount Paid],(MasterPaid[Customer]=$B147)*(MasterPaid[Date]=$A147)),COUNTIFS($A$6:$A147,$A147,$B$6:$B147,$B147,$K$6:$K147,"Payment")),0),0))</f>
        <v/>
      </c>
      <c r="H147" s="331"/>
      <c r="I147" s="331"/>
      <c r="J147" s="330" t="str">
        <f t="shared" si="2"/>
        <v/>
      </c>
      <c r="K147" s="289" t="str" cm="1">
        <f t="array" ref="K147">IFERROR(INDEX(_xlfn.ANCHORARRAY($Q$6),ROW()-5,4),"")</f>
        <v/>
      </c>
      <c r="L147" s="290"/>
      <c r="U147">
        <f>IF(OR($A147="",$F147=""),0,MAX(0,MIN($F147,SUMIFS($F$6:$F147,$B$6:$B147,$B147)-(SUMIFS($G$6:$G$355,$B$6:$B$355,$B147)+SUMIFS($H$6:$H$355,$B$6:$B$355,$B147)+SUMIFS($I$6:$I$355,$B$6:$B$355,$B147)))))</f>
        <v>0</v>
      </c>
    </row>
    <row r="148" spans="1:21" ht="23" x14ac:dyDescent="0.25">
      <c r="A148" s="217" t="str" cm="1">
        <f t="array" ref="A148">IFERROR(INDEX(_xlfn.ANCHORARRAY($Q$6),ROW()-5,1),"")</f>
        <v/>
      </c>
      <c r="B148" s="288" t="str" cm="1">
        <f t="array" ref="B148">IFERROR(INDEX(_xlfn.ANCHORARRAY($Q$6),ROW()-5,2),"")</f>
        <v/>
      </c>
      <c r="C148" s="289" t="str" cm="1">
        <f t="array" ref="C148">IFERROR(INDEX(_xlfn.ANCHORARRAY($Q$6),ROW()-5,3),"")</f>
        <v/>
      </c>
      <c r="D148" s="218" t="str">
        <f>IF($A148="","",IF($K148="DIESEL",SUMIFS(Table1[Quantity],Table1[Customer],$B148,Table1[Date],$A148,Table1[Bill No.],$C148),IF($K148="PETROL",SUMIFS(Table14[Quantity],Table14[Customer],$B148,Table14[Date],$A148,Table14[Bill No.],$C148),IF($K148="XtraGreen",SUMIFS(Table146[Quantity],Table146[Company],$B148,Table146[Date],$A148,Table146[Bill No.],$C148),""))))</f>
        <v/>
      </c>
      <c r="E148" s="219" t="str">
        <f>IF($A148="","",IF($K148="DIESEL",AVERAGEIFS(Table1[RSP],Table1[Customer],$B148,Table1[Date],$A148,Table1[Bill No.],$C148),IF($K148="PETROL",AVERAGEIFS(Table14[RSP],Table14[Customer],$B148,Table14[Date],$A148,Table14[Bill No.],$C148),IF($K148="XtraGreen",AVERAGEIFS(Table146[RSP],Table146[Company],$B148,Table146[Date],$A148,Table146[Bill No.],$C148),IFERROR($F148/$D148,"")))))</f>
        <v/>
      </c>
      <c r="F148" s="330" t="str">
        <f>IF($A148="","",IF($K148="DIESEL",SUMIFS(Table1[Amount],Table1[Customer],$B148,Table1[Date],$A148,Table1[Bill No.],$C148),IF($K148="PETROL",SUMIFS(Table14[Amount],Table14[Customer],$B148,Table14[Date],$A148,Table14[Bill No.],$C148),IF($K148="XtraGreen",SUMIFS(Table146[Amount],Table146[Company],$B148,Table146[Date],$A148,Table146[Bill No.],$C148),SUMIFS('Other Sale'!$D:$D,'Other Sale'!$E:$E,$B148,'Other Sale'!$C:$C,$K148,'Other Sale'!$A:$A,$A148)))))</f>
        <v/>
      </c>
      <c r="G148" s="330" t="str" cm="1">
        <f t="array" ref="G148">IF($A148="","",IF($K148="Payment",IFERROR(INDEX(_xlfn._xlws.FILTER(MasterPaid[Amount Paid],(MasterPaid[Customer]=$B148)*(MasterPaid[Date]=$A148)),COUNTIFS($A$6:$A148,$A148,$B$6:$B148,$B148,$K$6:$K148,"Payment")),0),0))</f>
        <v/>
      </c>
      <c r="H148" s="331"/>
      <c r="I148" s="331"/>
      <c r="J148" s="330" t="str">
        <f t="shared" si="2"/>
        <v/>
      </c>
      <c r="K148" s="289" t="str" cm="1">
        <f t="array" ref="K148">IFERROR(INDEX(_xlfn.ANCHORARRAY($Q$6),ROW()-5,4),"")</f>
        <v/>
      </c>
      <c r="L148" s="290"/>
      <c r="U148">
        <f>IF(OR($A148="",$F148=""),0,MAX(0,MIN($F148,SUMIFS($F$6:$F148,$B$6:$B148,$B148)-(SUMIFS($G$6:$G$355,$B$6:$B$355,$B148)+SUMIFS($H$6:$H$355,$B$6:$B$355,$B148)+SUMIFS($I$6:$I$355,$B$6:$B$355,$B148)))))</f>
        <v>0</v>
      </c>
    </row>
    <row r="149" spans="1:21" ht="23" x14ac:dyDescent="0.25">
      <c r="A149" s="217" t="str" cm="1">
        <f t="array" ref="A149">IFERROR(INDEX(_xlfn.ANCHORARRAY($Q$6),ROW()-5,1),"")</f>
        <v/>
      </c>
      <c r="B149" s="288" t="str" cm="1">
        <f t="array" ref="B149">IFERROR(INDEX(_xlfn.ANCHORARRAY($Q$6),ROW()-5,2),"")</f>
        <v/>
      </c>
      <c r="C149" s="289" t="str" cm="1">
        <f t="array" ref="C149">IFERROR(INDEX(_xlfn.ANCHORARRAY($Q$6),ROW()-5,3),"")</f>
        <v/>
      </c>
      <c r="D149" s="218" t="str">
        <f>IF($A149="","",IF($K149="DIESEL",SUMIFS(Table1[Quantity],Table1[Customer],$B149,Table1[Date],$A149,Table1[Bill No.],$C149),IF($K149="PETROL",SUMIFS(Table14[Quantity],Table14[Customer],$B149,Table14[Date],$A149,Table14[Bill No.],$C149),IF($K149="XtraGreen",SUMIFS(Table146[Quantity],Table146[Company],$B149,Table146[Date],$A149,Table146[Bill No.],$C149),""))))</f>
        <v/>
      </c>
      <c r="E149" s="219" t="str">
        <f>IF($A149="","",IF($K149="DIESEL",AVERAGEIFS(Table1[RSP],Table1[Customer],$B149,Table1[Date],$A149,Table1[Bill No.],$C149),IF($K149="PETROL",AVERAGEIFS(Table14[RSP],Table14[Customer],$B149,Table14[Date],$A149,Table14[Bill No.],$C149),IF($K149="XtraGreen",AVERAGEIFS(Table146[RSP],Table146[Company],$B149,Table146[Date],$A149,Table146[Bill No.],$C149),IFERROR($F149/$D149,"")))))</f>
        <v/>
      </c>
      <c r="F149" s="330" t="str">
        <f>IF($A149="","",IF($K149="DIESEL",SUMIFS(Table1[Amount],Table1[Customer],$B149,Table1[Date],$A149,Table1[Bill No.],$C149),IF($K149="PETROL",SUMIFS(Table14[Amount],Table14[Customer],$B149,Table14[Date],$A149,Table14[Bill No.],$C149),IF($K149="XtraGreen",SUMIFS(Table146[Amount],Table146[Company],$B149,Table146[Date],$A149,Table146[Bill No.],$C149),SUMIFS('Other Sale'!$D:$D,'Other Sale'!$E:$E,$B149,'Other Sale'!$C:$C,$K149,'Other Sale'!$A:$A,$A149)))))</f>
        <v/>
      </c>
      <c r="G149" s="330" t="str" cm="1">
        <f t="array" ref="G149">IF($A149="","",IF($K149="Payment",IFERROR(INDEX(_xlfn._xlws.FILTER(MasterPaid[Amount Paid],(MasterPaid[Customer]=$B149)*(MasterPaid[Date]=$A149)),COUNTIFS($A$6:$A149,$A149,$B$6:$B149,$B149,$K$6:$K149,"Payment")),0),0))</f>
        <v/>
      </c>
      <c r="H149" s="331"/>
      <c r="I149" s="331"/>
      <c r="J149" s="330" t="str">
        <f t="shared" si="2"/>
        <v/>
      </c>
      <c r="K149" s="289" t="str" cm="1">
        <f t="array" ref="K149">IFERROR(INDEX(_xlfn.ANCHORARRAY($Q$6),ROW()-5,4),"")</f>
        <v/>
      </c>
      <c r="L149" s="290"/>
      <c r="U149">
        <f>IF(OR($A149="",$F149=""),0,MAX(0,MIN($F149,SUMIFS($F$6:$F149,$B$6:$B149,$B149)-(SUMIFS($G$6:$G$355,$B$6:$B$355,$B149)+SUMIFS($H$6:$H$355,$B$6:$B$355,$B149)+SUMIFS($I$6:$I$355,$B$6:$B$355,$B149)))))</f>
        <v>0</v>
      </c>
    </row>
    <row r="150" spans="1:21" ht="23" x14ac:dyDescent="0.25">
      <c r="A150" s="217" t="str" cm="1">
        <f t="array" ref="A150">IFERROR(INDEX(_xlfn.ANCHORARRAY($Q$6),ROW()-5,1),"")</f>
        <v/>
      </c>
      <c r="B150" s="288" t="str" cm="1">
        <f t="array" ref="B150">IFERROR(INDEX(_xlfn.ANCHORARRAY($Q$6),ROW()-5,2),"")</f>
        <v/>
      </c>
      <c r="C150" s="289" t="str" cm="1">
        <f t="array" ref="C150">IFERROR(INDEX(_xlfn.ANCHORARRAY($Q$6),ROW()-5,3),"")</f>
        <v/>
      </c>
      <c r="D150" s="218" t="str">
        <f>IF($A150="","",IF($K150="DIESEL",SUMIFS(Table1[Quantity],Table1[Customer],$B150,Table1[Date],$A150,Table1[Bill No.],$C150),IF($K150="PETROL",SUMIFS(Table14[Quantity],Table14[Customer],$B150,Table14[Date],$A150,Table14[Bill No.],$C150),IF($K150="XtraGreen",SUMIFS(Table146[Quantity],Table146[Company],$B150,Table146[Date],$A150,Table146[Bill No.],$C150),""))))</f>
        <v/>
      </c>
      <c r="E150" s="219" t="str">
        <f>IF($A150="","",IF($K150="DIESEL",AVERAGEIFS(Table1[RSP],Table1[Customer],$B150,Table1[Date],$A150,Table1[Bill No.],$C150),IF($K150="PETROL",AVERAGEIFS(Table14[RSP],Table14[Customer],$B150,Table14[Date],$A150,Table14[Bill No.],$C150),IF($K150="XtraGreen",AVERAGEIFS(Table146[RSP],Table146[Company],$B150,Table146[Date],$A150,Table146[Bill No.],$C150),IFERROR($F150/$D150,"")))))</f>
        <v/>
      </c>
      <c r="F150" s="330" t="str">
        <f>IF($A150="","",IF($K150="DIESEL",SUMIFS(Table1[Amount],Table1[Customer],$B150,Table1[Date],$A150,Table1[Bill No.],$C150),IF($K150="PETROL",SUMIFS(Table14[Amount],Table14[Customer],$B150,Table14[Date],$A150,Table14[Bill No.],$C150),IF($K150="XtraGreen",SUMIFS(Table146[Amount],Table146[Company],$B150,Table146[Date],$A150,Table146[Bill No.],$C150),SUMIFS('Other Sale'!$D:$D,'Other Sale'!$E:$E,$B150,'Other Sale'!$C:$C,$K150,'Other Sale'!$A:$A,$A150)))))</f>
        <v/>
      </c>
      <c r="G150" s="330" t="str" cm="1">
        <f t="array" ref="G150">IF($A150="","",IF($K150="Payment",IFERROR(INDEX(_xlfn._xlws.FILTER(MasterPaid[Amount Paid],(MasterPaid[Customer]=$B150)*(MasterPaid[Date]=$A150)),COUNTIFS($A$6:$A150,$A150,$B$6:$B150,$B150,$K$6:$K150,"Payment")),0),0))</f>
        <v/>
      </c>
      <c r="H150" s="331"/>
      <c r="I150" s="331"/>
      <c r="J150" s="330" t="str">
        <f t="shared" si="2"/>
        <v/>
      </c>
      <c r="K150" s="289" t="str" cm="1">
        <f t="array" ref="K150">IFERROR(INDEX(_xlfn.ANCHORARRAY($Q$6),ROW()-5,4),"")</f>
        <v/>
      </c>
      <c r="L150" s="290"/>
      <c r="U150">
        <f>IF(OR($A150="",$F150=""),0,MAX(0,MIN($F150,SUMIFS($F$6:$F150,$B$6:$B150,$B150)-(SUMIFS($G$6:$G$355,$B$6:$B$355,$B150)+SUMIFS($H$6:$H$355,$B$6:$B$355,$B150)+SUMIFS($I$6:$I$355,$B$6:$B$355,$B150)))))</f>
        <v>0</v>
      </c>
    </row>
    <row r="151" spans="1:21" ht="23" x14ac:dyDescent="0.25">
      <c r="A151" s="217" t="str" cm="1">
        <f t="array" ref="A151">IFERROR(INDEX(_xlfn.ANCHORARRAY($Q$6),ROW()-5,1),"")</f>
        <v/>
      </c>
      <c r="B151" s="288" t="str" cm="1">
        <f t="array" ref="B151">IFERROR(INDEX(_xlfn.ANCHORARRAY($Q$6),ROW()-5,2),"")</f>
        <v/>
      </c>
      <c r="C151" s="289" t="str" cm="1">
        <f t="array" ref="C151">IFERROR(INDEX(_xlfn.ANCHORARRAY($Q$6),ROW()-5,3),"")</f>
        <v/>
      </c>
      <c r="D151" s="218" t="str">
        <f>IF($A151="","",IF($K151="DIESEL",SUMIFS(Table1[Quantity],Table1[Customer],$B151,Table1[Date],$A151,Table1[Bill No.],$C151),IF($K151="PETROL",SUMIFS(Table14[Quantity],Table14[Customer],$B151,Table14[Date],$A151,Table14[Bill No.],$C151),IF($K151="XtraGreen",SUMIFS(Table146[Quantity],Table146[Company],$B151,Table146[Date],$A151,Table146[Bill No.],$C151),""))))</f>
        <v/>
      </c>
      <c r="E151" s="219" t="str">
        <f>IF($A151="","",IF($K151="DIESEL",AVERAGEIFS(Table1[RSP],Table1[Customer],$B151,Table1[Date],$A151,Table1[Bill No.],$C151),IF($K151="PETROL",AVERAGEIFS(Table14[RSP],Table14[Customer],$B151,Table14[Date],$A151,Table14[Bill No.],$C151),IF($K151="XtraGreen",AVERAGEIFS(Table146[RSP],Table146[Company],$B151,Table146[Date],$A151,Table146[Bill No.],$C151),IFERROR($F151/$D151,"")))))</f>
        <v/>
      </c>
      <c r="F151" s="330" t="str">
        <f>IF($A151="","",IF($K151="DIESEL",SUMIFS(Table1[Amount],Table1[Customer],$B151,Table1[Date],$A151,Table1[Bill No.],$C151),IF($K151="PETROL",SUMIFS(Table14[Amount],Table14[Customer],$B151,Table14[Date],$A151,Table14[Bill No.],$C151),IF($K151="XtraGreen",SUMIFS(Table146[Amount],Table146[Company],$B151,Table146[Date],$A151,Table146[Bill No.],$C151),SUMIFS('Other Sale'!$D:$D,'Other Sale'!$E:$E,$B151,'Other Sale'!$C:$C,$K151,'Other Sale'!$A:$A,$A151)))))</f>
        <v/>
      </c>
      <c r="G151" s="330" t="str" cm="1">
        <f t="array" ref="G151">IF($A151="","",IF($K151="Payment",IFERROR(INDEX(_xlfn._xlws.FILTER(MasterPaid[Amount Paid],(MasterPaid[Customer]=$B151)*(MasterPaid[Date]=$A151)),COUNTIFS($A$6:$A151,$A151,$B$6:$B151,$B151,$K$6:$K151,"Payment")),0),0))</f>
        <v/>
      </c>
      <c r="H151" s="331"/>
      <c r="I151" s="331"/>
      <c r="J151" s="330" t="str">
        <f t="shared" si="2"/>
        <v/>
      </c>
      <c r="K151" s="289" t="str" cm="1">
        <f t="array" ref="K151">IFERROR(INDEX(_xlfn.ANCHORARRAY($Q$6),ROW()-5,4),"")</f>
        <v/>
      </c>
      <c r="L151" s="290"/>
      <c r="U151">
        <f>IF(OR($A151="",$F151=""),0,MAX(0,MIN($F151,SUMIFS($F$6:$F151,$B$6:$B151,$B151)-(SUMIFS($G$6:$G$355,$B$6:$B$355,$B151)+SUMIFS($H$6:$H$355,$B$6:$B$355,$B151)+SUMIFS($I$6:$I$355,$B$6:$B$355,$B151)))))</f>
        <v>0</v>
      </c>
    </row>
    <row r="152" spans="1:21" ht="23" x14ac:dyDescent="0.25">
      <c r="A152" s="217" t="str" cm="1">
        <f t="array" ref="A152">IFERROR(INDEX(_xlfn.ANCHORARRAY($Q$6),ROW()-5,1),"")</f>
        <v/>
      </c>
      <c r="B152" s="288" t="str" cm="1">
        <f t="array" ref="B152">IFERROR(INDEX(_xlfn.ANCHORARRAY($Q$6),ROW()-5,2),"")</f>
        <v/>
      </c>
      <c r="C152" s="289" t="str" cm="1">
        <f t="array" ref="C152">IFERROR(INDEX(_xlfn.ANCHORARRAY($Q$6),ROW()-5,3),"")</f>
        <v/>
      </c>
      <c r="D152" s="218" t="str">
        <f>IF($A152="","",IF($K152="DIESEL",SUMIFS(Table1[Quantity],Table1[Customer],$B152,Table1[Date],$A152,Table1[Bill No.],$C152),IF($K152="PETROL",SUMIFS(Table14[Quantity],Table14[Customer],$B152,Table14[Date],$A152,Table14[Bill No.],$C152),IF($K152="XtraGreen",SUMIFS(Table146[Quantity],Table146[Company],$B152,Table146[Date],$A152,Table146[Bill No.],$C152),""))))</f>
        <v/>
      </c>
      <c r="E152" s="219" t="str">
        <f>IF($A152="","",IF($K152="DIESEL",AVERAGEIFS(Table1[RSP],Table1[Customer],$B152,Table1[Date],$A152,Table1[Bill No.],$C152),IF($K152="PETROL",AVERAGEIFS(Table14[RSP],Table14[Customer],$B152,Table14[Date],$A152,Table14[Bill No.],$C152),IF($K152="XtraGreen",AVERAGEIFS(Table146[RSP],Table146[Company],$B152,Table146[Date],$A152,Table146[Bill No.],$C152),IFERROR($F152/$D152,"")))))</f>
        <v/>
      </c>
      <c r="F152" s="330" t="str">
        <f>IF($A152="","",IF($K152="DIESEL",SUMIFS(Table1[Amount],Table1[Customer],$B152,Table1[Date],$A152,Table1[Bill No.],$C152),IF($K152="PETROL",SUMIFS(Table14[Amount],Table14[Customer],$B152,Table14[Date],$A152,Table14[Bill No.],$C152),IF($K152="XtraGreen",SUMIFS(Table146[Amount],Table146[Company],$B152,Table146[Date],$A152,Table146[Bill No.],$C152),SUMIFS('Other Sale'!$D:$D,'Other Sale'!$E:$E,$B152,'Other Sale'!$C:$C,$K152,'Other Sale'!$A:$A,$A152)))))</f>
        <v/>
      </c>
      <c r="G152" s="330" t="str" cm="1">
        <f t="array" ref="G152">IF($A152="","",IF($K152="Payment",IFERROR(INDEX(_xlfn._xlws.FILTER(MasterPaid[Amount Paid],(MasterPaid[Customer]=$B152)*(MasterPaid[Date]=$A152)),COUNTIFS($A$6:$A152,$A152,$B$6:$B152,$B152,$K$6:$K152,"Payment")),0),0))</f>
        <v/>
      </c>
      <c r="H152" s="331"/>
      <c r="I152" s="331"/>
      <c r="J152" s="330" t="str">
        <f t="shared" si="2"/>
        <v/>
      </c>
      <c r="K152" s="289" t="str" cm="1">
        <f t="array" ref="K152">IFERROR(INDEX(_xlfn.ANCHORARRAY($Q$6),ROW()-5,4),"")</f>
        <v/>
      </c>
      <c r="L152" s="290"/>
      <c r="U152">
        <f>IF(OR($A152="",$F152=""),0,MAX(0,MIN($F152,SUMIFS($F$6:$F152,$B$6:$B152,$B152)-(SUMIFS($G$6:$G$355,$B$6:$B$355,$B152)+SUMIFS($H$6:$H$355,$B$6:$B$355,$B152)+SUMIFS($I$6:$I$355,$B$6:$B$355,$B152)))))</f>
        <v>0</v>
      </c>
    </row>
    <row r="153" spans="1:21" ht="23" x14ac:dyDescent="0.25">
      <c r="A153" s="217" t="str" cm="1">
        <f t="array" ref="A153">IFERROR(INDEX(_xlfn.ANCHORARRAY($Q$6),ROW()-5,1),"")</f>
        <v/>
      </c>
      <c r="B153" s="288" t="str" cm="1">
        <f t="array" ref="B153">IFERROR(INDEX(_xlfn.ANCHORARRAY($Q$6),ROW()-5,2),"")</f>
        <v/>
      </c>
      <c r="C153" s="289" t="str" cm="1">
        <f t="array" ref="C153">IFERROR(INDEX(_xlfn.ANCHORARRAY($Q$6),ROW()-5,3),"")</f>
        <v/>
      </c>
      <c r="D153" s="218" t="str">
        <f>IF($A153="","",IF($K153="DIESEL",SUMIFS(Table1[Quantity],Table1[Customer],$B153,Table1[Date],$A153,Table1[Bill No.],$C153),IF($K153="PETROL",SUMIFS(Table14[Quantity],Table14[Customer],$B153,Table14[Date],$A153,Table14[Bill No.],$C153),IF($K153="XtraGreen",SUMIFS(Table146[Quantity],Table146[Company],$B153,Table146[Date],$A153,Table146[Bill No.],$C153),""))))</f>
        <v/>
      </c>
      <c r="E153" s="219" t="str">
        <f>IF($A153="","",IF($K153="DIESEL",AVERAGEIFS(Table1[RSP],Table1[Customer],$B153,Table1[Date],$A153,Table1[Bill No.],$C153),IF($K153="PETROL",AVERAGEIFS(Table14[RSP],Table14[Customer],$B153,Table14[Date],$A153,Table14[Bill No.],$C153),IF($K153="XtraGreen",AVERAGEIFS(Table146[RSP],Table146[Company],$B153,Table146[Date],$A153,Table146[Bill No.],$C153),IFERROR($F153/$D153,"")))))</f>
        <v/>
      </c>
      <c r="F153" s="330" t="str">
        <f>IF($A153="","",IF($K153="DIESEL",SUMIFS(Table1[Amount],Table1[Customer],$B153,Table1[Date],$A153,Table1[Bill No.],$C153),IF($K153="PETROL",SUMIFS(Table14[Amount],Table14[Customer],$B153,Table14[Date],$A153,Table14[Bill No.],$C153),IF($K153="XtraGreen",SUMIFS(Table146[Amount],Table146[Company],$B153,Table146[Date],$A153,Table146[Bill No.],$C153),SUMIFS('Other Sale'!$D:$D,'Other Sale'!$E:$E,$B153,'Other Sale'!$C:$C,$K153,'Other Sale'!$A:$A,$A153)))))</f>
        <v/>
      </c>
      <c r="G153" s="330" t="str" cm="1">
        <f t="array" ref="G153">IF($A153="","",IF($K153="Payment",IFERROR(INDEX(_xlfn._xlws.FILTER(MasterPaid[Amount Paid],(MasterPaid[Customer]=$B153)*(MasterPaid[Date]=$A153)),COUNTIFS($A$6:$A153,$A153,$B$6:$B153,$B153,$K$6:$K153,"Payment")),0),0))</f>
        <v/>
      </c>
      <c r="H153" s="331"/>
      <c r="I153" s="331"/>
      <c r="J153" s="330" t="str">
        <f t="shared" si="2"/>
        <v/>
      </c>
      <c r="K153" s="289" t="str" cm="1">
        <f t="array" ref="K153">IFERROR(INDEX(_xlfn.ANCHORARRAY($Q$6),ROW()-5,4),"")</f>
        <v/>
      </c>
      <c r="L153" s="290"/>
      <c r="U153">
        <f>IF(OR($A153="",$F153=""),0,MAX(0,MIN($F153,SUMIFS($F$6:$F153,$B$6:$B153,$B153)-(SUMIFS($G$6:$G$355,$B$6:$B$355,$B153)+SUMIFS($H$6:$H$355,$B$6:$B$355,$B153)+SUMIFS($I$6:$I$355,$B$6:$B$355,$B153)))))</f>
        <v>0</v>
      </c>
    </row>
    <row r="154" spans="1:21" ht="23" x14ac:dyDescent="0.25">
      <c r="A154" s="217" t="str" cm="1">
        <f t="array" ref="A154">IFERROR(INDEX(_xlfn.ANCHORARRAY($Q$6),ROW()-5,1),"")</f>
        <v/>
      </c>
      <c r="B154" s="288" t="str" cm="1">
        <f t="array" ref="B154">IFERROR(INDEX(_xlfn.ANCHORARRAY($Q$6),ROW()-5,2),"")</f>
        <v/>
      </c>
      <c r="C154" s="289" t="str" cm="1">
        <f t="array" ref="C154">IFERROR(INDEX(_xlfn.ANCHORARRAY($Q$6),ROW()-5,3),"")</f>
        <v/>
      </c>
      <c r="D154" s="218" t="str">
        <f>IF($A154="","",IF($K154="DIESEL",SUMIFS(Table1[Quantity],Table1[Customer],$B154,Table1[Date],$A154,Table1[Bill No.],$C154),IF($K154="PETROL",SUMIFS(Table14[Quantity],Table14[Customer],$B154,Table14[Date],$A154,Table14[Bill No.],$C154),IF($K154="XtraGreen",SUMIFS(Table146[Quantity],Table146[Company],$B154,Table146[Date],$A154,Table146[Bill No.],$C154),""))))</f>
        <v/>
      </c>
      <c r="E154" s="219" t="str">
        <f>IF($A154="","",IF($K154="DIESEL",AVERAGEIFS(Table1[RSP],Table1[Customer],$B154,Table1[Date],$A154,Table1[Bill No.],$C154),IF($K154="PETROL",AVERAGEIFS(Table14[RSP],Table14[Customer],$B154,Table14[Date],$A154,Table14[Bill No.],$C154),IF($K154="XtraGreen",AVERAGEIFS(Table146[RSP],Table146[Company],$B154,Table146[Date],$A154,Table146[Bill No.],$C154),IFERROR($F154/$D154,"")))))</f>
        <v/>
      </c>
      <c r="F154" s="330" t="str">
        <f>IF($A154="","",IF($K154="DIESEL",SUMIFS(Table1[Amount],Table1[Customer],$B154,Table1[Date],$A154,Table1[Bill No.],$C154),IF($K154="PETROL",SUMIFS(Table14[Amount],Table14[Customer],$B154,Table14[Date],$A154,Table14[Bill No.],$C154),IF($K154="XtraGreen",SUMIFS(Table146[Amount],Table146[Company],$B154,Table146[Date],$A154,Table146[Bill No.],$C154),SUMIFS('Other Sale'!$D:$D,'Other Sale'!$E:$E,$B154,'Other Sale'!$C:$C,$K154,'Other Sale'!$A:$A,$A154)))))</f>
        <v/>
      </c>
      <c r="G154" s="330" t="str" cm="1">
        <f t="array" ref="G154">IF($A154="","",IF($K154="Payment",IFERROR(INDEX(_xlfn._xlws.FILTER(MasterPaid[Amount Paid],(MasterPaid[Customer]=$B154)*(MasterPaid[Date]=$A154)),COUNTIFS($A$6:$A154,$A154,$B$6:$B154,$B154,$K$6:$K154,"Payment")),0),0))</f>
        <v/>
      </c>
      <c r="H154" s="331"/>
      <c r="I154" s="331"/>
      <c r="J154" s="330" t="str">
        <f t="shared" si="2"/>
        <v/>
      </c>
      <c r="K154" s="289" t="str" cm="1">
        <f t="array" ref="K154">IFERROR(INDEX(_xlfn.ANCHORARRAY($Q$6),ROW()-5,4),"")</f>
        <v/>
      </c>
      <c r="L154" s="290"/>
      <c r="U154">
        <f>IF(OR($A154="",$F154=""),0,MAX(0,MIN($F154,SUMIFS($F$6:$F154,$B$6:$B154,$B154)-(SUMIFS($G$6:$G$355,$B$6:$B$355,$B154)+SUMIFS($H$6:$H$355,$B$6:$B$355,$B154)+SUMIFS($I$6:$I$355,$B$6:$B$355,$B154)))))</f>
        <v>0</v>
      </c>
    </row>
    <row r="155" spans="1:21" ht="23" x14ac:dyDescent="0.25">
      <c r="A155" s="217" t="str" cm="1">
        <f t="array" ref="A155">IFERROR(INDEX(_xlfn.ANCHORARRAY($Q$6),ROW()-5,1),"")</f>
        <v/>
      </c>
      <c r="B155" s="288" t="str" cm="1">
        <f t="array" ref="B155">IFERROR(INDEX(_xlfn.ANCHORARRAY($Q$6),ROW()-5,2),"")</f>
        <v/>
      </c>
      <c r="C155" s="289" t="str" cm="1">
        <f t="array" ref="C155">IFERROR(INDEX(_xlfn.ANCHORARRAY($Q$6),ROW()-5,3),"")</f>
        <v/>
      </c>
      <c r="D155" s="218" t="str">
        <f>IF($A155="","",IF($K155="DIESEL",SUMIFS(Table1[Quantity],Table1[Customer],$B155,Table1[Date],$A155,Table1[Bill No.],$C155),IF($K155="PETROL",SUMIFS(Table14[Quantity],Table14[Customer],$B155,Table14[Date],$A155,Table14[Bill No.],$C155),IF($K155="XtraGreen",SUMIFS(Table146[Quantity],Table146[Company],$B155,Table146[Date],$A155,Table146[Bill No.],$C155),""))))</f>
        <v/>
      </c>
      <c r="E155" s="219" t="str">
        <f>IF($A155="","",IF($K155="DIESEL",AVERAGEIFS(Table1[RSP],Table1[Customer],$B155,Table1[Date],$A155,Table1[Bill No.],$C155),IF($K155="PETROL",AVERAGEIFS(Table14[RSP],Table14[Customer],$B155,Table14[Date],$A155,Table14[Bill No.],$C155),IF($K155="XtraGreen",AVERAGEIFS(Table146[RSP],Table146[Company],$B155,Table146[Date],$A155,Table146[Bill No.],$C155),IFERROR($F155/$D155,"")))))</f>
        <v/>
      </c>
      <c r="F155" s="330" t="str">
        <f>IF($A155="","",IF($K155="DIESEL",SUMIFS(Table1[Amount],Table1[Customer],$B155,Table1[Date],$A155,Table1[Bill No.],$C155),IF($K155="PETROL",SUMIFS(Table14[Amount],Table14[Customer],$B155,Table14[Date],$A155,Table14[Bill No.],$C155),IF($K155="XtraGreen",SUMIFS(Table146[Amount],Table146[Company],$B155,Table146[Date],$A155,Table146[Bill No.],$C155),SUMIFS('Other Sale'!$D:$D,'Other Sale'!$E:$E,$B155,'Other Sale'!$C:$C,$K155,'Other Sale'!$A:$A,$A155)))))</f>
        <v/>
      </c>
      <c r="G155" s="330" t="str" cm="1">
        <f t="array" ref="G155">IF($A155="","",IF($K155="Payment",IFERROR(INDEX(_xlfn._xlws.FILTER(MasterPaid[Amount Paid],(MasterPaid[Customer]=$B155)*(MasterPaid[Date]=$A155)),COUNTIFS($A$6:$A155,$A155,$B$6:$B155,$B155,$K$6:$K155,"Payment")),0),0))</f>
        <v/>
      </c>
      <c r="H155" s="331"/>
      <c r="I155" s="331"/>
      <c r="J155" s="330" t="str">
        <f t="shared" si="2"/>
        <v/>
      </c>
      <c r="K155" s="289" t="str" cm="1">
        <f t="array" ref="K155">IFERROR(INDEX(_xlfn.ANCHORARRAY($Q$6),ROW()-5,4),"")</f>
        <v/>
      </c>
      <c r="L155" s="290"/>
      <c r="U155">
        <f>IF(OR($A155="",$F155=""),0,MAX(0,MIN($F155,SUMIFS($F$6:$F155,$B$6:$B155,$B155)-(SUMIFS($G$6:$G$355,$B$6:$B$355,$B155)+SUMIFS($H$6:$H$355,$B$6:$B$355,$B155)+SUMIFS($I$6:$I$355,$B$6:$B$355,$B155)))))</f>
        <v>0</v>
      </c>
    </row>
    <row r="156" spans="1:21" ht="23" x14ac:dyDescent="0.25">
      <c r="A156" s="217" t="str" cm="1">
        <f t="array" ref="A156">IFERROR(INDEX(_xlfn.ANCHORARRAY($Q$6),ROW()-5,1),"")</f>
        <v/>
      </c>
      <c r="B156" s="288" t="str" cm="1">
        <f t="array" ref="B156">IFERROR(INDEX(_xlfn.ANCHORARRAY($Q$6),ROW()-5,2),"")</f>
        <v/>
      </c>
      <c r="C156" s="289" t="str" cm="1">
        <f t="array" ref="C156">IFERROR(INDEX(_xlfn.ANCHORARRAY($Q$6),ROW()-5,3),"")</f>
        <v/>
      </c>
      <c r="D156" s="218" t="str">
        <f>IF($A156="","",IF($K156="DIESEL",SUMIFS(Table1[Quantity],Table1[Customer],$B156,Table1[Date],$A156,Table1[Bill No.],$C156),IF($K156="PETROL",SUMIFS(Table14[Quantity],Table14[Customer],$B156,Table14[Date],$A156,Table14[Bill No.],$C156),IF($K156="XtraGreen",SUMIFS(Table146[Quantity],Table146[Company],$B156,Table146[Date],$A156,Table146[Bill No.],$C156),""))))</f>
        <v/>
      </c>
      <c r="E156" s="219" t="str">
        <f>IF($A156="","",IF($K156="DIESEL",AVERAGEIFS(Table1[RSP],Table1[Customer],$B156,Table1[Date],$A156,Table1[Bill No.],$C156),IF($K156="PETROL",AVERAGEIFS(Table14[RSP],Table14[Customer],$B156,Table14[Date],$A156,Table14[Bill No.],$C156),IF($K156="XtraGreen",AVERAGEIFS(Table146[RSP],Table146[Company],$B156,Table146[Date],$A156,Table146[Bill No.],$C156),IFERROR($F156/$D156,"")))))</f>
        <v/>
      </c>
      <c r="F156" s="330" t="str">
        <f>IF($A156="","",IF($K156="DIESEL",SUMIFS(Table1[Amount],Table1[Customer],$B156,Table1[Date],$A156,Table1[Bill No.],$C156),IF($K156="PETROL",SUMIFS(Table14[Amount],Table14[Customer],$B156,Table14[Date],$A156,Table14[Bill No.],$C156),IF($K156="XtraGreen",SUMIFS(Table146[Amount],Table146[Company],$B156,Table146[Date],$A156,Table146[Bill No.],$C156),SUMIFS('Other Sale'!$D:$D,'Other Sale'!$E:$E,$B156,'Other Sale'!$C:$C,$K156,'Other Sale'!$A:$A,$A156)))))</f>
        <v/>
      </c>
      <c r="G156" s="330" t="str" cm="1">
        <f t="array" ref="G156">IF($A156="","",IF($K156="Payment",IFERROR(INDEX(_xlfn._xlws.FILTER(MasterPaid[Amount Paid],(MasterPaid[Customer]=$B156)*(MasterPaid[Date]=$A156)),COUNTIFS($A$6:$A156,$A156,$B$6:$B156,$B156,$K$6:$K156,"Payment")),0),0))</f>
        <v/>
      </c>
      <c r="H156" s="331"/>
      <c r="I156" s="331"/>
      <c r="J156" s="330" t="str">
        <f t="shared" si="2"/>
        <v/>
      </c>
      <c r="K156" s="289" t="str" cm="1">
        <f t="array" ref="K156">IFERROR(INDEX(_xlfn.ANCHORARRAY($Q$6),ROW()-5,4),"")</f>
        <v/>
      </c>
      <c r="L156" s="290"/>
      <c r="U156">
        <f>IF(OR($A156="",$F156=""),0,MAX(0,MIN($F156,SUMIFS($F$6:$F156,$B$6:$B156,$B156)-(SUMIFS($G$6:$G$355,$B$6:$B$355,$B156)+SUMIFS($H$6:$H$355,$B$6:$B$355,$B156)+SUMIFS($I$6:$I$355,$B$6:$B$355,$B156)))))</f>
        <v>0</v>
      </c>
    </row>
    <row r="157" spans="1:21" ht="23" x14ac:dyDescent="0.25">
      <c r="A157" s="217" t="str" cm="1">
        <f t="array" ref="A157">IFERROR(INDEX(_xlfn.ANCHORARRAY($Q$6),ROW()-5,1),"")</f>
        <v/>
      </c>
      <c r="B157" s="288" t="str" cm="1">
        <f t="array" ref="B157">IFERROR(INDEX(_xlfn.ANCHORARRAY($Q$6),ROW()-5,2),"")</f>
        <v/>
      </c>
      <c r="C157" s="289" t="str" cm="1">
        <f t="array" ref="C157">IFERROR(INDEX(_xlfn.ANCHORARRAY($Q$6),ROW()-5,3),"")</f>
        <v/>
      </c>
      <c r="D157" s="218" t="str">
        <f>IF($A157="","",IF($K157="DIESEL",SUMIFS(Table1[Quantity],Table1[Customer],$B157,Table1[Date],$A157,Table1[Bill No.],$C157),IF($K157="PETROL",SUMIFS(Table14[Quantity],Table14[Customer],$B157,Table14[Date],$A157,Table14[Bill No.],$C157),IF($K157="XtraGreen",SUMIFS(Table146[Quantity],Table146[Company],$B157,Table146[Date],$A157,Table146[Bill No.],$C157),""))))</f>
        <v/>
      </c>
      <c r="E157" s="219" t="str">
        <f>IF($A157="","",IF($K157="DIESEL",AVERAGEIFS(Table1[RSP],Table1[Customer],$B157,Table1[Date],$A157,Table1[Bill No.],$C157),IF($K157="PETROL",AVERAGEIFS(Table14[RSP],Table14[Customer],$B157,Table14[Date],$A157,Table14[Bill No.],$C157),IF($K157="XtraGreen",AVERAGEIFS(Table146[RSP],Table146[Company],$B157,Table146[Date],$A157,Table146[Bill No.],$C157),IFERROR($F157/$D157,"")))))</f>
        <v/>
      </c>
      <c r="F157" s="330" t="str">
        <f>IF($A157="","",IF($K157="DIESEL",SUMIFS(Table1[Amount],Table1[Customer],$B157,Table1[Date],$A157,Table1[Bill No.],$C157),IF($K157="PETROL",SUMIFS(Table14[Amount],Table14[Customer],$B157,Table14[Date],$A157,Table14[Bill No.],$C157),IF($K157="XtraGreen",SUMIFS(Table146[Amount],Table146[Company],$B157,Table146[Date],$A157,Table146[Bill No.],$C157),SUMIFS('Other Sale'!$D:$D,'Other Sale'!$E:$E,$B157,'Other Sale'!$C:$C,$K157,'Other Sale'!$A:$A,$A157)))))</f>
        <v/>
      </c>
      <c r="G157" s="330" t="str" cm="1">
        <f t="array" ref="G157">IF($A157="","",IF($K157="Payment",IFERROR(INDEX(_xlfn._xlws.FILTER(MasterPaid[Amount Paid],(MasterPaid[Customer]=$B157)*(MasterPaid[Date]=$A157)),COUNTIFS($A$6:$A157,$A157,$B$6:$B157,$B157,$K$6:$K157,"Payment")),0),0))</f>
        <v/>
      </c>
      <c r="H157" s="331"/>
      <c r="I157" s="331"/>
      <c r="J157" s="330" t="str">
        <f t="shared" si="2"/>
        <v/>
      </c>
      <c r="K157" s="289" t="str" cm="1">
        <f t="array" ref="K157">IFERROR(INDEX(_xlfn.ANCHORARRAY($Q$6),ROW()-5,4),"")</f>
        <v/>
      </c>
      <c r="L157" s="290"/>
      <c r="U157">
        <f>IF(OR($A157="",$F157=""),0,MAX(0,MIN($F157,SUMIFS($F$6:$F157,$B$6:$B157,$B157)-(SUMIFS($G$6:$G$355,$B$6:$B$355,$B157)+SUMIFS($H$6:$H$355,$B$6:$B$355,$B157)+SUMIFS($I$6:$I$355,$B$6:$B$355,$B157)))))</f>
        <v>0</v>
      </c>
    </row>
    <row r="158" spans="1:21" ht="23" x14ac:dyDescent="0.25">
      <c r="A158" s="217" t="str" cm="1">
        <f t="array" ref="A158">IFERROR(INDEX(_xlfn.ANCHORARRAY($Q$6),ROW()-5,1),"")</f>
        <v/>
      </c>
      <c r="B158" s="288" t="str" cm="1">
        <f t="array" ref="B158">IFERROR(INDEX(_xlfn.ANCHORARRAY($Q$6),ROW()-5,2),"")</f>
        <v/>
      </c>
      <c r="C158" s="289" t="str" cm="1">
        <f t="array" ref="C158">IFERROR(INDEX(_xlfn.ANCHORARRAY($Q$6),ROW()-5,3),"")</f>
        <v/>
      </c>
      <c r="D158" s="218" t="str">
        <f>IF($A158="","",IF($K158="DIESEL",SUMIFS(Table1[Quantity],Table1[Customer],$B158,Table1[Date],$A158,Table1[Bill No.],$C158),IF($K158="PETROL",SUMIFS(Table14[Quantity],Table14[Customer],$B158,Table14[Date],$A158,Table14[Bill No.],$C158),IF($K158="XtraGreen",SUMIFS(Table146[Quantity],Table146[Company],$B158,Table146[Date],$A158,Table146[Bill No.],$C158),""))))</f>
        <v/>
      </c>
      <c r="E158" s="219" t="str">
        <f>IF($A158="","",IF($K158="DIESEL",AVERAGEIFS(Table1[RSP],Table1[Customer],$B158,Table1[Date],$A158,Table1[Bill No.],$C158),IF($K158="PETROL",AVERAGEIFS(Table14[RSP],Table14[Customer],$B158,Table14[Date],$A158,Table14[Bill No.],$C158),IF($K158="XtraGreen",AVERAGEIFS(Table146[RSP],Table146[Company],$B158,Table146[Date],$A158,Table146[Bill No.],$C158),IFERROR($F158/$D158,"")))))</f>
        <v/>
      </c>
      <c r="F158" s="330" t="str">
        <f>IF($A158="","",IF($K158="DIESEL",SUMIFS(Table1[Amount],Table1[Customer],$B158,Table1[Date],$A158,Table1[Bill No.],$C158),IF($K158="PETROL",SUMIFS(Table14[Amount],Table14[Customer],$B158,Table14[Date],$A158,Table14[Bill No.],$C158),IF($K158="XtraGreen",SUMIFS(Table146[Amount],Table146[Company],$B158,Table146[Date],$A158,Table146[Bill No.],$C158),SUMIFS('Other Sale'!$D:$D,'Other Sale'!$E:$E,$B158,'Other Sale'!$C:$C,$K158,'Other Sale'!$A:$A,$A158)))))</f>
        <v/>
      </c>
      <c r="G158" s="330" t="str" cm="1">
        <f t="array" ref="G158">IF($A158="","",IF($K158="Payment",IFERROR(INDEX(_xlfn._xlws.FILTER(MasterPaid[Amount Paid],(MasterPaid[Customer]=$B158)*(MasterPaid[Date]=$A158)),COUNTIFS($A$6:$A158,$A158,$B$6:$B158,$B158,$K$6:$K158,"Payment")),0),0))</f>
        <v/>
      </c>
      <c r="H158" s="331"/>
      <c r="I158" s="331"/>
      <c r="J158" s="330" t="str">
        <f t="shared" si="2"/>
        <v/>
      </c>
      <c r="K158" s="289" t="str" cm="1">
        <f t="array" ref="K158">IFERROR(INDEX(_xlfn.ANCHORARRAY($Q$6),ROW()-5,4),"")</f>
        <v/>
      </c>
      <c r="L158" s="290"/>
      <c r="U158">
        <f>IF(OR($A158="",$F158=""),0,MAX(0,MIN($F158,SUMIFS($F$6:$F158,$B$6:$B158,$B158)-(SUMIFS($G$6:$G$355,$B$6:$B$355,$B158)+SUMIFS($H$6:$H$355,$B$6:$B$355,$B158)+SUMIFS($I$6:$I$355,$B$6:$B$355,$B158)))))</f>
        <v>0</v>
      </c>
    </row>
    <row r="159" spans="1:21" ht="23" x14ac:dyDescent="0.25">
      <c r="A159" s="217" t="str" cm="1">
        <f t="array" ref="A159">IFERROR(INDEX(_xlfn.ANCHORARRAY($Q$6),ROW()-5,1),"")</f>
        <v/>
      </c>
      <c r="B159" s="288" t="str" cm="1">
        <f t="array" ref="B159">IFERROR(INDEX(_xlfn.ANCHORARRAY($Q$6),ROW()-5,2),"")</f>
        <v/>
      </c>
      <c r="C159" s="289" t="str" cm="1">
        <f t="array" ref="C159">IFERROR(INDEX(_xlfn.ANCHORARRAY($Q$6),ROW()-5,3),"")</f>
        <v/>
      </c>
      <c r="D159" s="218" t="str">
        <f>IF($A159="","",IF($K159="DIESEL",SUMIFS(Table1[Quantity],Table1[Customer],$B159,Table1[Date],$A159,Table1[Bill No.],$C159),IF($K159="PETROL",SUMIFS(Table14[Quantity],Table14[Customer],$B159,Table14[Date],$A159,Table14[Bill No.],$C159),IF($K159="XtraGreen",SUMIFS(Table146[Quantity],Table146[Company],$B159,Table146[Date],$A159,Table146[Bill No.],$C159),""))))</f>
        <v/>
      </c>
      <c r="E159" s="219" t="str">
        <f>IF($A159="","",IF($K159="DIESEL",AVERAGEIFS(Table1[RSP],Table1[Customer],$B159,Table1[Date],$A159,Table1[Bill No.],$C159),IF($K159="PETROL",AVERAGEIFS(Table14[RSP],Table14[Customer],$B159,Table14[Date],$A159,Table14[Bill No.],$C159),IF($K159="XtraGreen",AVERAGEIFS(Table146[RSP],Table146[Company],$B159,Table146[Date],$A159,Table146[Bill No.],$C159),IFERROR($F159/$D159,"")))))</f>
        <v/>
      </c>
      <c r="F159" s="330" t="str">
        <f>IF($A159="","",IF($K159="DIESEL",SUMIFS(Table1[Amount],Table1[Customer],$B159,Table1[Date],$A159,Table1[Bill No.],$C159),IF($K159="PETROL",SUMIFS(Table14[Amount],Table14[Customer],$B159,Table14[Date],$A159,Table14[Bill No.],$C159),IF($K159="XtraGreen",SUMIFS(Table146[Amount],Table146[Company],$B159,Table146[Date],$A159,Table146[Bill No.],$C159),SUMIFS('Other Sale'!$D:$D,'Other Sale'!$E:$E,$B159,'Other Sale'!$C:$C,$K159,'Other Sale'!$A:$A,$A159)))))</f>
        <v/>
      </c>
      <c r="G159" s="330" t="str" cm="1">
        <f t="array" ref="G159">IF($A159="","",IF($K159="Payment",IFERROR(INDEX(_xlfn._xlws.FILTER(MasterPaid[Amount Paid],(MasterPaid[Customer]=$B159)*(MasterPaid[Date]=$A159)),COUNTIFS($A$6:$A159,$A159,$B$6:$B159,$B159,$K$6:$K159,"Payment")),0),0))</f>
        <v/>
      </c>
      <c r="H159" s="331"/>
      <c r="I159" s="331"/>
      <c r="J159" s="330" t="str">
        <f t="shared" si="2"/>
        <v/>
      </c>
      <c r="K159" s="289" t="str" cm="1">
        <f t="array" ref="K159">IFERROR(INDEX(_xlfn.ANCHORARRAY($Q$6),ROW()-5,4),"")</f>
        <v/>
      </c>
      <c r="L159" s="290"/>
      <c r="U159">
        <f>IF(OR($A159="",$F159=""),0,MAX(0,MIN($F159,SUMIFS($F$6:$F159,$B$6:$B159,$B159)-(SUMIFS($G$6:$G$355,$B$6:$B$355,$B159)+SUMIFS($H$6:$H$355,$B$6:$B$355,$B159)+SUMIFS($I$6:$I$355,$B$6:$B$355,$B159)))))</f>
        <v>0</v>
      </c>
    </row>
    <row r="160" spans="1:21" ht="23" x14ac:dyDescent="0.25">
      <c r="A160" s="217" t="str" cm="1">
        <f t="array" ref="A160">IFERROR(INDEX(_xlfn.ANCHORARRAY($Q$6),ROW()-5,1),"")</f>
        <v/>
      </c>
      <c r="B160" s="288" t="str" cm="1">
        <f t="array" ref="B160">IFERROR(INDEX(_xlfn.ANCHORARRAY($Q$6),ROW()-5,2),"")</f>
        <v/>
      </c>
      <c r="C160" s="289" t="str" cm="1">
        <f t="array" ref="C160">IFERROR(INDEX(_xlfn.ANCHORARRAY($Q$6),ROW()-5,3),"")</f>
        <v/>
      </c>
      <c r="D160" s="218" t="str">
        <f>IF($A160="","",IF($K160="DIESEL",SUMIFS(Table1[Quantity],Table1[Customer],$B160,Table1[Date],$A160,Table1[Bill No.],$C160),IF($K160="PETROL",SUMIFS(Table14[Quantity],Table14[Customer],$B160,Table14[Date],$A160,Table14[Bill No.],$C160),IF($K160="XtraGreen",SUMIFS(Table146[Quantity],Table146[Company],$B160,Table146[Date],$A160,Table146[Bill No.],$C160),""))))</f>
        <v/>
      </c>
      <c r="E160" s="219" t="str">
        <f>IF($A160="","",IF($K160="DIESEL",AVERAGEIFS(Table1[RSP],Table1[Customer],$B160,Table1[Date],$A160,Table1[Bill No.],$C160),IF($K160="PETROL",AVERAGEIFS(Table14[RSP],Table14[Customer],$B160,Table14[Date],$A160,Table14[Bill No.],$C160),IF($K160="XtraGreen",AVERAGEIFS(Table146[RSP],Table146[Company],$B160,Table146[Date],$A160,Table146[Bill No.],$C160),IFERROR($F160/$D160,"")))))</f>
        <v/>
      </c>
      <c r="F160" s="330" t="str">
        <f>IF($A160="","",IF($K160="DIESEL",SUMIFS(Table1[Amount],Table1[Customer],$B160,Table1[Date],$A160,Table1[Bill No.],$C160),IF($K160="PETROL",SUMIFS(Table14[Amount],Table14[Customer],$B160,Table14[Date],$A160,Table14[Bill No.],$C160),IF($K160="XtraGreen",SUMIFS(Table146[Amount],Table146[Company],$B160,Table146[Date],$A160,Table146[Bill No.],$C160),SUMIFS('Other Sale'!$D:$D,'Other Sale'!$E:$E,$B160,'Other Sale'!$C:$C,$K160,'Other Sale'!$A:$A,$A160)))))</f>
        <v/>
      </c>
      <c r="G160" s="330" t="str" cm="1">
        <f t="array" ref="G160">IF($A160="","",IF($K160="Payment",IFERROR(INDEX(_xlfn._xlws.FILTER(MasterPaid[Amount Paid],(MasterPaid[Customer]=$B160)*(MasterPaid[Date]=$A160)),COUNTIFS($A$6:$A160,$A160,$B$6:$B160,$B160,$K$6:$K160,"Payment")),0),0))</f>
        <v/>
      </c>
      <c r="H160" s="331"/>
      <c r="I160" s="331"/>
      <c r="J160" s="330" t="str">
        <f t="shared" si="2"/>
        <v/>
      </c>
      <c r="K160" s="289" t="str" cm="1">
        <f t="array" ref="K160">IFERROR(INDEX(_xlfn.ANCHORARRAY($Q$6),ROW()-5,4),"")</f>
        <v/>
      </c>
      <c r="L160" s="290"/>
      <c r="U160">
        <f>IF(OR($A160="",$F160=""),0,MAX(0,MIN($F160,SUMIFS($F$6:$F160,$B$6:$B160,$B160)-(SUMIFS($G$6:$G$355,$B$6:$B$355,$B160)+SUMIFS($H$6:$H$355,$B$6:$B$355,$B160)+SUMIFS($I$6:$I$355,$B$6:$B$355,$B160)))))</f>
        <v>0</v>
      </c>
    </row>
    <row r="161" spans="1:21" ht="23" x14ac:dyDescent="0.25">
      <c r="A161" s="217" t="str" cm="1">
        <f t="array" ref="A161">IFERROR(INDEX(_xlfn.ANCHORARRAY($Q$6),ROW()-5,1),"")</f>
        <v/>
      </c>
      <c r="B161" s="288" t="str" cm="1">
        <f t="array" ref="B161">IFERROR(INDEX(_xlfn.ANCHORARRAY($Q$6),ROW()-5,2),"")</f>
        <v/>
      </c>
      <c r="C161" s="289" t="str" cm="1">
        <f t="array" ref="C161">IFERROR(INDEX(_xlfn.ANCHORARRAY($Q$6),ROW()-5,3),"")</f>
        <v/>
      </c>
      <c r="D161" s="218" t="str">
        <f>IF($A161="","",IF($K161="DIESEL",SUMIFS(Table1[Quantity],Table1[Customer],$B161,Table1[Date],$A161,Table1[Bill No.],$C161),IF($K161="PETROL",SUMIFS(Table14[Quantity],Table14[Customer],$B161,Table14[Date],$A161,Table14[Bill No.],$C161),IF($K161="XtraGreen",SUMIFS(Table146[Quantity],Table146[Company],$B161,Table146[Date],$A161,Table146[Bill No.],$C161),""))))</f>
        <v/>
      </c>
      <c r="E161" s="219" t="str">
        <f>IF($A161="","",IF($K161="DIESEL",AVERAGEIFS(Table1[RSP],Table1[Customer],$B161,Table1[Date],$A161,Table1[Bill No.],$C161),IF($K161="PETROL",AVERAGEIFS(Table14[RSP],Table14[Customer],$B161,Table14[Date],$A161,Table14[Bill No.],$C161),IF($K161="XtraGreen",AVERAGEIFS(Table146[RSP],Table146[Company],$B161,Table146[Date],$A161,Table146[Bill No.],$C161),IFERROR($F161/$D161,"")))))</f>
        <v/>
      </c>
      <c r="F161" s="330" t="str">
        <f>IF($A161="","",IF($K161="DIESEL",SUMIFS(Table1[Amount],Table1[Customer],$B161,Table1[Date],$A161,Table1[Bill No.],$C161),IF($K161="PETROL",SUMIFS(Table14[Amount],Table14[Customer],$B161,Table14[Date],$A161,Table14[Bill No.],$C161),IF($K161="XtraGreen",SUMIFS(Table146[Amount],Table146[Company],$B161,Table146[Date],$A161,Table146[Bill No.],$C161),SUMIFS('Other Sale'!$D:$D,'Other Sale'!$E:$E,$B161,'Other Sale'!$C:$C,$K161,'Other Sale'!$A:$A,$A161)))))</f>
        <v/>
      </c>
      <c r="G161" s="330" t="str" cm="1">
        <f t="array" ref="G161">IF($A161="","",IF($K161="Payment",IFERROR(INDEX(_xlfn._xlws.FILTER(MasterPaid[Amount Paid],(MasterPaid[Customer]=$B161)*(MasterPaid[Date]=$A161)),COUNTIFS($A$6:$A161,$A161,$B$6:$B161,$B161,$K$6:$K161,"Payment")),0),0))</f>
        <v/>
      </c>
      <c r="H161" s="331"/>
      <c r="I161" s="331"/>
      <c r="J161" s="330" t="str">
        <f t="shared" si="2"/>
        <v/>
      </c>
      <c r="K161" s="289" t="str" cm="1">
        <f t="array" ref="K161">IFERROR(INDEX(_xlfn.ANCHORARRAY($Q$6),ROW()-5,4),"")</f>
        <v/>
      </c>
      <c r="L161" s="290"/>
      <c r="U161">
        <f>IF(OR($A161="",$F161=""),0,MAX(0,MIN($F161,SUMIFS($F$6:$F161,$B$6:$B161,$B161)-(SUMIFS($G$6:$G$355,$B$6:$B$355,$B161)+SUMIFS($H$6:$H$355,$B$6:$B$355,$B161)+SUMIFS($I$6:$I$355,$B$6:$B$355,$B161)))))</f>
        <v>0</v>
      </c>
    </row>
    <row r="162" spans="1:21" ht="23" x14ac:dyDescent="0.25">
      <c r="A162" s="217" t="str" cm="1">
        <f t="array" ref="A162">IFERROR(INDEX(_xlfn.ANCHORARRAY($Q$6),ROW()-5,1),"")</f>
        <v/>
      </c>
      <c r="B162" s="288" t="str" cm="1">
        <f t="array" ref="B162">IFERROR(INDEX(_xlfn.ANCHORARRAY($Q$6),ROW()-5,2),"")</f>
        <v/>
      </c>
      <c r="C162" s="289" t="str" cm="1">
        <f t="array" ref="C162">IFERROR(INDEX(_xlfn.ANCHORARRAY($Q$6),ROW()-5,3),"")</f>
        <v/>
      </c>
      <c r="D162" s="218" t="str">
        <f>IF($A162="","",IF($K162="DIESEL",SUMIFS(Table1[Quantity],Table1[Customer],$B162,Table1[Date],$A162,Table1[Bill No.],$C162),IF($K162="PETROL",SUMIFS(Table14[Quantity],Table14[Customer],$B162,Table14[Date],$A162,Table14[Bill No.],$C162),IF($K162="XtraGreen",SUMIFS(Table146[Quantity],Table146[Company],$B162,Table146[Date],$A162,Table146[Bill No.],$C162),""))))</f>
        <v/>
      </c>
      <c r="E162" s="219" t="str">
        <f>IF($A162="","",IF($K162="DIESEL",AVERAGEIFS(Table1[RSP],Table1[Customer],$B162,Table1[Date],$A162,Table1[Bill No.],$C162),IF($K162="PETROL",AVERAGEIFS(Table14[RSP],Table14[Customer],$B162,Table14[Date],$A162,Table14[Bill No.],$C162),IF($K162="XtraGreen",AVERAGEIFS(Table146[RSP],Table146[Company],$B162,Table146[Date],$A162,Table146[Bill No.],$C162),IFERROR($F162/$D162,"")))))</f>
        <v/>
      </c>
      <c r="F162" s="330" t="str">
        <f>IF($A162="","",IF($K162="DIESEL",SUMIFS(Table1[Amount],Table1[Customer],$B162,Table1[Date],$A162,Table1[Bill No.],$C162),IF($K162="PETROL",SUMIFS(Table14[Amount],Table14[Customer],$B162,Table14[Date],$A162,Table14[Bill No.],$C162),IF($K162="XtraGreen",SUMIFS(Table146[Amount],Table146[Company],$B162,Table146[Date],$A162,Table146[Bill No.],$C162),SUMIFS('Other Sale'!$D:$D,'Other Sale'!$E:$E,$B162,'Other Sale'!$C:$C,$K162,'Other Sale'!$A:$A,$A162)))))</f>
        <v/>
      </c>
      <c r="G162" s="330" t="str" cm="1">
        <f t="array" ref="G162">IF($A162="","",IF($K162="Payment",IFERROR(INDEX(_xlfn._xlws.FILTER(MasterPaid[Amount Paid],(MasterPaid[Customer]=$B162)*(MasterPaid[Date]=$A162)),COUNTIFS($A$6:$A162,$A162,$B$6:$B162,$B162,$K$6:$K162,"Payment")),0),0))</f>
        <v/>
      </c>
      <c r="H162" s="331"/>
      <c r="I162" s="331"/>
      <c r="J162" s="330" t="str">
        <f t="shared" si="2"/>
        <v/>
      </c>
      <c r="K162" s="289" t="str" cm="1">
        <f t="array" ref="K162">IFERROR(INDEX(_xlfn.ANCHORARRAY($Q$6),ROW()-5,4),"")</f>
        <v/>
      </c>
      <c r="L162" s="290"/>
      <c r="U162">
        <f>IF(OR($A162="",$F162=""),0,MAX(0,MIN($F162,SUMIFS($F$6:$F162,$B$6:$B162,$B162)-(SUMIFS($G$6:$G$355,$B$6:$B$355,$B162)+SUMIFS($H$6:$H$355,$B$6:$B$355,$B162)+SUMIFS($I$6:$I$355,$B$6:$B$355,$B162)))))</f>
        <v>0</v>
      </c>
    </row>
    <row r="163" spans="1:21" ht="23" x14ac:dyDescent="0.25">
      <c r="A163" s="217" t="str" cm="1">
        <f t="array" ref="A163">IFERROR(INDEX(_xlfn.ANCHORARRAY($Q$6),ROW()-5,1),"")</f>
        <v/>
      </c>
      <c r="B163" s="288" t="str" cm="1">
        <f t="array" ref="B163">IFERROR(INDEX(_xlfn.ANCHORARRAY($Q$6),ROW()-5,2),"")</f>
        <v/>
      </c>
      <c r="C163" s="289" t="str" cm="1">
        <f t="array" ref="C163">IFERROR(INDEX(_xlfn.ANCHORARRAY($Q$6),ROW()-5,3),"")</f>
        <v/>
      </c>
      <c r="D163" s="218" t="str">
        <f>IF($A163="","",IF($K163="DIESEL",SUMIFS(Table1[Quantity],Table1[Customer],$B163,Table1[Date],$A163,Table1[Bill No.],$C163),IF($K163="PETROL",SUMIFS(Table14[Quantity],Table14[Customer],$B163,Table14[Date],$A163,Table14[Bill No.],$C163),IF($K163="XtraGreen",SUMIFS(Table146[Quantity],Table146[Company],$B163,Table146[Date],$A163,Table146[Bill No.],$C163),""))))</f>
        <v/>
      </c>
      <c r="E163" s="219" t="str">
        <f>IF($A163="","",IF($K163="DIESEL",AVERAGEIFS(Table1[RSP],Table1[Customer],$B163,Table1[Date],$A163,Table1[Bill No.],$C163),IF($K163="PETROL",AVERAGEIFS(Table14[RSP],Table14[Customer],$B163,Table14[Date],$A163,Table14[Bill No.],$C163),IF($K163="XtraGreen",AVERAGEIFS(Table146[RSP],Table146[Company],$B163,Table146[Date],$A163,Table146[Bill No.],$C163),IFERROR($F163/$D163,"")))))</f>
        <v/>
      </c>
      <c r="F163" s="330" t="str">
        <f>IF($A163="","",IF($K163="DIESEL",SUMIFS(Table1[Amount],Table1[Customer],$B163,Table1[Date],$A163,Table1[Bill No.],$C163),IF($K163="PETROL",SUMIFS(Table14[Amount],Table14[Customer],$B163,Table14[Date],$A163,Table14[Bill No.],$C163),IF($K163="XtraGreen",SUMIFS(Table146[Amount],Table146[Company],$B163,Table146[Date],$A163,Table146[Bill No.],$C163),SUMIFS('Other Sale'!$D:$D,'Other Sale'!$E:$E,$B163,'Other Sale'!$C:$C,$K163,'Other Sale'!$A:$A,$A163)))))</f>
        <v/>
      </c>
      <c r="G163" s="330" t="str" cm="1">
        <f t="array" ref="G163">IF($A163="","",IF($K163="Payment",IFERROR(INDEX(_xlfn._xlws.FILTER(MasterPaid[Amount Paid],(MasterPaid[Customer]=$B163)*(MasterPaid[Date]=$A163)),COUNTIFS($A$6:$A163,$A163,$B$6:$B163,$B163,$K$6:$K163,"Payment")),0),0))</f>
        <v/>
      </c>
      <c r="H163" s="331"/>
      <c r="I163" s="331"/>
      <c r="J163" s="330" t="str">
        <f t="shared" si="2"/>
        <v/>
      </c>
      <c r="K163" s="289" t="str" cm="1">
        <f t="array" ref="K163">IFERROR(INDEX(_xlfn.ANCHORARRAY($Q$6),ROW()-5,4),"")</f>
        <v/>
      </c>
      <c r="L163" s="290"/>
      <c r="U163">
        <f>IF(OR($A163="",$F163=""),0,MAX(0,MIN($F163,SUMIFS($F$6:$F163,$B$6:$B163,$B163)-(SUMIFS($G$6:$G$355,$B$6:$B$355,$B163)+SUMIFS($H$6:$H$355,$B$6:$B$355,$B163)+SUMIFS($I$6:$I$355,$B$6:$B$355,$B163)))))</f>
        <v>0</v>
      </c>
    </row>
    <row r="164" spans="1:21" ht="23" x14ac:dyDescent="0.25">
      <c r="A164" s="217" t="str" cm="1">
        <f t="array" ref="A164">IFERROR(INDEX(_xlfn.ANCHORARRAY($Q$6),ROW()-5,1),"")</f>
        <v/>
      </c>
      <c r="B164" s="288" t="str" cm="1">
        <f t="array" ref="B164">IFERROR(INDEX(_xlfn.ANCHORARRAY($Q$6),ROW()-5,2),"")</f>
        <v/>
      </c>
      <c r="C164" s="289" t="str" cm="1">
        <f t="array" ref="C164">IFERROR(INDEX(_xlfn.ANCHORARRAY($Q$6),ROW()-5,3),"")</f>
        <v/>
      </c>
      <c r="D164" s="218" t="str">
        <f>IF($A164="","",IF($K164="DIESEL",SUMIFS(Table1[Quantity],Table1[Customer],$B164,Table1[Date],$A164,Table1[Bill No.],$C164),IF($K164="PETROL",SUMIFS(Table14[Quantity],Table14[Customer],$B164,Table14[Date],$A164,Table14[Bill No.],$C164),IF($K164="XtraGreen",SUMIFS(Table146[Quantity],Table146[Company],$B164,Table146[Date],$A164,Table146[Bill No.],$C164),""))))</f>
        <v/>
      </c>
      <c r="E164" s="219" t="str">
        <f>IF($A164="","",IF($K164="DIESEL",AVERAGEIFS(Table1[RSP],Table1[Customer],$B164,Table1[Date],$A164,Table1[Bill No.],$C164),IF($K164="PETROL",AVERAGEIFS(Table14[RSP],Table14[Customer],$B164,Table14[Date],$A164,Table14[Bill No.],$C164),IF($K164="XtraGreen",AVERAGEIFS(Table146[RSP],Table146[Company],$B164,Table146[Date],$A164,Table146[Bill No.],$C164),IFERROR($F164/$D164,"")))))</f>
        <v/>
      </c>
      <c r="F164" s="330" t="str">
        <f>IF($A164="","",IF($K164="DIESEL",SUMIFS(Table1[Amount],Table1[Customer],$B164,Table1[Date],$A164,Table1[Bill No.],$C164),IF($K164="PETROL",SUMIFS(Table14[Amount],Table14[Customer],$B164,Table14[Date],$A164,Table14[Bill No.],$C164),IF($K164="XtraGreen",SUMIFS(Table146[Amount],Table146[Company],$B164,Table146[Date],$A164,Table146[Bill No.],$C164),SUMIFS('Other Sale'!$D:$D,'Other Sale'!$E:$E,$B164,'Other Sale'!$C:$C,$K164,'Other Sale'!$A:$A,$A164)))))</f>
        <v/>
      </c>
      <c r="G164" s="330" t="str" cm="1">
        <f t="array" ref="G164">IF($A164="","",IF($K164="Payment",IFERROR(INDEX(_xlfn._xlws.FILTER(MasterPaid[Amount Paid],(MasterPaid[Customer]=$B164)*(MasterPaid[Date]=$A164)),COUNTIFS($A$6:$A164,$A164,$B$6:$B164,$B164,$K$6:$K164,"Payment")),0),0))</f>
        <v/>
      </c>
      <c r="H164" s="331"/>
      <c r="I164" s="331"/>
      <c r="J164" s="330" t="str">
        <f t="shared" si="2"/>
        <v/>
      </c>
      <c r="K164" s="289" t="str" cm="1">
        <f t="array" ref="K164">IFERROR(INDEX(_xlfn.ANCHORARRAY($Q$6),ROW()-5,4),"")</f>
        <v/>
      </c>
      <c r="L164" s="290"/>
      <c r="U164">
        <f>IF(OR($A164="",$F164=""),0,MAX(0,MIN($F164,SUMIFS($F$6:$F164,$B$6:$B164,$B164)-(SUMIFS($G$6:$G$355,$B$6:$B$355,$B164)+SUMIFS($H$6:$H$355,$B$6:$B$355,$B164)+SUMIFS($I$6:$I$355,$B$6:$B$355,$B164)))))</f>
        <v>0</v>
      </c>
    </row>
    <row r="165" spans="1:21" ht="23" x14ac:dyDescent="0.25">
      <c r="A165" s="217" t="str" cm="1">
        <f t="array" ref="A165">IFERROR(INDEX(_xlfn.ANCHORARRAY($Q$6),ROW()-5,1),"")</f>
        <v/>
      </c>
      <c r="B165" s="288" t="str" cm="1">
        <f t="array" ref="B165">IFERROR(INDEX(_xlfn.ANCHORARRAY($Q$6),ROW()-5,2),"")</f>
        <v/>
      </c>
      <c r="C165" s="289" t="str" cm="1">
        <f t="array" ref="C165">IFERROR(INDEX(_xlfn.ANCHORARRAY($Q$6),ROW()-5,3),"")</f>
        <v/>
      </c>
      <c r="D165" s="218" t="str">
        <f>IF($A165="","",IF($K165="DIESEL",SUMIFS(Table1[Quantity],Table1[Customer],$B165,Table1[Date],$A165,Table1[Bill No.],$C165),IF($K165="PETROL",SUMIFS(Table14[Quantity],Table14[Customer],$B165,Table14[Date],$A165,Table14[Bill No.],$C165),IF($K165="XtraGreen",SUMIFS(Table146[Quantity],Table146[Company],$B165,Table146[Date],$A165,Table146[Bill No.],$C165),""))))</f>
        <v/>
      </c>
      <c r="E165" s="219" t="str">
        <f>IF($A165="","",IF($K165="DIESEL",AVERAGEIFS(Table1[RSP],Table1[Customer],$B165,Table1[Date],$A165,Table1[Bill No.],$C165),IF($K165="PETROL",AVERAGEIFS(Table14[RSP],Table14[Customer],$B165,Table14[Date],$A165,Table14[Bill No.],$C165),IF($K165="XtraGreen",AVERAGEIFS(Table146[RSP],Table146[Company],$B165,Table146[Date],$A165,Table146[Bill No.],$C165),IFERROR($F165/$D165,"")))))</f>
        <v/>
      </c>
      <c r="F165" s="330" t="str">
        <f>IF($A165="","",IF($K165="DIESEL",SUMIFS(Table1[Amount],Table1[Customer],$B165,Table1[Date],$A165,Table1[Bill No.],$C165),IF($K165="PETROL",SUMIFS(Table14[Amount],Table14[Customer],$B165,Table14[Date],$A165,Table14[Bill No.],$C165),IF($K165="XtraGreen",SUMIFS(Table146[Amount],Table146[Company],$B165,Table146[Date],$A165,Table146[Bill No.],$C165),SUMIFS('Other Sale'!$D:$D,'Other Sale'!$E:$E,$B165,'Other Sale'!$C:$C,$K165,'Other Sale'!$A:$A,$A165)))))</f>
        <v/>
      </c>
      <c r="G165" s="330" t="str" cm="1">
        <f t="array" ref="G165">IF($A165="","",IF($K165="Payment",IFERROR(INDEX(_xlfn._xlws.FILTER(MasterPaid[Amount Paid],(MasterPaid[Customer]=$B165)*(MasterPaid[Date]=$A165)),COUNTIFS($A$6:$A165,$A165,$B$6:$B165,$B165,$K$6:$K165,"Payment")),0),0))</f>
        <v/>
      </c>
      <c r="H165" s="331"/>
      <c r="I165" s="331"/>
      <c r="J165" s="330" t="str">
        <f t="shared" si="2"/>
        <v/>
      </c>
      <c r="K165" s="289" t="str" cm="1">
        <f t="array" ref="K165">IFERROR(INDEX(_xlfn.ANCHORARRAY($Q$6),ROW()-5,4),"")</f>
        <v/>
      </c>
      <c r="L165" s="290"/>
      <c r="U165">
        <f>IF(OR($A165="",$F165=""),0,MAX(0,MIN($F165,SUMIFS($F$6:$F165,$B$6:$B165,$B165)-(SUMIFS($G$6:$G$355,$B$6:$B$355,$B165)+SUMIFS($H$6:$H$355,$B$6:$B$355,$B165)+SUMIFS($I$6:$I$355,$B$6:$B$355,$B165)))))</f>
        <v>0</v>
      </c>
    </row>
    <row r="166" spans="1:21" ht="23" x14ac:dyDescent="0.25">
      <c r="A166" s="217" t="str" cm="1">
        <f t="array" ref="A166">IFERROR(INDEX(_xlfn.ANCHORARRAY($Q$6),ROW()-5,1),"")</f>
        <v/>
      </c>
      <c r="B166" s="288" t="str" cm="1">
        <f t="array" ref="B166">IFERROR(INDEX(_xlfn.ANCHORARRAY($Q$6),ROW()-5,2),"")</f>
        <v/>
      </c>
      <c r="C166" s="289" t="str" cm="1">
        <f t="array" ref="C166">IFERROR(INDEX(_xlfn.ANCHORARRAY($Q$6),ROW()-5,3),"")</f>
        <v/>
      </c>
      <c r="D166" s="218" t="str">
        <f>IF($A166="","",IF($K166="DIESEL",SUMIFS(Table1[Quantity],Table1[Customer],$B166,Table1[Date],$A166,Table1[Bill No.],$C166),IF($K166="PETROL",SUMIFS(Table14[Quantity],Table14[Customer],$B166,Table14[Date],$A166,Table14[Bill No.],$C166),IF($K166="XtraGreen",SUMIFS(Table146[Quantity],Table146[Company],$B166,Table146[Date],$A166,Table146[Bill No.],$C166),""))))</f>
        <v/>
      </c>
      <c r="E166" s="219" t="str">
        <f>IF($A166="","",IF($K166="DIESEL",AVERAGEIFS(Table1[RSP],Table1[Customer],$B166,Table1[Date],$A166,Table1[Bill No.],$C166),IF($K166="PETROL",AVERAGEIFS(Table14[RSP],Table14[Customer],$B166,Table14[Date],$A166,Table14[Bill No.],$C166),IF($K166="XtraGreen",AVERAGEIFS(Table146[RSP],Table146[Company],$B166,Table146[Date],$A166,Table146[Bill No.],$C166),IFERROR($F166/$D166,"")))))</f>
        <v/>
      </c>
      <c r="F166" s="330" t="str">
        <f>IF($A166="","",IF($K166="DIESEL",SUMIFS(Table1[Amount],Table1[Customer],$B166,Table1[Date],$A166,Table1[Bill No.],$C166),IF($K166="PETROL",SUMIFS(Table14[Amount],Table14[Customer],$B166,Table14[Date],$A166,Table14[Bill No.],$C166),IF($K166="XtraGreen",SUMIFS(Table146[Amount],Table146[Company],$B166,Table146[Date],$A166,Table146[Bill No.],$C166),SUMIFS('Other Sale'!$D:$D,'Other Sale'!$E:$E,$B166,'Other Sale'!$C:$C,$K166,'Other Sale'!$A:$A,$A166)))))</f>
        <v/>
      </c>
      <c r="G166" s="330" t="str" cm="1">
        <f t="array" ref="G166">IF($A166="","",IF($K166="Payment",IFERROR(INDEX(_xlfn._xlws.FILTER(MasterPaid[Amount Paid],(MasterPaid[Customer]=$B166)*(MasterPaid[Date]=$A166)),COUNTIFS($A$6:$A166,$A166,$B$6:$B166,$B166,$K$6:$K166,"Payment")),0),0))</f>
        <v/>
      </c>
      <c r="H166" s="331"/>
      <c r="I166" s="331"/>
      <c r="J166" s="330" t="str">
        <f t="shared" si="2"/>
        <v/>
      </c>
      <c r="K166" s="289" t="str" cm="1">
        <f t="array" ref="K166">IFERROR(INDEX(_xlfn.ANCHORARRAY($Q$6),ROW()-5,4),"")</f>
        <v/>
      </c>
      <c r="L166" s="290"/>
      <c r="U166">
        <f>IF(OR($A166="",$F166=""),0,MAX(0,MIN($F166,SUMIFS($F$6:$F166,$B$6:$B166,$B166)-(SUMIFS($G$6:$G$355,$B$6:$B$355,$B166)+SUMIFS($H$6:$H$355,$B$6:$B$355,$B166)+SUMIFS($I$6:$I$355,$B$6:$B$355,$B166)))))</f>
        <v>0</v>
      </c>
    </row>
    <row r="167" spans="1:21" ht="23" x14ac:dyDescent="0.25">
      <c r="A167" s="217" t="str" cm="1">
        <f t="array" ref="A167">IFERROR(INDEX(_xlfn.ANCHORARRAY($Q$6),ROW()-5,1),"")</f>
        <v/>
      </c>
      <c r="B167" s="288" t="str" cm="1">
        <f t="array" ref="B167">IFERROR(INDEX(_xlfn.ANCHORARRAY($Q$6),ROW()-5,2),"")</f>
        <v/>
      </c>
      <c r="C167" s="289" t="str" cm="1">
        <f t="array" ref="C167">IFERROR(INDEX(_xlfn.ANCHORARRAY($Q$6),ROW()-5,3),"")</f>
        <v/>
      </c>
      <c r="D167" s="218" t="str">
        <f>IF($A167="","",IF($K167="DIESEL",SUMIFS(Table1[Quantity],Table1[Customer],$B167,Table1[Date],$A167,Table1[Bill No.],$C167),IF($K167="PETROL",SUMIFS(Table14[Quantity],Table14[Customer],$B167,Table14[Date],$A167,Table14[Bill No.],$C167),IF($K167="XtraGreen",SUMIFS(Table146[Quantity],Table146[Company],$B167,Table146[Date],$A167,Table146[Bill No.],$C167),""))))</f>
        <v/>
      </c>
      <c r="E167" s="219" t="str">
        <f>IF($A167="","",IF($K167="DIESEL",AVERAGEIFS(Table1[RSP],Table1[Customer],$B167,Table1[Date],$A167,Table1[Bill No.],$C167),IF($K167="PETROL",AVERAGEIFS(Table14[RSP],Table14[Customer],$B167,Table14[Date],$A167,Table14[Bill No.],$C167),IF($K167="XtraGreen",AVERAGEIFS(Table146[RSP],Table146[Company],$B167,Table146[Date],$A167,Table146[Bill No.],$C167),IFERROR($F167/$D167,"")))))</f>
        <v/>
      </c>
      <c r="F167" s="330" t="str">
        <f>IF($A167="","",IF($K167="DIESEL",SUMIFS(Table1[Amount],Table1[Customer],$B167,Table1[Date],$A167,Table1[Bill No.],$C167),IF($K167="PETROL",SUMIFS(Table14[Amount],Table14[Customer],$B167,Table14[Date],$A167,Table14[Bill No.],$C167),IF($K167="XtraGreen",SUMIFS(Table146[Amount],Table146[Company],$B167,Table146[Date],$A167,Table146[Bill No.],$C167),SUMIFS('Other Sale'!$D:$D,'Other Sale'!$E:$E,$B167,'Other Sale'!$C:$C,$K167,'Other Sale'!$A:$A,$A167)))))</f>
        <v/>
      </c>
      <c r="G167" s="330" t="str" cm="1">
        <f t="array" ref="G167">IF($A167="","",IF($K167="Payment",IFERROR(INDEX(_xlfn._xlws.FILTER(MasterPaid[Amount Paid],(MasterPaid[Customer]=$B167)*(MasterPaid[Date]=$A167)),COUNTIFS($A$6:$A167,$A167,$B$6:$B167,$B167,$K$6:$K167,"Payment")),0),0))</f>
        <v/>
      </c>
      <c r="H167" s="331"/>
      <c r="I167" s="331"/>
      <c r="J167" s="330" t="str">
        <f t="shared" si="2"/>
        <v/>
      </c>
      <c r="K167" s="289" t="str" cm="1">
        <f t="array" ref="K167">IFERROR(INDEX(_xlfn.ANCHORARRAY($Q$6),ROW()-5,4),"")</f>
        <v/>
      </c>
      <c r="L167" s="290"/>
      <c r="U167">
        <f>IF(OR($A167="",$F167=""),0,MAX(0,MIN($F167,SUMIFS($F$6:$F167,$B$6:$B167,$B167)-(SUMIFS($G$6:$G$355,$B$6:$B$355,$B167)+SUMIFS($H$6:$H$355,$B$6:$B$355,$B167)+SUMIFS($I$6:$I$355,$B$6:$B$355,$B167)))))</f>
        <v>0</v>
      </c>
    </row>
    <row r="168" spans="1:21" ht="23" x14ac:dyDescent="0.25">
      <c r="A168" s="217" t="str" cm="1">
        <f t="array" ref="A168">IFERROR(INDEX(_xlfn.ANCHORARRAY($Q$6),ROW()-5,1),"")</f>
        <v/>
      </c>
      <c r="B168" s="288" t="str" cm="1">
        <f t="array" ref="B168">IFERROR(INDEX(_xlfn.ANCHORARRAY($Q$6),ROW()-5,2),"")</f>
        <v/>
      </c>
      <c r="C168" s="289" t="str" cm="1">
        <f t="array" ref="C168">IFERROR(INDEX(_xlfn.ANCHORARRAY($Q$6),ROW()-5,3),"")</f>
        <v/>
      </c>
      <c r="D168" s="218" t="str">
        <f>IF($A168="","",IF($K168="DIESEL",SUMIFS(Table1[Quantity],Table1[Customer],$B168,Table1[Date],$A168,Table1[Bill No.],$C168),IF($K168="PETROL",SUMIFS(Table14[Quantity],Table14[Customer],$B168,Table14[Date],$A168,Table14[Bill No.],$C168),IF($K168="XtraGreen",SUMIFS(Table146[Quantity],Table146[Company],$B168,Table146[Date],$A168,Table146[Bill No.],$C168),""))))</f>
        <v/>
      </c>
      <c r="E168" s="219" t="str">
        <f>IF($A168="","",IF($K168="DIESEL",AVERAGEIFS(Table1[RSP],Table1[Customer],$B168,Table1[Date],$A168,Table1[Bill No.],$C168),IF($K168="PETROL",AVERAGEIFS(Table14[RSP],Table14[Customer],$B168,Table14[Date],$A168,Table14[Bill No.],$C168),IF($K168="XtraGreen",AVERAGEIFS(Table146[RSP],Table146[Company],$B168,Table146[Date],$A168,Table146[Bill No.],$C168),IFERROR($F168/$D168,"")))))</f>
        <v/>
      </c>
      <c r="F168" s="330" t="str">
        <f>IF($A168="","",IF($K168="DIESEL",SUMIFS(Table1[Amount],Table1[Customer],$B168,Table1[Date],$A168,Table1[Bill No.],$C168),IF($K168="PETROL",SUMIFS(Table14[Amount],Table14[Customer],$B168,Table14[Date],$A168,Table14[Bill No.],$C168),IF($K168="XtraGreen",SUMIFS(Table146[Amount],Table146[Company],$B168,Table146[Date],$A168,Table146[Bill No.],$C168),SUMIFS('Other Sale'!$D:$D,'Other Sale'!$E:$E,$B168,'Other Sale'!$C:$C,$K168,'Other Sale'!$A:$A,$A168)))))</f>
        <v/>
      </c>
      <c r="G168" s="330" t="str" cm="1">
        <f t="array" ref="G168">IF($A168="","",IF($K168="Payment",IFERROR(INDEX(_xlfn._xlws.FILTER(MasterPaid[Amount Paid],(MasterPaid[Customer]=$B168)*(MasterPaid[Date]=$A168)),COUNTIFS($A$6:$A168,$A168,$B$6:$B168,$B168,$K$6:$K168,"Payment")),0),0))</f>
        <v/>
      </c>
      <c r="H168" s="331"/>
      <c r="I168" s="331"/>
      <c r="J168" s="330" t="str">
        <f t="shared" si="2"/>
        <v/>
      </c>
      <c r="K168" s="289" t="str" cm="1">
        <f t="array" ref="K168">IFERROR(INDEX(_xlfn.ANCHORARRAY($Q$6),ROW()-5,4),"")</f>
        <v/>
      </c>
      <c r="L168" s="290"/>
      <c r="U168">
        <f>IF(OR($A168="",$F168=""),0,MAX(0,MIN($F168,SUMIFS($F$6:$F168,$B$6:$B168,$B168)-(SUMIFS($G$6:$G$355,$B$6:$B$355,$B168)+SUMIFS($H$6:$H$355,$B$6:$B$355,$B168)+SUMIFS($I$6:$I$355,$B$6:$B$355,$B168)))))</f>
        <v>0</v>
      </c>
    </row>
    <row r="169" spans="1:21" ht="23" x14ac:dyDescent="0.25">
      <c r="A169" s="217" t="str" cm="1">
        <f t="array" ref="A169">IFERROR(INDEX(_xlfn.ANCHORARRAY($Q$6),ROW()-5,1),"")</f>
        <v/>
      </c>
      <c r="B169" s="288" t="str" cm="1">
        <f t="array" ref="B169">IFERROR(INDEX(_xlfn.ANCHORARRAY($Q$6),ROW()-5,2),"")</f>
        <v/>
      </c>
      <c r="C169" s="289" t="str" cm="1">
        <f t="array" ref="C169">IFERROR(INDEX(_xlfn.ANCHORARRAY($Q$6),ROW()-5,3),"")</f>
        <v/>
      </c>
      <c r="D169" s="218" t="str">
        <f>IF($A169="","",IF($K169="DIESEL",SUMIFS(Table1[Quantity],Table1[Customer],$B169,Table1[Date],$A169,Table1[Bill No.],$C169),IF($K169="PETROL",SUMIFS(Table14[Quantity],Table14[Customer],$B169,Table14[Date],$A169,Table14[Bill No.],$C169),IF($K169="XtraGreen",SUMIFS(Table146[Quantity],Table146[Company],$B169,Table146[Date],$A169,Table146[Bill No.],$C169),""))))</f>
        <v/>
      </c>
      <c r="E169" s="219" t="str">
        <f>IF($A169="","",IF($K169="DIESEL",AVERAGEIFS(Table1[RSP],Table1[Customer],$B169,Table1[Date],$A169,Table1[Bill No.],$C169),IF($K169="PETROL",AVERAGEIFS(Table14[RSP],Table14[Customer],$B169,Table14[Date],$A169,Table14[Bill No.],$C169),IF($K169="XtraGreen",AVERAGEIFS(Table146[RSP],Table146[Company],$B169,Table146[Date],$A169,Table146[Bill No.],$C169),IFERROR($F169/$D169,"")))))</f>
        <v/>
      </c>
      <c r="F169" s="330" t="str">
        <f>IF($A169="","",IF($K169="DIESEL",SUMIFS(Table1[Amount],Table1[Customer],$B169,Table1[Date],$A169,Table1[Bill No.],$C169),IF($K169="PETROL",SUMIFS(Table14[Amount],Table14[Customer],$B169,Table14[Date],$A169,Table14[Bill No.],$C169),IF($K169="XtraGreen",SUMIFS(Table146[Amount],Table146[Company],$B169,Table146[Date],$A169,Table146[Bill No.],$C169),SUMIFS('Other Sale'!$D:$D,'Other Sale'!$E:$E,$B169,'Other Sale'!$C:$C,$K169,'Other Sale'!$A:$A,$A169)))))</f>
        <v/>
      </c>
      <c r="G169" s="330" t="str" cm="1">
        <f t="array" ref="G169">IF($A169="","",IF($K169="Payment",IFERROR(INDEX(_xlfn._xlws.FILTER(MasterPaid[Amount Paid],(MasterPaid[Customer]=$B169)*(MasterPaid[Date]=$A169)),COUNTIFS($A$6:$A169,$A169,$B$6:$B169,$B169,$K$6:$K169,"Payment")),0),0))</f>
        <v/>
      </c>
      <c r="H169" s="331"/>
      <c r="I169" s="331"/>
      <c r="J169" s="330" t="str">
        <f t="shared" si="2"/>
        <v/>
      </c>
      <c r="K169" s="289" t="str" cm="1">
        <f t="array" ref="K169">IFERROR(INDEX(_xlfn.ANCHORARRAY($Q$6),ROW()-5,4),"")</f>
        <v/>
      </c>
      <c r="L169" s="290"/>
      <c r="U169">
        <f>IF(OR($A169="",$F169=""),0,MAX(0,MIN($F169,SUMIFS($F$6:$F169,$B$6:$B169,$B169)-(SUMIFS($G$6:$G$355,$B$6:$B$355,$B169)+SUMIFS($H$6:$H$355,$B$6:$B$355,$B169)+SUMIFS($I$6:$I$355,$B$6:$B$355,$B169)))))</f>
        <v>0</v>
      </c>
    </row>
    <row r="170" spans="1:21" ht="23" x14ac:dyDescent="0.25">
      <c r="A170" s="217" t="str" cm="1">
        <f t="array" ref="A170">IFERROR(INDEX(_xlfn.ANCHORARRAY($Q$6),ROW()-5,1),"")</f>
        <v/>
      </c>
      <c r="B170" s="288" t="str" cm="1">
        <f t="array" ref="B170">IFERROR(INDEX(_xlfn.ANCHORARRAY($Q$6),ROW()-5,2),"")</f>
        <v/>
      </c>
      <c r="C170" s="289" t="str" cm="1">
        <f t="array" ref="C170">IFERROR(INDEX(_xlfn.ANCHORARRAY($Q$6),ROW()-5,3),"")</f>
        <v/>
      </c>
      <c r="D170" s="218" t="str">
        <f>IF($A170="","",IF($K170="DIESEL",SUMIFS(Table1[Quantity],Table1[Customer],$B170,Table1[Date],$A170,Table1[Bill No.],$C170),IF($K170="PETROL",SUMIFS(Table14[Quantity],Table14[Customer],$B170,Table14[Date],$A170,Table14[Bill No.],$C170),IF($K170="XtraGreen",SUMIFS(Table146[Quantity],Table146[Company],$B170,Table146[Date],$A170,Table146[Bill No.],$C170),""))))</f>
        <v/>
      </c>
      <c r="E170" s="219" t="str">
        <f>IF($A170="","",IF($K170="DIESEL",AVERAGEIFS(Table1[RSP],Table1[Customer],$B170,Table1[Date],$A170,Table1[Bill No.],$C170),IF($K170="PETROL",AVERAGEIFS(Table14[RSP],Table14[Customer],$B170,Table14[Date],$A170,Table14[Bill No.],$C170),IF($K170="XtraGreen",AVERAGEIFS(Table146[RSP],Table146[Company],$B170,Table146[Date],$A170,Table146[Bill No.],$C170),IFERROR($F170/$D170,"")))))</f>
        <v/>
      </c>
      <c r="F170" s="330" t="str">
        <f>IF($A170="","",IF($K170="DIESEL",SUMIFS(Table1[Amount],Table1[Customer],$B170,Table1[Date],$A170,Table1[Bill No.],$C170),IF($K170="PETROL",SUMIFS(Table14[Amount],Table14[Customer],$B170,Table14[Date],$A170,Table14[Bill No.],$C170),IF($K170="XtraGreen",SUMIFS(Table146[Amount],Table146[Company],$B170,Table146[Date],$A170,Table146[Bill No.],$C170),SUMIFS('Other Sale'!$D:$D,'Other Sale'!$E:$E,$B170,'Other Sale'!$C:$C,$K170,'Other Sale'!$A:$A,$A170)))))</f>
        <v/>
      </c>
      <c r="G170" s="330" t="str" cm="1">
        <f t="array" ref="G170">IF($A170="","",IF($K170="Payment",IFERROR(INDEX(_xlfn._xlws.FILTER(MasterPaid[Amount Paid],(MasterPaid[Customer]=$B170)*(MasterPaid[Date]=$A170)),COUNTIFS($A$6:$A170,$A170,$B$6:$B170,$B170,$K$6:$K170,"Payment")),0),0))</f>
        <v/>
      </c>
      <c r="H170" s="331"/>
      <c r="I170" s="331"/>
      <c r="J170" s="330" t="str">
        <f t="shared" si="2"/>
        <v/>
      </c>
      <c r="K170" s="289" t="str" cm="1">
        <f t="array" ref="K170">IFERROR(INDEX(_xlfn.ANCHORARRAY($Q$6),ROW()-5,4),"")</f>
        <v/>
      </c>
      <c r="L170" s="290"/>
      <c r="U170">
        <f>IF(OR($A170="",$F170=""),0,MAX(0,MIN($F170,SUMIFS($F$6:$F170,$B$6:$B170,$B170)-(SUMIFS($G$6:$G$355,$B$6:$B$355,$B170)+SUMIFS($H$6:$H$355,$B$6:$B$355,$B170)+SUMIFS($I$6:$I$355,$B$6:$B$355,$B170)))))</f>
        <v>0</v>
      </c>
    </row>
    <row r="171" spans="1:21" ht="23" x14ac:dyDescent="0.25">
      <c r="A171" s="217" t="str" cm="1">
        <f t="array" ref="A171">IFERROR(INDEX(_xlfn.ANCHORARRAY($Q$6),ROW()-5,1),"")</f>
        <v/>
      </c>
      <c r="B171" s="288" t="str" cm="1">
        <f t="array" ref="B171">IFERROR(INDEX(_xlfn.ANCHORARRAY($Q$6),ROW()-5,2),"")</f>
        <v/>
      </c>
      <c r="C171" s="289" t="str" cm="1">
        <f t="array" ref="C171">IFERROR(INDEX(_xlfn.ANCHORARRAY($Q$6),ROW()-5,3),"")</f>
        <v/>
      </c>
      <c r="D171" s="218" t="str">
        <f>IF($A171="","",IF($K171="DIESEL",SUMIFS(Table1[Quantity],Table1[Customer],$B171,Table1[Date],$A171,Table1[Bill No.],$C171),IF($K171="PETROL",SUMIFS(Table14[Quantity],Table14[Customer],$B171,Table14[Date],$A171,Table14[Bill No.],$C171),IF($K171="XtraGreen",SUMIFS(Table146[Quantity],Table146[Company],$B171,Table146[Date],$A171,Table146[Bill No.],$C171),""))))</f>
        <v/>
      </c>
      <c r="E171" s="219" t="str">
        <f>IF($A171="","",IF($K171="DIESEL",AVERAGEIFS(Table1[RSP],Table1[Customer],$B171,Table1[Date],$A171,Table1[Bill No.],$C171),IF($K171="PETROL",AVERAGEIFS(Table14[RSP],Table14[Customer],$B171,Table14[Date],$A171,Table14[Bill No.],$C171),IF($K171="XtraGreen",AVERAGEIFS(Table146[RSP],Table146[Company],$B171,Table146[Date],$A171,Table146[Bill No.],$C171),IFERROR($F171/$D171,"")))))</f>
        <v/>
      </c>
      <c r="F171" s="330" t="str">
        <f>IF($A171="","",IF($K171="DIESEL",SUMIFS(Table1[Amount],Table1[Customer],$B171,Table1[Date],$A171,Table1[Bill No.],$C171),IF($K171="PETROL",SUMIFS(Table14[Amount],Table14[Customer],$B171,Table14[Date],$A171,Table14[Bill No.],$C171),IF($K171="XtraGreen",SUMIFS(Table146[Amount],Table146[Company],$B171,Table146[Date],$A171,Table146[Bill No.],$C171),SUMIFS('Other Sale'!$D:$D,'Other Sale'!$E:$E,$B171,'Other Sale'!$C:$C,$K171,'Other Sale'!$A:$A,$A171)))))</f>
        <v/>
      </c>
      <c r="G171" s="330" t="str" cm="1">
        <f t="array" ref="G171">IF($A171="","",IF($K171="Payment",IFERROR(INDEX(_xlfn._xlws.FILTER(MasterPaid[Amount Paid],(MasterPaid[Customer]=$B171)*(MasterPaid[Date]=$A171)),COUNTIFS($A$6:$A171,$A171,$B$6:$B171,$B171,$K$6:$K171,"Payment")),0),0))</f>
        <v/>
      </c>
      <c r="H171" s="331"/>
      <c r="I171" s="331"/>
      <c r="J171" s="330" t="str">
        <f t="shared" si="2"/>
        <v/>
      </c>
      <c r="K171" s="289" t="str" cm="1">
        <f t="array" ref="K171">IFERROR(INDEX(_xlfn.ANCHORARRAY($Q$6),ROW()-5,4),"")</f>
        <v/>
      </c>
      <c r="L171" s="290"/>
      <c r="U171">
        <f>IF(OR($A171="",$F171=""),0,MAX(0,MIN($F171,SUMIFS($F$6:$F171,$B$6:$B171,$B171)-(SUMIFS($G$6:$G$355,$B$6:$B$355,$B171)+SUMIFS($H$6:$H$355,$B$6:$B$355,$B171)+SUMIFS($I$6:$I$355,$B$6:$B$355,$B171)))))</f>
        <v>0</v>
      </c>
    </row>
    <row r="172" spans="1:21" ht="23" x14ac:dyDescent="0.25">
      <c r="A172" s="217" t="str" cm="1">
        <f t="array" ref="A172">IFERROR(INDEX(_xlfn.ANCHORARRAY($Q$6),ROW()-5,1),"")</f>
        <v/>
      </c>
      <c r="B172" s="288" t="str" cm="1">
        <f t="array" ref="B172">IFERROR(INDEX(_xlfn.ANCHORARRAY($Q$6),ROW()-5,2),"")</f>
        <v/>
      </c>
      <c r="C172" s="289" t="str" cm="1">
        <f t="array" ref="C172">IFERROR(INDEX(_xlfn.ANCHORARRAY($Q$6),ROW()-5,3),"")</f>
        <v/>
      </c>
      <c r="D172" s="218" t="str">
        <f>IF($A172="","",IF($K172="DIESEL",SUMIFS(Table1[Quantity],Table1[Customer],$B172,Table1[Date],$A172,Table1[Bill No.],$C172),IF($K172="PETROL",SUMIFS(Table14[Quantity],Table14[Customer],$B172,Table14[Date],$A172,Table14[Bill No.],$C172),IF($K172="XtraGreen",SUMIFS(Table146[Quantity],Table146[Company],$B172,Table146[Date],$A172,Table146[Bill No.],$C172),""))))</f>
        <v/>
      </c>
      <c r="E172" s="219" t="str">
        <f>IF($A172="","",IF($K172="DIESEL",AVERAGEIFS(Table1[RSP],Table1[Customer],$B172,Table1[Date],$A172,Table1[Bill No.],$C172),IF($K172="PETROL",AVERAGEIFS(Table14[RSP],Table14[Customer],$B172,Table14[Date],$A172,Table14[Bill No.],$C172),IF($K172="XtraGreen",AVERAGEIFS(Table146[RSP],Table146[Company],$B172,Table146[Date],$A172,Table146[Bill No.],$C172),IFERROR($F172/$D172,"")))))</f>
        <v/>
      </c>
      <c r="F172" s="330" t="str">
        <f>IF($A172="","",IF($K172="DIESEL",SUMIFS(Table1[Amount],Table1[Customer],$B172,Table1[Date],$A172,Table1[Bill No.],$C172),IF($K172="PETROL",SUMIFS(Table14[Amount],Table14[Customer],$B172,Table14[Date],$A172,Table14[Bill No.],$C172),IF($K172="XtraGreen",SUMIFS(Table146[Amount],Table146[Company],$B172,Table146[Date],$A172,Table146[Bill No.],$C172),SUMIFS('Other Sale'!$D:$D,'Other Sale'!$E:$E,$B172,'Other Sale'!$C:$C,$K172,'Other Sale'!$A:$A,$A172)))))</f>
        <v/>
      </c>
      <c r="G172" s="330" t="str" cm="1">
        <f t="array" ref="G172">IF($A172="","",IF($K172="Payment",IFERROR(INDEX(_xlfn._xlws.FILTER(MasterPaid[Amount Paid],(MasterPaid[Customer]=$B172)*(MasterPaid[Date]=$A172)),COUNTIFS($A$6:$A172,$A172,$B$6:$B172,$B172,$K$6:$K172,"Payment")),0),0))</f>
        <v/>
      </c>
      <c r="H172" s="331"/>
      <c r="I172" s="331"/>
      <c r="J172" s="330" t="str">
        <f t="shared" si="2"/>
        <v/>
      </c>
      <c r="K172" s="289" t="str" cm="1">
        <f t="array" ref="K172">IFERROR(INDEX(_xlfn.ANCHORARRAY($Q$6),ROW()-5,4),"")</f>
        <v/>
      </c>
      <c r="L172" s="290"/>
      <c r="U172">
        <f>IF(OR($A172="",$F172=""),0,MAX(0,MIN($F172,SUMIFS($F$6:$F172,$B$6:$B172,$B172)-(SUMIFS($G$6:$G$355,$B$6:$B$355,$B172)+SUMIFS($H$6:$H$355,$B$6:$B$355,$B172)+SUMIFS($I$6:$I$355,$B$6:$B$355,$B172)))))</f>
        <v>0</v>
      </c>
    </row>
    <row r="173" spans="1:21" ht="23" x14ac:dyDescent="0.25">
      <c r="A173" s="217" t="str" cm="1">
        <f t="array" ref="A173">IFERROR(INDEX(_xlfn.ANCHORARRAY($Q$6),ROW()-5,1),"")</f>
        <v/>
      </c>
      <c r="B173" s="288" t="str" cm="1">
        <f t="array" ref="B173">IFERROR(INDEX(_xlfn.ANCHORARRAY($Q$6),ROW()-5,2),"")</f>
        <v/>
      </c>
      <c r="C173" s="289" t="str" cm="1">
        <f t="array" ref="C173">IFERROR(INDEX(_xlfn.ANCHORARRAY($Q$6),ROW()-5,3),"")</f>
        <v/>
      </c>
      <c r="D173" s="218" t="str">
        <f>IF($A173="","",IF($K173="DIESEL",SUMIFS(Table1[Quantity],Table1[Customer],$B173,Table1[Date],$A173,Table1[Bill No.],$C173),IF($K173="PETROL",SUMIFS(Table14[Quantity],Table14[Customer],$B173,Table14[Date],$A173,Table14[Bill No.],$C173),IF($K173="XtraGreen",SUMIFS(Table146[Quantity],Table146[Company],$B173,Table146[Date],$A173,Table146[Bill No.],$C173),""))))</f>
        <v/>
      </c>
      <c r="E173" s="219" t="str">
        <f>IF($A173="","",IF($K173="DIESEL",AVERAGEIFS(Table1[RSP],Table1[Customer],$B173,Table1[Date],$A173,Table1[Bill No.],$C173),IF($K173="PETROL",AVERAGEIFS(Table14[RSP],Table14[Customer],$B173,Table14[Date],$A173,Table14[Bill No.],$C173),IF($K173="XtraGreen",AVERAGEIFS(Table146[RSP],Table146[Company],$B173,Table146[Date],$A173,Table146[Bill No.],$C173),IFERROR($F173/$D173,"")))))</f>
        <v/>
      </c>
      <c r="F173" s="330" t="str">
        <f>IF($A173="","",IF($K173="DIESEL",SUMIFS(Table1[Amount],Table1[Customer],$B173,Table1[Date],$A173,Table1[Bill No.],$C173),IF($K173="PETROL",SUMIFS(Table14[Amount],Table14[Customer],$B173,Table14[Date],$A173,Table14[Bill No.],$C173),IF($K173="XtraGreen",SUMIFS(Table146[Amount],Table146[Company],$B173,Table146[Date],$A173,Table146[Bill No.],$C173),SUMIFS('Other Sale'!$D:$D,'Other Sale'!$E:$E,$B173,'Other Sale'!$C:$C,$K173,'Other Sale'!$A:$A,$A173)))))</f>
        <v/>
      </c>
      <c r="G173" s="330" t="str" cm="1">
        <f t="array" ref="G173">IF($A173="","",IF($K173="Payment",IFERROR(INDEX(_xlfn._xlws.FILTER(MasterPaid[Amount Paid],(MasterPaid[Customer]=$B173)*(MasterPaid[Date]=$A173)),COUNTIFS($A$6:$A173,$A173,$B$6:$B173,$B173,$K$6:$K173,"Payment")),0),0))</f>
        <v/>
      </c>
      <c r="H173" s="331"/>
      <c r="I173" s="331"/>
      <c r="J173" s="330" t="str">
        <f t="shared" si="2"/>
        <v/>
      </c>
      <c r="K173" s="289" t="str" cm="1">
        <f t="array" ref="K173">IFERROR(INDEX(_xlfn.ANCHORARRAY($Q$6),ROW()-5,4),"")</f>
        <v/>
      </c>
      <c r="L173" s="290"/>
      <c r="U173">
        <f>IF(OR($A173="",$F173=""),0,MAX(0,MIN($F173,SUMIFS($F$6:$F173,$B$6:$B173,$B173)-(SUMIFS($G$6:$G$355,$B$6:$B$355,$B173)+SUMIFS($H$6:$H$355,$B$6:$B$355,$B173)+SUMIFS($I$6:$I$355,$B$6:$B$355,$B173)))))</f>
        <v>0</v>
      </c>
    </row>
    <row r="174" spans="1:21" ht="23" x14ac:dyDescent="0.25">
      <c r="A174" s="217" t="str" cm="1">
        <f t="array" ref="A174">IFERROR(INDEX(_xlfn.ANCHORARRAY($Q$6),ROW()-5,1),"")</f>
        <v/>
      </c>
      <c r="B174" s="288" t="str" cm="1">
        <f t="array" ref="B174">IFERROR(INDEX(_xlfn.ANCHORARRAY($Q$6),ROW()-5,2),"")</f>
        <v/>
      </c>
      <c r="C174" s="289" t="str" cm="1">
        <f t="array" ref="C174">IFERROR(INDEX(_xlfn.ANCHORARRAY($Q$6),ROW()-5,3),"")</f>
        <v/>
      </c>
      <c r="D174" s="218" t="str">
        <f>IF($A174="","",IF($K174="DIESEL",SUMIFS(Table1[Quantity],Table1[Customer],$B174,Table1[Date],$A174,Table1[Bill No.],$C174),IF($K174="PETROL",SUMIFS(Table14[Quantity],Table14[Customer],$B174,Table14[Date],$A174,Table14[Bill No.],$C174),IF($K174="XtraGreen",SUMIFS(Table146[Quantity],Table146[Company],$B174,Table146[Date],$A174,Table146[Bill No.],$C174),""))))</f>
        <v/>
      </c>
      <c r="E174" s="219" t="str">
        <f>IF($A174="","",IF($K174="DIESEL",AVERAGEIFS(Table1[RSP],Table1[Customer],$B174,Table1[Date],$A174,Table1[Bill No.],$C174),IF($K174="PETROL",AVERAGEIFS(Table14[RSP],Table14[Customer],$B174,Table14[Date],$A174,Table14[Bill No.],$C174),IF($K174="XtraGreen",AVERAGEIFS(Table146[RSP],Table146[Company],$B174,Table146[Date],$A174,Table146[Bill No.],$C174),IFERROR($F174/$D174,"")))))</f>
        <v/>
      </c>
      <c r="F174" s="330" t="str">
        <f>IF($A174="","",IF($K174="DIESEL",SUMIFS(Table1[Amount],Table1[Customer],$B174,Table1[Date],$A174,Table1[Bill No.],$C174),IF($K174="PETROL",SUMIFS(Table14[Amount],Table14[Customer],$B174,Table14[Date],$A174,Table14[Bill No.],$C174),IF($K174="XtraGreen",SUMIFS(Table146[Amount],Table146[Company],$B174,Table146[Date],$A174,Table146[Bill No.],$C174),SUMIFS('Other Sale'!$D:$D,'Other Sale'!$E:$E,$B174,'Other Sale'!$C:$C,$K174,'Other Sale'!$A:$A,$A174)))))</f>
        <v/>
      </c>
      <c r="G174" s="330" t="str" cm="1">
        <f t="array" ref="G174">IF($A174="","",IF($K174="Payment",IFERROR(INDEX(_xlfn._xlws.FILTER(MasterPaid[Amount Paid],(MasterPaid[Customer]=$B174)*(MasterPaid[Date]=$A174)),COUNTIFS($A$6:$A174,$A174,$B$6:$B174,$B174,$K$6:$K174,"Payment")),0),0))</f>
        <v/>
      </c>
      <c r="H174" s="331"/>
      <c r="I174" s="331"/>
      <c r="J174" s="330" t="str">
        <f t="shared" si="2"/>
        <v/>
      </c>
      <c r="K174" s="289" t="str" cm="1">
        <f t="array" ref="K174">IFERROR(INDEX(_xlfn.ANCHORARRAY($Q$6),ROW()-5,4),"")</f>
        <v/>
      </c>
      <c r="L174" s="290"/>
      <c r="U174">
        <f>IF(OR($A174="",$F174=""),0,MAX(0,MIN($F174,SUMIFS($F$6:$F174,$B$6:$B174,$B174)-(SUMIFS($G$6:$G$355,$B$6:$B$355,$B174)+SUMIFS($H$6:$H$355,$B$6:$B$355,$B174)+SUMIFS($I$6:$I$355,$B$6:$B$355,$B174)))))</f>
        <v>0</v>
      </c>
    </row>
    <row r="175" spans="1:21" ht="23" x14ac:dyDescent="0.25">
      <c r="A175" s="217" t="str" cm="1">
        <f t="array" ref="A175">IFERROR(INDEX(_xlfn.ANCHORARRAY($Q$6),ROW()-5,1),"")</f>
        <v/>
      </c>
      <c r="B175" s="288" t="str" cm="1">
        <f t="array" ref="B175">IFERROR(INDEX(_xlfn.ANCHORARRAY($Q$6),ROW()-5,2),"")</f>
        <v/>
      </c>
      <c r="C175" s="289" t="str" cm="1">
        <f t="array" ref="C175">IFERROR(INDEX(_xlfn.ANCHORARRAY($Q$6),ROW()-5,3),"")</f>
        <v/>
      </c>
      <c r="D175" s="218" t="str">
        <f>IF($A175="","",IF($K175="DIESEL",SUMIFS(Table1[Quantity],Table1[Customer],$B175,Table1[Date],$A175,Table1[Bill No.],$C175),IF($K175="PETROL",SUMIFS(Table14[Quantity],Table14[Customer],$B175,Table14[Date],$A175,Table14[Bill No.],$C175),IF($K175="XtraGreen",SUMIFS(Table146[Quantity],Table146[Company],$B175,Table146[Date],$A175,Table146[Bill No.],$C175),""))))</f>
        <v/>
      </c>
      <c r="E175" s="219" t="str">
        <f>IF($A175="","",IF($K175="DIESEL",AVERAGEIFS(Table1[RSP],Table1[Customer],$B175,Table1[Date],$A175,Table1[Bill No.],$C175),IF($K175="PETROL",AVERAGEIFS(Table14[RSP],Table14[Customer],$B175,Table14[Date],$A175,Table14[Bill No.],$C175),IF($K175="XtraGreen",AVERAGEIFS(Table146[RSP],Table146[Company],$B175,Table146[Date],$A175,Table146[Bill No.],$C175),IFERROR($F175/$D175,"")))))</f>
        <v/>
      </c>
      <c r="F175" s="330" t="str">
        <f>IF($A175="","",IF($K175="DIESEL",SUMIFS(Table1[Amount],Table1[Customer],$B175,Table1[Date],$A175,Table1[Bill No.],$C175),IF($K175="PETROL",SUMIFS(Table14[Amount],Table14[Customer],$B175,Table14[Date],$A175,Table14[Bill No.],$C175),IF($K175="XtraGreen",SUMIFS(Table146[Amount],Table146[Company],$B175,Table146[Date],$A175,Table146[Bill No.],$C175),SUMIFS('Other Sale'!$D:$D,'Other Sale'!$E:$E,$B175,'Other Sale'!$C:$C,$K175,'Other Sale'!$A:$A,$A175)))))</f>
        <v/>
      </c>
      <c r="G175" s="330" t="str" cm="1">
        <f t="array" ref="G175">IF($A175="","",IF($K175="Payment",IFERROR(INDEX(_xlfn._xlws.FILTER(MasterPaid[Amount Paid],(MasterPaid[Customer]=$B175)*(MasterPaid[Date]=$A175)),COUNTIFS($A$6:$A175,$A175,$B$6:$B175,$B175,$K$6:$K175,"Payment")),0),0))</f>
        <v/>
      </c>
      <c r="H175" s="331"/>
      <c r="I175" s="331"/>
      <c r="J175" s="330" t="str">
        <f t="shared" si="2"/>
        <v/>
      </c>
      <c r="K175" s="289" t="str" cm="1">
        <f t="array" ref="K175">IFERROR(INDEX(_xlfn.ANCHORARRAY($Q$6),ROW()-5,4),"")</f>
        <v/>
      </c>
      <c r="L175" s="290"/>
      <c r="U175">
        <f>IF(OR($A175="",$F175=""),0,MAX(0,MIN($F175,SUMIFS($F$6:$F175,$B$6:$B175,$B175)-(SUMIFS($G$6:$G$355,$B$6:$B$355,$B175)+SUMIFS($H$6:$H$355,$B$6:$B$355,$B175)+SUMIFS($I$6:$I$355,$B$6:$B$355,$B175)))))</f>
        <v>0</v>
      </c>
    </row>
    <row r="176" spans="1:21" ht="23" x14ac:dyDescent="0.25">
      <c r="A176" s="217" t="str" cm="1">
        <f t="array" ref="A176">IFERROR(INDEX(_xlfn.ANCHORARRAY($Q$6),ROW()-5,1),"")</f>
        <v/>
      </c>
      <c r="B176" s="288" t="str" cm="1">
        <f t="array" ref="B176">IFERROR(INDEX(_xlfn.ANCHORARRAY($Q$6),ROW()-5,2),"")</f>
        <v/>
      </c>
      <c r="C176" s="289" t="str" cm="1">
        <f t="array" ref="C176">IFERROR(INDEX(_xlfn.ANCHORARRAY($Q$6),ROW()-5,3),"")</f>
        <v/>
      </c>
      <c r="D176" s="218" t="str">
        <f>IF($A176="","",IF($K176="DIESEL",SUMIFS(Table1[Quantity],Table1[Customer],$B176,Table1[Date],$A176,Table1[Bill No.],$C176),IF($K176="PETROL",SUMIFS(Table14[Quantity],Table14[Customer],$B176,Table14[Date],$A176,Table14[Bill No.],$C176),IF($K176="XtraGreen",SUMIFS(Table146[Quantity],Table146[Company],$B176,Table146[Date],$A176,Table146[Bill No.],$C176),""))))</f>
        <v/>
      </c>
      <c r="E176" s="219" t="str">
        <f>IF($A176="","",IF($K176="DIESEL",AVERAGEIFS(Table1[RSP],Table1[Customer],$B176,Table1[Date],$A176,Table1[Bill No.],$C176),IF($K176="PETROL",AVERAGEIFS(Table14[RSP],Table14[Customer],$B176,Table14[Date],$A176,Table14[Bill No.],$C176),IF($K176="XtraGreen",AVERAGEIFS(Table146[RSP],Table146[Company],$B176,Table146[Date],$A176,Table146[Bill No.],$C176),IFERROR($F176/$D176,"")))))</f>
        <v/>
      </c>
      <c r="F176" s="330" t="str">
        <f>IF($A176="","",IF($K176="DIESEL",SUMIFS(Table1[Amount],Table1[Customer],$B176,Table1[Date],$A176,Table1[Bill No.],$C176),IF($K176="PETROL",SUMIFS(Table14[Amount],Table14[Customer],$B176,Table14[Date],$A176,Table14[Bill No.],$C176),IF($K176="XtraGreen",SUMIFS(Table146[Amount],Table146[Company],$B176,Table146[Date],$A176,Table146[Bill No.],$C176),SUMIFS('Other Sale'!$D:$D,'Other Sale'!$E:$E,$B176,'Other Sale'!$C:$C,$K176,'Other Sale'!$A:$A,$A176)))))</f>
        <v/>
      </c>
      <c r="G176" s="330" t="str" cm="1">
        <f t="array" ref="G176">IF($A176="","",IF($K176="Payment",IFERROR(INDEX(_xlfn._xlws.FILTER(MasterPaid[Amount Paid],(MasterPaid[Customer]=$B176)*(MasterPaid[Date]=$A176)),COUNTIFS($A$6:$A176,$A176,$B$6:$B176,$B176,$K$6:$K176,"Payment")),0),0))</f>
        <v/>
      </c>
      <c r="H176" s="331"/>
      <c r="I176" s="331"/>
      <c r="J176" s="330" t="str">
        <f t="shared" si="2"/>
        <v/>
      </c>
      <c r="K176" s="289" t="str" cm="1">
        <f t="array" ref="K176">IFERROR(INDEX(_xlfn.ANCHORARRAY($Q$6),ROW()-5,4),"")</f>
        <v/>
      </c>
      <c r="L176" s="290"/>
      <c r="U176">
        <f>IF(OR($A176="",$F176=""),0,MAX(0,MIN($F176,SUMIFS($F$6:$F176,$B$6:$B176,$B176)-(SUMIFS($G$6:$G$355,$B$6:$B$355,$B176)+SUMIFS($H$6:$H$355,$B$6:$B$355,$B176)+SUMIFS($I$6:$I$355,$B$6:$B$355,$B176)))))</f>
        <v>0</v>
      </c>
    </row>
    <row r="177" spans="1:21" ht="23" x14ac:dyDescent="0.25">
      <c r="A177" s="217" t="str" cm="1">
        <f t="array" ref="A177">IFERROR(INDEX(_xlfn.ANCHORARRAY($Q$6),ROW()-5,1),"")</f>
        <v/>
      </c>
      <c r="B177" s="288" t="str" cm="1">
        <f t="array" ref="B177">IFERROR(INDEX(_xlfn.ANCHORARRAY($Q$6),ROW()-5,2),"")</f>
        <v/>
      </c>
      <c r="C177" s="289" t="str" cm="1">
        <f t="array" ref="C177">IFERROR(INDEX(_xlfn.ANCHORARRAY($Q$6),ROW()-5,3),"")</f>
        <v/>
      </c>
      <c r="D177" s="218" t="str">
        <f>IF($A177="","",IF($K177="DIESEL",SUMIFS(Table1[Quantity],Table1[Customer],$B177,Table1[Date],$A177,Table1[Bill No.],$C177),IF($K177="PETROL",SUMIFS(Table14[Quantity],Table14[Customer],$B177,Table14[Date],$A177,Table14[Bill No.],$C177),IF($K177="XtraGreen",SUMIFS(Table146[Quantity],Table146[Company],$B177,Table146[Date],$A177,Table146[Bill No.],$C177),""))))</f>
        <v/>
      </c>
      <c r="E177" s="219" t="str">
        <f>IF($A177="","",IF($K177="DIESEL",AVERAGEIFS(Table1[RSP],Table1[Customer],$B177,Table1[Date],$A177,Table1[Bill No.],$C177),IF($K177="PETROL",AVERAGEIFS(Table14[RSP],Table14[Customer],$B177,Table14[Date],$A177,Table14[Bill No.],$C177),IF($K177="XtraGreen",AVERAGEIFS(Table146[RSP],Table146[Company],$B177,Table146[Date],$A177,Table146[Bill No.],$C177),IFERROR($F177/$D177,"")))))</f>
        <v/>
      </c>
      <c r="F177" s="330" t="str">
        <f>IF($A177="","",IF($K177="DIESEL",SUMIFS(Table1[Amount],Table1[Customer],$B177,Table1[Date],$A177,Table1[Bill No.],$C177),IF($K177="PETROL",SUMIFS(Table14[Amount],Table14[Customer],$B177,Table14[Date],$A177,Table14[Bill No.],$C177),IF($K177="XtraGreen",SUMIFS(Table146[Amount],Table146[Company],$B177,Table146[Date],$A177,Table146[Bill No.],$C177),SUMIFS('Other Sale'!$D:$D,'Other Sale'!$E:$E,$B177,'Other Sale'!$C:$C,$K177,'Other Sale'!$A:$A,$A177)))))</f>
        <v/>
      </c>
      <c r="G177" s="330" t="str" cm="1">
        <f t="array" ref="G177">IF($A177="","",IF($K177="Payment",IFERROR(INDEX(_xlfn._xlws.FILTER(MasterPaid[Amount Paid],(MasterPaid[Customer]=$B177)*(MasterPaid[Date]=$A177)),COUNTIFS($A$6:$A177,$A177,$B$6:$B177,$B177,$K$6:$K177,"Payment")),0),0))</f>
        <v/>
      </c>
      <c r="H177" s="331"/>
      <c r="I177" s="331"/>
      <c r="J177" s="330" t="str">
        <f t="shared" si="2"/>
        <v/>
      </c>
      <c r="K177" s="289" t="str" cm="1">
        <f t="array" ref="K177">IFERROR(INDEX(_xlfn.ANCHORARRAY($Q$6),ROW()-5,4),"")</f>
        <v/>
      </c>
      <c r="L177" s="290"/>
      <c r="U177">
        <f>IF(OR($A177="",$F177=""),0,MAX(0,MIN($F177,SUMIFS($F$6:$F177,$B$6:$B177,$B177)-(SUMIFS($G$6:$G$355,$B$6:$B$355,$B177)+SUMIFS($H$6:$H$355,$B$6:$B$355,$B177)+SUMIFS($I$6:$I$355,$B$6:$B$355,$B177)))))</f>
        <v>0</v>
      </c>
    </row>
    <row r="178" spans="1:21" ht="23" x14ac:dyDescent="0.25">
      <c r="A178" s="217" t="str" cm="1">
        <f t="array" ref="A178">IFERROR(INDEX(_xlfn.ANCHORARRAY($Q$6),ROW()-5,1),"")</f>
        <v/>
      </c>
      <c r="B178" s="288" t="str" cm="1">
        <f t="array" ref="B178">IFERROR(INDEX(_xlfn.ANCHORARRAY($Q$6),ROW()-5,2),"")</f>
        <v/>
      </c>
      <c r="C178" s="289" t="str" cm="1">
        <f t="array" ref="C178">IFERROR(INDEX(_xlfn.ANCHORARRAY($Q$6),ROW()-5,3),"")</f>
        <v/>
      </c>
      <c r="D178" s="218" t="str">
        <f>IF($A178="","",IF($K178="DIESEL",SUMIFS(Table1[Quantity],Table1[Customer],$B178,Table1[Date],$A178,Table1[Bill No.],$C178),IF($K178="PETROL",SUMIFS(Table14[Quantity],Table14[Customer],$B178,Table14[Date],$A178,Table14[Bill No.],$C178),IF($K178="XtraGreen",SUMIFS(Table146[Quantity],Table146[Company],$B178,Table146[Date],$A178,Table146[Bill No.],$C178),""))))</f>
        <v/>
      </c>
      <c r="E178" s="219" t="str">
        <f>IF($A178="","",IF($K178="DIESEL",AVERAGEIFS(Table1[RSP],Table1[Customer],$B178,Table1[Date],$A178,Table1[Bill No.],$C178),IF($K178="PETROL",AVERAGEIFS(Table14[RSP],Table14[Customer],$B178,Table14[Date],$A178,Table14[Bill No.],$C178),IF($K178="XtraGreen",AVERAGEIFS(Table146[RSP],Table146[Company],$B178,Table146[Date],$A178,Table146[Bill No.],$C178),IFERROR($F178/$D178,"")))))</f>
        <v/>
      </c>
      <c r="F178" s="330" t="str">
        <f>IF($A178="","",IF($K178="DIESEL",SUMIFS(Table1[Amount],Table1[Customer],$B178,Table1[Date],$A178,Table1[Bill No.],$C178),IF($K178="PETROL",SUMIFS(Table14[Amount],Table14[Customer],$B178,Table14[Date],$A178,Table14[Bill No.],$C178),IF($K178="XtraGreen",SUMIFS(Table146[Amount],Table146[Company],$B178,Table146[Date],$A178,Table146[Bill No.],$C178),SUMIFS('Other Sale'!$D:$D,'Other Sale'!$E:$E,$B178,'Other Sale'!$C:$C,$K178,'Other Sale'!$A:$A,$A178)))))</f>
        <v/>
      </c>
      <c r="G178" s="330" t="str" cm="1">
        <f t="array" ref="G178">IF($A178="","",IF($K178="Payment",IFERROR(INDEX(_xlfn._xlws.FILTER(MasterPaid[Amount Paid],(MasterPaid[Customer]=$B178)*(MasterPaid[Date]=$A178)),COUNTIFS($A$6:$A178,$A178,$B$6:$B178,$B178,$K$6:$K178,"Payment")),0),0))</f>
        <v/>
      </c>
      <c r="H178" s="331"/>
      <c r="I178" s="331"/>
      <c r="J178" s="330" t="str">
        <f t="shared" si="2"/>
        <v/>
      </c>
      <c r="K178" s="289" t="str" cm="1">
        <f t="array" ref="K178">IFERROR(INDEX(_xlfn.ANCHORARRAY($Q$6),ROW()-5,4),"")</f>
        <v/>
      </c>
      <c r="L178" s="290"/>
      <c r="U178">
        <f>IF(OR($A178="",$F178=""),0,MAX(0,MIN($F178,SUMIFS($F$6:$F178,$B$6:$B178,$B178)-(SUMIFS($G$6:$G$355,$B$6:$B$355,$B178)+SUMIFS($H$6:$H$355,$B$6:$B$355,$B178)+SUMIFS($I$6:$I$355,$B$6:$B$355,$B178)))))</f>
        <v>0</v>
      </c>
    </row>
    <row r="179" spans="1:21" ht="23" x14ac:dyDescent="0.25">
      <c r="A179" s="217" t="str" cm="1">
        <f t="array" ref="A179">IFERROR(INDEX(_xlfn.ANCHORARRAY($Q$6),ROW()-5,1),"")</f>
        <v/>
      </c>
      <c r="B179" s="288" t="str" cm="1">
        <f t="array" ref="B179">IFERROR(INDEX(_xlfn.ANCHORARRAY($Q$6),ROW()-5,2),"")</f>
        <v/>
      </c>
      <c r="C179" s="289" t="str" cm="1">
        <f t="array" ref="C179">IFERROR(INDEX(_xlfn.ANCHORARRAY($Q$6),ROW()-5,3),"")</f>
        <v/>
      </c>
      <c r="D179" s="218" t="str">
        <f>IF($A179="","",IF($K179="DIESEL",SUMIFS(Table1[Quantity],Table1[Customer],$B179,Table1[Date],$A179,Table1[Bill No.],$C179),IF($K179="PETROL",SUMIFS(Table14[Quantity],Table14[Customer],$B179,Table14[Date],$A179,Table14[Bill No.],$C179),IF($K179="XtraGreen",SUMIFS(Table146[Quantity],Table146[Company],$B179,Table146[Date],$A179,Table146[Bill No.],$C179),""))))</f>
        <v/>
      </c>
      <c r="E179" s="219" t="str">
        <f>IF($A179="","",IF($K179="DIESEL",AVERAGEIFS(Table1[RSP],Table1[Customer],$B179,Table1[Date],$A179,Table1[Bill No.],$C179),IF($K179="PETROL",AVERAGEIFS(Table14[RSP],Table14[Customer],$B179,Table14[Date],$A179,Table14[Bill No.],$C179),IF($K179="XtraGreen",AVERAGEIFS(Table146[RSP],Table146[Company],$B179,Table146[Date],$A179,Table146[Bill No.],$C179),IFERROR($F179/$D179,"")))))</f>
        <v/>
      </c>
      <c r="F179" s="330" t="str">
        <f>IF($A179="","",IF($K179="DIESEL",SUMIFS(Table1[Amount],Table1[Customer],$B179,Table1[Date],$A179,Table1[Bill No.],$C179),IF($K179="PETROL",SUMIFS(Table14[Amount],Table14[Customer],$B179,Table14[Date],$A179,Table14[Bill No.],$C179),IF($K179="XtraGreen",SUMIFS(Table146[Amount],Table146[Company],$B179,Table146[Date],$A179,Table146[Bill No.],$C179),SUMIFS('Other Sale'!$D:$D,'Other Sale'!$E:$E,$B179,'Other Sale'!$C:$C,$K179,'Other Sale'!$A:$A,$A179)))))</f>
        <v/>
      </c>
      <c r="G179" s="330" t="str" cm="1">
        <f t="array" ref="G179">IF($A179="","",IF($K179="Payment",IFERROR(INDEX(_xlfn._xlws.FILTER(MasterPaid[Amount Paid],(MasterPaid[Customer]=$B179)*(MasterPaid[Date]=$A179)),COUNTIFS($A$6:$A179,$A179,$B$6:$B179,$B179,$K$6:$K179,"Payment")),0),0))</f>
        <v/>
      </c>
      <c r="H179" s="331"/>
      <c r="I179" s="331"/>
      <c r="J179" s="330" t="str">
        <f t="shared" si="2"/>
        <v/>
      </c>
      <c r="K179" s="289" t="str" cm="1">
        <f t="array" ref="K179">IFERROR(INDEX(_xlfn.ANCHORARRAY($Q$6),ROW()-5,4),"")</f>
        <v/>
      </c>
      <c r="L179" s="290"/>
      <c r="U179">
        <f>IF(OR($A179="",$F179=""),0,MAX(0,MIN($F179,SUMIFS($F$6:$F179,$B$6:$B179,$B179)-(SUMIFS($G$6:$G$355,$B$6:$B$355,$B179)+SUMIFS($H$6:$H$355,$B$6:$B$355,$B179)+SUMIFS($I$6:$I$355,$B$6:$B$355,$B179)))))</f>
        <v>0</v>
      </c>
    </row>
    <row r="180" spans="1:21" ht="23" x14ac:dyDescent="0.25">
      <c r="A180" s="217" t="str" cm="1">
        <f t="array" ref="A180">IFERROR(INDEX(_xlfn.ANCHORARRAY($Q$6),ROW()-5,1),"")</f>
        <v/>
      </c>
      <c r="B180" s="288" t="str" cm="1">
        <f t="array" ref="B180">IFERROR(INDEX(_xlfn.ANCHORARRAY($Q$6),ROW()-5,2),"")</f>
        <v/>
      </c>
      <c r="C180" s="289" t="str" cm="1">
        <f t="array" ref="C180">IFERROR(INDEX(_xlfn.ANCHORARRAY($Q$6),ROW()-5,3),"")</f>
        <v/>
      </c>
      <c r="D180" s="218" t="str">
        <f>IF($A180="","",IF($K180="DIESEL",SUMIFS(Table1[Quantity],Table1[Customer],$B180,Table1[Date],$A180,Table1[Bill No.],$C180),IF($K180="PETROL",SUMIFS(Table14[Quantity],Table14[Customer],$B180,Table14[Date],$A180,Table14[Bill No.],$C180),IF($K180="XtraGreen",SUMIFS(Table146[Quantity],Table146[Company],$B180,Table146[Date],$A180,Table146[Bill No.],$C180),""))))</f>
        <v/>
      </c>
      <c r="E180" s="219" t="str">
        <f>IF($A180="","",IF($K180="DIESEL",AVERAGEIFS(Table1[RSP],Table1[Customer],$B180,Table1[Date],$A180,Table1[Bill No.],$C180),IF($K180="PETROL",AVERAGEIFS(Table14[RSP],Table14[Customer],$B180,Table14[Date],$A180,Table14[Bill No.],$C180),IF($K180="XtraGreen",AVERAGEIFS(Table146[RSP],Table146[Company],$B180,Table146[Date],$A180,Table146[Bill No.],$C180),IFERROR($F180/$D180,"")))))</f>
        <v/>
      </c>
      <c r="F180" s="330" t="str">
        <f>IF($A180="","",IF($K180="DIESEL",SUMIFS(Table1[Amount],Table1[Customer],$B180,Table1[Date],$A180,Table1[Bill No.],$C180),IF($K180="PETROL",SUMIFS(Table14[Amount],Table14[Customer],$B180,Table14[Date],$A180,Table14[Bill No.],$C180),IF($K180="XtraGreen",SUMIFS(Table146[Amount],Table146[Company],$B180,Table146[Date],$A180,Table146[Bill No.],$C180),SUMIFS('Other Sale'!$D:$D,'Other Sale'!$E:$E,$B180,'Other Sale'!$C:$C,$K180,'Other Sale'!$A:$A,$A180)))))</f>
        <v/>
      </c>
      <c r="G180" s="330" t="str" cm="1">
        <f t="array" ref="G180">IF($A180="","",IF($K180="Payment",IFERROR(INDEX(_xlfn._xlws.FILTER(MasterPaid[Amount Paid],(MasterPaid[Customer]=$B180)*(MasterPaid[Date]=$A180)),COUNTIFS($A$6:$A180,$A180,$B$6:$B180,$B180,$K$6:$K180,"Payment")),0),0))</f>
        <v/>
      </c>
      <c r="H180" s="331"/>
      <c r="I180" s="331"/>
      <c r="J180" s="330" t="str">
        <f t="shared" si="2"/>
        <v/>
      </c>
      <c r="K180" s="289" t="str" cm="1">
        <f t="array" ref="K180">IFERROR(INDEX(_xlfn.ANCHORARRAY($Q$6),ROW()-5,4),"")</f>
        <v/>
      </c>
      <c r="L180" s="290"/>
      <c r="U180">
        <f>IF(OR($A180="",$F180=""),0,MAX(0,MIN($F180,SUMIFS($F$6:$F180,$B$6:$B180,$B180)-(SUMIFS($G$6:$G$355,$B$6:$B$355,$B180)+SUMIFS($H$6:$H$355,$B$6:$B$355,$B180)+SUMIFS($I$6:$I$355,$B$6:$B$355,$B180)))))</f>
        <v>0</v>
      </c>
    </row>
    <row r="181" spans="1:21" ht="23" x14ac:dyDescent="0.25">
      <c r="A181" s="217" t="str" cm="1">
        <f t="array" ref="A181">IFERROR(INDEX(_xlfn.ANCHORARRAY($Q$6),ROW()-5,1),"")</f>
        <v/>
      </c>
      <c r="B181" s="288" t="str" cm="1">
        <f t="array" ref="B181">IFERROR(INDEX(_xlfn.ANCHORARRAY($Q$6),ROW()-5,2),"")</f>
        <v/>
      </c>
      <c r="C181" s="289" t="str" cm="1">
        <f t="array" ref="C181">IFERROR(INDEX(_xlfn.ANCHORARRAY($Q$6),ROW()-5,3),"")</f>
        <v/>
      </c>
      <c r="D181" s="218" t="str">
        <f>IF($A181="","",IF($K181="DIESEL",SUMIFS(Table1[Quantity],Table1[Customer],$B181,Table1[Date],$A181,Table1[Bill No.],$C181),IF($K181="PETROL",SUMIFS(Table14[Quantity],Table14[Customer],$B181,Table14[Date],$A181,Table14[Bill No.],$C181),IF($K181="XtraGreen",SUMIFS(Table146[Quantity],Table146[Company],$B181,Table146[Date],$A181,Table146[Bill No.],$C181),""))))</f>
        <v/>
      </c>
      <c r="E181" s="219" t="str">
        <f>IF($A181="","",IF($K181="DIESEL",AVERAGEIFS(Table1[RSP],Table1[Customer],$B181,Table1[Date],$A181,Table1[Bill No.],$C181),IF($K181="PETROL",AVERAGEIFS(Table14[RSP],Table14[Customer],$B181,Table14[Date],$A181,Table14[Bill No.],$C181),IF($K181="XtraGreen",AVERAGEIFS(Table146[RSP],Table146[Company],$B181,Table146[Date],$A181,Table146[Bill No.],$C181),IFERROR($F181/$D181,"")))))</f>
        <v/>
      </c>
      <c r="F181" s="330" t="str">
        <f>IF($A181="","",IF($K181="DIESEL",SUMIFS(Table1[Amount],Table1[Customer],$B181,Table1[Date],$A181,Table1[Bill No.],$C181),IF($K181="PETROL",SUMIFS(Table14[Amount],Table14[Customer],$B181,Table14[Date],$A181,Table14[Bill No.],$C181),IF($K181="XtraGreen",SUMIFS(Table146[Amount],Table146[Company],$B181,Table146[Date],$A181,Table146[Bill No.],$C181),SUMIFS('Other Sale'!$D:$D,'Other Sale'!$E:$E,$B181,'Other Sale'!$C:$C,$K181,'Other Sale'!$A:$A,$A181)))))</f>
        <v/>
      </c>
      <c r="G181" s="330" t="str" cm="1">
        <f t="array" ref="G181">IF($A181="","",IF($K181="Payment",IFERROR(INDEX(_xlfn._xlws.FILTER(MasterPaid[Amount Paid],(MasterPaid[Customer]=$B181)*(MasterPaid[Date]=$A181)),COUNTIFS($A$6:$A181,$A181,$B$6:$B181,$B181,$K$6:$K181,"Payment")),0),0))</f>
        <v/>
      </c>
      <c r="H181" s="331"/>
      <c r="I181" s="331"/>
      <c r="J181" s="330" t="str">
        <f t="shared" si="2"/>
        <v/>
      </c>
      <c r="K181" s="289" t="str" cm="1">
        <f t="array" ref="K181">IFERROR(INDEX(_xlfn.ANCHORARRAY($Q$6),ROW()-5,4),"")</f>
        <v/>
      </c>
      <c r="L181" s="290"/>
      <c r="U181">
        <f>IF(OR($A181="",$F181=""),0,MAX(0,MIN($F181,SUMIFS($F$6:$F181,$B$6:$B181,$B181)-(SUMIFS($G$6:$G$355,$B$6:$B$355,$B181)+SUMIFS($H$6:$H$355,$B$6:$B$355,$B181)+SUMIFS($I$6:$I$355,$B$6:$B$355,$B181)))))</f>
        <v>0</v>
      </c>
    </row>
    <row r="182" spans="1:21" ht="23" x14ac:dyDescent="0.25">
      <c r="A182" s="217" t="str" cm="1">
        <f t="array" ref="A182">IFERROR(INDEX(_xlfn.ANCHORARRAY($Q$6),ROW()-5,1),"")</f>
        <v/>
      </c>
      <c r="B182" s="288" t="str" cm="1">
        <f t="array" ref="B182">IFERROR(INDEX(_xlfn.ANCHORARRAY($Q$6),ROW()-5,2),"")</f>
        <v/>
      </c>
      <c r="C182" s="289" t="str" cm="1">
        <f t="array" ref="C182">IFERROR(INDEX(_xlfn.ANCHORARRAY($Q$6),ROW()-5,3),"")</f>
        <v/>
      </c>
      <c r="D182" s="218" t="str">
        <f>IF($A182="","",IF($K182="DIESEL",SUMIFS(Table1[Quantity],Table1[Customer],$B182,Table1[Date],$A182,Table1[Bill No.],$C182),IF($K182="PETROL",SUMIFS(Table14[Quantity],Table14[Customer],$B182,Table14[Date],$A182,Table14[Bill No.],$C182),IF($K182="XtraGreen",SUMIFS(Table146[Quantity],Table146[Company],$B182,Table146[Date],$A182,Table146[Bill No.],$C182),""))))</f>
        <v/>
      </c>
      <c r="E182" s="219" t="str">
        <f>IF($A182="","",IF($K182="DIESEL",AVERAGEIFS(Table1[RSP],Table1[Customer],$B182,Table1[Date],$A182,Table1[Bill No.],$C182),IF($K182="PETROL",AVERAGEIFS(Table14[RSP],Table14[Customer],$B182,Table14[Date],$A182,Table14[Bill No.],$C182),IF($K182="XtraGreen",AVERAGEIFS(Table146[RSP],Table146[Company],$B182,Table146[Date],$A182,Table146[Bill No.],$C182),IFERROR($F182/$D182,"")))))</f>
        <v/>
      </c>
      <c r="F182" s="330" t="str">
        <f>IF($A182="","",IF($K182="DIESEL",SUMIFS(Table1[Amount],Table1[Customer],$B182,Table1[Date],$A182,Table1[Bill No.],$C182),IF($K182="PETROL",SUMIFS(Table14[Amount],Table14[Customer],$B182,Table14[Date],$A182,Table14[Bill No.],$C182),IF($K182="XtraGreen",SUMIFS(Table146[Amount],Table146[Company],$B182,Table146[Date],$A182,Table146[Bill No.],$C182),SUMIFS('Other Sale'!$D:$D,'Other Sale'!$E:$E,$B182,'Other Sale'!$C:$C,$K182,'Other Sale'!$A:$A,$A182)))))</f>
        <v/>
      </c>
      <c r="G182" s="330" t="str" cm="1">
        <f t="array" ref="G182">IF($A182="","",IF($K182="Payment",IFERROR(INDEX(_xlfn._xlws.FILTER(MasterPaid[Amount Paid],(MasterPaid[Customer]=$B182)*(MasterPaid[Date]=$A182)),COUNTIFS($A$6:$A182,$A182,$B$6:$B182,$B182,$K$6:$K182,"Payment")),0),0))</f>
        <v/>
      </c>
      <c r="H182" s="331"/>
      <c r="I182" s="331"/>
      <c r="J182" s="330" t="str">
        <f t="shared" si="2"/>
        <v/>
      </c>
      <c r="K182" s="289" t="str" cm="1">
        <f t="array" ref="K182">IFERROR(INDEX(_xlfn.ANCHORARRAY($Q$6),ROW()-5,4),"")</f>
        <v/>
      </c>
      <c r="L182" s="290"/>
      <c r="U182">
        <f>IF(OR($A182="",$F182=""),0,MAX(0,MIN($F182,SUMIFS($F$6:$F182,$B$6:$B182,$B182)-(SUMIFS($G$6:$G$355,$B$6:$B$355,$B182)+SUMIFS($H$6:$H$355,$B$6:$B$355,$B182)+SUMIFS($I$6:$I$355,$B$6:$B$355,$B182)))))</f>
        <v>0</v>
      </c>
    </row>
    <row r="183" spans="1:21" ht="23" x14ac:dyDescent="0.25">
      <c r="A183" s="217" t="str" cm="1">
        <f t="array" ref="A183">IFERROR(INDEX(_xlfn.ANCHORARRAY($Q$6),ROW()-5,1),"")</f>
        <v/>
      </c>
      <c r="B183" s="288" t="str" cm="1">
        <f t="array" ref="B183">IFERROR(INDEX(_xlfn.ANCHORARRAY($Q$6),ROW()-5,2),"")</f>
        <v/>
      </c>
      <c r="C183" s="289" t="str" cm="1">
        <f t="array" ref="C183">IFERROR(INDEX(_xlfn.ANCHORARRAY($Q$6),ROW()-5,3),"")</f>
        <v/>
      </c>
      <c r="D183" s="218" t="str">
        <f>IF($A183="","",IF($K183="DIESEL",SUMIFS(Table1[Quantity],Table1[Customer],$B183,Table1[Date],$A183,Table1[Bill No.],$C183),IF($K183="PETROL",SUMIFS(Table14[Quantity],Table14[Customer],$B183,Table14[Date],$A183,Table14[Bill No.],$C183),IF($K183="XtraGreen",SUMIFS(Table146[Quantity],Table146[Company],$B183,Table146[Date],$A183,Table146[Bill No.],$C183),""))))</f>
        <v/>
      </c>
      <c r="E183" s="219" t="str">
        <f>IF($A183="","",IF($K183="DIESEL",AVERAGEIFS(Table1[RSP],Table1[Customer],$B183,Table1[Date],$A183,Table1[Bill No.],$C183),IF($K183="PETROL",AVERAGEIFS(Table14[RSP],Table14[Customer],$B183,Table14[Date],$A183,Table14[Bill No.],$C183),IF($K183="XtraGreen",AVERAGEIFS(Table146[RSP],Table146[Company],$B183,Table146[Date],$A183,Table146[Bill No.],$C183),IFERROR($F183/$D183,"")))))</f>
        <v/>
      </c>
      <c r="F183" s="330" t="str">
        <f>IF($A183="","",IF($K183="DIESEL",SUMIFS(Table1[Amount],Table1[Customer],$B183,Table1[Date],$A183,Table1[Bill No.],$C183),IF($K183="PETROL",SUMIFS(Table14[Amount],Table14[Customer],$B183,Table14[Date],$A183,Table14[Bill No.],$C183),IF($K183="XtraGreen",SUMIFS(Table146[Amount],Table146[Company],$B183,Table146[Date],$A183,Table146[Bill No.],$C183),SUMIFS('Other Sale'!$D:$D,'Other Sale'!$E:$E,$B183,'Other Sale'!$C:$C,$K183,'Other Sale'!$A:$A,$A183)))))</f>
        <v/>
      </c>
      <c r="G183" s="330" t="str" cm="1">
        <f t="array" ref="G183">IF($A183="","",IF($K183="Payment",IFERROR(INDEX(_xlfn._xlws.FILTER(MasterPaid[Amount Paid],(MasterPaid[Customer]=$B183)*(MasterPaid[Date]=$A183)),COUNTIFS($A$6:$A183,$A183,$B$6:$B183,$B183,$K$6:$K183,"Payment")),0),0))</f>
        <v/>
      </c>
      <c r="H183" s="331"/>
      <c r="I183" s="331"/>
      <c r="J183" s="330" t="str">
        <f t="shared" si="2"/>
        <v/>
      </c>
      <c r="K183" s="289" t="str" cm="1">
        <f t="array" ref="K183">IFERROR(INDEX(_xlfn.ANCHORARRAY($Q$6),ROW()-5,4),"")</f>
        <v/>
      </c>
      <c r="L183" s="290"/>
      <c r="U183">
        <f>IF(OR($A183="",$F183=""),0,MAX(0,MIN($F183,SUMIFS($F$6:$F183,$B$6:$B183,$B183)-(SUMIFS($G$6:$G$355,$B$6:$B$355,$B183)+SUMIFS($H$6:$H$355,$B$6:$B$355,$B183)+SUMIFS($I$6:$I$355,$B$6:$B$355,$B183)))))</f>
        <v>0</v>
      </c>
    </row>
    <row r="184" spans="1:21" ht="23" x14ac:dyDescent="0.25">
      <c r="A184" s="217" t="str" cm="1">
        <f t="array" ref="A184">IFERROR(INDEX(_xlfn.ANCHORARRAY($Q$6),ROW()-5,1),"")</f>
        <v/>
      </c>
      <c r="B184" s="288" t="str" cm="1">
        <f t="array" ref="B184">IFERROR(INDEX(_xlfn.ANCHORARRAY($Q$6),ROW()-5,2),"")</f>
        <v/>
      </c>
      <c r="C184" s="289" t="str" cm="1">
        <f t="array" ref="C184">IFERROR(INDEX(_xlfn.ANCHORARRAY($Q$6),ROW()-5,3),"")</f>
        <v/>
      </c>
      <c r="D184" s="218" t="str">
        <f>IF($A184="","",IF($K184="DIESEL",SUMIFS(Table1[Quantity],Table1[Customer],$B184,Table1[Date],$A184,Table1[Bill No.],$C184),IF($K184="PETROL",SUMIFS(Table14[Quantity],Table14[Customer],$B184,Table14[Date],$A184,Table14[Bill No.],$C184),IF($K184="XtraGreen",SUMIFS(Table146[Quantity],Table146[Company],$B184,Table146[Date],$A184,Table146[Bill No.],$C184),""))))</f>
        <v/>
      </c>
      <c r="E184" s="219" t="str">
        <f>IF($A184="","",IF($K184="DIESEL",AVERAGEIFS(Table1[RSP],Table1[Customer],$B184,Table1[Date],$A184,Table1[Bill No.],$C184),IF($K184="PETROL",AVERAGEIFS(Table14[RSP],Table14[Customer],$B184,Table14[Date],$A184,Table14[Bill No.],$C184),IF($K184="XtraGreen",AVERAGEIFS(Table146[RSP],Table146[Company],$B184,Table146[Date],$A184,Table146[Bill No.],$C184),IFERROR($F184/$D184,"")))))</f>
        <v/>
      </c>
      <c r="F184" s="330" t="str">
        <f>IF($A184="","",IF($K184="DIESEL",SUMIFS(Table1[Amount],Table1[Customer],$B184,Table1[Date],$A184,Table1[Bill No.],$C184),IF($K184="PETROL",SUMIFS(Table14[Amount],Table14[Customer],$B184,Table14[Date],$A184,Table14[Bill No.],$C184),IF($K184="XtraGreen",SUMIFS(Table146[Amount],Table146[Company],$B184,Table146[Date],$A184,Table146[Bill No.],$C184),SUMIFS('Other Sale'!$D:$D,'Other Sale'!$E:$E,$B184,'Other Sale'!$C:$C,$K184,'Other Sale'!$A:$A,$A184)))))</f>
        <v/>
      </c>
      <c r="G184" s="330" t="str" cm="1">
        <f t="array" ref="G184">IF($A184="","",IF($K184="Payment",IFERROR(INDEX(_xlfn._xlws.FILTER(MasterPaid[Amount Paid],(MasterPaid[Customer]=$B184)*(MasterPaid[Date]=$A184)),COUNTIFS($A$6:$A184,$A184,$B$6:$B184,$B184,$K$6:$K184,"Payment")),0),0))</f>
        <v/>
      </c>
      <c r="H184" s="331"/>
      <c r="I184" s="331"/>
      <c r="J184" s="330" t="str">
        <f t="shared" si="2"/>
        <v/>
      </c>
      <c r="K184" s="289" t="str" cm="1">
        <f t="array" ref="K184">IFERROR(INDEX(_xlfn.ANCHORARRAY($Q$6),ROW()-5,4),"")</f>
        <v/>
      </c>
      <c r="L184" s="290"/>
      <c r="U184">
        <f>IF(OR($A184="",$F184=""),0,MAX(0,MIN($F184,SUMIFS($F$6:$F184,$B$6:$B184,$B184)-(SUMIFS($G$6:$G$355,$B$6:$B$355,$B184)+SUMIFS($H$6:$H$355,$B$6:$B$355,$B184)+SUMIFS($I$6:$I$355,$B$6:$B$355,$B184)))))</f>
        <v>0</v>
      </c>
    </row>
    <row r="185" spans="1:21" ht="23" x14ac:dyDescent="0.25">
      <c r="A185" s="217" t="str" cm="1">
        <f t="array" ref="A185">IFERROR(INDEX(_xlfn.ANCHORARRAY($Q$6),ROW()-5,1),"")</f>
        <v/>
      </c>
      <c r="B185" s="288" t="str" cm="1">
        <f t="array" ref="B185">IFERROR(INDEX(_xlfn.ANCHORARRAY($Q$6),ROW()-5,2),"")</f>
        <v/>
      </c>
      <c r="C185" s="289" t="str" cm="1">
        <f t="array" ref="C185">IFERROR(INDEX(_xlfn.ANCHORARRAY($Q$6),ROW()-5,3),"")</f>
        <v/>
      </c>
      <c r="D185" s="218" t="str">
        <f>IF($A185="","",IF($K185="DIESEL",SUMIFS(Table1[Quantity],Table1[Customer],$B185,Table1[Date],$A185,Table1[Bill No.],$C185),IF($K185="PETROL",SUMIFS(Table14[Quantity],Table14[Customer],$B185,Table14[Date],$A185,Table14[Bill No.],$C185),IF($K185="XtraGreen",SUMIFS(Table146[Quantity],Table146[Company],$B185,Table146[Date],$A185,Table146[Bill No.],$C185),""))))</f>
        <v/>
      </c>
      <c r="E185" s="219" t="str">
        <f>IF($A185="","",IF($K185="DIESEL",AVERAGEIFS(Table1[RSP],Table1[Customer],$B185,Table1[Date],$A185,Table1[Bill No.],$C185),IF($K185="PETROL",AVERAGEIFS(Table14[RSP],Table14[Customer],$B185,Table14[Date],$A185,Table14[Bill No.],$C185),IF($K185="XtraGreen",AVERAGEIFS(Table146[RSP],Table146[Company],$B185,Table146[Date],$A185,Table146[Bill No.],$C185),IFERROR($F185/$D185,"")))))</f>
        <v/>
      </c>
      <c r="F185" s="330" t="str">
        <f>IF($A185="","",IF($K185="DIESEL",SUMIFS(Table1[Amount],Table1[Customer],$B185,Table1[Date],$A185,Table1[Bill No.],$C185),IF($K185="PETROL",SUMIFS(Table14[Amount],Table14[Customer],$B185,Table14[Date],$A185,Table14[Bill No.],$C185),IF($K185="XtraGreen",SUMIFS(Table146[Amount],Table146[Company],$B185,Table146[Date],$A185,Table146[Bill No.],$C185),SUMIFS('Other Sale'!$D:$D,'Other Sale'!$E:$E,$B185,'Other Sale'!$C:$C,$K185,'Other Sale'!$A:$A,$A185)))))</f>
        <v/>
      </c>
      <c r="G185" s="330" t="str" cm="1">
        <f t="array" ref="G185">IF($A185="","",IF($K185="Payment",IFERROR(INDEX(_xlfn._xlws.FILTER(MasterPaid[Amount Paid],(MasterPaid[Customer]=$B185)*(MasterPaid[Date]=$A185)),COUNTIFS($A$6:$A185,$A185,$B$6:$B185,$B185,$K$6:$K185,"Payment")),0),0))</f>
        <v/>
      </c>
      <c r="H185" s="331"/>
      <c r="I185" s="331"/>
      <c r="J185" s="330" t="str">
        <f t="shared" si="2"/>
        <v/>
      </c>
      <c r="K185" s="289" t="str" cm="1">
        <f t="array" ref="K185">IFERROR(INDEX(_xlfn.ANCHORARRAY($Q$6),ROW()-5,4),"")</f>
        <v/>
      </c>
      <c r="L185" s="290"/>
      <c r="U185">
        <f>IF(OR($A185="",$F185=""),0,MAX(0,MIN($F185,SUMIFS($F$6:$F185,$B$6:$B185,$B185)-(SUMIFS($G$6:$G$355,$B$6:$B$355,$B185)+SUMIFS($H$6:$H$355,$B$6:$B$355,$B185)+SUMIFS($I$6:$I$355,$B$6:$B$355,$B185)))))</f>
        <v>0</v>
      </c>
    </row>
    <row r="186" spans="1:21" ht="23" x14ac:dyDescent="0.25">
      <c r="A186" s="217" t="str" cm="1">
        <f t="array" ref="A186">IFERROR(INDEX(_xlfn.ANCHORARRAY($Q$6),ROW()-5,1),"")</f>
        <v/>
      </c>
      <c r="B186" s="288" t="str" cm="1">
        <f t="array" ref="B186">IFERROR(INDEX(_xlfn.ANCHORARRAY($Q$6),ROW()-5,2),"")</f>
        <v/>
      </c>
      <c r="C186" s="289" t="str" cm="1">
        <f t="array" ref="C186">IFERROR(INDEX(_xlfn.ANCHORARRAY($Q$6),ROW()-5,3),"")</f>
        <v/>
      </c>
      <c r="D186" s="218" t="str">
        <f>IF($A186="","",IF($K186="DIESEL",SUMIFS(Table1[Quantity],Table1[Customer],$B186,Table1[Date],$A186,Table1[Bill No.],$C186),IF($K186="PETROL",SUMIFS(Table14[Quantity],Table14[Customer],$B186,Table14[Date],$A186,Table14[Bill No.],$C186),IF($K186="XtraGreen",SUMIFS(Table146[Quantity],Table146[Company],$B186,Table146[Date],$A186,Table146[Bill No.],$C186),""))))</f>
        <v/>
      </c>
      <c r="E186" s="219" t="str">
        <f>IF($A186="","",IF($K186="DIESEL",AVERAGEIFS(Table1[RSP],Table1[Customer],$B186,Table1[Date],$A186,Table1[Bill No.],$C186),IF($K186="PETROL",AVERAGEIFS(Table14[RSP],Table14[Customer],$B186,Table14[Date],$A186,Table14[Bill No.],$C186),IF($K186="XtraGreen",AVERAGEIFS(Table146[RSP],Table146[Company],$B186,Table146[Date],$A186,Table146[Bill No.],$C186),IFERROR($F186/$D186,"")))))</f>
        <v/>
      </c>
      <c r="F186" s="330" t="str">
        <f>IF($A186="","",IF($K186="DIESEL",SUMIFS(Table1[Amount],Table1[Customer],$B186,Table1[Date],$A186,Table1[Bill No.],$C186),IF($K186="PETROL",SUMIFS(Table14[Amount],Table14[Customer],$B186,Table14[Date],$A186,Table14[Bill No.],$C186),IF($K186="XtraGreen",SUMIFS(Table146[Amount],Table146[Company],$B186,Table146[Date],$A186,Table146[Bill No.],$C186),SUMIFS('Other Sale'!$D:$D,'Other Sale'!$E:$E,$B186,'Other Sale'!$C:$C,$K186,'Other Sale'!$A:$A,$A186)))))</f>
        <v/>
      </c>
      <c r="G186" s="330" t="str" cm="1">
        <f t="array" ref="G186">IF($A186="","",IF($K186="Payment",IFERROR(INDEX(_xlfn._xlws.FILTER(MasterPaid[Amount Paid],(MasterPaid[Customer]=$B186)*(MasterPaid[Date]=$A186)),COUNTIFS($A$6:$A186,$A186,$B$6:$B186,$B186,$K$6:$K186,"Payment")),0),0))</f>
        <v/>
      </c>
      <c r="H186" s="331"/>
      <c r="I186" s="331"/>
      <c r="J186" s="330" t="str">
        <f t="shared" si="2"/>
        <v/>
      </c>
      <c r="K186" s="289" t="str" cm="1">
        <f t="array" ref="K186">IFERROR(INDEX(_xlfn.ANCHORARRAY($Q$6),ROW()-5,4),"")</f>
        <v/>
      </c>
      <c r="L186" s="290"/>
      <c r="U186">
        <f>IF(OR($A186="",$F186=""),0,MAX(0,MIN($F186,SUMIFS($F$6:$F186,$B$6:$B186,$B186)-(SUMIFS($G$6:$G$355,$B$6:$B$355,$B186)+SUMIFS($H$6:$H$355,$B$6:$B$355,$B186)+SUMIFS($I$6:$I$355,$B$6:$B$355,$B186)))))</f>
        <v>0</v>
      </c>
    </row>
    <row r="187" spans="1:21" ht="23" x14ac:dyDescent="0.25">
      <c r="A187" s="217" t="str" cm="1">
        <f t="array" ref="A187">IFERROR(INDEX(_xlfn.ANCHORARRAY($Q$6),ROW()-5,1),"")</f>
        <v/>
      </c>
      <c r="B187" s="288" t="str" cm="1">
        <f t="array" ref="B187">IFERROR(INDEX(_xlfn.ANCHORARRAY($Q$6),ROW()-5,2),"")</f>
        <v/>
      </c>
      <c r="C187" s="289" t="str" cm="1">
        <f t="array" ref="C187">IFERROR(INDEX(_xlfn.ANCHORARRAY($Q$6),ROW()-5,3),"")</f>
        <v/>
      </c>
      <c r="D187" s="218" t="str">
        <f>IF($A187="","",IF($K187="DIESEL",SUMIFS(Table1[Quantity],Table1[Customer],$B187,Table1[Date],$A187,Table1[Bill No.],$C187),IF($K187="PETROL",SUMIFS(Table14[Quantity],Table14[Customer],$B187,Table14[Date],$A187,Table14[Bill No.],$C187),IF($K187="XtraGreen",SUMIFS(Table146[Quantity],Table146[Company],$B187,Table146[Date],$A187,Table146[Bill No.],$C187),""))))</f>
        <v/>
      </c>
      <c r="E187" s="219" t="str">
        <f>IF($A187="","",IF($K187="DIESEL",AVERAGEIFS(Table1[RSP],Table1[Customer],$B187,Table1[Date],$A187,Table1[Bill No.],$C187),IF($K187="PETROL",AVERAGEIFS(Table14[RSP],Table14[Customer],$B187,Table14[Date],$A187,Table14[Bill No.],$C187),IF($K187="XtraGreen",AVERAGEIFS(Table146[RSP],Table146[Company],$B187,Table146[Date],$A187,Table146[Bill No.],$C187),IFERROR($F187/$D187,"")))))</f>
        <v/>
      </c>
      <c r="F187" s="330" t="str">
        <f>IF($A187="","",IF($K187="DIESEL",SUMIFS(Table1[Amount],Table1[Customer],$B187,Table1[Date],$A187,Table1[Bill No.],$C187),IF($K187="PETROL",SUMIFS(Table14[Amount],Table14[Customer],$B187,Table14[Date],$A187,Table14[Bill No.],$C187),IF($K187="XtraGreen",SUMIFS(Table146[Amount],Table146[Company],$B187,Table146[Date],$A187,Table146[Bill No.],$C187),SUMIFS('Other Sale'!$D:$D,'Other Sale'!$E:$E,$B187,'Other Sale'!$C:$C,$K187,'Other Sale'!$A:$A,$A187)))))</f>
        <v/>
      </c>
      <c r="G187" s="330" t="str" cm="1">
        <f t="array" ref="G187">IF($A187="","",IF($K187="Payment",IFERROR(INDEX(_xlfn._xlws.FILTER(MasterPaid[Amount Paid],(MasterPaid[Customer]=$B187)*(MasterPaid[Date]=$A187)),COUNTIFS($A$6:$A187,$A187,$B$6:$B187,$B187,$K$6:$K187,"Payment")),0),0))</f>
        <v/>
      </c>
      <c r="H187" s="331"/>
      <c r="I187" s="331"/>
      <c r="J187" s="330" t="str">
        <f t="shared" si="2"/>
        <v/>
      </c>
      <c r="K187" s="289" t="str" cm="1">
        <f t="array" ref="K187">IFERROR(INDEX(_xlfn.ANCHORARRAY($Q$6),ROW()-5,4),"")</f>
        <v/>
      </c>
      <c r="L187" s="290"/>
      <c r="U187">
        <f>IF(OR($A187="",$F187=""),0,MAX(0,MIN($F187,SUMIFS($F$6:$F187,$B$6:$B187,$B187)-(SUMIFS($G$6:$G$355,$B$6:$B$355,$B187)+SUMIFS($H$6:$H$355,$B$6:$B$355,$B187)+SUMIFS($I$6:$I$355,$B$6:$B$355,$B187)))))</f>
        <v>0</v>
      </c>
    </row>
    <row r="188" spans="1:21" ht="23" x14ac:dyDescent="0.25">
      <c r="A188" s="217" t="str" cm="1">
        <f t="array" ref="A188">IFERROR(INDEX(_xlfn.ANCHORARRAY($Q$6),ROW()-5,1),"")</f>
        <v/>
      </c>
      <c r="B188" s="288" t="str" cm="1">
        <f t="array" ref="B188">IFERROR(INDEX(_xlfn.ANCHORARRAY($Q$6),ROW()-5,2),"")</f>
        <v/>
      </c>
      <c r="C188" s="289" t="str" cm="1">
        <f t="array" ref="C188">IFERROR(INDEX(_xlfn.ANCHORARRAY($Q$6),ROW()-5,3),"")</f>
        <v/>
      </c>
      <c r="D188" s="218" t="str">
        <f>IF($A188="","",IF($K188="DIESEL",SUMIFS(Table1[Quantity],Table1[Customer],$B188,Table1[Date],$A188,Table1[Bill No.],$C188),IF($K188="PETROL",SUMIFS(Table14[Quantity],Table14[Customer],$B188,Table14[Date],$A188,Table14[Bill No.],$C188),IF($K188="XtraGreen",SUMIFS(Table146[Quantity],Table146[Company],$B188,Table146[Date],$A188,Table146[Bill No.],$C188),""))))</f>
        <v/>
      </c>
      <c r="E188" s="219" t="str">
        <f>IF($A188="","",IF($K188="DIESEL",AVERAGEIFS(Table1[RSP],Table1[Customer],$B188,Table1[Date],$A188,Table1[Bill No.],$C188),IF($K188="PETROL",AVERAGEIFS(Table14[RSP],Table14[Customer],$B188,Table14[Date],$A188,Table14[Bill No.],$C188),IF($K188="XtraGreen",AVERAGEIFS(Table146[RSP],Table146[Company],$B188,Table146[Date],$A188,Table146[Bill No.],$C188),IFERROR($F188/$D188,"")))))</f>
        <v/>
      </c>
      <c r="F188" s="330" t="str">
        <f>IF($A188="","",IF($K188="DIESEL",SUMIFS(Table1[Amount],Table1[Customer],$B188,Table1[Date],$A188,Table1[Bill No.],$C188),IF($K188="PETROL",SUMIFS(Table14[Amount],Table14[Customer],$B188,Table14[Date],$A188,Table14[Bill No.],$C188),IF($K188="XtraGreen",SUMIFS(Table146[Amount],Table146[Company],$B188,Table146[Date],$A188,Table146[Bill No.],$C188),SUMIFS('Other Sale'!$D:$D,'Other Sale'!$E:$E,$B188,'Other Sale'!$C:$C,$K188,'Other Sale'!$A:$A,$A188)))))</f>
        <v/>
      </c>
      <c r="G188" s="330" t="str" cm="1">
        <f t="array" ref="G188">IF($A188="","",IF($K188="Payment",IFERROR(INDEX(_xlfn._xlws.FILTER(MasterPaid[Amount Paid],(MasterPaid[Customer]=$B188)*(MasterPaid[Date]=$A188)),COUNTIFS($A$6:$A188,$A188,$B$6:$B188,$B188,$K$6:$K188,"Payment")),0),0))</f>
        <v/>
      </c>
      <c r="H188" s="331"/>
      <c r="I188" s="331"/>
      <c r="J188" s="330" t="str">
        <f t="shared" si="2"/>
        <v/>
      </c>
      <c r="K188" s="289" t="str" cm="1">
        <f t="array" ref="K188">IFERROR(INDEX(_xlfn.ANCHORARRAY($Q$6),ROW()-5,4),"")</f>
        <v/>
      </c>
      <c r="L188" s="290"/>
      <c r="U188">
        <f>IF(OR($A188="",$F188=""),0,MAX(0,MIN($F188,SUMIFS($F$6:$F188,$B$6:$B188,$B188)-(SUMIFS($G$6:$G$355,$B$6:$B$355,$B188)+SUMIFS($H$6:$H$355,$B$6:$B$355,$B188)+SUMIFS($I$6:$I$355,$B$6:$B$355,$B188)))))</f>
        <v>0</v>
      </c>
    </row>
    <row r="189" spans="1:21" ht="23" x14ac:dyDescent="0.25">
      <c r="A189" s="217" t="str" cm="1">
        <f t="array" ref="A189">IFERROR(INDEX(_xlfn.ANCHORARRAY($Q$6),ROW()-5,1),"")</f>
        <v/>
      </c>
      <c r="B189" s="288" t="str" cm="1">
        <f t="array" ref="B189">IFERROR(INDEX(_xlfn.ANCHORARRAY($Q$6),ROW()-5,2),"")</f>
        <v/>
      </c>
      <c r="C189" s="289" t="str" cm="1">
        <f t="array" ref="C189">IFERROR(INDEX(_xlfn.ANCHORARRAY($Q$6),ROW()-5,3),"")</f>
        <v/>
      </c>
      <c r="D189" s="218" t="str">
        <f>IF($A189="","",IF($K189="DIESEL",SUMIFS(Table1[Quantity],Table1[Customer],$B189,Table1[Date],$A189,Table1[Bill No.],$C189),IF($K189="PETROL",SUMIFS(Table14[Quantity],Table14[Customer],$B189,Table14[Date],$A189,Table14[Bill No.],$C189),IF($K189="XtraGreen",SUMIFS(Table146[Quantity],Table146[Company],$B189,Table146[Date],$A189,Table146[Bill No.],$C189),""))))</f>
        <v/>
      </c>
      <c r="E189" s="219" t="str">
        <f>IF($A189="","",IF($K189="DIESEL",AVERAGEIFS(Table1[RSP],Table1[Customer],$B189,Table1[Date],$A189,Table1[Bill No.],$C189),IF($K189="PETROL",AVERAGEIFS(Table14[RSP],Table14[Customer],$B189,Table14[Date],$A189,Table14[Bill No.],$C189),IF($K189="XtraGreen",AVERAGEIFS(Table146[RSP],Table146[Company],$B189,Table146[Date],$A189,Table146[Bill No.],$C189),IFERROR($F189/$D189,"")))))</f>
        <v/>
      </c>
      <c r="F189" s="330" t="str">
        <f>IF($A189="","",IF($K189="DIESEL",SUMIFS(Table1[Amount],Table1[Customer],$B189,Table1[Date],$A189,Table1[Bill No.],$C189),IF($K189="PETROL",SUMIFS(Table14[Amount],Table14[Customer],$B189,Table14[Date],$A189,Table14[Bill No.],$C189),IF($K189="XtraGreen",SUMIFS(Table146[Amount],Table146[Company],$B189,Table146[Date],$A189,Table146[Bill No.],$C189),SUMIFS('Other Sale'!$D:$D,'Other Sale'!$E:$E,$B189,'Other Sale'!$C:$C,$K189,'Other Sale'!$A:$A,$A189)))))</f>
        <v/>
      </c>
      <c r="G189" s="330" t="str" cm="1">
        <f t="array" ref="G189">IF($A189="","",IF($K189="Payment",IFERROR(INDEX(_xlfn._xlws.FILTER(MasterPaid[Amount Paid],(MasterPaid[Customer]=$B189)*(MasterPaid[Date]=$A189)),COUNTIFS($A$6:$A189,$A189,$B$6:$B189,$B189,$K$6:$K189,"Payment")),0),0))</f>
        <v/>
      </c>
      <c r="H189" s="331"/>
      <c r="I189" s="331"/>
      <c r="J189" s="330" t="str">
        <f t="shared" si="2"/>
        <v/>
      </c>
      <c r="K189" s="289" t="str" cm="1">
        <f t="array" ref="K189">IFERROR(INDEX(_xlfn.ANCHORARRAY($Q$6),ROW()-5,4),"")</f>
        <v/>
      </c>
      <c r="L189" s="290"/>
      <c r="U189">
        <f>IF(OR($A189="",$F189=""),0,MAX(0,MIN($F189,SUMIFS($F$6:$F189,$B$6:$B189,$B189)-(SUMIFS($G$6:$G$355,$B$6:$B$355,$B189)+SUMIFS($H$6:$H$355,$B$6:$B$355,$B189)+SUMIFS($I$6:$I$355,$B$6:$B$355,$B189)))))</f>
        <v>0</v>
      </c>
    </row>
    <row r="190" spans="1:21" ht="23" x14ac:dyDescent="0.25">
      <c r="A190" s="217" t="str" cm="1">
        <f t="array" ref="A190">IFERROR(INDEX(_xlfn.ANCHORARRAY($Q$6),ROW()-5,1),"")</f>
        <v/>
      </c>
      <c r="B190" s="288" t="str" cm="1">
        <f t="array" ref="B190">IFERROR(INDEX(_xlfn.ANCHORARRAY($Q$6),ROW()-5,2),"")</f>
        <v/>
      </c>
      <c r="C190" s="289" t="str" cm="1">
        <f t="array" ref="C190">IFERROR(INDEX(_xlfn.ANCHORARRAY($Q$6),ROW()-5,3),"")</f>
        <v/>
      </c>
      <c r="D190" s="218" t="str">
        <f>IF($A190="","",IF($K190="DIESEL",SUMIFS(Table1[Quantity],Table1[Customer],$B190,Table1[Date],$A190,Table1[Bill No.],$C190),IF($K190="PETROL",SUMIFS(Table14[Quantity],Table14[Customer],$B190,Table14[Date],$A190,Table14[Bill No.],$C190),IF($K190="XtraGreen",SUMIFS(Table146[Quantity],Table146[Company],$B190,Table146[Date],$A190,Table146[Bill No.],$C190),""))))</f>
        <v/>
      </c>
      <c r="E190" s="219" t="str">
        <f>IF($A190="","",IF($K190="DIESEL",AVERAGEIFS(Table1[RSP],Table1[Customer],$B190,Table1[Date],$A190,Table1[Bill No.],$C190),IF($K190="PETROL",AVERAGEIFS(Table14[RSP],Table14[Customer],$B190,Table14[Date],$A190,Table14[Bill No.],$C190),IF($K190="XtraGreen",AVERAGEIFS(Table146[RSP],Table146[Company],$B190,Table146[Date],$A190,Table146[Bill No.],$C190),IFERROR($F190/$D190,"")))))</f>
        <v/>
      </c>
      <c r="F190" s="330" t="str">
        <f>IF($A190="","",IF($K190="DIESEL",SUMIFS(Table1[Amount],Table1[Customer],$B190,Table1[Date],$A190,Table1[Bill No.],$C190),IF($K190="PETROL",SUMIFS(Table14[Amount],Table14[Customer],$B190,Table14[Date],$A190,Table14[Bill No.],$C190),IF($K190="XtraGreen",SUMIFS(Table146[Amount],Table146[Company],$B190,Table146[Date],$A190,Table146[Bill No.],$C190),SUMIFS('Other Sale'!$D:$D,'Other Sale'!$E:$E,$B190,'Other Sale'!$C:$C,$K190,'Other Sale'!$A:$A,$A190)))))</f>
        <v/>
      </c>
      <c r="G190" s="330" t="str" cm="1">
        <f t="array" ref="G190">IF($A190="","",IF($K190="Payment",IFERROR(INDEX(_xlfn._xlws.FILTER(MasterPaid[Amount Paid],(MasterPaid[Customer]=$B190)*(MasterPaid[Date]=$A190)),COUNTIFS($A$6:$A190,$A190,$B$6:$B190,$B190,$K$6:$K190,"Payment")),0),0))</f>
        <v/>
      </c>
      <c r="H190" s="331"/>
      <c r="I190" s="331"/>
      <c r="J190" s="330" t="str">
        <f t="shared" si="2"/>
        <v/>
      </c>
      <c r="K190" s="289" t="str" cm="1">
        <f t="array" ref="K190">IFERROR(INDEX(_xlfn.ANCHORARRAY($Q$6),ROW()-5,4),"")</f>
        <v/>
      </c>
      <c r="L190" s="290"/>
      <c r="U190">
        <f>IF(OR($A190="",$F190=""),0,MAX(0,MIN($F190,SUMIFS($F$6:$F190,$B$6:$B190,$B190)-(SUMIFS($G$6:$G$355,$B$6:$B$355,$B190)+SUMIFS($H$6:$H$355,$B$6:$B$355,$B190)+SUMIFS($I$6:$I$355,$B$6:$B$355,$B190)))))</f>
        <v>0</v>
      </c>
    </row>
    <row r="191" spans="1:21" ht="23" x14ac:dyDescent="0.25">
      <c r="A191" s="217" t="str" cm="1">
        <f t="array" ref="A191">IFERROR(INDEX(_xlfn.ANCHORARRAY($Q$6),ROW()-5,1),"")</f>
        <v/>
      </c>
      <c r="B191" s="288" t="str" cm="1">
        <f t="array" ref="B191">IFERROR(INDEX(_xlfn.ANCHORARRAY($Q$6),ROW()-5,2),"")</f>
        <v/>
      </c>
      <c r="C191" s="289" t="str" cm="1">
        <f t="array" ref="C191">IFERROR(INDEX(_xlfn.ANCHORARRAY($Q$6),ROW()-5,3),"")</f>
        <v/>
      </c>
      <c r="D191" s="218" t="str">
        <f>IF($A191="","",IF($K191="DIESEL",SUMIFS(Table1[Quantity],Table1[Customer],$B191,Table1[Date],$A191,Table1[Bill No.],$C191),IF($K191="PETROL",SUMIFS(Table14[Quantity],Table14[Customer],$B191,Table14[Date],$A191,Table14[Bill No.],$C191),IF($K191="XtraGreen",SUMIFS(Table146[Quantity],Table146[Company],$B191,Table146[Date],$A191,Table146[Bill No.],$C191),""))))</f>
        <v/>
      </c>
      <c r="E191" s="219" t="str">
        <f>IF($A191="","",IF($K191="DIESEL",AVERAGEIFS(Table1[RSP],Table1[Customer],$B191,Table1[Date],$A191,Table1[Bill No.],$C191),IF($K191="PETROL",AVERAGEIFS(Table14[RSP],Table14[Customer],$B191,Table14[Date],$A191,Table14[Bill No.],$C191),IF($K191="XtraGreen",AVERAGEIFS(Table146[RSP],Table146[Company],$B191,Table146[Date],$A191,Table146[Bill No.],$C191),IFERROR($F191/$D191,"")))))</f>
        <v/>
      </c>
      <c r="F191" s="330" t="str">
        <f>IF($A191="","",IF($K191="DIESEL",SUMIFS(Table1[Amount],Table1[Customer],$B191,Table1[Date],$A191,Table1[Bill No.],$C191),IF($K191="PETROL",SUMIFS(Table14[Amount],Table14[Customer],$B191,Table14[Date],$A191,Table14[Bill No.],$C191),IF($K191="XtraGreen",SUMIFS(Table146[Amount],Table146[Company],$B191,Table146[Date],$A191,Table146[Bill No.],$C191),SUMIFS('Other Sale'!$D:$D,'Other Sale'!$E:$E,$B191,'Other Sale'!$C:$C,$K191,'Other Sale'!$A:$A,$A191)))))</f>
        <v/>
      </c>
      <c r="G191" s="330" t="str" cm="1">
        <f t="array" ref="G191">IF($A191="","",IF($K191="Payment",IFERROR(INDEX(_xlfn._xlws.FILTER(MasterPaid[Amount Paid],(MasterPaid[Customer]=$B191)*(MasterPaid[Date]=$A191)),COUNTIFS($A$6:$A191,$A191,$B$6:$B191,$B191,$K$6:$K191,"Payment")),0),0))</f>
        <v/>
      </c>
      <c r="H191" s="331"/>
      <c r="I191" s="331"/>
      <c r="J191" s="330" t="str">
        <f t="shared" si="2"/>
        <v/>
      </c>
      <c r="K191" s="289" t="str" cm="1">
        <f t="array" ref="K191">IFERROR(INDEX(_xlfn.ANCHORARRAY($Q$6),ROW()-5,4),"")</f>
        <v/>
      </c>
      <c r="L191" s="290"/>
      <c r="U191">
        <f>IF(OR($A191="",$F191=""),0,MAX(0,MIN($F191,SUMIFS($F$6:$F191,$B$6:$B191,$B191)-(SUMIFS($G$6:$G$355,$B$6:$B$355,$B191)+SUMIFS($H$6:$H$355,$B$6:$B$355,$B191)+SUMIFS($I$6:$I$355,$B$6:$B$355,$B191)))))</f>
        <v>0</v>
      </c>
    </row>
    <row r="192" spans="1:21" ht="23" x14ac:dyDescent="0.25">
      <c r="A192" s="217" t="str" cm="1">
        <f t="array" ref="A192">IFERROR(INDEX(_xlfn.ANCHORARRAY($Q$6),ROW()-5,1),"")</f>
        <v/>
      </c>
      <c r="B192" s="288" t="str" cm="1">
        <f t="array" ref="B192">IFERROR(INDEX(_xlfn.ANCHORARRAY($Q$6),ROW()-5,2),"")</f>
        <v/>
      </c>
      <c r="C192" s="289" t="str" cm="1">
        <f t="array" ref="C192">IFERROR(INDEX(_xlfn.ANCHORARRAY($Q$6),ROW()-5,3),"")</f>
        <v/>
      </c>
      <c r="D192" s="218" t="str">
        <f>IF($A192="","",IF($K192="DIESEL",SUMIFS(Table1[Quantity],Table1[Customer],$B192,Table1[Date],$A192,Table1[Bill No.],$C192),IF($K192="PETROL",SUMIFS(Table14[Quantity],Table14[Customer],$B192,Table14[Date],$A192,Table14[Bill No.],$C192),IF($K192="XtraGreen",SUMIFS(Table146[Quantity],Table146[Company],$B192,Table146[Date],$A192,Table146[Bill No.],$C192),""))))</f>
        <v/>
      </c>
      <c r="E192" s="219" t="str">
        <f>IF($A192="","",IF($K192="DIESEL",AVERAGEIFS(Table1[RSP],Table1[Customer],$B192,Table1[Date],$A192,Table1[Bill No.],$C192),IF($K192="PETROL",AVERAGEIFS(Table14[RSP],Table14[Customer],$B192,Table14[Date],$A192,Table14[Bill No.],$C192),IF($K192="XtraGreen",AVERAGEIFS(Table146[RSP],Table146[Company],$B192,Table146[Date],$A192,Table146[Bill No.],$C192),IFERROR($F192/$D192,"")))))</f>
        <v/>
      </c>
      <c r="F192" s="330" t="str">
        <f>IF($A192="","",IF($K192="DIESEL",SUMIFS(Table1[Amount],Table1[Customer],$B192,Table1[Date],$A192,Table1[Bill No.],$C192),IF($K192="PETROL",SUMIFS(Table14[Amount],Table14[Customer],$B192,Table14[Date],$A192,Table14[Bill No.],$C192),IF($K192="XtraGreen",SUMIFS(Table146[Amount],Table146[Company],$B192,Table146[Date],$A192,Table146[Bill No.],$C192),SUMIFS('Other Sale'!$D:$D,'Other Sale'!$E:$E,$B192,'Other Sale'!$C:$C,$K192,'Other Sale'!$A:$A,$A192)))))</f>
        <v/>
      </c>
      <c r="G192" s="330" t="str" cm="1">
        <f t="array" ref="G192">IF($A192="","",IF($K192="Payment",IFERROR(INDEX(_xlfn._xlws.FILTER(MasterPaid[Amount Paid],(MasterPaid[Customer]=$B192)*(MasterPaid[Date]=$A192)),COUNTIFS($A$6:$A192,$A192,$B$6:$B192,$B192,$K$6:$K192,"Payment")),0),0))</f>
        <v/>
      </c>
      <c r="H192" s="331"/>
      <c r="I192" s="331"/>
      <c r="J192" s="330" t="str">
        <f t="shared" si="2"/>
        <v/>
      </c>
      <c r="K192" s="289" t="str" cm="1">
        <f t="array" ref="K192">IFERROR(INDEX(_xlfn.ANCHORARRAY($Q$6),ROW()-5,4),"")</f>
        <v/>
      </c>
      <c r="L192" s="290"/>
      <c r="U192">
        <f>IF(OR($A192="",$F192=""),0,MAX(0,MIN($F192,SUMIFS($F$6:$F192,$B$6:$B192,$B192)-(SUMIFS($G$6:$G$355,$B$6:$B$355,$B192)+SUMIFS($H$6:$H$355,$B$6:$B$355,$B192)+SUMIFS($I$6:$I$355,$B$6:$B$355,$B192)))))</f>
        <v>0</v>
      </c>
    </row>
    <row r="193" spans="1:21" ht="23" x14ac:dyDescent="0.25">
      <c r="A193" s="217" t="str" cm="1">
        <f t="array" ref="A193">IFERROR(INDEX(_xlfn.ANCHORARRAY($Q$6),ROW()-5,1),"")</f>
        <v/>
      </c>
      <c r="B193" s="288" t="str" cm="1">
        <f t="array" ref="B193">IFERROR(INDEX(_xlfn.ANCHORARRAY($Q$6),ROW()-5,2),"")</f>
        <v/>
      </c>
      <c r="C193" s="289" t="str" cm="1">
        <f t="array" ref="C193">IFERROR(INDEX(_xlfn.ANCHORARRAY($Q$6),ROW()-5,3),"")</f>
        <v/>
      </c>
      <c r="D193" s="218" t="str">
        <f>IF($A193="","",IF($K193="DIESEL",SUMIFS(Table1[Quantity],Table1[Customer],$B193,Table1[Date],$A193,Table1[Bill No.],$C193),IF($K193="PETROL",SUMIFS(Table14[Quantity],Table14[Customer],$B193,Table14[Date],$A193,Table14[Bill No.],$C193),IF($K193="XtraGreen",SUMIFS(Table146[Quantity],Table146[Company],$B193,Table146[Date],$A193,Table146[Bill No.],$C193),""))))</f>
        <v/>
      </c>
      <c r="E193" s="219" t="str">
        <f>IF($A193="","",IF($K193="DIESEL",AVERAGEIFS(Table1[RSP],Table1[Customer],$B193,Table1[Date],$A193,Table1[Bill No.],$C193),IF($K193="PETROL",AVERAGEIFS(Table14[RSP],Table14[Customer],$B193,Table14[Date],$A193,Table14[Bill No.],$C193),IF($K193="XtraGreen",AVERAGEIFS(Table146[RSP],Table146[Company],$B193,Table146[Date],$A193,Table146[Bill No.],$C193),IFERROR($F193/$D193,"")))))</f>
        <v/>
      </c>
      <c r="F193" s="330" t="str">
        <f>IF($A193="","",IF($K193="DIESEL",SUMIFS(Table1[Amount],Table1[Customer],$B193,Table1[Date],$A193,Table1[Bill No.],$C193),IF($K193="PETROL",SUMIFS(Table14[Amount],Table14[Customer],$B193,Table14[Date],$A193,Table14[Bill No.],$C193),IF($K193="XtraGreen",SUMIFS(Table146[Amount],Table146[Company],$B193,Table146[Date],$A193,Table146[Bill No.],$C193),SUMIFS('Other Sale'!$D:$D,'Other Sale'!$E:$E,$B193,'Other Sale'!$C:$C,$K193,'Other Sale'!$A:$A,$A193)))))</f>
        <v/>
      </c>
      <c r="G193" s="330" t="str" cm="1">
        <f t="array" ref="G193">IF($A193="","",IF($K193="Payment",IFERROR(INDEX(_xlfn._xlws.FILTER(MasterPaid[Amount Paid],(MasterPaid[Customer]=$B193)*(MasterPaid[Date]=$A193)),COUNTIFS($A$6:$A193,$A193,$B$6:$B193,$B193,$K$6:$K193,"Payment")),0),0))</f>
        <v/>
      </c>
      <c r="H193" s="331"/>
      <c r="I193" s="331"/>
      <c r="J193" s="330" t="str">
        <f t="shared" si="2"/>
        <v/>
      </c>
      <c r="K193" s="289" t="str" cm="1">
        <f t="array" ref="K193">IFERROR(INDEX(_xlfn.ANCHORARRAY($Q$6),ROW()-5,4),"")</f>
        <v/>
      </c>
      <c r="L193" s="290"/>
      <c r="U193">
        <f>IF(OR($A193="",$F193=""),0,MAX(0,MIN($F193,SUMIFS($F$6:$F193,$B$6:$B193,$B193)-(SUMIFS($G$6:$G$355,$B$6:$B$355,$B193)+SUMIFS($H$6:$H$355,$B$6:$B$355,$B193)+SUMIFS($I$6:$I$355,$B$6:$B$355,$B193)))))</f>
        <v>0</v>
      </c>
    </row>
    <row r="194" spans="1:21" ht="23" x14ac:dyDescent="0.25">
      <c r="A194" s="217" t="str" cm="1">
        <f t="array" ref="A194">IFERROR(INDEX(_xlfn.ANCHORARRAY($Q$6),ROW()-5,1),"")</f>
        <v/>
      </c>
      <c r="B194" s="288" t="str" cm="1">
        <f t="array" ref="B194">IFERROR(INDEX(_xlfn.ANCHORARRAY($Q$6),ROW()-5,2),"")</f>
        <v/>
      </c>
      <c r="C194" s="289" t="str" cm="1">
        <f t="array" ref="C194">IFERROR(INDEX(_xlfn.ANCHORARRAY($Q$6),ROW()-5,3),"")</f>
        <v/>
      </c>
      <c r="D194" s="218" t="str">
        <f>IF($A194="","",IF($K194="DIESEL",SUMIFS(Table1[Quantity],Table1[Customer],$B194,Table1[Date],$A194,Table1[Bill No.],$C194),IF($K194="PETROL",SUMIFS(Table14[Quantity],Table14[Customer],$B194,Table14[Date],$A194,Table14[Bill No.],$C194),IF($K194="XtraGreen",SUMIFS(Table146[Quantity],Table146[Company],$B194,Table146[Date],$A194,Table146[Bill No.],$C194),""))))</f>
        <v/>
      </c>
      <c r="E194" s="219" t="str">
        <f>IF($A194="","",IF($K194="DIESEL",AVERAGEIFS(Table1[RSP],Table1[Customer],$B194,Table1[Date],$A194,Table1[Bill No.],$C194),IF($K194="PETROL",AVERAGEIFS(Table14[RSP],Table14[Customer],$B194,Table14[Date],$A194,Table14[Bill No.],$C194),IF($K194="XtraGreen",AVERAGEIFS(Table146[RSP],Table146[Company],$B194,Table146[Date],$A194,Table146[Bill No.],$C194),IFERROR($F194/$D194,"")))))</f>
        <v/>
      </c>
      <c r="F194" s="330" t="str">
        <f>IF($A194="","",IF($K194="DIESEL",SUMIFS(Table1[Amount],Table1[Customer],$B194,Table1[Date],$A194,Table1[Bill No.],$C194),IF($K194="PETROL",SUMIFS(Table14[Amount],Table14[Customer],$B194,Table14[Date],$A194,Table14[Bill No.],$C194),IF($K194="XtraGreen",SUMIFS(Table146[Amount],Table146[Company],$B194,Table146[Date],$A194,Table146[Bill No.],$C194),SUMIFS('Other Sale'!$D:$D,'Other Sale'!$E:$E,$B194,'Other Sale'!$C:$C,$K194,'Other Sale'!$A:$A,$A194)))))</f>
        <v/>
      </c>
      <c r="G194" s="330" t="str" cm="1">
        <f t="array" ref="G194">IF($A194="","",IF($K194="Payment",IFERROR(INDEX(_xlfn._xlws.FILTER(MasterPaid[Amount Paid],(MasterPaid[Customer]=$B194)*(MasterPaid[Date]=$A194)),COUNTIFS($A$6:$A194,$A194,$B$6:$B194,$B194,$K$6:$K194,"Payment")),0),0))</f>
        <v/>
      </c>
      <c r="H194" s="331"/>
      <c r="I194" s="331"/>
      <c r="J194" s="330" t="str">
        <f t="shared" si="2"/>
        <v/>
      </c>
      <c r="K194" s="289" t="str" cm="1">
        <f t="array" ref="K194">IFERROR(INDEX(_xlfn.ANCHORARRAY($Q$6),ROW()-5,4),"")</f>
        <v/>
      </c>
      <c r="L194" s="290"/>
      <c r="U194">
        <f>IF(OR($A194="",$F194=""),0,MAX(0,MIN($F194,SUMIFS($F$6:$F194,$B$6:$B194,$B194)-(SUMIFS($G$6:$G$355,$B$6:$B$355,$B194)+SUMIFS($H$6:$H$355,$B$6:$B$355,$B194)+SUMIFS($I$6:$I$355,$B$6:$B$355,$B194)))))</f>
        <v>0</v>
      </c>
    </row>
    <row r="195" spans="1:21" ht="23" x14ac:dyDescent="0.25">
      <c r="A195" s="217" t="str" cm="1">
        <f t="array" ref="A195">IFERROR(INDEX(_xlfn.ANCHORARRAY($Q$6),ROW()-5,1),"")</f>
        <v/>
      </c>
      <c r="B195" s="288" t="str" cm="1">
        <f t="array" ref="B195">IFERROR(INDEX(_xlfn.ANCHORARRAY($Q$6),ROW()-5,2),"")</f>
        <v/>
      </c>
      <c r="C195" s="289" t="str" cm="1">
        <f t="array" ref="C195">IFERROR(INDEX(_xlfn.ANCHORARRAY($Q$6),ROW()-5,3),"")</f>
        <v/>
      </c>
      <c r="D195" s="218" t="str">
        <f>IF($A195="","",IF($K195="DIESEL",SUMIFS(Table1[Quantity],Table1[Customer],$B195,Table1[Date],$A195,Table1[Bill No.],$C195),IF($K195="PETROL",SUMIFS(Table14[Quantity],Table14[Customer],$B195,Table14[Date],$A195,Table14[Bill No.],$C195),IF($K195="XtraGreen",SUMIFS(Table146[Quantity],Table146[Company],$B195,Table146[Date],$A195,Table146[Bill No.],$C195),""))))</f>
        <v/>
      </c>
      <c r="E195" s="219" t="str">
        <f>IF($A195="","",IF($K195="DIESEL",AVERAGEIFS(Table1[RSP],Table1[Customer],$B195,Table1[Date],$A195,Table1[Bill No.],$C195),IF($K195="PETROL",AVERAGEIFS(Table14[RSP],Table14[Customer],$B195,Table14[Date],$A195,Table14[Bill No.],$C195),IF($K195="XtraGreen",AVERAGEIFS(Table146[RSP],Table146[Company],$B195,Table146[Date],$A195,Table146[Bill No.],$C195),IFERROR($F195/$D195,"")))))</f>
        <v/>
      </c>
      <c r="F195" s="330" t="str">
        <f>IF($A195="","",IF($K195="DIESEL",SUMIFS(Table1[Amount],Table1[Customer],$B195,Table1[Date],$A195,Table1[Bill No.],$C195),IF($K195="PETROL",SUMIFS(Table14[Amount],Table14[Customer],$B195,Table14[Date],$A195,Table14[Bill No.],$C195),IF($K195="XtraGreen",SUMIFS(Table146[Amount],Table146[Company],$B195,Table146[Date],$A195,Table146[Bill No.],$C195),SUMIFS('Other Sale'!$D:$D,'Other Sale'!$E:$E,$B195,'Other Sale'!$C:$C,$K195,'Other Sale'!$A:$A,$A195)))))</f>
        <v/>
      </c>
      <c r="G195" s="330" t="str" cm="1">
        <f t="array" ref="G195">IF($A195="","",IF($K195="Payment",IFERROR(INDEX(_xlfn._xlws.FILTER(MasterPaid[Amount Paid],(MasterPaid[Customer]=$B195)*(MasterPaid[Date]=$A195)),COUNTIFS($A$6:$A195,$A195,$B$6:$B195,$B195,$K$6:$K195,"Payment")),0),0))</f>
        <v/>
      </c>
      <c r="H195" s="331"/>
      <c r="I195" s="331"/>
      <c r="J195" s="330" t="str">
        <f t="shared" si="2"/>
        <v/>
      </c>
      <c r="K195" s="289" t="str" cm="1">
        <f t="array" ref="K195">IFERROR(INDEX(_xlfn.ANCHORARRAY($Q$6),ROW()-5,4),"")</f>
        <v/>
      </c>
      <c r="L195" s="290"/>
      <c r="U195">
        <f>IF(OR($A195="",$F195=""),0,MAX(0,MIN($F195,SUMIFS($F$6:$F195,$B$6:$B195,$B195)-(SUMIFS($G$6:$G$355,$B$6:$B$355,$B195)+SUMIFS($H$6:$H$355,$B$6:$B$355,$B195)+SUMIFS($I$6:$I$355,$B$6:$B$355,$B195)))))</f>
        <v>0</v>
      </c>
    </row>
    <row r="196" spans="1:21" ht="23" x14ac:dyDescent="0.25">
      <c r="A196" s="217" t="str" cm="1">
        <f t="array" ref="A196">IFERROR(INDEX(_xlfn.ANCHORARRAY($Q$6),ROW()-5,1),"")</f>
        <v/>
      </c>
      <c r="B196" s="288" t="str" cm="1">
        <f t="array" ref="B196">IFERROR(INDEX(_xlfn.ANCHORARRAY($Q$6),ROW()-5,2),"")</f>
        <v/>
      </c>
      <c r="C196" s="289" t="str" cm="1">
        <f t="array" ref="C196">IFERROR(INDEX(_xlfn.ANCHORARRAY($Q$6),ROW()-5,3),"")</f>
        <v/>
      </c>
      <c r="D196" s="218" t="str">
        <f>IF($A196="","",IF($K196="DIESEL",SUMIFS(Table1[Quantity],Table1[Customer],$B196,Table1[Date],$A196,Table1[Bill No.],$C196),IF($K196="PETROL",SUMIFS(Table14[Quantity],Table14[Customer],$B196,Table14[Date],$A196,Table14[Bill No.],$C196),IF($K196="XtraGreen",SUMIFS(Table146[Quantity],Table146[Company],$B196,Table146[Date],$A196,Table146[Bill No.],$C196),""))))</f>
        <v/>
      </c>
      <c r="E196" s="219" t="str">
        <f>IF($A196="","",IF($K196="DIESEL",AVERAGEIFS(Table1[RSP],Table1[Customer],$B196,Table1[Date],$A196,Table1[Bill No.],$C196),IF($K196="PETROL",AVERAGEIFS(Table14[RSP],Table14[Customer],$B196,Table14[Date],$A196,Table14[Bill No.],$C196),IF($K196="XtraGreen",AVERAGEIFS(Table146[RSP],Table146[Company],$B196,Table146[Date],$A196,Table146[Bill No.],$C196),IFERROR($F196/$D196,"")))))</f>
        <v/>
      </c>
      <c r="F196" s="330" t="str">
        <f>IF($A196="","",IF($K196="DIESEL",SUMIFS(Table1[Amount],Table1[Customer],$B196,Table1[Date],$A196,Table1[Bill No.],$C196),IF($K196="PETROL",SUMIFS(Table14[Amount],Table14[Customer],$B196,Table14[Date],$A196,Table14[Bill No.],$C196),IF($K196="XtraGreen",SUMIFS(Table146[Amount],Table146[Company],$B196,Table146[Date],$A196,Table146[Bill No.],$C196),SUMIFS('Other Sale'!$D:$D,'Other Sale'!$E:$E,$B196,'Other Sale'!$C:$C,$K196,'Other Sale'!$A:$A,$A196)))))</f>
        <v/>
      </c>
      <c r="G196" s="330" t="str" cm="1">
        <f t="array" ref="G196">IF($A196="","",IF($K196="Payment",IFERROR(INDEX(_xlfn._xlws.FILTER(MasterPaid[Amount Paid],(MasterPaid[Customer]=$B196)*(MasterPaid[Date]=$A196)),COUNTIFS($A$6:$A196,$A196,$B$6:$B196,$B196,$K$6:$K196,"Payment")),0),0))</f>
        <v/>
      </c>
      <c r="H196" s="331"/>
      <c r="I196" s="331"/>
      <c r="J196" s="330" t="str">
        <f t="shared" si="2"/>
        <v/>
      </c>
      <c r="K196" s="289" t="str" cm="1">
        <f t="array" ref="K196">IFERROR(INDEX(_xlfn.ANCHORARRAY($Q$6),ROW()-5,4),"")</f>
        <v/>
      </c>
      <c r="L196" s="290"/>
      <c r="U196">
        <f>IF(OR($A196="",$F196=""),0,MAX(0,MIN($F196,SUMIFS($F$6:$F196,$B$6:$B196,$B196)-(SUMIFS($G$6:$G$355,$B$6:$B$355,$B196)+SUMIFS($H$6:$H$355,$B$6:$B$355,$B196)+SUMIFS($I$6:$I$355,$B$6:$B$355,$B196)))))</f>
        <v>0</v>
      </c>
    </row>
    <row r="197" spans="1:21" ht="23" x14ac:dyDescent="0.25">
      <c r="A197" s="217" t="str" cm="1">
        <f t="array" ref="A197">IFERROR(INDEX(_xlfn.ANCHORARRAY($Q$6),ROW()-5,1),"")</f>
        <v/>
      </c>
      <c r="B197" s="288" t="str" cm="1">
        <f t="array" ref="B197">IFERROR(INDEX(_xlfn.ANCHORARRAY($Q$6),ROW()-5,2),"")</f>
        <v/>
      </c>
      <c r="C197" s="289" t="str" cm="1">
        <f t="array" ref="C197">IFERROR(INDEX(_xlfn.ANCHORARRAY($Q$6),ROW()-5,3),"")</f>
        <v/>
      </c>
      <c r="D197" s="218" t="str">
        <f>IF($A197="","",IF($K197="DIESEL",SUMIFS(Table1[Quantity],Table1[Customer],$B197,Table1[Date],$A197,Table1[Bill No.],$C197),IF($K197="PETROL",SUMIFS(Table14[Quantity],Table14[Customer],$B197,Table14[Date],$A197,Table14[Bill No.],$C197),IF($K197="XtraGreen",SUMIFS(Table146[Quantity],Table146[Company],$B197,Table146[Date],$A197,Table146[Bill No.],$C197),""))))</f>
        <v/>
      </c>
      <c r="E197" s="219" t="str">
        <f>IF($A197="","",IF($K197="DIESEL",AVERAGEIFS(Table1[RSP],Table1[Customer],$B197,Table1[Date],$A197,Table1[Bill No.],$C197),IF($K197="PETROL",AVERAGEIFS(Table14[RSP],Table14[Customer],$B197,Table14[Date],$A197,Table14[Bill No.],$C197),IF($K197="XtraGreen",AVERAGEIFS(Table146[RSP],Table146[Company],$B197,Table146[Date],$A197,Table146[Bill No.],$C197),IFERROR($F197/$D197,"")))))</f>
        <v/>
      </c>
      <c r="F197" s="330" t="str">
        <f>IF($A197="","",IF($K197="DIESEL",SUMIFS(Table1[Amount],Table1[Customer],$B197,Table1[Date],$A197,Table1[Bill No.],$C197),IF($K197="PETROL",SUMIFS(Table14[Amount],Table14[Customer],$B197,Table14[Date],$A197,Table14[Bill No.],$C197),IF($K197="XtraGreen",SUMIFS(Table146[Amount],Table146[Company],$B197,Table146[Date],$A197,Table146[Bill No.],$C197),SUMIFS('Other Sale'!$D:$D,'Other Sale'!$E:$E,$B197,'Other Sale'!$C:$C,$K197,'Other Sale'!$A:$A,$A197)))))</f>
        <v/>
      </c>
      <c r="G197" s="330" t="str" cm="1">
        <f t="array" ref="G197">IF($A197="","",IF($K197="Payment",IFERROR(INDEX(_xlfn._xlws.FILTER(MasterPaid[Amount Paid],(MasterPaid[Customer]=$B197)*(MasterPaid[Date]=$A197)),COUNTIFS($A$6:$A197,$A197,$B$6:$B197,$B197,$K$6:$K197,"Payment")),0),0))</f>
        <v/>
      </c>
      <c r="H197" s="331"/>
      <c r="I197" s="331"/>
      <c r="J197" s="330" t="str">
        <f t="shared" si="2"/>
        <v/>
      </c>
      <c r="K197" s="289" t="str" cm="1">
        <f t="array" ref="K197">IFERROR(INDEX(_xlfn.ANCHORARRAY($Q$6),ROW()-5,4),"")</f>
        <v/>
      </c>
      <c r="L197" s="290"/>
      <c r="U197">
        <f>IF(OR($A197="",$F197=""),0,MAX(0,MIN($F197,SUMIFS($F$6:$F197,$B$6:$B197,$B197)-(SUMIFS($G$6:$G$355,$B$6:$B$355,$B197)+SUMIFS($H$6:$H$355,$B$6:$B$355,$B197)+SUMIFS($I$6:$I$355,$B$6:$B$355,$B197)))))</f>
        <v>0</v>
      </c>
    </row>
    <row r="198" spans="1:21" ht="23" x14ac:dyDescent="0.25">
      <c r="A198" s="217" t="str" cm="1">
        <f t="array" ref="A198">IFERROR(INDEX(_xlfn.ANCHORARRAY($Q$6),ROW()-5,1),"")</f>
        <v/>
      </c>
      <c r="B198" s="288" t="str" cm="1">
        <f t="array" ref="B198">IFERROR(INDEX(_xlfn.ANCHORARRAY($Q$6),ROW()-5,2),"")</f>
        <v/>
      </c>
      <c r="C198" s="289" t="str" cm="1">
        <f t="array" ref="C198">IFERROR(INDEX(_xlfn.ANCHORARRAY($Q$6),ROW()-5,3),"")</f>
        <v/>
      </c>
      <c r="D198" s="218" t="str">
        <f>IF($A198="","",IF($K198="DIESEL",SUMIFS(Table1[Quantity],Table1[Customer],$B198,Table1[Date],$A198,Table1[Bill No.],$C198),IF($K198="PETROL",SUMIFS(Table14[Quantity],Table14[Customer],$B198,Table14[Date],$A198,Table14[Bill No.],$C198),IF($K198="XtraGreen",SUMIFS(Table146[Quantity],Table146[Company],$B198,Table146[Date],$A198,Table146[Bill No.],$C198),""))))</f>
        <v/>
      </c>
      <c r="E198" s="219" t="str">
        <f>IF($A198="","",IF($K198="DIESEL",AVERAGEIFS(Table1[RSP],Table1[Customer],$B198,Table1[Date],$A198,Table1[Bill No.],$C198),IF($K198="PETROL",AVERAGEIFS(Table14[RSP],Table14[Customer],$B198,Table14[Date],$A198,Table14[Bill No.],$C198),IF($K198="XtraGreen",AVERAGEIFS(Table146[RSP],Table146[Company],$B198,Table146[Date],$A198,Table146[Bill No.],$C198),IFERROR($F198/$D198,"")))))</f>
        <v/>
      </c>
      <c r="F198" s="330" t="str">
        <f>IF($A198="","",IF($K198="DIESEL",SUMIFS(Table1[Amount],Table1[Customer],$B198,Table1[Date],$A198,Table1[Bill No.],$C198),IF($K198="PETROL",SUMIFS(Table14[Amount],Table14[Customer],$B198,Table14[Date],$A198,Table14[Bill No.],$C198),IF($K198="XtraGreen",SUMIFS(Table146[Amount],Table146[Company],$B198,Table146[Date],$A198,Table146[Bill No.],$C198),SUMIFS('Other Sale'!$D:$D,'Other Sale'!$E:$E,$B198,'Other Sale'!$C:$C,$K198,'Other Sale'!$A:$A,$A198)))))</f>
        <v/>
      </c>
      <c r="G198" s="330" t="str" cm="1">
        <f t="array" ref="G198">IF($A198="","",IF($K198="Payment",IFERROR(INDEX(_xlfn._xlws.FILTER(MasterPaid[Amount Paid],(MasterPaid[Customer]=$B198)*(MasterPaid[Date]=$A198)),COUNTIFS($A$6:$A198,$A198,$B$6:$B198,$B198,$K$6:$K198,"Payment")),0),0))</f>
        <v/>
      </c>
      <c r="H198" s="331"/>
      <c r="I198" s="331"/>
      <c r="J198" s="330" t="str">
        <f t="shared" si="2"/>
        <v/>
      </c>
      <c r="K198" s="289" t="str" cm="1">
        <f t="array" ref="K198">IFERROR(INDEX(_xlfn.ANCHORARRAY($Q$6),ROW()-5,4),"")</f>
        <v/>
      </c>
      <c r="L198" s="290"/>
      <c r="U198">
        <f>IF(OR($A198="",$F198=""),0,MAX(0,MIN($F198,SUMIFS($F$6:$F198,$B$6:$B198,$B198)-(SUMIFS($G$6:$G$355,$B$6:$B$355,$B198)+SUMIFS($H$6:$H$355,$B$6:$B$355,$B198)+SUMIFS($I$6:$I$355,$B$6:$B$355,$B198)))))</f>
        <v>0</v>
      </c>
    </row>
    <row r="199" spans="1:21" ht="23" x14ac:dyDescent="0.25">
      <c r="A199" s="217" t="str" cm="1">
        <f t="array" ref="A199">IFERROR(INDEX(_xlfn.ANCHORARRAY($Q$6),ROW()-5,1),"")</f>
        <v/>
      </c>
      <c r="B199" s="288" t="str" cm="1">
        <f t="array" ref="B199">IFERROR(INDEX(_xlfn.ANCHORARRAY($Q$6),ROW()-5,2),"")</f>
        <v/>
      </c>
      <c r="C199" s="289" t="str" cm="1">
        <f t="array" ref="C199">IFERROR(INDEX(_xlfn.ANCHORARRAY($Q$6),ROW()-5,3),"")</f>
        <v/>
      </c>
      <c r="D199" s="218" t="str">
        <f>IF($A199="","",IF($K199="DIESEL",SUMIFS(Table1[Quantity],Table1[Customer],$B199,Table1[Date],$A199,Table1[Bill No.],$C199),IF($K199="PETROL",SUMIFS(Table14[Quantity],Table14[Customer],$B199,Table14[Date],$A199,Table14[Bill No.],$C199),IF($K199="XtraGreen",SUMIFS(Table146[Quantity],Table146[Company],$B199,Table146[Date],$A199,Table146[Bill No.],$C199),""))))</f>
        <v/>
      </c>
      <c r="E199" s="219" t="str">
        <f>IF($A199="","",IF($K199="DIESEL",AVERAGEIFS(Table1[RSP],Table1[Customer],$B199,Table1[Date],$A199,Table1[Bill No.],$C199),IF($K199="PETROL",AVERAGEIFS(Table14[RSP],Table14[Customer],$B199,Table14[Date],$A199,Table14[Bill No.],$C199),IF($K199="XtraGreen",AVERAGEIFS(Table146[RSP],Table146[Company],$B199,Table146[Date],$A199,Table146[Bill No.],$C199),IFERROR($F199/$D199,"")))))</f>
        <v/>
      </c>
      <c r="F199" s="330" t="str">
        <f>IF($A199="","",IF($K199="DIESEL",SUMIFS(Table1[Amount],Table1[Customer],$B199,Table1[Date],$A199,Table1[Bill No.],$C199),IF($K199="PETROL",SUMIFS(Table14[Amount],Table14[Customer],$B199,Table14[Date],$A199,Table14[Bill No.],$C199),IF($K199="XtraGreen",SUMIFS(Table146[Amount],Table146[Company],$B199,Table146[Date],$A199,Table146[Bill No.],$C199),SUMIFS('Other Sale'!$D:$D,'Other Sale'!$E:$E,$B199,'Other Sale'!$C:$C,$K199,'Other Sale'!$A:$A,$A199)))))</f>
        <v/>
      </c>
      <c r="G199" s="330" t="str" cm="1">
        <f t="array" ref="G199">IF($A199="","",IF($K199="Payment",IFERROR(INDEX(_xlfn._xlws.FILTER(MasterPaid[Amount Paid],(MasterPaid[Customer]=$B199)*(MasterPaid[Date]=$A199)),COUNTIFS($A$6:$A199,$A199,$B$6:$B199,$B199,$K$6:$K199,"Payment")),0),0))</f>
        <v/>
      </c>
      <c r="H199" s="331"/>
      <c r="I199" s="331"/>
      <c r="J199" s="330" t="str">
        <f t="shared" si="2"/>
        <v/>
      </c>
      <c r="K199" s="289" t="str" cm="1">
        <f t="array" ref="K199">IFERROR(INDEX(_xlfn.ANCHORARRAY($Q$6),ROW()-5,4),"")</f>
        <v/>
      </c>
      <c r="L199" s="290"/>
      <c r="U199">
        <f>IF(OR($A199="",$F199=""),0,MAX(0,MIN($F199,SUMIFS($F$6:$F199,$B$6:$B199,$B199)-(SUMIFS($G$6:$G$355,$B$6:$B$355,$B199)+SUMIFS($H$6:$H$355,$B$6:$B$355,$B199)+SUMIFS($I$6:$I$355,$B$6:$B$355,$B199)))))</f>
        <v>0</v>
      </c>
    </row>
    <row r="200" spans="1:21" ht="23" x14ac:dyDescent="0.25">
      <c r="A200" s="217" t="str" cm="1">
        <f t="array" ref="A200">IFERROR(INDEX(_xlfn.ANCHORARRAY($Q$6),ROW()-5,1),"")</f>
        <v/>
      </c>
      <c r="B200" s="288" t="str" cm="1">
        <f t="array" ref="B200">IFERROR(INDEX(_xlfn.ANCHORARRAY($Q$6),ROW()-5,2),"")</f>
        <v/>
      </c>
      <c r="C200" s="289" t="str" cm="1">
        <f t="array" ref="C200">IFERROR(INDEX(_xlfn.ANCHORARRAY($Q$6),ROW()-5,3),"")</f>
        <v/>
      </c>
      <c r="D200" s="218" t="str">
        <f>IF($A200="","",IF($K200="DIESEL",SUMIFS(Table1[Quantity],Table1[Customer],$B200,Table1[Date],$A200,Table1[Bill No.],$C200),IF($K200="PETROL",SUMIFS(Table14[Quantity],Table14[Customer],$B200,Table14[Date],$A200,Table14[Bill No.],$C200),IF($K200="XtraGreen",SUMIFS(Table146[Quantity],Table146[Company],$B200,Table146[Date],$A200,Table146[Bill No.],$C200),""))))</f>
        <v/>
      </c>
      <c r="E200" s="219" t="str">
        <f>IF($A200="","",IF($K200="DIESEL",AVERAGEIFS(Table1[RSP],Table1[Customer],$B200,Table1[Date],$A200,Table1[Bill No.],$C200),IF($K200="PETROL",AVERAGEIFS(Table14[RSP],Table14[Customer],$B200,Table14[Date],$A200,Table14[Bill No.],$C200),IF($K200="XtraGreen",AVERAGEIFS(Table146[RSP],Table146[Company],$B200,Table146[Date],$A200,Table146[Bill No.],$C200),IFERROR($F200/$D200,"")))))</f>
        <v/>
      </c>
      <c r="F200" s="330" t="str">
        <f>IF($A200="","",IF($K200="DIESEL",SUMIFS(Table1[Amount],Table1[Customer],$B200,Table1[Date],$A200,Table1[Bill No.],$C200),IF($K200="PETROL",SUMIFS(Table14[Amount],Table14[Customer],$B200,Table14[Date],$A200,Table14[Bill No.],$C200),IF($K200="XtraGreen",SUMIFS(Table146[Amount],Table146[Company],$B200,Table146[Date],$A200,Table146[Bill No.],$C200),SUMIFS('Other Sale'!$D:$D,'Other Sale'!$E:$E,$B200,'Other Sale'!$C:$C,$K200,'Other Sale'!$A:$A,$A200)))))</f>
        <v/>
      </c>
      <c r="G200" s="330" t="str" cm="1">
        <f t="array" ref="G200">IF($A200="","",IF($K200="Payment",IFERROR(INDEX(_xlfn._xlws.FILTER(MasterPaid[Amount Paid],(MasterPaid[Customer]=$B200)*(MasterPaid[Date]=$A200)),COUNTIFS($A$6:$A200,$A200,$B$6:$B200,$B200,$K$6:$K200,"Payment")),0),0))</f>
        <v/>
      </c>
      <c r="H200" s="331"/>
      <c r="I200" s="331"/>
      <c r="J200" s="330" t="str">
        <f t="shared" ref="J200:J263" si="3">IF($A200="","",J199+N(F200)-N(G200)-N(H200)-N(I200))</f>
        <v/>
      </c>
      <c r="K200" s="289" t="str" cm="1">
        <f t="array" ref="K200">IFERROR(INDEX(_xlfn.ANCHORARRAY($Q$6),ROW()-5,4),"")</f>
        <v/>
      </c>
      <c r="L200" s="290"/>
      <c r="U200">
        <f>IF(OR($A200="",$F200=""),0,MAX(0,MIN($F200,SUMIFS($F$6:$F200,$B$6:$B200,$B200)-(SUMIFS($G$6:$G$355,$B$6:$B$355,$B200)+SUMIFS($H$6:$H$355,$B$6:$B$355,$B200)+SUMIFS($I$6:$I$355,$B$6:$B$355,$B200)))))</f>
        <v>0</v>
      </c>
    </row>
    <row r="201" spans="1:21" ht="23" x14ac:dyDescent="0.25">
      <c r="A201" s="217" t="str" cm="1">
        <f t="array" ref="A201">IFERROR(INDEX(_xlfn.ANCHORARRAY($Q$6),ROW()-5,1),"")</f>
        <v/>
      </c>
      <c r="B201" s="288" t="str" cm="1">
        <f t="array" ref="B201">IFERROR(INDEX(_xlfn.ANCHORARRAY($Q$6),ROW()-5,2),"")</f>
        <v/>
      </c>
      <c r="C201" s="289" t="str" cm="1">
        <f t="array" ref="C201">IFERROR(INDEX(_xlfn.ANCHORARRAY($Q$6),ROW()-5,3),"")</f>
        <v/>
      </c>
      <c r="D201" s="218" t="str">
        <f>IF($A201="","",IF($K201="DIESEL",SUMIFS(Table1[Quantity],Table1[Customer],$B201,Table1[Date],$A201,Table1[Bill No.],$C201),IF($K201="PETROL",SUMIFS(Table14[Quantity],Table14[Customer],$B201,Table14[Date],$A201,Table14[Bill No.],$C201),IF($K201="XtraGreen",SUMIFS(Table146[Quantity],Table146[Company],$B201,Table146[Date],$A201,Table146[Bill No.],$C201),""))))</f>
        <v/>
      </c>
      <c r="E201" s="219" t="str">
        <f>IF($A201="","",IF($K201="DIESEL",AVERAGEIFS(Table1[RSP],Table1[Customer],$B201,Table1[Date],$A201,Table1[Bill No.],$C201),IF($K201="PETROL",AVERAGEIFS(Table14[RSP],Table14[Customer],$B201,Table14[Date],$A201,Table14[Bill No.],$C201),IF($K201="XtraGreen",AVERAGEIFS(Table146[RSP],Table146[Company],$B201,Table146[Date],$A201,Table146[Bill No.],$C201),IFERROR($F201/$D201,"")))))</f>
        <v/>
      </c>
      <c r="F201" s="330" t="str">
        <f>IF($A201="","",IF($K201="DIESEL",SUMIFS(Table1[Amount],Table1[Customer],$B201,Table1[Date],$A201,Table1[Bill No.],$C201),IF($K201="PETROL",SUMIFS(Table14[Amount],Table14[Customer],$B201,Table14[Date],$A201,Table14[Bill No.],$C201),IF($K201="XtraGreen",SUMIFS(Table146[Amount],Table146[Company],$B201,Table146[Date],$A201,Table146[Bill No.],$C201),SUMIFS('Other Sale'!$D:$D,'Other Sale'!$E:$E,$B201,'Other Sale'!$C:$C,$K201,'Other Sale'!$A:$A,$A201)))))</f>
        <v/>
      </c>
      <c r="G201" s="330" t="str" cm="1">
        <f t="array" ref="G201">IF($A201="","",IF($K201="Payment",IFERROR(INDEX(_xlfn._xlws.FILTER(MasterPaid[Amount Paid],(MasterPaid[Customer]=$B201)*(MasterPaid[Date]=$A201)),COUNTIFS($A$6:$A201,$A201,$B$6:$B201,$B201,$K$6:$K201,"Payment")),0),0))</f>
        <v/>
      </c>
      <c r="H201" s="331"/>
      <c r="I201" s="331"/>
      <c r="J201" s="330" t="str">
        <f t="shared" si="3"/>
        <v/>
      </c>
      <c r="K201" s="289" t="str" cm="1">
        <f t="array" ref="K201">IFERROR(INDEX(_xlfn.ANCHORARRAY($Q$6),ROW()-5,4),"")</f>
        <v/>
      </c>
      <c r="L201" s="290"/>
      <c r="U201">
        <f>IF(OR($A201="",$F201=""),0,MAX(0,MIN($F201,SUMIFS($F$6:$F201,$B$6:$B201,$B201)-(SUMIFS($G$6:$G$355,$B$6:$B$355,$B201)+SUMIFS($H$6:$H$355,$B$6:$B$355,$B201)+SUMIFS($I$6:$I$355,$B$6:$B$355,$B201)))))</f>
        <v>0</v>
      </c>
    </row>
    <row r="202" spans="1:21" ht="23" x14ac:dyDescent="0.25">
      <c r="A202" s="217" t="str" cm="1">
        <f t="array" ref="A202">IFERROR(INDEX(_xlfn.ANCHORARRAY($Q$6),ROW()-5,1),"")</f>
        <v/>
      </c>
      <c r="B202" s="288" t="str" cm="1">
        <f t="array" ref="B202">IFERROR(INDEX(_xlfn.ANCHORARRAY($Q$6),ROW()-5,2),"")</f>
        <v/>
      </c>
      <c r="C202" s="289" t="str" cm="1">
        <f t="array" ref="C202">IFERROR(INDEX(_xlfn.ANCHORARRAY($Q$6),ROW()-5,3),"")</f>
        <v/>
      </c>
      <c r="D202" s="218" t="str">
        <f>IF($A202="","",IF($K202="DIESEL",SUMIFS(Table1[Quantity],Table1[Customer],$B202,Table1[Date],$A202,Table1[Bill No.],$C202),IF($K202="PETROL",SUMIFS(Table14[Quantity],Table14[Customer],$B202,Table14[Date],$A202,Table14[Bill No.],$C202),IF($K202="XtraGreen",SUMIFS(Table146[Quantity],Table146[Company],$B202,Table146[Date],$A202,Table146[Bill No.],$C202),""))))</f>
        <v/>
      </c>
      <c r="E202" s="219" t="str">
        <f>IF($A202="","",IF($K202="DIESEL",AVERAGEIFS(Table1[RSP],Table1[Customer],$B202,Table1[Date],$A202,Table1[Bill No.],$C202),IF($K202="PETROL",AVERAGEIFS(Table14[RSP],Table14[Customer],$B202,Table14[Date],$A202,Table14[Bill No.],$C202),IF($K202="XtraGreen",AVERAGEIFS(Table146[RSP],Table146[Company],$B202,Table146[Date],$A202,Table146[Bill No.],$C202),IFERROR($F202/$D202,"")))))</f>
        <v/>
      </c>
      <c r="F202" s="330" t="str">
        <f>IF($A202="","",IF($K202="DIESEL",SUMIFS(Table1[Amount],Table1[Customer],$B202,Table1[Date],$A202,Table1[Bill No.],$C202),IF($K202="PETROL",SUMIFS(Table14[Amount],Table14[Customer],$B202,Table14[Date],$A202,Table14[Bill No.],$C202),IF($K202="XtraGreen",SUMIFS(Table146[Amount],Table146[Company],$B202,Table146[Date],$A202,Table146[Bill No.],$C202),SUMIFS('Other Sale'!$D:$D,'Other Sale'!$E:$E,$B202,'Other Sale'!$C:$C,$K202,'Other Sale'!$A:$A,$A202)))))</f>
        <v/>
      </c>
      <c r="G202" s="330" t="str" cm="1">
        <f t="array" ref="G202">IF($A202="","",IF($K202="Payment",IFERROR(INDEX(_xlfn._xlws.FILTER(MasterPaid[Amount Paid],(MasterPaid[Customer]=$B202)*(MasterPaid[Date]=$A202)),COUNTIFS($A$6:$A202,$A202,$B$6:$B202,$B202,$K$6:$K202,"Payment")),0),0))</f>
        <v/>
      </c>
      <c r="H202" s="331"/>
      <c r="I202" s="331"/>
      <c r="J202" s="330" t="str">
        <f t="shared" si="3"/>
        <v/>
      </c>
      <c r="K202" s="289" t="str" cm="1">
        <f t="array" ref="K202">IFERROR(INDEX(_xlfn.ANCHORARRAY($Q$6),ROW()-5,4),"")</f>
        <v/>
      </c>
      <c r="L202" s="290"/>
      <c r="U202">
        <f>IF(OR($A202="",$F202=""),0,MAX(0,MIN($F202,SUMIFS($F$6:$F202,$B$6:$B202,$B202)-(SUMIFS($G$6:$G$355,$B$6:$B$355,$B202)+SUMIFS($H$6:$H$355,$B$6:$B$355,$B202)+SUMIFS($I$6:$I$355,$B$6:$B$355,$B202)))))</f>
        <v>0</v>
      </c>
    </row>
    <row r="203" spans="1:21" ht="23" x14ac:dyDescent="0.25">
      <c r="A203" s="217" t="str" cm="1">
        <f t="array" ref="A203">IFERROR(INDEX(_xlfn.ANCHORARRAY($Q$6),ROW()-5,1),"")</f>
        <v/>
      </c>
      <c r="B203" s="288" t="str" cm="1">
        <f t="array" ref="B203">IFERROR(INDEX(_xlfn.ANCHORARRAY($Q$6),ROW()-5,2),"")</f>
        <v/>
      </c>
      <c r="C203" s="289" t="str" cm="1">
        <f t="array" ref="C203">IFERROR(INDEX(_xlfn.ANCHORARRAY($Q$6),ROW()-5,3),"")</f>
        <v/>
      </c>
      <c r="D203" s="218" t="str">
        <f>IF($A203="","",IF($K203="DIESEL",SUMIFS(Table1[Quantity],Table1[Customer],$B203,Table1[Date],$A203,Table1[Bill No.],$C203),IF($K203="PETROL",SUMIFS(Table14[Quantity],Table14[Customer],$B203,Table14[Date],$A203,Table14[Bill No.],$C203),IF($K203="XtraGreen",SUMIFS(Table146[Quantity],Table146[Company],$B203,Table146[Date],$A203,Table146[Bill No.],$C203),""))))</f>
        <v/>
      </c>
      <c r="E203" s="219" t="str">
        <f>IF($A203="","",IF($K203="DIESEL",AVERAGEIFS(Table1[RSP],Table1[Customer],$B203,Table1[Date],$A203,Table1[Bill No.],$C203),IF($K203="PETROL",AVERAGEIFS(Table14[RSP],Table14[Customer],$B203,Table14[Date],$A203,Table14[Bill No.],$C203),IF($K203="XtraGreen",AVERAGEIFS(Table146[RSP],Table146[Company],$B203,Table146[Date],$A203,Table146[Bill No.],$C203),IFERROR($F203/$D203,"")))))</f>
        <v/>
      </c>
      <c r="F203" s="330" t="str">
        <f>IF($A203="","",IF($K203="DIESEL",SUMIFS(Table1[Amount],Table1[Customer],$B203,Table1[Date],$A203,Table1[Bill No.],$C203),IF($K203="PETROL",SUMIFS(Table14[Amount],Table14[Customer],$B203,Table14[Date],$A203,Table14[Bill No.],$C203),IF($K203="XtraGreen",SUMIFS(Table146[Amount],Table146[Company],$B203,Table146[Date],$A203,Table146[Bill No.],$C203),SUMIFS('Other Sale'!$D:$D,'Other Sale'!$E:$E,$B203,'Other Sale'!$C:$C,$K203,'Other Sale'!$A:$A,$A203)))))</f>
        <v/>
      </c>
      <c r="G203" s="330" t="str" cm="1">
        <f t="array" ref="G203">IF($A203="","",IF($K203="Payment",IFERROR(INDEX(_xlfn._xlws.FILTER(MasterPaid[Amount Paid],(MasterPaid[Customer]=$B203)*(MasterPaid[Date]=$A203)),COUNTIFS($A$6:$A203,$A203,$B$6:$B203,$B203,$K$6:$K203,"Payment")),0),0))</f>
        <v/>
      </c>
      <c r="H203" s="331"/>
      <c r="I203" s="331"/>
      <c r="J203" s="330" t="str">
        <f t="shared" si="3"/>
        <v/>
      </c>
      <c r="K203" s="289" t="str" cm="1">
        <f t="array" ref="K203">IFERROR(INDEX(_xlfn.ANCHORARRAY($Q$6),ROW()-5,4),"")</f>
        <v/>
      </c>
      <c r="L203" s="290"/>
      <c r="U203">
        <f>IF(OR($A203="",$F203=""),0,MAX(0,MIN($F203,SUMIFS($F$6:$F203,$B$6:$B203,$B203)-(SUMIFS($G$6:$G$355,$B$6:$B$355,$B203)+SUMIFS($H$6:$H$355,$B$6:$B$355,$B203)+SUMIFS($I$6:$I$355,$B$6:$B$355,$B203)))))</f>
        <v>0</v>
      </c>
    </row>
    <row r="204" spans="1:21" ht="23" x14ac:dyDescent="0.25">
      <c r="A204" s="217" t="str" cm="1">
        <f t="array" ref="A204">IFERROR(INDEX(_xlfn.ANCHORARRAY($Q$6),ROW()-5,1),"")</f>
        <v/>
      </c>
      <c r="B204" s="288" t="str" cm="1">
        <f t="array" ref="B204">IFERROR(INDEX(_xlfn.ANCHORARRAY($Q$6),ROW()-5,2),"")</f>
        <v/>
      </c>
      <c r="C204" s="289" t="str" cm="1">
        <f t="array" ref="C204">IFERROR(INDEX(_xlfn.ANCHORARRAY($Q$6),ROW()-5,3),"")</f>
        <v/>
      </c>
      <c r="D204" s="218" t="str">
        <f>IF($A204="","",IF($K204="DIESEL",SUMIFS(Table1[Quantity],Table1[Customer],$B204,Table1[Date],$A204,Table1[Bill No.],$C204),IF($K204="PETROL",SUMIFS(Table14[Quantity],Table14[Customer],$B204,Table14[Date],$A204,Table14[Bill No.],$C204),IF($K204="XtraGreen",SUMIFS(Table146[Quantity],Table146[Company],$B204,Table146[Date],$A204,Table146[Bill No.],$C204),""))))</f>
        <v/>
      </c>
      <c r="E204" s="219" t="str">
        <f>IF($A204="","",IF($K204="DIESEL",AVERAGEIFS(Table1[RSP],Table1[Customer],$B204,Table1[Date],$A204,Table1[Bill No.],$C204),IF($K204="PETROL",AVERAGEIFS(Table14[RSP],Table14[Customer],$B204,Table14[Date],$A204,Table14[Bill No.],$C204),IF($K204="XtraGreen",AVERAGEIFS(Table146[RSP],Table146[Company],$B204,Table146[Date],$A204,Table146[Bill No.],$C204),IFERROR($F204/$D204,"")))))</f>
        <v/>
      </c>
      <c r="F204" s="330" t="str">
        <f>IF($A204="","",IF($K204="DIESEL",SUMIFS(Table1[Amount],Table1[Customer],$B204,Table1[Date],$A204,Table1[Bill No.],$C204),IF($K204="PETROL",SUMIFS(Table14[Amount],Table14[Customer],$B204,Table14[Date],$A204,Table14[Bill No.],$C204),IF($K204="XtraGreen",SUMIFS(Table146[Amount],Table146[Company],$B204,Table146[Date],$A204,Table146[Bill No.],$C204),SUMIFS('Other Sale'!$D:$D,'Other Sale'!$E:$E,$B204,'Other Sale'!$C:$C,$K204,'Other Sale'!$A:$A,$A204)))))</f>
        <v/>
      </c>
      <c r="G204" s="330" t="str" cm="1">
        <f t="array" ref="G204">IF($A204="","",IF($K204="Payment",IFERROR(INDEX(_xlfn._xlws.FILTER(MasterPaid[Amount Paid],(MasterPaid[Customer]=$B204)*(MasterPaid[Date]=$A204)),COUNTIFS($A$6:$A204,$A204,$B$6:$B204,$B204,$K$6:$K204,"Payment")),0),0))</f>
        <v/>
      </c>
      <c r="H204" s="331"/>
      <c r="I204" s="331"/>
      <c r="J204" s="330" t="str">
        <f t="shared" si="3"/>
        <v/>
      </c>
      <c r="K204" s="289" t="str" cm="1">
        <f t="array" ref="K204">IFERROR(INDEX(_xlfn.ANCHORARRAY($Q$6),ROW()-5,4),"")</f>
        <v/>
      </c>
      <c r="L204" s="290"/>
      <c r="U204">
        <f>IF(OR($A204="",$F204=""),0,MAX(0,MIN($F204,SUMIFS($F$6:$F204,$B$6:$B204,$B204)-(SUMIFS($G$6:$G$355,$B$6:$B$355,$B204)+SUMIFS($H$6:$H$355,$B$6:$B$355,$B204)+SUMIFS($I$6:$I$355,$B$6:$B$355,$B204)))))</f>
        <v>0</v>
      </c>
    </row>
    <row r="205" spans="1:21" ht="23" x14ac:dyDescent="0.25">
      <c r="A205" s="217" t="str" cm="1">
        <f t="array" ref="A205">IFERROR(INDEX(_xlfn.ANCHORARRAY($Q$6),ROW()-5,1),"")</f>
        <v/>
      </c>
      <c r="B205" s="288" t="str" cm="1">
        <f t="array" ref="B205">IFERROR(INDEX(_xlfn.ANCHORARRAY($Q$6),ROW()-5,2),"")</f>
        <v/>
      </c>
      <c r="C205" s="289" t="str" cm="1">
        <f t="array" ref="C205">IFERROR(INDEX(_xlfn.ANCHORARRAY($Q$6),ROW()-5,3),"")</f>
        <v/>
      </c>
      <c r="D205" s="218" t="str">
        <f>IF($A205="","",IF($K205="DIESEL",SUMIFS(Table1[Quantity],Table1[Customer],$B205,Table1[Date],$A205,Table1[Bill No.],$C205),IF($K205="PETROL",SUMIFS(Table14[Quantity],Table14[Customer],$B205,Table14[Date],$A205,Table14[Bill No.],$C205),IF($K205="XtraGreen",SUMIFS(Table146[Quantity],Table146[Company],$B205,Table146[Date],$A205,Table146[Bill No.],$C205),""))))</f>
        <v/>
      </c>
      <c r="E205" s="219" t="str">
        <f>IF($A205="","",IF($K205="DIESEL",AVERAGEIFS(Table1[RSP],Table1[Customer],$B205,Table1[Date],$A205,Table1[Bill No.],$C205),IF($K205="PETROL",AVERAGEIFS(Table14[RSP],Table14[Customer],$B205,Table14[Date],$A205,Table14[Bill No.],$C205),IF($K205="XtraGreen",AVERAGEIFS(Table146[RSP],Table146[Company],$B205,Table146[Date],$A205,Table146[Bill No.],$C205),IFERROR($F205/$D205,"")))))</f>
        <v/>
      </c>
      <c r="F205" s="330" t="str">
        <f>IF($A205="","",IF($K205="DIESEL",SUMIFS(Table1[Amount],Table1[Customer],$B205,Table1[Date],$A205,Table1[Bill No.],$C205),IF($K205="PETROL",SUMIFS(Table14[Amount],Table14[Customer],$B205,Table14[Date],$A205,Table14[Bill No.],$C205),IF($K205="XtraGreen",SUMIFS(Table146[Amount],Table146[Company],$B205,Table146[Date],$A205,Table146[Bill No.],$C205),SUMIFS('Other Sale'!$D:$D,'Other Sale'!$E:$E,$B205,'Other Sale'!$C:$C,$K205,'Other Sale'!$A:$A,$A205)))))</f>
        <v/>
      </c>
      <c r="G205" s="330" t="str" cm="1">
        <f t="array" ref="G205">IF($A205="","",IF($K205="Payment",IFERROR(INDEX(_xlfn._xlws.FILTER(MasterPaid[Amount Paid],(MasterPaid[Customer]=$B205)*(MasterPaid[Date]=$A205)),COUNTIFS($A$6:$A205,$A205,$B$6:$B205,$B205,$K$6:$K205,"Payment")),0),0))</f>
        <v/>
      </c>
      <c r="H205" s="331"/>
      <c r="I205" s="331"/>
      <c r="J205" s="330" t="str">
        <f t="shared" si="3"/>
        <v/>
      </c>
      <c r="K205" s="289" t="str" cm="1">
        <f t="array" ref="K205">IFERROR(INDEX(_xlfn.ANCHORARRAY($Q$6),ROW()-5,4),"")</f>
        <v/>
      </c>
      <c r="L205" s="290"/>
      <c r="U205">
        <f>IF(OR($A205="",$F205=""),0,MAX(0,MIN($F205,SUMIFS($F$6:$F205,$B$6:$B205,$B205)-(SUMIFS($G$6:$G$355,$B$6:$B$355,$B205)+SUMIFS($H$6:$H$355,$B$6:$B$355,$B205)+SUMIFS($I$6:$I$355,$B$6:$B$355,$B205)))))</f>
        <v>0</v>
      </c>
    </row>
    <row r="206" spans="1:21" ht="23" x14ac:dyDescent="0.25">
      <c r="A206" s="217" t="str" cm="1">
        <f t="array" ref="A206">IFERROR(INDEX(_xlfn.ANCHORARRAY($Q$6),ROW()-5,1),"")</f>
        <v/>
      </c>
      <c r="B206" s="288" t="str" cm="1">
        <f t="array" ref="B206">IFERROR(INDEX(_xlfn.ANCHORARRAY($Q$6),ROW()-5,2),"")</f>
        <v/>
      </c>
      <c r="C206" s="289" t="str" cm="1">
        <f t="array" ref="C206">IFERROR(INDEX(_xlfn.ANCHORARRAY($Q$6),ROW()-5,3),"")</f>
        <v/>
      </c>
      <c r="D206" s="218" t="str">
        <f>IF($A206="","",IF($K206="DIESEL",SUMIFS(Table1[Quantity],Table1[Customer],$B206,Table1[Date],$A206,Table1[Bill No.],$C206),IF($K206="PETROL",SUMIFS(Table14[Quantity],Table14[Customer],$B206,Table14[Date],$A206,Table14[Bill No.],$C206),IF($K206="XtraGreen",SUMIFS(Table146[Quantity],Table146[Company],$B206,Table146[Date],$A206,Table146[Bill No.],$C206),""))))</f>
        <v/>
      </c>
      <c r="E206" s="219" t="str">
        <f>IF($A206="","",IF($K206="DIESEL",AVERAGEIFS(Table1[RSP],Table1[Customer],$B206,Table1[Date],$A206,Table1[Bill No.],$C206),IF($K206="PETROL",AVERAGEIFS(Table14[RSP],Table14[Customer],$B206,Table14[Date],$A206,Table14[Bill No.],$C206),IF($K206="XtraGreen",AVERAGEIFS(Table146[RSP],Table146[Company],$B206,Table146[Date],$A206,Table146[Bill No.],$C206),IFERROR($F206/$D206,"")))))</f>
        <v/>
      </c>
      <c r="F206" s="330" t="str">
        <f>IF($A206="","",IF($K206="DIESEL",SUMIFS(Table1[Amount],Table1[Customer],$B206,Table1[Date],$A206,Table1[Bill No.],$C206),IF($K206="PETROL",SUMIFS(Table14[Amount],Table14[Customer],$B206,Table14[Date],$A206,Table14[Bill No.],$C206),IF($K206="XtraGreen",SUMIFS(Table146[Amount],Table146[Company],$B206,Table146[Date],$A206,Table146[Bill No.],$C206),SUMIFS('Other Sale'!$D:$D,'Other Sale'!$E:$E,$B206,'Other Sale'!$C:$C,$K206,'Other Sale'!$A:$A,$A206)))))</f>
        <v/>
      </c>
      <c r="G206" s="330" t="str" cm="1">
        <f t="array" ref="G206">IF($A206="","",IF($K206="Payment",IFERROR(INDEX(_xlfn._xlws.FILTER(MasterPaid[Amount Paid],(MasterPaid[Customer]=$B206)*(MasterPaid[Date]=$A206)),COUNTIFS($A$6:$A206,$A206,$B$6:$B206,$B206,$K$6:$K206,"Payment")),0),0))</f>
        <v/>
      </c>
      <c r="H206" s="331"/>
      <c r="I206" s="331"/>
      <c r="J206" s="330" t="str">
        <f t="shared" si="3"/>
        <v/>
      </c>
      <c r="K206" s="289" t="str" cm="1">
        <f t="array" ref="K206">IFERROR(INDEX(_xlfn.ANCHORARRAY($Q$6),ROW()-5,4),"")</f>
        <v/>
      </c>
      <c r="L206" s="290"/>
      <c r="U206">
        <f>IF(OR($A206="",$F206=""),0,MAX(0,MIN($F206,SUMIFS($F$6:$F206,$B$6:$B206,$B206)-(SUMIFS($G$6:$G$355,$B$6:$B$355,$B206)+SUMIFS($H$6:$H$355,$B$6:$B$355,$B206)+SUMIFS($I$6:$I$355,$B$6:$B$355,$B206)))))</f>
        <v>0</v>
      </c>
    </row>
    <row r="207" spans="1:21" ht="23" x14ac:dyDescent="0.25">
      <c r="A207" s="217" t="str" cm="1">
        <f t="array" ref="A207">IFERROR(INDEX(_xlfn.ANCHORARRAY($Q$6),ROW()-5,1),"")</f>
        <v/>
      </c>
      <c r="B207" s="288" t="str" cm="1">
        <f t="array" ref="B207">IFERROR(INDEX(_xlfn.ANCHORARRAY($Q$6),ROW()-5,2),"")</f>
        <v/>
      </c>
      <c r="C207" s="289" t="str" cm="1">
        <f t="array" ref="C207">IFERROR(INDEX(_xlfn.ANCHORARRAY($Q$6),ROW()-5,3),"")</f>
        <v/>
      </c>
      <c r="D207" s="218" t="str">
        <f>IF($A207="","",IF($K207="DIESEL",SUMIFS(Table1[Quantity],Table1[Customer],$B207,Table1[Date],$A207,Table1[Bill No.],$C207),IF($K207="PETROL",SUMIFS(Table14[Quantity],Table14[Customer],$B207,Table14[Date],$A207,Table14[Bill No.],$C207),IF($K207="XtraGreen",SUMIFS(Table146[Quantity],Table146[Company],$B207,Table146[Date],$A207,Table146[Bill No.],$C207),""))))</f>
        <v/>
      </c>
      <c r="E207" s="219" t="str">
        <f>IF($A207="","",IF($K207="DIESEL",AVERAGEIFS(Table1[RSP],Table1[Customer],$B207,Table1[Date],$A207,Table1[Bill No.],$C207),IF($K207="PETROL",AVERAGEIFS(Table14[RSP],Table14[Customer],$B207,Table14[Date],$A207,Table14[Bill No.],$C207),IF($K207="XtraGreen",AVERAGEIFS(Table146[RSP],Table146[Company],$B207,Table146[Date],$A207,Table146[Bill No.],$C207),IFERROR($F207/$D207,"")))))</f>
        <v/>
      </c>
      <c r="F207" s="330" t="str">
        <f>IF($A207="","",IF($K207="DIESEL",SUMIFS(Table1[Amount],Table1[Customer],$B207,Table1[Date],$A207,Table1[Bill No.],$C207),IF($K207="PETROL",SUMIFS(Table14[Amount],Table14[Customer],$B207,Table14[Date],$A207,Table14[Bill No.],$C207),IF($K207="XtraGreen",SUMIFS(Table146[Amount],Table146[Company],$B207,Table146[Date],$A207,Table146[Bill No.],$C207),SUMIFS('Other Sale'!$D:$D,'Other Sale'!$E:$E,$B207,'Other Sale'!$C:$C,$K207,'Other Sale'!$A:$A,$A207)))))</f>
        <v/>
      </c>
      <c r="G207" s="330" t="str" cm="1">
        <f t="array" ref="G207">IF($A207="","",IF($K207="Payment",IFERROR(INDEX(_xlfn._xlws.FILTER(MasterPaid[Amount Paid],(MasterPaid[Customer]=$B207)*(MasterPaid[Date]=$A207)),COUNTIFS($A$6:$A207,$A207,$B$6:$B207,$B207,$K$6:$K207,"Payment")),0),0))</f>
        <v/>
      </c>
      <c r="H207" s="331"/>
      <c r="I207" s="331"/>
      <c r="J207" s="330" t="str">
        <f t="shared" si="3"/>
        <v/>
      </c>
      <c r="K207" s="289" t="str" cm="1">
        <f t="array" ref="K207">IFERROR(INDEX(_xlfn.ANCHORARRAY($Q$6),ROW()-5,4),"")</f>
        <v/>
      </c>
      <c r="L207" s="290"/>
      <c r="U207">
        <f>IF(OR($A207="",$F207=""),0,MAX(0,MIN($F207,SUMIFS($F$6:$F207,$B$6:$B207,$B207)-(SUMIFS($G$6:$G$355,$B$6:$B$355,$B207)+SUMIFS($H$6:$H$355,$B$6:$B$355,$B207)+SUMIFS($I$6:$I$355,$B$6:$B$355,$B207)))))</f>
        <v>0</v>
      </c>
    </row>
    <row r="208" spans="1:21" ht="23" x14ac:dyDescent="0.25">
      <c r="A208" s="217" t="str" cm="1">
        <f t="array" ref="A208">IFERROR(INDEX(_xlfn.ANCHORARRAY($Q$6),ROW()-5,1),"")</f>
        <v/>
      </c>
      <c r="B208" s="288" t="str" cm="1">
        <f t="array" ref="B208">IFERROR(INDEX(_xlfn.ANCHORARRAY($Q$6),ROW()-5,2),"")</f>
        <v/>
      </c>
      <c r="C208" s="289" t="str" cm="1">
        <f t="array" ref="C208">IFERROR(INDEX(_xlfn.ANCHORARRAY($Q$6),ROW()-5,3),"")</f>
        <v/>
      </c>
      <c r="D208" s="218" t="str">
        <f>IF($A208="","",IF($K208="DIESEL",SUMIFS(Table1[Quantity],Table1[Customer],$B208,Table1[Date],$A208,Table1[Bill No.],$C208),IF($K208="PETROL",SUMIFS(Table14[Quantity],Table14[Customer],$B208,Table14[Date],$A208,Table14[Bill No.],$C208),IF($K208="XtraGreen",SUMIFS(Table146[Quantity],Table146[Company],$B208,Table146[Date],$A208,Table146[Bill No.],$C208),""))))</f>
        <v/>
      </c>
      <c r="E208" s="219" t="str">
        <f>IF($A208="","",IF($K208="DIESEL",AVERAGEIFS(Table1[RSP],Table1[Customer],$B208,Table1[Date],$A208,Table1[Bill No.],$C208),IF($K208="PETROL",AVERAGEIFS(Table14[RSP],Table14[Customer],$B208,Table14[Date],$A208,Table14[Bill No.],$C208),IF($K208="XtraGreen",AVERAGEIFS(Table146[RSP],Table146[Company],$B208,Table146[Date],$A208,Table146[Bill No.],$C208),IFERROR($F208/$D208,"")))))</f>
        <v/>
      </c>
      <c r="F208" s="330" t="str">
        <f>IF($A208="","",IF($K208="DIESEL",SUMIFS(Table1[Amount],Table1[Customer],$B208,Table1[Date],$A208,Table1[Bill No.],$C208),IF($K208="PETROL",SUMIFS(Table14[Amount],Table14[Customer],$B208,Table14[Date],$A208,Table14[Bill No.],$C208),IF($K208="XtraGreen",SUMIFS(Table146[Amount],Table146[Company],$B208,Table146[Date],$A208,Table146[Bill No.],$C208),SUMIFS('Other Sale'!$D:$D,'Other Sale'!$E:$E,$B208,'Other Sale'!$C:$C,$K208,'Other Sale'!$A:$A,$A208)))))</f>
        <v/>
      </c>
      <c r="G208" s="330" t="str" cm="1">
        <f t="array" ref="G208">IF($A208="","",IF($K208="Payment",IFERROR(INDEX(_xlfn._xlws.FILTER(MasterPaid[Amount Paid],(MasterPaid[Customer]=$B208)*(MasterPaid[Date]=$A208)),COUNTIFS($A$6:$A208,$A208,$B$6:$B208,$B208,$K$6:$K208,"Payment")),0),0))</f>
        <v/>
      </c>
      <c r="H208" s="331"/>
      <c r="I208" s="331"/>
      <c r="J208" s="330" t="str">
        <f t="shared" si="3"/>
        <v/>
      </c>
      <c r="K208" s="289" t="str" cm="1">
        <f t="array" ref="K208">IFERROR(INDEX(_xlfn.ANCHORARRAY($Q$6),ROW()-5,4),"")</f>
        <v/>
      </c>
      <c r="L208" s="290"/>
      <c r="U208">
        <f>IF(OR($A208="",$F208=""),0,MAX(0,MIN($F208,SUMIFS($F$6:$F208,$B$6:$B208,$B208)-(SUMIFS($G$6:$G$355,$B$6:$B$355,$B208)+SUMIFS($H$6:$H$355,$B$6:$B$355,$B208)+SUMIFS($I$6:$I$355,$B$6:$B$355,$B208)))))</f>
        <v>0</v>
      </c>
    </row>
    <row r="209" spans="1:21" ht="23" x14ac:dyDescent="0.25">
      <c r="A209" s="217" t="str" cm="1">
        <f t="array" ref="A209">IFERROR(INDEX(_xlfn.ANCHORARRAY($Q$6),ROW()-5,1),"")</f>
        <v/>
      </c>
      <c r="B209" s="288" t="str" cm="1">
        <f t="array" ref="B209">IFERROR(INDEX(_xlfn.ANCHORARRAY($Q$6),ROW()-5,2),"")</f>
        <v/>
      </c>
      <c r="C209" s="289" t="str" cm="1">
        <f t="array" ref="C209">IFERROR(INDEX(_xlfn.ANCHORARRAY($Q$6),ROW()-5,3),"")</f>
        <v/>
      </c>
      <c r="D209" s="218" t="str">
        <f>IF($A209="","",IF($K209="DIESEL",SUMIFS(Table1[Quantity],Table1[Customer],$B209,Table1[Date],$A209,Table1[Bill No.],$C209),IF($K209="PETROL",SUMIFS(Table14[Quantity],Table14[Customer],$B209,Table14[Date],$A209,Table14[Bill No.],$C209),IF($K209="XtraGreen",SUMIFS(Table146[Quantity],Table146[Company],$B209,Table146[Date],$A209,Table146[Bill No.],$C209),""))))</f>
        <v/>
      </c>
      <c r="E209" s="219" t="str">
        <f>IF($A209="","",IF($K209="DIESEL",AVERAGEIFS(Table1[RSP],Table1[Customer],$B209,Table1[Date],$A209,Table1[Bill No.],$C209),IF($K209="PETROL",AVERAGEIFS(Table14[RSP],Table14[Customer],$B209,Table14[Date],$A209,Table14[Bill No.],$C209),IF($K209="XtraGreen",AVERAGEIFS(Table146[RSP],Table146[Company],$B209,Table146[Date],$A209,Table146[Bill No.],$C209),IFERROR($F209/$D209,"")))))</f>
        <v/>
      </c>
      <c r="F209" s="330" t="str">
        <f>IF($A209="","",IF($K209="DIESEL",SUMIFS(Table1[Amount],Table1[Customer],$B209,Table1[Date],$A209,Table1[Bill No.],$C209),IF($K209="PETROL",SUMIFS(Table14[Amount],Table14[Customer],$B209,Table14[Date],$A209,Table14[Bill No.],$C209),IF($K209="XtraGreen",SUMIFS(Table146[Amount],Table146[Company],$B209,Table146[Date],$A209,Table146[Bill No.],$C209),SUMIFS('Other Sale'!$D:$D,'Other Sale'!$E:$E,$B209,'Other Sale'!$C:$C,$K209,'Other Sale'!$A:$A,$A209)))))</f>
        <v/>
      </c>
      <c r="G209" s="330" t="str" cm="1">
        <f t="array" ref="G209">IF($A209="","",IF($K209="Payment",IFERROR(INDEX(_xlfn._xlws.FILTER(MasterPaid[Amount Paid],(MasterPaid[Customer]=$B209)*(MasterPaid[Date]=$A209)),COUNTIFS($A$6:$A209,$A209,$B$6:$B209,$B209,$K$6:$K209,"Payment")),0),0))</f>
        <v/>
      </c>
      <c r="H209" s="331"/>
      <c r="I209" s="331"/>
      <c r="J209" s="330" t="str">
        <f t="shared" si="3"/>
        <v/>
      </c>
      <c r="K209" s="289" t="str" cm="1">
        <f t="array" ref="K209">IFERROR(INDEX(_xlfn.ANCHORARRAY($Q$6),ROW()-5,4),"")</f>
        <v/>
      </c>
      <c r="L209" s="290"/>
      <c r="U209">
        <f>IF(OR($A209="",$F209=""),0,MAX(0,MIN($F209,SUMIFS($F$6:$F209,$B$6:$B209,$B209)-(SUMIFS($G$6:$G$355,$B$6:$B$355,$B209)+SUMIFS($H$6:$H$355,$B$6:$B$355,$B209)+SUMIFS($I$6:$I$355,$B$6:$B$355,$B209)))))</f>
        <v>0</v>
      </c>
    </row>
    <row r="210" spans="1:21" ht="23" x14ac:dyDescent="0.25">
      <c r="A210" s="217" t="str" cm="1">
        <f t="array" ref="A210">IFERROR(INDEX(_xlfn.ANCHORARRAY($Q$6),ROW()-5,1),"")</f>
        <v/>
      </c>
      <c r="B210" s="288" t="str" cm="1">
        <f t="array" ref="B210">IFERROR(INDEX(_xlfn.ANCHORARRAY($Q$6),ROW()-5,2),"")</f>
        <v/>
      </c>
      <c r="C210" s="289" t="str" cm="1">
        <f t="array" ref="C210">IFERROR(INDEX(_xlfn.ANCHORARRAY($Q$6),ROW()-5,3),"")</f>
        <v/>
      </c>
      <c r="D210" s="218" t="str">
        <f>IF($A210="","",IF($K210="DIESEL",SUMIFS(Table1[Quantity],Table1[Customer],$B210,Table1[Date],$A210,Table1[Bill No.],$C210),IF($K210="PETROL",SUMIFS(Table14[Quantity],Table14[Customer],$B210,Table14[Date],$A210,Table14[Bill No.],$C210),IF($K210="XtraGreen",SUMIFS(Table146[Quantity],Table146[Company],$B210,Table146[Date],$A210,Table146[Bill No.],$C210),""))))</f>
        <v/>
      </c>
      <c r="E210" s="219" t="str">
        <f>IF($A210="","",IF($K210="DIESEL",AVERAGEIFS(Table1[RSP],Table1[Customer],$B210,Table1[Date],$A210,Table1[Bill No.],$C210),IF($K210="PETROL",AVERAGEIFS(Table14[RSP],Table14[Customer],$B210,Table14[Date],$A210,Table14[Bill No.],$C210),IF($K210="XtraGreen",AVERAGEIFS(Table146[RSP],Table146[Company],$B210,Table146[Date],$A210,Table146[Bill No.],$C210),IFERROR($F210/$D210,"")))))</f>
        <v/>
      </c>
      <c r="F210" s="330" t="str">
        <f>IF($A210="","",IF($K210="DIESEL",SUMIFS(Table1[Amount],Table1[Customer],$B210,Table1[Date],$A210,Table1[Bill No.],$C210),IF($K210="PETROL",SUMIFS(Table14[Amount],Table14[Customer],$B210,Table14[Date],$A210,Table14[Bill No.],$C210),IF($K210="XtraGreen",SUMIFS(Table146[Amount],Table146[Company],$B210,Table146[Date],$A210,Table146[Bill No.],$C210),SUMIFS('Other Sale'!$D:$D,'Other Sale'!$E:$E,$B210,'Other Sale'!$C:$C,$K210,'Other Sale'!$A:$A,$A210)))))</f>
        <v/>
      </c>
      <c r="G210" s="330" t="str" cm="1">
        <f t="array" ref="G210">IF($A210="","",IF($K210="Payment",IFERROR(INDEX(_xlfn._xlws.FILTER(MasterPaid[Amount Paid],(MasterPaid[Customer]=$B210)*(MasterPaid[Date]=$A210)),COUNTIFS($A$6:$A210,$A210,$B$6:$B210,$B210,$K$6:$K210,"Payment")),0),0))</f>
        <v/>
      </c>
      <c r="H210" s="331"/>
      <c r="I210" s="331"/>
      <c r="J210" s="330" t="str">
        <f t="shared" si="3"/>
        <v/>
      </c>
      <c r="K210" s="289" t="str" cm="1">
        <f t="array" ref="K210">IFERROR(INDEX(_xlfn.ANCHORARRAY($Q$6),ROW()-5,4),"")</f>
        <v/>
      </c>
      <c r="L210" s="290"/>
      <c r="U210">
        <f>IF(OR($A210="",$F210=""),0,MAX(0,MIN($F210,SUMIFS($F$6:$F210,$B$6:$B210,$B210)-(SUMIFS($G$6:$G$355,$B$6:$B$355,$B210)+SUMIFS($H$6:$H$355,$B$6:$B$355,$B210)+SUMIFS($I$6:$I$355,$B$6:$B$355,$B210)))))</f>
        <v>0</v>
      </c>
    </row>
    <row r="211" spans="1:21" ht="23" x14ac:dyDescent="0.25">
      <c r="A211" s="217" t="str" cm="1">
        <f t="array" ref="A211">IFERROR(INDEX(_xlfn.ANCHORARRAY($Q$6),ROW()-5,1),"")</f>
        <v/>
      </c>
      <c r="B211" s="288" t="str" cm="1">
        <f t="array" ref="B211">IFERROR(INDEX(_xlfn.ANCHORARRAY($Q$6),ROW()-5,2),"")</f>
        <v/>
      </c>
      <c r="C211" s="289" t="str" cm="1">
        <f t="array" ref="C211">IFERROR(INDEX(_xlfn.ANCHORARRAY($Q$6),ROW()-5,3),"")</f>
        <v/>
      </c>
      <c r="D211" s="218" t="str">
        <f>IF($A211="","",IF($K211="DIESEL",SUMIFS(Table1[Quantity],Table1[Customer],$B211,Table1[Date],$A211,Table1[Bill No.],$C211),IF($K211="PETROL",SUMIFS(Table14[Quantity],Table14[Customer],$B211,Table14[Date],$A211,Table14[Bill No.],$C211),IF($K211="XtraGreen",SUMIFS(Table146[Quantity],Table146[Company],$B211,Table146[Date],$A211,Table146[Bill No.],$C211),""))))</f>
        <v/>
      </c>
      <c r="E211" s="219" t="str">
        <f>IF($A211="","",IF($K211="DIESEL",AVERAGEIFS(Table1[RSP],Table1[Customer],$B211,Table1[Date],$A211,Table1[Bill No.],$C211),IF($K211="PETROL",AVERAGEIFS(Table14[RSP],Table14[Customer],$B211,Table14[Date],$A211,Table14[Bill No.],$C211),IF($K211="XtraGreen",AVERAGEIFS(Table146[RSP],Table146[Company],$B211,Table146[Date],$A211,Table146[Bill No.],$C211),IFERROR($F211/$D211,"")))))</f>
        <v/>
      </c>
      <c r="F211" s="330" t="str">
        <f>IF($A211="","",IF($K211="DIESEL",SUMIFS(Table1[Amount],Table1[Customer],$B211,Table1[Date],$A211,Table1[Bill No.],$C211),IF($K211="PETROL",SUMIFS(Table14[Amount],Table14[Customer],$B211,Table14[Date],$A211,Table14[Bill No.],$C211),IF($K211="XtraGreen",SUMIFS(Table146[Amount],Table146[Company],$B211,Table146[Date],$A211,Table146[Bill No.],$C211),SUMIFS('Other Sale'!$D:$D,'Other Sale'!$E:$E,$B211,'Other Sale'!$C:$C,$K211,'Other Sale'!$A:$A,$A211)))))</f>
        <v/>
      </c>
      <c r="G211" s="330" t="str" cm="1">
        <f t="array" ref="G211">IF($A211="","",IF($K211="Payment",IFERROR(INDEX(_xlfn._xlws.FILTER(MasterPaid[Amount Paid],(MasterPaid[Customer]=$B211)*(MasterPaid[Date]=$A211)),COUNTIFS($A$6:$A211,$A211,$B$6:$B211,$B211,$K$6:$K211,"Payment")),0),0))</f>
        <v/>
      </c>
      <c r="H211" s="331"/>
      <c r="I211" s="331"/>
      <c r="J211" s="330" t="str">
        <f t="shared" si="3"/>
        <v/>
      </c>
      <c r="K211" s="289" t="str" cm="1">
        <f t="array" ref="K211">IFERROR(INDEX(_xlfn.ANCHORARRAY($Q$6),ROW()-5,4),"")</f>
        <v/>
      </c>
      <c r="L211" s="290"/>
      <c r="U211">
        <f>IF(OR($A211="",$F211=""),0,MAX(0,MIN($F211,SUMIFS($F$6:$F211,$B$6:$B211,$B211)-(SUMIFS($G$6:$G$355,$B$6:$B$355,$B211)+SUMIFS($H$6:$H$355,$B$6:$B$355,$B211)+SUMIFS($I$6:$I$355,$B$6:$B$355,$B211)))))</f>
        <v>0</v>
      </c>
    </row>
    <row r="212" spans="1:21" ht="23" x14ac:dyDescent="0.25">
      <c r="A212" s="217" t="str" cm="1">
        <f t="array" ref="A212">IFERROR(INDEX(_xlfn.ANCHORARRAY($Q$6),ROW()-5,1),"")</f>
        <v/>
      </c>
      <c r="B212" s="288" t="str" cm="1">
        <f t="array" ref="B212">IFERROR(INDEX(_xlfn.ANCHORARRAY($Q$6),ROW()-5,2),"")</f>
        <v/>
      </c>
      <c r="C212" s="289" t="str" cm="1">
        <f t="array" ref="C212">IFERROR(INDEX(_xlfn.ANCHORARRAY($Q$6),ROW()-5,3),"")</f>
        <v/>
      </c>
      <c r="D212" s="218" t="str">
        <f>IF($A212="","",IF($K212="DIESEL",SUMIFS(Table1[Quantity],Table1[Customer],$B212,Table1[Date],$A212,Table1[Bill No.],$C212),IF($K212="PETROL",SUMIFS(Table14[Quantity],Table14[Customer],$B212,Table14[Date],$A212,Table14[Bill No.],$C212),IF($K212="XtraGreen",SUMIFS(Table146[Quantity],Table146[Company],$B212,Table146[Date],$A212,Table146[Bill No.],$C212),""))))</f>
        <v/>
      </c>
      <c r="E212" s="219" t="str">
        <f>IF($A212="","",IF($K212="DIESEL",AVERAGEIFS(Table1[RSP],Table1[Customer],$B212,Table1[Date],$A212,Table1[Bill No.],$C212),IF($K212="PETROL",AVERAGEIFS(Table14[RSP],Table14[Customer],$B212,Table14[Date],$A212,Table14[Bill No.],$C212),IF($K212="XtraGreen",AVERAGEIFS(Table146[RSP],Table146[Company],$B212,Table146[Date],$A212,Table146[Bill No.],$C212),IFERROR($F212/$D212,"")))))</f>
        <v/>
      </c>
      <c r="F212" s="330" t="str">
        <f>IF($A212="","",IF($K212="DIESEL",SUMIFS(Table1[Amount],Table1[Customer],$B212,Table1[Date],$A212,Table1[Bill No.],$C212),IF($K212="PETROL",SUMIFS(Table14[Amount],Table14[Customer],$B212,Table14[Date],$A212,Table14[Bill No.],$C212),IF($K212="XtraGreen",SUMIFS(Table146[Amount],Table146[Company],$B212,Table146[Date],$A212,Table146[Bill No.],$C212),SUMIFS('Other Sale'!$D:$D,'Other Sale'!$E:$E,$B212,'Other Sale'!$C:$C,$K212,'Other Sale'!$A:$A,$A212)))))</f>
        <v/>
      </c>
      <c r="G212" s="330" t="str" cm="1">
        <f t="array" ref="G212">IF($A212="","",IF($K212="Payment",IFERROR(INDEX(_xlfn._xlws.FILTER(MasterPaid[Amount Paid],(MasterPaid[Customer]=$B212)*(MasterPaid[Date]=$A212)),COUNTIFS($A$6:$A212,$A212,$B$6:$B212,$B212,$K$6:$K212,"Payment")),0),0))</f>
        <v/>
      </c>
      <c r="H212" s="331"/>
      <c r="I212" s="331"/>
      <c r="J212" s="330" t="str">
        <f t="shared" si="3"/>
        <v/>
      </c>
      <c r="K212" s="289" t="str" cm="1">
        <f t="array" ref="K212">IFERROR(INDEX(_xlfn.ANCHORARRAY($Q$6),ROW()-5,4),"")</f>
        <v/>
      </c>
      <c r="L212" s="290"/>
      <c r="U212">
        <f>IF(OR($A212="",$F212=""),0,MAX(0,MIN($F212,SUMIFS($F$6:$F212,$B$6:$B212,$B212)-(SUMIFS($G$6:$G$355,$B$6:$B$355,$B212)+SUMIFS($H$6:$H$355,$B$6:$B$355,$B212)+SUMIFS($I$6:$I$355,$B$6:$B$355,$B212)))))</f>
        <v>0</v>
      </c>
    </row>
    <row r="213" spans="1:21" ht="23" x14ac:dyDescent="0.25">
      <c r="A213" s="217" t="str" cm="1">
        <f t="array" ref="A213">IFERROR(INDEX(_xlfn.ANCHORARRAY($Q$6),ROW()-5,1),"")</f>
        <v/>
      </c>
      <c r="B213" s="288" t="str" cm="1">
        <f t="array" ref="B213">IFERROR(INDEX(_xlfn.ANCHORARRAY($Q$6),ROW()-5,2),"")</f>
        <v/>
      </c>
      <c r="C213" s="289" t="str" cm="1">
        <f t="array" ref="C213">IFERROR(INDEX(_xlfn.ANCHORARRAY($Q$6),ROW()-5,3),"")</f>
        <v/>
      </c>
      <c r="D213" s="218" t="str">
        <f>IF($A213="","",IF($K213="DIESEL",SUMIFS(Table1[Quantity],Table1[Customer],$B213,Table1[Date],$A213,Table1[Bill No.],$C213),IF($K213="PETROL",SUMIFS(Table14[Quantity],Table14[Customer],$B213,Table14[Date],$A213,Table14[Bill No.],$C213),IF($K213="XtraGreen",SUMIFS(Table146[Quantity],Table146[Company],$B213,Table146[Date],$A213,Table146[Bill No.],$C213),""))))</f>
        <v/>
      </c>
      <c r="E213" s="219" t="str">
        <f>IF($A213="","",IF($K213="DIESEL",AVERAGEIFS(Table1[RSP],Table1[Customer],$B213,Table1[Date],$A213,Table1[Bill No.],$C213),IF($K213="PETROL",AVERAGEIFS(Table14[RSP],Table14[Customer],$B213,Table14[Date],$A213,Table14[Bill No.],$C213),IF($K213="XtraGreen",AVERAGEIFS(Table146[RSP],Table146[Company],$B213,Table146[Date],$A213,Table146[Bill No.],$C213),IFERROR($F213/$D213,"")))))</f>
        <v/>
      </c>
      <c r="F213" s="330" t="str">
        <f>IF($A213="","",IF($K213="DIESEL",SUMIFS(Table1[Amount],Table1[Customer],$B213,Table1[Date],$A213,Table1[Bill No.],$C213),IF($K213="PETROL",SUMIFS(Table14[Amount],Table14[Customer],$B213,Table14[Date],$A213,Table14[Bill No.],$C213),IF($K213="XtraGreen",SUMIFS(Table146[Amount],Table146[Company],$B213,Table146[Date],$A213,Table146[Bill No.],$C213),SUMIFS('Other Sale'!$D:$D,'Other Sale'!$E:$E,$B213,'Other Sale'!$C:$C,$K213,'Other Sale'!$A:$A,$A213)))))</f>
        <v/>
      </c>
      <c r="G213" s="330" t="str" cm="1">
        <f t="array" ref="G213">IF($A213="","",IF($K213="Payment",IFERROR(INDEX(_xlfn._xlws.FILTER(MasterPaid[Amount Paid],(MasterPaid[Customer]=$B213)*(MasterPaid[Date]=$A213)),COUNTIFS($A$6:$A213,$A213,$B$6:$B213,$B213,$K$6:$K213,"Payment")),0),0))</f>
        <v/>
      </c>
      <c r="H213" s="331"/>
      <c r="I213" s="331"/>
      <c r="J213" s="330" t="str">
        <f t="shared" si="3"/>
        <v/>
      </c>
      <c r="K213" s="289" t="str" cm="1">
        <f t="array" ref="K213">IFERROR(INDEX(_xlfn.ANCHORARRAY($Q$6),ROW()-5,4),"")</f>
        <v/>
      </c>
      <c r="L213" s="290"/>
      <c r="U213">
        <f>IF(OR($A213="",$F213=""),0,MAX(0,MIN($F213,SUMIFS($F$6:$F213,$B$6:$B213,$B213)-(SUMIFS($G$6:$G$355,$B$6:$B$355,$B213)+SUMIFS($H$6:$H$355,$B$6:$B$355,$B213)+SUMIFS($I$6:$I$355,$B$6:$B$355,$B213)))))</f>
        <v>0</v>
      </c>
    </row>
    <row r="214" spans="1:21" ht="23" x14ac:dyDescent="0.25">
      <c r="A214" s="217" t="str" cm="1">
        <f t="array" ref="A214">IFERROR(INDEX(_xlfn.ANCHORARRAY($Q$6),ROW()-5,1),"")</f>
        <v/>
      </c>
      <c r="B214" s="288" t="str" cm="1">
        <f t="array" ref="B214">IFERROR(INDEX(_xlfn.ANCHORARRAY($Q$6),ROW()-5,2),"")</f>
        <v/>
      </c>
      <c r="C214" s="289" t="str" cm="1">
        <f t="array" ref="C214">IFERROR(INDEX(_xlfn.ANCHORARRAY($Q$6),ROW()-5,3),"")</f>
        <v/>
      </c>
      <c r="D214" s="218" t="str">
        <f>IF($A214="","",IF($K214="DIESEL",SUMIFS(Table1[Quantity],Table1[Customer],$B214,Table1[Date],$A214,Table1[Bill No.],$C214),IF($K214="PETROL",SUMIFS(Table14[Quantity],Table14[Customer],$B214,Table14[Date],$A214,Table14[Bill No.],$C214),IF($K214="XtraGreen",SUMIFS(Table146[Quantity],Table146[Company],$B214,Table146[Date],$A214,Table146[Bill No.],$C214),""))))</f>
        <v/>
      </c>
      <c r="E214" s="219" t="str">
        <f>IF($A214="","",IF($K214="DIESEL",AVERAGEIFS(Table1[RSP],Table1[Customer],$B214,Table1[Date],$A214,Table1[Bill No.],$C214),IF($K214="PETROL",AVERAGEIFS(Table14[RSP],Table14[Customer],$B214,Table14[Date],$A214,Table14[Bill No.],$C214),IF($K214="XtraGreen",AVERAGEIFS(Table146[RSP],Table146[Company],$B214,Table146[Date],$A214,Table146[Bill No.],$C214),IFERROR($F214/$D214,"")))))</f>
        <v/>
      </c>
      <c r="F214" s="330" t="str">
        <f>IF($A214="","",IF($K214="DIESEL",SUMIFS(Table1[Amount],Table1[Customer],$B214,Table1[Date],$A214,Table1[Bill No.],$C214),IF($K214="PETROL",SUMIFS(Table14[Amount],Table14[Customer],$B214,Table14[Date],$A214,Table14[Bill No.],$C214),IF($K214="XtraGreen",SUMIFS(Table146[Amount],Table146[Company],$B214,Table146[Date],$A214,Table146[Bill No.],$C214),SUMIFS('Other Sale'!$D:$D,'Other Sale'!$E:$E,$B214,'Other Sale'!$C:$C,$K214,'Other Sale'!$A:$A,$A214)))))</f>
        <v/>
      </c>
      <c r="G214" s="330" t="str" cm="1">
        <f t="array" ref="G214">IF($A214="","",IF($K214="Payment",IFERROR(INDEX(_xlfn._xlws.FILTER(MasterPaid[Amount Paid],(MasterPaid[Customer]=$B214)*(MasterPaid[Date]=$A214)),COUNTIFS($A$6:$A214,$A214,$B$6:$B214,$B214,$K$6:$K214,"Payment")),0),0))</f>
        <v/>
      </c>
      <c r="H214" s="331"/>
      <c r="I214" s="331"/>
      <c r="J214" s="330" t="str">
        <f t="shared" si="3"/>
        <v/>
      </c>
      <c r="K214" s="289" t="str" cm="1">
        <f t="array" ref="K214">IFERROR(INDEX(_xlfn.ANCHORARRAY($Q$6),ROW()-5,4),"")</f>
        <v/>
      </c>
      <c r="L214" s="290"/>
      <c r="U214">
        <f>IF(OR($A214="",$F214=""),0,MAX(0,MIN($F214,SUMIFS($F$6:$F214,$B$6:$B214,$B214)-(SUMIFS($G$6:$G$355,$B$6:$B$355,$B214)+SUMIFS($H$6:$H$355,$B$6:$B$355,$B214)+SUMIFS($I$6:$I$355,$B$6:$B$355,$B214)))))</f>
        <v>0</v>
      </c>
    </row>
    <row r="215" spans="1:21" ht="23" x14ac:dyDescent="0.25">
      <c r="A215" s="217" t="str" cm="1">
        <f t="array" ref="A215">IFERROR(INDEX(_xlfn.ANCHORARRAY($Q$6),ROW()-5,1),"")</f>
        <v/>
      </c>
      <c r="B215" s="288" t="str" cm="1">
        <f t="array" ref="B215">IFERROR(INDEX(_xlfn.ANCHORARRAY($Q$6),ROW()-5,2),"")</f>
        <v/>
      </c>
      <c r="C215" s="289" t="str" cm="1">
        <f t="array" ref="C215">IFERROR(INDEX(_xlfn.ANCHORARRAY($Q$6),ROW()-5,3),"")</f>
        <v/>
      </c>
      <c r="D215" s="218" t="str">
        <f>IF($A215="","",IF($K215="DIESEL",SUMIFS(Table1[Quantity],Table1[Customer],$B215,Table1[Date],$A215,Table1[Bill No.],$C215),IF($K215="PETROL",SUMIFS(Table14[Quantity],Table14[Customer],$B215,Table14[Date],$A215,Table14[Bill No.],$C215),IF($K215="XtraGreen",SUMIFS(Table146[Quantity],Table146[Company],$B215,Table146[Date],$A215,Table146[Bill No.],$C215),""))))</f>
        <v/>
      </c>
      <c r="E215" s="219" t="str">
        <f>IF($A215="","",IF($K215="DIESEL",AVERAGEIFS(Table1[RSP],Table1[Customer],$B215,Table1[Date],$A215,Table1[Bill No.],$C215),IF($K215="PETROL",AVERAGEIFS(Table14[RSP],Table14[Customer],$B215,Table14[Date],$A215,Table14[Bill No.],$C215),IF($K215="XtraGreen",AVERAGEIFS(Table146[RSP],Table146[Company],$B215,Table146[Date],$A215,Table146[Bill No.],$C215),IFERROR($F215/$D215,"")))))</f>
        <v/>
      </c>
      <c r="F215" s="330" t="str">
        <f>IF($A215="","",IF($K215="DIESEL",SUMIFS(Table1[Amount],Table1[Customer],$B215,Table1[Date],$A215,Table1[Bill No.],$C215),IF($K215="PETROL",SUMIFS(Table14[Amount],Table14[Customer],$B215,Table14[Date],$A215,Table14[Bill No.],$C215),IF($K215="XtraGreen",SUMIFS(Table146[Amount],Table146[Company],$B215,Table146[Date],$A215,Table146[Bill No.],$C215),SUMIFS('Other Sale'!$D:$D,'Other Sale'!$E:$E,$B215,'Other Sale'!$C:$C,$K215,'Other Sale'!$A:$A,$A215)))))</f>
        <v/>
      </c>
      <c r="G215" s="330" t="str" cm="1">
        <f t="array" ref="G215">IF($A215="","",IF($K215="Payment",IFERROR(INDEX(_xlfn._xlws.FILTER(MasterPaid[Amount Paid],(MasterPaid[Customer]=$B215)*(MasterPaid[Date]=$A215)),COUNTIFS($A$6:$A215,$A215,$B$6:$B215,$B215,$K$6:$K215,"Payment")),0),0))</f>
        <v/>
      </c>
      <c r="H215" s="331"/>
      <c r="I215" s="331"/>
      <c r="J215" s="330" t="str">
        <f t="shared" si="3"/>
        <v/>
      </c>
      <c r="K215" s="289" t="str" cm="1">
        <f t="array" ref="K215">IFERROR(INDEX(_xlfn.ANCHORARRAY($Q$6),ROW()-5,4),"")</f>
        <v/>
      </c>
      <c r="L215" s="290"/>
      <c r="U215">
        <f>IF(OR($A215="",$F215=""),0,MAX(0,MIN($F215,SUMIFS($F$6:$F215,$B$6:$B215,$B215)-(SUMIFS($G$6:$G$355,$B$6:$B$355,$B215)+SUMIFS($H$6:$H$355,$B$6:$B$355,$B215)+SUMIFS($I$6:$I$355,$B$6:$B$355,$B215)))))</f>
        <v>0</v>
      </c>
    </row>
    <row r="216" spans="1:21" ht="23" x14ac:dyDescent="0.25">
      <c r="A216" s="217" t="str" cm="1">
        <f t="array" ref="A216">IFERROR(INDEX(_xlfn.ANCHORARRAY($Q$6),ROW()-5,1),"")</f>
        <v/>
      </c>
      <c r="B216" s="288" t="str" cm="1">
        <f t="array" ref="B216">IFERROR(INDEX(_xlfn.ANCHORARRAY($Q$6),ROW()-5,2),"")</f>
        <v/>
      </c>
      <c r="C216" s="289" t="str" cm="1">
        <f t="array" ref="C216">IFERROR(INDEX(_xlfn.ANCHORARRAY($Q$6),ROW()-5,3),"")</f>
        <v/>
      </c>
      <c r="D216" s="218" t="str">
        <f>IF($A216="","",IF($K216="DIESEL",SUMIFS(Table1[Quantity],Table1[Customer],$B216,Table1[Date],$A216,Table1[Bill No.],$C216),IF($K216="PETROL",SUMIFS(Table14[Quantity],Table14[Customer],$B216,Table14[Date],$A216,Table14[Bill No.],$C216),IF($K216="XtraGreen",SUMIFS(Table146[Quantity],Table146[Company],$B216,Table146[Date],$A216,Table146[Bill No.],$C216),""))))</f>
        <v/>
      </c>
      <c r="E216" s="219" t="str">
        <f>IF($A216="","",IF($K216="DIESEL",AVERAGEIFS(Table1[RSP],Table1[Customer],$B216,Table1[Date],$A216,Table1[Bill No.],$C216),IF($K216="PETROL",AVERAGEIFS(Table14[RSP],Table14[Customer],$B216,Table14[Date],$A216,Table14[Bill No.],$C216),IF($K216="XtraGreen",AVERAGEIFS(Table146[RSP],Table146[Company],$B216,Table146[Date],$A216,Table146[Bill No.],$C216),IFERROR($F216/$D216,"")))))</f>
        <v/>
      </c>
      <c r="F216" s="330" t="str">
        <f>IF($A216="","",IF($K216="DIESEL",SUMIFS(Table1[Amount],Table1[Customer],$B216,Table1[Date],$A216,Table1[Bill No.],$C216),IF($K216="PETROL",SUMIFS(Table14[Amount],Table14[Customer],$B216,Table14[Date],$A216,Table14[Bill No.],$C216),IF($K216="XtraGreen",SUMIFS(Table146[Amount],Table146[Company],$B216,Table146[Date],$A216,Table146[Bill No.],$C216),SUMIFS('Other Sale'!$D:$D,'Other Sale'!$E:$E,$B216,'Other Sale'!$C:$C,$K216,'Other Sale'!$A:$A,$A216)))))</f>
        <v/>
      </c>
      <c r="G216" s="330" t="str" cm="1">
        <f t="array" ref="G216">IF($A216="","",IF($K216="Payment",IFERROR(INDEX(_xlfn._xlws.FILTER(MasterPaid[Amount Paid],(MasterPaid[Customer]=$B216)*(MasterPaid[Date]=$A216)),COUNTIFS($A$6:$A216,$A216,$B$6:$B216,$B216,$K$6:$K216,"Payment")),0),0))</f>
        <v/>
      </c>
      <c r="H216" s="331"/>
      <c r="I216" s="331"/>
      <c r="J216" s="330" t="str">
        <f t="shared" si="3"/>
        <v/>
      </c>
      <c r="K216" s="289" t="str" cm="1">
        <f t="array" ref="K216">IFERROR(INDEX(_xlfn.ANCHORARRAY($Q$6),ROW()-5,4),"")</f>
        <v/>
      </c>
      <c r="L216" s="290"/>
      <c r="U216">
        <f>IF(OR($A216="",$F216=""),0,MAX(0,MIN($F216,SUMIFS($F$6:$F216,$B$6:$B216,$B216)-(SUMIFS($G$6:$G$355,$B$6:$B$355,$B216)+SUMIFS($H$6:$H$355,$B$6:$B$355,$B216)+SUMIFS($I$6:$I$355,$B$6:$B$355,$B216)))))</f>
        <v>0</v>
      </c>
    </row>
    <row r="217" spans="1:21" ht="23" x14ac:dyDescent="0.25">
      <c r="A217" s="217" t="str" cm="1">
        <f t="array" ref="A217">IFERROR(INDEX(_xlfn.ANCHORARRAY($Q$6),ROW()-5,1),"")</f>
        <v/>
      </c>
      <c r="B217" s="288" t="str" cm="1">
        <f t="array" ref="B217">IFERROR(INDEX(_xlfn.ANCHORARRAY($Q$6),ROW()-5,2),"")</f>
        <v/>
      </c>
      <c r="C217" s="289" t="str" cm="1">
        <f t="array" ref="C217">IFERROR(INDEX(_xlfn.ANCHORARRAY($Q$6),ROW()-5,3),"")</f>
        <v/>
      </c>
      <c r="D217" s="218" t="str">
        <f>IF($A217="","",IF($K217="DIESEL",SUMIFS(Table1[Quantity],Table1[Customer],$B217,Table1[Date],$A217,Table1[Bill No.],$C217),IF($K217="PETROL",SUMIFS(Table14[Quantity],Table14[Customer],$B217,Table14[Date],$A217,Table14[Bill No.],$C217),IF($K217="XtraGreen",SUMIFS(Table146[Quantity],Table146[Company],$B217,Table146[Date],$A217,Table146[Bill No.],$C217),""))))</f>
        <v/>
      </c>
      <c r="E217" s="219" t="str">
        <f>IF($A217="","",IF($K217="DIESEL",AVERAGEIFS(Table1[RSP],Table1[Customer],$B217,Table1[Date],$A217,Table1[Bill No.],$C217),IF($K217="PETROL",AVERAGEIFS(Table14[RSP],Table14[Customer],$B217,Table14[Date],$A217,Table14[Bill No.],$C217),IF($K217="XtraGreen",AVERAGEIFS(Table146[RSP],Table146[Company],$B217,Table146[Date],$A217,Table146[Bill No.],$C217),IFERROR($F217/$D217,"")))))</f>
        <v/>
      </c>
      <c r="F217" s="330" t="str">
        <f>IF($A217="","",IF($K217="DIESEL",SUMIFS(Table1[Amount],Table1[Customer],$B217,Table1[Date],$A217,Table1[Bill No.],$C217),IF($K217="PETROL",SUMIFS(Table14[Amount],Table14[Customer],$B217,Table14[Date],$A217,Table14[Bill No.],$C217),IF($K217="XtraGreen",SUMIFS(Table146[Amount],Table146[Company],$B217,Table146[Date],$A217,Table146[Bill No.],$C217),SUMIFS('Other Sale'!$D:$D,'Other Sale'!$E:$E,$B217,'Other Sale'!$C:$C,$K217,'Other Sale'!$A:$A,$A217)))))</f>
        <v/>
      </c>
      <c r="G217" s="330" t="str" cm="1">
        <f t="array" ref="G217">IF($A217="","",IF($K217="Payment",IFERROR(INDEX(_xlfn._xlws.FILTER(MasterPaid[Amount Paid],(MasterPaid[Customer]=$B217)*(MasterPaid[Date]=$A217)),COUNTIFS($A$6:$A217,$A217,$B$6:$B217,$B217,$K$6:$K217,"Payment")),0),0))</f>
        <v/>
      </c>
      <c r="H217" s="331"/>
      <c r="I217" s="331"/>
      <c r="J217" s="330" t="str">
        <f t="shared" si="3"/>
        <v/>
      </c>
      <c r="K217" s="289" t="str" cm="1">
        <f t="array" ref="K217">IFERROR(INDEX(_xlfn.ANCHORARRAY($Q$6),ROW()-5,4),"")</f>
        <v/>
      </c>
      <c r="L217" s="290"/>
      <c r="U217">
        <f>IF(OR($A217="",$F217=""),0,MAX(0,MIN($F217,SUMIFS($F$6:$F217,$B$6:$B217,$B217)-(SUMIFS($G$6:$G$355,$B$6:$B$355,$B217)+SUMIFS($H$6:$H$355,$B$6:$B$355,$B217)+SUMIFS($I$6:$I$355,$B$6:$B$355,$B217)))))</f>
        <v>0</v>
      </c>
    </row>
    <row r="218" spans="1:21" ht="23" x14ac:dyDescent="0.25">
      <c r="A218" s="217" t="str" cm="1">
        <f t="array" ref="A218">IFERROR(INDEX(_xlfn.ANCHORARRAY($Q$6),ROW()-5,1),"")</f>
        <v/>
      </c>
      <c r="B218" s="288" t="str" cm="1">
        <f t="array" ref="B218">IFERROR(INDEX(_xlfn.ANCHORARRAY($Q$6),ROW()-5,2),"")</f>
        <v/>
      </c>
      <c r="C218" s="289" t="str" cm="1">
        <f t="array" ref="C218">IFERROR(INDEX(_xlfn.ANCHORARRAY($Q$6),ROW()-5,3),"")</f>
        <v/>
      </c>
      <c r="D218" s="218" t="str">
        <f>IF($A218="","",IF($K218="DIESEL",SUMIFS(Table1[Quantity],Table1[Customer],$B218,Table1[Date],$A218,Table1[Bill No.],$C218),IF($K218="PETROL",SUMIFS(Table14[Quantity],Table14[Customer],$B218,Table14[Date],$A218,Table14[Bill No.],$C218),IF($K218="XtraGreen",SUMIFS(Table146[Quantity],Table146[Company],$B218,Table146[Date],$A218,Table146[Bill No.],$C218),""))))</f>
        <v/>
      </c>
      <c r="E218" s="219" t="str">
        <f>IF($A218="","",IF($K218="DIESEL",AVERAGEIFS(Table1[RSP],Table1[Customer],$B218,Table1[Date],$A218,Table1[Bill No.],$C218),IF($K218="PETROL",AVERAGEIFS(Table14[RSP],Table14[Customer],$B218,Table14[Date],$A218,Table14[Bill No.],$C218),IF($K218="XtraGreen",AVERAGEIFS(Table146[RSP],Table146[Company],$B218,Table146[Date],$A218,Table146[Bill No.],$C218),IFERROR($F218/$D218,"")))))</f>
        <v/>
      </c>
      <c r="F218" s="330" t="str">
        <f>IF($A218="","",IF($K218="DIESEL",SUMIFS(Table1[Amount],Table1[Customer],$B218,Table1[Date],$A218,Table1[Bill No.],$C218),IF($K218="PETROL",SUMIFS(Table14[Amount],Table14[Customer],$B218,Table14[Date],$A218,Table14[Bill No.],$C218),IF($K218="XtraGreen",SUMIFS(Table146[Amount],Table146[Company],$B218,Table146[Date],$A218,Table146[Bill No.],$C218),SUMIFS('Other Sale'!$D:$D,'Other Sale'!$E:$E,$B218,'Other Sale'!$C:$C,$K218,'Other Sale'!$A:$A,$A218)))))</f>
        <v/>
      </c>
      <c r="G218" s="330" t="str" cm="1">
        <f t="array" ref="G218">IF($A218="","",IF($K218="Payment",IFERROR(INDEX(_xlfn._xlws.FILTER(MasterPaid[Amount Paid],(MasterPaid[Customer]=$B218)*(MasterPaid[Date]=$A218)),COUNTIFS($A$6:$A218,$A218,$B$6:$B218,$B218,$K$6:$K218,"Payment")),0),0))</f>
        <v/>
      </c>
      <c r="H218" s="331"/>
      <c r="I218" s="331"/>
      <c r="J218" s="330" t="str">
        <f t="shared" si="3"/>
        <v/>
      </c>
      <c r="K218" s="289" t="str" cm="1">
        <f t="array" ref="K218">IFERROR(INDEX(_xlfn.ANCHORARRAY($Q$6),ROW()-5,4),"")</f>
        <v/>
      </c>
      <c r="L218" s="290"/>
      <c r="U218">
        <f>IF(OR($A218="",$F218=""),0,MAX(0,MIN($F218,SUMIFS($F$6:$F218,$B$6:$B218,$B218)-(SUMIFS($G$6:$G$355,$B$6:$B$355,$B218)+SUMIFS($H$6:$H$355,$B$6:$B$355,$B218)+SUMIFS($I$6:$I$355,$B$6:$B$355,$B218)))))</f>
        <v>0</v>
      </c>
    </row>
    <row r="219" spans="1:21" ht="23" x14ac:dyDescent="0.25">
      <c r="A219" s="217" t="str" cm="1">
        <f t="array" ref="A219">IFERROR(INDEX(_xlfn.ANCHORARRAY($Q$6),ROW()-5,1),"")</f>
        <v/>
      </c>
      <c r="B219" s="288" t="str" cm="1">
        <f t="array" ref="B219">IFERROR(INDEX(_xlfn.ANCHORARRAY($Q$6),ROW()-5,2),"")</f>
        <v/>
      </c>
      <c r="C219" s="289" t="str" cm="1">
        <f t="array" ref="C219">IFERROR(INDEX(_xlfn.ANCHORARRAY($Q$6),ROW()-5,3),"")</f>
        <v/>
      </c>
      <c r="D219" s="218" t="str">
        <f>IF($A219="","",IF($K219="DIESEL",SUMIFS(Table1[Quantity],Table1[Customer],$B219,Table1[Date],$A219,Table1[Bill No.],$C219),IF($K219="PETROL",SUMIFS(Table14[Quantity],Table14[Customer],$B219,Table14[Date],$A219,Table14[Bill No.],$C219),IF($K219="XtraGreen",SUMIFS(Table146[Quantity],Table146[Company],$B219,Table146[Date],$A219,Table146[Bill No.],$C219),""))))</f>
        <v/>
      </c>
      <c r="E219" s="219" t="str">
        <f>IF($A219="","",IF($K219="DIESEL",AVERAGEIFS(Table1[RSP],Table1[Customer],$B219,Table1[Date],$A219,Table1[Bill No.],$C219),IF($K219="PETROL",AVERAGEIFS(Table14[RSP],Table14[Customer],$B219,Table14[Date],$A219,Table14[Bill No.],$C219),IF($K219="XtraGreen",AVERAGEIFS(Table146[RSP],Table146[Company],$B219,Table146[Date],$A219,Table146[Bill No.],$C219),IFERROR($F219/$D219,"")))))</f>
        <v/>
      </c>
      <c r="F219" s="330" t="str">
        <f>IF($A219="","",IF($K219="DIESEL",SUMIFS(Table1[Amount],Table1[Customer],$B219,Table1[Date],$A219,Table1[Bill No.],$C219),IF($K219="PETROL",SUMIFS(Table14[Amount],Table14[Customer],$B219,Table14[Date],$A219,Table14[Bill No.],$C219),IF($K219="XtraGreen",SUMIFS(Table146[Amount],Table146[Company],$B219,Table146[Date],$A219,Table146[Bill No.],$C219),SUMIFS('Other Sale'!$D:$D,'Other Sale'!$E:$E,$B219,'Other Sale'!$C:$C,$K219,'Other Sale'!$A:$A,$A219)))))</f>
        <v/>
      </c>
      <c r="G219" s="330" t="str" cm="1">
        <f t="array" ref="G219">IF($A219="","",IF($K219="Payment",IFERROR(INDEX(_xlfn._xlws.FILTER(MasterPaid[Amount Paid],(MasterPaid[Customer]=$B219)*(MasterPaid[Date]=$A219)),COUNTIFS($A$6:$A219,$A219,$B$6:$B219,$B219,$K$6:$K219,"Payment")),0),0))</f>
        <v/>
      </c>
      <c r="H219" s="331"/>
      <c r="I219" s="331"/>
      <c r="J219" s="330" t="str">
        <f t="shared" si="3"/>
        <v/>
      </c>
      <c r="K219" s="289" t="str" cm="1">
        <f t="array" ref="K219">IFERROR(INDEX(_xlfn.ANCHORARRAY($Q$6),ROW()-5,4),"")</f>
        <v/>
      </c>
      <c r="L219" s="290"/>
      <c r="U219">
        <f>IF(OR($A219="",$F219=""),0,MAX(0,MIN($F219,SUMIFS($F$6:$F219,$B$6:$B219,$B219)-(SUMIFS($G$6:$G$355,$B$6:$B$355,$B219)+SUMIFS($H$6:$H$355,$B$6:$B$355,$B219)+SUMIFS($I$6:$I$355,$B$6:$B$355,$B219)))))</f>
        <v>0</v>
      </c>
    </row>
    <row r="220" spans="1:21" ht="23" x14ac:dyDescent="0.25">
      <c r="A220" s="217" t="str" cm="1">
        <f t="array" ref="A220">IFERROR(INDEX(_xlfn.ANCHORARRAY($Q$6),ROW()-5,1),"")</f>
        <v/>
      </c>
      <c r="B220" s="288" t="str" cm="1">
        <f t="array" ref="B220">IFERROR(INDEX(_xlfn.ANCHORARRAY($Q$6),ROW()-5,2),"")</f>
        <v/>
      </c>
      <c r="C220" s="289" t="str" cm="1">
        <f t="array" ref="C220">IFERROR(INDEX(_xlfn.ANCHORARRAY($Q$6),ROW()-5,3),"")</f>
        <v/>
      </c>
      <c r="D220" s="218" t="str">
        <f>IF($A220="","",IF($K220="DIESEL",SUMIFS(Table1[Quantity],Table1[Customer],$B220,Table1[Date],$A220,Table1[Bill No.],$C220),IF($K220="PETROL",SUMIFS(Table14[Quantity],Table14[Customer],$B220,Table14[Date],$A220,Table14[Bill No.],$C220),IF($K220="XtraGreen",SUMIFS(Table146[Quantity],Table146[Company],$B220,Table146[Date],$A220,Table146[Bill No.],$C220),""))))</f>
        <v/>
      </c>
      <c r="E220" s="219" t="str">
        <f>IF($A220="","",IF($K220="DIESEL",AVERAGEIFS(Table1[RSP],Table1[Customer],$B220,Table1[Date],$A220,Table1[Bill No.],$C220),IF($K220="PETROL",AVERAGEIFS(Table14[RSP],Table14[Customer],$B220,Table14[Date],$A220,Table14[Bill No.],$C220),IF($K220="XtraGreen",AVERAGEIFS(Table146[RSP],Table146[Company],$B220,Table146[Date],$A220,Table146[Bill No.],$C220),IFERROR($F220/$D220,"")))))</f>
        <v/>
      </c>
      <c r="F220" s="330" t="str">
        <f>IF($A220="","",IF($K220="DIESEL",SUMIFS(Table1[Amount],Table1[Customer],$B220,Table1[Date],$A220,Table1[Bill No.],$C220),IF($K220="PETROL",SUMIFS(Table14[Amount],Table14[Customer],$B220,Table14[Date],$A220,Table14[Bill No.],$C220),IF($K220="XtraGreen",SUMIFS(Table146[Amount],Table146[Company],$B220,Table146[Date],$A220,Table146[Bill No.],$C220),SUMIFS('Other Sale'!$D:$D,'Other Sale'!$E:$E,$B220,'Other Sale'!$C:$C,$K220,'Other Sale'!$A:$A,$A220)))))</f>
        <v/>
      </c>
      <c r="G220" s="330" t="str" cm="1">
        <f t="array" ref="G220">IF($A220="","",IF($K220="Payment",IFERROR(INDEX(_xlfn._xlws.FILTER(MasterPaid[Amount Paid],(MasterPaid[Customer]=$B220)*(MasterPaid[Date]=$A220)),COUNTIFS($A$6:$A220,$A220,$B$6:$B220,$B220,$K$6:$K220,"Payment")),0),0))</f>
        <v/>
      </c>
      <c r="H220" s="331"/>
      <c r="I220" s="331"/>
      <c r="J220" s="330" t="str">
        <f t="shared" si="3"/>
        <v/>
      </c>
      <c r="K220" s="289" t="str" cm="1">
        <f t="array" ref="K220">IFERROR(INDEX(_xlfn.ANCHORARRAY($Q$6),ROW()-5,4),"")</f>
        <v/>
      </c>
      <c r="L220" s="290"/>
      <c r="U220">
        <f>IF(OR($A220="",$F220=""),0,MAX(0,MIN($F220,SUMIFS($F$6:$F220,$B$6:$B220,$B220)-(SUMIFS($G$6:$G$355,$B$6:$B$355,$B220)+SUMIFS($H$6:$H$355,$B$6:$B$355,$B220)+SUMIFS($I$6:$I$355,$B$6:$B$355,$B220)))))</f>
        <v>0</v>
      </c>
    </row>
    <row r="221" spans="1:21" ht="23" x14ac:dyDescent="0.25">
      <c r="A221" s="217" t="str" cm="1">
        <f t="array" ref="A221">IFERROR(INDEX(_xlfn.ANCHORARRAY($Q$6),ROW()-5,1),"")</f>
        <v/>
      </c>
      <c r="B221" s="288" t="str" cm="1">
        <f t="array" ref="B221">IFERROR(INDEX(_xlfn.ANCHORARRAY($Q$6),ROW()-5,2),"")</f>
        <v/>
      </c>
      <c r="C221" s="289" t="str" cm="1">
        <f t="array" ref="C221">IFERROR(INDEX(_xlfn.ANCHORARRAY($Q$6),ROW()-5,3),"")</f>
        <v/>
      </c>
      <c r="D221" s="218" t="str">
        <f>IF($A221="","",IF($K221="DIESEL",SUMIFS(Table1[Quantity],Table1[Customer],$B221,Table1[Date],$A221,Table1[Bill No.],$C221),IF($K221="PETROL",SUMIFS(Table14[Quantity],Table14[Customer],$B221,Table14[Date],$A221,Table14[Bill No.],$C221),IF($K221="XtraGreen",SUMIFS(Table146[Quantity],Table146[Company],$B221,Table146[Date],$A221,Table146[Bill No.],$C221),""))))</f>
        <v/>
      </c>
      <c r="E221" s="219" t="str">
        <f>IF($A221="","",IF($K221="DIESEL",AVERAGEIFS(Table1[RSP],Table1[Customer],$B221,Table1[Date],$A221,Table1[Bill No.],$C221),IF($K221="PETROL",AVERAGEIFS(Table14[RSP],Table14[Customer],$B221,Table14[Date],$A221,Table14[Bill No.],$C221),IF($K221="XtraGreen",AVERAGEIFS(Table146[RSP],Table146[Company],$B221,Table146[Date],$A221,Table146[Bill No.],$C221),IFERROR($F221/$D221,"")))))</f>
        <v/>
      </c>
      <c r="F221" s="330" t="str">
        <f>IF($A221="","",IF($K221="DIESEL",SUMIFS(Table1[Amount],Table1[Customer],$B221,Table1[Date],$A221,Table1[Bill No.],$C221),IF($K221="PETROL",SUMIFS(Table14[Amount],Table14[Customer],$B221,Table14[Date],$A221,Table14[Bill No.],$C221),IF($K221="XtraGreen",SUMIFS(Table146[Amount],Table146[Company],$B221,Table146[Date],$A221,Table146[Bill No.],$C221),SUMIFS('Other Sale'!$D:$D,'Other Sale'!$E:$E,$B221,'Other Sale'!$C:$C,$K221,'Other Sale'!$A:$A,$A221)))))</f>
        <v/>
      </c>
      <c r="G221" s="330" t="str" cm="1">
        <f t="array" ref="G221">IF($A221="","",IF($K221="Payment",IFERROR(INDEX(_xlfn._xlws.FILTER(MasterPaid[Amount Paid],(MasterPaid[Customer]=$B221)*(MasterPaid[Date]=$A221)),COUNTIFS($A$6:$A221,$A221,$B$6:$B221,$B221,$K$6:$K221,"Payment")),0),0))</f>
        <v/>
      </c>
      <c r="H221" s="331"/>
      <c r="I221" s="331"/>
      <c r="J221" s="330" t="str">
        <f t="shared" si="3"/>
        <v/>
      </c>
      <c r="K221" s="289" t="str" cm="1">
        <f t="array" ref="K221">IFERROR(INDEX(_xlfn.ANCHORARRAY($Q$6),ROW()-5,4),"")</f>
        <v/>
      </c>
      <c r="L221" s="290"/>
      <c r="U221">
        <f>IF(OR($A221="",$F221=""),0,MAX(0,MIN($F221,SUMIFS($F$6:$F221,$B$6:$B221,$B221)-(SUMIFS($G$6:$G$355,$B$6:$B$355,$B221)+SUMIFS($H$6:$H$355,$B$6:$B$355,$B221)+SUMIFS($I$6:$I$355,$B$6:$B$355,$B221)))))</f>
        <v>0</v>
      </c>
    </row>
    <row r="222" spans="1:21" ht="23" x14ac:dyDescent="0.25">
      <c r="A222" s="217" t="str" cm="1">
        <f t="array" ref="A222">IFERROR(INDEX(_xlfn.ANCHORARRAY($Q$6),ROW()-5,1),"")</f>
        <v/>
      </c>
      <c r="B222" s="288" t="str" cm="1">
        <f t="array" ref="B222">IFERROR(INDEX(_xlfn.ANCHORARRAY($Q$6),ROW()-5,2),"")</f>
        <v/>
      </c>
      <c r="C222" s="289" t="str" cm="1">
        <f t="array" ref="C222">IFERROR(INDEX(_xlfn.ANCHORARRAY($Q$6),ROW()-5,3),"")</f>
        <v/>
      </c>
      <c r="D222" s="218" t="str">
        <f>IF($A222="","",IF($K222="DIESEL",SUMIFS(Table1[Quantity],Table1[Customer],$B222,Table1[Date],$A222,Table1[Bill No.],$C222),IF($K222="PETROL",SUMIFS(Table14[Quantity],Table14[Customer],$B222,Table14[Date],$A222,Table14[Bill No.],$C222),IF($K222="XtraGreen",SUMIFS(Table146[Quantity],Table146[Company],$B222,Table146[Date],$A222,Table146[Bill No.],$C222),""))))</f>
        <v/>
      </c>
      <c r="E222" s="219" t="str">
        <f>IF($A222="","",IF($K222="DIESEL",AVERAGEIFS(Table1[RSP],Table1[Customer],$B222,Table1[Date],$A222,Table1[Bill No.],$C222),IF($K222="PETROL",AVERAGEIFS(Table14[RSP],Table14[Customer],$B222,Table14[Date],$A222,Table14[Bill No.],$C222),IF($K222="XtraGreen",AVERAGEIFS(Table146[RSP],Table146[Company],$B222,Table146[Date],$A222,Table146[Bill No.],$C222),IFERROR($F222/$D222,"")))))</f>
        <v/>
      </c>
      <c r="F222" s="330" t="str">
        <f>IF($A222="","",IF($K222="DIESEL",SUMIFS(Table1[Amount],Table1[Customer],$B222,Table1[Date],$A222,Table1[Bill No.],$C222),IF($K222="PETROL",SUMIFS(Table14[Amount],Table14[Customer],$B222,Table14[Date],$A222,Table14[Bill No.],$C222),IF($K222="XtraGreen",SUMIFS(Table146[Amount],Table146[Company],$B222,Table146[Date],$A222,Table146[Bill No.],$C222),SUMIFS('Other Sale'!$D:$D,'Other Sale'!$E:$E,$B222,'Other Sale'!$C:$C,$K222,'Other Sale'!$A:$A,$A222)))))</f>
        <v/>
      </c>
      <c r="G222" s="330" t="str" cm="1">
        <f t="array" ref="G222">IF($A222="","",IF($K222="Payment",IFERROR(INDEX(_xlfn._xlws.FILTER(MasterPaid[Amount Paid],(MasterPaid[Customer]=$B222)*(MasterPaid[Date]=$A222)),COUNTIFS($A$6:$A222,$A222,$B$6:$B222,$B222,$K$6:$K222,"Payment")),0),0))</f>
        <v/>
      </c>
      <c r="H222" s="331"/>
      <c r="I222" s="331"/>
      <c r="J222" s="330" t="str">
        <f t="shared" si="3"/>
        <v/>
      </c>
      <c r="K222" s="289" t="str" cm="1">
        <f t="array" ref="K222">IFERROR(INDEX(_xlfn.ANCHORARRAY($Q$6),ROW()-5,4),"")</f>
        <v/>
      </c>
      <c r="L222" s="290"/>
      <c r="U222">
        <f>IF(OR($A222="",$F222=""),0,MAX(0,MIN($F222,SUMIFS($F$6:$F222,$B$6:$B222,$B222)-(SUMIFS($G$6:$G$355,$B$6:$B$355,$B222)+SUMIFS($H$6:$H$355,$B$6:$B$355,$B222)+SUMIFS($I$6:$I$355,$B$6:$B$355,$B222)))))</f>
        <v>0</v>
      </c>
    </row>
    <row r="223" spans="1:21" ht="23" x14ac:dyDescent="0.25">
      <c r="A223" s="217" t="str" cm="1">
        <f t="array" ref="A223">IFERROR(INDEX(_xlfn.ANCHORARRAY($Q$6),ROW()-5,1),"")</f>
        <v/>
      </c>
      <c r="B223" s="288" t="str" cm="1">
        <f t="array" ref="B223">IFERROR(INDEX(_xlfn.ANCHORARRAY($Q$6),ROW()-5,2),"")</f>
        <v/>
      </c>
      <c r="C223" s="289" t="str" cm="1">
        <f t="array" ref="C223">IFERROR(INDEX(_xlfn.ANCHORARRAY($Q$6),ROW()-5,3),"")</f>
        <v/>
      </c>
      <c r="D223" s="218" t="str">
        <f>IF($A223="","",IF($K223="DIESEL",SUMIFS(Table1[Quantity],Table1[Customer],$B223,Table1[Date],$A223,Table1[Bill No.],$C223),IF($K223="PETROL",SUMIFS(Table14[Quantity],Table14[Customer],$B223,Table14[Date],$A223,Table14[Bill No.],$C223),IF($K223="XtraGreen",SUMIFS(Table146[Quantity],Table146[Company],$B223,Table146[Date],$A223,Table146[Bill No.],$C223),""))))</f>
        <v/>
      </c>
      <c r="E223" s="219" t="str">
        <f>IF($A223="","",IF($K223="DIESEL",AVERAGEIFS(Table1[RSP],Table1[Customer],$B223,Table1[Date],$A223,Table1[Bill No.],$C223),IF($K223="PETROL",AVERAGEIFS(Table14[RSP],Table14[Customer],$B223,Table14[Date],$A223,Table14[Bill No.],$C223),IF($K223="XtraGreen",AVERAGEIFS(Table146[RSP],Table146[Company],$B223,Table146[Date],$A223,Table146[Bill No.],$C223),IFERROR($F223/$D223,"")))))</f>
        <v/>
      </c>
      <c r="F223" s="330" t="str">
        <f>IF($A223="","",IF($K223="DIESEL",SUMIFS(Table1[Amount],Table1[Customer],$B223,Table1[Date],$A223,Table1[Bill No.],$C223),IF($K223="PETROL",SUMIFS(Table14[Amount],Table14[Customer],$B223,Table14[Date],$A223,Table14[Bill No.],$C223),IF($K223="XtraGreen",SUMIFS(Table146[Amount],Table146[Company],$B223,Table146[Date],$A223,Table146[Bill No.],$C223),SUMIFS('Other Sale'!$D:$D,'Other Sale'!$E:$E,$B223,'Other Sale'!$C:$C,$K223,'Other Sale'!$A:$A,$A223)))))</f>
        <v/>
      </c>
      <c r="G223" s="330" t="str" cm="1">
        <f t="array" ref="G223">IF($A223="","",IF($K223="Payment",IFERROR(INDEX(_xlfn._xlws.FILTER(MasterPaid[Amount Paid],(MasterPaid[Customer]=$B223)*(MasterPaid[Date]=$A223)),COUNTIFS($A$6:$A223,$A223,$B$6:$B223,$B223,$K$6:$K223,"Payment")),0),0))</f>
        <v/>
      </c>
      <c r="H223" s="331"/>
      <c r="I223" s="331"/>
      <c r="J223" s="330" t="str">
        <f t="shared" si="3"/>
        <v/>
      </c>
      <c r="K223" s="289" t="str" cm="1">
        <f t="array" ref="K223">IFERROR(INDEX(_xlfn.ANCHORARRAY($Q$6),ROW()-5,4),"")</f>
        <v/>
      </c>
      <c r="L223" s="290"/>
      <c r="U223">
        <f>IF(OR($A223="",$F223=""),0,MAX(0,MIN($F223,SUMIFS($F$6:$F223,$B$6:$B223,$B223)-(SUMIFS($G$6:$G$355,$B$6:$B$355,$B223)+SUMIFS($H$6:$H$355,$B$6:$B$355,$B223)+SUMIFS($I$6:$I$355,$B$6:$B$355,$B223)))))</f>
        <v>0</v>
      </c>
    </row>
    <row r="224" spans="1:21" ht="23" x14ac:dyDescent="0.25">
      <c r="A224" s="217" t="str" cm="1">
        <f t="array" ref="A224">IFERROR(INDEX(_xlfn.ANCHORARRAY($Q$6),ROW()-5,1),"")</f>
        <v/>
      </c>
      <c r="B224" s="288" t="str" cm="1">
        <f t="array" ref="B224">IFERROR(INDEX(_xlfn.ANCHORARRAY($Q$6),ROW()-5,2),"")</f>
        <v/>
      </c>
      <c r="C224" s="289" t="str" cm="1">
        <f t="array" ref="C224">IFERROR(INDEX(_xlfn.ANCHORARRAY($Q$6),ROW()-5,3),"")</f>
        <v/>
      </c>
      <c r="D224" s="218" t="str">
        <f>IF($A224="","",IF($K224="DIESEL",SUMIFS(Table1[Quantity],Table1[Customer],$B224,Table1[Date],$A224,Table1[Bill No.],$C224),IF($K224="PETROL",SUMIFS(Table14[Quantity],Table14[Customer],$B224,Table14[Date],$A224,Table14[Bill No.],$C224),IF($K224="XtraGreen",SUMIFS(Table146[Quantity],Table146[Company],$B224,Table146[Date],$A224,Table146[Bill No.],$C224),""))))</f>
        <v/>
      </c>
      <c r="E224" s="219" t="str">
        <f>IF($A224="","",IF($K224="DIESEL",AVERAGEIFS(Table1[RSP],Table1[Customer],$B224,Table1[Date],$A224,Table1[Bill No.],$C224),IF($K224="PETROL",AVERAGEIFS(Table14[RSP],Table14[Customer],$B224,Table14[Date],$A224,Table14[Bill No.],$C224),IF($K224="XtraGreen",AVERAGEIFS(Table146[RSP],Table146[Company],$B224,Table146[Date],$A224,Table146[Bill No.],$C224),IFERROR($F224/$D224,"")))))</f>
        <v/>
      </c>
      <c r="F224" s="330" t="str">
        <f>IF($A224="","",IF($K224="DIESEL",SUMIFS(Table1[Amount],Table1[Customer],$B224,Table1[Date],$A224,Table1[Bill No.],$C224),IF($K224="PETROL",SUMIFS(Table14[Amount],Table14[Customer],$B224,Table14[Date],$A224,Table14[Bill No.],$C224),IF($K224="XtraGreen",SUMIFS(Table146[Amount],Table146[Company],$B224,Table146[Date],$A224,Table146[Bill No.],$C224),SUMIFS('Other Sale'!$D:$D,'Other Sale'!$E:$E,$B224,'Other Sale'!$C:$C,$K224,'Other Sale'!$A:$A,$A224)))))</f>
        <v/>
      </c>
      <c r="G224" s="330" t="str" cm="1">
        <f t="array" ref="G224">IF($A224="","",IF($K224="Payment",IFERROR(INDEX(_xlfn._xlws.FILTER(MasterPaid[Amount Paid],(MasterPaid[Customer]=$B224)*(MasterPaid[Date]=$A224)),COUNTIFS($A$6:$A224,$A224,$B$6:$B224,$B224,$K$6:$K224,"Payment")),0),0))</f>
        <v/>
      </c>
      <c r="H224" s="331"/>
      <c r="I224" s="331"/>
      <c r="J224" s="330" t="str">
        <f t="shared" si="3"/>
        <v/>
      </c>
      <c r="K224" s="289" t="str" cm="1">
        <f t="array" ref="K224">IFERROR(INDEX(_xlfn.ANCHORARRAY($Q$6),ROW()-5,4),"")</f>
        <v/>
      </c>
      <c r="L224" s="290"/>
      <c r="U224">
        <f>IF(OR($A224="",$F224=""),0,MAX(0,MIN($F224,SUMIFS($F$6:$F224,$B$6:$B224,$B224)-(SUMIFS($G$6:$G$355,$B$6:$B$355,$B224)+SUMIFS($H$6:$H$355,$B$6:$B$355,$B224)+SUMIFS($I$6:$I$355,$B$6:$B$355,$B224)))))</f>
        <v>0</v>
      </c>
    </row>
    <row r="225" spans="1:21" ht="23" x14ac:dyDescent="0.25">
      <c r="A225" s="217" t="str" cm="1">
        <f t="array" ref="A225">IFERROR(INDEX(_xlfn.ANCHORARRAY($Q$6),ROW()-5,1),"")</f>
        <v/>
      </c>
      <c r="B225" s="288" t="str" cm="1">
        <f t="array" ref="B225">IFERROR(INDEX(_xlfn.ANCHORARRAY($Q$6),ROW()-5,2),"")</f>
        <v/>
      </c>
      <c r="C225" s="289" t="str" cm="1">
        <f t="array" ref="C225">IFERROR(INDEX(_xlfn.ANCHORARRAY($Q$6),ROW()-5,3),"")</f>
        <v/>
      </c>
      <c r="D225" s="218" t="str">
        <f>IF($A225="","",IF($K225="DIESEL",SUMIFS(Table1[Quantity],Table1[Customer],$B225,Table1[Date],$A225,Table1[Bill No.],$C225),IF($K225="PETROL",SUMIFS(Table14[Quantity],Table14[Customer],$B225,Table14[Date],$A225,Table14[Bill No.],$C225),IF($K225="XtraGreen",SUMIFS(Table146[Quantity],Table146[Company],$B225,Table146[Date],$A225,Table146[Bill No.],$C225),""))))</f>
        <v/>
      </c>
      <c r="E225" s="219" t="str">
        <f>IF($A225="","",IF($K225="DIESEL",AVERAGEIFS(Table1[RSP],Table1[Customer],$B225,Table1[Date],$A225,Table1[Bill No.],$C225),IF($K225="PETROL",AVERAGEIFS(Table14[RSP],Table14[Customer],$B225,Table14[Date],$A225,Table14[Bill No.],$C225),IF($K225="XtraGreen",AVERAGEIFS(Table146[RSP],Table146[Company],$B225,Table146[Date],$A225,Table146[Bill No.],$C225),IFERROR($F225/$D225,"")))))</f>
        <v/>
      </c>
      <c r="F225" s="330" t="str">
        <f>IF($A225="","",IF($K225="DIESEL",SUMIFS(Table1[Amount],Table1[Customer],$B225,Table1[Date],$A225,Table1[Bill No.],$C225),IF($K225="PETROL",SUMIFS(Table14[Amount],Table14[Customer],$B225,Table14[Date],$A225,Table14[Bill No.],$C225),IF($K225="XtraGreen",SUMIFS(Table146[Amount],Table146[Company],$B225,Table146[Date],$A225,Table146[Bill No.],$C225),SUMIFS('Other Sale'!$D:$D,'Other Sale'!$E:$E,$B225,'Other Sale'!$C:$C,$K225,'Other Sale'!$A:$A,$A225)))))</f>
        <v/>
      </c>
      <c r="G225" s="330" t="str" cm="1">
        <f t="array" ref="G225">IF($A225="","",IF($K225="Payment",IFERROR(INDEX(_xlfn._xlws.FILTER(MasterPaid[Amount Paid],(MasterPaid[Customer]=$B225)*(MasterPaid[Date]=$A225)),COUNTIFS($A$6:$A225,$A225,$B$6:$B225,$B225,$K$6:$K225,"Payment")),0),0))</f>
        <v/>
      </c>
      <c r="H225" s="331"/>
      <c r="I225" s="331"/>
      <c r="J225" s="330" t="str">
        <f t="shared" si="3"/>
        <v/>
      </c>
      <c r="K225" s="289" t="str" cm="1">
        <f t="array" ref="K225">IFERROR(INDEX(_xlfn.ANCHORARRAY($Q$6),ROW()-5,4),"")</f>
        <v/>
      </c>
      <c r="L225" s="290"/>
      <c r="U225">
        <f>IF(OR($A225="",$F225=""),0,MAX(0,MIN($F225,SUMIFS($F$6:$F225,$B$6:$B225,$B225)-(SUMIFS($G$6:$G$355,$B$6:$B$355,$B225)+SUMIFS($H$6:$H$355,$B$6:$B$355,$B225)+SUMIFS($I$6:$I$355,$B$6:$B$355,$B225)))))</f>
        <v>0</v>
      </c>
    </row>
    <row r="226" spans="1:21" ht="23" x14ac:dyDescent="0.25">
      <c r="A226" s="217" t="str" cm="1">
        <f t="array" ref="A226">IFERROR(INDEX(_xlfn.ANCHORARRAY($Q$6),ROW()-5,1),"")</f>
        <v/>
      </c>
      <c r="B226" s="288" t="str" cm="1">
        <f t="array" ref="B226">IFERROR(INDEX(_xlfn.ANCHORARRAY($Q$6),ROW()-5,2),"")</f>
        <v/>
      </c>
      <c r="C226" s="289" t="str" cm="1">
        <f t="array" ref="C226">IFERROR(INDEX(_xlfn.ANCHORARRAY($Q$6),ROW()-5,3),"")</f>
        <v/>
      </c>
      <c r="D226" s="218" t="str">
        <f>IF($A226="","",IF($K226="DIESEL",SUMIFS(Table1[Quantity],Table1[Customer],$B226,Table1[Date],$A226,Table1[Bill No.],$C226),IF($K226="PETROL",SUMIFS(Table14[Quantity],Table14[Customer],$B226,Table14[Date],$A226,Table14[Bill No.],$C226),IF($K226="XtraGreen",SUMIFS(Table146[Quantity],Table146[Company],$B226,Table146[Date],$A226,Table146[Bill No.],$C226),""))))</f>
        <v/>
      </c>
      <c r="E226" s="219" t="str">
        <f>IF($A226="","",IF($K226="DIESEL",AVERAGEIFS(Table1[RSP],Table1[Customer],$B226,Table1[Date],$A226,Table1[Bill No.],$C226),IF($K226="PETROL",AVERAGEIFS(Table14[RSP],Table14[Customer],$B226,Table14[Date],$A226,Table14[Bill No.],$C226),IF($K226="XtraGreen",AVERAGEIFS(Table146[RSP],Table146[Company],$B226,Table146[Date],$A226,Table146[Bill No.],$C226),IFERROR($F226/$D226,"")))))</f>
        <v/>
      </c>
      <c r="F226" s="330" t="str">
        <f>IF($A226="","",IF($K226="DIESEL",SUMIFS(Table1[Amount],Table1[Customer],$B226,Table1[Date],$A226,Table1[Bill No.],$C226),IF($K226="PETROL",SUMIFS(Table14[Amount],Table14[Customer],$B226,Table14[Date],$A226,Table14[Bill No.],$C226),IF($K226="XtraGreen",SUMIFS(Table146[Amount],Table146[Company],$B226,Table146[Date],$A226,Table146[Bill No.],$C226),SUMIFS('Other Sale'!$D:$D,'Other Sale'!$E:$E,$B226,'Other Sale'!$C:$C,$K226,'Other Sale'!$A:$A,$A226)))))</f>
        <v/>
      </c>
      <c r="G226" s="330" t="str" cm="1">
        <f t="array" ref="G226">IF($A226="","",IF($K226="Payment",IFERROR(INDEX(_xlfn._xlws.FILTER(MasterPaid[Amount Paid],(MasterPaid[Customer]=$B226)*(MasterPaid[Date]=$A226)),COUNTIFS($A$6:$A226,$A226,$B$6:$B226,$B226,$K$6:$K226,"Payment")),0),0))</f>
        <v/>
      </c>
      <c r="H226" s="331"/>
      <c r="I226" s="331"/>
      <c r="J226" s="330" t="str">
        <f t="shared" si="3"/>
        <v/>
      </c>
      <c r="K226" s="289" t="str" cm="1">
        <f t="array" ref="K226">IFERROR(INDEX(_xlfn.ANCHORARRAY($Q$6),ROW()-5,4),"")</f>
        <v/>
      </c>
      <c r="L226" s="290"/>
      <c r="U226">
        <f>IF(OR($A226="",$F226=""),0,MAX(0,MIN($F226,SUMIFS($F$6:$F226,$B$6:$B226,$B226)-(SUMIFS($G$6:$G$355,$B$6:$B$355,$B226)+SUMIFS($H$6:$H$355,$B$6:$B$355,$B226)+SUMIFS($I$6:$I$355,$B$6:$B$355,$B226)))))</f>
        <v>0</v>
      </c>
    </row>
    <row r="227" spans="1:21" ht="23" x14ac:dyDescent="0.25">
      <c r="A227" s="217" t="str" cm="1">
        <f t="array" ref="A227">IFERROR(INDEX(_xlfn.ANCHORARRAY($Q$6),ROW()-5,1),"")</f>
        <v/>
      </c>
      <c r="B227" s="288" t="str" cm="1">
        <f t="array" ref="B227">IFERROR(INDEX(_xlfn.ANCHORARRAY($Q$6),ROW()-5,2),"")</f>
        <v/>
      </c>
      <c r="C227" s="289" t="str" cm="1">
        <f t="array" ref="C227">IFERROR(INDEX(_xlfn.ANCHORARRAY($Q$6),ROW()-5,3),"")</f>
        <v/>
      </c>
      <c r="D227" s="218" t="str">
        <f>IF($A227="","",IF($K227="DIESEL",SUMIFS(Table1[Quantity],Table1[Customer],$B227,Table1[Date],$A227,Table1[Bill No.],$C227),IF($K227="PETROL",SUMIFS(Table14[Quantity],Table14[Customer],$B227,Table14[Date],$A227,Table14[Bill No.],$C227),IF($K227="XtraGreen",SUMIFS(Table146[Quantity],Table146[Company],$B227,Table146[Date],$A227,Table146[Bill No.],$C227),""))))</f>
        <v/>
      </c>
      <c r="E227" s="219" t="str">
        <f>IF($A227="","",IF($K227="DIESEL",AVERAGEIFS(Table1[RSP],Table1[Customer],$B227,Table1[Date],$A227,Table1[Bill No.],$C227),IF($K227="PETROL",AVERAGEIFS(Table14[RSP],Table14[Customer],$B227,Table14[Date],$A227,Table14[Bill No.],$C227),IF($K227="XtraGreen",AVERAGEIFS(Table146[RSP],Table146[Company],$B227,Table146[Date],$A227,Table146[Bill No.],$C227),IFERROR($F227/$D227,"")))))</f>
        <v/>
      </c>
      <c r="F227" s="330" t="str">
        <f>IF($A227="","",IF($K227="DIESEL",SUMIFS(Table1[Amount],Table1[Customer],$B227,Table1[Date],$A227,Table1[Bill No.],$C227),IF($K227="PETROL",SUMIFS(Table14[Amount],Table14[Customer],$B227,Table14[Date],$A227,Table14[Bill No.],$C227),IF($K227="XtraGreen",SUMIFS(Table146[Amount],Table146[Company],$B227,Table146[Date],$A227,Table146[Bill No.],$C227),SUMIFS('Other Sale'!$D:$D,'Other Sale'!$E:$E,$B227,'Other Sale'!$C:$C,$K227,'Other Sale'!$A:$A,$A227)))))</f>
        <v/>
      </c>
      <c r="G227" s="330" t="str" cm="1">
        <f t="array" ref="G227">IF($A227="","",IF($K227="Payment",IFERROR(INDEX(_xlfn._xlws.FILTER(MasterPaid[Amount Paid],(MasterPaid[Customer]=$B227)*(MasterPaid[Date]=$A227)),COUNTIFS($A$6:$A227,$A227,$B$6:$B227,$B227,$K$6:$K227,"Payment")),0),0))</f>
        <v/>
      </c>
      <c r="H227" s="331"/>
      <c r="I227" s="331"/>
      <c r="J227" s="330" t="str">
        <f t="shared" si="3"/>
        <v/>
      </c>
      <c r="K227" s="289" t="str" cm="1">
        <f t="array" ref="K227">IFERROR(INDEX(_xlfn.ANCHORARRAY($Q$6),ROW()-5,4),"")</f>
        <v/>
      </c>
      <c r="L227" s="290"/>
      <c r="U227">
        <f>IF(OR($A227="",$F227=""),0,MAX(0,MIN($F227,SUMIFS($F$6:$F227,$B$6:$B227,$B227)-(SUMIFS($G$6:$G$355,$B$6:$B$355,$B227)+SUMIFS($H$6:$H$355,$B$6:$B$355,$B227)+SUMIFS($I$6:$I$355,$B$6:$B$355,$B227)))))</f>
        <v>0</v>
      </c>
    </row>
    <row r="228" spans="1:21" ht="23" x14ac:dyDescent="0.25">
      <c r="A228" s="217" t="str" cm="1">
        <f t="array" ref="A228">IFERROR(INDEX(_xlfn.ANCHORARRAY($Q$6),ROW()-5,1),"")</f>
        <v/>
      </c>
      <c r="B228" s="288" t="str" cm="1">
        <f t="array" ref="B228">IFERROR(INDEX(_xlfn.ANCHORARRAY($Q$6),ROW()-5,2),"")</f>
        <v/>
      </c>
      <c r="C228" s="289" t="str" cm="1">
        <f t="array" ref="C228">IFERROR(INDEX(_xlfn.ANCHORARRAY($Q$6),ROW()-5,3),"")</f>
        <v/>
      </c>
      <c r="D228" s="218" t="str">
        <f>IF($A228="","",IF($K228="DIESEL",SUMIFS(Table1[Quantity],Table1[Customer],$B228,Table1[Date],$A228,Table1[Bill No.],$C228),IF($K228="PETROL",SUMIFS(Table14[Quantity],Table14[Customer],$B228,Table14[Date],$A228,Table14[Bill No.],$C228),IF($K228="XtraGreen",SUMIFS(Table146[Quantity],Table146[Company],$B228,Table146[Date],$A228,Table146[Bill No.],$C228),""))))</f>
        <v/>
      </c>
      <c r="E228" s="219" t="str">
        <f>IF($A228="","",IF($K228="DIESEL",AVERAGEIFS(Table1[RSP],Table1[Customer],$B228,Table1[Date],$A228,Table1[Bill No.],$C228),IF($K228="PETROL",AVERAGEIFS(Table14[RSP],Table14[Customer],$B228,Table14[Date],$A228,Table14[Bill No.],$C228),IF($K228="XtraGreen",AVERAGEIFS(Table146[RSP],Table146[Company],$B228,Table146[Date],$A228,Table146[Bill No.],$C228),IFERROR($F228/$D228,"")))))</f>
        <v/>
      </c>
      <c r="F228" s="330" t="str">
        <f>IF($A228="","",IF($K228="DIESEL",SUMIFS(Table1[Amount],Table1[Customer],$B228,Table1[Date],$A228,Table1[Bill No.],$C228),IF($K228="PETROL",SUMIFS(Table14[Amount],Table14[Customer],$B228,Table14[Date],$A228,Table14[Bill No.],$C228),IF($K228="XtraGreen",SUMIFS(Table146[Amount],Table146[Company],$B228,Table146[Date],$A228,Table146[Bill No.],$C228),SUMIFS('Other Sale'!$D:$D,'Other Sale'!$E:$E,$B228,'Other Sale'!$C:$C,$K228,'Other Sale'!$A:$A,$A228)))))</f>
        <v/>
      </c>
      <c r="G228" s="330" t="str" cm="1">
        <f t="array" ref="G228">IF($A228="","",IF($K228="Payment",IFERROR(INDEX(_xlfn._xlws.FILTER(MasterPaid[Amount Paid],(MasterPaid[Customer]=$B228)*(MasterPaid[Date]=$A228)),COUNTIFS($A$6:$A228,$A228,$B$6:$B228,$B228,$K$6:$K228,"Payment")),0),0))</f>
        <v/>
      </c>
      <c r="H228" s="331"/>
      <c r="I228" s="331"/>
      <c r="J228" s="330" t="str">
        <f t="shared" si="3"/>
        <v/>
      </c>
      <c r="K228" s="289" t="str" cm="1">
        <f t="array" ref="K228">IFERROR(INDEX(_xlfn.ANCHORARRAY($Q$6),ROW()-5,4),"")</f>
        <v/>
      </c>
      <c r="L228" s="290"/>
      <c r="U228">
        <f>IF(OR($A228="",$F228=""),0,MAX(0,MIN($F228,SUMIFS($F$6:$F228,$B$6:$B228,$B228)-(SUMIFS($G$6:$G$355,$B$6:$B$355,$B228)+SUMIFS($H$6:$H$355,$B$6:$B$355,$B228)+SUMIFS($I$6:$I$355,$B$6:$B$355,$B228)))))</f>
        <v>0</v>
      </c>
    </row>
    <row r="229" spans="1:21" ht="23" x14ac:dyDescent="0.25">
      <c r="A229" s="217" t="str" cm="1">
        <f t="array" ref="A229">IFERROR(INDEX(_xlfn.ANCHORARRAY($Q$6),ROW()-5,1),"")</f>
        <v/>
      </c>
      <c r="B229" s="288" t="str" cm="1">
        <f t="array" ref="B229">IFERROR(INDEX(_xlfn.ANCHORARRAY($Q$6),ROW()-5,2),"")</f>
        <v/>
      </c>
      <c r="C229" s="289" t="str" cm="1">
        <f t="array" ref="C229">IFERROR(INDEX(_xlfn.ANCHORARRAY($Q$6),ROW()-5,3),"")</f>
        <v/>
      </c>
      <c r="D229" s="218" t="str">
        <f>IF($A229="","",IF($K229="DIESEL",SUMIFS(Table1[Quantity],Table1[Customer],$B229,Table1[Date],$A229,Table1[Bill No.],$C229),IF($K229="PETROL",SUMIFS(Table14[Quantity],Table14[Customer],$B229,Table14[Date],$A229,Table14[Bill No.],$C229),IF($K229="XtraGreen",SUMIFS(Table146[Quantity],Table146[Company],$B229,Table146[Date],$A229,Table146[Bill No.],$C229),""))))</f>
        <v/>
      </c>
      <c r="E229" s="219" t="str">
        <f>IF($A229="","",IF($K229="DIESEL",AVERAGEIFS(Table1[RSP],Table1[Customer],$B229,Table1[Date],$A229,Table1[Bill No.],$C229),IF($K229="PETROL",AVERAGEIFS(Table14[RSP],Table14[Customer],$B229,Table14[Date],$A229,Table14[Bill No.],$C229),IF($K229="XtraGreen",AVERAGEIFS(Table146[RSP],Table146[Company],$B229,Table146[Date],$A229,Table146[Bill No.],$C229),IFERROR($F229/$D229,"")))))</f>
        <v/>
      </c>
      <c r="F229" s="330" t="str">
        <f>IF($A229="","",IF($K229="DIESEL",SUMIFS(Table1[Amount],Table1[Customer],$B229,Table1[Date],$A229,Table1[Bill No.],$C229),IF($K229="PETROL",SUMIFS(Table14[Amount],Table14[Customer],$B229,Table14[Date],$A229,Table14[Bill No.],$C229),IF($K229="XtraGreen",SUMIFS(Table146[Amount],Table146[Company],$B229,Table146[Date],$A229,Table146[Bill No.],$C229),SUMIFS('Other Sale'!$D:$D,'Other Sale'!$E:$E,$B229,'Other Sale'!$C:$C,$K229,'Other Sale'!$A:$A,$A229)))))</f>
        <v/>
      </c>
      <c r="G229" s="330" t="str" cm="1">
        <f t="array" ref="G229">IF($A229="","",IF($K229="Payment",IFERROR(INDEX(_xlfn._xlws.FILTER(MasterPaid[Amount Paid],(MasterPaid[Customer]=$B229)*(MasterPaid[Date]=$A229)),COUNTIFS($A$6:$A229,$A229,$B$6:$B229,$B229,$K$6:$K229,"Payment")),0),0))</f>
        <v/>
      </c>
      <c r="H229" s="331"/>
      <c r="I229" s="331"/>
      <c r="J229" s="330" t="str">
        <f t="shared" si="3"/>
        <v/>
      </c>
      <c r="K229" s="289" t="str" cm="1">
        <f t="array" ref="K229">IFERROR(INDEX(_xlfn.ANCHORARRAY($Q$6),ROW()-5,4),"")</f>
        <v/>
      </c>
      <c r="L229" s="290"/>
      <c r="U229">
        <f>IF(OR($A229="",$F229=""),0,MAX(0,MIN($F229,SUMIFS($F$6:$F229,$B$6:$B229,$B229)-(SUMIFS($G$6:$G$355,$B$6:$B$355,$B229)+SUMIFS($H$6:$H$355,$B$6:$B$355,$B229)+SUMIFS($I$6:$I$355,$B$6:$B$355,$B229)))))</f>
        <v>0</v>
      </c>
    </row>
    <row r="230" spans="1:21" ht="23" x14ac:dyDescent="0.25">
      <c r="A230" s="217" t="str" cm="1">
        <f t="array" ref="A230">IFERROR(INDEX(_xlfn.ANCHORARRAY($Q$6),ROW()-5,1),"")</f>
        <v/>
      </c>
      <c r="B230" s="288" t="str" cm="1">
        <f t="array" ref="B230">IFERROR(INDEX(_xlfn.ANCHORARRAY($Q$6),ROW()-5,2),"")</f>
        <v/>
      </c>
      <c r="C230" s="289" t="str" cm="1">
        <f t="array" ref="C230">IFERROR(INDEX(_xlfn.ANCHORARRAY($Q$6),ROW()-5,3),"")</f>
        <v/>
      </c>
      <c r="D230" s="218" t="str">
        <f>IF($A230="","",IF($K230="DIESEL",SUMIFS(Table1[Quantity],Table1[Customer],$B230,Table1[Date],$A230,Table1[Bill No.],$C230),IF($K230="PETROL",SUMIFS(Table14[Quantity],Table14[Customer],$B230,Table14[Date],$A230,Table14[Bill No.],$C230),IF($K230="XtraGreen",SUMIFS(Table146[Quantity],Table146[Company],$B230,Table146[Date],$A230,Table146[Bill No.],$C230),""))))</f>
        <v/>
      </c>
      <c r="E230" s="219" t="str">
        <f>IF($A230="","",IF($K230="DIESEL",AVERAGEIFS(Table1[RSP],Table1[Customer],$B230,Table1[Date],$A230,Table1[Bill No.],$C230),IF($K230="PETROL",AVERAGEIFS(Table14[RSP],Table14[Customer],$B230,Table14[Date],$A230,Table14[Bill No.],$C230),IF($K230="XtraGreen",AVERAGEIFS(Table146[RSP],Table146[Company],$B230,Table146[Date],$A230,Table146[Bill No.],$C230),IFERROR($F230/$D230,"")))))</f>
        <v/>
      </c>
      <c r="F230" s="330" t="str">
        <f>IF($A230="","",IF($K230="DIESEL",SUMIFS(Table1[Amount],Table1[Customer],$B230,Table1[Date],$A230,Table1[Bill No.],$C230),IF($K230="PETROL",SUMIFS(Table14[Amount],Table14[Customer],$B230,Table14[Date],$A230,Table14[Bill No.],$C230),IF($K230="XtraGreen",SUMIFS(Table146[Amount],Table146[Company],$B230,Table146[Date],$A230,Table146[Bill No.],$C230),SUMIFS('Other Sale'!$D:$D,'Other Sale'!$E:$E,$B230,'Other Sale'!$C:$C,$K230,'Other Sale'!$A:$A,$A230)))))</f>
        <v/>
      </c>
      <c r="G230" s="330" t="str" cm="1">
        <f t="array" ref="G230">IF($A230="","",IF($K230="Payment",IFERROR(INDEX(_xlfn._xlws.FILTER(MasterPaid[Amount Paid],(MasterPaid[Customer]=$B230)*(MasterPaid[Date]=$A230)),COUNTIFS($A$6:$A230,$A230,$B$6:$B230,$B230,$K$6:$K230,"Payment")),0),0))</f>
        <v/>
      </c>
      <c r="H230" s="331"/>
      <c r="I230" s="331"/>
      <c r="J230" s="330" t="str">
        <f t="shared" si="3"/>
        <v/>
      </c>
      <c r="K230" s="289" t="str" cm="1">
        <f t="array" ref="K230">IFERROR(INDEX(_xlfn.ANCHORARRAY($Q$6),ROW()-5,4),"")</f>
        <v/>
      </c>
      <c r="L230" s="290"/>
      <c r="U230">
        <f>IF(OR($A230="",$F230=""),0,MAX(0,MIN($F230,SUMIFS($F$6:$F230,$B$6:$B230,$B230)-(SUMIFS($G$6:$G$355,$B$6:$B$355,$B230)+SUMIFS($H$6:$H$355,$B$6:$B$355,$B230)+SUMIFS($I$6:$I$355,$B$6:$B$355,$B230)))))</f>
        <v>0</v>
      </c>
    </row>
    <row r="231" spans="1:21" ht="23" x14ac:dyDescent="0.25">
      <c r="A231" s="217" t="str" cm="1">
        <f t="array" ref="A231">IFERROR(INDEX(_xlfn.ANCHORARRAY($Q$6),ROW()-5,1),"")</f>
        <v/>
      </c>
      <c r="B231" s="288" t="str" cm="1">
        <f t="array" ref="B231">IFERROR(INDEX(_xlfn.ANCHORARRAY($Q$6),ROW()-5,2),"")</f>
        <v/>
      </c>
      <c r="C231" s="289" t="str" cm="1">
        <f t="array" ref="C231">IFERROR(INDEX(_xlfn.ANCHORARRAY($Q$6),ROW()-5,3),"")</f>
        <v/>
      </c>
      <c r="D231" s="218" t="str">
        <f>IF($A231="","",IF($K231="DIESEL",SUMIFS(Table1[Quantity],Table1[Customer],$B231,Table1[Date],$A231,Table1[Bill No.],$C231),IF($K231="PETROL",SUMIFS(Table14[Quantity],Table14[Customer],$B231,Table14[Date],$A231,Table14[Bill No.],$C231),IF($K231="XtraGreen",SUMIFS(Table146[Quantity],Table146[Company],$B231,Table146[Date],$A231,Table146[Bill No.],$C231),""))))</f>
        <v/>
      </c>
      <c r="E231" s="219" t="str">
        <f>IF($A231="","",IF($K231="DIESEL",AVERAGEIFS(Table1[RSP],Table1[Customer],$B231,Table1[Date],$A231,Table1[Bill No.],$C231),IF($K231="PETROL",AVERAGEIFS(Table14[RSP],Table14[Customer],$B231,Table14[Date],$A231,Table14[Bill No.],$C231),IF($K231="XtraGreen",AVERAGEIFS(Table146[RSP],Table146[Company],$B231,Table146[Date],$A231,Table146[Bill No.],$C231),IFERROR($F231/$D231,"")))))</f>
        <v/>
      </c>
      <c r="F231" s="330" t="str">
        <f>IF($A231="","",IF($K231="DIESEL",SUMIFS(Table1[Amount],Table1[Customer],$B231,Table1[Date],$A231,Table1[Bill No.],$C231),IF($K231="PETROL",SUMIFS(Table14[Amount],Table14[Customer],$B231,Table14[Date],$A231,Table14[Bill No.],$C231),IF($K231="XtraGreen",SUMIFS(Table146[Amount],Table146[Company],$B231,Table146[Date],$A231,Table146[Bill No.],$C231),SUMIFS('Other Sale'!$D:$D,'Other Sale'!$E:$E,$B231,'Other Sale'!$C:$C,$K231,'Other Sale'!$A:$A,$A231)))))</f>
        <v/>
      </c>
      <c r="G231" s="330" t="str" cm="1">
        <f t="array" ref="G231">IF($A231="","",IF($K231="Payment",IFERROR(INDEX(_xlfn._xlws.FILTER(MasterPaid[Amount Paid],(MasterPaid[Customer]=$B231)*(MasterPaid[Date]=$A231)),COUNTIFS($A$6:$A231,$A231,$B$6:$B231,$B231,$K$6:$K231,"Payment")),0),0))</f>
        <v/>
      </c>
      <c r="H231" s="331"/>
      <c r="I231" s="331"/>
      <c r="J231" s="330" t="str">
        <f t="shared" si="3"/>
        <v/>
      </c>
      <c r="K231" s="289" t="str" cm="1">
        <f t="array" ref="K231">IFERROR(INDEX(_xlfn.ANCHORARRAY($Q$6),ROW()-5,4),"")</f>
        <v/>
      </c>
      <c r="L231" s="290"/>
      <c r="U231">
        <f>IF(OR($A231="",$F231=""),0,MAX(0,MIN($F231,SUMIFS($F$6:$F231,$B$6:$B231,$B231)-(SUMIFS($G$6:$G$355,$B$6:$B$355,$B231)+SUMIFS($H$6:$H$355,$B$6:$B$355,$B231)+SUMIFS($I$6:$I$355,$B$6:$B$355,$B231)))))</f>
        <v>0</v>
      </c>
    </row>
    <row r="232" spans="1:21" ht="23" x14ac:dyDescent="0.25">
      <c r="A232" s="217" t="str" cm="1">
        <f t="array" ref="A232">IFERROR(INDEX(_xlfn.ANCHORARRAY($Q$6),ROW()-5,1),"")</f>
        <v/>
      </c>
      <c r="B232" s="288" t="str" cm="1">
        <f t="array" ref="B232">IFERROR(INDEX(_xlfn.ANCHORARRAY($Q$6),ROW()-5,2),"")</f>
        <v/>
      </c>
      <c r="C232" s="289" t="str" cm="1">
        <f t="array" ref="C232">IFERROR(INDEX(_xlfn.ANCHORARRAY($Q$6),ROW()-5,3),"")</f>
        <v/>
      </c>
      <c r="D232" s="218" t="str">
        <f>IF($A232="","",IF($K232="DIESEL",SUMIFS(Table1[Quantity],Table1[Customer],$B232,Table1[Date],$A232,Table1[Bill No.],$C232),IF($K232="PETROL",SUMIFS(Table14[Quantity],Table14[Customer],$B232,Table14[Date],$A232,Table14[Bill No.],$C232),IF($K232="XtraGreen",SUMIFS(Table146[Quantity],Table146[Company],$B232,Table146[Date],$A232,Table146[Bill No.],$C232),""))))</f>
        <v/>
      </c>
      <c r="E232" s="219" t="str">
        <f>IF($A232="","",IF($K232="DIESEL",AVERAGEIFS(Table1[RSP],Table1[Customer],$B232,Table1[Date],$A232,Table1[Bill No.],$C232),IF($K232="PETROL",AVERAGEIFS(Table14[RSP],Table14[Customer],$B232,Table14[Date],$A232,Table14[Bill No.],$C232),IF($K232="XtraGreen",AVERAGEIFS(Table146[RSP],Table146[Company],$B232,Table146[Date],$A232,Table146[Bill No.],$C232),IFERROR($F232/$D232,"")))))</f>
        <v/>
      </c>
      <c r="F232" s="330" t="str">
        <f>IF($A232="","",IF($K232="DIESEL",SUMIFS(Table1[Amount],Table1[Customer],$B232,Table1[Date],$A232,Table1[Bill No.],$C232),IF($K232="PETROL",SUMIFS(Table14[Amount],Table14[Customer],$B232,Table14[Date],$A232,Table14[Bill No.],$C232),IF($K232="XtraGreen",SUMIFS(Table146[Amount],Table146[Company],$B232,Table146[Date],$A232,Table146[Bill No.],$C232),SUMIFS('Other Sale'!$D:$D,'Other Sale'!$E:$E,$B232,'Other Sale'!$C:$C,$K232,'Other Sale'!$A:$A,$A232)))))</f>
        <v/>
      </c>
      <c r="G232" s="330" t="str" cm="1">
        <f t="array" ref="G232">IF($A232="","",IF($K232="Payment",IFERROR(INDEX(_xlfn._xlws.FILTER(MasterPaid[Amount Paid],(MasterPaid[Customer]=$B232)*(MasterPaid[Date]=$A232)),COUNTIFS($A$6:$A232,$A232,$B$6:$B232,$B232,$K$6:$K232,"Payment")),0),0))</f>
        <v/>
      </c>
      <c r="H232" s="331"/>
      <c r="I232" s="331"/>
      <c r="J232" s="330" t="str">
        <f t="shared" si="3"/>
        <v/>
      </c>
      <c r="K232" s="289" t="str" cm="1">
        <f t="array" ref="K232">IFERROR(INDEX(_xlfn.ANCHORARRAY($Q$6),ROW()-5,4),"")</f>
        <v/>
      </c>
      <c r="L232" s="290"/>
      <c r="U232">
        <f>IF(OR($A232="",$F232=""),0,MAX(0,MIN($F232,SUMIFS($F$6:$F232,$B$6:$B232,$B232)-(SUMIFS($G$6:$G$355,$B$6:$B$355,$B232)+SUMIFS($H$6:$H$355,$B$6:$B$355,$B232)+SUMIFS($I$6:$I$355,$B$6:$B$355,$B232)))))</f>
        <v>0</v>
      </c>
    </row>
    <row r="233" spans="1:21" ht="23" x14ac:dyDescent="0.25">
      <c r="A233" s="217" t="str" cm="1">
        <f t="array" ref="A233">IFERROR(INDEX(_xlfn.ANCHORARRAY($Q$6),ROW()-5,1),"")</f>
        <v/>
      </c>
      <c r="B233" s="288" t="str" cm="1">
        <f t="array" ref="B233">IFERROR(INDEX(_xlfn.ANCHORARRAY($Q$6),ROW()-5,2),"")</f>
        <v/>
      </c>
      <c r="C233" s="289" t="str" cm="1">
        <f t="array" ref="C233">IFERROR(INDEX(_xlfn.ANCHORARRAY($Q$6),ROW()-5,3),"")</f>
        <v/>
      </c>
      <c r="D233" s="218" t="str">
        <f>IF($A233="","",IF($K233="DIESEL",SUMIFS(Table1[Quantity],Table1[Customer],$B233,Table1[Date],$A233,Table1[Bill No.],$C233),IF($K233="PETROL",SUMIFS(Table14[Quantity],Table14[Customer],$B233,Table14[Date],$A233,Table14[Bill No.],$C233),IF($K233="XtraGreen",SUMIFS(Table146[Quantity],Table146[Company],$B233,Table146[Date],$A233,Table146[Bill No.],$C233),""))))</f>
        <v/>
      </c>
      <c r="E233" s="219" t="str">
        <f>IF($A233="","",IF($K233="DIESEL",AVERAGEIFS(Table1[RSP],Table1[Customer],$B233,Table1[Date],$A233,Table1[Bill No.],$C233),IF($K233="PETROL",AVERAGEIFS(Table14[RSP],Table14[Customer],$B233,Table14[Date],$A233,Table14[Bill No.],$C233),IF($K233="XtraGreen",AVERAGEIFS(Table146[RSP],Table146[Company],$B233,Table146[Date],$A233,Table146[Bill No.],$C233),IFERROR($F233/$D233,"")))))</f>
        <v/>
      </c>
      <c r="F233" s="330" t="str">
        <f>IF($A233="","",IF($K233="DIESEL",SUMIFS(Table1[Amount],Table1[Customer],$B233,Table1[Date],$A233,Table1[Bill No.],$C233),IF($K233="PETROL",SUMIFS(Table14[Amount],Table14[Customer],$B233,Table14[Date],$A233,Table14[Bill No.],$C233),IF($K233="XtraGreen",SUMIFS(Table146[Amount],Table146[Company],$B233,Table146[Date],$A233,Table146[Bill No.],$C233),SUMIFS('Other Sale'!$D:$D,'Other Sale'!$E:$E,$B233,'Other Sale'!$C:$C,$K233,'Other Sale'!$A:$A,$A233)))))</f>
        <v/>
      </c>
      <c r="G233" s="330" t="str" cm="1">
        <f t="array" ref="G233">IF($A233="","",IF($K233="Payment",IFERROR(INDEX(_xlfn._xlws.FILTER(MasterPaid[Amount Paid],(MasterPaid[Customer]=$B233)*(MasterPaid[Date]=$A233)),COUNTIFS($A$6:$A233,$A233,$B$6:$B233,$B233,$K$6:$K233,"Payment")),0),0))</f>
        <v/>
      </c>
      <c r="H233" s="331"/>
      <c r="I233" s="331"/>
      <c r="J233" s="330" t="str">
        <f t="shared" si="3"/>
        <v/>
      </c>
      <c r="K233" s="289" t="str" cm="1">
        <f t="array" ref="K233">IFERROR(INDEX(_xlfn.ANCHORARRAY($Q$6),ROW()-5,4),"")</f>
        <v/>
      </c>
      <c r="L233" s="290"/>
      <c r="U233">
        <f>IF(OR($A233="",$F233=""),0,MAX(0,MIN($F233,SUMIFS($F$6:$F233,$B$6:$B233,$B233)-(SUMIFS($G$6:$G$355,$B$6:$B$355,$B233)+SUMIFS($H$6:$H$355,$B$6:$B$355,$B233)+SUMIFS($I$6:$I$355,$B$6:$B$355,$B233)))))</f>
        <v>0</v>
      </c>
    </row>
    <row r="234" spans="1:21" ht="23" x14ac:dyDescent="0.25">
      <c r="A234" s="217" t="str" cm="1">
        <f t="array" ref="A234">IFERROR(INDEX(_xlfn.ANCHORARRAY($Q$6),ROW()-5,1),"")</f>
        <v/>
      </c>
      <c r="B234" s="288" t="str" cm="1">
        <f t="array" ref="B234">IFERROR(INDEX(_xlfn.ANCHORARRAY($Q$6),ROW()-5,2),"")</f>
        <v/>
      </c>
      <c r="C234" s="289" t="str" cm="1">
        <f t="array" ref="C234">IFERROR(INDEX(_xlfn.ANCHORARRAY($Q$6),ROW()-5,3),"")</f>
        <v/>
      </c>
      <c r="D234" s="218" t="str">
        <f>IF($A234="","",IF($K234="DIESEL",SUMIFS(Table1[Quantity],Table1[Customer],$B234,Table1[Date],$A234,Table1[Bill No.],$C234),IF($K234="PETROL",SUMIFS(Table14[Quantity],Table14[Customer],$B234,Table14[Date],$A234,Table14[Bill No.],$C234),IF($K234="XtraGreen",SUMIFS(Table146[Quantity],Table146[Company],$B234,Table146[Date],$A234,Table146[Bill No.],$C234),""))))</f>
        <v/>
      </c>
      <c r="E234" s="219" t="str">
        <f>IF($A234="","",IF($K234="DIESEL",AVERAGEIFS(Table1[RSP],Table1[Customer],$B234,Table1[Date],$A234,Table1[Bill No.],$C234),IF($K234="PETROL",AVERAGEIFS(Table14[RSP],Table14[Customer],$B234,Table14[Date],$A234,Table14[Bill No.],$C234),IF($K234="XtraGreen",AVERAGEIFS(Table146[RSP],Table146[Company],$B234,Table146[Date],$A234,Table146[Bill No.],$C234),IFERROR($F234/$D234,"")))))</f>
        <v/>
      </c>
      <c r="F234" s="330" t="str">
        <f>IF($A234="","",IF($K234="DIESEL",SUMIFS(Table1[Amount],Table1[Customer],$B234,Table1[Date],$A234,Table1[Bill No.],$C234),IF($K234="PETROL",SUMIFS(Table14[Amount],Table14[Customer],$B234,Table14[Date],$A234,Table14[Bill No.],$C234),IF($K234="XtraGreen",SUMIFS(Table146[Amount],Table146[Company],$B234,Table146[Date],$A234,Table146[Bill No.],$C234),SUMIFS('Other Sale'!$D:$D,'Other Sale'!$E:$E,$B234,'Other Sale'!$C:$C,$K234,'Other Sale'!$A:$A,$A234)))))</f>
        <v/>
      </c>
      <c r="G234" s="330" t="str" cm="1">
        <f t="array" ref="G234">IF($A234="","",IF($K234="Payment",IFERROR(INDEX(_xlfn._xlws.FILTER(MasterPaid[Amount Paid],(MasterPaid[Customer]=$B234)*(MasterPaid[Date]=$A234)),COUNTIFS($A$6:$A234,$A234,$B$6:$B234,$B234,$K$6:$K234,"Payment")),0),0))</f>
        <v/>
      </c>
      <c r="H234" s="331"/>
      <c r="I234" s="331"/>
      <c r="J234" s="330" t="str">
        <f t="shared" si="3"/>
        <v/>
      </c>
      <c r="K234" s="289" t="str" cm="1">
        <f t="array" ref="K234">IFERROR(INDEX(_xlfn.ANCHORARRAY($Q$6),ROW()-5,4),"")</f>
        <v/>
      </c>
      <c r="L234" s="290"/>
      <c r="U234">
        <f>IF(OR($A234="",$F234=""),0,MAX(0,MIN($F234,SUMIFS($F$6:$F234,$B$6:$B234,$B234)-(SUMIFS($G$6:$G$355,$B$6:$B$355,$B234)+SUMIFS($H$6:$H$355,$B$6:$B$355,$B234)+SUMIFS($I$6:$I$355,$B$6:$B$355,$B234)))))</f>
        <v>0</v>
      </c>
    </row>
    <row r="235" spans="1:21" ht="23" x14ac:dyDescent="0.25">
      <c r="A235" s="217" t="str" cm="1">
        <f t="array" ref="A235">IFERROR(INDEX(_xlfn.ANCHORARRAY($Q$6),ROW()-5,1),"")</f>
        <v/>
      </c>
      <c r="B235" s="288" t="str" cm="1">
        <f t="array" ref="B235">IFERROR(INDEX(_xlfn.ANCHORARRAY($Q$6),ROW()-5,2),"")</f>
        <v/>
      </c>
      <c r="C235" s="289" t="str" cm="1">
        <f t="array" ref="C235">IFERROR(INDEX(_xlfn.ANCHORARRAY($Q$6),ROW()-5,3),"")</f>
        <v/>
      </c>
      <c r="D235" s="218" t="str">
        <f>IF($A235="","",IF($K235="DIESEL",SUMIFS(Table1[Quantity],Table1[Customer],$B235,Table1[Date],$A235,Table1[Bill No.],$C235),IF($K235="PETROL",SUMIFS(Table14[Quantity],Table14[Customer],$B235,Table14[Date],$A235,Table14[Bill No.],$C235),IF($K235="XtraGreen",SUMIFS(Table146[Quantity],Table146[Company],$B235,Table146[Date],$A235,Table146[Bill No.],$C235),""))))</f>
        <v/>
      </c>
      <c r="E235" s="219" t="str">
        <f>IF($A235="","",IF($K235="DIESEL",AVERAGEIFS(Table1[RSP],Table1[Customer],$B235,Table1[Date],$A235,Table1[Bill No.],$C235),IF($K235="PETROL",AVERAGEIFS(Table14[RSP],Table14[Customer],$B235,Table14[Date],$A235,Table14[Bill No.],$C235),IF($K235="XtraGreen",AVERAGEIFS(Table146[RSP],Table146[Company],$B235,Table146[Date],$A235,Table146[Bill No.],$C235),IFERROR($F235/$D235,"")))))</f>
        <v/>
      </c>
      <c r="F235" s="330" t="str">
        <f>IF($A235="","",IF($K235="DIESEL",SUMIFS(Table1[Amount],Table1[Customer],$B235,Table1[Date],$A235,Table1[Bill No.],$C235),IF($K235="PETROL",SUMIFS(Table14[Amount],Table14[Customer],$B235,Table14[Date],$A235,Table14[Bill No.],$C235),IF($K235="XtraGreen",SUMIFS(Table146[Amount],Table146[Company],$B235,Table146[Date],$A235,Table146[Bill No.],$C235),SUMIFS('Other Sale'!$D:$D,'Other Sale'!$E:$E,$B235,'Other Sale'!$C:$C,$K235,'Other Sale'!$A:$A,$A235)))))</f>
        <v/>
      </c>
      <c r="G235" s="330" t="str" cm="1">
        <f t="array" ref="G235">IF($A235="","",IF($K235="Payment",IFERROR(INDEX(_xlfn._xlws.FILTER(MasterPaid[Amount Paid],(MasterPaid[Customer]=$B235)*(MasterPaid[Date]=$A235)),COUNTIFS($A$6:$A235,$A235,$B$6:$B235,$B235,$K$6:$K235,"Payment")),0),0))</f>
        <v/>
      </c>
      <c r="H235" s="331"/>
      <c r="I235" s="331"/>
      <c r="J235" s="330" t="str">
        <f t="shared" si="3"/>
        <v/>
      </c>
      <c r="K235" s="289" t="str" cm="1">
        <f t="array" ref="K235">IFERROR(INDEX(_xlfn.ANCHORARRAY($Q$6),ROW()-5,4),"")</f>
        <v/>
      </c>
      <c r="L235" s="290"/>
      <c r="U235">
        <f>IF(OR($A235="",$F235=""),0,MAX(0,MIN($F235,SUMIFS($F$6:$F235,$B$6:$B235,$B235)-(SUMIFS($G$6:$G$355,$B$6:$B$355,$B235)+SUMIFS($H$6:$H$355,$B$6:$B$355,$B235)+SUMIFS($I$6:$I$355,$B$6:$B$355,$B235)))))</f>
        <v>0</v>
      </c>
    </row>
    <row r="236" spans="1:21" ht="23" x14ac:dyDescent="0.25">
      <c r="A236" s="217" t="str" cm="1">
        <f t="array" ref="A236">IFERROR(INDEX(_xlfn.ANCHORARRAY($Q$6),ROW()-5,1),"")</f>
        <v/>
      </c>
      <c r="B236" s="288" t="str" cm="1">
        <f t="array" ref="B236">IFERROR(INDEX(_xlfn.ANCHORARRAY($Q$6),ROW()-5,2),"")</f>
        <v/>
      </c>
      <c r="C236" s="289" t="str" cm="1">
        <f t="array" ref="C236">IFERROR(INDEX(_xlfn.ANCHORARRAY($Q$6),ROW()-5,3),"")</f>
        <v/>
      </c>
      <c r="D236" s="218" t="str">
        <f>IF($A236="","",IF($K236="DIESEL",SUMIFS(Table1[Quantity],Table1[Customer],$B236,Table1[Date],$A236,Table1[Bill No.],$C236),IF($K236="PETROL",SUMIFS(Table14[Quantity],Table14[Customer],$B236,Table14[Date],$A236,Table14[Bill No.],$C236),IF($K236="XtraGreen",SUMIFS(Table146[Quantity],Table146[Company],$B236,Table146[Date],$A236,Table146[Bill No.],$C236),""))))</f>
        <v/>
      </c>
      <c r="E236" s="219" t="str">
        <f>IF($A236="","",IF($K236="DIESEL",AVERAGEIFS(Table1[RSP],Table1[Customer],$B236,Table1[Date],$A236,Table1[Bill No.],$C236),IF($K236="PETROL",AVERAGEIFS(Table14[RSP],Table14[Customer],$B236,Table14[Date],$A236,Table14[Bill No.],$C236),IF($K236="XtraGreen",AVERAGEIFS(Table146[RSP],Table146[Company],$B236,Table146[Date],$A236,Table146[Bill No.],$C236),IFERROR($F236/$D236,"")))))</f>
        <v/>
      </c>
      <c r="F236" s="330" t="str">
        <f>IF($A236="","",IF($K236="DIESEL",SUMIFS(Table1[Amount],Table1[Customer],$B236,Table1[Date],$A236,Table1[Bill No.],$C236),IF($K236="PETROL",SUMIFS(Table14[Amount],Table14[Customer],$B236,Table14[Date],$A236,Table14[Bill No.],$C236),IF($K236="XtraGreen",SUMIFS(Table146[Amount],Table146[Company],$B236,Table146[Date],$A236,Table146[Bill No.],$C236),SUMIFS('Other Sale'!$D:$D,'Other Sale'!$E:$E,$B236,'Other Sale'!$C:$C,$K236,'Other Sale'!$A:$A,$A236)))))</f>
        <v/>
      </c>
      <c r="G236" s="330" t="str" cm="1">
        <f t="array" ref="G236">IF($A236="","",IF($K236="Payment",IFERROR(INDEX(_xlfn._xlws.FILTER(MasterPaid[Amount Paid],(MasterPaid[Customer]=$B236)*(MasterPaid[Date]=$A236)),COUNTIFS($A$6:$A236,$A236,$B$6:$B236,$B236,$K$6:$K236,"Payment")),0),0))</f>
        <v/>
      </c>
      <c r="H236" s="331"/>
      <c r="I236" s="331"/>
      <c r="J236" s="330" t="str">
        <f t="shared" si="3"/>
        <v/>
      </c>
      <c r="K236" s="289" t="str" cm="1">
        <f t="array" ref="K236">IFERROR(INDEX(_xlfn.ANCHORARRAY($Q$6),ROW()-5,4),"")</f>
        <v/>
      </c>
      <c r="L236" s="290"/>
      <c r="U236">
        <f>IF(OR($A236="",$F236=""),0,MAX(0,MIN($F236,SUMIFS($F$6:$F236,$B$6:$B236,$B236)-(SUMIFS($G$6:$G$355,$B$6:$B$355,$B236)+SUMIFS($H$6:$H$355,$B$6:$B$355,$B236)+SUMIFS($I$6:$I$355,$B$6:$B$355,$B236)))))</f>
        <v>0</v>
      </c>
    </row>
    <row r="237" spans="1:21" ht="23" x14ac:dyDescent="0.25">
      <c r="A237" s="217" t="str" cm="1">
        <f t="array" ref="A237">IFERROR(INDEX(_xlfn.ANCHORARRAY($Q$6),ROW()-5,1),"")</f>
        <v/>
      </c>
      <c r="B237" s="288" t="str" cm="1">
        <f t="array" ref="B237">IFERROR(INDEX(_xlfn.ANCHORARRAY($Q$6),ROW()-5,2),"")</f>
        <v/>
      </c>
      <c r="C237" s="289" t="str" cm="1">
        <f t="array" ref="C237">IFERROR(INDEX(_xlfn.ANCHORARRAY($Q$6),ROW()-5,3),"")</f>
        <v/>
      </c>
      <c r="D237" s="218" t="str">
        <f>IF($A237="","",IF($K237="DIESEL",SUMIFS(Table1[Quantity],Table1[Customer],$B237,Table1[Date],$A237,Table1[Bill No.],$C237),IF($K237="PETROL",SUMIFS(Table14[Quantity],Table14[Customer],$B237,Table14[Date],$A237,Table14[Bill No.],$C237),IF($K237="XtraGreen",SUMIFS(Table146[Quantity],Table146[Company],$B237,Table146[Date],$A237,Table146[Bill No.],$C237),""))))</f>
        <v/>
      </c>
      <c r="E237" s="219" t="str">
        <f>IF($A237="","",IF($K237="DIESEL",AVERAGEIFS(Table1[RSP],Table1[Customer],$B237,Table1[Date],$A237,Table1[Bill No.],$C237),IF($K237="PETROL",AVERAGEIFS(Table14[RSP],Table14[Customer],$B237,Table14[Date],$A237,Table14[Bill No.],$C237),IF($K237="XtraGreen",AVERAGEIFS(Table146[RSP],Table146[Company],$B237,Table146[Date],$A237,Table146[Bill No.],$C237),IFERROR($F237/$D237,"")))))</f>
        <v/>
      </c>
      <c r="F237" s="330" t="str">
        <f>IF($A237="","",IF($K237="DIESEL",SUMIFS(Table1[Amount],Table1[Customer],$B237,Table1[Date],$A237,Table1[Bill No.],$C237),IF($K237="PETROL",SUMIFS(Table14[Amount],Table14[Customer],$B237,Table14[Date],$A237,Table14[Bill No.],$C237),IF($K237="XtraGreen",SUMIFS(Table146[Amount],Table146[Company],$B237,Table146[Date],$A237,Table146[Bill No.],$C237),SUMIFS('Other Sale'!$D:$D,'Other Sale'!$E:$E,$B237,'Other Sale'!$C:$C,$K237,'Other Sale'!$A:$A,$A237)))))</f>
        <v/>
      </c>
      <c r="G237" s="330" t="str" cm="1">
        <f t="array" ref="G237">IF($A237="","",IF($K237="Payment",IFERROR(INDEX(_xlfn._xlws.FILTER(MasterPaid[Amount Paid],(MasterPaid[Customer]=$B237)*(MasterPaid[Date]=$A237)),COUNTIFS($A$6:$A237,$A237,$B$6:$B237,$B237,$K$6:$K237,"Payment")),0),0))</f>
        <v/>
      </c>
      <c r="H237" s="331"/>
      <c r="I237" s="331"/>
      <c r="J237" s="330" t="str">
        <f t="shared" si="3"/>
        <v/>
      </c>
      <c r="K237" s="289" t="str" cm="1">
        <f t="array" ref="K237">IFERROR(INDEX(_xlfn.ANCHORARRAY($Q$6),ROW()-5,4),"")</f>
        <v/>
      </c>
      <c r="L237" s="290"/>
      <c r="U237">
        <f>IF(OR($A237="",$F237=""),0,MAX(0,MIN($F237,SUMIFS($F$6:$F237,$B$6:$B237,$B237)-(SUMIFS($G$6:$G$355,$B$6:$B$355,$B237)+SUMIFS($H$6:$H$355,$B$6:$B$355,$B237)+SUMIFS($I$6:$I$355,$B$6:$B$355,$B237)))))</f>
        <v>0</v>
      </c>
    </row>
    <row r="238" spans="1:21" ht="23" x14ac:dyDescent="0.25">
      <c r="A238" s="217" t="str" cm="1">
        <f t="array" ref="A238">IFERROR(INDEX(_xlfn.ANCHORARRAY($Q$6),ROW()-5,1),"")</f>
        <v/>
      </c>
      <c r="B238" s="288" t="str" cm="1">
        <f t="array" ref="B238">IFERROR(INDEX(_xlfn.ANCHORARRAY($Q$6),ROW()-5,2),"")</f>
        <v/>
      </c>
      <c r="C238" s="289" t="str" cm="1">
        <f t="array" ref="C238">IFERROR(INDEX(_xlfn.ANCHORARRAY($Q$6),ROW()-5,3),"")</f>
        <v/>
      </c>
      <c r="D238" s="218" t="str">
        <f>IF($A238="","",IF($K238="DIESEL",SUMIFS(Table1[Quantity],Table1[Customer],$B238,Table1[Date],$A238,Table1[Bill No.],$C238),IF($K238="PETROL",SUMIFS(Table14[Quantity],Table14[Customer],$B238,Table14[Date],$A238,Table14[Bill No.],$C238),IF($K238="XtraGreen",SUMIFS(Table146[Quantity],Table146[Company],$B238,Table146[Date],$A238,Table146[Bill No.],$C238),""))))</f>
        <v/>
      </c>
      <c r="E238" s="219" t="str">
        <f>IF($A238="","",IF($K238="DIESEL",AVERAGEIFS(Table1[RSP],Table1[Customer],$B238,Table1[Date],$A238,Table1[Bill No.],$C238),IF($K238="PETROL",AVERAGEIFS(Table14[RSP],Table14[Customer],$B238,Table14[Date],$A238,Table14[Bill No.],$C238),IF($K238="XtraGreen",AVERAGEIFS(Table146[RSP],Table146[Company],$B238,Table146[Date],$A238,Table146[Bill No.],$C238),IFERROR($F238/$D238,"")))))</f>
        <v/>
      </c>
      <c r="F238" s="330" t="str">
        <f>IF($A238="","",IF($K238="DIESEL",SUMIFS(Table1[Amount],Table1[Customer],$B238,Table1[Date],$A238,Table1[Bill No.],$C238),IF($K238="PETROL",SUMIFS(Table14[Amount],Table14[Customer],$B238,Table14[Date],$A238,Table14[Bill No.],$C238),IF($K238="XtraGreen",SUMIFS(Table146[Amount],Table146[Company],$B238,Table146[Date],$A238,Table146[Bill No.],$C238),SUMIFS('Other Sale'!$D:$D,'Other Sale'!$E:$E,$B238,'Other Sale'!$C:$C,$K238,'Other Sale'!$A:$A,$A238)))))</f>
        <v/>
      </c>
      <c r="G238" s="330" t="str" cm="1">
        <f t="array" ref="G238">IF($A238="","",IF($K238="Payment",IFERROR(INDEX(_xlfn._xlws.FILTER(MasterPaid[Amount Paid],(MasterPaid[Customer]=$B238)*(MasterPaid[Date]=$A238)),COUNTIFS($A$6:$A238,$A238,$B$6:$B238,$B238,$K$6:$K238,"Payment")),0),0))</f>
        <v/>
      </c>
      <c r="H238" s="331"/>
      <c r="I238" s="331"/>
      <c r="J238" s="330" t="str">
        <f t="shared" si="3"/>
        <v/>
      </c>
      <c r="K238" s="289" t="str" cm="1">
        <f t="array" ref="K238">IFERROR(INDEX(_xlfn.ANCHORARRAY($Q$6),ROW()-5,4),"")</f>
        <v/>
      </c>
      <c r="L238" s="290"/>
      <c r="U238">
        <f>IF(OR($A238="",$F238=""),0,MAX(0,MIN($F238,SUMIFS($F$6:$F238,$B$6:$B238,$B238)-(SUMIFS($G$6:$G$355,$B$6:$B$355,$B238)+SUMIFS($H$6:$H$355,$B$6:$B$355,$B238)+SUMIFS($I$6:$I$355,$B$6:$B$355,$B238)))))</f>
        <v>0</v>
      </c>
    </row>
    <row r="239" spans="1:21" ht="23" x14ac:dyDescent="0.25">
      <c r="A239" s="217" t="str" cm="1">
        <f t="array" ref="A239">IFERROR(INDEX(_xlfn.ANCHORARRAY($Q$6),ROW()-5,1),"")</f>
        <v/>
      </c>
      <c r="B239" s="288" t="str" cm="1">
        <f t="array" ref="B239">IFERROR(INDEX(_xlfn.ANCHORARRAY($Q$6),ROW()-5,2),"")</f>
        <v/>
      </c>
      <c r="C239" s="289" t="str" cm="1">
        <f t="array" ref="C239">IFERROR(INDEX(_xlfn.ANCHORARRAY($Q$6),ROW()-5,3),"")</f>
        <v/>
      </c>
      <c r="D239" s="218" t="str">
        <f>IF($A239="","",IF($K239="DIESEL",SUMIFS(Table1[Quantity],Table1[Customer],$B239,Table1[Date],$A239,Table1[Bill No.],$C239),IF($K239="PETROL",SUMIFS(Table14[Quantity],Table14[Customer],$B239,Table14[Date],$A239,Table14[Bill No.],$C239),IF($K239="XtraGreen",SUMIFS(Table146[Quantity],Table146[Company],$B239,Table146[Date],$A239,Table146[Bill No.],$C239),""))))</f>
        <v/>
      </c>
      <c r="E239" s="219" t="str">
        <f>IF($A239="","",IF($K239="DIESEL",AVERAGEIFS(Table1[RSP],Table1[Customer],$B239,Table1[Date],$A239,Table1[Bill No.],$C239),IF($K239="PETROL",AVERAGEIFS(Table14[RSP],Table14[Customer],$B239,Table14[Date],$A239,Table14[Bill No.],$C239),IF($K239="XtraGreen",AVERAGEIFS(Table146[RSP],Table146[Company],$B239,Table146[Date],$A239,Table146[Bill No.],$C239),IFERROR($F239/$D239,"")))))</f>
        <v/>
      </c>
      <c r="F239" s="330" t="str">
        <f>IF($A239="","",IF($K239="DIESEL",SUMIFS(Table1[Amount],Table1[Customer],$B239,Table1[Date],$A239,Table1[Bill No.],$C239),IF($K239="PETROL",SUMIFS(Table14[Amount],Table14[Customer],$B239,Table14[Date],$A239,Table14[Bill No.],$C239),IF($K239="XtraGreen",SUMIFS(Table146[Amount],Table146[Company],$B239,Table146[Date],$A239,Table146[Bill No.],$C239),SUMIFS('Other Sale'!$D:$D,'Other Sale'!$E:$E,$B239,'Other Sale'!$C:$C,$K239,'Other Sale'!$A:$A,$A239)))))</f>
        <v/>
      </c>
      <c r="G239" s="330" t="str" cm="1">
        <f t="array" ref="G239">IF($A239="","",IF($K239="Payment",IFERROR(INDEX(_xlfn._xlws.FILTER(MasterPaid[Amount Paid],(MasterPaid[Customer]=$B239)*(MasterPaid[Date]=$A239)),COUNTIFS($A$6:$A239,$A239,$B$6:$B239,$B239,$K$6:$K239,"Payment")),0),0))</f>
        <v/>
      </c>
      <c r="H239" s="331"/>
      <c r="I239" s="331"/>
      <c r="J239" s="330" t="str">
        <f t="shared" si="3"/>
        <v/>
      </c>
      <c r="K239" s="289" t="str" cm="1">
        <f t="array" ref="K239">IFERROR(INDEX(_xlfn.ANCHORARRAY($Q$6),ROW()-5,4),"")</f>
        <v/>
      </c>
      <c r="L239" s="290"/>
      <c r="U239">
        <f>IF(OR($A239="",$F239=""),0,MAX(0,MIN($F239,SUMIFS($F$6:$F239,$B$6:$B239,$B239)-(SUMIFS($G$6:$G$355,$B$6:$B$355,$B239)+SUMIFS($H$6:$H$355,$B$6:$B$355,$B239)+SUMIFS($I$6:$I$355,$B$6:$B$355,$B239)))))</f>
        <v>0</v>
      </c>
    </row>
    <row r="240" spans="1:21" ht="23" x14ac:dyDescent="0.25">
      <c r="A240" s="217" t="str" cm="1">
        <f t="array" ref="A240">IFERROR(INDEX(_xlfn.ANCHORARRAY($Q$6),ROW()-5,1),"")</f>
        <v/>
      </c>
      <c r="B240" s="288" t="str" cm="1">
        <f t="array" ref="B240">IFERROR(INDEX(_xlfn.ANCHORARRAY($Q$6),ROW()-5,2),"")</f>
        <v/>
      </c>
      <c r="C240" s="289" t="str" cm="1">
        <f t="array" ref="C240">IFERROR(INDEX(_xlfn.ANCHORARRAY($Q$6),ROW()-5,3),"")</f>
        <v/>
      </c>
      <c r="D240" s="218" t="str">
        <f>IF($A240="","",IF($K240="DIESEL",SUMIFS(Table1[Quantity],Table1[Customer],$B240,Table1[Date],$A240,Table1[Bill No.],$C240),IF($K240="PETROL",SUMIFS(Table14[Quantity],Table14[Customer],$B240,Table14[Date],$A240,Table14[Bill No.],$C240),IF($K240="XtraGreen",SUMIFS(Table146[Quantity],Table146[Company],$B240,Table146[Date],$A240,Table146[Bill No.],$C240),""))))</f>
        <v/>
      </c>
      <c r="E240" s="219" t="str">
        <f>IF($A240="","",IF($K240="DIESEL",AVERAGEIFS(Table1[RSP],Table1[Customer],$B240,Table1[Date],$A240,Table1[Bill No.],$C240),IF($K240="PETROL",AVERAGEIFS(Table14[RSP],Table14[Customer],$B240,Table14[Date],$A240,Table14[Bill No.],$C240),IF($K240="XtraGreen",AVERAGEIFS(Table146[RSP],Table146[Company],$B240,Table146[Date],$A240,Table146[Bill No.],$C240),IFERROR($F240/$D240,"")))))</f>
        <v/>
      </c>
      <c r="F240" s="330" t="str">
        <f>IF($A240="","",IF($K240="DIESEL",SUMIFS(Table1[Amount],Table1[Customer],$B240,Table1[Date],$A240,Table1[Bill No.],$C240),IF($K240="PETROL",SUMIFS(Table14[Amount],Table14[Customer],$B240,Table14[Date],$A240,Table14[Bill No.],$C240),IF($K240="XtraGreen",SUMIFS(Table146[Amount],Table146[Company],$B240,Table146[Date],$A240,Table146[Bill No.],$C240),SUMIFS('Other Sale'!$D:$D,'Other Sale'!$E:$E,$B240,'Other Sale'!$C:$C,$K240,'Other Sale'!$A:$A,$A240)))))</f>
        <v/>
      </c>
      <c r="G240" s="330" t="str" cm="1">
        <f t="array" ref="G240">IF($A240="","",IF($K240="Payment",IFERROR(INDEX(_xlfn._xlws.FILTER(MasterPaid[Amount Paid],(MasterPaid[Customer]=$B240)*(MasterPaid[Date]=$A240)),COUNTIFS($A$6:$A240,$A240,$B$6:$B240,$B240,$K$6:$K240,"Payment")),0),0))</f>
        <v/>
      </c>
      <c r="H240" s="331"/>
      <c r="I240" s="331"/>
      <c r="J240" s="330" t="str">
        <f t="shared" si="3"/>
        <v/>
      </c>
      <c r="K240" s="289" t="str" cm="1">
        <f t="array" ref="K240">IFERROR(INDEX(_xlfn.ANCHORARRAY($Q$6),ROW()-5,4),"")</f>
        <v/>
      </c>
      <c r="L240" s="290"/>
      <c r="U240">
        <f>IF(OR($A240="",$F240=""),0,MAX(0,MIN($F240,SUMIFS($F$6:$F240,$B$6:$B240,$B240)-(SUMIFS($G$6:$G$355,$B$6:$B$355,$B240)+SUMIFS($H$6:$H$355,$B$6:$B$355,$B240)+SUMIFS($I$6:$I$355,$B$6:$B$355,$B240)))))</f>
        <v>0</v>
      </c>
    </row>
    <row r="241" spans="1:21" ht="23" x14ac:dyDescent="0.25">
      <c r="A241" s="217" t="str" cm="1">
        <f t="array" ref="A241">IFERROR(INDEX(_xlfn.ANCHORARRAY($Q$6),ROW()-5,1),"")</f>
        <v/>
      </c>
      <c r="B241" s="288" t="str" cm="1">
        <f t="array" ref="B241">IFERROR(INDEX(_xlfn.ANCHORARRAY($Q$6),ROW()-5,2),"")</f>
        <v/>
      </c>
      <c r="C241" s="289" t="str" cm="1">
        <f t="array" ref="C241">IFERROR(INDEX(_xlfn.ANCHORARRAY($Q$6),ROW()-5,3),"")</f>
        <v/>
      </c>
      <c r="D241" s="218" t="str">
        <f>IF($A241="","",IF($K241="DIESEL",SUMIFS(Table1[Quantity],Table1[Customer],$B241,Table1[Date],$A241,Table1[Bill No.],$C241),IF($K241="PETROL",SUMIFS(Table14[Quantity],Table14[Customer],$B241,Table14[Date],$A241,Table14[Bill No.],$C241),IF($K241="XtraGreen",SUMIFS(Table146[Quantity],Table146[Company],$B241,Table146[Date],$A241,Table146[Bill No.],$C241),""))))</f>
        <v/>
      </c>
      <c r="E241" s="219" t="str">
        <f>IF($A241="","",IF($K241="DIESEL",AVERAGEIFS(Table1[RSP],Table1[Customer],$B241,Table1[Date],$A241,Table1[Bill No.],$C241),IF($K241="PETROL",AVERAGEIFS(Table14[RSP],Table14[Customer],$B241,Table14[Date],$A241,Table14[Bill No.],$C241),IF($K241="XtraGreen",AVERAGEIFS(Table146[RSP],Table146[Company],$B241,Table146[Date],$A241,Table146[Bill No.],$C241),IFERROR($F241/$D241,"")))))</f>
        <v/>
      </c>
      <c r="F241" s="330" t="str">
        <f>IF($A241="","",IF($K241="DIESEL",SUMIFS(Table1[Amount],Table1[Customer],$B241,Table1[Date],$A241,Table1[Bill No.],$C241),IF($K241="PETROL",SUMIFS(Table14[Amount],Table14[Customer],$B241,Table14[Date],$A241,Table14[Bill No.],$C241),IF($K241="XtraGreen",SUMIFS(Table146[Amount],Table146[Company],$B241,Table146[Date],$A241,Table146[Bill No.],$C241),SUMIFS('Other Sale'!$D:$D,'Other Sale'!$E:$E,$B241,'Other Sale'!$C:$C,$K241,'Other Sale'!$A:$A,$A241)))))</f>
        <v/>
      </c>
      <c r="G241" s="330" t="str" cm="1">
        <f t="array" ref="G241">IF($A241="","",IF($K241="Payment",IFERROR(INDEX(_xlfn._xlws.FILTER(MasterPaid[Amount Paid],(MasterPaid[Customer]=$B241)*(MasterPaid[Date]=$A241)),COUNTIFS($A$6:$A241,$A241,$B$6:$B241,$B241,$K$6:$K241,"Payment")),0),0))</f>
        <v/>
      </c>
      <c r="H241" s="331"/>
      <c r="I241" s="331"/>
      <c r="J241" s="330" t="str">
        <f t="shared" si="3"/>
        <v/>
      </c>
      <c r="K241" s="289" t="str" cm="1">
        <f t="array" ref="K241">IFERROR(INDEX(_xlfn.ANCHORARRAY($Q$6),ROW()-5,4),"")</f>
        <v/>
      </c>
      <c r="L241" s="290"/>
      <c r="U241">
        <f>IF(OR($A241="",$F241=""),0,MAX(0,MIN($F241,SUMIFS($F$6:$F241,$B$6:$B241,$B241)-(SUMIFS($G$6:$G$355,$B$6:$B$355,$B241)+SUMIFS($H$6:$H$355,$B$6:$B$355,$B241)+SUMIFS($I$6:$I$355,$B$6:$B$355,$B241)))))</f>
        <v>0</v>
      </c>
    </row>
    <row r="242" spans="1:21" ht="23" x14ac:dyDescent="0.25">
      <c r="A242" s="217" t="str" cm="1">
        <f t="array" ref="A242">IFERROR(INDEX(_xlfn.ANCHORARRAY($Q$6),ROW()-5,1),"")</f>
        <v/>
      </c>
      <c r="B242" s="288" t="str" cm="1">
        <f t="array" ref="B242">IFERROR(INDEX(_xlfn.ANCHORARRAY($Q$6),ROW()-5,2),"")</f>
        <v/>
      </c>
      <c r="C242" s="289" t="str" cm="1">
        <f t="array" ref="C242">IFERROR(INDEX(_xlfn.ANCHORARRAY($Q$6),ROW()-5,3),"")</f>
        <v/>
      </c>
      <c r="D242" s="218" t="str">
        <f>IF($A242="","",IF($K242="DIESEL",SUMIFS(Table1[Quantity],Table1[Customer],$B242,Table1[Date],$A242,Table1[Bill No.],$C242),IF($K242="PETROL",SUMIFS(Table14[Quantity],Table14[Customer],$B242,Table14[Date],$A242,Table14[Bill No.],$C242),IF($K242="XtraGreen",SUMIFS(Table146[Quantity],Table146[Company],$B242,Table146[Date],$A242,Table146[Bill No.],$C242),""))))</f>
        <v/>
      </c>
      <c r="E242" s="219" t="str">
        <f>IF($A242="","",IF($K242="DIESEL",AVERAGEIFS(Table1[RSP],Table1[Customer],$B242,Table1[Date],$A242,Table1[Bill No.],$C242),IF($K242="PETROL",AVERAGEIFS(Table14[RSP],Table14[Customer],$B242,Table14[Date],$A242,Table14[Bill No.],$C242),IF($K242="XtraGreen",AVERAGEIFS(Table146[RSP],Table146[Company],$B242,Table146[Date],$A242,Table146[Bill No.],$C242),IFERROR($F242/$D242,"")))))</f>
        <v/>
      </c>
      <c r="F242" s="330" t="str">
        <f>IF($A242="","",IF($K242="DIESEL",SUMIFS(Table1[Amount],Table1[Customer],$B242,Table1[Date],$A242,Table1[Bill No.],$C242),IF($K242="PETROL",SUMIFS(Table14[Amount],Table14[Customer],$B242,Table14[Date],$A242,Table14[Bill No.],$C242),IF($K242="XtraGreen",SUMIFS(Table146[Amount],Table146[Company],$B242,Table146[Date],$A242,Table146[Bill No.],$C242),SUMIFS('Other Sale'!$D:$D,'Other Sale'!$E:$E,$B242,'Other Sale'!$C:$C,$K242,'Other Sale'!$A:$A,$A242)))))</f>
        <v/>
      </c>
      <c r="G242" s="330" t="str" cm="1">
        <f t="array" ref="G242">IF($A242="","",IF($K242="Payment",IFERROR(INDEX(_xlfn._xlws.FILTER(MasterPaid[Amount Paid],(MasterPaid[Customer]=$B242)*(MasterPaid[Date]=$A242)),COUNTIFS($A$6:$A242,$A242,$B$6:$B242,$B242,$K$6:$K242,"Payment")),0),0))</f>
        <v/>
      </c>
      <c r="H242" s="331"/>
      <c r="I242" s="331"/>
      <c r="J242" s="330" t="str">
        <f t="shared" si="3"/>
        <v/>
      </c>
      <c r="K242" s="289" t="str" cm="1">
        <f t="array" ref="K242">IFERROR(INDEX(_xlfn.ANCHORARRAY($Q$6),ROW()-5,4),"")</f>
        <v/>
      </c>
      <c r="L242" s="290"/>
      <c r="U242">
        <f>IF(OR($A242="",$F242=""),0,MAX(0,MIN($F242,SUMIFS($F$6:$F242,$B$6:$B242,$B242)-(SUMIFS($G$6:$G$355,$B$6:$B$355,$B242)+SUMIFS($H$6:$H$355,$B$6:$B$355,$B242)+SUMIFS($I$6:$I$355,$B$6:$B$355,$B242)))))</f>
        <v>0</v>
      </c>
    </row>
    <row r="243" spans="1:21" ht="23" x14ac:dyDescent="0.25">
      <c r="A243" s="217" t="str" cm="1">
        <f t="array" ref="A243">IFERROR(INDEX(_xlfn.ANCHORARRAY($Q$6),ROW()-5,1),"")</f>
        <v/>
      </c>
      <c r="B243" s="288" t="str" cm="1">
        <f t="array" ref="B243">IFERROR(INDEX(_xlfn.ANCHORARRAY($Q$6),ROW()-5,2),"")</f>
        <v/>
      </c>
      <c r="C243" s="289" t="str" cm="1">
        <f t="array" ref="C243">IFERROR(INDEX(_xlfn.ANCHORARRAY($Q$6),ROW()-5,3),"")</f>
        <v/>
      </c>
      <c r="D243" s="218" t="str">
        <f>IF($A243="","",IF($K243="DIESEL",SUMIFS(Table1[Quantity],Table1[Customer],$B243,Table1[Date],$A243,Table1[Bill No.],$C243),IF($K243="PETROL",SUMIFS(Table14[Quantity],Table14[Customer],$B243,Table14[Date],$A243,Table14[Bill No.],$C243),IF($K243="XtraGreen",SUMIFS(Table146[Quantity],Table146[Company],$B243,Table146[Date],$A243,Table146[Bill No.],$C243),""))))</f>
        <v/>
      </c>
      <c r="E243" s="219" t="str">
        <f>IF($A243="","",IF($K243="DIESEL",AVERAGEIFS(Table1[RSP],Table1[Customer],$B243,Table1[Date],$A243,Table1[Bill No.],$C243),IF($K243="PETROL",AVERAGEIFS(Table14[RSP],Table14[Customer],$B243,Table14[Date],$A243,Table14[Bill No.],$C243),IF($K243="XtraGreen",AVERAGEIFS(Table146[RSP],Table146[Company],$B243,Table146[Date],$A243,Table146[Bill No.],$C243),IFERROR($F243/$D243,"")))))</f>
        <v/>
      </c>
      <c r="F243" s="330" t="str">
        <f>IF($A243="","",IF($K243="DIESEL",SUMIFS(Table1[Amount],Table1[Customer],$B243,Table1[Date],$A243,Table1[Bill No.],$C243),IF($K243="PETROL",SUMIFS(Table14[Amount],Table14[Customer],$B243,Table14[Date],$A243,Table14[Bill No.],$C243),IF($K243="XtraGreen",SUMIFS(Table146[Amount],Table146[Company],$B243,Table146[Date],$A243,Table146[Bill No.],$C243),SUMIFS('Other Sale'!$D:$D,'Other Sale'!$E:$E,$B243,'Other Sale'!$C:$C,$K243,'Other Sale'!$A:$A,$A243)))))</f>
        <v/>
      </c>
      <c r="G243" s="330" t="str" cm="1">
        <f t="array" ref="G243">IF($A243="","",IF($K243="Payment",IFERROR(INDEX(_xlfn._xlws.FILTER(MasterPaid[Amount Paid],(MasterPaid[Customer]=$B243)*(MasterPaid[Date]=$A243)),COUNTIFS($A$6:$A243,$A243,$B$6:$B243,$B243,$K$6:$K243,"Payment")),0),0))</f>
        <v/>
      </c>
      <c r="H243" s="331"/>
      <c r="I243" s="331"/>
      <c r="J243" s="330" t="str">
        <f t="shared" si="3"/>
        <v/>
      </c>
      <c r="K243" s="289" t="str" cm="1">
        <f t="array" ref="K243">IFERROR(INDEX(_xlfn.ANCHORARRAY($Q$6),ROW()-5,4),"")</f>
        <v/>
      </c>
      <c r="L243" s="290"/>
      <c r="U243">
        <f>IF(OR($A243="",$F243=""),0,MAX(0,MIN($F243,SUMIFS($F$6:$F243,$B$6:$B243,$B243)-(SUMIFS($G$6:$G$355,$B$6:$B$355,$B243)+SUMIFS($H$6:$H$355,$B$6:$B$355,$B243)+SUMIFS($I$6:$I$355,$B$6:$B$355,$B243)))))</f>
        <v>0</v>
      </c>
    </row>
    <row r="244" spans="1:21" ht="23" x14ac:dyDescent="0.25">
      <c r="A244" s="217" t="str" cm="1">
        <f t="array" ref="A244">IFERROR(INDEX(_xlfn.ANCHORARRAY($Q$6),ROW()-5,1),"")</f>
        <v/>
      </c>
      <c r="B244" s="288" t="str" cm="1">
        <f t="array" ref="B244">IFERROR(INDEX(_xlfn.ANCHORARRAY($Q$6),ROW()-5,2),"")</f>
        <v/>
      </c>
      <c r="C244" s="289" t="str" cm="1">
        <f t="array" ref="C244">IFERROR(INDEX(_xlfn.ANCHORARRAY($Q$6),ROW()-5,3),"")</f>
        <v/>
      </c>
      <c r="D244" s="218" t="str">
        <f>IF($A244="","",IF($K244="DIESEL",SUMIFS(Table1[Quantity],Table1[Customer],$B244,Table1[Date],$A244,Table1[Bill No.],$C244),IF($K244="PETROL",SUMIFS(Table14[Quantity],Table14[Customer],$B244,Table14[Date],$A244,Table14[Bill No.],$C244),IF($K244="XtraGreen",SUMIFS(Table146[Quantity],Table146[Company],$B244,Table146[Date],$A244,Table146[Bill No.],$C244),""))))</f>
        <v/>
      </c>
      <c r="E244" s="219" t="str">
        <f>IF($A244="","",IF($K244="DIESEL",AVERAGEIFS(Table1[RSP],Table1[Customer],$B244,Table1[Date],$A244,Table1[Bill No.],$C244),IF($K244="PETROL",AVERAGEIFS(Table14[RSP],Table14[Customer],$B244,Table14[Date],$A244,Table14[Bill No.],$C244),IF($K244="XtraGreen",AVERAGEIFS(Table146[RSP],Table146[Company],$B244,Table146[Date],$A244,Table146[Bill No.],$C244),IFERROR($F244/$D244,"")))))</f>
        <v/>
      </c>
      <c r="F244" s="330" t="str">
        <f>IF($A244="","",IF($K244="DIESEL",SUMIFS(Table1[Amount],Table1[Customer],$B244,Table1[Date],$A244,Table1[Bill No.],$C244),IF($K244="PETROL",SUMIFS(Table14[Amount],Table14[Customer],$B244,Table14[Date],$A244,Table14[Bill No.],$C244),IF($K244="XtraGreen",SUMIFS(Table146[Amount],Table146[Company],$B244,Table146[Date],$A244,Table146[Bill No.],$C244),SUMIFS('Other Sale'!$D:$D,'Other Sale'!$E:$E,$B244,'Other Sale'!$C:$C,$K244,'Other Sale'!$A:$A,$A244)))))</f>
        <v/>
      </c>
      <c r="G244" s="330" t="str" cm="1">
        <f t="array" ref="G244">IF($A244="","",IF($K244="Payment",IFERROR(INDEX(_xlfn._xlws.FILTER(MasterPaid[Amount Paid],(MasterPaid[Customer]=$B244)*(MasterPaid[Date]=$A244)),COUNTIFS($A$6:$A244,$A244,$B$6:$B244,$B244,$K$6:$K244,"Payment")),0),0))</f>
        <v/>
      </c>
      <c r="H244" s="331"/>
      <c r="I244" s="331"/>
      <c r="J244" s="330" t="str">
        <f t="shared" si="3"/>
        <v/>
      </c>
      <c r="K244" s="289" t="str" cm="1">
        <f t="array" ref="K244">IFERROR(INDEX(_xlfn.ANCHORARRAY($Q$6),ROW()-5,4),"")</f>
        <v/>
      </c>
      <c r="L244" s="290"/>
      <c r="U244">
        <f>IF(OR($A244="",$F244=""),0,MAX(0,MIN($F244,SUMIFS($F$6:$F244,$B$6:$B244,$B244)-(SUMIFS($G$6:$G$355,$B$6:$B$355,$B244)+SUMIFS($H$6:$H$355,$B$6:$B$355,$B244)+SUMIFS($I$6:$I$355,$B$6:$B$355,$B244)))))</f>
        <v>0</v>
      </c>
    </row>
    <row r="245" spans="1:21" ht="23" x14ac:dyDescent="0.25">
      <c r="A245" s="217" t="str" cm="1">
        <f t="array" ref="A245">IFERROR(INDEX(_xlfn.ANCHORARRAY($Q$6),ROW()-5,1),"")</f>
        <v/>
      </c>
      <c r="B245" s="288" t="str" cm="1">
        <f t="array" ref="B245">IFERROR(INDEX(_xlfn.ANCHORARRAY($Q$6),ROW()-5,2),"")</f>
        <v/>
      </c>
      <c r="C245" s="289" t="str" cm="1">
        <f t="array" ref="C245">IFERROR(INDEX(_xlfn.ANCHORARRAY($Q$6),ROW()-5,3),"")</f>
        <v/>
      </c>
      <c r="D245" s="218" t="str">
        <f>IF($A245="","",IF($K245="DIESEL",SUMIFS(Table1[Quantity],Table1[Customer],$B245,Table1[Date],$A245,Table1[Bill No.],$C245),IF($K245="PETROL",SUMIFS(Table14[Quantity],Table14[Customer],$B245,Table14[Date],$A245,Table14[Bill No.],$C245),IF($K245="XtraGreen",SUMIFS(Table146[Quantity],Table146[Company],$B245,Table146[Date],$A245,Table146[Bill No.],$C245),""))))</f>
        <v/>
      </c>
      <c r="E245" s="219" t="str">
        <f>IF($A245="","",IF($K245="DIESEL",AVERAGEIFS(Table1[RSP],Table1[Customer],$B245,Table1[Date],$A245,Table1[Bill No.],$C245),IF($K245="PETROL",AVERAGEIFS(Table14[RSP],Table14[Customer],$B245,Table14[Date],$A245,Table14[Bill No.],$C245),IF($K245="XtraGreen",AVERAGEIFS(Table146[RSP],Table146[Company],$B245,Table146[Date],$A245,Table146[Bill No.],$C245),IFERROR($F245/$D245,"")))))</f>
        <v/>
      </c>
      <c r="F245" s="330" t="str">
        <f>IF($A245="","",IF($K245="DIESEL",SUMIFS(Table1[Amount],Table1[Customer],$B245,Table1[Date],$A245,Table1[Bill No.],$C245),IF($K245="PETROL",SUMIFS(Table14[Amount],Table14[Customer],$B245,Table14[Date],$A245,Table14[Bill No.],$C245),IF($K245="XtraGreen",SUMIFS(Table146[Amount],Table146[Company],$B245,Table146[Date],$A245,Table146[Bill No.],$C245),SUMIFS('Other Sale'!$D:$D,'Other Sale'!$E:$E,$B245,'Other Sale'!$C:$C,$K245,'Other Sale'!$A:$A,$A245)))))</f>
        <v/>
      </c>
      <c r="G245" s="330" t="str" cm="1">
        <f t="array" ref="G245">IF($A245="","",IF($K245="Payment",IFERROR(INDEX(_xlfn._xlws.FILTER(MasterPaid[Amount Paid],(MasterPaid[Customer]=$B245)*(MasterPaid[Date]=$A245)),COUNTIFS($A$6:$A245,$A245,$B$6:$B245,$B245,$K$6:$K245,"Payment")),0),0))</f>
        <v/>
      </c>
      <c r="H245" s="331"/>
      <c r="I245" s="331"/>
      <c r="J245" s="330" t="str">
        <f t="shared" si="3"/>
        <v/>
      </c>
      <c r="K245" s="289" t="str" cm="1">
        <f t="array" ref="K245">IFERROR(INDEX(_xlfn.ANCHORARRAY($Q$6),ROW()-5,4),"")</f>
        <v/>
      </c>
      <c r="L245" s="290"/>
      <c r="U245">
        <f>IF(OR($A245="",$F245=""),0,MAX(0,MIN($F245,SUMIFS($F$6:$F245,$B$6:$B245,$B245)-(SUMIFS($G$6:$G$355,$B$6:$B$355,$B245)+SUMIFS($H$6:$H$355,$B$6:$B$355,$B245)+SUMIFS($I$6:$I$355,$B$6:$B$355,$B245)))))</f>
        <v>0</v>
      </c>
    </row>
    <row r="246" spans="1:21" ht="23" x14ac:dyDescent="0.25">
      <c r="A246" s="217" t="str" cm="1">
        <f t="array" ref="A246">IFERROR(INDEX(_xlfn.ANCHORARRAY($Q$6),ROW()-5,1),"")</f>
        <v/>
      </c>
      <c r="B246" s="288" t="str" cm="1">
        <f t="array" ref="B246">IFERROR(INDEX(_xlfn.ANCHORARRAY($Q$6),ROW()-5,2),"")</f>
        <v/>
      </c>
      <c r="C246" s="289" t="str" cm="1">
        <f t="array" ref="C246">IFERROR(INDEX(_xlfn.ANCHORARRAY($Q$6),ROW()-5,3),"")</f>
        <v/>
      </c>
      <c r="D246" s="218" t="str">
        <f>IF($A246="","",IF($K246="DIESEL",SUMIFS(Table1[Quantity],Table1[Customer],$B246,Table1[Date],$A246,Table1[Bill No.],$C246),IF($K246="PETROL",SUMIFS(Table14[Quantity],Table14[Customer],$B246,Table14[Date],$A246,Table14[Bill No.],$C246),IF($K246="XtraGreen",SUMIFS(Table146[Quantity],Table146[Company],$B246,Table146[Date],$A246,Table146[Bill No.],$C246),""))))</f>
        <v/>
      </c>
      <c r="E246" s="219" t="str">
        <f>IF($A246="","",IF($K246="DIESEL",AVERAGEIFS(Table1[RSP],Table1[Customer],$B246,Table1[Date],$A246,Table1[Bill No.],$C246),IF($K246="PETROL",AVERAGEIFS(Table14[RSP],Table14[Customer],$B246,Table14[Date],$A246,Table14[Bill No.],$C246),IF($K246="XtraGreen",AVERAGEIFS(Table146[RSP],Table146[Company],$B246,Table146[Date],$A246,Table146[Bill No.],$C246),IFERROR($F246/$D246,"")))))</f>
        <v/>
      </c>
      <c r="F246" s="330" t="str">
        <f>IF($A246="","",IF($K246="DIESEL",SUMIFS(Table1[Amount],Table1[Customer],$B246,Table1[Date],$A246,Table1[Bill No.],$C246),IF($K246="PETROL",SUMIFS(Table14[Amount],Table14[Customer],$B246,Table14[Date],$A246,Table14[Bill No.],$C246),IF($K246="XtraGreen",SUMIFS(Table146[Amount],Table146[Company],$B246,Table146[Date],$A246,Table146[Bill No.],$C246),SUMIFS('Other Sale'!$D:$D,'Other Sale'!$E:$E,$B246,'Other Sale'!$C:$C,$K246,'Other Sale'!$A:$A,$A246)))))</f>
        <v/>
      </c>
      <c r="G246" s="330" t="str" cm="1">
        <f t="array" ref="G246">IF($A246="","",IF($K246="Payment",IFERROR(INDEX(_xlfn._xlws.FILTER(MasterPaid[Amount Paid],(MasterPaid[Customer]=$B246)*(MasterPaid[Date]=$A246)),COUNTIFS($A$6:$A246,$A246,$B$6:$B246,$B246,$K$6:$K246,"Payment")),0),0))</f>
        <v/>
      </c>
      <c r="H246" s="331"/>
      <c r="I246" s="331"/>
      <c r="J246" s="330" t="str">
        <f t="shared" si="3"/>
        <v/>
      </c>
      <c r="K246" s="289" t="str" cm="1">
        <f t="array" ref="K246">IFERROR(INDEX(_xlfn.ANCHORARRAY($Q$6),ROW()-5,4),"")</f>
        <v/>
      </c>
      <c r="L246" s="290"/>
      <c r="U246">
        <f>IF(OR($A246="",$F246=""),0,MAX(0,MIN($F246,SUMIFS($F$6:$F246,$B$6:$B246,$B246)-(SUMIFS($G$6:$G$355,$B$6:$B$355,$B246)+SUMIFS($H$6:$H$355,$B$6:$B$355,$B246)+SUMIFS($I$6:$I$355,$B$6:$B$355,$B246)))))</f>
        <v>0</v>
      </c>
    </row>
    <row r="247" spans="1:21" ht="23" x14ac:dyDescent="0.25">
      <c r="A247" s="217" t="str" cm="1">
        <f t="array" ref="A247">IFERROR(INDEX(_xlfn.ANCHORARRAY($Q$6),ROW()-5,1),"")</f>
        <v/>
      </c>
      <c r="B247" s="288" t="str" cm="1">
        <f t="array" ref="B247">IFERROR(INDEX(_xlfn.ANCHORARRAY($Q$6),ROW()-5,2),"")</f>
        <v/>
      </c>
      <c r="C247" s="289" t="str" cm="1">
        <f t="array" ref="C247">IFERROR(INDEX(_xlfn.ANCHORARRAY($Q$6),ROW()-5,3),"")</f>
        <v/>
      </c>
      <c r="D247" s="218" t="str">
        <f>IF($A247="","",IF($K247="DIESEL",SUMIFS(Table1[Quantity],Table1[Customer],$B247,Table1[Date],$A247,Table1[Bill No.],$C247),IF($K247="PETROL",SUMIFS(Table14[Quantity],Table14[Customer],$B247,Table14[Date],$A247,Table14[Bill No.],$C247),IF($K247="XtraGreen",SUMIFS(Table146[Quantity],Table146[Company],$B247,Table146[Date],$A247,Table146[Bill No.],$C247),""))))</f>
        <v/>
      </c>
      <c r="E247" s="219" t="str">
        <f>IF($A247="","",IF($K247="DIESEL",AVERAGEIFS(Table1[RSP],Table1[Customer],$B247,Table1[Date],$A247,Table1[Bill No.],$C247),IF($K247="PETROL",AVERAGEIFS(Table14[RSP],Table14[Customer],$B247,Table14[Date],$A247,Table14[Bill No.],$C247),IF($K247="XtraGreen",AVERAGEIFS(Table146[RSP],Table146[Company],$B247,Table146[Date],$A247,Table146[Bill No.],$C247),IFERROR($F247/$D247,"")))))</f>
        <v/>
      </c>
      <c r="F247" s="330" t="str">
        <f>IF($A247="","",IF($K247="DIESEL",SUMIFS(Table1[Amount],Table1[Customer],$B247,Table1[Date],$A247,Table1[Bill No.],$C247),IF($K247="PETROL",SUMIFS(Table14[Amount],Table14[Customer],$B247,Table14[Date],$A247,Table14[Bill No.],$C247),IF($K247="XtraGreen",SUMIFS(Table146[Amount],Table146[Company],$B247,Table146[Date],$A247,Table146[Bill No.],$C247),SUMIFS('Other Sale'!$D:$D,'Other Sale'!$E:$E,$B247,'Other Sale'!$C:$C,$K247,'Other Sale'!$A:$A,$A247)))))</f>
        <v/>
      </c>
      <c r="G247" s="330" t="str" cm="1">
        <f t="array" ref="G247">IF($A247="","",IF($K247="Payment",IFERROR(INDEX(_xlfn._xlws.FILTER(MasterPaid[Amount Paid],(MasterPaid[Customer]=$B247)*(MasterPaid[Date]=$A247)),COUNTIFS($A$6:$A247,$A247,$B$6:$B247,$B247,$K$6:$K247,"Payment")),0),0))</f>
        <v/>
      </c>
      <c r="H247" s="331"/>
      <c r="I247" s="331"/>
      <c r="J247" s="330" t="str">
        <f t="shared" si="3"/>
        <v/>
      </c>
      <c r="K247" s="289" t="str" cm="1">
        <f t="array" ref="K247">IFERROR(INDEX(_xlfn.ANCHORARRAY($Q$6),ROW()-5,4),"")</f>
        <v/>
      </c>
      <c r="L247" s="290"/>
      <c r="U247">
        <f>IF(OR($A247="",$F247=""),0,MAX(0,MIN($F247,SUMIFS($F$6:$F247,$B$6:$B247,$B247)-(SUMIFS($G$6:$G$355,$B$6:$B$355,$B247)+SUMIFS($H$6:$H$355,$B$6:$B$355,$B247)+SUMIFS($I$6:$I$355,$B$6:$B$355,$B247)))))</f>
        <v>0</v>
      </c>
    </row>
    <row r="248" spans="1:21" ht="23" x14ac:dyDescent="0.25">
      <c r="A248" s="217" t="str" cm="1">
        <f t="array" ref="A248">IFERROR(INDEX(_xlfn.ANCHORARRAY($Q$6),ROW()-5,1),"")</f>
        <v/>
      </c>
      <c r="B248" s="288" t="str" cm="1">
        <f t="array" ref="B248">IFERROR(INDEX(_xlfn.ANCHORARRAY($Q$6),ROW()-5,2),"")</f>
        <v/>
      </c>
      <c r="C248" s="289" t="str" cm="1">
        <f t="array" ref="C248">IFERROR(INDEX(_xlfn.ANCHORARRAY($Q$6),ROW()-5,3),"")</f>
        <v/>
      </c>
      <c r="D248" s="218" t="str">
        <f>IF($A248="","",IF($K248="DIESEL",SUMIFS(Table1[Quantity],Table1[Customer],$B248,Table1[Date],$A248,Table1[Bill No.],$C248),IF($K248="PETROL",SUMIFS(Table14[Quantity],Table14[Customer],$B248,Table14[Date],$A248,Table14[Bill No.],$C248),IF($K248="XtraGreen",SUMIFS(Table146[Quantity],Table146[Company],$B248,Table146[Date],$A248,Table146[Bill No.],$C248),""))))</f>
        <v/>
      </c>
      <c r="E248" s="219" t="str">
        <f>IF($A248="","",IF($K248="DIESEL",AVERAGEIFS(Table1[RSP],Table1[Customer],$B248,Table1[Date],$A248,Table1[Bill No.],$C248),IF($K248="PETROL",AVERAGEIFS(Table14[RSP],Table14[Customer],$B248,Table14[Date],$A248,Table14[Bill No.],$C248),IF($K248="XtraGreen",AVERAGEIFS(Table146[RSP],Table146[Company],$B248,Table146[Date],$A248,Table146[Bill No.],$C248),IFERROR($F248/$D248,"")))))</f>
        <v/>
      </c>
      <c r="F248" s="330" t="str">
        <f>IF($A248="","",IF($K248="DIESEL",SUMIFS(Table1[Amount],Table1[Customer],$B248,Table1[Date],$A248,Table1[Bill No.],$C248),IF($K248="PETROL",SUMIFS(Table14[Amount],Table14[Customer],$B248,Table14[Date],$A248,Table14[Bill No.],$C248),IF($K248="XtraGreen",SUMIFS(Table146[Amount],Table146[Company],$B248,Table146[Date],$A248,Table146[Bill No.],$C248),SUMIFS('Other Sale'!$D:$D,'Other Sale'!$E:$E,$B248,'Other Sale'!$C:$C,$K248,'Other Sale'!$A:$A,$A248)))))</f>
        <v/>
      </c>
      <c r="G248" s="330" t="str" cm="1">
        <f t="array" ref="G248">IF($A248="","",IF($K248="Payment",IFERROR(INDEX(_xlfn._xlws.FILTER(MasterPaid[Amount Paid],(MasterPaid[Customer]=$B248)*(MasterPaid[Date]=$A248)),COUNTIFS($A$6:$A248,$A248,$B$6:$B248,$B248,$K$6:$K248,"Payment")),0),0))</f>
        <v/>
      </c>
      <c r="H248" s="331"/>
      <c r="I248" s="331"/>
      <c r="J248" s="330" t="str">
        <f t="shared" si="3"/>
        <v/>
      </c>
      <c r="K248" s="289" t="str" cm="1">
        <f t="array" ref="K248">IFERROR(INDEX(_xlfn.ANCHORARRAY($Q$6),ROW()-5,4),"")</f>
        <v/>
      </c>
      <c r="L248" s="290"/>
      <c r="U248">
        <f>IF(OR($A248="",$F248=""),0,MAX(0,MIN($F248,SUMIFS($F$6:$F248,$B$6:$B248,$B248)-(SUMIFS($G$6:$G$355,$B$6:$B$355,$B248)+SUMIFS($H$6:$H$355,$B$6:$B$355,$B248)+SUMIFS($I$6:$I$355,$B$6:$B$355,$B248)))))</f>
        <v>0</v>
      </c>
    </row>
    <row r="249" spans="1:21" ht="23" x14ac:dyDescent="0.25">
      <c r="A249" s="217" t="str" cm="1">
        <f t="array" ref="A249">IFERROR(INDEX(_xlfn.ANCHORARRAY($Q$6),ROW()-5,1),"")</f>
        <v/>
      </c>
      <c r="B249" s="288" t="str" cm="1">
        <f t="array" ref="B249">IFERROR(INDEX(_xlfn.ANCHORARRAY($Q$6),ROW()-5,2),"")</f>
        <v/>
      </c>
      <c r="C249" s="289" t="str" cm="1">
        <f t="array" ref="C249">IFERROR(INDEX(_xlfn.ANCHORARRAY($Q$6),ROW()-5,3),"")</f>
        <v/>
      </c>
      <c r="D249" s="218" t="str">
        <f>IF($A249="","",IF($K249="DIESEL",SUMIFS(Table1[Quantity],Table1[Customer],$B249,Table1[Date],$A249,Table1[Bill No.],$C249),IF($K249="PETROL",SUMIFS(Table14[Quantity],Table14[Customer],$B249,Table14[Date],$A249,Table14[Bill No.],$C249),IF($K249="XtraGreen",SUMIFS(Table146[Quantity],Table146[Company],$B249,Table146[Date],$A249,Table146[Bill No.],$C249),""))))</f>
        <v/>
      </c>
      <c r="E249" s="219" t="str">
        <f>IF($A249="","",IF($K249="DIESEL",AVERAGEIFS(Table1[RSP],Table1[Customer],$B249,Table1[Date],$A249,Table1[Bill No.],$C249),IF($K249="PETROL",AVERAGEIFS(Table14[RSP],Table14[Customer],$B249,Table14[Date],$A249,Table14[Bill No.],$C249),IF($K249="XtraGreen",AVERAGEIFS(Table146[RSP],Table146[Company],$B249,Table146[Date],$A249,Table146[Bill No.],$C249),IFERROR($F249/$D249,"")))))</f>
        <v/>
      </c>
      <c r="F249" s="330" t="str">
        <f>IF($A249="","",IF($K249="DIESEL",SUMIFS(Table1[Amount],Table1[Customer],$B249,Table1[Date],$A249,Table1[Bill No.],$C249),IF($K249="PETROL",SUMIFS(Table14[Amount],Table14[Customer],$B249,Table14[Date],$A249,Table14[Bill No.],$C249),IF($K249="XtraGreen",SUMIFS(Table146[Amount],Table146[Company],$B249,Table146[Date],$A249,Table146[Bill No.],$C249),SUMIFS('Other Sale'!$D:$D,'Other Sale'!$E:$E,$B249,'Other Sale'!$C:$C,$K249,'Other Sale'!$A:$A,$A249)))))</f>
        <v/>
      </c>
      <c r="G249" s="330" t="str" cm="1">
        <f t="array" ref="G249">IF($A249="","",IF($K249="Payment",IFERROR(INDEX(_xlfn._xlws.FILTER(MasterPaid[Amount Paid],(MasterPaid[Customer]=$B249)*(MasterPaid[Date]=$A249)),COUNTIFS($A$6:$A249,$A249,$B$6:$B249,$B249,$K$6:$K249,"Payment")),0),0))</f>
        <v/>
      </c>
      <c r="H249" s="331"/>
      <c r="I249" s="331"/>
      <c r="J249" s="330" t="str">
        <f t="shared" si="3"/>
        <v/>
      </c>
      <c r="K249" s="289" t="str" cm="1">
        <f t="array" ref="K249">IFERROR(INDEX(_xlfn.ANCHORARRAY($Q$6),ROW()-5,4),"")</f>
        <v/>
      </c>
      <c r="L249" s="290"/>
      <c r="U249">
        <f>IF(OR($A249="",$F249=""),0,MAX(0,MIN($F249,SUMIFS($F$6:$F249,$B$6:$B249,$B249)-(SUMIFS($G$6:$G$355,$B$6:$B$355,$B249)+SUMIFS($H$6:$H$355,$B$6:$B$355,$B249)+SUMIFS($I$6:$I$355,$B$6:$B$355,$B249)))))</f>
        <v>0</v>
      </c>
    </row>
    <row r="250" spans="1:21" ht="23" x14ac:dyDescent="0.25">
      <c r="A250" s="217" t="str" cm="1">
        <f t="array" ref="A250">IFERROR(INDEX(_xlfn.ANCHORARRAY($Q$6),ROW()-5,1),"")</f>
        <v/>
      </c>
      <c r="B250" s="288" t="str" cm="1">
        <f t="array" ref="B250">IFERROR(INDEX(_xlfn.ANCHORARRAY($Q$6),ROW()-5,2),"")</f>
        <v/>
      </c>
      <c r="C250" s="289" t="str" cm="1">
        <f t="array" ref="C250">IFERROR(INDEX(_xlfn.ANCHORARRAY($Q$6),ROW()-5,3),"")</f>
        <v/>
      </c>
      <c r="D250" s="218" t="str">
        <f>IF($A250="","",IF($K250="DIESEL",SUMIFS(Table1[Quantity],Table1[Customer],$B250,Table1[Date],$A250,Table1[Bill No.],$C250),IF($K250="PETROL",SUMIFS(Table14[Quantity],Table14[Customer],$B250,Table14[Date],$A250,Table14[Bill No.],$C250),IF($K250="XtraGreen",SUMIFS(Table146[Quantity],Table146[Company],$B250,Table146[Date],$A250,Table146[Bill No.],$C250),""))))</f>
        <v/>
      </c>
      <c r="E250" s="219" t="str">
        <f>IF($A250="","",IF($K250="DIESEL",AVERAGEIFS(Table1[RSP],Table1[Customer],$B250,Table1[Date],$A250,Table1[Bill No.],$C250),IF($K250="PETROL",AVERAGEIFS(Table14[RSP],Table14[Customer],$B250,Table14[Date],$A250,Table14[Bill No.],$C250),IF($K250="XtraGreen",AVERAGEIFS(Table146[RSP],Table146[Company],$B250,Table146[Date],$A250,Table146[Bill No.],$C250),IFERROR($F250/$D250,"")))))</f>
        <v/>
      </c>
      <c r="F250" s="330" t="str">
        <f>IF($A250="","",IF($K250="DIESEL",SUMIFS(Table1[Amount],Table1[Customer],$B250,Table1[Date],$A250,Table1[Bill No.],$C250),IF($K250="PETROL",SUMIFS(Table14[Amount],Table14[Customer],$B250,Table14[Date],$A250,Table14[Bill No.],$C250),IF($K250="XtraGreen",SUMIFS(Table146[Amount],Table146[Company],$B250,Table146[Date],$A250,Table146[Bill No.],$C250),SUMIFS('Other Sale'!$D:$D,'Other Sale'!$E:$E,$B250,'Other Sale'!$C:$C,$K250,'Other Sale'!$A:$A,$A250)))))</f>
        <v/>
      </c>
      <c r="G250" s="330" t="str" cm="1">
        <f t="array" ref="G250">IF($A250="","",IF($K250="Payment",IFERROR(INDEX(_xlfn._xlws.FILTER(MasterPaid[Amount Paid],(MasterPaid[Customer]=$B250)*(MasterPaid[Date]=$A250)),COUNTIFS($A$6:$A250,$A250,$B$6:$B250,$B250,$K$6:$K250,"Payment")),0),0))</f>
        <v/>
      </c>
      <c r="H250" s="331"/>
      <c r="I250" s="331"/>
      <c r="J250" s="330" t="str">
        <f t="shared" si="3"/>
        <v/>
      </c>
      <c r="K250" s="289" t="str" cm="1">
        <f t="array" ref="K250">IFERROR(INDEX(_xlfn.ANCHORARRAY($Q$6),ROW()-5,4),"")</f>
        <v/>
      </c>
      <c r="L250" s="290"/>
      <c r="U250">
        <f>IF(OR($A250="",$F250=""),0,MAX(0,MIN($F250,SUMIFS($F$6:$F250,$B$6:$B250,$B250)-(SUMIFS($G$6:$G$355,$B$6:$B$355,$B250)+SUMIFS($H$6:$H$355,$B$6:$B$355,$B250)+SUMIFS($I$6:$I$355,$B$6:$B$355,$B250)))))</f>
        <v>0</v>
      </c>
    </row>
    <row r="251" spans="1:21" ht="23" x14ac:dyDescent="0.25">
      <c r="A251" s="217" t="str" cm="1">
        <f t="array" ref="A251">IFERROR(INDEX(_xlfn.ANCHORARRAY($Q$6),ROW()-5,1),"")</f>
        <v/>
      </c>
      <c r="B251" s="288" t="str" cm="1">
        <f t="array" ref="B251">IFERROR(INDEX(_xlfn.ANCHORARRAY($Q$6),ROW()-5,2),"")</f>
        <v/>
      </c>
      <c r="C251" s="289" t="str" cm="1">
        <f t="array" ref="C251">IFERROR(INDEX(_xlfn.ANCHORARRAY($Q$6),ROW()-5,3),"")</f>
        <v/>
      </c>
      <c r="D251" s="218" t="str">
        <f>IF($A251="","",IF($K251="DIESEL",SUMIFS(Table1[Quantity],Table1[Customer],$B251,Table1[Date],$A251,Table1[Bill No.],$C251),IF($K251="PETROL",SUMIFS(Table14[Quantity],Table14[Customer],$B251,Table14[Date],$A251,Table14[Bill No.],$C251),IF($K251="XtraGreen",SUMIFS(Table146[Quantity],Table146[Company],$B251,Table146[Date],$A251,Table146[Bill No.],$C251),""))))</f>
        <v/>
      </c>
      <c r="E251" s="219" t="str">
        <f>IF($A251="","",IF($K251="DIESEL",AVERAGEIFS(Table1[RSP],Table1[Customer],$B251,Table1[Date],$A251,Table1[Bill No.],$C251),IF($K251="PETROL",AVERAGEIFS(Table14[RSP],Table14[Customer],$B251,Table14[Date],$A251,Table14[Bill No.],$C251),IF($K251="XtraGreen",AVERAGEIFS(Table146[RSP],Table146[Company],$B251,Table146[Date],$A251,Table146[Bill No.],$C251),IFERROR($F251/$D251,"")))))</f>
        <v/>
      </c>
      <c r="F251" s="330" t="str">
        <f>IF($A251="","",IF($K251="DIESEL",SUMIFS(Table1[Amount],Table1[Customer],$B251,Table1[Date],$A251,Table1[Bill No.],$C251),IF($K251="PETROL",SUMIFS(Table14[Amount],Table14[Customer],$B251,Table14[Date],$A251,Table14[Bill No.],$C251),IF($K251="XtraGreen",SUMIFS(Table146[Amount],Table146[Company],$B251,Table146[Date],$A251,Table146[Bill No.],$C251),SUMIFS('Other Sale'!$D:$D,'Other Sale'!$E:$E,$B251,'Other Sale'!$C:$C,$K251,'Other Sale'!$A:$A,$A251)))))</f>
        <v/>
      </c>
      <c r="G251" s="330" t="str" cm="1">
        <f t="array" ref="G251">IF($A251="","",IF($K251="Payment",IFERROR(INDEX(_xlfn._xlws.FILTER(MasterPaid[Amount Paid],(MasterPaid[Customer]=$B251)*(MasterPaid[Date]=$A251)),COUNTIFS($A$6:$A251,$A251,$B$6:$B251,$B251,$K$6:$K251,"Payment")),0),0))</f>
        <v/>
      </c>
      <c r="H251" s="331"/>
      <c r="I251" s="331"/>
      <c r="J251" s="330" t="str">
        <f t="shared" si="3"/>
        <v/>
      </c>
      <c r="K251" s="289" t="str" cm="1">
        <f t="array" ref="K251">IFERROR(INDEX(_xlfn.ANCHORARRAY($Q$6),ROW()-5,4),"")</f>
        <v/>
      </c>
      <c r="L251" s="290"/>
      <c r="U251">
        <f>IF(OR($A251="",$F251=""),0,MAX(0,MIN($F251,SUMIFS($F$6:$F251,$B$6:$B251,$B251)-(SUMIFS($G$6:$G$355,$B$6:$B$355,$B251)+SUMIFS($H$6:$H$355,$B$6:$B$355,$B251)+SUMIFS($I$6:$I$355,$B$6:$B$355,$B251)))))</f>
        <v>0</v>
      </c>
    </row>
    <row r="252" spans="1:21" ht="23" x14ac:dyDescent="0.25">
      <c r="A252" s="217" t="str" cm="1">
        <f t="array" ref="A252">IFERROR(INDEX(_xlfn.ANCHORARRAY($Q$6),ROW()-5,1),"")</f>
        <v/>
      </c>
      <c r="B252" s="288" t="str" cm="1">
        <f t="array" ref="B252">IFERROR(INDEX(_xlfn.ANCHORARRAY($Q$6),ROW()-5,2),"")</f>
        <v/>
      </c>
      <c r="C252" s="289" t="str" cm="1">
        <f t="array" ref="C252">IFERROR(INDEX(_xlfn.ANCHORARRAY($Q$6),ROW()-5,3),"")</f>
        <v/>
      </c>
      <c r="D252" s="218" t="str">
        <f>IF($A252="","",IF($K252="DIESEL",SUMIFS(Table1[Quantity],Table1[Customer],$B252,Table1[Date],$A252,Table1[Bill No.],$C252),IF($K252="PETROL",SUMIFS(Table14[Quantity],Table14[Customer],$B252,Table14[Date],$A252,Table14[Bill No.],$C252),IF($K252="XtraGreen",SUMIFS(Table146[Quantity],Table146[Company],$B252,Table146[Date],$A252,Table146[Bill No.],$C252),""))))</f>
        <v/>
      </c>
      <c r="E252" s="219" t="str">
        <f>IF($A252="","",IF($K252="DIESEL",AVERAGEIFS(Table1[RSP],Table1[Customer],$B252,Table1[Date],$A252,Table1[Bill No.],$C252),IF($K252="PETROL",AVERAGEIFS(Table14[RSP],Table14[Customer],$B252,Table14[Date],$A252,Table14[Bill No.],$C252),IF($K252="XtraGreen",AVERAGEIFS(Table146[RSP],Table146[Company],$B252,Table146[Date],$A252,Table146[Bill No.],$C252),IFERROR($F252/$D252,"")))))</f>
        <v/>
      </c>
      <c r="F252" s="330" t="str">
        <f>IF($A252="","",IF($K252="DIESEL",SUMIFS(Table1[Amount],Table1[Customer],$B252,Table1[Date],$A252,Table1[Bill No.],$C252),IF($K252="PETROL",SUMIFS(Table14[Amount],Table14[Customer],$B252,Table14[Date],$A252,Table14[Bill No.],$C252),IF($K252="XtraGreen",SUMIFS(Table146[Amount],Table146[Company],$B252,Table146[Date],$A252,Table146[Bill No.],$C252),SUMIFS('Other Sale'!$D:$D,'Other Sale'!$E:$E,$B252,'Other Sale'!$C:$C,$K252,'Other Sale'!$A:$A,$A252)))))</f>
        <v/>
      </c>
      <c r="G252" s="330" t="str" cm="1">
        <f t="array" ref="G252">IF($A252="","",IF($K252="Payment",IFERROR(INDEX(_xlfn._xlws.FILTER(MasterPaid[Amount Paid],(MasterPaid[Customer]=$B252)*(MasterPaid[Date]=$A252)),COUNTIFS($A$6:$A252,$A252,$B$6:$B252,$B252,$K$6:$K252,"Payment")),0),0))</f>
        <v/>
      </c>
      <c r="H252" s="331"/>
      <c r="I252" s="331"/>
      <c r="J252" s="330" t="str">
        <f t="shared" si="3"/>
        <v/>
      </c>
      <c r="K252" s="289" t="str" cm="1">
        <f t="array" ref="K252">IFERROR(INDEX(_xlfn.ANCHORARRAY($Q$6),ROW()-5,4),"")</f>
        <v/>
      </c>
      <c r="L252" s="290"/>
      <c r="U252">
        <f>IF(OR($A252="",$F252=""),0,MAX(0,MIN($F252,SUMIFS($F$6:$F252,$B$6:$B252,$B252)-(SUMIFS($G$6:$G$355,$B$6:$B$355,$B252)+SUMIFS($H$6:$H$355,$B$6:$B$355,$B252)+SUMIFS($I$6:$I$355,$B$6:$B$355,$B252)))))</f>
        <v>0</v>
      </c>
    </row>
    <row r="253" spans="1:21" ht="23" x14ac:dyDescent="0.25">
      <c r="A253" s="217" t="str" cm="1">
        <f t="array" ref="A253">IFERROR(INDEX(_xlfn.ANCHORARRAY($Q$6),ROW()-5,1),"")</f>
        <v/>
      </c>
      <c r="B253" s="288" t="str" cm="1">
        <f t="array" ref="B253">IFERROR(INDEX(_xlfn.ANCHORARRAY($Q$6),ROW()-5,2),"")</f>
        <v/>
      </c>
      <c r="C253" s="289" t="str" cm="1">
        <f t="array" ref="C253">IFERROR(INDEX(_xlfn.ANCHORARRAY($Q$6),ROW()-5,3),"")</f>
        <v/>
      </c>
      <c r="D253" s="218" t="str">
        <f>IF($A253="","",IF($K253="DIESEL",SUMIFS(Table1[Quantity],Table1[Customer],$B253,Table1[Date],$A253,Table1[Bill No.],$C253),IF($K253="PETROL",SUMIFS(Table14[Quantity],Table14[Customer],$B253,Table14[Date],$A253,Table14[Bill No.],$C253),IF($K253="XtraGreen",SUMIFS(Table146[Quantity],Table146[Company],$B253,Table146[Date],$A253,Table146[Bill No.],$C253),""))))</f>
        <v/>
      </c>
      <c r="E253" s="219" t="str">
        <f>IF($A253="","",IF($K253="DIESEL",AVERAGEIFS(Table1[RSP],Table1[Customer],$B253,Table1[Date],$A253,Table1[Bill No.],$C253),IF($K253="PETROL",AVERAGEIFS(Table14[RSP],Table14[Customer],$B253,Table14[Date],$A253,Table14[Bill No.],$C253),IF($K253="XtraGreen",AVERAGEIFS(Table146[RSP],Table146[Company],$B253,Table146[Date],$A253,Table146[Bill No.],$C253),IFERROR($F253/$D253,"")))))</f>
        <v/>
      </c>
      <c r="F253" s="330" t="str">
        <f>IF($A253="","",IF($K253="DIESEL",SUMIFS(Table1[Amount],Table1[Customer],$B253,Table1[Date],$A253,Table1[Bill No.],$C253),IF($K253="PETROL",SUMIFS(Table14[Amount],Table14[Customer],$B253,Table14[Date],$A253,Table14[Bill No.],$C253),IF($K253="XtraGreen",SUMIFS(Table146[Amount],Table146[Company],$B253,Table146[Date],$A253,Table146[Bill No.],$C253),SUMIFS('Other Sale'!$D:$D,'Other Sale'!$E:$E,$B253,'Other Sale'!$C:$C,$K253,'Other Sale'!$A:$A,$A253)))))</f>
        <v/>
      </c>
      <c r="G253" s="330" t="str" cm="1">
        <f t="array" ref="G253">IF($A253="","",IF($K253="Payment",IFERROR(INDEX(_xlfn._xlws.FILTER(MasterPaid[Amount Paid],(MasterPaid[Customer]=$B253)*(MasterPaid[Date]=$A253)),COUNTIFS($A$6:$A253,$A253,$B$6:$B253,$B253,$K$6:$K253,"Payment")),0),0))</f>
        <v/>
      </c>
      <c r="H253" s="331"/>
      <c r="I253" s="331"/>
      <c r="J253" s="330" t="str">
        <f t="shared" si="3"/>
        <v/>
      </c>
      <c r="K253" s="289" t="str" cm="1">
        <f t="array" ref="K253">IFERROR(INDEX(_xlfn.ANCHORARRAY($Q$6),ROW()-5,4),"")</f>
        <v/>
      </c>
      <c r="L253" s="290"/>
      <c r="U253">
        <f>IF(OR($A253="",$F253=""),0,MAX(0,MIN($F253,SUMIFS($F$6:$F253,$B$6:$B253,$B253)-(SUMIFS($G$6:$G$355,$B$6:$B$355,$B253)+SUMIFS($H$6:$H$355,$B$6:$B$355,$B253)+SUMIFS($I$6:$I$355,$B$6:$B$355,$B253)))))</f>
        <v>0</v>
      </c>
    </row>
    <row r="254" spans="1:21" ht="23" x14ac:dyDescent="0.25">
      <c r="A254" s="217" t="str" cm="1">
        <f t="array" ref="A254">IFERROR(INDEX(_xlfn.ANCHORARRAY($Q$6),ROW()-5,1),"")</f>
        <v/>
      </c>
      <c r="B254" s="288" t="str" cm="1">
        <f t="array" ref="B254">IFERROR(INDEX(_xlfn.ANCHORARRAY($Q$6),ROW()-5,2),"")</f>
        <v/>
      </c>
      <c r="C254" s="289" t="str" cm="1">
        <f t="array" ref="C254">IFERROR(INDEX(_xlfn.ANCHORARRAY($Q$6),ROW()-5,3),"")</f>
        <v/>
      </c>
      <c r="D254" s="218" t="str">
        <f>IF($A254="","",IF($K254="DIESEL",SUMIFS(Table1[Quantity],Table1[Customer],$B254,Table1[Date],$A254,Table1[Bill No.],$C254),IF($K254="PETROL",SUMIFS(Table14[Quantity],Table14[Customer],$B254,Table14[Date],$A254,Table14[Bill No.],$C254),IF($K254="XtraGreen",SUMIFS(Table146[Quantity],Table146[Company],$B254,Table146[Date],$A254,Table146[Bill No.],$C254),""))))</f>
        <v/>
      </c>
      <c r="E254" s="219" t="str">
        <f>IF($A254="","",IF($K254="DIESEL",AVERAGEIFS(Table1[RSP],Table1[Customer],$B254,Table1[Date],$A254,Table1[Bill No.],$C254),IF($K254="PETROL",AVERAGEIFS(Table14[RSP],Table14[Customer],$B254,Table14[Date],$A254,Table14[Bill No.],$C254),IF($K254="XtraGreen",AVERAGEIFS(Table146[RSP],Table146[Company],$B254,Table146[Date],$A254,Table146[Bill No.],$C254),IFERROR($F254/$D254,"")))))</f>
        <v/>
      </c>
      <c r="F254" s="330" t="str">
        <f>IF($A254="","",IF($K254="DIESEL",SUMIFS(Table1[Amount],Table1[Customer],$B254,Table1[Date],$A254,Table1[Bill No.],$C254),IF($K254="PETROL",SUMIFS(Table14[Amount],Table14[Customer],$B254,Table14[Date],$A254,Table14[Bill No.],$C254),IF($K254="XtraGreen",SUMIFS(Table146[Amount],Table146[Company],$B254,Table146[Date],$A254,Table146[Bill No.],$C254),SUMIFS('Other Sale'!$D:$D,'Other Sale'!$E:$E,$B254,'Other Sale'!$C:$C,$K254,'Other Sale'!$A:$A,$A254)))))</f>
        <v/>
      </c>
      <c r="G254" s="330" t="str" cm="1">
        <f t="array" ref="G254">IF($A254="","",IF($K254="Payment",IFERROR(INDEX(_xlfn._xlws.FILTER(MasterPaid[Amount Paid],(MasterPaid[Customer]=$B254)*(MasterPaid[Date]=$A254)),COUNTIFS($A$6:$A254,$A254,$B$6:$B254,$B254,$K$6:$K254,"Payment")),0),0))</f>
        <v/>
      </c>
      <c r="H254" s="331"/>
      <c r="I254" s="331"/>
      <c r="J254" s="330" t="str">
        <f t="shared" si="3"/>
        <v/>
      </c>
      <c r="K254" s="289" t="str" cm="1">
        <f t="array" ref="K254">IFERROR(INDEX(_xlfn.ANCHORARRAY($Q$6),ROW()-5,4),"")</f>
        <v/>
      </c>
      <c r="L254" s="290"/>
      <c r="U254">
        <f>IF(OR($A254="",$F254=""),0,MAX(0,MIN($F254,SUMIFS($F$6:$F254,$B$6:$B254,$B254)-(SUMIFS($G$6:$G$355,$B$6:$B$355,$B254)+SUMIFS($H$6:$H$355,$B$6:$B$355,$B254)+SUMIFS($I$6:$I$355,$B$6:$B$355,$B254)))))</f>
        <v>0</v>
      </c>
    </row>
    <row r="255" spans="1:21" ht="23" x14ac:dyDescent="0.25">
      <c r="A255" s="217" t="str" cm="1">
        <f t="array" ref="A255">IFERROR(INDEX(_xlfn.ANCHORARRAY($Q$6),ROW()-5,1),"")</f>
        <v/>
      </c>
      <c r="B255" s="288" t="str" cm="1">
        <f t="array" ref="B255">IFERROR(INDEX(_xlfn.ANCHORARRAY($Q$6),ROW()-5,2),"")</f>
        <v/>
      </c>
      <c r="C255" s="289" t="str" cm="1">
        <f t="array" ref="C255">IFERROR(INDEX(_xlfn.ANCHORARRAY($Q$6),ROW()-5,3),"")</f>
        <v/>
      </c>
      <c r="D255" s="218" t="str">
        <f>IF($A255="","",IF($K255="DIESEL",SUMIFS(Table1[Quantity],Table1[Customer],$B255,Table1[Date],$A255,Table1[Bill No.],$C255),IF($K255="PETROL",SUMIFS(Table14[Quantity],Table14[Customer],$B255,Table14[Date],$A255,Table14[Bill No.],$C255),IF($K255="XtraGreen",SUMIFS(Table146[Quantity],Table146[Company],$B255,Table146[Date],$A255,Table146[Bill No.],$C255),""))))</f>
        <v/>
      </c>
      <c r="E255" s="219" t="str">
        <f>IF($A255="","",IF($K255="DIESEL",AVERAGEIFS(Table1[RSP],Table1[Customer],$B255,Table1[Date],$A255,Table1[Bill No.],$C255),IF($K255="PETROL",AVERAGEIFS(Table14[RSP],Table14[Customer],$B255,Table14[Date],$A255,Table14[Bill No.],$C255),IF($K255="XtraGreen",AVERAGEIFS(Table146[RSP],Table146[Company],$B255,Table146[Date],$A255,Table146[Bill No.],$C255),IFERROR($F255/$D255,"")))))</f>
        <v/>
      </c>
      <c r="F255" s="330" t="str">
        <f>IF($A255="","",IF($K255="DIESEL",SUMIFS(Table1[Amount],Table1[Customer],$B255,Table1[Date],$A255,Table1[Bill No.],$C255),IF($K255="PETROL",SUMIFS(Table14[Amount],Table14[Customer],$B255,Table14[Date],$A255,Table14[Bill No.],$C255),IF($K255="XtraGreen",SUMIFS(Table146[Amount],Table146[Company],$B255,Table146[Date],$A255,Table146[Bill No.],$C255),SUMIFS('Other Sale'!$D:$D,'Other Sale'!$E:$E,$B255,'Other Sale'!$C:$C,$K255,'Other Sale'!$A:$A,$A255)))))</f>
        <v/>
      </c>
      <c r="G255" s="330" t="str" cm="1">
        <f t="array" ref="G255">IF($A255="","",IF($K255="Payment",IFERROR(INDEX(_xlfn._xlws.FILTER(MasterPaid[Amount Paid],(MasterPaid[Customer]=$B255)*(MasterPaid[Date]=$A255)),COUNTIFS($A$6:$A255,$A255,$B$6:$B255,$B255,$K$6:$K255,"Payment")),0),0))</f>
        <v/>
      </c>
      <c r="H255" s="331"/>
      <c r="I255" s="331"/>
      <c r="J255" s="330" t="str">
        <f t="shared" si="3"/>
        <v/>
      </c>
      <c r="K255" s="289" t="str" cm="1">
        <f t="array" ref="K255">IFERROR(INDEX(_xlfn.ANCHORARRAY($Q$6),ROW()-5,4),"")</f>
        <v/>
      </c>
      <c r="L255" s="290"/>
      <c r="U255">
        <f>IF(OR($A255="",$F255=""),0,MAX(0,MIN($F255,SUMIFS($F$6:$F255,$B$6:$B255,$B255)-(SUMIFS($G$6:$G$355,$B$6:$B$355,$B255)+SUMIFS($H$6:$H$355,$B$6:$B$355,$B255)+SUMIFS($I$6:$I$355,$B$6:$B$355,$B255)))))</f>
        <v>0</v>
      </c>
    </row>
    <row r="256" spans="1:21" ht="23" x14ac:dyDescent="0.25">
      <c r="A256" s="217" t="str" cm="1">
        <f t="array" ref="A256">IFERROR(INDEX(_xlfn.ANCHORARRAY($Q$6),ROW()-5,1),"")</f>
        <v/>
      </c>
      <c r="B256" s="288" t="str" cm="1">
        <f t="array" ref="B256">IFERROR(INDEX(_xlfn.ANCHORARRAY($Q$6),ROW()-5,2),"")</f>
        <v/>
      </c>
      <c r="C256" s="289" t="str" cm="1">
        <f t="array" ref="C256">IFERROR(INDEX(_xlfn.ANCHORARRAY($Q$6),ROW()-5,3),"")</f>
        <v/>
      </c>
      <c r="D256" s="218" t="str">
        <f>IF($A256="","",IF($K256="DIESEL",SUMIFS(Table1[Quantity],Table1[Customer],$B256,Table1[Date],$A256,Table1[Bill No.],$C256),IF($K256="PETROL",SUMIFS(Table14[Quantity],Table14[Customer],$B256,Table14[Date],$A256,Table14[Bill No.],$C256),IF($K256="XtraGreen",SUMIFS(Table146[Quantity],Table146[Company],$B256,Table146[Date],$A256,Table146[Bill No.],$C256),""))))</f>
        <v/>
      </c>
      <c r="E256" s="219" t="str">
        <f>IF($A256="","",IF($K256="DIESEL",AVERAGEIFS(Table1[RSP],Table1[Customer],$B256,Table1[Date],$A256,Table1[Bill No.],$C256),IF($K256="PETROL",AVERAGEIFS(Table14[RSP],Table14[Customer],$B256,Table14[Date],$A256,Table14[Bill No.],$C256),IF($K256="XtraGreen",AVERAGEIFS(Table146[RSP],Table146[Company],$B256,Table146[Date],$A256,Table146[Bill No.],$C256),IFERROR($F256/$D256,"")))))</f>
        <v/>
      </c>
      <c r="F256" s="330" t="str">
        <f>IF($A256="","",IF($K256="DIESEL",SUMIFS(Table1[Amount],Table1[Customer],$B256,Table1[Date],$A256,Table1[Bill No.],$C256),IF($K256="PETROL",SUMIFS(Table14[Amount],Table14[Customer],$B256,Table14[Date],$A256,Table14[Bill No.],$C256),IF($K256="XtraGreen",SUMIFS(Table146[Amount],Table146[Company],$B256,Table146[Date],$A256,Table146[Bill No.],$C256),SUMIFS('Other Sale'!$D:$D,'Other Sale'!$E:$E,$B256,'Other Sale'!$C:$C,$K256,'Other Sale'!$A:$A,$A256)))))</f>
        <v/>
      </c>
      <c r="G256" s="330" t="str" cm="1">
        <f t="array" ref="G256">IF($A256="","",IF($K256="Payment",IFERROR(INDEX(_xlfn._xlws.FILTER(MasterPaid[Amount Paid],(MasterPaid[Customer]=$B256)*(MasterPaid[Date]=$A256)),COUNTIFS($A$6:$A256,$A256,$B$6:$B256,$B256,$K$6:$K256,"Payment")),0),0))</f>
        <v/>
      </c>
      <c r="H256" s="331"/>
      <c r="I256" s="331"/>
      <c r="J256" s="330" t="str">
        <f t="shared" si="3"/>
        <v/>
      </c>
      <c r="K256" s="289" t="str" cm="1">
        <f t="array" ref="K256">IFERROR(INDEX(_xlfn.ANCHORARRAY($Q$6),ROW()-5,4),"")</f>
        <v/>
      </c>
      <c r="L256" s="290"/>
      <c r="U256">
        <f>IF(OR($A256="",$F256=""),0,MAX(0,MIN($F256,SUMIFS($F$6:$F256,$B$6:$B256,$B256)-(SUMIFS($G$6:$G$355,$B$6:$B$355,$B256)+SUMIFS($H$6:$H$355,$B$6:$B$355,$B256)+SUMIFS($I$6:$I$355,$B$6:$B$355,$B256)))))</f>
        <v>0</v>
      </c>
    </row>
    <row r="257" spans="1:21" ht="23" x14ac:dyDescent="0.25">
      <c r="A257" s="217" t="str" cm="1">
        <f t="array" ref="A257">IFERROR(INDEX(_xlfn.ANCHORARRAY($Q$6),ROW()-5,1),"")</f>
        <v/>
      </c>
      <c r="B257" s="288" t="str" cm="1">
        <f t="array" ref="B257">IFERROR(INDEX(_xlfn.ANCHORARRAY($Q$6),ROW()-5,2),"")</f>
        <v/>
      </c>
      <c r="C257" s="289" t="str" cm="1">
        <f t="array" ref="C257">IFERROR(INDEX(_xlfn.ANCHORARRAY($Q$6),ROW()-5,3),"")</f>
        <v/>
      </c>
      <c r="D257" s="218" t="str">
        <f>IF($A257="","",IF($K257="DIESEL",SUMIFS(Table1[Quantity],Table1[Customer],$B257,Table1[Date],$A257,Table1[Bill No.],$C257),IF($K257="PETROL",SUMIFS(Table14[Quantity],Table14[Customer],$B257,Table14[Date],$A257,Table14[Bill No.],$C257),IF($K257="XtraGreen",SUMIFS(Table146[Quantity],Table146[Company],$B257,Table146[Date],$A257,Table146[Bill No.],$C257),""))))</f>
        <v/>
      </c>
      <c r="E257" s="219" t="str">
        <f>IF($A257="","",IF($K257="DIESEL",AVERAGEIFS(Table1[RSP],Table1[Customer],$B257,Table1[Date],$A257,Table1[Bill No.],$C257),IF($K257="PETROL",AVERAGEIFS(Table14[RSP],Table14[Customer],$B257,Table14[Date],$A257,Table14[Bill No.],$C257),IF($K257="XtraGreen",AVERAGEIFS(Table146[RSP],Table146[Company],$B257,Table146[Date],$A257,Table146[Bill No.],$C257),IFERROR($F257/$D257,"")))))</f>
        <v/>
      </c>
      <c r="F257" s="330" t="str">
        <f>IF($A257="","",IF($K257="DIESEL",SUMIFS(Table1[Amount],Table1[Customer],$B257,Table1[Date],$A257,Table1[Bill No.],$C257),IF($K257="PETROL",SUMIFS(Table14[Amount],Table14[Customer],$B257,Table14[Date],$A257,Table14[Bill No.],$C257),IF($K257="XtraGreen",SUMIFS(Table146[Amount],Table146[Company],$B257,Table146[Date],$A257,Table146[Bill No.],$C257),SUMIFS('Other Sale'!$D:$D,'Other Sale'!$E:$E,$B257,'Other Sale'!$C:$C,$K257,'Other Sale'!$A:$A,$A257)))))</f>
        <v/>
      </c>
      <c r="G257" s="330" t="str" cm="1">
        <f t="array" ref="G257">IF($A257="","",IF($K257="Payment",IFERROR(INDEX(_xlfn._xlws.FILTER(MasterPaid[Amount Paid],(MasterPaid[Customer]=$B257)*(MasterPaid[Date]=$A257)),COUNTIFS($A$6:$A257,$A257,$B$6:$B257,$B257,$K$6:$K257,"Payment")),0),0))</f>
        <v/>
      </c>
      <c r="H257" s="331"/>
      <c r="I257" s="331"/>
      <c r="J257" s="330" t="str">
        <f t="shared" si="3"/>
        <v/>
      </c>
      <c r="K257" s="289" t="str" cm="1">
        <f t="array" ref="K257">IFERROR(INDEX(_xlfn.ANCHORARRAY($Q$6),ROW()-5,4),"")</f>
        <v/>
      </c>
      <c r="L257" s="290"/>
      <c r="U257">
        <f>IF(OR($A257="",$F257=""),0,MAX(0,MIN($F257,SUMIFS($F$6:$F257,$B$6:$B257,$B257)-(SUMIFS($G$6:$G$355,$B$6:$B$355,$B257)+SUMIFS($H$6:$H$355,$B$6:$B$355,$B257)+SUMIFS($I$6:$I$355,$B$6:$B$355,$B257)))))</f>
        <v>0</v>
      </c>
    </row>
    <row r="258" spans="1:21" ht="23" x14ac:dyDescent="0.25">
      <c r="A258" s="217" t="str" cm="1">
        <f t="array" ref="A258">IFERROR(INDEX(_xlfn.ANCHORARRAY($Q$6),ROW()-5,1),"")</f>
        <v/>
      </c>
      <c r="B258" s="288" t="str" cm="1">
        <f t="array" ref="B258">IFERROR(INDEX(_xlfn.ANCHORARRAY($Q$6),ROW()-5,2),"")</f>
        <v/>
      </c>
      <c r="C258" s="289" t="str" cm="1">
        <f t="array" ref="C258">IFERROR(INDEX(_xlfn.ANCHORARRAY($Q$6),ROW()-5,3),"")</f>
        <v/>
      </c>
      <c r="D258" s="218" t="str">
        <f>IF($A258="","",IF($K258="DIESEL",SUMIFS(Table1[Quantity],Table1[Customer],$B258,Table1[Date],$A258,Table1[Bill No.],$C258),IF($K258="PETROL",SUMIFS(Table14[Quantity],Table14[Customer],$B258,Table14[Date],$A258,Table14[Bill No.],$C258),IF($K258="XtraGreen",SUMIFS(Table146[Quantity],Table146[Company],$B258,Table146[Date],$A258,Table146[Bill No.],$C258),""))))</f>
        <v/>
      </c>
      <c r="E258" s="219" t="str">
        <f>IF($A258="","",IF($K258="DIESEL",AVERAGEIFS(Table1[RSP],Table1[Customer],$B258,Table1[Date],$A258,Table1[Bill No.],$C258),IF($K258="PETROL",AVERAGEIFS(Table14[RSP],Table14[Customer],$B258,Table14[Date],$A258,Table14[Bill No.],$C258),IF($K258="XtraGreen",AVERAGEIFS(Table146[RSP],Table146[Company],$B258,Table146[Date],$A258,Table146[Bill No.],$C258),IFERROR($F258/$D258,"")))))</f>
        <v/>
      </c>
      <c r="F258" s="330" t="str">
        <f>IF($A258="","",IF($K258="DIESEL",SUMIFS(Table1[Amount],Table1[Customer],$B258,Table1[Date],$A258,Table1[Bill No.],$C258),IF($K258="PETROL",SUMIFS(Table14[Amount],Table14[Customer],$B258,Table14[Date],$A258,Table14[Bill No.],$C258),IF($K258="XtraGreen",SUMIFS(Table146[Amount],Table146[Company],$B258,Table146[Date],$A258,Table146[Bill No.],$C258),SUMIFS('Other Sale'!$D:$D,'Other Sale'!$E:$E,$B258,'Other Sale'!$C:$C,$K258,'Other Sale'!$A:$A,$A258)))))</f>
        <v/>
      </c>
      <c r="G258" s="330" t="str" cm="1">
        <f t="array" ref="G258">IF($A258="","",IF($K258="Payment",IFERROR(INDEX(_xlfn._xlws.FILTER(MasterPaid[Amount Paid],(MasterPaid[Customer]=$B258)*(MasterPaid[Date]=$A258)),COUNTIFS($A$6:$A258,$A258,$B$6:$B258,$B258,$K$6:$K258,"Payment")),0),0))</f>
        <v/>
      </c>
      <c r="H258" s="331"/>
      <c r="I258" s="331"/>
      <c r="J258" s="330" t="str">
        <f t="shared" si="3"/>
        <v/>
      </c>
      <c r="K258" s="289" t="str" cm="1">
        <f t="array" ref="K258">IFERROR(INDEX(_xlfn.ANCHORARRAY($Q$6),ROW()-5,4),"")</f>
        <v/>
      </c>
      <c r="L258" s="290"/>
      <c r="U258">
        <f>IF(OR($A258="",$F258=""),0,MAX(0,MIN($F258,SUMIFS($F$6:$F258,$B$6:$B258,$B258)-(SUMIFS($G$6:$G$355,$B$6:$B$355,$B258)+SUMIFS($H$6:$H$355,$B$6:$B$355,$B258)+SUMIFS($I$6:$I$355,$B$6:$B$355,$B258)))))</f>
        <v>0</v>
      </c>
    </row>
    <row r="259" spans="1:21" ht="23" x14ac:dyDescent="0.25">
      <c r="A259" s="217" t="str" cm="1">
        <f t="array" ref="A259">IFERROR(INDEX(_xlfn.ANCHORARRAY($Q$6),ROW()-5,1),"")</f>
        <v/>
      </c>
      <c r="B259" s="288" t="str" cm="1">
        <f t="array" ref="B259">IFERROR(INDEX(_xlfn.ANCHORARRAY($Q$6),ROW()-5,2),"")</f>
        <v/>
      </c>
      <c r="C259" s="289" t="str" cm="1">
        <f t="array" ref="C259">IFERROR(INDEX(_xlfn.ANCHORARRAY($Q$6),ROW()-5,3),"")</f>
        <v/>
      </c>
      <c r="D259" s="218" t="str">
        <f>IF($A259="","",IF($K259="DIESEL",SUMIFS(Table1[Quantity],Table1[Customer],$B259,Table1[Date],$A259,Table1[Bill No.],$C259),IF($K259="PETROL",SUMIFS(Table14[Quantity],Table14[Customer],$B259,Table14[Date],$A259,Table14[Bill No.],$C259),IF($K259="XtraGreen",SUMIFS(Table146[Quantity],Table146[Company],$B259,Table146[Date],$A259,Table146[Bill No.],$C259),""))))</f>
        <v/>
      </c>
      <c r="E259" s="219" t="str">
        <f>IF($A259="","",IF($K259="DIESEL",AVERAGEIFS(Table1[RSP],Table1[Customer],$B259,Table1[Date],$A259,Table1[Bill No.],$C259),IF($K259="PETROL",AVERAGEIFS(Table14[RSP],Table14[Customer],$B259,Table14[Date],$A259,Table14[Bill No.],$C259),IF($K259="XtraGreen",AVERAGEIFS(Table146[RSP],Table146[Company],$B259,Table146[Date],$A259,Table146[Bill No.],$C259),IFERROR($F259/$D259,"")))))</f>
        <v/>
      </c>
      <c r="F259" s="330" t="str">
        <f>IF($A259="","",IF($K259="DIESEL",SUMIFS(Table1[Amount],Table1[Customer],$B259,Table1[Date],$A259,Table1[Bill No.],$C259),IF($K259="PETROL",SUMIFS(Table14[Amount],Table14[Customer],$B259,Table14[Date],$A259,Table14[Bill No.],$C259),IF($K259="XtraGreen",SUMIFS(Table146[Amount],Table146[Company],$B259,Table146[Date],$A259,Table146[Bill No.],$C259),SUMIFS('Other Sale'!$D:$D,'Other Sale'!$E:$E,$B259,'Other Sale'!$C:$C,$K259,'Other Sale'!$A:$A,$A259)))))</f>
        <v/>
      </c>
      <c r="G259" s="330" t="str" cm="1">
        <f t="array" ref="G259">IF($A259="","",IF($K259="Payment",IFERROR(INDEX(_xlfn._xlws.FILTER(MasterPaid[Amount Paid],(MasterPaid[Customer]=$B259)*(MasterPaid[Date]=$A259)),COUNTIFS($A$6:$A259,$A259,$B$6:$B259,$B259,$K$6:$K259,"Payment")),0),0))</f>
        <v/>
      </c>
      <c r="H259" s="331"/>
      <c r="I259" s="331"/>
      <c r="J259" s="330" t="str">
        <f t="shared" si="3"/>
        <v/>
      </c>
      <c r="K259" s="289" t="str" cm="1">
        <f t="array" ref="K259">IFERROR(INDEX(_xlfn.ANCHORARRAY($Q$6),ROW()-5,4),"")</f>
        <v/>
      </c>
      <c r="L259" s="290"/>
      <c r="U259">
        <f>IF(OR($A259="",$F259=""),0,MAX(0,MIN($F259,SUMIFS($F$6:$F259,$B$6:$B259,$B259)-(SUMIFS($G$6:$G$355,$B$6:$B$355,$B259)+SUMIFS($H$6:$H$355,$B$6:$B$355,$B259)+SUMIFS($I$6:$I$355,$B$6:$B$355,$B259)))))</f>
        <v>0</v>
      </c>
    </row>
    <row r="260" spans="1:21" ht="23" x14ac:dyDescent="0.25">
      <c r="A260" s="217" t="str" cm="1">
        <f t="array" ref="A260">IFERROR(INDEX(_xlfn.ANCHORARRAY($Q$6),ROW()-5,1),"")</f>
        <v/>
      </c>
      <c r="B260" s="288" t="str" cm="1">
        <f t="array" ref="B260">IFERROR(INDEX(_xlfn.ANCHORARRAY($Q$6),ROW()-5,2),"")</f>
        <v/>
      </c>
      <c r="C260" s="289" t="str" cm="1">
        <f t="array" ref="C260">IFERROR(INDEX(_xlfn.ANCHORARRAY($Q$6),ROW()-5,3),"")</f>
        <v/>
      </c>
      <c r="D260" s="218" t="str">
        <f>IF($A260="","",IF($K260="DIESEL",SUMIFS(Table1[Quantity],Table1[Customer],$B260,Table1[Date],$A260,Table1[Bill No.],$C260),IF($K260="PETROL",SUMIFS(Table14[Quantity],Table14[Customer],$B260,Table14[Date],$A260,Table14[Bill No.],$C260),IF($K260="XtraGreen",SUMIFS(Table146[Quantity],Table146[Company],$B260,Table146[Date],$A260,Table146[Bill No.],$C260),""))))</f>
        <v/>
      </c>
      <c r="E260" s="219" t="str">
        <f>IF($A260="","",IF($K260="DIESEL",AVERAGEIFS(Table1[RSP],Table1[Customer],$B260,Table1[Date],$A260,Table1[Bill No.],$C260),IF($K260="PETROL",AVERAGEIFS(Table14[RSP],Table14[Customer],$B260,Table14[Date],$A260,Table14[Bill No.],$C260),IF($K260="XtraGreen",AVERAGEIFS(Table146[RSP],Table146[Company],$B260,Table146[Date],$A260,Table146[Bill No.],$C260),IFERROR($F260/$D260,"")))))</f>
        <v/>
      </c>
      <c r="F260" s="330" t="str">
        <f>IF($A260="","",IF($K260="DIESEL",SUMIFS(Table1[Amount],Table1[Customer],$B260,Table1[Date],$A260,Table1[Bill No.],$C260),IF($K260="PETROL",SUMIFS(Table14[Amount],Table14[Customer],$B260,Table14[Date],$A260,Table14[Bill No.],$C260),IF($K260="XtraGreen",SUMIFS(Table146[Amount],Table146[Company],$B260,Table146[Date],$A260,Table146[Bill No.],$C260),SUMIFS('Other Sale'!$D:$D,'Other Sale'!$E:$E,$B260,'Other Sale'!$C:$C,$K260,'Other Sale'!$A:$A,$A260)))))</f>
        <v/>
      </c>
      <c r="G260" s="330" t="str" cm="1">
        <f t="array" ref="G260">IF($A260="","",IF($K260="Payment",IFERROR(INDEX(_xlfn._xlws.FILTER(MasterPaid[Amount Paid],(MasterPaid[Customer]=$B260)*(MasterPaid[Date]=$A260)),COUNTIFS($A$6:$A260,$A260,$B$6:$B260,$B260,$K$6:$K260,"Payment")),0),0))</f>
        <v/>
      </c>
      <c r="H260" s="331"/>
      <c r="I260" s="331"/>
      <c r="J260" s="330" t="str">
        <f t="shared" si="3"/>
        <v/>
      </c>
      <c r="K260" s="289" t="str" cm="1">
        <f t="array" ref="K260">IFERROR(INDEX(_xlfn.ANCHORARRAY($Q$6),ROW()-5,4),"")</f>
        <v/>
      </c>
      <c r="L260" s="290"/>
      <c r="U260">
        <f>IF(OR($A260="",$F260=""),0,MAX(0,MIN($F260,SUMIFS($F$6:$F260,$B$6:$B260,$B260)-(SUMIFS($G$6:$G$355,$B$6:$B$355,$B260)+SUMIFS($H$6:$H$355,$B$6:$B$355,$B260)+SUMIFS($I$6:$I$355,$B$6:$B$355,$B260)))))</f>
        <v>0</v>
      </c>
    </row>
    <row r="261" spans="1:21" ht="23" x14ac:dyDescent="0.25">
      <c r="A261" s="217" t="str" cm="1">
        <f t="array" ref="A261">IFERROR(INDEX(_xlfn.ANCHORARRAY($Q$6),ROW()-5,1),"")</f>
        <v/>
      </c>
      <c r="B261" s="288" t="str" cm="1">
        <f t="array" ref="B261">IFERROR(INDEX(_xlfn.ANCHORARRAY($Q$6),ROW()-5,2),"")</f>
        <v/>
      </c>
      <c r="C261" s="289" t="str" cm="1">
        <f t="array" ref="C261">IFERROR(INDEX(_xlfn.ANCHORARRAY($Q$6),ROW()-5,3),"")</f>
        <v/>
      </c>
      <c r="D261" s="218" t="str">
        <f>IF($A261="","",IF($K261="DIESEL",SUMIFS(Table1[Quantity],Table1[Customer],$B261,Table1[Date],$A261,Table1[Bill No.],$C261),IF($K261="PETROL",SUMIFS(Table14[Quantity],Table14[Customer],$B261,Table14[Date],$A261,Table14[Bill No.],$C261),IF($K261="XtraGreen",SUMIFS(Table146[Quantity],Table146[Company],$B261,Table146[Date],$A261,Table146[Bill No.],$C261),""))))</f>
        <v/>
      </c>
      <c r="E261" s="219" t="str">
        <f>IF($A261="","",IF($K261="DIESEL",AVERAGEIFS(Table1[RSP],Table1[Customer],$B261,Table1[Date],$A261,Table1[Bill No.],$C261),IF($K261="PETROL",AVERAGEIFS(Table14[RSP],Table14[Customer],$B261,Table14[Date],$A261,Table14[Bill No.],$C261),IF($K261="XtraGreen",AVERAGEIFS(Table146[RSP],Table146[Company],$B261,Table146[Date],$A261,Table146[Bill No.],$C261),IFERROR($F261/$D261,"")))))</f>
        <v/>
      </c>
      <c r="F261" s="330" t="str">
        <f>IF($A261="","",IF($K261="DIESEL",SUMIFS(Table1[Amount],Table1[Customer],$B261,Table1[Date],$A261,Table1[Bill No.],$C261),IF($K261="PETROL",SUMIFS(Table14[Amount],Table14[Customer],$B261,Table14[Date],$A261,Table14[Bill No.],$C261),IF($K261="XtraGreen",SUMIFS(Table146[Amount],Table146[Company],$B261,Table146[Date],$A261,Table146[Bill No.],$C261),SUMIFS('Other Sale'!$D:$D,'Other Sale'!$E:$E,$B261,'Other Sale'!$C:$C,$K261,'Other Sale'!$A:$A,$A261)))))</f>
        <v/>
      </c>
      <c r="G261" s="330" t="str" cm="1">
        <f t="array" ref="G261">IF($A261="","",IF($K261="Payment",IFERROR(INDEX(_xlfn._xlws.FILTER(MasterPaid[Amount Paid],(MasterPaid[Customer]=$B261)*(MasterPaid[Date]=$A261)),COUNTIFS($A$6:$A261,$A261,$B$6:$B261,$B261,$K$6:$K261,"Payment")),0),0))</f>
        <v/>
      </c>
      <c r="H261" s="331"/>
      <c r="I261" s="331"/>
      <c r="J261" s="330" t="str">
        <f t="shared" si="3"/>
        <v/>
      </c>
      <c r="K261" s="289" t="str" cm="1">
        <f t="array" ref="K261">IFERROR(INDEX(_xlfn.ANCHORARRAY($Q$6),ROW()-5,4),"")</f>
        <v/>
      </c>
      <c r="L261" s="290"/>
      <c r="U261">
        <f>IF(OR($A261="",$F261=""),0,MAX(0,MIN($F261,SUMIFS($F$6:$F261,$B$6:$B261,$B261)-(SUMIFS($G$6:$G$355,$B$6:$B$355,$B261)+SUMIFS($H$6:$H$355,$B$6:$B$355,$B261)+SUMIFS($I$6:$I$355,$B$6:$B$355,$B261)))))</f>
        <v>0</v>
      </c>
    </row>
    <row r="262" spans="1:21" ht="23" x14ac:dyDescent="0.25">
      <c r="A262" s="217" t="str" cm="1">
        <f t="array" ref="A262">IFERROR(INDEX(_xlfn.ANCHORARRAY($Q$6),ROW()-5,1),"")</f>
        <v/>
      </c>
      <c r="B262" s="288" t="str" cm="1">
        <f t="array" ref="B262">IFERROR(INDEX(_xlfn.ANCHORARRAY($Q$6),ROW()-5,2),"")</f>
        <v/>
      </c>
      <c r="C262" s="289" t="str" cm="1">
        <f t="array" ref="C262">IFERROR(INDEX(_xlfn.ANCHORARRAY($Q$6),ROW()-5,3),"")</f>
        <v/>
      </c>
      <c r="D262" s="218" t="str">
        <f>IF($A262="","",IF($K262="DIESEL",SUMIFS(Table1[Quantity],Table1[Customer],$B262,Table1[Date],$A262,Table1[Bill No.],$C262),IF($K262="PETROL",SUMIFS(Table14[Quantity],Table14[Customer],$B262,Table14[Date],$A262,Table14[Bill No.],$C262),IF($K262="XtraGreen",SUMIFS(Table146[Quantity],Table146[Company],$B262,Table146[Date],$A262,Table146[Bill No.],$C262),""))))</f>
        <v/>
      </c>
      <c r="E262" s="219" t="str">
        <f>IF($A262="","",IF($K262="DIESEL",AVERAGEIFS(Table1[RSP],Table1[Customer],$B262,Table1[Date],$A262,Table1[Bill No.],$C262),IF($K262="PETROL",AVERAGEIFS(Table14[RSP],Table14[Customer],$B262,Table14[Date],$A262,Table14[Bill No.],$C262),IF($K262="XtraGreen",AVERAGEIFS(Table146[RSP],Table146[Company],$B262,Table146[Date],$A262,Table146[Bill No.],$C262),IFERROR($F262/$D262,"")))))</f>
        <v/>
      </c>
      <c r="F262" s="330" t="str">
        <f>IF($A262="","",IF($K262="DIESEL",SUMIFS(Table1[Amount],Table1[Customer],$B262,Table1[Date],$A262,Table1[Bill No.],$C262),IF($K262="PETROL",SUMIFS(Table14[Amount],Table14[Customer],$B262,Table14[Date],$A262,Table14[Bill No.],$C262),IF($K262="XtraGreen",SUMIFS(Table146[Amount],Table146[Company],$B262,Table146[Date],$A262,Table146[Bill No.],$C262),SUMIFS('Other Sale'!$D:$D,'Other Sale'!$E:$E,$B262,'Other Sale'!$C:$C,$K262,'Other Sale'!$A:$A,$A262)))))</f>
        <v/>
      </c>
      <c r="G262" s="330" t="str" cm="1">
        <f t="array" ref="G262">IF($A262="","",IF($K262="Payment",IFERROR(INDEX(_xlfn._xlws.FILTER(MasterPaid[Amount Paid],(MasterPaid[Customer]=$B262)*(MasterPaid[Date]=$A262)),COUNTIFS($A$6:$A262,$A262,$B$6:$B262,$B262,$K$6:$K262,"Payment")),0),0))</f>
        <v/>
      </c>
      <c r="H262" s="331"/>
      <c r="I262" s="331"/>
      <c r="J262" s="330" t="str">
        <f t="shared" si="3"/>
        <v/>
      </c>
      <c r="K262" s="289" t="str" cm="1">
        <f t="array" ref="K262">IFERROR(INDEX(_xlfn.ANCHORARRAY($Q$6),ROW()-5,4),"")</f>
        <v/>
      </c>
      <c r="L262" s="290"/>
      <c r="U262">
        <f>IF(OR($A262="",$F262=""),0,MAX(0,MIN($F262,SUMIFS($F$6:$F262,$B$6:$B262,$B262)-(SUMIFS($G$6:$G$355,$B$6:$B$355,$B262)+SUMIFS($H$6:$H$355,$B$6:$B$355,$B262)+SUMIFS($I$6:$I$355,$B$6:$B$355,$B262)))))</f>
        <v>0</v>
      </c>
    </row>
    <row r="263" spans="1:21" ht="23" x14ac:dyDescent="0.25">
      <c r="A263" s="217" t="str" cm="1">
        <f t="array" ref="A263">IFERROR(INDEX(_xlfn.ANCHORARRAY($Q$6),ROW()-5,1),"")</f>
        <v/>
      </c>
      <c r="B263" s="288" t="str" cm="1">
        <f t="array" ref="B263">IFERROR(INDEX(_xlfn.ANCHORARRAY($Q$6),ROW()-5,2),"")</f>
        <v/>
      </c>
      <c r="C263" s="289" t="str" cm="1">
        <f t="array" ref="C263">IFERROR(INDEX(_xlfn.ANCHORARRAY($Q$6),ROW()-5,3),"")</f>
        <v/>
      </c>
      <c r="D263" s="218" t="str">
        <f>IF($A263="","",IF($K263="DIESEL",SUMIFS(Table1[Quantity],Table1[Customer],$B263,Table1[Date],$A263,Table1[Bill No.],$C263),IF($K263="PETROL",SUMIFS(Table14[Quantity],Table14[Customer],$B263,Table14[Date],$A263,Table14[Bill No.],$C263),IF($K263="XtraGreen",SUMIFS(Table146[Quantity],Table146[Company],$B263,Table146[Date],$A263,Table146[Bill No.],$C263),""))))</f>
        <v/>
      </c>
      <c r="E263" s="219" t="str">
        <f>IF($A263="","",IF($K263="DIESEL",AVERAGEIFS(Table1[RSP],Table1[Customer],$B263,Table1[Date],$A263,Table1[Bill No.],$C263),IF($K263="PETROL",AVERAGEIFS(Table14[RSP],Table14[Customer],$B263,Table14[Date],$A263,Table14[Bill No.],$C263),IF($K263="XtraGreen",AVERAGEIFS(Table146[RSP],Table146[Company],$B263,Table146[Date],$A263,Table146[Bill No.],$C263),IFERROR($F263/$D263,"")))))</f>
        <v/>
      </c>
      <c r="F263" s="330" t="str">
        <f>IF($A263="","",IF($K263="DIESEL",SUMIFS(Table1[Amount],Table1[Customer],$B263,Table1[Date],$A263,Table1[Bill No.],$C263),IF($K263="PETROL",SUMIFS(Table14[Amount],Table14[Customer],$B263,Table14[Date],$A263,Table14[Bill No.],$C263),IF($K263="XtraGreen",SUMIFS(Table146[Amount],Table146[Company],$B263,Table146[Date],$A263,Table146[Bill No.],$C263),SUMIFS('Other Sale'!$D:$D,'Other Sale'!$E:$E,$B263,'Other Sale'!$C:$C,$K263,'Other Sale'!$A:$A,$A263)))))</f>
        <v/>
      </c>
      <c r="G263" s="330" t="str" cm="1">
        <f t="array" ref="G263">IF($A263="","",IF($K263="Payment",IFERROR(INDEX(_xlfn._xlws.FILTER(MasterPaid[Amount Paid],(MasterPaid[Customer]=$B263)*(MasterPaid[Date]=$A263)),COUNTIFS($A$6:$A263,$A263,$B$6:$B263,$B263,$K$6:$K263,"Payment")),0),0))</f>
        <v/>
      </c>
      <c r="H263" s="331"/>
      <c r="I263" s="331"/>
      <c r="J263" s="330" t="str">
        <f t="shared" si="3"/>
        <v/>
      </c>
      <c r="K263" s="289" t="str" cm="1">
        <f t="array" ref="K263">IFERROR(INDEX(_xlfn.ANCHORARRAY($Q$6),ROW()-5,4),"")</f>
        <v/>
      </c>
      <c r="L263" s="290"/>
      <c r="U263">
        <f>IF(OR($A263="",$F263=""),0,MAX(0,MIN($F263,SUMIFS($F$6:$F263,$B$6:$B263,$B263)-(SUMIFS($G$6:$G$355,$B$6:$B$355,$B263)+SUMIFS($H$6:$H$355,$B$6:$B$355,$B263)+SUMIFS($I$6:$I$355,$B$6:$B$355,$B263)))))</f>
        <v>0</v>
      </c>
    </row>
    <row r="264" spans="1:21" ht="23" x14ac:dyDescent="0.25">
      <c r="A264" s="217" t="str" cm="1">
        <f t="array" ref="A264">IFERROR(INDEX(_xlfn.ANCHORARRAY($Q$6),ROW()-5,1),"")</f>
        <v/>
      </c>
      <c r="B264" s="288" t="str" cm="1">
        <f t="array" ref="B264">IFERROR(INDEX(_xlfn.ANCHORARRAY($Q$6),ROW()-5,2),"")</f>
        <v/>
      </c>
      <c r="C264" s="289" t="str" cm="1">
        <f t="array" ref="C264">IFERROR(INDEX(_xlfn.ANCHORARRAY($Q$6),ROW()-5,3),"")</f>
        <v/>
      </c>
      <c r="D264" s="218" t="str">
        <f>IF($A264="","",IF($K264="DIESEL",SUMIFS(Table1[Quantity],Table1[Customer],$B264,Table1[Date],$A264,Table1[Bill No.],$C264),IF($K264="PETROL",SUMIFS(Table14[Quantity],Table14[Customer],$B264,Table14[Date],$A264,Table14[Bill No.],$C264),IF($K264="XtraGreen",SUMIFS(Table146[Quantity],Table146[Company],$B264,Table146[Date],$A264,Table146[Bill No.],$C264),""))))</f>
        <v/>
      </c>
      <c r="E264" s="219" t="str">
        <f>IF($A264="","",IF($K264="DIESEL",AVERAGEIFS(Table1[RSP],Table1[Customer],$B264,Table1[Date],$A264,Table1[Bill No.],$C264),IF($K264="PETROL",AVERAGEIFS(Table14[RSP],Table14[Customer],$B264,Table14[Date],$A264,Table14[Bill No.],$C264),IF($K264="XtraGreen",AVERAGEIFS(Table146[RSP],Table146[Company],$B264,Table146[Date],$A264,Table146[Bill No.],$C264),IFERROR($F264/$D264,"")))))</f>
        <v/>
      </c>
      <c r="F264" s="330" t="str">
        <f>IF($A264="","",IF($K264="DIESEL",SUMIFS(Table1[Amount],Table1[Customer],$B264,Table1[Date],$A264,Table1[Bill No.],$C264),IF($K264="PETROL",SUMIFS(Table14[Amount],Table14[Customer],$B264,Table14[Date],$A264,Table14[Bill No.],$C264),IF($K264="XtraGreen",SUMIFS(Table146[Amount],Table146[Company],$B264,Table146[Date],$A264,Table146[Bill No.],$C264),SUMIFS('Other Sale'!$D:$D,'Other Sale'!$E:$E,$B264,'Other Sale'!$C:$C,$K264,'Other Sale'!$A:$A,$A264)))))</f>
        <v/>
      </c>
      <c r="G264" s="330" t="str" cm="1">
        <f t="array" ref="G264">IF($A264="","",IF($K264="Payment",IFERROR(INDEX(_xlfn._xlws.FILTER(MasterPaid[Amount Paid],(MasterPaid[Customer]=$B264)*(MasterPaid[Date]=$A264)),COUNTIFS($A$6:$A264,$A264,$B$6:$B264,$B264,$K$6:$K264,"Payment")),0),0))</f>
        <v/>
      </c>
      <c r="H264" s="331"/>
      <c r="I264" s="331"/>
      <c r="J264" s="330" t="str">
        <f t="shared" ref="J264:J327" si="4">IF($A264="","",J263+N(F264)-N(G264)-N(H264)-N(I264))</f>
        <v/>
      </c>
      <c r="K264" s="289" t="str" cm="1">
        <f t="array" ref="K264">IFERROR(INDEX(_xlfn.ANCHORARRAY($Q$6),ROW()-5,4),"")</f>
        <v/>
      </c>
      <c r="L264" s="290"/>
      <c r="U264">
        <f>IF(OR($A264="",$F264=""),0,MAX(0,MIN($F264,SUMIFS($F$6:$F264,$B$6:$B264,$B264)-(SUMIFS($G$6:$G$355,$B$6:$B$355,$B264)+SUMIFS($H$6:$H$355,$B$6:$B$355,$B264)+SUMIFS($I$6:$I$355,$B$6:$B$355,$B264)))))</f>
        <v>0</v>
      </c>
    </row>
    <row r="265" spans="1:21" ht="23" x14ac:dyDescent="0.25">
      <c r="A265" s="217" t="str" cm="1">
        <f t="array" ref="A265">IFERROR(INDEX(_xlfn.ANCHORARRAY($Q$6),ROW()-5,1),"")</f>
        <v/>
      </c>
      <c r="B265" s="288" t="str" cm="1">
        <f t="array" ref="B265">IFERROR(INDEX(_xlfn.ANCHORARRAY($Q$6),ROW()-5,2),"")</f>
        <v/>
      </c>
      <c r="C265" s="289" t="str" cm="1">
        <f t="array" ref="C265">IFERROR(INDEX(_xlfn.ANCHORARRAY($Q$6),ROW()-5,3),"")</f>
        <v/>
      </c>
      <c r="D265" s="218" t="str">
        <f>IF($A265="","",IF($K265="DIESEL",SUMIFS(Table1[Quantity],Table1[Customer],$B265,Table1[Date],$A265,Table1[Bill No.],$C265),IF($K265="PETROL",SUMIFS(Table14[Quantity],Table14[Customer],$B265,Table14[Date],$A265,Table14[Bill No.],$C265),IF($K265="XtraGreen",SUMIFS(Table146[Quantity],Table146[Company],$B265,Table146[Date],$A265,Table146[Bill No.],$C265),""))))</f>
        <v/>
      </c>
      <c r="E265" s="219" t="str">
        <f>IF($A265="","",IF($K265="DIESEL",AVERAGEIFS(Table1[RSP],Table1[Customer],$B265,Table1[Date],$A265,Table1[Bill No.],$C265),IF($K265="PETROL",AVERAGEIFS(Table14[RSP],Table14[Customer],$B265,Table14[Date],$A265,Table14[Bill No.],$C265),IF($K265="XtraGreen",AVERAGEIFS(Table146[RSP],Table146[Company],$B265,Table146[Date],$A265,Table146[Bill No.],$C265),IFERROR($F265/$D265,"")))))</f>
        <v/>
      </c>
      <c r="F265" s="330" t="str">
        <f>IF($A265="","",IF($K265="DIESEL",SUMIFS(Table1[Amount],Table1[Customer],$B265,Table1[Date],$A265,Table1[Bill No.],$C265),IF($K265="PETROL",SUMIFS(Table14[Amount],Table14[Customer],$B265,Table14[Date],$A265,Table14[Bill No.],$C265),IF($K265="XtraGreen",SUMIFS(Table146[Amount],Table146[Company],$B265,Table146[Date],$A265,Table146[Bill No.],$C265),SUMIFS('Other Sale'!$D:$D,'Other Sale'!$E:$E,$B265,'Other Sale'!$C:$C,$K265,'Other Sale'!$A:$A,$A265)))))</f>
        <v/>
      </c>
      <c r="G265" s="330" t="str" cm="1">
        <f t="array" ref="G265">IF($A265="","",IF($K265="Payment",IFERROR(INDEX(_xlfn._xlws.FILTER(MasterPaid[Amount Paid],(MasterPaid[Customer]=$B265)*(MasterPaid[Date]=$A265)),COUNTIFS($A$6:$A265,$A265,$B$6:$B265,$B265,$K$6:$K265,"Payment")),0),0))</f>
        <v/>
      </c>
      <c r="H265" s="331"/>
      <c r="I265" s="331"/>
      <c r="J265" s="330" t="str">
        <f t="shared" si="4"/>
        <v/>
      </c>
      <c r="K265" s="289" t="str" cm="1">
        <f t="array" ref="K265">IFERROR(INDEX(_xlfn.ANCHORARRAY($Q$6),ROW()-5,4),"")</f>
        <v/>
      </c>
      <c r="L265" s="290"/>
      <c r="U265">
        <f>IF(OR($A265="",$F265=""),0,MAX(0,MIN($F265,SUMIFS($F$6:$F265,$B$6:$B265,$B265)-(SUMIFS($G$6:$G$355,$B$6:$B$355,$B265)+SUMIFS($H$6:$H$355,$B$6:$B$355,$B265)+SUMIFS($I$6:$I$355,$B$6:$B$355,$B265)))))</f>
        <v>0</v>
      </c>
    </row>
    <row r="266" spans="1:21" ht="23" x14ac:dyDescent="0.25">
      <c r="A266" s="217" t="str" cm="1">
        <f t="array" ref="A266">IFERROR(INDEX(_xlfn.ANCHORARRAY($Q$6),ROW()-5,1),"")</f>
        <v/>
      </c>
      <c r="B266" s="288" t="str" cm="1">
        <f t="array" ref="B266">IFERROR(INDEX(_xlfn.ANCHORARRAY($Q$6),ROW()-5,2),"")</f>
        <v/>
      </c>
      <c r="C266" s="289" t="str" cm="1">
        <f t="array" ref="C266">IFERROR(INDEX(_xlfn.ANCHORARRAY($Q$6),ROW()-5,3),"")</f>
        <v/>
      </c>
      <c r="D266" s="218" t="str">
        <f>IF($A266="","",IF($K266="DIESEL",SUMIFS(Table1[Quantity],Table1[Customer],$B266,Table1[Date],$A266,Table1[Bill No.],$C266),IF($K266="PETROL",SUMIFS(Table14[Quantity],Table14[Customer],$B266,Table14[Date],$A266,Table14[Bill No.],$C266),IF($K266="XtraGreen",SUMIFS(Table146[Quantity],Table146[Company],$B266,Table146[Date],$A266,Table146[Bill No.],$C266),""))))</f>
        <v/>
      </c>
      <c r="E266" s="219" t="str">
        <f>IF($A266="","",IF($K266="DIESEL",AVERAGEIFS(Table1[RSP],Table1[Customer],$B266,Table1[Date],$A266,Table1[Bill No.],$C266),IF($K266="PETROL",AVERAGEIFS(Table14[RSP],Table14[Customer],$B266,Table14[Date],$A266,Table14[Bill No.],$C266),IF($K266="XtraGreen",AVERAGEIFS(Table146[RSP],Table146[Company],$B266,Table146[Date],$A266,Table146[Bill No.],$C266),IFERROR($F266/$D266,"")))))</f>
        <v/>
      </c>
      <c r="F266" s="330" t="str">
        <f>IF($A266="","",IF($K266="DIESEL",SUMIFS(Table1[Amount],Table1[Customer],$B266,Table1[Date],$A266,Table1[Bill No.],$C266),IF($K266="PETROL",SUMIFS(Table14[Amount],Table14[Customer],$B266,Table14[Date],$A266,Table14[Bill No.],$C266),IF($K266="XtraGreen",SUMIFS(Table146[Amount],Table146[Company],$B266,Table146[Date],$A266,Table146[Bill No.],$C266),SUMIFS('Other Sale'!$D:$D,'Other Sale'!$E:$E,$B266,'Other Sale'!$C:$C,$K266,'Other Sale'!$A:$A,$A266)))))</f>
        <v/>
      </c>
      <c r="G266" s="330" t="str" cm="1">
        <f t="array" ref="G266">IF($A266="","",IF($K266="Payment",IFERROR(INDEX(_xlfn._xlws.FILTER(MasterPaid[Amount Paid],(MasterPaid[Customer]=$B266)*(MasterPaid[Date]=$A266)),COUNTIFS($A$6:$A266,$A266,$B$6:$B266,$B266,$K$6:$K266,"Payment")),0),0))</f>
        <v/>
      </c>
      <c r="H266" s="331"/>
      <c r="I266" s="331"/>
      <c r="J266" s="330" t="str">
        <f t="shared" si="4"/>
        <v/>
      </c>
      <c r="K266" s="289" t="str" cm="1">
        <f t="array" ref="K266">IFERROR(INDEX(_xlfn.ANCHORARRAY($Q$6),ROW()-5,4),"")</f>
        <v/>
      </c>
      <c r="L266" s="290"/>
      <c r="U266">
        <f>IF(OR($A266="",$F266=""),0,MAX(0,MIN($F266,SUMIFS($F$6:$F266,$B$6:$B266,$B266)-(SUMIFS($G$6:$G$355,$B$6:$B$355,$B266)+SUMIFS($H$6:$H$355,$B$6:$B$355,$B266)+SUMIFS($I$6:$I$355,$B$6:$B$355,$B266)))))</f>
        <v>0</v>
      </c>
    </row>
    <row r="267" spans="1:21" ht="23" x14ac:dyDescent="0.25">
      <c r="A267" s="217" t="str" cm="1">
        <f t="array" ref="A267">IFERROR(INDEX(_xlfn.ANCHORARRAY($Q$6),ROW()-5,1),"")</f>
        <v/>
      </c>
      <c r="B267" s="288" t="str" cm="1">
        <f t="array" ref="B267">IFERROR(INDEX(_xlfn.ANCHORARRAY($Q$6),ROW()-5,2),"")</f>
        <v/>
      </c>
      <c r="C267" s="289" t="str" cm="1">
        <f t="array" ref="C267">IFERROR(INDEX(_xlfn.ANCHORARRAY($Q$6),ROW()-5,3),"")</f>
        <v/>
      </c>
      <c r="D267" s="218" t="str">
        <f>IF($A267="","",IF($K267="DIESEL",SUMIFS(Table1[Quantity],Table1[Customer],$B267,Table1[Date],$A267,Table1[Bill No.],$C267),IF($K267="PETROL",SUMIFS(Table14[Quantity],Table14[Customer],$B267,Table14[Date],$A267,Table14[Bill No.],$C267),IF($K267="XtraGreen",SUMIFS(Table146[Quantity],Table146[Company],$B267,Table146[Date],$A267,Table146[Bill No.],$C267),""))))</f>
        <v/>
      </c>
      <c r="E267" s="219" t="str">
        <f>IF($A267="","",IF($K267="DIESEL",AVERAGEIFS(Table1[RSP],Table1[Customer],$B267,Table1[Date],$A267,Table1[Bill No.],$C267),IF($K267="PETROL",AVERAGEIFS(Table14[RSP],Table14[Customer],$B267,Table14[Date],$A267,Table14[Bill No.],$C267),IF($K267="XtraGreen",AVERAGEIFS(Table146[RSP],Table146[Company],$B267,Table146[Date],$A267,Table146[Bill No.],$C267),IFERROR($F267/$D267,"")))))</f>
        <v/>
      </c>
      <c r="F267" s="330" t="str">
        <f>IF($A267="","",IF($K267="DIESEL",SUMIFS(Table1[Amount],Table1[Customer],$B267,Table1[Date],$A267,Table1[Bill No.],$C267),IF($K267="PETROL",SUMIFS(Table14[Amount],Table14[Customer],$B267,Table14[Date],$A267,Table14[Bill No.],$C267),IF($K267="XtraGreen",SUMIFS(Table146[Amount],Table146[Company],$B267,Table146[Date],$A267,Table146[Bill No.],$C267),SUMIFS('Other Sale'!$D:$D,'Other Sale'!$E:$E,$B267,'Other Sale'!$C:$C,$K267,'Other Sale'!$A:$A,$A267)))))</f>
        <v/>
      </c>
      <c r="G267" s="330" t="str" cm="1">
        <f t="array" ref="G267">IF($A267="","",IF($K267="Payment",IFERROR(INDEX(_xlfn._xlws.FILTER(MasterPaid[Amount Paid],(MasterPaid[Customer]=$B267)*(MasterPaid[Date]=$A267)),COUNTIFS($A$6:$A267,$A267,$B$6:$B267,$B267,$K$6:$K267,"Payment")),0),0))</f>
        <v/>
      </c>
      <c r="H267" s="331"/>
      <c r="I267" s="331"/>
      <c r="J267" s="330" t="str">
        <f t="shared" si="4"/>
        <v/>
      </c>
      <c r="K267" s="289" t="str" cm="1">
        <f t="array" ref="K267">IFERROR(INDEX(_xlfn.ANCHORARRAY($Q$6),ROW()-5,4),"")</f>
        <v/>
      </c>
      <c r="L267" s="290"/>
      <c r="U267">
        <f>IF(OR($A267="",$F267=""),0,MAX(0,MIN($F267,SUMIFS($F$6:$F267,$B$6:$B267,$B267)-(SUMIFS($G$6:$G$355,$B$6:$B$355,$B267)+SUMIFS($H$6:$H$355,$B$6:$B$355,$B267)+SUMIFS($I$6:$I$355,$B$6:$B$355,$B267)))))</f>
        <v>0</v>
      </c>
    </row>
    <row r="268" spans="1:21" ht="23" x14ac:dyDescent="0.25">
      <c r="A268" s="217" t="str" cm="1">
        <f t="array" ref="A268">IFERROR(INDEX(_xlfn.ANCHORARRAY($Q$6),ROW()-5,1),"")</f>
        <v/>
      </c>
      <c r="B268" s="288" t="str" cm="1">
        <f t="array" ref="B268">IFERROR(INDEX(_xlfn.ANCHORARRAY($Q$6),ROW()-5,2),"")</f>
        <v/>
      </c>
      <c r="C268" s="289" t="str" cm="1">
        <f t="array" ref="C268">IFERROR(INDEX(_xlfn.ANCHORARRAY($Q$6),ROW()-5,3),"")</f>
        <v/>
      </c>
      <c r="D268" s="218" t="str">
        <f>IF($A268="","",IF($K268="DIESEL",SUMIFS(Table1[Quantity],Table1[Customer],$B268,Table1[Date],$A268,Table1[Bill No.],$C268),IF($K268="PETROL",SUMIFS(Table14[Quantity],Table14[Customer],$B268,Table14[Date],$A268,Table14[Bill No.],$C268),IF($K268="XtraGreen",SUMIFS(Table146[Quantity],Table146[Company],$B268,Table146[Date],$A268,Table146[Bill No.],$C268),""))))</f>
        <v/>
      </c>
      <c r="E268" s="219" t="str">
        <f>IF($A268="","",IF($K268="DIESEL",AVERAGEIFS(Table1[RSP],Table1[Customer],$B268,Table1[Date],$A268,Table1[Bill No.],$C268),IF($K268="PETROL",AVERAGEIFS(Table14[RSP],Table14[Customer],$B268,Table14[Date],$A268,Table14[Bill No.],$C268),IF($K268="XtraGreen",AVERAGEIFS(Table146[RSP],Table146[Company],$B268,Table146[Date],$A268,Table146[Bill No.],$C268),IFERROR($F268/$D268,"")))))</f>
        <v/>
      </c>
      <c r="F268" s="330" t="str">
        <f>IF($A268="","",IF($K268="DIESEL",SUMIFS(Table1[Amount],Table1[Customer],$B268,Table1[Date],$A268,Table1[Bill No.],$C268),IF($K268="PETROL",SUMIFS(Table14[Amount],Table14[Customer],$B268,Table14[Date],$A268,Table14[Bill No.],$C268),IF($K268="XtraGreen",SUMIFS(Table146[Amount],Table146[Company],$B268,Table146[Date],$A268,Table146[Bill No.],$C268),SUMIFS('Other Sale'!$D:$D,'Other Sale'!$E:$E,$B268,'Other Sale'!$C:$C,$K268,'Other Sale'!$A:$A,$A268)))))</f>
        <v/>
      </c>
      <c r="G268" s="330" t="str" cm="1">
        <f t="array" ref="G268">IF($A268="","",IF($K268="Payment",IFERROR(INDEX(_xlfn._xlws.FILTER(MasterPaid[Amount Paid],(MasterPaid[Customer]=$B268)*(MasterPaid[Date]=$A268)),COUNTIFS($A$6:$A268,$A268,$B$6:$B268,$B268,$K$6:$K268,"Payment")),0),0))</f>
        <v/>
      </c>
      <c r="H268" s="331"/>
      <c r="I268" s="331"/>
      <c r="J268" s="330" t="str">
        <f t="shared" si="4"/>
        <v/>
      </c>
      <c r="K268" s="289" t="str" cm="1">
        <f t="array" ref="K268">IFERROR(INDEX(_xlfn.ANCHORARRAY($Q$6),ROW()-5,4),"")</f>
        <v/>
      </c>
      <c r="L268" s="290"/>
      <c r="U268">
        <f>IF(OR($A268="",$F268=""),0,MAX(0,MIN($F268,SUMIFS($F$6:$F268,$B$6:$B268,$B268)-(SUMIFS($G$6:$G$355,$B$6:$B$355,$B268)+SUMIFS($H$6:$H$355,$B$6:$B$355,$B268)+SUMIFS($I$6:$I$355,$B$6:$B$355,$B268)))))</f>
        <v>0</v>
      </c>
    </row>
    <row r="269" spans="1:21" ht="23" x14ac:dyDescent="0.25">
      <c r="A269" s="217" t="str" cm="1">
        <f t="array" ref="A269">IFERROR(INDEX(_xlfn.ANCHORARRAY($Q$6),ROW()-5,1),"")</f>
        <v/>
      </c>
      <c r="B269" s="288" t="str" cm="1">
        <f t="array" ref="B269">IFERROR(INDEX(_xlfn.ANCHORARRAY($Q$6),ROW()-5,2),"")</f>
        <v/>
      </c>
      <c r="C269" s="289" t="str" cm="1">
        <f t="array" ref="C269">IFERROR(INDEX(_xlfn.ANCHORARRAY($Q$6),ROW()-5,3),"")</f>
        <v/>
      </c>
      <c r="D269" s="218" t="str">
        <f>IF($A269="","",IF($K269="DIESEL",SUMIFS(Table1[Quantity],Table1[Customer],$B269,Table1[Date],$A269,Table1[Bill No.],$C269),IF($K269="PETROL",SUMIFS(Table14[Quantity],Table14[Customer],$B269,Table14[Date],$A269,Table14[Bill No.],$C269),IF($K269="XtraGreen",SUMIFS(Table146[Quantity],Table146[Company],$B269,Table146[Date],$A269,Table146[Bill No.],$C269),""))))</f>
        <v/>
      </c>
      <c r="E269" s="219" t="str">
        <f>IF($A269="","",IF($K269="DIESEL",AVERAGEIFS(Table1[RSP],Table1[Customer],$B269,Table1[Date],$A269,Table1[Bill No.],$C269),IF($K269="PETROL",AVERAGEIFS(Table14[RSP],Table14[Customer],$B269,Table14[Date],$A269,Table14[Bill No.],$C269),IF($K269="XtraGreen",AVERAGEIFS(Table146[RSP],Table146[Company],$B269,Table146[Date],$A269,Table146[Bill No.],$C269),IFERROR($F269/$D269,"")))))</f>
        <v/>
      </c>
      <c r="F269" s="330" t="str">
        <f>IF($A269="","",IF($K269="DIESEL",SUMIFS(Table1[Amount],Table1[Customer],$B269,Table1[Date],$A269,Table1[Bill No.],$C269),IF($K269="PETROL",SUMIFS(Table14[Amount],Table14[Customer],$B269,Table14[Date],$A269,Table14[Bill No.],$C269),IF($K269="XtraGreen",SUMIFS(Table146[Amount],Table146[Company],$B269,Table146[Date],$A269,Table146[Bill No.],$C269),SUMIFS('Other Sale'!$D:$D,'Other Sale'!$E:$E,$B269,'Other Sale'!$C:$C,$K269,'Other Sale'!$A:$A,$A269)))))</f>
        <v/>
      </c>
      <c r="G269" s="330" t="str" cm="1">
        <f t="array" ref="G269">IF($A269="","",IF($K269="Payment",IFERROR(INDEX(_xlfn._xlws.FILTER(MasterPaid[Amount Paid],(MasterPaid[Customer]=$B269)*(MasterPaid[Date]=$A269)),COUNTIFS($A$6:$A269,$A269,$B$6:$B269,$B269,$K$6:$K269,"Payment")),0),0))</f>
        <v/>
      </c>
      <c r="H269" s="331"/>
      <c r="I269" s="331"/>
      <c r="J269" s="330" t="str">
        <f t="shared" si="4"/>
        <v/>
      </c>
      <c r="K269" s="289" t="str" cm="1">
        <f t="array" ref="K269">IFERROR(INDEX(_xlfn.ANCHORARRAY($Q$6),ROW()-5,4),"")</f>
        <v/>
      </c>
      <c r="L269" s="290"/>
      <c r="U269">
        <f>IF(OR($A269="",$F269=""),0,MAX(0,MIN($F269,SUMIFS($F$6:$F269,$B$6:$B269,$B269)-(SUMIFS($G$6:$G$355,$B$6:$B$355,$B269)+SUMIFS($H$6:$H$355,$B$6:$B$355,$B269)+SUMIFS($I$6:$I$355,$B$6:$B$355,$B269)))))</f>
        <v>0</v>
      </c>
    </row>
    <row r="270" spans="1:21" ht="23" x14ac:dyDescent="0.25">
      <c r="A270" s="217" t="str" cm="1">
        <f t="array" ref="A270">IFERROR(INDEX(_xlfn.ANCHORARRAY($Q$6),ROW()-5,1),"")</f>
        <v/>
      </c>
      <c r="B270" s="288" t="str" cm="1">
        <f t="array" ref="B270">IFERROR(INDEX(_xlfn.ANCHORARRAY($Q$6),ROW()-5,2),"")</f>
        <v/>
      </c>
      <c r="C270" s="289" t="str" cm="1">
        <f t="array" ref="C270">IFERROR(INDEX(_xlfn.ANCHORARRAY($Q$6),ROW()-5,3),"")</f>
        <v/>
      </c>
      <c r="D270" s="218" t="str">
        <f>IF($A270="","",IF($K270="DIESEL",SUMIFS(Table1[Quantity],Table1[Customer],$B270,Table1[Date],$A270,Table1[Bill No.],$C270),IF($K270="PETROL",SUMIFS(Table14[Quantity],Table14[Customer],$B270,Table14[Date],$A270,Table14[Bill No.],$C270),IF($K270="XtraGreen",SUMIFS(Table146[Quantity],Table146[Company],$B270,Table146[Date],$A270,Table146[Bill No.],$C270),""))))</f>
        <v/>
      </c>
      <c r="E270" s="219" t="str">
        <f>IF($A270="","",IF($K270="DIESEL",AVERAGEIFS(Table1[RSP],Table1[Customer],$B270,Table1[Date],$A270,Table1[Bill No.],$C270),IF($K270="PETROL",AVERAGEIFS(Table14[RSP],Table14[Customer],$B270,Table14[Date],$A270,Table14[Bill No.],$C270),IF($K270="XtraGreen",AVERAGEIFS(Table146[RSP],Table146[Company],$B270,Table146[Date],$A270,Table146[Bill No.],$C270),IFERROR($F270/$D270,"")))))</f>
        <v/>
      </c>
      <c r="F270" s="330" t="str">
        <f>IF($A270="","",IF($K270="DIESEL",SUMIFS(Table1[Amount],Table1[Customer],$B270,Table1[Date],$A270,Table1[Bill No.],$C270),IF($K270="PETROL",SUMIFS(Table14[Amount],Table14[Customer],$B270,Table14[Date],$A270,Table14[Bill No.],$C270),IF($K270="XtraGreen",SUMIFS(Table146[Amount],Table146[Company],$B270,Table146[Date],$A270,Table146[Bill No.],$C270),SUMIFS('Other Sale'!$D:$D,'Other Sale'!$E:$E,$B270,'Other Sale'!$C:$C,$K270,'Other Sale'!$A:$A,$A270)))))</f>
        <v/>
      </c>
      <c r="G270" s="330" t="str" cm="1">
        <f t="array" ref="G270">IF($A270="","",IF($K270="Payment",IFERROR(INDEX(_xlfn._xlws.FILTER(MasterPaid[Amount Paid],(MasterPaid[Customer]=$B270)*(MasterPaid[Date]=$A270)),COUNTIFS($A$6:$A270,$A270,$B$6:$B270,$B270,$K$6:$K270,"Payment")),0),0))</f>
        <v/>
      </c>
      <c r="H270" s="331"/>
      <c r="I270" s="331"/>
      <c r="J270" s="330" t="str">
        <f t="shared" si="4"/>
        <v/>
      </c>
      <c r="K270" s="289" t="str" cm="1">
        <f t="array" ref="K270">IFERROR(INDEX(_xlfn.ANCHORARRAY($Q$6),ROW()-5,4),"")</f>
        <v/>
      </c>
      <c r="L270" s="290"/>
      <c r="U270">
        <f>IF(OR($A270="",$F270=""),0,MAX(0,MIN($F270,SUMIFS($F$6:$F270,$B$6:$B270,$B270)-(SUMIFS($G$6:$G$355,$B$6:$B$355,$B270)+SUMIFS($H$6:$H$355,$B$6:$B$355,$B270)+SUMIFS($I$6:$I$355,$B$6:$B$355,$B270)))))</f>
        <v>0</v>
      </c>
    </row>
    <row r="271" spans="1:21" ht="23" x14ac:dyDescent="0.25">
      <c r="A271" s="217" t="str" cm="1">
        <f t="array" ref="A271">IFERROR(INDEX(_xlfn.ANCHORARRAY($Q$6),ROW()-5,1),"")</f>
        <v/>
      </c>
      <c r="B271" s="288" t="str" cm="1">
        <f t="array" ref="B271">IFERROR(INDEX(_xlfn.ANCHORARRAY($Q$6),ROW()-5,2),"")</f>
        <v/>
      </c>
      <c r="C271" s="289" t="str" cm="1">
        <f t="array" ref="C271">IFERROR(INDEX(_xlfn.ANCHORARRAY($Q$6),ROW()-5,3),"")</f>
        <v/>
      </c>
      <c r="D271" s="218" t="str">
        <f>IF($A271="","",IF($K271="DIESEL",SUMIFS(Table1[Quantity],Table1[Customer],$B271,Table1[Date],$A271,Table1[Bill No.],$C271),IF($K271="PETROL",SUMIFS(Table14[Quantity],Table14[Customer],$B271,Table14[Date],$A271,Table14[Bill No.],$C271),IF($K271="XtraGreen",SUMIFS(Table146[Quantity],Table146[Company],$B271,Table146[Date],$A271,Table146[Bill No.],$C271),""))))</f>
        <v/>
      </c>
      <c r="E271" s="219" t="str">
        <f>IF($A271="","",IF($K271="DIESEL",AVERAGEIFS(Table1[RSP],Table1[Customer],$B271,Table1[Date],$A271,Table1[Bill No.],$C271),IF($K271="PETROL",AVERAGEIFS(Table14[RSP],Table14[Customer],$B271,Table14[Date],$A271,Table14[Bill No.],$C271),IF($K271="XtraGreen",AVERAGEIFS(Table146[RSP],Table146[Company],$B271,Table146[Date],$A271,Table146[Bill No.],$C271),IFERROR($F271/$D271,"")))))</f>
        <v/>
      </c>
      <c r="F271" s="330" t="str">
        <f>IF($A271="","",IF($K271="DIESEL",SUMIFS(Table1[Amount],Table1[Customer],$B271,Table1[Date],$A271,Table1[Bill No.],$C271),IF($K271="PETROL",SUMIFS(Table14[Amount],Table14[Customer],$B271,Table14[Date],$A271,Table14[Bill No.],$C271),IF($K271="XtraGreen",SUMIFS(Table146[Amount],Table146[Company],$B271,Table146[Date],$A271,Table146[Bill No.],$C271),SUMIFS('Other Sale'!$D:$D,'Other Sale'!$E:$E,$B271,'Other Sale'!$C:$C,$K271,'Other Sale'!$A:$A,$A271)))))</f>
        <v/>
      </c>
      <c r="G271" s="330" t="str" cm="1">
        <f t="array" ref="G271">IF($A271="","",IF($K271="Payment",IFERROR(INDEX(_xlfn._xlws.FILTER(MasterPaid[Amount Paid],(MasterPaid[Customer]=$B271)*(MasterPaid[Date]=$A271)),COUNTIFS($A$6:$A271,$A271,$B$6:$B271,$B271,$K$6:$K271,"Payment")),0),0))</f>
        <v/>
      </c>
      <c r="H271" s="331"/>
      <c r="I271" s="331"/>
      <c r="J271" s="330" t="str">
        <f t="shared" si="4"/>
        <v/>
      </c>
      <c r="K271" s="289" t="str" cm="1">
        <f t="array" ref="K271">IFERROR(INDEX(_xlfn.ANCHORARRAY($Q$6),ROW()-5,4),"")</f>
        <v/>
      </c>
      <c r="L271" s="290"/>
      <c r="U271">
        <f>IF(OR($A271="",$F271=""),0,MAX(0,MIN($F271,SUMIFS($F$6:$F271,$B$6:$B271,$B271)-(SUMIFS($G$6:$G$355,$B$6:$B$355,$B271)+SUMIFS($H$6:$H$355,$B$6:$B$355,$B271)+SUMIFS($I$6:$I$355,$B$6:$B$355,$B271)))))</f>
        <v>0</v>
      </c>
    </row>
    <row r="272" spans="1:21" ht="23" x14ac:dyDescent="0.25">
      <c r="A272" s="217" t="str" cm="1">
        <f t="array" ref="A272">IFERROR(INDEX(_xlfn.ANCHORARRAY($Q$6),ROW()-5,1),"")</f>
        <v/>
      </c>
      <c r="B272" s="288" t="str" cm="1">
        <f t="array" ref="B272">IFERROR(INDEX(_xlfn.ANCHORARRAY($Q$6),ROW()-5,2),"")</f>
        <v/>
      </c>
      <c r="C272" s="289" t="str" cm="1">
        <f t="array" ref="C272">IFERROR(INDEX(_xlfn.ANCHORARRAY($Q$6),ROW()-5,3),"")</f>
        <v/>
      </c>
      <c r="D272" s="218" t="str">
        <f>IF($A272="","",IF($K272="DIESEL",SUMIFS(Table1[Quantity],Table1[Customer],$B272,Table1[Date],$A272,Table1[Bill No.],$C272),IF($K272="PETROL",SUMIFS(Table14[Quantity],Table14[Customer],$B272,Table14[Date],$A272,Table14[Bill No.],$C272),IF($K272="XtraGreen",SUMIFS(Table146[Quantity],Table146[Company],$B272,Table146[Date],$A272,Table146[Bill No.],$C272),""))))</f>
        <v/>
      </c>
      <c r="E272" s="219" t="str">
        <f>IF($A272="","",IF($K272="DIESEL",AVERAGEIFS(Table1[RSP],Table1[Customer],$B272,Table1[Date],$A272,Table1[Bill No.],$C272),IF($K272="PETROL",AVERAGEIFS(Table14[RSP],Table14[Customer],$B272,Table14[Date],$A272,Table14[Bill No.],$C272),IF($K272="XtraGreen",AVERAGEIFS(Table146[RSP],Table146[Company],$B272,Table146[Date],$A272,Table146[Bill No.],$C272),IFERROR($F272/$D272,"")))))</f>
        <v/>
      </c>
      <c r="F272" s="330" t="str">
        <f>IF($A272="","",IF($K272="DIESEL",SUMIFS(Table1[Amount],Table1[Customer],$B272,Table1[Date],$A272,Table1[Bill No.],$C272),IF($K272="PETROL",SUMIFS(Table14[Amount],Table14[Customer],$B272,Table14[Date],$A272,Table14[Bill No.],$C272),IF($K272="XtraGreen",SUMIFS(Table146[Amount],Table146[Company],$B272,Table146[Date],$A272,Table146[Bill No.],$C272),SUMIFS('Other Sale'!$D:$D,'Other Sale'!$E:$E,$B272,'Other Sale'!$C:$C,$K272,'Other Sale'!$A:$A,$A272)))))</f>
        <v/>
      </c>
      <c r="G272" s="330" t="str" cm="1">
        <f t="array" ref="G272">IF($A272="","",IF($K272="Payment",IFERROR(INDEX(_xlfn._xlws.FILTER(MasterPaid[Amount Paid],(MasterPaid[Customer]=$B272)*(MasterPaid[Date]=$A272)),COUNTIFS($A$6:$A272,$A272,$B$6:$B272,$B272,$K$6:$K272,"Payment")),0),0))</f>
        <v/>
      </c>
      <c r="H272" s="331"/>
      <c r="I272" s="331"/>
      <c r="J272" s="330" t="str">
        <f t="shared" si="4"/>
        <v/>
      </c>
      <c r="K272" s="289" t="str" cm="1">
        <f t="array" ref="K272">IFERROR(INDEX(_xlfn.ANCHORARRAY($Q$6),ROW()-5,4),"")</f>
        <v/>
      </c>
      <c r="L272" s="290"/>
      <c r="U272">
        <f>IF(OR($A272="",$F272=""),0,MAX(0,MIN($F272,SUMIFS($F$6:$F272,$B$6:$B272,$B272)-(SUMIFS($G$6:$G$355,$B$6:$B$355,$B272)+SUMIFS($H$6:$H$355,$B$6:$B$355,$B272)+SUMIFS($I$6:$I$355,$B$6:$B$355,$B272)))))</f>
        <v>0</v>
      </c>
    </row>
    <row r="273" spans="1:21" ht="23" x14ac:dyDescent="0.25">
      <c r="A273" s="217" t="str" cm="1">
        <f t="array" ref="A273">IFERROR(INDEX(_xlfn.ANCHORARRAY($Q$6),ROW()-5,1),"")</f>
        <v/>
      </c>
      <c r="B273" s="288" t="str" cm="1">
        <f t="array" ref="B273">IFERROR(INDEX(_xlfn.ANCHORARRAY($Q$6),ROW()-5,2),"")</f>
        <v/>
      </c>
      <c r="C273" s="289" t="str" cm="1">
        <f t="array" ref="C273">IFERROR(INDEX(_xlfn.ANCHORARRAY($Q$6),ROW()-5,3),"")</f>
        <v/>
      </c>
      <c r="D273" s="218" t="str">
        <f>IF($A273="","",IF($K273="DIESEL",SUMIFS(Table1[Quantity],Table1[Customer],$B273,Table1[Date],$A273,Table1[Bill No.],$C273),IF($K273="PETROL",SUMIFS(Table14[Quantity],Table14[Customer],$B273,Table14[Date],$A273,Table14[Bill No.],$C273),IF($K273="XtraGreen",SUMIFS(Table146[Quantity],Table146[Company],$B273,Table146[Date],$A273,Table146[Bill No.],$C273),""))))</f>
        <v/>
      </c>
      <c r="E273" s="219" t="str">
        <f>IF($A273="","",IF($K273="DIESEL",AVERAGEIFS(Table1[RSP],Table1[Customer],$B273,Table1[Date],$A273,Table1[Bill No.],$C273),IF($K273="PETROL",AVERAGEIFS(Table14[RSP],Table14[Customer],$B273,Table14[Date],$A273,Table14[Bill No.],$C273),IF($K273="XtraGreen",AVERAGEIFS(Table146[RSP],Table146[Company],$B273,Table146[Date],$A273,Table146[Bill No.],$C273),IFERROR($F273/$D273,"")))))</f>
        <v/>
      </c>
      <c r="F273" s="330" t="str">
        <f>IF($A273="","",IF($K273="DIESEL",SUMIFS(Table1[Amount],Table1[Customer],$B273,Table1[Date],$A273,Table1[Bill No.],$C273),IF($K273="PETROL",SUMIFS(Table14[Amount],Table14[Customer],$B273,Table14[Date],$A273,Table14[Bill No.],$C273),IF($K273="XtraGreen",SUMIFS(Table146[Amount],Table146[Company],$B273,Table146[Date],$A273,Table146[Bill No.],$C273),SUMIFS('Other Sale'!$D:$D,'Other Sale'!$E:$E,$B273,'Other Sale'!$C:$C,$K273,'Other Sale'!$A:$A,$A273)))))</f>
        <v/>
      </c>
      <c r="G273" s="330" t="str" cm="1">
        <f t="array" ref="G273">IF($A273="","",IF($K273="Payment",IFERROR(INDEX(_xlfn._xlws.FILTER(MasterPaid[Amount Paid],(MasterPaid[Customer]=$B273)*(MasterPaid[Date]=$A273)),COUNTIFS($A$6:$A273,$A273,$B$6:$B273,$B273,$K$6:$K273,"Payment")),0),0))</f>
        <v/>
      </c>
      <c r="H273" s="331"/>
      <c r="I273" s="331"/>
      <c r="J273" s="330" t="str">
        <f t="shared" si="4"/>
        <v/>
      </c>
      <c r="K273" s="289" t="str" cm="1">
        <f t="array" ref="K273">IFERROR(INDEX(_xlfn.ANCHORARRAY($Q$6),ROW()-5,4),"")</f>
        <v/>
      </c>
      <c r="L273" s="290"/>
      <c r="U273">
        <f>IF(OR($A273="",$F273=""),0,MAX(0,MIN($F273,SUMIFS($F$6:$F273,$B$6:$B273,$B273)-(SUMIFS($G$6:$G$355,$B$6:$B$355,$B273)+SUMIFS($H$6:$H$355,$B$6:$B$355,$B273)+SUMIFS($I$6:$I$355,$B$6:$B$355,$B273)))))</f>
        <v>0</v>
      </c>
    </row>
    <row r="274" spans="1:21" ht="23" x14ac:dyDescent="0.25">
      <c r="A274" s="217" t="str" cm="1">
        <f t="array" ref="A274">IFERROR(INDEX(_xlfn.ANCHORARRAY($Q$6),ROW()-5,1),"")</f>
        <v/>
      </c>
      <c r="B274" s="288" t="str" cm="1">
        <f t="array" ref="B274">IFERROR(INDEX(_xlfn.ANCHORARRAY($Q$6),ROW()-5,2),"")</f>
        <v/>
      </c>
      <c r="C274" s="289" t="str" cm="1">
        <f t="array" ref="C274">IFERROR(INDEX(_xlfn.ANCHORARRAY($Q$6),ROW()-5,3),"")</f>
        <v/>
      </c>
      <c r="D274" s="218" t="str">
        <f>IF($A274="","",IF($K274="DIESEL",SUMIFS(Table1[Quantity],Table1[Customer],$B274,Table1[Date],$A274,Table1[Bill No.],$C274),IF($K274="PETROL",SUMIFS(Table14[Quantity],Table14[Customer],$B274,Table14[Date],$A274,Table14[Bill No.],$C274),IF($K274="XtraGreen",SUMIFS(Table146[Quantity],Table146[Company],$B274,Table146[Date],$A274,Table146[Bill No.],$C274),""))))</f>
        <v/>
      </c>
      <c r="E274" s="219" t="str">
        <f>IF($A274="","",IF($K274="DIESEL",AVERAGEIFS(Table1[RSP],Table1[Customer],$B274,Table1[Date],$A274,Table1[Bill No.],$C274),IF($K274="PETROL",AVERAGEIFS(Table14[RSP],Table14[Customer],$B274,Table14[Date],$A274,Table14[Bill No.],$C274),IF($K274="XtraGreen",AVERAGEIFS(Table146[RSP],Table146[Company],$B274,Table146[Date],$A274,Table146[Bill No.],$C274),IFERROR($F274/$D274,"")))))</f>
        <v/>
      </c>
      <c r="F274" s="330" t="str">
        <f>IF($A274="","",IF($K274="DIESEL",SUMIFS(Table1[Amount],Table1[Customer],$B274,Table1[Date],$A274,Table1[Bill No.],$C274),IF($K274="PETROL",SUMIFS(Table14[Amount],Table14[Customer],$B274,Table14[Date],$A274,Table14[Bill No.],$C274),IF($K274="XtraGreen",SUMIFS(Table146[Amount],Table146[Company],$B274,Table146[Date],$A274,Table146[Bill No.],$C274),SUMIFS('Other Sale'!$D:$D,'Other Sale'!$E:$E,$B274,'Other Sale'!$C:$C,$K274,'Other Sale'!$A:$A,$A274)))))</f>
        <v/>
      </c>
      <c r="G274" s="330" t="str" cm="1">
        <f t="array" ref="G274">IF($A274="","",IF($K274="Payment",IFERROR(INDEX(_xlfn._xlws.FILTER(MasterPaid[Amount Paid],(MasterPaid[Customer]=$B274)*(MasterPaid[Date]=$A274)),COUNTIFS($A$6:$A274,$A274,$B$6:$B274,$B274,$K$6:$K274,"Payment")),0),0))</f>
        <v/>
      </c>
      <c r="H274" s="331"/>
      <c r="I274" s="331"/>
      <c r="J274" s="330" t="str">
        <f t="shared" si="4"/>
        <v/>
      </c>
      <c r="K274" s="289" t="str" cm="1">
        <f t="array" ref="K274">IFERROR(INDEX(_xlfn.ANCHORARRAY($Q$6),ROW()-5,4),"")</f>
        <v/>
      </c>
      <c r="L274" s="290"/>
      <c r="U274">
        <f>IF(OR($A274="",$F274=""),0,MAX(0,MIN($F274,SUMIFS($F$6:$F274,$B$6:$B274,$B274)-(SUMIFS($G$6:$G$355,$B$6:$B$355,$B274)+SUMIFS($H$6:$H$355,$B$6:$B$355,$B274)+SUMIFS($I$6:$I$355,$B$6:$B$355,$B274)))))</f>
        <v>0</v>
      </c>
    </row>
    <row r="275" spans="1:21" ht="23" x14ac:dyDescent="0.25">
      <c r="A275" s="217" t="str" cm="1">
        <f t="array" ref="A275">IFERROR(INDEX(_xlfn.ANCHORARRAY($Q$6),ROW()-5,1),"")</f>
        <v/>
      </c>
      <c r="B275" s="288" t="str" cm="1">
        <f t="array" ref="B275">IFERROR(INDEX(_xlfn.ANCHORARRAY($Q$6),ROW()-5,2),"")</f>
        <v/>
      </c>
      <c r="C275" s="289" t="str" cm="1">
        <f t="array" ref="C275">IFERROR(INDEX(_xlfn.ANCHORARRAY($Q$6),ROW()-5,3),"")</f>
        <v/>
      </c>
      <c r="D275" s="218" t="str">
        <f>IF($A275="","",IF($K275="DIESEL",SUMIFS(Table1[Quantity],Table1[Customer],$B275,Table1[Date],$A275,Table1[Bill No.],$C275),IF($K275="PETROL",SUMIFS(Table14[Quantity],Table14[Customer],$B275,Table14[Date],$A275,Table14[Bill No.],$C275),IF($K275="XtraGreen",SUMIFS(Table146[Quantity],Table146[Company],$B275,Table146[Date],$A275,Table146[Bill No.],$C275),""))))</f>
        <v/>
      </c>
      <c r="E275" s="219" t="str">
        <f>IF($A275="","",IF($K275="DIESEL",AVERAGEIFS(Table1[RSP],Table1[Customer],$B275,Table1[Date],$A275,Table1[Bill No.],$C275),IF($K275="PETROL",AVERAGEIFS(Table14[RSP],Table14[Customer],$B275,Table14[Date],$A275,Table14[Bill No.],$C275),IF($K275="XtraGreen",AVERAGEIFS(Table146[RSP],Table146[Company],$B275,Table146[Date],$A275,Table146[Bill No.],$C275),IFERROR($F275/$D275,"")))))</f>
        <v/>
      </c>
      <c r="F275" s="330" t="str">
        <f>IF($A275="","",IF($K275="DIESEL",SUMIFS(Table1[Amount],Table1[Customer],$B275,Table1[Date],$A275,Table1[Bill No.],$C275),IF($K275="PETROL",SUMIFS(Table14[Amount],Table14[Customer],$B275,Table14[Date],$A275,Table14[Bill No.],$C275),IF($K275="XtraGreen",SUMIFS(Table146[Amount],Table146[Company],$B275,Table146[Date],$A275,Table146[Bill No.],$C275),SUMIFS('Other Sale'!$D:$D,'Other Sale'!$E:$E,$B275,'Other Sale'!$C:$C,$K275,'Other Sale'!$A:$A,$A275)))))</f>
        <v/>
      </c>
      <c r="G275" s="330" t="str" cm="1">
        <f t="array" ref="G275">IF($A275="","",IF($K275="Payment",IFERROR(INDEX(_xlfn._xlws.FILTER(MasterPaid[Amount Paid],(MasterPaid[Customer]=$B275)*(MasterPaid[Date]=$A275)),COUNTIFS($A$6:$A275,$A275,$B$6:$B275,$B275,$K$6:$K275,"Payment")),0),0))</f>
        <v/>
      </c>
      <c r="H275" s="331"/>
      <c r="I275" s="331"/>
      <c r="J275" s="330" t="str">
        <f t="shared" si="4"/>
        <v/>
      </c>
      <c r="K275" s="289" t="str" cm="1">
        <f t="array" ref="K275">IFERROR(INDEX(_xlfn.ANCHORARRAY($Q$6),ROW()-5,4),"")</f>
        <v/>
      </c>
      <c r="L275" s="290"/>
      <c r="U275">
        <f>IF(OR($A275="",$F275=""),0,MAX(0,MIN($F275,SUMIFS($F$6:$F275,$B$6:$B275,$B275)-(SUMIFS($G$6:$G$355,$B$6:$B$355,$B275)+SUMIFS($H$6:$H$355,$B$6:$B$355,$B275)+SUMIFS($I$6:$I$355,$B$6:$B$355,$B275)))))</f>
        <v>0</v>
      </c>
    </row>
    <row r="276" spans="1:21" ht="23" x14ac:dyDescent="0.25">
      <c r="A276" s="217" t="str" cm="1">
        <f t="array" ref="A276">IFERROR(INDEX(_xlfn.ANCHORARRAY($Q$6),ROW()-5,1),"")</f>
        <v/>
      </c>
      <c r="B276" s="288" t="str" cm="1">
        <f t="array" ref="B276">IFERROR(INDEX(_xlfn.ANCHORARRAY($Q$6),ROW()-5,2),"")</f>
        <v/>
      </c>
      <c r="C276" s="289" t="str" cm="1">
        <f t="array" ref="C276">IFERROR(INDEX(_xlfn.ANCHORARRAY($Q$6),ROW()-5,3),"")</f>
        <v/>
      </c>
      <c r="D276" s="218" t="str">
        <f>IF($A276="","",IF($K276="DIESEL",SUMIFS(Table1[Quantity],Table1[Customer],$B276,Table1[Date],$A276,Table1[Bill No.],$C276),IF($K276="PETROL",SUMIFS(Table14[Quantity],Table14[Customer],$B276,Table14[Date],$A276,Table14[Bill No.],$C276),IF($K276="XtraGreen",SUMIFS(Table146[Quantity],Table146[Company],$B276,Table146[Date],$A276,Table146[Bill No.],$C276),""))))</f>
        <v/>
      </c>
      <c r="E276" s="219" t="str">
        <f>IF($A276="","",IF($K276="DIESEL",AVERAGEIFS(Table1[RSP],Table1[Customer],$B276,Table1[Date],$A276,Table1[Bill No.],$C276),IF($K276="PETROL",AVERAGEIFS(Table14[RSP],Table14[Customer],$B276,Table14[Date],$A276,Table14[Bill No.],$C276),IF($K276="XtraGreen",AVERAGEIFS(Table146[RSP],Table146[Company],$B276,Table146[Date],$A276,Table146[Bill No.],$C276),IFERROR($F276/$D276,"")))))</f>
        <v/>
      </c>
      <c r="F276" s="330" t="str">
        <f>IF($A276="","",IF($K276="DIESEL",SUMIFS(Table1[Amount],Table1[Customer],$B276,Table1[Date],$A276,Table1[Bill No.],$C276),IF($K276="PETROL",SUMIFS(Table14[Amount],Table14[Customer],$B276,Table14[Date],$A276,Table14[Bill No.],$C276),IF($K276="XtraGreen",SUMIFS(Table146[Amount],Table146[Company],$B276,Table146[Date],$A276,Table146[Bill No.],$C276),SUMIFS('Other Sale'!$D:$D,'Other Sale'!$E:$E,$B276,'Other Sale'!$C:$C,$K276,'Other Sale'!$A:$A,$A276)))))</f>
        <v/>
      </c>
      <c r="G276" s="330" t="str" cm="1">
        <f t="array" ref="G276">IF($A276="","",IF($K276="Payment",IFERROR(INDEX(_xlfn._xlws.FILTER(MasterPaid[Amount Paid],(MasterPaid[Customer]=$B276)*(MasterPaid[Date]=$A276)),COUNTIFS($A$6:$A276,$A276,$B$6:$B276,$B276,$K$6:$K276,"Payment")),0),0))</f>
        <v/>
      </c>
      <c r="H276" s="331"/>
      <c r="I276" s="331"/>
      <c r="J276" s="330" t="str">
        <f t="shared" si="4"/>
        <v/>
      </c>
      <c r="K276" s="289" t="str" cm="1">
        <f t="array" ref="K276">IFERROR(INDEX(_xlfn.ANCHORARRAY($Q$6),ROW()-5,4),"")</f>
        <v/>
      </c>
      <c r="L276" s="290"/>
      <c r="U276">
        <f>IF(OR($A276="",$F276=""),0,MAX(0,MIN($F276,SUMIFS($F$6:$F276,$B$6:$B276,$B276)-(SUMIFS($G$6:$G$355,$B$6:$B$355,$B276)+SUMIFS($H$6:$H$355,$B$6:$B$355,$B276)+SUMIFS($I$6:$I$355,$B$6:$B$355,$B276)))))</f>
        <v>0</v>
      </c>
    </row>
    <row r="277" spans="1:21" ht="23" x14ac:dyDescent="0.25">
      <c r="A277" s="217" t="str" cm="1">
        <f t="array" ref="A277">IFERROR(INDEX(_xlfn.ANCHORARRAY($Q$6),ROW()-5,1),"")</f>
        <v/>
      </c>
      <c r="B277" s="288" t="str" cm="1">
        <f t="array" ref="B277">IFERROR(INDEX(_xlfn.ANCHORARRAY($Q$6),ROW()-5,2),"")</f>
        <v/>
      </c>
      <c r="C277" s="289" t="str" cm="1">
        <f t="array" ref="C277">IFERROR(INDEX(_xlfn.ANCHORARRAY($Q$6),ROW()-5,3),"")</f>
        <v/>
      </c>
      <c r="D277" s="218" t="str">
        <f>IF($A277="","",IF($K277="DIESEL",SUMIFS(Table1[Quantity],Table1[Customer],$B277,Table1[Date],$A277,Table1[Bill No.],$C277),IF($K277="PETROL",SUMIFS(Table14[Quantity],Table14[Customer],$B277,Table14[Date],$A277,Table14[Bill No.],$C277),IF($K277="XtraGreen",SUMIFS(Table146[Quantity],Table146[Company],$B277,Table146[Date],$A277,Table146[Bill No.],$C277),""))))</f>
        <v/>
      </c>
      <c r="E277" s="219" t="str">
        <f>IF($A277="","",IF($K277="DIESEL",AVERAGEIFS(Table1[RSP],Table1[Customer],$B277,Table1[Date],$A277,Table1[Bill No.],$C277),IF($K277="PETROL",AVERAGEIFS(Table14[RSP],Table14[Customer],$B277,Table14[Date],$A277,Table14[Bill No.],$C277),IF($K277="XtraGreen",AVERAGEIFS(Table146[RSP],Table146[Company],$B277,Table146[Date],$A277,Table146[Bill No.],$C277),IFERROR($F277/$D277,"")))))</f>
        <v/>
      </c>
      <c r="F277" s="330" t="str">
        <f>IF($A277="","",IF($K277="DIESEL",SUMIFS(Table1[Amount],Table1[Customer],$B277,Table1[Date],$A277,Table1[Bill No.],$C277),IF($K277="PETROL",SUMIFS(Table14[Amount],Table14[Customer],$B277,Table14[Date],$A277,Table14[Bill No.],$C277),IF($K277="XtraGreen",SUMIFS(Table146[Amount],Table146[Company],$B277,Table146[Date],$A277,Table146[Bill No.],$C277),SUMIFS('Other Sale'!$D:$D,'Other Sale'!$E:$E,$B277,'Other Sale'!$C:$C,$K277,'Other Sale'!$A:$A,$A277)))))</f>
        <v/>
      </c>
      <c r="G277" s="330" t="str" cm="1">
        <f t="array" ref="G277">IF($A277="","",IF($K277="Payment",IFERROR(INDEX(_xlfn._xlws.FILTER(MasterPaid[Amount Paid],(MasterPaid[Customer]=$B277)*(MasterPaid[Date]=$A277)),COUNTIFS($A$6:$A277,$A277,$B$6:$B277,$B277,$K$6:$K277,"Payment")),0),0))</f>
        <v/>
      </c>
      <c r="H277" s="331"/>
      <c r="I277" s="331"/>
      <c r="J277" s="330" t="str">
        <f t="shared" si="4"/>
        <v/>
      </c>
      <c r="K277" s="289" t="str" cm="1">
        <f t="array" ref="K277">IFERROR(INDEX(_xlfn.ANCHORARRAY($Q$6),ROW()-5,4),"")</f>
        <v/>
      </c>
      <c r="L277" s="290"/>
      <c r="U277">
        <f>IF(OR($A277="",$F277=""),0,MAX(0,MIN($F277,SUMIFS($F$6:$F277,$B$6:$B277,$B277)-(SUMIFS($G$6:$G$355,$B$6:$B$355,$B277)+SUMIFS($H$6:$H$355,$B$6:$B$355,$B277)+SUMIFS($I$6:$I$355,$B$6:$B$355,$B277)))))</f>
        <v>0</v>
      </c>
    </row>
    <row r="278" spans="1:21" ht="23" x14ac:dyDescent="0.25">
      <c r="A278" s="217" t="str" cm="1">
        <f t="array" ref="A278">IFERROR(INDEX(_xlfn.ANCHORARRAY($Q$6),ROW()-5,1),"")</f>
        <v/>
      </c>
      <c r="B278" s="288" t="str" cm="1">
        <f t="array" ref="B278">IFERROR(INDEX(_xlfn.ANCHORARRAY($Q$6),ROW()-5,2),"")</f>
        <v/>
      </c>
      <c r="C278" s="289" t="str" cm="1">
        <f t="array" ref="C278">IFERROR(INDEX(_xlfn.ANCHORARRAY($Q$6),ROW()-5,3),"")</f>
        <v/>
      </c>
      <c r="D278" s="218" t="str">
        <f>IF($A278="","",IF($K278="DIESEL",SUMIFS(Table1[Quantity],Table1[Customer],$B278,Table1[Date],$A278,Table1[Bill No.],$C278),IF($K278="PETROL",SUMIFS(Table14[Quantity],Table14[Customer],$B278,Table14[Date],$A278,Table14[Bill No.],$C278),IF($K278="XtraGreen",SUMIFS(Table146[Quantity],Table146[Company],$B278,Table146[Date],$A278,Table146[Bill No.],$C278),""))))</f>
        <v/>
      </c>
      <c r="E278" s="219" t="str">
        <f>IF($A278="","",IF($K278="DIESEL",AVERAGEIFS(Table1[RSP],Table1[Customer],$B278,Table1[Date],$A278,Table1[Bill No.],$C278),IF($K278="PETROL",AVERAGEIFS(Table14[RSP],Table14[Customer],$B278,Table14[Date],$A278,Table14[Bill No.],$C278),IF($K278="XtraGreen",AVERAGEIFS(Table146[RSP],Table146[Company],$B278,Table146[Date],$A278,Table146[Bill No.],$C278),IFERROR($F278/$D278,"")))))</f>
        <v/>
      </c>
      <c r="F278" s="330" t="str">
        <f>IF($A278="","",IF($K278="DIESEL",SUMIFS(Table1[Amount],Table1[Customer],$B278,Table1[Date],$A278,Table1[Bill No.],$C278),IF($K278="PETROL",SUMIFS(Table14[Amount],Table14[Customer],$B278,Table14[Date],$A278,Table14[Bill No.],$C278),IF($K278="XtraGreen",SUMIFS(Table146[Amount],Table146[Company],$B278,Table146[Date],$A278,Table146[Bill No.],$C278),SUMIFS('Other Sale'!$D:$D,'Other Sale'!$E:$E,$B278,'Other Sale'!$C:$C,$K278,'Other Sale'!$A:$A,$A278)))))</f>
        <v/>
      </c>
      <c r="G278" s="330" t="str" cm="1">
        <f t="array" ref="G278">IF($A278="","",IF($K278="Payment",IFERROR(INDEX(_xlfn._xlws.FILTER(MasterPaid[Amount Paid],(MasterPaid[Customer]=$B278)*(MasterPaid[Date]=$A278)),COUNTIFS($A$6:$A278,$A278,$B$6:$B278,$B278,$K$6:$K278,"Payment")),0),0))</f>
        <v/>
      </c>
      <c r="H278" s="331"/>
      <c r="I278" s="331"/>
      <c r="J278" s="330" t="str">
        <f t="shared" si="4"/>
        <v/>
      </c>
      <c r="K278" s="289" t="str" cm="1">
        <f t="array" ref="K278">IFERROR(INDEX(_xlfn.ANCHORARRAY($Q$6),ROW()-5,4),"")</f>
        <v/>
      </c>
      <c r="L278" s="290"/>
      <c r="U278">
        <f>IF(OR($A278="",$F278=""),0,MAX(0,MIN($F278,SUMIFS($F$6:$F278,$B$6:$B278,$B278)-(SUMIFS($G$6:$G$355,$B$6:$B$355,$B278)+SUMIFS($H$6:$H$355,$B$6:$B$355,$B278)+SUMIFS($I$6:$I$355,$B$6:$B$355,$B278)))))</f>
        <v>0</v>
      </c>
    </row>
    <row r="279" spans="1:21" ht="23" x14ac:dyDescent="0.25">
      <c r="A279" s="217" t="str" cm="1">
        <f t="array" ref="A279">IFERROR(INDEX(_xlfn.ANCHORARRAY($Q$6),ROW()-5,1),"")</f>
        <v/>
      </c>
      <c r="B279" s="288" t="str" cm="1">
        <f t="array" ref="B279">IFERROR(INDEX(_xlfn.ANCHORARRAY($Q$6),ROW()-5,2),"")</f>
        <v/>
      </c>
      <c r="C279" s="289" t="str" cm="1">
        <f t="array" ref="C279">IFERROR(INDEX(_xlfn.ANCHORARRAY($Q$6),ROW()-5,3),"")</f>
        <v/>
      </c>
      <c r="D279" s="218" t="str">
        <f>IF($A279="","",IF($K279="DIESEL",SUMIFS(Table1[Quantity],Table1[Customer],$B279,Table1[Date],$A279,Table1[Bill No.],$C279),IF($K279="PETROL",SUMIFS(Table14[Quantity],Table14[Customer],$B279,Table14[Date],$A279,Table14[Bill No.],$C279),IF($K279="XtraGreen",SUMIFS(Table146[Quantity],Table146[Company],$B279,Table146[Date],$A279,Table146[Bill No.],$C279),""))))</f>
        <v/>
      </c>
      <c r="E279" s="219" t="str">
        <f>IF($A279="","",IF($K279="DIESEL",AVERAGEIFS(Table1[RSP],Table1[Customer],$B279,Table1[Date],$A279,Table1[Bill No.],$C279),IF($K279="PETROL",AVERAGEIFS(Table14[RSP],Table14[Customer],$B279,Table14[Date],$A279,Table14[Bill No.],$C279),IF($K279="XtraGreen",AVERAGEIFS(Table146[RSP],Table146[Company],$B279,Table146[Date],$A279,Table146[Bill No.],$C279),IFERROR($F279/$D279,"")))))</f>
        <v/>
      </c>
      <c r="F279" s="330" t="str">
        <f>IF($A279="","",IF($K279="DIESEL",SUMIFS(Table1[Amount],Table1[Customer],$B279,Table1[Date],$A279,Table1[Bill No.],$C279),IF($K279="PETROL",SUMIFS(Table14[Amount],Table14[Customer],$B279,Table14[Date],$A279,Table14[Bill No.],$C279),IF($K279="XtraGreen",SUMIFS(Table146[Amount],Table146[Company],$B279,Table146[Date],$A279,Table146[Bill No.],$C279),SUMIFS('Other Sale'!$D:$D,'Other Sale'!$E:$E,$B279,'Other Sale'!$C:$C,$K279,'Other Sale'!$A:$A,$A279)))))</f>
        <v/>
      </c>
      <c r="G279" s="330" t="str" cm="1">
        <f t="array" ref="G279">IF($A279="","",IF($K279="Payment",IFERROR(INDEX(_xlfn._xlws.FILTER(MasterPaid[Amount Paid],(MasterPaid[Customer]=$B279)*(MasterPaid[Date]=$A279)),COUNTIFS($A$6:$A279,$A279,$B$6:$B279,$B279,$K$6:$K279,"Payment")),0),0))</f>
        <v/>
      </c>
      <c r="H279" s="331"/>
      <c r="I279" s="331"/>
      <c r="J279" s="330" t="str">
        <f t="shared" si="4"/>
        <v/>
      </c>
      <c r="K279" s="289" t="str" cm="1">
        <f t="array" ref="K279">IFERROR(INDEX(_xlfn.ANCHORARRAY($Q$6),ROW()-5,4),"")</f>
        <v/>
      </c>
      <c r="L279" s="290"/>
      <c r="U279">
        <f>IF(OR($A279="",$F279=""),0,MAX(0,MIN($F279,SUMIFS($F$6:$F279,$B$6:$B279,$B279)-(SUMIFS($G$6:$G$355,$B$6:$B$355,$B279)+SUMIFS($H$6:$H$355,$B$6:$B$355,$B279)+SUMIFS($I$6:$I$355,$B$6:$B$355,$B279)))))</f>
        <v>0</v>
      </c>
    </row>
    <row r="280" spans="1:21" ht="23" x14ac:dyDescent="0.25">
      <c r="A280" s="217" t="str" cm="1">
        <f t="array" ref="A280">IFERROR(INDEX(_xlfn.ANCHORARRAY($Q$6),ROW()-5,1),"")</f>
        <v/>
      </c>
      <c r="B280" s="288" t="str" cm="1">
        <f t="array" ref="B280">IFERROR(INDEX(_xlfn.ANCHORARRAY($Q$6),ROW()-5,2),"")</f>
        <v/>
      </c>
      <c r="C280" s="289" t="str" cm="1">
        <f t="array" ref="C280">IFERROR(INDEX(_xlfn.ANCHORARRAY($Q$6),ROW()-5,3),"")</f>
        <v/>
      </c>
      <c r="D280" s="218" t="str">
        <f>IF($A280="","",IF($K280="DIESEL",SUMIFS(Table1[Quantity],Table1[Customer],$B280,Table1[Date],$A280,Table1[Bill No.],$C280),IF($K280="PETROL",SUMIFS(Table14[Quantity],Table14[Customer],$B280,Table14[Date],$A280,Table14[Bill No.],$C280),IF($K280="XtraGreen",SUMIFS(Table146[Quantity],Table146[Company],$B280,Table146[Date],$A280,Table146[Bill No.],$C280),""))))</f>
        <v/>
      </c>
      <c r="E280" s="219" t="str">
        <f>IF($A280="","",IF($K280="DIESEL",AVERAGEIFS(Table1[RSP],Table1[Customer],$B280,Table1[Date],$A280,Table1[Bill No.],$C280),IF($K280="PETROL",AVERAGEIFS(Table14[RSP],Table14[Customer],$B280,Table14[Date],$A280,Table14[Bill No.],$C280),IF($K280="XtraGreen",AVERAGEIFS(Table146[RSP],Table146[Company],$B280,Table146[Date],$A280,Table146[Bill No.],$C280),IFERROR($F280/$D280,"")))))</f>
        <v/>
      </c>
      <c r="F280" s="330" t="str">
        <f>IF($A280="","",IF($K280="DIESEL",SUMIFS(Table1[Amount],Table1[Customer],$B280,Table1[Date],$A280,Table1[Bill No.],$C280),IF($K280="PETROL",SUMIFS(Table14[Amount],Table14[Customer],$B280,Table14[Date],$A280,Table14[Bill No.],$C280),IF($K280="XtraGreen",SUMIFS(Table146[Amount],Table146[Company],$B280,Table146[Date],$A280,Table146[Bill No.],$C280),SUMIFS('Other Sale'!$D:$D,'Other Sale'!$E:$E,$B280,'Other Sale'!$C:$C,$K280,'Other Sale'!$A:$A,$A280)))))</f>
        <v/>
      </c>
      <c r="G280" s="330" t="str" cm="1">
        <f t="array" ref="G280">IF($A280="","",IF($K280="Payment",IFERROR(INDEX(_xlfn._xlws.FILTER(MasterPaid[Amount Paid],(MasterPaid[Customer]=$B280)*(MasterPaid[Date]=$A280)),COUNTIFS($A$6:$A280,$A280,$B$6:$B280,$B280,$K$6:$K280,"Payment")),0),0))</f>
        <v/>
      </c>
      <c r="H280" s="331"/>
      <c r="I280" s="331"/>
      <c r="J280" s="330" t="str">
        <f t="shared" si="4"/>
        <v/>
      </c>
      <c r="K280" s="289" t="str" cm="1">
        <f t="array" ref="K280">IFERROR(INDEX(_xlfn.ANCHORARRAY($Q$6),ROW()-5,4),"")</f>
        <v/>
      </c>
      <c r="L280" s="290"/>
      <c r="U280">
        <f>IF(OR($A280="",$F280=""),0,MAX(0,MIN($F280,SUMIFS($F$6:$F280,$B$6:$B280,$B280)-(SUMIFS($G$6:$G$355,$B$6:$B$355,$B280)+SUMIFS($H$6:$H$355,$B$6:$B$355,$B280)+SUMIFS($I$6:$I$355,$B$6:$B$355,$B280)))))</f>
        <v>0</v>
      </c>
    </row>
    <row r="281" spans="1:21" ht="23" x14ac:dyDescent="0.25">
      <c r="A281" s="217" t="str" cm="1">
        <f t="array" ref="A281">IFERROR(INDEX(_xlfn.ANCHORARRAY($Q$6),ROW()-5,1),"")</f>
        <v/>
      </c>
      <c r="B281" s="288" t="str" cm="1">
        <f t="array" ref="B281">IFERROR(INDEX(_xlfn.ANCHORARRAY($Q$6),ROW()-5,2),"")</f>
        <v/>
      </c>
      <c r="C281" s="289" t="str" cm="1">
        <f t="array" ref="C281">IFERROR(INDEX(_xlfn.ANCHORARRAY($Q$6),ROW()-5,3),"")</f>
        <v/>
      </c>
      <c r="D281" s="218" t="str">
        <f>IF($A281="","",IF($K281="DIESEL",SUMIFS(Table1[Quantity],Table1[Customer],$B281,Table1[Date],$A281,Table1[Bill No.],$C281),IF($K281="PETROL",SUMIFS(Table14[Quantity],Table14[Customer],$B281,Table14[Date],$A281,Table14[Bill No.],$C281),IF($K281="XtraGreen",SUMIFS(Table146[Quantity],Table146[Company],$B281,Table146[Date],$A281,Table146[Bill No.],$C281),""))))</f>
        <v/>
      </c>
      <c r="E281" s="219" t="str">
        <f>IF($A281="","",IF($K281="DIESEL",AVERAGEIFS(Table1[RSP],Table1[Customer],$B281,Table1[Date],$A281,Table1[Bill No.],$C281),IF($K281="PETROL",AVERAGEIFS(Table14[RSP],Table14[Customer],$B281,Table14[Date],$A281,Table14[Bill No.],$C281),IF($K281="XtraGreen",AVERAGEIFS(Table146[RSP],Table146[Company],$B281,Table146[Date],$A281,Table146[Bill No.],$C281),IFERROR($F281/$D281,"")))))</f>
        <v/>
      </c>
      <c r="F281" s="330" t="str">
        <f>IF($A281="","",IF($K281="DIESEL",SUMIFS(Table1[Amount],Table1[Customer],$B281,Table1[Date],$A281,Table1[Bill No.],$C281),IF($K281="PETROL",SUMIFS(Table14[Amount],Table14[Customer],$B281,Table14[Date],$A281,Table14[Bill No.],$C281),IF($K281="XtraGreen",SUMIFS(Table146[Amount],Table146[Company],$B281,Table146[Date],$A281,Table146[Bill No.],$C281),SUMIFS('Other Sale'!$D:$D,'Other Sale'!$E:$E,$B281,'Other Sale'!$C:$C,$K281,'Other Sale'!$A:$A,$A281)))))</f>
        <v/>
      </c>
      <c r="G281" s="330" t="str" cm="1">
        <f t="array" ref="G281">IF($A281="","",IF($K281="Payment",IFERROR(INDEX(_xlfn._xlws.FILTER(MasterPaid[Amount Paid],(MasterPaid[Customer]=$B281)*(MasterPaid[Date]=$A281)),COUNTIFS($A$6:$A281,$A281,$B$6:$B281,$B281,$K$6:$K281,"Payment")),0),0))</f>
        <v/>
      </c>
      <c r="H281" s="331"/>
      <c r="I281" s="331"/>
      <c r="J281" s="330" t="str">
        <f t="shared" si="4"/>
        <v/>
      </c>
      <c r="K281" s="289" t="str" cm="1">
        <f t="array" ref="K281">IFERROR(INDEX(_xlfn.ANCHORARRAY($Q$6),ROW()-5,4),"")</f>
        <v/>
      </c>
      <c r="L281" s="290"/>
      <c r="U281">
        <f>IF(OR($A281="",$F281=""),0,MAX(0,MIN($F281,SUMIFS($F$6:$F281,$B$6:$B281,$B281)-(SUMIFS($G$6:$G$355,$B$6:$B$355,$B281)+SUMIFS($H$6:$H$355,$B$6:$B$355,$B281)+SUMIFS($I$6:$I$355,$B$6:$B$355,$B281)))))</f>
        <v>0</v>
      </c>
    </row>
    <row r="282" spans="1:21" ht="23" x14ac:dyDescent="0.25">
      <c r="A282" s="217" t="str" cm="1">
        <f t="array" ref="A282">IFERROR(INDEX(_xlfn.ANCHORARRAY($Q$6),ROW()-5,1),"")</f>
        <v/>
      </c>
      <c r="B282" s="288" t="str" cm="1">
        <f t="array" ref="B282">IFERROR(INDEX(_xlfn.ANCHORARRAY($Q$6),ROW()-5,2),"")</f>
        <v/>
      </c>
      <c r="C282" s="289" t="str" cm="1">
        <f t="array" ref="C282">IFERROR(INDEX(_xlfn.ANCHORARRAY($Q$6),ROW()-5,3),"")</f>
        <v/>
      </c>
      <c r="D282" s="218" t="str">
        <f>IF($A282="","",IF($K282="DIESEL",SUMIFS(Table1[Quantity],Table1[Customer],$B282,Table1[Date],$A282,Table1[Bill No.],$C282),IF($K282="PETROL",SUMIFS(Table14[Quantity],Table14[Customer],$B282,Table14[Date],$A282,Table14[Bill No.],$C282),IF($K282="XtraGreen",SUMIFS(Table146[Quantity],Table146[Company],$B282,Table146[Date],$A282,Table146[Bill No.],$C282),""))))</f>
        <v/>
      </c>
      <c r="E282" s="219" t="str">
        <f>IF($A282="","",IF($K282="DIESEL",AVERAGEIFS(Table1[RSP],Table1[Customer],$B282,Table1[Date],$A282,Table1[Bill No.],$C282),IF($K282="PETROL",AVERAGEIFS(Table14[RSP],Table14[Customer],$B282,Table14[Date],$A282,Table14[Bill No.],$C282),IF($K282="XtraGreen",AVERAGEIFS(Table146[RSP],Table146[Company],$B282,Table146[Date],$A282,Table146[Bill No.],$C282),IFERROR($F282/$D282,"")))))</f>
        <v/>
      </c>
      <c r="F282" s="330" t="str">
        <f>IF($A282="","",IF($K282="DIESEL",SUMIFS(Table1[Amount],Table1[Customer],$B282,Table1[Date],$A282,Table1[Bill No.],$C282),IF($K282="PETROL",SUMIFS(Table14[Amount],Table14[Customer],$B282,Table14[Date],$A282,Table14[Bill No.],$C282),IF($K282="XtraGreen",SUMIFS(Table146[Amount],Table146[Company],$B282,Table146[Date],$A282,Table146[Bill No.],$C282),SUMIFS('Other Sale'!$D:$D,'Other Sale'!$E:$E,$B282,'Other Sale'!$C:$C,$K282,'Other Sale'!$A:$A,$A282)))))</f>
        <v/>
      </c>
      <c r="G282" s="330" t="str" cm="1">
        <f t="array" ref="G282">IF($A282="","",IF($K282="Payment",IFERROR(INDEX(_xlfn._xlws.FILTER(MasterPaid[Amount Paid],(MasterPaid[Customer]=$B282)*(MasterPaid[Date]=$A282)),COUNTIFS($A$6:$A282,$A282,$B$6:$B282,$B282,$K$6:$K282,"Payment")),0),0))</f>
        <v/>
      </c>
      <c r="H282" s="331"/>
      <c r="I282" s="331"/>
      <c r="J282" s="330" t="str">
        <f t="shared" si="4"/>
        <v/>
      </c>
      <c r="K282" s="289" t="str" cm="1">
        <f t="array" ref="K282">IFERROR(INDEX(_xlfn.ANCHORARRAY($Q$6),ROW()-5,4),"")</f>
        <v/>
      </c>
      <c r="L282" s="290"/>
      <c r="U282">
        <f>IF(OR($A282="",$F282=""),0,MAX(0,MIN($F282,SUMIFS($F$6:$F282,$B$6:$B282,$B282)-(SUMIFS($G$6:$G$355,$B$6:$B$355,$B282)+SUMIFS($H$6:$H$355,$B$6:$B$355,$B282)+SUMIFS($I$6:$I$355,$B$6:$B$355,$B282)))))</f>
        <v>0</v>
      </c>
    </row>
    <row r="283" spans="1:21" ht="23" x14ac:dyDescent="0.25">
      <c r="A283" s="217" t="str" cm="1">
        <f t="array" ref="A283">IFERROR(INDEX(_xlfn.ANCHORARRAY($Q$6),ROW()-5,1),"")</f>
        <v/>
      </c>
      <c r="B283" s="288" t="str" cm="1">
        <f t="array" ref="B283">IFERROR(INDEX(_xlfn.ANCHORARRAY($Q$6),ROW()-5,2),"")</f>
        <v/>
      </c>
      <c r="C283" s="289" t="str" cm="1">
        <f t="array" ref="C283">IFERROR(INDEX(_xlfn.ANCHORARRAY($Q$6),ROW()-5,3),"")</f>
        <v/>
      </c>
      <c r="D283" s="218" t="str">
        <f>IF($A283="","",IF($K283="DIESEL",SUMIFS(Table1[Quantity],Table1[Customer],$B283,Table1[Date],$A283,Table1[Bill No.],$C283),IF($K283="PETROL",SUMIFS(Table14[Quantity],Table14[Customer],$B283,Table14[Date],$A283,Table14[Bill No.],$C283),IF($K283="XtraGreen",SUMIFS(Table146[Quantity],Table146[Company],$B283,Table146[Date],$A283,Table146[Bill No.],$C283),""))))</f>
        <v/>
      </c>
      <c r="E283" s="219" t="str">
        <f>IF($A283="","",IF($K283="DIESEL",AVERAGEIFS(Table1[RSP],Table1[Customer],$B283,Table1[Date],$A283,Table1[Bill No.],$C283),IF($K283="PETROL",AVERAGEIFS(Table14[RSP],Table14[Customer],$B283,Table14[Date],$A283,Table14[Bill No.],$C283),IF($K283="XtraGreen",AVERAGEIFS(Table146[RSP],Table146[Company],$B283,Table146[Date],$A283,Table146[Bill No.],$C283),IFERROR($F283/$D283,"")))))</f>
        <v/>
      </c>
      <c r="F283" s="330" t="str">
        <f>IF($A283="","",IF($K283="DIESEL",SUMIFS(Table1[Amount],Table1[Customer],$B283,Table1[Date],$A283,Table1[Bill No.],$C283),IF($K283="PETROL",SUMIFS(Table14[Amount],Table14[Customer],$B283,Table14[Date],$A283,Table14[Bill No.],$C283),IF($K283="XtraGreen",SUMIFS(Table146[Amount],Table146[Company],$B283,Table146[Date],$A283,Table146[Bill No.],$C283),SUMIFS('Other Sale'!$D:$D,'Other Sale'!$E:$E,$B283,'Other Sale'!$C:$C,$K283,'Other Sale'!$A:$A,$A283)))))</f>
        <v/>
      </c>
      <c r="G283" s="330" t="str" cm="1">
        <f t="array" ref="G283">IF($A283="","",IF($K283="Payment",IFERROR(INDEX(_xlfn._xlws.FILTER(MasterPaid[Amount Paid],(MasterPaid[Customer]=$B283)*(MasterPaid[Date]=$A283)),COUNTIFS($A$6:$A283,$A283,$B$6:$B283,$B283,$K$6:$K283,"Payment")),0),0))</f>
        <v/>
      </c>
      <c r="H283" s="331"/>
      <c r="I283" s="331"/>
      <c r="J283" s="330" t="str">
        <f t="shared" si="4"/>
        <v/>
      </c>
      <c r="K283" s="289" t="str" cm="1">
        <f t="array" ref="K283">IFERROR(INDEX(_xlfn.ANCHORARRAY($Q$6),ROW()-5,4),"")</f>
        <v/>
      </c>
      <c r="L283" s="290"/>
      <c r="U283">
        <f>IF(OR($A283="",$F283=""),0,MAX(0,MIN($F283,SUMIFS($F$6:$F283,$B$6:$B283,$B283)-(SUMIFS($G$6:$G$355,$B$6:$B$355,$B283)+SUMIFS($H$6:$H$355,$B$6:$B$355,$B283)+SUMIFS($I$6:$I$355,$B$6:$B$355,$B283)))))</f>
        <v>0</v>
      </c>
    </row>
    <row r="284" spans="1:21" ht="23" x14ac:dyDescent="0.25">
      <c r="A284" s="217" t="str" cm="1">
        <f t="array" ref="A284">IFERROR(INDEX(_xlfn.ANCHORARRAY($Q$6),ROW()-5,1),"")</f>
        <v/>
      </c>
      <c r="B284" s="288" t="str" cm="1">
        <f t="array" ref="B284">IFERROR(INDEX(_xlfn.ANCHORARRAY($Q$6),ROW()-5,2),"")</f>
        <v/>
      </c>
      <c r="C284" s="289" t="str" cm="1">
        <f t="array" ref="C284">IFERROR(INDEX(_xlfn.ANCHORARRAY($Q$6),ROW()-5,3),"")</f>
        <v/>
      </c>
      <c r="D284" s="218" t="str">
        <f>IF($A284="","",IF($K284="DIESEL",SUMIFS(Table1[Quantity],Table1[Customer],$B284,Table1[Date],$A284,Table1[Bill No.],$C284),IF($K284="PETROL",SUMIFS(Table14[Quantity],Table14[Customer],$B284,Table14[Date],$A284,Table14[Bill No.],$C284),IF($K284="XtraGreen",SUMIFS(Table146[Quantity],Table146[Company],$B284,Table146[Date],$A284,Table146[Bill No.],$C284),""))))</f>
        <v/>
      </c>
      <c r="E284" s="219" t="str">
        <f>IF($A284="","",IF($K284="DIESEL",AVERAGEIFS(Table1[RSP],Table1[Customer],$B284,Table1[Date],$A284,Table1[Bill No.],$C284),IF($K284="PETROL",AVERAGEIFS(Table14[RSP],Table14[Customer],$B284,Table14[Date],$A284,Table14[Bill No.],$C284),IF($K284="XtraGreen",AVERAGEIFS(Table146[RSP],Table146[Company],$B284,Table146[Date],$A284,Table146[Bill No.],$C284),IFERROR($F284/$D284,"")))))</f>
        <v/>
      </c>
      <c r="F284" s="330" t="str">
        <f>IF($A284="","",IF($K284="DIESEL",SUMIFS(Table1[Amount],Table1[Customer],$B284,Table1[Date],$A284,Table1[Bill No.],$C284),IF($K284="PETROL",SUMIFS(Table14[Amount],Table14[Customer],$B284,Table14[Date],$A284,Table14[Bill No.],$C284),IF($K284="XtraGreen",SUMIFS(Table146[Amount],Table146[Company],$B284,Table146[Date],$A284,Table146[Bill No.],$C284),SUMIFS('Other Sale'!$D:$D,'Other Sale'!$E:$E,$B284,'Other Sale'!$C:$C,$K284,'Other Sale'!$A:$A,$A284)))))</f>
        <v/>
      </c>
      <c r="G284" s="330" t="str" cm="1">
        <f t="array" ref="G284">IF($A284="","",IF($K284="Payment",IFERROR(INDEX(_xlfn._xlws.FILTER(MasterPaid[Amount Paid],(MasterPaid[Customer]=$B284)*(MasterPaid[Date]=$A284)),COUNTIFS($A$6:$A284,$A284,$B$6:$B284,$B284,$K$6:$K284,"Payment")),0),0))</f>
        <v/>
      </c>
      <c r="H284" s="331"/>
      <c r="I284" s="331"/>
      <c r="J284" s="330" t="str">
        <f t="shared" si="4"/>
        <v/>
      </c>
      <c r="K284" s="289" t="str" cm="1">
        <f t="array" ref="K284">IFERROR(INDEX(_xlfn.ANCHORARRAY($Q$6),ROW()-5,4),"")</f>
        <v/>
      </c>
      <c r="L284" s="290"/>
      <c r="U284">
        <f>IF(OR($A284="",$F284=""),0,MAX(0,MIN($F284,SUMIFS($F$6:$F284,$B$6:$B284,$B284)-(SUMIFS($G$6:$G$355,$B$6:$B$355,$B284)+SUMIFS($H$6:$H$355,$B$6:$B$355,$B284)+SUMIFS($I$6:$I$355,$B$6:$B$355,$B284)))))</f>
        <v>0</v>
      </c>
    </row>
    <row r="285" spans="1:21" ht="23" x14ac:dyDescent="0.25">
      <c r="A285" s="217" t="str" cm="1">
        <f t="array" ref="A285">IFERROR(INDEX(_xlfn.ANCHORARRAY($Q$6),ROW()-5,1),"")</f>
        <v/>
      </c>
      <c r="B285" s="288" t="str" cm="1">
        <f t="array" ref="B285">IFERROR(INDEX(_xlfn.ANCHORARRAY($Q$6),ROW()-5,2),"")</f>
        <v/>
      </c>
      <c r="C285" s="289" t="str" cm="1">
        <f t="array" ref="C285">IFERROR(INDEX(_xlfn.ANCHORARRAY($Q$6),ROW()-5,3),"")</f>
        <v/>
      </c>
      <c r="D285" s="218" t="str">
        <f>IF($A285="","",IF($K285="DIESEL",SUMIFS(Table1[Quantity],Table1[Customer],$B285,Table1[Date],$A285,Table1[Bill No.],$C285),IF($K285="PETROL",SUMIFS(Table14[Quantity],Table14[Customer],$B285,Table14[Date],$A285,Table14[Bill No.],$C285),IF($K285="XtraGreen",SUMIFS(Table146[Quantity],Table146[Company],$B285,Table146[Date],$A285,Table146[Bill No.],$C285),""))))</f>
        <v/>
      </c>
      <c r="E285" s="219" t="str">
        <f>IF($A285="","",IF($K285="DIESEL",AVERAGEIFS(Table1[RSP],Table1[Customer],$B285,Table1[Date],$A285,Table1[Bill No.],$C285),IF($K285="PETROL",AVERAGEIFS(Table14[RSP],Table14[Customer],$B285,Table14[Date],$A285,Table14[Bill No.],$C285),IF($K285="XtraGreen",AVERAGEIFS(Table146[RSP],Table146[Company],$B285,Table146[Date],$A285,Table146[Bill No.],$C285),IFERROR($F285/$D285,"")))))</f>
        <v/>
      </c>
      <c r="F285" s="330" t="str">
        <f>IF($A285="","",IF($K285="DIESEL",SUMIFS(Table1[Amount],Table1[Customer],$B285,Table1[Date],$A285,Table1[Bill No.],$C285),IF($K285="PETROL",SUMIFS(Table14[Amount],Table14[Customer],$B285,Table14[Date],$A285,Table14[Bill No.],$C285),IF($K285="XtraGreen",SUMIFS(Table146[Amount],Table146[Company],$B285,Table146[Date],$A285,Table146[Bill No.],$C285),SUMIFS('Other Sale'!$D:$D,'Other Sale'!$E:$E,$B285,'Other Sale'!$C:$C,$K285,'Other Sale'!$A:$A,$A285)))))</f>
        <v/>
      </c>
      <c r="G285" s="330" t="str" cm="1">
        <f t="array" ref="G285">IF($A285="","",IF($K285="Payment",IFERROR(INDEX(_xlfn._xlws.FILTER(MasterPaid[Amount Paid],(MasterPaid[Customer]=$B285)*(MasterPaid[Date]=$A285)),COUNTIFS($A$6:$A285,$A285,$B$6:$B285,$B285,$K$6:$K285,"Payment")),0),0))</f>
        <v/>
      </c>
      <c r="H285" s="331"/>
      <c r="I285" s="331"/>
      <c r="J285" s="330" t="str">
        <f t="shared" si="4"/>
        <v/>
      </c>
      <c r="K285" s="289" t="str" cm="1">
        <f t="array" ref="K285">IFERROR(INDEX(_xlfn.ANCHORARRAY($Q$6),ROW()-5,4),"")</f>
        <v/>
      </c>
      <c r="L285" s="290"/>
      <c r="U285">
        <f>IF(OR($A285="",$F285=""),0,MAX(0,MIN($F285,SUMIFS($F$6:$F285,$B$6:$B285,$B285)-(SUMIFS($G$6:$G$355,$B$6:$B$355,$B285)+SUMIFS($H$6:$H$355,$B$6:$B$355,$B285)+SUMIFS($I$6:$I$355,$B$6:$B$355,$B285)))))</f>
        <v>0</v>
      </c>
    </row>
    <row r="286" spans="1:21" ht="23" x14ac:dyDescent="0.25">
      <c r="A286" s="217" t="str" cm="1">
        <f t="array" ref="A286">IFERROR(INDEX(_xlfn.ANCHORARRAY($Q$6),ROW()-5,1),"")</f>
        <v/>
      </c>
      <c r="B286" s="288" t="str" cm="1">
        <f t="array" ref="B286">IFERROR(INDEX(_xlfn.ANCHORARRAY($Q$6),ROW()-5,2),"")</f>
        <v/>
      </c>
      <c r="C286" s="289" t="str" cm="1">
        <f t="array" ref="C286">IFERROR(INDEX(_xlfn.ANCHORARRAY($Q$6),ROW()-5,3),"")</f>
        <v/>
      </c>
      <c r="D286" s="218" t="str">
        <f>IF($A286="","",IF($K286="DIESEL",SUMIFS(Table1[Quantity],Table1[Customer],$B286,Table1[Date],$A286,Table1[Bill No.],$C286),IF($K286="PETROL",SUMIFS(Table14[Quantity],Table14[Customer],$B286,Table14[Date],$A286,Table14[Bill No.],$C286),IF($K286="XtraGreen",SUMIFS(Table146[Quantity],Table146[Company],$B286,Table146[Date],$A286,Table146[Bill No.],$C286),""))))</f>
        <v/>
      </c>
      <c r="E286" s="219" t="str">
        <f>IF($A286="","",IF($K286="DIESEL",AVERAGEIFS(Table1[RSP],Table1[Customer],$B286,Table1[Date],$A286,Table1[Bill No.],$C286),IF($K286="PETROL",AVERAGEIFS(Table14[RSP],Table14[Customer],$B286,Table14[Date],$A286,Table14[Bill No.],$C286),IF($K286="XtraGreen",AVERAGEIFS(Table146[RSP],Table146[Company],$B286,Table146[Date],$A286,Table146[Bill No.],$C286),IFERROR($F286/$D286,"")))))</f>
        <v/>
      </c>
      <c r="F286" s="330" t="str">
        <f>IF($A286="","",IF($K286="DIESEL",SUMIFS(Table1[Amount],Table1[Customer],$B286,Table1[Date],$A286,Table1[Bill No.],$C286),IF($K286="PETROL",SUMIFS(Table14[Amount],Table14[Customer],$B286,Table14[Date],$A286,Table14[Bill No.],$C286),IF($K286="XtraGreen",SUMIFS(Table146[Amount],Table146[Company],$B286,Table146[Date],$A286,Table146[Bill No.],$C286),SUMIFS('Other Sale'!$D:$D,'Other Sale'!$E:$E,$B286,'Other Sale'!$C:$C,$K286,'Other Sale'!$A:$A,$A286)))))</f>
        <v/>
      </c>
      <c r="G286" s="330" t="str" cm="1">
        <f t="array" ref="G286">IF($A286="","",IF($K286="Payment",IFERROR(INDEX(_xlfn._xlws.FILTER(MasterPaid[Amount Paid],(MasterPaid[Customer]=$B286)*(MasterPaid[Date]=$A286)),COUNTIFS($A$6:$A286,$A286,$B$6:$B286,$B286,$K$6:$K286,"Payment")),0),0))</f>
        <v/>
      </c>
      <c r="H286" s="331"/>
      <c r="I286" s="331"/>
      <c r="J286" s="330" t="str">
        <f t="shared" si="4"/>
        <v/>
      </c>
      <c r="K286" s="289" t="str" cm="1">
        <f t="array" ref="K286">IFERROR(INDEX(_xlfn.ANCHORARRAY($Q$6),ROW()-5,4),"")</f>
        <v/>
      </c>
      <c r="L286" s="290"/>
      <c r="U286">
        <f>IF(OR($A286="",$F286=""),0,MAX(0,MIN($F286,SUMIFS($F$6:$F286,$B$6:$B286,$B286)-(SUMIFS($G$6:$G$355,$B$6:$B$355,$B286)+SUMIFS($H$6:$H$355,$B$6:$B$355,$B286)+SUMIFS($I$6:$I$355,$B$6:$B$355,$B286)))))</f>
        <v>0</v>
      </c>
    </row>
    <row r="287" spans="1:21" ht="23" x14ac:dyDescent="0.25">
      <c r="A287" s="217" t="str" cm="1">
        <f t="array" ref="A287">IFERROR(INDEX(_xlfn.ANCHORARRAY($Q$6),ROW()-5,1),"")</f>
        <v/>
      </c>
      <c r="B287" s="288" t="str" cm="1">
        <f t="array" ref="B287">IFERROR(INDEX(_xlfn.ANCHORARRAY($Q$6),ROW()-5,2),"")</f>
        <v/>
      </c>
      <c r="C287" s="289" t="str" cm="1">
        <f t="array" ref="C287">IFERROR(INDEX(_xlfn.ANCHORARRAY($Q$6),ROW()-5,3),"")</f>
        <v/>
      </c>
      <c r="D287" s="218" t="str">
        <f>IF($A287="","",IF($K287="DIESEL",SUMIFS(Table1[Quantity],Table1[Customer],$B287,Table1[Date],$A287,Table1[Bill No.],$C287),IF($K287="PETROL",SUMIFS(Table14[Quantity],Table14[Customer],$B287,Table14[Date],$A287,Table14[Bill No.],$C287),IF($K287="XtraGreen",SUMIFS(Table146[Quantity],Table146[Company],$B287,Table146[Date],$A287,Table146[Bill No.],$C287),""))))</f>
        <v/>
      </c>
      <c r="E287" s="219" t="str">
        <f>IF($A287="","",IF($K287="DIESEL",AVERAGEIFS(Table1[RSP],Table1[Customer],$B287,Table1[Date],$A287,Table1[Bill No.],$C287),IF($K287="PETROL",AVERAGEIFS(Table14[RSP],Table14[Customer],$B287,Table14[Date],$A287,Table14[Bill No.],$C287),IF($K287="XtraGreen",AVERAGEIFS(Table146[RSP],Table146[Company],$B287,Table146[Date],$A287,Table146[Bill No.],$C287),IFERROR($F287/$D287,"")))))</f>
        <v/>
      </c>
      <c r="F287" s="330" t="str">
        <f>IF($A287="","",IF($K287="DIESEL",SUMIFS(Table1[Amount],Table1[Customer],$B287,Table1[Date],$A287,Table1[Bill No.],$C287),IF($K287="PETROL",SUMIFS(Table14[Amount],Table14[Customer],$B287,Table14[Date],$A287,Table14[Bill No.],$C287),IF($K287="XtraGreen",SUMIFS(Table146[Amount],Table146[Company],$B287,Table146[Date],$A287,Table146[Bill No.],$C287),SUMIFS('Other Sale'!$D:$D,'Other Sale'!$E:$E,$B287,'Other Sale'!$C:$C,$K287,'Other Sale'!$A:$A,$A287)))))</f>
        <v/>
      </c>
      <c r="G287" s="330" t="str" cm="1">
        <f t="array" ref="G287">IF($A287="","",IF($K287="Payment",IFERROR(INDEX(_xlfn._xlws.FILTER(MasterPaid[Amount Paid],(MasterPaid[Customer]=$B287)*(MasterPaid[Date]=$A287)),COUNTIFS($A$6:$A287,$A287,$B$6:$B287,$B287,$K$6:$K287,"Payment")),0),0))</f>
        <v/>
      </c>
      <c r="H287" s="331"/>
      <c r="I287" s="331"/>
      <c r="J287" s="330" t="str">
        <f t="shared" si="4"/>
        <v/>
      </c>
      <c r="K287" s="289" t="str" cm="1">
        <f t="array" ref="K287">IFERROR(INDEX(_xlfn.ANCHORARRAY($Q$6),ROW()-5,4),"")</f>
        <v/>
      </c>
      <c r="L287" s="290"/>
      <c r="U287">
        <f>IF(OR($A287="",$F287=""),0,MAX(0,MIN($F287,SUMIFS($F$6:$F287,$B$6:$B287,$B287)-(SUMIFS($G$6:$G$355,$B$6:$B$355,$B287)+SUMIFS($H$6:$H$355,$B$6:$B$355,$B287)+SUMIFS($I$6:$I$355,$B$6:$B$355,$B287)))))</f>
        <v>0</v>
      </c>
    </row>
    <row r="288" spans="1:21" ht="23" x14ac:dyDescent="0.25">
      <c r="A288" s="217" t="str" cm="1">
        <f t="array" ref="A288">IFERROR(INDEX(_xlfn.ANCHORARRAY($Q$6),ROW()-5,1),"")</f>
        <v/>
      </c>
      <c r="B288" s="288" t="str" cm="1">
        <f t="array" ref="B288">IFERROR(INDEX(_xlfn.ANCHORARRAY($Q$6),ROW()-5,2),"")</f>
        <v/>
      </c>
      <c r="C288" s="289" t="str" cm="1">
        <f t="array" ref="C288">IFERROR(INDEX(_xlfn.ANCHORARRAY($Q$6),ROW()-5,3),"")</f>
        <v/>
      </c>
      <c r="D288" s="218" t="str">
        <f>IF($A288="","",IF($K288="DIESEL",SUMIFS(Table1[Quantity],Table1[Customer],$B288,Table1[Date],$A288,Table1[Bill No.],$C288),IF($K288="PETROL",SUMIFS(Table14[Quantity],Table14[Customer],$B288,Table14[Date],$A288,Table14[Bill No.],$C288),IF($K288="XtraGreen",SUMIFS(Table146[Quantity],Table146[Company],$B288,Table146[Date],$A288,Table146[Bill No.],$C288),""))))</f>
        <v/>
      </c>
      <c r="E288" s="219" t="str">
        <f>IF($A288="","",IF($K288="DIESEL",AVERAGEIFS(Table1[RSP],Table1[Customer],$B288,Table1[Date],$A288,Table1[Bill No.],$C288),IF($K288="PETROL",AVERAGEIFS(Table14[RSP],Table14[Customer],$B288,Table14[Date],$A288,Table14[Bill No.],$C288),IF($K288="XtraGreen",AVERAGEIFS(Table146[RSP],Table146[Company],$B288,Table146[Date],$A288,Table146[Bill No.],$C288),IFERROR($F288/$D288,"")))))</f>
        <v/>
      </c>
      <c r="F288" s="330" t="str">
        <f>IF($A288="","",IF($K288="DIESEL",SUMIFS(Table1[Amount],Table1[Customer],$B288,Table1[Date],$A288,Table1[Bill No.],$C288),IF($K288="PETROL",SUMIFS(Table14[Amount],Table14[Customer],$B288,Table14[Date],$A288,Table14[Bill No.],$C288),IF($K288="XtraGreen",SUMIFS(Table146[Amount],Table146[Company],$B288,Table146[Date],$A288,Table146[Bill No.],$C288),SUMIFS('Other Sale'!$D:$D,'Other Sale'!$E:$E,$B288,'Other Sale'!$C:$C,$K288,'Other Sale'!$A:$A,$A288)))))</f>
        <v/>
      </c>
      <c r="G288" s="330" t="str" cm="1">
        <f t="array" ref="G288">IF($A288="","",IF($K288="Payment",IFERROR(INDEX(_xlfn._xlws.FILTER(MasterPaid[Amount Paid],(MasterPaid[Customer]=$B288)*(MasterPaid[Date]=$A288)),COUNTIFS($A$6:$A288,$A288,$B$6:$B288,$B288,$K$6:$K288,"Payment")),0),0))</f>
        <v/>
      </c>
      <c r="H288" s="331"/>
      <c r="I288" s="331"/>
      <c r="J288" s="330" t="str">
        <f t="shared" si="4"/>
        <v/>
      </c>
      <c r="K288" s="289" t="str" cm="1">
        <f t="array" ref="K288">IFERROR(INDEX(_xlfn.ANCHORARRAY($Q$6),ROW()-5,4),"")</f>
        <v/>
      </c>
      <c r="L288" s="290"/>
      <c r="U288">
        <f>IF(OR($A288="",$F288=""),0,MAX(0,MIN($F288,SUMIFS($F$6:$F288,$B$6:$B288,$B288)-(SUMIFS($G$6:$G$355,$B$6:$B$355,$B288)+SUMIFS($H$6:$H$355,$B$6:$B$355,$B288)+SUMIFS($I$6:$I$355,$B$6:$B$355,$B288)))))</f>
        <v>0</v>
      </c>
    </row>
    <row r="289" spans="1:21" ht="23" x14ac:dyDescent="0.25">
      <c r="A289" s="217" t="str" cm="1">
        <f t="array" ref="A289">IFERROR(INDEX(_xlfn.ANCHORARRAY($Q$6),ROW()-5,1),"")</f>
        <v/>
      </c>
      <c r="B289" s="288" t="str" cm="1">
        <f t="array" ref="B289">IFERROR(INDEX(_xlfn.ANCHORARRAY($Q$6),ROW()-5,2),"")</f>
        <v/>
      </c>
      <c r="C289" s="289" t="str" cm="1">
        <f t="array" ref="C289">IFERROR(INDEX(_xlfn.ANCHORARRAY($Q$6),ROW()-5,3),"")</f>
        <v/>
      </c>
      <c r="D289" s="218" t="str">
        <f>IF($A289="","",IF($K289="DIESEL",SUMIFS(Table1[Quantity],Table1[Customer],$B289,Table1[Date],$A289,Table1[Bill No.],$C289),IF($K289="PETROL",SUMIFS(Table14[Quantity],Table14[Customer],$B289,Table14[Date],$A289,Table14[Bill No.],$C289),IF($K289="XtraGreen",SUMIFS(Table146[Quantity],Table146[Company],$B289,Table146[Date],$A289,Table146[Bill No.],$C289),""))))</f>
        <v/>
      </c>
      <c r="E289" s="219" t="str">
        <f>IF($A289="","",IF($K289="DIESEL",AVERAGEIFS(Table1[RSP],Table1[Customer],$B289,Table1[Date],$A289,Table1[Bill No.],$C289),IF($K289="PETROL",AVERAGEIFS(Table14[RSP],Table14[Customer],$B289,Table14[Date],$A289,Table14[Bill No.],$C289),IF($K289="XtraGreen",AVERAGEIFS(Table146[RSP],Table146[Company],$B289,Table146[Date],$A289,Table146[Bill No.],$C289),IFERROR($F289/$D289,"")))))</f>
        <v/>
      </c>
      <c r="F289" s="330" t="str">
        <f>IF($A289="","",IF($K289="DIESEL",SUMIFS(Table1[Amount],Table1[Customer],$B289,Table1[Date],$A289,Table1[Bill No.],$C289),IF($K289="PETROL",SUMIFS(Table14[Amount],Table14[Customer],$B289,Table14[Date],$A289,Table14[Bill No.],$C289),IF($K289="XtraGreen",SUMIFS(Table146[Amount],Table146[Company],$B289,Table146[Date],$A289,Table146[Bill No.],$C289),SUMIFS('Other Sale'!$D:$D,'Other Sale'!$E:$E,$B289,'Other Sale'!$C:$C,$K289,'Other Sale'!$A:$A,$A289)))))</f>
        <v/>
      </c>
      <c r="G289" s="330" t="str" cm="1">
        <f t="array" ref="G289">IF($A289="","",IF($K289="Payment",IFERROR(INDEX(_xlfn._xlws.FILTER(MasterPaid[Amount Paid],(MasterPaid[Customer]=$B289)*(MasterPaid[Date]=$A289)),COUNTIFS($A$6:$A289,$A289,$B$6:$B289,$B289,$K$6:$K289,"Payment")),0),0))</f>
        <v/>
      </c>
      <c r="H289" s="331"/>
      <c r="I289" s="331"/>
      <c r="J289" s="330" t="str">
        <f t="shared" si="4"/>
        <v/>
      </c>
      <c r="K289" s="289" t="str" cm="1">
        <f t="array" ref="K289">IFERROR(INDEX(_xlfn.ANCHORARRAY($Q$6),ROW()-5,4),"")</f>
        <v/>
      </c>
      <c r="L289" s="290"/>
      <c r="U289">
        <f>IF(OR($A289="",$F289=""),0,MAX(0,MIN($F289,SUMIFS($F$6:$F289,$B$6:$B289,$B289)-(SUMIFS($G$6:$G$355,$B$6:$B$355,$B289)+SUMIFS($H$6:$H$355,$B$6:$B$355,$B289)+SUMIFS($I$6:$I$355,$B$6:$B$355,$B289)))))</f>
        <v>0</v>
      </c>
    </row>
    <row r="290" spans="1:21" ht="23" x14ac:dyDescent="0.25">
      <c r="A290" s="217" t="str" cm="1">
        <f t="array" ref="A290">IFERROR(INDEX(_xlfn.ANCHORARRAY($Q$6),ROW()-5,1),"")</f>
        <v/>
      </c>
      <c r="B290" s="288" t="str" cm="1">
        <f t="array" ref="B290">IFERROR(INDEX(_xlfn.ANCHORARRAY($Q$6),ROW()-5,2),"")</f>
        <v/>
      </c>
      <c r="C290" s="289" t="str" cm="1">
        <f t="array" ref="C290">IFERROR(INDEX(_xlfn.ANCHORARRAY($Q$6),ROW()-5,3),"")</f>
        <v/>
      </c>
      <c r="D290" s="218" t="str">
        <f>IF($A290="","",IF($K290="DIESEL",SUMIFS(Table1[Quantity],Table1[Customer],$B290,Table1[Date],$A290,Table1[Bill No.],$C290),IF($K290="PETROL",SUMIFS(Table14[Quantity],Table14[Customer],$B290,Table14[Date],$A290,Table14[Bill No.],$C290),IF($K290="XtraGreen",SUMIFS(Table146[Quantity],Table146[Company],$B290,Table146[Date],$A290,Table146[Bill No.],$C290),""))))</f>
        <v/>
      </c>
      <c r="E290" s="219" t="str">
        <f>IF($A290="","",IF($K290="DIESEL",AVERAGEIFS(Table1[RSP],Table1[Customer],$B290,Table1[Date],$A290,Table1[Bill No.],$C290),IF($K290="PETROL",AVERAGEIFS(Table14[RSP],Table14[Customer],$B290,Table14[Date],$A290,Table14[Bill No.],$C290),IF($K290="XtraGreen",AVERAGEIFS(Table146[RSP],Table146[Company],$B290,Table146[Date],$A290,Table146[Bill No.],$C290),IFERROR($F290/$D290,"")))))</f>
        <v/>
      </c>
      <c r="F290" s="330" t="str">
        <f>IF($A290="","",IF($K290="DIESEL",SUMIFS(Table1[Amount],Table1[Customer],$B290,Table1[Date],$A290,Table1[Bill No.],$C290),IF($K290="PETROL",SUMIFS(Table14[Amount],Table14[Customer],$B290,Table14[Date],$A290,Table14[Bill No.],$C290),IF($K290="XtraGreen",SUMIFS(Table146[Amount],Table146[Company],$B290,Table146[Date],$A290,Table146[Bill No.],$C290),SUMIFS('Other Sale'!$D:$D,'Other Sale'!$E:$E,$B290,'Other Sale'!$C:$C,$K290,'Other Sale'!$A:$A,$A290)))))</f>
        <v/>
      </c>
      <c r="G290" s="330" t="str" cm="1">
        <f t="array" ref="G290">IF($A290="","",IF($K290="Payment",IFERROR(INDEX(_xlfn._xlws.FILTER(MasterPaid[Amount Paid],(MasterPaid[Customer]=$B290)*(MasterPaid[Date]=$A290)),COUNTIFS($A$6:$A290,$A290,$B$6:$B290,$B290,$K$6:$K290,"Payment")),0),0))</f>
        <v/>
      </c>
      <c r="H290" s="331"/>
      <c r="I290" s="331"/>
      <c r="J290" s="330" t="str">
        <f t="shared" si="4"/>
        <v/>
      </c>
      <c r="K290" s="289" t="str" cm="1">
        <f t="array" ref="K290">IFERROR(INDEX(_xlfn.ANCHORARRAY($Q$6),ROW()-5,4),"")</f>
        <v/>
      </c>
      <c r="L290" s="290"/>
      <c r="U290">
        <f>IF(OR($A290="",$F290=""),0,MAX(0,MIN($F290,SUMIFS($F$6:$F290,$B$6:$B290,$B290)-(SUMIFS($G$6:$G$355,$B$6:$B$355,$B290)+SUMIFS($H$6:$H$355,$B$6:$B$355,$B290)+SUMIFS($I$6:$I$355,$B$6:$B$355,$B290)))))</f>
        <v>0</v>
      </c>
    </row>
    <row r="291" spans="1:21" ht="23" x14ac:dyDescent="0.25">
      <c r="A291" s="217" t="str" cm="1">
        <f t="array" ref="A291">IFERROR(INDEX(_xlfn.ANCHORARRAY($Q$6),ROW()-5,1),"")</f>
        <v/>
      </c>
      <c r="B291" s="288" t="str" cm="1">
        <f t="array" ref="B291">IFERROR(INDEX(_xlfn.ANCHORARRAY($Q$6),ROW()-5,2),"")</f>
        <v/>
      </c>
      <c r="C291" s="289" t="str" cm="1">
        <f t="array" ref="C291">IFERROR(INDEX(_xlfn.ANCHORARRAY($Q$6),ROW()-5,3),"")</f>
        <v/>
      </c>
      <c r="D291" s="218" t="str">
        <f>IF($A291="","",IF($K291="DIESEL",SUMIFS(Table1[Quantity],Table1[Customer],$B291,Table1[Date],$A291,Table1[Bill No.],$C291),IF($K291="PETROL",SUMIFS(Table14[Quantity],Table14[Customer],$B291,Table14[Date],$A291,Table14[Bill No.],$C291),IF($K291="XtraGreen",SUMIFS(Table146[Quantity],Table146[Company],$B291,Table146[Date],$A291,Table146[Bill No.],$C291),""))))</f>
        <v/>
      </c>
      <c r="E291" s="219" t="str">
        <f>IF($A291="","",IF($K291="DIESEL",AVERAGEIFS(Table1[RSP],Table1[Customer],$B291,Table1[Date],$A291,Table1[Bill No.],$C291),IF($K291="PETROL",AVERAGEIFS(Table14[RSP],Table14[Customer],$B291,Table14[Date],$A291,Table14[Bill No.],$C291),IF($K291="XtraGreen",AVERAGEIFS(Table146[RSP],Table146[Company],$B291,Table146[Date],$A291,Table146[Bill No.],$C291),IFERROR($F291/$D291,"")))))</f>
        <v/>
      </c>
      <c r="F291" s="330" t="str">
        <f>IF($A291="","",IF($K291="DIESEL",SUMIFS(Table1[Amount],Table1[Customer],$B291,Table1[Date],$A291,Table1[Bill No.],$C291),IF($K291="PETROL",SUMIFS(Table14[Amount],Table14[Customer],$B291,Table14[Date],$A291,Table14[Bill No.],$C291),IF($K291="XtraGreen",SUMIFS(Table146[Amount],Table146[Company],$B291,Table146[Date],$A291,Table146[Bill No.],$C291),SUMIFS('Other Sale'!$D:$D,'Other Sale'!$E:$E,$B291,'Other Sale'!$C:$C,$K291,'Other Sale'!$A:$A,$A291)))))</f>
        <v/>
      </c>
      <c r="G291" s="330" t="str" cm="1">
        <f t="array" ref="G291">IF($A291="","",IF($K291="Payment",IFERROR(INDEX(_xlfn._xlws.FILTER(MasterPaid[Amount Paid],(MasterPaid[Customer]=$B291)*(MasterPaid[Date]=$A291)),COUNTIFS($A$6:$A291,$A291,$B$6:$B291,$B291,$K$6:$K291,"Payment")),0),0))</f>
        <v/>
      </c>
      <c r="H291" s="331"/>
      <c r="I291" s="331"/>
      <c r="J291" s="330" t="str">
        <f t="shared" si="4"/>
        <v/>
      </c>
      <c r="K291" s="289" t="str" cm="1">
        <f t="array" ref="K291">IFERROR(INDEX(_xlfn.ANCHORARRAY($Q$6),ROW()-5,4),"")</f>
        <v/>
      </c>
      <c r="L291" s="290"/>
      <c r="U291">
        <f>IF(OR($A291="",$F291=""),0,MAX(0,MIN($F291,SUMIFS($F$6:$F291,$B$6:$B291,$B291)-(SUMIFS($G$6:$G$355,$B$6:$B$355,$B291)+SUMIFS($H$6:$H$355,$B$6:$B$355,$B291)+SUMIFS($I$6:$I$355,$B$6:$B$355,$B291)))))</f>
        <v>0</v>
      </c>
    </row>
    <row r="292" spans="1:21" ht="23" x14ac:dyDescent="0.25">
      <c r="A292" s="217" t="str" cm="1">
        <f t="array" ref="A292">IFERROR(INDEX(_xlfn.ANCHORARRAY($Q$6),ROW()-5,1),"")</f>
        <v/>
      </c>
      <c r="B292" s="288" t="str" cm="1">
        <f t="array" ref="B292">IFERROR(INDEX(_xlfn.ANCHORARRAY($Q$6),ROW()-5,2),"")</f>
        <v/>
      </c>
      <c r="C292" s="289" t="str" cm="1">
        <f t="array" ref="C292">IFERROR(INDEX(_xlfn.ANCHORARRAY($Q$6),ROW()-5,3),"")</f>
        <v/>
      </c>
      <c r="D292" s="218" t="str">
        <f>IF($A292="","",IF($K292="DIESEL",SUMIFS(Table1[Quantity],Table1[Customer],$B292,Table1[Date],$A292,Table1[Bill No.],$C292),IF($K292="PETROL",SUMIFS(Table14[Quantity],Table14[Customer],$B292,Table14[Date],$A292,Table14[Bill No.],$C292),IF($K292="XtraGreen",SUMIFS(Table146[Quantity],Table146[Company],$B292,Table146[Date],$A292,Table146[Bill No.],$C292),""))))</f>
        <v/>
      </c>
      <c r="E292" s="219" t="str">
        <f>IF($A292="","",IF($K292="DIESEL",AVERAGEIFS(Table1[RSP],Table1[Customer],$B292,Table1[Date],$A292,Table1[Bill No.],$C292),IF($K292="PETROL",AVERAGEIFS(Table14[RSP],Table14[Customer],$B292,Table14[Date],$A292,Table14[Bill No.],$C292),IF($K292="XtraGreen",AVERAGEIFS(Table146[RSP],Table146[Company],$B292,Table146[Date],$A292,Table146[Bill No.],$C292),IFERROR($F292/$D292,"")))))</f>
        <v/>
      </c>
      <c r="F292" s="330" t="str">
        <f>IF($A292="","",IF($K292="DIESEL",SUMIFS(Table1[Amount],Table1[Customer],$B292,Table1[Date],$A292,Table1[Bill No.],$C292),IF($K292="PETROL",SUMIFS(Table14[Amount],Table14[Customer],$B292,Table14[Date],$A292,Table14[Bill No.],$C292),IF($K292="XtraGreen",SUMIFS(Table146[Amount],Table146[Company],$B292,Table146[Date],$A292,Table146[Bill No.],$C292),SUMIFS('Other Sale'!$D:$D,'Other Sale'!$E:$E,$B292,'Other Sale'!$C:$C,$K292,'Other Sale'!$A:$A,$A292)))))</f>
        <v/>
      </c>
      <c r="G292" s="330" t="str" cm="1">
        <f t="array" ref="G292">IF($A292="","",IF($K292="Payment",IFERROR(INDEX(_xlfn._xlws.FILTER(MasterPaid[Amount Paid],(MasterPaid[Customer]=$B292)*(MasterPaid[Date]=$A292)),COUNTIFS($A$6:$A292,$A292,$B$6:$B292,$B292,$K$6:$K292,"Payment")),0),0))</f>
        <v/>
      </c>
      <c r="H292" s="331"/>
      <c r="I292" s="331"/>
      <c r="J292" s="330" t="str">
        <f t="shared" si="4"/>
        <v/>
      </c>
      <c r="K292" s="289" t="str" cm="1">
        <f t="array" ref="K292">IFERROR(INDEX(_xlfn.ANCHORARRAY($Q$6),ROW()-5,4),"")</f>
        <v/>
      </c>
      <c r="L292" s="290"/>
      <c r="U292">
        <f>IF(OR($A292="",$F292=""),0,MAX(0,MIN($F292,SUMIFS($F$6:$F292,$B$6:$B292,$B292)-(SUMIFS($G$6:$G$355,$B$6:$B$355,$B292)+SUMIFS($H$6:$H$355,$B$6:$B$355,$B292)+SUMIFS($I$6:$I$355,$B$6:$B$355,$B292)))))</f>
        <v>0</v>
      </c>
    </row>
    <row r="293" spans="1:21" ht="23" x14ac:dyDescent="0.25">
      <c r="A293" s="217" t="str" cm="1">
        <f t="array" ref="A293">IFERROR(INDEX(_xlfn.ANCHORARRAY($Q$6),ROW()-5,1),"")</f>
        <v/>
      </c>
      <c r="B293" s="288" t="str" cm="1">
        <f t="array" ref="B293">IFERROR(INDEX(_xlfn.ANCHORARRAY($Q$6),ROW()-5,2),"")</f>
        <v/>
      </c>
      <c r="C293" s="289" t="str" cm="1">
        <f t="array" ref="C293">IFERROR(INDEX(_xlfn.ANCHORARRAY($Q$6),ROW()-5,3),"")</f>
        <v/>
      </c>
      <c r="D293" s="218" t="str">
        <f>IF($A293="","",IF($K293="DIESEL",SUMIFS(Table1[Quantity],Table1[Customer],$B293,Table1[Date],$A293,Table1[Bill No.],$C293),IF($K293="PETROL",SUMIFS(Table14[Quantity],Table14[Customer],$B293,Table14[Date],$A293,Table14[Bill No.],$C293),IF($K293="XtraGreen",SUMIFS(Table146[Quantity],Table146[Company],$B293,Table146[Date],$A293,Table146[Bill No.],$C293),""))))</f>
        <v/>
      </c>
      <c r="E293" s="219" t="str">
        <f>IF($A293="","",IF($K293="DIESEL",AVERAGEIFS(Table1[RSP],Table1[Customer],$B293,Table1[Date],$A293,Table1[Bill No.],$C293),IF($K293="PETROL",AVERAGEIFS(Table14[RSP],Table14[Customer],$B293,Table14[Date],$A293,Table14[Bill No.],$C293),IF($K293="XtraGreen",AVERAGEIFS(Table146[RSP],Table146[Company],$B293,Table146[Date],$A293,Table146[Bill No.],$C293),IFERROR($F293/$D293,"")))))</f>
        <v/>
      </c>
      <c r="F293" s="330" t="str">
        <f>IF($A293="","",IF($K293="DIESEL",SUMIFS(Table1[Amount],Table1[Customer],$B293,Table1[Date],$A293,Table1[Bill No.],$C293),IF($K293="PETROL",SUMIFS(Table14[Amount],Table14[Customer],$B293,Table14[Date],$A293,Table14[Bill No.],$C293),IF($K293="XtraGreen",SUMIFS(Table146[Amount],Table146[Company],$B293,Table146[Date],$A293,Table146[Bill No.],$C293),SUMIFS('Other Sale'!$D:$D,'Other Sale'!$E:$E,$B293,'Other Sale'!$C:$C,$K293,'Other Sale'!$A:$A,$A293)))))</f>
        <v/>
      </c>
      <c r="G293" s="330" t="str" cm="1">
        <f t="array" ref="G293">IF($A293="","",IF($K293="Payment",IFERROR(INDEX(_xlfn._xlws.FILTER(MasterPaid[Amount Paid],(MasterPaid[Customer]=$B293)*(MasterPaid[Date]=$A293)),COUNTIFS($A$6:$A293,$A293,$B$6:$B293,$B293,$K$6:$K293,"Payment")),0),0))</f>
        <v/>
      </c>
      <c r="H293" s="331"/>
      <c r="I293" s="331"/>
      <c r="J293" s="330" t="str">
        <f t="shared" si="4"/>
        <v/>
      </c>
      <c r="K293" s="289" t="str" cm="1">
        <f t="array" ref="K293">IFERROR(INDEX(_xlfn.ANCHORARRAY($Q$6),ROW()-5,4),"")</f>
        <v/>
      </c>
      <c r="L293" s="290"/>
      <c r="U293">
        <f>IF(OR($A293="",$F293=""),0,MAX(0,MIN($F293,SUMIFS($F$6:$F293,$B$6:$B293,$B293)-(SUMIFS($G$6:$G$355,$B$6:$B$355,$B293)+SUMIFS($H$6:$H$355,$B$6:$B$355,$B293)+SUMIFS($I$6:$I$355,$B$6:$B$355,$B293)))))</f>
        <v>0</v>
      </c>
    </row>
    <row r="294" spans="1:21" ht="23" x14ac:dyDescent="0.25">
      <c r="A294" s="217" t="str" cm="1">
        <f t="array" ref="A294">IFERROR(INDEX(_xlfn.ANCHORARRAY($Q$6),ROW()-5,1),"")</f>
        <v/>
      </c>
      <c r="B294" s="288" t="str" cm="1">
        <f t="array" ref="B294">IFERROR(INDEX(_xlfn.ANCHORARRAY($Q$6),ROW()-5,2),"")</f>
        <v/>
      </c>
      <c r="C294" s="289" t="str" cm="1">
        <f t="array" ref="C294">IFERROR(INDEX(_xlfn.ANCHORARRAY($Q$6),ROW()-5,3),"")</f>
        <v/>
      </c>
      <c r="D294" s="218" t="str">
        <f>IF($A294="","",IF($K294="DIESEL",SUMIFS(Table1[Quantity],Table1[Customer],$B294,Table1[Date],$A294,Table1[Bill No.],$C294),IF($K294="PETROL",SUMIFS(Table14[Quantity],Table14[Customer],$B294,Table14[Date],$A294,Table14[Bill No.],$C294),IF($K294="XtraGreen",SUMIFS(Table146[Quantity],Table146[Company],$B294,Table146[Date],$A294,Table146[Bill No.],$C294),""))))</f>
        <v/>
      </c>
      <c r="E294" s="219" t="str">
        <f>IF($A294="","",IF($K294="DIESEL",AVERAGEIFS(Table1[RSP],Table1[Customer],$B294,Table1[Date],$A294,Table1[Bill No.],$C294),IF($K294="PETROL",AVERAGEIFS(Table14[RSP],Table14[Customer],$B294,Table14[Date],$A294,Table14[Bill No.],$C294),IF($K294="XtraGreen",AVERAGEIFS(Table146[RSP],Table146[Company],$B294,Table146[Date],$A294,Table146[Bill No.],$C294),IFERROR($F294/$D294,"")))))</f>
        <v/>
      </c>
      <c r="F294" s="330" t="str">
        <f>IF($A294="","",IF($K294="DIESEL",SUMIFS(Table1[Amount],Table1[Customer],$B294,Table1[Date],$A294,Table1[Bill No.],$C294),IF($K294="PETROL",SUMIFS(Table14[Amount],Table14[Customer],$B294,Table14[Date],$A294,Table14[Bill No.],$C294),IF($K294="XtraGreen",SUMIFS(Table146[Amount],Table146[Company],$B294,Table146[Date],$A294,Table146[Bill No.],$C294),SUMIFS('Other Sale'!$D:$D,'Other Sale'!$E:$E,$B294,'Other Sale'!$C:$C,$K294,'Other Sale'!$A:$A,$A294)))))</f>
        <v/>
      </c>
      <c r="G294" s="330" t="str" cm="1">
        <f t="array" ref="G294">IF($A294="","",IF($K294="Payment",IFERROR(INDEX(_xlfn._xlws.FILTER(MasterPaid[Amount Paid],(MasterPaid[Customer]=$B294)*(MasterPaid[Date]=$A294)),COUNTIFS($A$6:$A294,$A294,$B$6:$B294,$B294,$K$6:$K294,"Payment")),0),0))</f>
        <v/>
      </c>
      <c r="H294" s="331"/>
      <c r="I294" s="331"/>
      <c r="J294" s="330" t="str">
        <f t="shared" si="4"/>
        <v/>
      </c>
      <c r="K294" s="289" t="str" cm="1">
        <f t="array" ref="K294">IFERROR(INDEX(_xlfn.ANCHORARRAY($Q$6),ROW()-5,4),"")</f>
        <v/>
      </c>
      <c r="L294" s="290"/>
      <c r="U294">
        <f>IF(OR($A294="",$F294=""),0,MAX(0,MIN($F294,SUMIFS($F$6:$F294,$B$6:$B294,$B294)-(SUMIFS($G$6:$G$355,$B$6:$B$355,$B294)+SUMIFS($H$6:$H$355,$B$6:$B$355,$B294)+SUMIFS($I$6:$I$355,$B$6:$B$355,$B294)))))</f>
        <v>0</v>
      </c>
    </row>
    <row r="295" spans="1:21" ht="23" x14ac:dyDescent="0.25">
      <c r="A295" s="217" t="str" cm="1">
        <f t="array" ref="A295">IFERROR(INDEX(_xlfn.ANCHORARRAY($Q$6),ROW()-5,1),"")</f>
        <v/>
      </c>
      <c r="B295" s="288" t="str" cm="1">
        <f t="array" ref="B295">IFERROR(INDEX(_xlfn.ANCHORARRAY($Q$6),ROW()-5,2),"")</f>
        <v/>
      </c>
      <c r="C295" s="289" t="str" cm="1">
        <f t="array" ref="C295">IFERROR(INDEX(_xlfn.ANCHORARRAY($Q$6),ROW()-5,3),"")</f>
        <v/>
      </c>
      <c r="D295" s="218" t="str">
        <f>IF($A295="","",IF($K295="DIESEL",SUMIFS(Table1[Quantity],Table1[Customer],$B295,Table1[Date],$A295,Table1[Bill No.],$C295),IF($K295="PETROL",SUMIFS(Table14[Quantity],Table14[Customer],$B295,Table14[Date],$A295,Table14[Bill No.],$C295),IF($K295="XtraGreen",SUMIFS(Table146[Quantity],Table146[Company],$B295,Table146[Date],$A295,Table146[Bill No.],$C295),""))))</f>
        <v/>
      </c>
      <c r="E295" s="219" t="str">
        <f>IF($A295="","",IF($K295="DIESEL",AVERAGEIFS(Table1[RSP],Table1[Customer],$B295,Table1[Date],$A295,Table1[Bill No.],$C295),IF($K295="PETROL",AVERAGEIFS(Table14[RSP],Table14[Customer],$B295,Table14[Date],$A295,Table14[Bill No.],$C295),IF($K295="XtraGreen",AVERAGEIFS(Table146[RSP],Table146[Company],$B295,Table146[Date],$A295,Table146[Bill No.],$C295),IFERROR($F295/$D295,"")))))</f>
        <v/>
      </c>
      <c r="F295" s="330" t="str">
        <f>IF($A295="","",IF($K295="DIESEL",SUMIFS(Table1[Amount],Table1[Customer],$B295,Table1[Date],$A295,Table1[Bill No.],$C295),IF($K295="PETROL",SUMIFS(Table14[Amount],Table14[Customer],$B295,Table14[Date],$A295,Table14[Bill No.],$C295),IF($K295="XtraGreen",SUMIFS(Table146[Amount],Table146[Company],$B295,Table146[Date],$A295,Table146[Bill No.],$C295),SUMIFS('Other Sale'!$D:$D,'Other Sale'!$E:$E,$B295,'Other Sale'!$C:$C,$K295,'Other Sale'!$A:$A,$A295)))))</f>
        <v/>
      </c>
      <c r="G295" s="330" t="str" cm="1">
        <f t="array" ref="G295">IF($A295="","",IF($K295="Payment",IFERROR(INDEX(_xlfn._xlws.FILTER(MasterPaid[Amount Paid],(MasterPaid[Customer]=$B295)*(MasterPaid[Date]=$A295)),COUNTIFS($A$6:$A295,$A295,$B$6:$B295,$B295,$K$6:$K295,"Payment")),0),0))</f>
        <v/>
      </c>
      <c r="H295" s="331"/>
      <c r="I295" s="331"/>
      <c r="J295" s="330" t="str">
        <f t="shared" si="4"/>
        <v/>
      </c>
      <c r="K295" s="289" t="str" cm="1">
        <f t="array" ref="K295">IFERROR(INDEX(_xlfn.ANCHORARRAY($Q$6),ROW()-5,4),"")</f>
        <v/>
      </c>
      <c r="L295" s="290"/>
      <c r="U295">
        <f>IF(OR($A295="",$F295=""),0,MAX(0,MIN($F295,SUMIFS($F$6:$F295,$B$6:$B295,$B295)-(SUMIFS($G$6:$G$355,$B$6:$B$355,$B295)+SUMIFS($H$6:$H$355,$B$6:$B$355,$B295)+SUMIFS($I$6:$I$355,$B$6:$B$355,$B295)))))</f>
        <v>0</v>
      </c>
    </row>
    <row r="296" spans="1:21" ht="23" x14ac:dyDescent="0.25">
      <c r="A296" s="217" t="str" cm="1">
        <f t="array" ref="A296">IFERROR(INDEX(_xlfn.ANCHORARRAY($Q$6),ROW()-5,1),"")</f>
        <v/>
      </c>
      <c r="B296" s="288" t="str" cm="1">
        <f t="array" ref="B296">IFERROR(INDEX(_xlfn.ANCHORARRAY($Q$6),ROW()-5,2),"")</f>
        <v/>
      </c>
      <c r="C296" s="289" t="str" cm="1">
        <f t="array" ref="C296">IFERROR(INDEX(_xlfn.ANCHORARRAY($Q$6),ROW()-5,3),"")</f>
        <v/>
      </c>
      <c r="D296" s="218" t="str">
        <f>IF($A296="","",IF($K296="DIESEL",SUMIFS(Table1[Quantity],Table1[Customer],$B296,Table1[Date],$A296,Table1[Bill No.],$C296),IF($K296="PETROL",SUMIFS(Table14[Quantity],Table14[Customer],$B296,Table14[Date],$A296,Table14[Bill No.],$C296),IF($K296="XtraGreen",SUMIFS(Table146[Quantity],Table146[Company],$B296,Table146[Date],$A296,Table146[Bill No.],$C296),""))))</f>
        <v/>
      </c>
      <c r="E296" s="219" t="str">
        <f>IF($A296="","",IF($K296="DIESEL",AVERAGEIFS(Table1[RSP],Table1[Customer],$B296,Table1[Date],$A296,Table1[Bill No.],$C296),IF($K296="PETROL",AVERAGEIFS(Table14[RSP],Table14[Customer],$B296,Table14[Date],$A296,Table14[Bill No.],$C296),IF($K296="XtraGreen",AVERAGEIFS(Table146[RSP],Table146[Company],$B296,Table146[Date],$A296,Table146[Bill No.],$C296),IFERROR($F296/$D296,"")))))</f>
        <v/>
      </c>
      <c r="F296" s="330" t="str">
        <f>IF($A296="","",IF($K296="DIESEL",SUMIFS(Table1[Amount],Table1[Customer],$B296,Table1[Date],$A296,Table1[Bill No.],$C296),IF($K296="PETROL",SUMIFS(Table14[Amount],Table14[Customer],$B296,Table14[Date],$A296,Table14[Bill No.],$C296),IF($K296="XtraGreen",SUMIFS(Table146[Amount],Table146[Company],$B296,Table146[Date],$A296,Table146[Bill No.],$C296),SUMIFS('Other Sale'!$D:$D,'Other Sale'!$E:$E,$B296,'Other Sale'!$C:$C,$K296,'Other Sale'!$A:$A,$A296)))))</f>
        <v/>
      </c>
      <c r="G296" s="330" t="str" cm="1">
        <f t="array" ref="G296">IF($A296="","",IF($K296="Payment",IFERROR(INDEX(_xlfn._xlws.FILTER(MasterPaid[Amount Paid],(MasterPaid[Customer]=$B296)*(MasterPaid[Date]=$A296)),COUNTIFS($A$6:$A296,$A296,$B$6:$B296,$B296,$K$6:$K296,"Payment")),0),0))</f>
        <v/>
      </c>
      <c r="H296" s="331"/>
      <c r="I296" s="331"/>
      <c r="J296" s="330" t="str">
        <f t="shared" si="4"/>
        <v/>
      </c>
      <c r="K296" s="289" t="str" cm="1">
        <f t="array" ref="K296">IFERROR(INDEX(_xlfn.ANCHORARRAY($Q$6),ROW()-5,4),"")</f>
        <v/>
      </c>
      <c r="L296" s="290"/>
      <c r="U296">
        <f>IF(OR($A296="",$F296=""),0,MAX(0,MIN($F296,SUMIFS($F$6:$F296,$B$6:$B296,$B296)-(SUMIFS($G$6:$G$355,$B$6:$B$355,$B296)+SUMIFS($H$6:$H$355,$B$6:$B$355,$B296)+SUMIFS($I$6:$I$355,$B$6:$B$355,$B296)))))</f>
        <v>0</v>
      </c>
    </row>
    <row r="297" spans="1:21" ht="23" x14ac:dyDescent="0.25">
      <c r="A297" s="217" t="str" cm="1">
        <f t="array" ref="A297">IFERROR(INDEX(_xlfn.ANCHORARRAY($Q$6),ROW()-5,1),"")</f>
        <v/>
      </c>
      <c r="B297" s="288" t="str" cm="1">
        <f t="array" ref="B297">IFERROR(INDEX(_xlfn.ANCHORARRAY($Q$6),ROW()-5,2),"")</f>
        <v/>
      </c>
      <c r="C297" s="289" t="str" cm="1">
        <f t="array" ref="C297">IFERROR(INDEX(_xlfn.ANCHORARRAY($Q$6),ROW()-5,3),"")</f>
        <v/>
      </c>
      <c r="D297" s="218" t="str">
        <f>IF($A297="","",IF($K297="DIESEL",SUMIFS(Table1[Quantity],Table1[Customer],$B297,Table1[Date],$A297,Table1[Bill No.],$C297),IF($K297="PETROL",SUMIFS(Table14[Quantity],Table14[Customer],$B297,Table14[Date],$A297,Table14[Bill No.],$C297),IF($K297="XtraGreen",SUMIFS(Table146[Quantity],Table146[Company],$B297,Table146[Date],$A297,Table146[Bill No.],$C297),""))))</f>
        <v/>
      </c>
      <c r="E297" s="219" t="str">
        <f>IF($A297="","",IF($K297="DIESEL",AVERAGEIFS(Table1[RSP],Table1[Customer],$B297,Table1[Date],$A297,Table1[Bill No.],$C297),IF($K297="PETROL",AVERAGEIFS(Table14[RSP],Table14[Customer],$B297,Table14[Date],$A297,Table14[Bill No.],$C297),IF($K297="XtraGreen",AVERAGEIFS(Table146[RSP],Table146[Company],$B297,Table146[Date],$A297,Table146[Bill No.],$C297),IFERROR($F297/$D297,"")))))</f>
        <v/>
      </c>
      <c r="F297" s="330" t="str">
        <f>IF($A297="","",IF($K297="DIESEL",SUMIFS(Table1[Amount],Table1[Customer],$B297,Table1[Date],$A297,Table1[Bill No.],$C297),IF($K297="PETROL",SUMIFS(Table14[Amount],Table14[Customer],$B297,Table14[Date],$A297,Table14[Bill No.],$C297),IF($K297="XtraGreen",SUMIFS(Table146[Amount],Table146[Company],$B297,Table146[Date],$A297,Table146[Bill No.],$C297),SUMIFS('Other Sale'!$D:$D,'Other Sale'!$E:$E,$B297,'Other Sale'!$C:$C,$K297,'Other Sale'!$A:$A,$A297)))))</f>
        <v/>
      </c>
      <c r="G297" s="330" t="str" cm="1">
        <f t="array" ref="G297">IF($A297="","",IF($K297="Payment",IFERROR(INDEX(_xlfn._xlws.FILTER(MasterPaid[Amount Paid],(MasterPaid[Customer]=$B297)*(MasterPaid[Date]=$A297)),COUNTIFS($A$6:$A297,$A297,$B$6:$B297,$B297,$K$6:$K297,"Payment")),0),0))</f>
        <v/>
      </c>
      <c r="H297" s="331"/>
      <c r="I297" s="331"/>
      <c r="J297" s="330" t="str">
        <f t="shared" si="4"/>
        <v/>
      </c>
      <c r="K297" s="289" t="str" cm="1">
        <f t="array" ref="K297">IFERROR(INDEX(_xlfn.ANCHORARRAY($Q$6),ROW()-5,4),"")</f>
        <v/>
      </c>
      <c r="L297" s="290"/>
      <c r="U297">
        <f>IF(OR($A297="",$F297=""),0,MAX(0,MIN($F297,SUMIFS($F$6:$F297,$B$6:$B297,$B297)-(SUMIFS($G$6:$G$355,$B$6:$B$355,$B297)+SUMIFS($H$6:$H$355,$B$6:$B$355,$B297)+SUMIFS($I$6:$I$355,$B$6:$B$355,$B297)))))</f>
        <v>0</v>
      </c>
    </row>
    <row r="298" spans="1:21" ht="23" x14ac:dyDescent="0.25">
      <c r="A298" s="217" t="str" cm="1">
        <f t="array" ref="A298">IFERROR(INDEX(_xlfn.ANCHORARRAY($Q$6),ROW()-5,1),"")</f>
        <v/>
      </c>
      <c r="B298" s="288" t="str" cm="1">
        <f t="array" ref="B298">IFERROR(INDEX(_xlfn.ANCHORARRAY($Q$6),ROW()-5,2),"")</f>
        <v/>
      </c>
      <c r="C298" s="289" t="str" cm="1">
        <f t="array" ref="C298">IFERROR(INDEX(_xlfn.ANCHORARRAY($Q$6),ROW()-5,3),"")</f>
        <v/>
      </c>
      <c r="D298" s="218" t="str">
        <f>IF($A298="","",IF($K298="DIESEL",SUMIFS(Table1[Quantity],Table1[Customer],$B298,Table1[Date],$A298,Table1[Bill No.],$C298),IF($K298="PETROL",SUMIFS(Table14[Quantity],Table14[Customer],$B298,Table14[Date],$A298,Table14[Bill No.],$C298),IF($K298="XtraGreen",SUMIFS(Table146[Quantity],Table146[Company],$B298,Table146[Date],$A298,Table146[Bill No.],$C298),""))))</f>
        <v/>
      </c>
      <c r="E298" s="219" t="str">
        <f>IF($A298="","",IF($K298="DIESEL",AVERAGEIFS(Table1[RSP],Table1[Customer],$B298,Table1[Date],$A298,Table1[Bill No.],$C298),IF($K298="PETROL",AVERAGEIFS(Table14[RSP],Table14[Customer],$B298,Table14[Date],$A298,Table14[Bill No.],$C298),IF($K298="XtraGreen",AVERAGEIFS(Table146[RSP],Table146[Company],$B298,Table146[Date],$A298,Table146[Bill No.],$C298),IFERROR($F298/$D298,"")))))</f>
        <v/>
      </c>
      <c r="F298" s="330" t="str">
        <f>IF($A298="","",IF($K298="DIESEL",SUMIFS(Table1[Amount],Table1[Customer],$B298,Table1[Date],$A298,Table1[Bill No.],$C298),IF($K298="PETROL",SUMIFS(Table14[Amount],Table14[Customer],$B298,Table14[Date],$A298,Table14[Bill No.],$C298),IF($K298="XtraGreen",SUMIFS(Table146[Amount],Table146[Company],$B298,Table146[Date],$A298,Table146[Bill No.],$C298),SUMIFS('Other Sale'!$D:$D,'Other Sale'!$E:$E,$B298,'Other Sale'!$C:$C,$K298,'Other Sale'!$A:$A,$A298)))))</f>
        <v/>
      </c>
      <c r="G298" s="330" t="str" cm="1">
        <f t="array" ref="G298">IF($A298="","",IF($K298="Payment",IFERROR(INDEX(_xlfn._xlws.FILTER(MasterPaid[Amount Paid],(MasterPaid[Customer]=$B298)*(MasterPaid[Date]=$A298)),COUNTIFS($A$6:$A298,$A298,$B$6:$B298,$B298,$K$6:$K298,"Payment")),0),0))</f>
        <v/>
      </c>
      <c r="H298" s="331"/>
      <c r="I298" s="331"/>
      <c r="J298" s="330" t="str">
        <f t="shared" si="4"/>
        <v/>
      </c>
      <c r="K298" s="289" t="str" cm="1">
        <f t="array" ref="K298">IFERROR(INDEX(_xlfn.ANCHORARRAY($Q$6),ROW()-5,4),"")</f>
        <v/>
      </c>
      <c r="L298" s="290"/>
      <c r="U298">
        <f>IF(OR($A298="",$F298=""),0,MAX(0,MIN($F298,SUMIFS($F$6:$F298,$B$6:$B298,$B298)-(SUMIFS($G$6:$G$355,$B$6:$B$355,$B298)+SUMIFS($H$6:$H$355,$B$6:$B$355,$B298)+SUMIFS($I$6:$I$355,$B$6:$B$355,$B298)))))</f>
        <v>0</v>
      </c>
    </row>
    <row r="299" spans="1:21" ht="23" x14ac:dyDescent="0.25">
      <c r="A299" s="217" t="str" cm="1">
        <f t="array" ref="A299">IFERROR(INDEX(_xlfn.ANCHORARRAY($Q$6),ROW()-5,1),"")</f>
        <v/>
      </c>
      <c r="B299" s="288" t="str" cm="1">
        <f t="array" ref="B299">IFERROR(INDEX(_xlfn.ANCHORARRAY($Q$6),ROW()-5,2),"")</f>
        <v/>
      </c>
      <c r="C299" s="289" t="str" cm="1">
        <f t="array" ref="C299">IFERROR(INDEX(_xlfn.ANCHORARRAY($Q$6),ROW()-5,3),"")</f>
        <v/>
      </c>
      <c r="D299" s="218" t="str">
        <f>IF($A299="","",IF($K299="DIESEL",SUMIFS(Table1[Quantity],Table1[Customer],$B299,Table1[Date],$A299,Table1[Bill No.],$C299),IF($K299="PETROL",SUMIFS(Table14[Quantity],Table14[Customer],$B299,Table14[Date],$A299,Table14[Bill No.],$C299),IF($K299="XtraGreen",SUMIFS(Table146[Quantity],Table146[Company],$B299,Table146[Date],$A299,Table146[Bill No.],$C299),""))))</f>
        <v/>
      </c>
      <c r="E299" s="219" t="str">
        <f>IF($A299="","",IF($K299="DIESEL",AVERAGEIFS(Table1[RSP],Table1[Customer],$B299,Table1[Date],$A299,Table1[Bill No.],$C299),IF($K299="PETROL",AVERAGEIFS(Table14[RSP],Table14[Customer],$B299,Table14[Date],$A299,Table14[Bill No.],$C299),IF($K299="XtraGreen",AVERAGEIFS(Table146[RSP],Table146[Company],$B299,Table146[Date],$A299,Table146[Bill No.],$C299),IFERROR($F299/$D299,"")))))</f>
        <v/>
      </c>
      <c r="F299" s="330" t="str">
        <f>IF($A299="","",IF($K299="DIESEL",SUMIFS(Table1[Amount],Table1[Customer],$B299,Table1[Date],$A299,Table1[Bill No.],$C299),IF($K299="PETROL",SUMIFS(Table14[Amount],Table14[Customer],$B299,Table14[Date],$A299,Table14[Bill No.],$C299),IF($K299="XtraGreen",SUMIFS(Table146[Amount],Table146[Company],$B299,Table146[Date],$A299,Table146[Bill No.],$C299),SUMIFS('Other Sale'!$D:$D,'Other Sale'!$E:$E,$B299,'Other Sale'!$C:$C,$K299,'Other Sale'!$A:$A,$A299)))))</f>
        <v/>
      </c>
      <c r="G299" s="330" t="str" cm="1">
        <f t="array" ref="G299">IF($A299="","",IF($K299="Payment",IFERROR(INDEX(_xlfn._xlws.FILTER(MasterPaid[Amount Paid],(MasterPaid[Customer]=$B299)*(MasterPaid[Date]=$A299)),COUNTIFS($A$6:$A299,$A299,$B$6:$B299,$B299,$K$6:$K299,"Payment")),0),0))</f>
        <v/>
      </c>
      <c r="H299" s="331"/>
      <c r="I299" s="331"/>
      <c r="J299" s="330" t="str">
        <f t="shared" si="4"/>
        <v/>
      </c>
      <c r="K299" s="289" t="str" cm="1">
        <f t="array" ref="K299">IFERROR(INDEX(_xlfn.ANCHORARRAY($Q$6),ROW()-5,4),"")</f>
        <v/>
      </c>
      <c r="L299" s="290"/>
      <c r="U299">
        <f>IF(OR($A299="",$F299=""),0,MAX(0,MIN($F299,SUMIFS($F$6:$F299,$B$6:$B299,$B299)-(SUMIFS($G$6:$G$355,$B$6:$B$355,$B299)+SUMIFS($H$6:$H$355,$B$6:$B$355,$B299)+SUMIFS($I$6:$I$355,$B$6:$B$355,$B299)))))</f>
        <v>0</v>
      </c>
    </row>
    <row r="300" spans="1:21" ht="23" x14ac:dyDescent="0.25">
      <c r="A300" s="217" t="str" cm="1">
        <f t="array" ref="A300">IFERROR(INDEX(_xlfn.ANCHORARRAY($Q$6),ROW()-5,1),"")</f>
        <v/>
      </c>
      <c r="B300" s="288" t="str" cm="1">
        <f t="array" ref="B300">IFERROR(INDEX(_xlfn.ANCHORARRAY($Q$6),ROW()-5,2),"")</f>
        <v/>
      </c>
      <c r="C300" s="289" t="str" cm="1">
        <f t="array" ref="C300">IFERROR(INDEX(_xlfn.ANCHORARRAY($Q$6),ROW()-5,3),"")</f>
        <v/>
      </c>
      <c r="D300" s="218" t="str">
        <f>IF($A300="","",IF($K300="DIESEL",SUMIFS(Table1[Quantity],Table1[Customer],$B300,Table1[Date],$A300,Table1[Bill No.],$C300),IF($K300="PETROL",SUMIFS(Table14[Quantity],Table14[Customer],$B300,Table14[Date],$A300,Table14[Bill No.],$C300),IF($K300="XtraGreen",SUMIFS(Table146[Quantity],Table146[Company],$B300,Table146[Date],$A300,Table146[Bill No.],$C300),""))))</f>
        <v/>
      </c>
      <c r="E300" s="219" t="str">
        <f>IF($A300="","",IF($K300="DIESEL",AVERAGEIFS(Table1[RSP],Table1[Customer],$B300,Table1[Date],$A300,Table1[Bill No.],$C300),IF($K300="PETROL",AVERAGEIFS(Table14[RSP],Table14[Customer],$B300,Table14[Date],$A300,Table14[Bill No.],$C300),IF($K300="XtraGreen",AVERAGEIFS(Table146[RSP],Table146[Company],$B300,Table146[Date],$A300,Table146[Bill No.],$C300),IFERROR($F300/$D300,"")))))</f>
        <v/>
      </c>
      <c r="F300" s="330" t="str">
        <f>IF($A300="","",IF($K300="DIESEL",SUMIFS(Table1[Amount],Table1[Customer],$B300,Table1[Date],$A300,Table1[Bill No.],$C300),IF($K300="PETROL",SUMIFS(Table14[Amount],Table14[Customer],$B300,Table14[Date],$A300,Table14[Bill No.],$C300),IF($K300="XtraGreen",SUMIFS(Table146[Amount],Table146[Company],$B300,Table146[Date],$A300,Table146[Bill No.],$C300),SUMIFS('Other Sale'!$D:$D,'Other Sale'!$E:$E,$B300,'Other Sale'!$C:$C,$K300,'Other Sale'!$A:$A,$A300)))))</f>
        <v/>
      </c>
      <c r="G300" s="330" t="str" cm="1">
        <f t="array" ref="G300">IF($A300="","",IF($K300="Payment",IFERROR(INDEX(_xlfn._xlws.FILTER(MasterPaid[Amount Paid],(MasterPaid[Customer]=$B300)*(MasterPaid[Date]=$A300)),COUNTIFS($A$6:$A300,$A300,$B$6:$B300,$B300,$K$6:$K300,"Payment")),0),0))</f>
        <v/>
      </c>
      <c r="H300" s="331"/>
      <c r="I300" s="331"/>
      <c r="J300" s="330" t="str">
        <f t="shared" si="4"/>
        <v/>
      </c>
      <c r="K300" s="289" t="str" cm="1">
        <f t="array" ref="K300">IFERROR(INDEX(_xlfn.ANCHORARRAY($Q$6),ROW()-5,4),"")</f>
        <v/>
      </c>
      <c r="L300" s="290"/>
      <c r="U300">
        <f>IF(OR($A300="",$F300=""),0,MAX(0,MIN($F300,SUMIFS($F$6:$F300,$B$6:$B300,$B300)-(SUMIFS($G$6:$G$355,$B$6:$B$355,$B300)+SUMIFS($H$6:$H$355,$B$6:$B$355,$B300)+SUMIFS($I$6:$I$355,$B$6:$B$355,$B300)))))</f>
        <v>0</v>
      </c>
    </row>
    <row r="301" spans="1:21" ht="23" x14ac:dyDescent="0.25">
      <c r="A301" s="217" t="str" cm="1">
        <f t="array" ref="A301">IFERROR(INDEX(_xlfn.ANCHORARRAY($Q$6),ROW()-5,1),"")</f>
        <v/>
      </c>
      <c r="B301" s="288" t="str" cm="1">
        <f t="array" ref="B301">IFERROR(INDEX(_xlfn.ANCHORARRAY($Q$6),ROW()-5,2),"")</f>
        <v/>
      </c>
      <c r="C301" s="289" t="str" cm="1">
        <f t="array" ref="C301">IFERROR(INDEX(_xlfn.ANCHORARRAY($Q$6),ROW()-5,3),"")</f>
        <v/>
      </c>
      <c r="D301" s="218" t="str">
        <f>IF($A301="","",IF($K301="DIESEL",SUMIFS(Table1[Quantity],Table1[Customer],$B301,Table1[Date],$A301,Table1[Bill No.],$C301),IF($K301="PETROL",SUMIFS(Table14[Quantity],Table14[Customer],$B301,Table14[Date],$A301,Table14[Bill No.],$C301),IF($K301="XtraGreen",SUMIFS(Table146[Quantity],Table146[Company],$B301,Table146[Date],$A301,Table146[Bill No.],$C301),""))))</f>
        <v/>
      </c>
      <c r="E301" s="219" t="str">
        <f>IF($A301="","",IF($K301="DIESEL",AVERAGEIFS(Table1[RSP],Table1[Customer],$B301,Table1[Date],$A301,Table1[Bill No.],$C301),IF($K301="PETROL",AVERAGEIFS(Table14[RSP],Table14[Customer],$B301,Table14[Date],$A301,Table14[Bill No.],$C301),IF($K301="XtraGreen",AVERAGEIFS(Table146[RSP],Table146[Company],$B301,Table146[Date],$A301,Table146[Bill No.],$C301),IFERROR($F301/$D301,"")))))</f>
        <v/>
      </c>
      <c r="F301" s="330" t="str">
        <f>IF($A301="","",IF($K301="DIESEL",SUMIFS(Table1[Amount],Table1[Customer],$B301,Table1[Date],$A301,Table1[Bill No.],$C301),IF($K301="PETROL",SUMIFS(Table14[Amount],Table14[Customer],$B301,Table14[Date],$A301,Table14[Bill No.],$C301),IF($K301="XtraGreen",SUMIFS(Table146[Amount],Table146[Company],$B301,Table146[Date],$A301,Table146[Bill No.],$C301),SUMIFS('Other Sale'!$D:$D,'Other Sale'!$E:$E,$B301,'Other Sale'!$C:$C,$K301,'Other Sale'!$A:$A,$A301)))))</f>
        <v/>
      </c>
      <c r="G301" s="330" t="str" cm="1">
        <f t="array" ref="G301">IF($A301="","",IF($K301="Payment",IFERROR(INDEX(_xlfn._xlws.FILTER(MasterPaid[Amount Paid],(MasterPaid[Customer]=$B301)*(MasterPaid[Date]=$A301)),COUNTIFS($A$6:$A301,$A301,$B$6:$B301,$B301,$K$6:$K301,"Payment")),0),0))</f>
        <v/>
      </c>
      <c r="H301" s="331"/>
      <c r="I301" s="331"/>
      <c r="J301" s="330" t="str">
        <f t="shared" si="4"/>
        <v/>
      </c>
      <c r="K301" s="289" t="str" cm="1">
        <f t="array" ref="K301">IFERROR(INDEX(_xlfn.ANCHORARRAY($Q$6),ROW()-5,4),"")</f>
        <v/>
      </c>
      <c r="L301" s="290"/>
      <c r="U301">
        <f>IF(OR($A301="",$F301=""),0,MAX(0,MIN($F301,SUMIFS($F$6:$F301,$B$6:$B301,$B301)-(SUMIFS($G$6:$G$355,$B$6:$B$355,$B301)+SUMIFS($H$6:$H$355,$B$6:$B$355,$B301)+SUMIFS($I$6:$I$355,$B$6:$B$355,$B301)))))</f>
        <v>0</v>
      </c>
    </row>
    <row r="302" spans="1:21" ht="23" x14ac:dyDescent="0.25">
      <c r="A302" s="217" t="str" cm="1">
        <f t="array" ref="A302">IFERROR(INDEX(_xlfn.ANCHORARRAY($Q$6),ROW()-5,1),"")</f>
        <v/>
      </c>
      <c r="B302" s="288" t="str" cm="1">
        <f t="array" ref="B302">IFERROR(INDEX(_xlfn.ANCHORARRAY($Q$6),ROW()-5,2),"")</f>
        <v/>
      </c>
      <c r="C302" s="289" t="str" cm="1">
        <f t="array" ref="C302">IFERROR(INDEX(_xlfn.ANCHORARRAY($Q$6),ROW()-5,3),"")</f>
        <v/>
      </c>
      <c r="D302" s="218" t="str">
        <f>IF($A302="","",IF($K302="DIESEL",SUMIFS(Table1[Quantity],Table1[Customer],$B302,Table1[Date],$A302,Table1[Bill No.],$C302),IF($K302="PETROL",SUMIFS(Table14[Quantity],Table14[Customer],$B302,Table14[Date],$A302,Table14[Bill No.],$C302),IF($K302="XtraGreen",SUMIFS(Table146[Quantity],Table146[Company],$B302,Table146[Date],$A302,Table146[Bill No.],$C302),""))))</f>
        <v/>
      </c>
      <c r="E302" s="219" t="str">
        <f>IF($A302="","",IF($K302="DIESEL",AVERAGEIFS(Table1[RSP],Table1[Customer],$B302,Table1[Date],$A302,Table1[Bill No.],$C302),IF($K302="PETROL",AVERAGEIFS(Table14[RSP],Table14[Customer],$B302,Table14[Date],$A302,Table14[Bill No.],$C302),IF($K302="XtraGreen",AVERAGEIFS(Table146[RSP],Table146[Company],$B302,Table146[Date],$A302,Table146[Bill No.],$C302),IFERROR($F302/$D302,"")))))</f>
        <v/>
      </c>
      <c r="F302" s="330" t="str">
        <f>IF($A302="","",IF($K302="DIESEL",SUMIFS(Table1[Amount],Table1[Customer],$B302,Table1[Date],$A302,Table1[Bill No.],$C302),IF($K302="PETROL",SUMIFS(Table14[Amount],Table14[Customer],$B302,Table14[Date],$A302,Table14[Bill No.],$C302),IF($K302="XtraGreen",SUMIFS(Table146[Amount],Table146[Company],$B302,Table146[Date],$A302,Table146[Bill No.],$C302),SUMIFS('Other Sale'!$D:$D,'Other Sale'!$E:$E,$B302,'Other Sale'!$C:$C,$K302,'Other Sale'!$A:$A,$A302)))))</f>
        <v/>
      </c>
      <c r="G302" s="330" t="str" cm="1">
        <f t="array" ref="G302">IF($A302="","",IF($K302="Payment",IFERROR(INDEX(_xlfn._xlws.FILTER(MasterPaid[Amount Paid],(MasterPaid[Customer]=$B302)*(MasterPaid[Date]=$A302)),COUNTIFS($A$6:$A302,$A302,$B$6:$B302,$B302,$K$6:$K302,"Payment")),0),0))</f>
        <v/>
      </c>
      <c r="H302" s="331"/>
      <c r="I302" s="331"/>
      <c r="J302" s="330" t="str">
        <f t="shared" si="4"/>
        <v/>
      </c>
      <c r="K302" s="289" t="str" cm="1">
        <f t="array" ref="K302">IFERROR(INDEX(_xlfn.ANCHORARRAY($Q$6),ROW()-5,4),"")</f>
        <v/>
      </c>
      <c r="L302" s="290"/>
      <c r="U302">
        <f>IF(OR($A302="",$F302=""),0,MAX(0,MIN($F302,SUMIFS($F$6:$F302,$B$6:$B302,$B302)-(SUMIFS($G$6:$G$355,$B$6:$B$355,$B302)+SUMIFS($H$6:$H$355,$B$6:$B$355,$B302)+SUMIFS($I$6:$I$355,$B$6:$B$355,$B302)))))</f>
        <v>0</v>
      </c>
    </row>
    <row r="303" spans="1:21" ht="23" x14ac:dyDescent="0.25">
      <c r="A303" s="217" t="str" cm="1">
        <f t="array" ref="A303">IFERROR(INDEX(_xlfn.ANCHORARRAY($Q$6),ROW()-5,1),"")</f>
        <v/>
      </c>
      <c r="B303" s="288" t="str" cm="1">
        <f t="array" ref="B303">IFERROR(INDEX(_xlfn.ANCHORARRAY($Q$6),ROW()-5,2),"")</f>
        <v/>
      </c>
      <c r="C303" s="289" t="str" cm="1">
        <f t="array" ref="C303">IFERROR(INDEX(_xlfn.ANCHORARRAY($Q$6),ROW()-5,3),"")</f>
        <v/>
      </c>
      <c r="D303" s="218" t="str">
        <f>IF($A303="","",IF($K303="DIESEL",SUMIFS(Table1[Quantity],Table1[Customer],$B303,Table1[Date],$A303,Table1[Bill No.],$C303),IF($K303="PETROL",SUMIFS(Table14[Quantity],Table14[Customer],$B303,Table14[Date],$A303,Table14[Bill No.],$C303),IF($K303="XtraGreen",SUMIFS(Table146[Quantity],Table146[Company],$B303,Table146[Date],$A303,Table146[Bill No.],$C303),""))))</f>
        <v/>
      </c>
      <c r="E303" s="219" t="str">
        <f>IF($A303="","",IF($K303="DIESEL",AVERAGEIFS(Table1[RSP],Table1[Customer],$B303,Table1[Date],$A303,Table1[Bill No.],$C303),IF($K303="PETROL",AVERAGEIFS(Table14[RSP],Table14[Customer],$B303,Table14[Date],$A303,Table14[Bill No.],$C303),IF($K303="XtraGreen",AVERAGEIFS(Table146[RSP],Table146[Company],$B303,Table146[Date],$A303,Table146[Bill No.],$C303),IFERROR($F303/$D303,"")))))</f>
        <v/>
      </c>
      <c r="F303" s="330" t="str">
        <f>IF($A303="","",IF($K303="DIESEL",SUMIFS(Table1[Amount],Table1[Customer],$B303,Table1[Date],$A303,Table1[Bill No.],$C303),IF($K303="PETROL",SUMIFS(Table14[Amount],Table14[Customer],$B303,Table14[Date],$A303,Table14[Bill No.],$C303),IF($K303="XtraGreen",SUMIFS(Table146[Amount],Table146[Company],$B303,Table146[Date],$A303,Table146[Bill No.],$C303),SUMIFS('Other Sale'!$D:$D,'Other Sale'!$E:$E,$B303,'Other Sale'!$C:$C,$K303,'Other Sale'!$A:$A,$A303)))))</f>
        <v/>
      </c>
      <c r="G303" s="330" t="str" cm="1">
        <f t="array" ref="G303">IF($A303="","",IF($K303="Payment",IFERROR(INDEX(_xlfn._xlws.FILTER(MasterPaid[Amount Paid],(MasterPaid[Customer]=$B303)*(MasterPaid[Date]=$A303)),COUNTIFS($A$6:$A303,$A303,$B$6:$B303,$B303,$K$6:$K303,"Payment")),0),0))</f>
        <v/>
      </c>
      <c r="H303" s="331"/>
      <c r="I303" s="331"/>
      <c r="J303" s="330" t="str">
        <f t="shared" si="4"/>
        <v/>
      </c>
      <c r="K303" s="289" t="str" cm="1">
        <f t="array" ref="K303">IFERROR(INDEX(_xlfn.ANCHORARRAY($Q$6),ROW()-5,4),"")</f>
        <v/>
      </c>
      <c r="L303" s="290"/>
      <c r="U303">
        <f>IF(OR($A303="",$F303=""),0,MAX(0,MIN($F303,SUMIFS($F$6:$F303,$B$6:$B303,$B303)-(SUMIFS($G$6:$G$355,$B$6:$B$355,$B303)+SUMIFS($H$6:$H$355,$B$6:$B$355,$B303)+SUMIFS($I$6:$I$355,$B$6:$B$355,$B303)))))</f>
        <v>0</v>
      </c>
    </row>
    <row r="304" spans="1:21" ht="23" x14ac:dyDescent="0.25">
      <c r="A304" s="217" t="str" cm="1">
        <f t="array" ref="A304">IFERROR(INDEX(_xlfn.ANCHORARRAY($Q$6),ROW()-5,1),"")</f>
        <v/>
      </c>
      <c r="B304" s="288" t="str" cm="1">
        <f t="array" ref="B304">IFERROR(INDEX(_xlfn.ANCHORARRAY($Q$6),ROW()-5,2),"")</f>
        <v/>
      </c>
      <c r="C304" s="289" t="str" cm="1">
        <f t="array" ref="C304">IFERROR(INDEX(_xlfn.ANCHORARRAY($Q$6),ROW()-5,3),"")</f>
        <v/>
      </c>
      <c r="D304" s="218" t="str">
        <f>IF($A304="","",IF($K304="DIESEL",SUMIFS(Table1[Quantity],Table1[Customer],$B304,Table1[Date],$A304,Table1[Bill No.],$C304),IF($K304="PETROL",SUMIFS(Table14[Quantity],Table14[Customer],$B304,Table14[Date],$A304,Table14[Bill No.],$C304),IF($K304="XtraGreen",SUMIFS(Table146[Quantity],Table146[Company],$B304,Table146[Date],$A304,Table146[Bill No.],$C304),""))))</f>
        <v/>
      </c>
      <c r="E304" s="219" t="str">
        <f>IF($A304="","",IF($K304="DIESEL",AVERAGEIFS(Table1[RSP],Table1[Customer],$B304,Table1[Date],$A304,Table1[Bill No.],$C304),IF($K304="PETROL",AVERAGEIFS(Table14[RSP],Table14[Customer],$B304,Table14[Date],$A304,Table14[Bill No.],$C304),IF($K304="XtraGreen",AVERAGEIFS(Table146[RSP],Table146[Company],$B304,Table146[Date],$A304,Table146[Bill No.],$C304),IFERROR($F304/$D304,"")))))</f>
        <v/>
      </c>
      <c r="F304" s="330" t="str">
        <f>IF($A304="","",IF($K304="DIESEL",SUMIFS(Table1[Amount],Table1[Customer],$B304,Table1[Date],$A304,Table1[Bill No.],$C304),IF($K304="PETROL",SUMIFS(Table14[Amount],Table14[Customer],$B304,Table14[Date],$A304,Table14[Bill No.],$C304),IF($K304="XtraGreen",SUMIFS(Table146[Amount],Table146[Company],$B304,Table146[Date],$A304,Table146[Bill No.],$C304),SUMIFS('Other Sale'!$D:$D,'Other Sale'!$E:$E,$B304,'Other Sale'!$C:$C,$K304,'Other Sale'!$A:$A,$A304)))))</f>
        <v/>
      </c>
      <c r="G304" s="330" t="str" cm="1">
        <f t="array" ref="G304">IF($A304="","",IF($K304="Payment",IFERROR(INDEX(_xlfn._xlws.FILTER(MasterPaid[Amount Paid],(MasterPaid[Customer]=$B304)*(MasterPaid[Date]=$A304)),COUNTIFS($A$6:$A304,$A304,$B$6:$B304,$B304,$K$6:$K304,"Payment")),0),0))</f>
        <v/>
      </c>
      <c r="H304" s="331"/>
      <c r="I304" s="331"/>
      <c r="J304" s="330" t="str">
        <f t="shared" si="4"/>
        <v/>
      </c>
      <c r="K304" s="289" t="str" cm="1">
        <f t="array" ref="K304">IFERROR(INDEX(_xlfn.ANCHORARRAY($Q$6),ROW()-5,4),"")</f>
        <v/>
      </c>
      <c r="L304" s="290"/>
      <c r="U304">
        <f>IF(OR($A304="",$F304=""),0,MAX(0,MIN($F304,SUMIFS($F$6:$F304,$B$6:$B304,$B304)-(SUMIFS($G$6:$G$355,$B$6:$B$355,$B304)+SUMIFS($H$6:$H$355,$B$6:$B$355,$B304)+SUMIFS($I$6:$I$355,$B$6:$B$355,$B304)))))</f>
        <v>0</v>
      </c>
    </row>
    <row r="305" spans="1:21" ht="23" x14ac:dyDescent="0.25">
      <c r="A305" s="217" t="str" cm="1">
        <f t="array" ref="A305">IFERROR(INDEX(_xlfn.ANCHORARRAY($Q$6),ROW()-5,1),"")</f>
        <v/>
      </c>
      <c r="B305" s="288" t="str" cm="1">
        <f t="array" ref="B305">IFERROR(INDEX(_xlfn.ANCHORARRAY($Q$6),ROW()-5,2),"")</f>
        <v/>
      </c>
      <c r="C305" s="289" t="str" cm="1">
        <f t="array" ref="C305">IFERROR(INDEX(_xlfn.ANCHORARRAY($Q$6),ROW()-5,3),"")</f>
        <v/>
      </c>
      <c r="D305" s="218" t="str">
        <f>IF($A305="","",IF($K305="DIESEL",SUMIFS(Table1[Quantity],Table1[Customer],$B305,Table1[Date],$A305,Table1[Bill No.],$C305),IF($K305="PETROL",SUMIFS(Table14[Quantity],Table14[Customer],$B305,Table14[Date],$A305,Table14[Bill No.],$C305),IF($K305="XtraGreen",SUMIFS(Table146[Quantity],Table146[Company],$B305,Table146[Date],$A305,Table146[Bill No.],$C305),""))))</f>
        <v/>
      </c>
      <c r="E305" s="219" t="str">
        <f>IF($A305="","",IF($K305="DIESEL",AVERAGEIFS(Table1[RSP],Table1[Customer],$B305,Table1[Date],$A305,Table1[Bill No.],$C305),IF($K305="PETROL",AVERAGEIFS(Table14[RSP],Table14[Customer],$B305,Table14[Date],$A305,Table14[Bill No.],$C305),IF($K305="XtraGreen",AVERAGEIFS(Table146[RSP],Table146[Company],$B305,Table146[Date],$A305,Table146[Bill No.],$C305),IFERROR($F305/$D305,"")))))</f>
        <v/>
      </c>
      <c r="F305" s="330" t="str">
        <f>IF($A305="","",IF($K305="DIESEL",SUMIFS(Table1[Amount],Table1[Customer],$B305,Table1[Date],$A305,Table1[Bill No.],$C305),IF($K305="PETROL",SUMIFS(Table14[Amount],Table14[Customer],$B305,Table14[Date],$A305,Table14[Bill No.],$C305),IF($K305="XtraGreen",SUMIFS(Table146[Amount],Table146[Company],$B305,Table146[Date],$A305,Table146[Bill No.],$C305),SUMIFS('Other Sale'!$D:$D,'Other Sale'!$E:$E,$B305,'Other Sale'!$C:$C,$K305,'Other Sale'!$A:$A,$A305)))))</f>
        <v/>
      </c>
      <c r="G305" s="330" t="str" cm="1">
        <f t="array" ref="G305">IF($A305="","",IF($K305="Payment",IFERROR(INDEX(_xlfn._xlws.FILTER(MasterPaid[Amount Paid],(MasterPaid[Customer]=$B305)*(MasterPaid[Date]=$A305)),COUNTIFS($A$6:$A305,$A305,$B$6:$B305,$B305,$K$6:$K305,"Payment")),0),0))</f>
        <v/>
      </c>
      <c r="H305" s="331"/>
      <c r="I305" s="331"/>
      <c r="J305" s="330" t="str">
        <f t="shared" si="4"/>
        <v/>
      </c>
      <c r="K305" s="289" t="str" cm="1">
        <f t="array" ref="K305">IFERROR(INDEX(_xlfn.ANCHORARRAY($Q$6),ROW()-5,4),"")</f>
        <v/>
      </c>
      <c r="L305" s="290"/>
      <c r="U305">
        <f>IF(OR($A305="",$F305=""),0,MAX(0,MIN($F305,SUMIFS($F$6:$F305,$B$6:$B305,$B305)-(SUMIFS($G$6:$G$355,$B$6:$B$355,$B305)+SUMIFS($H$6:$H$355,$B$6:$B$355,$B305)+SUMIFS($I$6:$I$355,$B$6:$B$355,$B305)))))</f>
        <v>0</v>
      </c>
    </row>
    <row r="306" spans="1:21" ht="23" x14ac:dyDescent="0.25">
      <c r="A306" s="217" t="str" cm="1">
        <f t="array" ref="A306">IFERROR(INDEX(_xlfn.ANCHORARRAY($Q$6),ROW()-5,1),"")</f>
        <v/>
      </c>
      <c r="B306" s="288" t="str" cm="1">
        <f t="array" ref="B306">IFERROR(INDEX(_xlfn.ANCHORARRAY($Q$6),ROW()-5,2),"")</f>
        <v/>
      </c>
      <c r="C306" s="289" t="str" cm="1">
        <f t="array" ref="C306">IFERROR(INDEX(_xlfn.ANCHORARRAY($Q$6),ROW()-5,3),"")</f>
        <v/>
      </c>
      <c r="D306" s="218" t="str">
        <f>IF($A306="","",IF($K306="DIESEL",SUMIFS(Table1[Quantity],Table1[Customer],$B306,Table1[Date],$A306,Table1[Bill No.],$C306),IF($K306="PETROL",SUMIFS(Table14[Quantity],Table14[Customer],$B306,Table14[Date],$A306,Table14[Bill No.],$C306),IF($K306="XtraGreen",SUMIFS(Table146[Quantity],Table146[Company],$B306,Table146[Date],$A306,Table146[Bill No.],$C306),""))))</f>
        <v/>
      </c>
      <c r="E306" s="219" t="str">
        <f>IF($A306="","",IF($K306="DIESEL",AVERAGEIFS(Table1[RSP],Table1[Customer],$B306,Table1[Date],$A306,Table1[Bill No.],$C306),IF($K306="PETROL",AVERAGEIFS(Table14[RSP],Table14[Customer],$B306,Table14[Date],$A306,Table14[Bill No.],$C306),IF($K306="XtraGreen",AVERAGEIFS(Table146[RSP],Table146[Company],$B306,Table146[Date],$A306,Table146[Bill No.],$C306),IFERROR($F306/$D306,"")))))</f>
        <v/>
      </c>
      <c r="F306" s="330" t="str">
        <f>IF($A306="","",IF($K306="DIESEL",SUMIFS(Table1[Amount],Table1[Customer],$B306,Table1[Date],$A306,Table1[Bill No.],$C306),IF($K306="PETROL",SUMIFS(Table14[Amount],Table14[Customer],$B306,Table14[Date],$A306,Table14[Bill No.],$C306),IF($K306="XtraGreen",SUMIFS(Table146[Amount],Table146[Company],$B306,Table146[Date],$A306,Table146[Bill No.],$C306),SUMIFS('Other Sale'!$D:$D,'Other Sale'!$E:$E,$B306,'Other Sale'!$C:$C,$K306,'Other Sale'!$A:$A,$A306)))))</f>
        <v/>
      </c>
      <c r="G306" s="330" t="str" cm="1">
        <f t="array" ref="G306">IF($A306="","",IF($K306="Payment",IFERROR(INDEX(_xlfn._xlws.FILTER(MasterPaid[Amount Paid],(MasterPaid[Customer]=$B306)*(MasterPaid[Date]=$A306)),COUNTIFS($A$6:$A306,$A306,$B$6:$B306,$B306,$K$6:$K306,"Payment")),0),0))</f>
        <v/>
      </c>
      <c r="H306" s="331"/>
      <c r="I306" s="331"/>
      <c r="J306" s="330" t="str">
        <f t="shared" si="4"/>
        <v/>
      </c>
      <c r="K306" s="289" t="str" cm="1">
        <f t="array" ref="K306">IFERROR(INDEX(_xlfn.ANCHORARRAY($Q$6),ROW()-5,4),"")</f>
        <v/>
      </c>
      <c r="L306" s="290"/>
      <c r="U306">
        <f>IF(OR($A306="",$F306=""),0,MAX(0,MIN($F306,SUMIFS($F$6:$F306,$B$6:$B306,$B306)-(SUMIFS($G$6:$G$355,$B$6:$B$355,$B306)+SUMIFS($H$6:$H$355,$B$6:$B$355,$B306)+SUMIFS($I$6:$I$355,$B$6:$B$355,$B306)))))</f>
        <v>0</v>
      </c>
    </row>
    <row r="307" spans="1:21" ht="23" x14ac:dyDescent="0.25">
      <c r="A307" s="217" t="str" cm="1">
        <f t="array" ref="A307">IFERROR(INDEX(_xlfn.ANCHORARRAY($Q$6),ROW()-5,1),"")</f>
        <v/>
      </c>
      <c r="B307" s="288" t="str" cm="1">
        <f t="array" ref="B307">IFERROR(INDEX(_xlfn.ANCHORARRAY($Q$6),ROW()-5,2),"")</f>
        <v/>
      </c>
      <c r="C307" s="289" t="str" cm="1">
        <f t="array" ref="C307">IFERROR(INDEX(_xlfn.ANCHORARRAY($Q$6),ROW()-5,3),"")</f>
        <v/>
      </c>
      <c r="D307" s="218" t="str">
        <f>IF($A307="","",IF($K307="DIESEL",SUMIFS(Table1[Quantity],Table1[Customer],$B307,Table1[Date],$A307,Table1[Bill No.],$C307),IF($K307="PETROL",SUMIFS(Table14[Quantity],Table14[Customer],$B307,Table14[Date],$A307,Table14[Bill No.],$C307),IF($K307="XtraGreen",SUMIFS(Table146[Quantity],Table146[Company],$B307,Table146[Date],$A307,Table146[Bill No.],$C307),""))))</f>
        <v/>
      </c>
      <c r="E307" s="219" t="str">
        <f>IF($A307="","",IF($K307="DIESEL",AVERAGEIFS(Table1[RSP],Table1[Customer],$B307,Table1[Date],$A307,Table1[Bill No.],$C307),IF($K307="PETROL",AVERAGEIFS(Table14[RSP],Table14[Customer],$B307,Table14[Date],$A307,Table14[Bill No.],$C307),IF($K307="XtraGreen",AVERAGEIFS(Table146[RSP],Table146[Company],$B307,Table146[Date],$A307,Table146[Bill No.],$C307),IFERROR($F307/$D307,"")))))</f>
        <v/>
      </c>
      <c r="F307" s="330" t="str">
        <f>IF($A307="","",IF($K307="DIESEL",SUMIFS(Table1[Amount],Table1[Customer],$B307,Table1[Date],$A307,Table1[Bill No.],$C307),IF($K307="PETROL",SUMIFS(Table14[Amount],Table14[Customer],$B307,Table14[Date],$A307,Table14[Bill No.],$C307),IF($K307="XtraGreen",SUMIFS(Table146[Amount],Table146[Company],$B307,Table146[Date],$A307,Table146[Bill No.],$C307),SUMIFS('Other Sale'!$D:$D,'Other Sale'!$E:$E,$B307,'Other Sale'!$C:$C,$K307,'Other Sale'!$A:$A,$A307)))))</f>
        <v/>
      </c>
      <c r="G307" s="330" t="str" cm="1">
        <f t="array" ref="G307">IF($A307="","",IF($K307="Payment",IFERROR(INDEX(_xlfn._xlws.FILTER(MasterPaid[Amount Paid],(MasterPaid[Customer]=$B307)*(MasterPaid[Date]=$A307)),COUNTIFS($A$6:$A307,$A307,$B$6:$B307,$B307,$K$6:$K307,"Payment")),0),0))</f>
        <v/>
      </c>
      <c r="H307" s="331"/>
      <c r="I307" s="331"/>
      <c r="J307" s="330" t="str">
        <f t="shared" si="4"/>
        <v/>
      </c>
      <c r="K307" s="289" t="str" cm="1">
        <f t="array" ref="K307">IFERROR(INDEX(_xlfn.ANCHORARRAY($Q$6),ROW()-5,4),"")</f>
        <v/>
      </c>
      <c r="L307" s="290"/>
      <c r="U307">
        <f>IF(OR($A307="",$F307=""),0,MAX(0,MIN($F307,SUMIFS($F$6:$F307,$B$6:$B307,$B307)-(SUMIFS($G$6:$G$355,$B$6:$B$355,$B307)+SUMIFS($H$6:$H$355,$B$6:$B$355,$B307)+SUMIFS($I$6:$I$355,$B$6:$B$355,$B307)))))</f>
        <v>0</v>
      </c>
    </row>
    <row r="308" spans="1:21" ht="23" x14ac:dyDescent="0.25">
      <c r="A308" s="217" t="str" cm="1">
        <f t="array" ref="A308">IFERROR(INDEX(_xlfn.ANCHORARRAY($Q$6),ROW()-5,1),"")</f>
        <v/>
      </c>
      <c r="B308" s="288" t="str" cm="1">
        <f t="array" ref="B308">IFERROR(INDEX(_xlfn.ANCHORARRAY($Q$6),ROW()-5,2),"")</f>
        <v/>
      </c>
      <c r="C308" s="289" t="str" cm="1">
        <f t="array" ref="C308">IFERROR(INDEX(_xlfn.ANCHORARRAY($Q$6),ROW()-5,3),"")</f>
        <v/>
      </c>
      <c r="D308" s="218" t="str">
        <f>IF($A308="","",IF($K308="DIESEL",SUMIFS(Table1[Quantity],Table1[Customer],$B308,Table1[Date],$A308,Table1[Bill No.],$C308),IF($K308="PETROL",SUMIFS(Table14[Quantity],Table14[Customer],$B308,Table14[Date],$A308,Table14[Bill No.],$C308),IF($K308="XtraGreen",SUMIFS(Table146[Quantity],Table146[Company],$B308,Table146[Date],$A308,Table146[Bill No.],$C308),""))))</f>
        <v/>
      </c>
      <c r="E308" s="219" t="str">
        <f>IF($A308="","",IF($K308="DIESEL",AVERAGEIFS(Table1[RSP],Table1[Customer],$B308,Table1[Date],$A308,Table1[Bill No.],$C308),IF($K308="PETROL",AVERAGEIFS(Table14[RSP],Table14[Customer],$B308,Table14[Date],$A308,Table14[Bill No.],$C308),IF($K308="XtraGreen",AVERAGEIFS(Table146[RSP],Table146[Company],$B308,Table146[Date],$A308,Table146[Bill No.],$C308),IFERROR($F308/$D308,"")))))</f>
        <v/>
      </c>
      <c r="F308" s="330" t="str">
        <f>IF($A308="","",IF($K308="DIESEL",SUMIFS(Table1[Amount],Table1[Customer],$B308,Table1[Date],$A308,Table1[Bill No.],$C308),IF($K308="PETROL",SUMIFS(Table14[Amount],Table14[Customer],$B308,Table14[Date],$A308,Table14[Bill No.],$C308),IF($K308="XtraGreen",SUMIFS(Table146[Amount],Table146[Company],$B308,Table146[Date],$A308,Table146[Bill No.],$C308),SUMIFS('Other Sale'!$D:$D,'Other Sale'!$E:$E,$B308,'Other Sale'!$C:$C,$K308,'Other Sale'!$A:$A,$A308)))))</f>
        <v/>
      </c>
      <c r="G308" s="330" t="str" cm="1">
        <f t="array" ref="G308">IF($A308="","",IF($K308="Payment",IFERROR(INDEX(_xlfn._xlws.FILTER(MasterPaid[Amount Paid],(MasterPaid[Customer]=$B308)*(MasterPaid[Date]=$A308)),COUNTIFS($A$6:$A308,$A308,$B$6:$B308,$B308,$K$6:$K308,"Payment")),0),0))</f>
        <v/>
      </c>
      <c r="H308" s="331"/>
      <c r="I308" s="331"/>
      <c r="J308" s="330" t="str">
        <f t="shared" si="4"/>
        <v/>
      </c>
      <c r="K308" s="289" t="str" cm="1">
        <f t="array" ref="K308">IFERROR(INDEX(_xlfn.ANCHORARRAY($Q$6),ROW()-5,4),"")</f>
        <v/>
      </c>
      <c r="L308" s="290"/>
      <c r="U308">
        <f>IF(OR($A308="",$F308=""),0,MAX(0,MIN($F308,SUMIFS($F$6:$F308,$B$6:$B308,$B308)-(SUMIFS($G$6:$G$355,$B$6:$B$355,$B308)+SUMIFS($H$6:$H$355,$B$6:$B$355,$B308)+SUMIFS($I$6:$I$355,$B$6:$B$355,$B308)))))</f>
        <v>0</v>
      </c>
    </row>
    <row r="309" spans="1:21" ht="23" x14ac:dyDescent="0.25">
      <c r="A309" s="217" t="str" cm="1">
        <f t="array" ref="A309">IFERROR(INDEX(_xlfn.ANCHORARRAY($Q$6),ROW()-5,1),"")</f>
        <v/>
      </c>
      <c r="B309" s="288" t="str" cm="1">
        <f t="array" ref="B309">IFERROR(INDEX(_xlfn.ANCHORARRAY($Q$6),ROW()-5,2),"")</f>
        <v/>
      </c>
      <c r="C309" s="289" t="str" cm="1">
        <f t="array" ref="C309">IFERROR(INDEX(_xlfn.ANCHORARRAY($Q$6),ROW()-5,3),"")</f>
        <v/>
      </c>
      <c r="D309" s="218" t="str">
        <f>IF($A309="","",IF($K309="DIESEL",SUMIFS(Table1[Quantity],Table1[Customer],$B309,Table1[Date],$A309,Table1[Bill No.],$C309),IF($K309="PETROL",SUMIFS(Table14[Quantity],Table14[Customer],$B309,Table14[Date],$A309,Table14[Bill No.],$C309),IF($K309="XtraGreen",SUMIFS(Table146[Quantity],Table146[Company],$B309,Table146[Date],$A309,Table146[Bill No.],$C309),""))))</f>
        <v/>
      </c>
      <c r="E309" s="219" t="str">
        <f>IF($A309="","",IF($K309="DIESEL",AVERAGEIFS(Table1[RSP],Table1[Customer],$B309,Table1[Date],$A309,Table1[Bill No.],$C309),IF($K309="PETROL",AVERAGEIFS(Table14[RSP],Table14[Customer],$B309,Table14[Date],$A309,Table14[Bill No.],$C309),IF($K309="XtraGreen",AVERAGEIFS(Table146[RSP],Table146[Company],$B309,Table146[Date],$A309,Table146[Bill No.],$C309),IFERROR($F309/$D309,"")))))</f>
        <v/>
      </c>
      <c r="F309" s="330" t="str">
        <f>IF($A309="","",IF($K309="DIESEL",SUMIFS(Table1[Amount],Table1[Customer],$B309,Table1[Date],$A309,Table1[Bill No.],$C309),IF($K309="PETROL",SUMIFS(Table14[Amount],Table14[Customer],$B309,Table14[Date],$A309,Table14[Bill No.],$C309),IF($K309="XtraGreen",SUMIFS(Table146[Amount],Table146[Company],$B309,Table146[Date],$A309,Table146[Bill No.],$C309),SUMIFS('Other Sale'!$D:$D,'Other Sale'!$E:$E,$B309,'Other Sale'!$C:$C,$K309,'Other Sale'!$A:$A,$A309)))))</f>
        <v/>
      </c>
      <c r="G309" s="330" t="str" cm="1">
        <f t="array" ref="G309">IF($A309="","",IF($K309="Payment",IFERROR(INDEX(_xlfn._xlws.FILTER(MasterPaid[Amount Paid],(MasterPaid[Customer]=$B309)*(MasterPaid[Date]=$A309)),COUNTIFS($A$6:$A309,$A309,$B$6:$B309,$B309,$K$6:$K309,"Payment")),0),0))</f>
        <v/>
      </c>
      <c r="H309" s="331"/>
      <c r="I309" s="331"/>
      <c r="J309" s="330" t="str">
        <f t="shared" si="4"/>
        <v/>
      </c>
      <c r="K309" s="289" t="str" cm="1">
        <f t="array" ref="K309">IFERROR(INDEX(_xlfn.ANCHORARRAY($Q$6),ROW()-5,4),"")</f>
        <v/>
      </c>
      <c r="L309" s="290"/>
      <c r="U309">
        <f>IF(OR($A309="",$F309=""),0,MAX(0,MIN($F309,SUMIFS($F$6:$F309,$B$6:$B309,$B309)-(SUMIFS($G$6:$G$355,$B$6:$B$355,$B309)+SUMIFS($H$6:$H$355,$B$6:$B$355,$B309)+SUMIFS($I$6:$I$355,$B$6:$B$355,$B309)))))</f>
        <v>0</v>
      </c>
    </row>
    <row r="310" spans="1:21" ht="23" x14ac:dyDescent="0.25">
      <c r="A310" s="217" t="str" cm="1">
        <f t="array" ref="A310">IFERROR(INDEX(_xlfn.ANCHORARRAY($Q$6),ROW()-5,1),"")</f>
        <v/>
      </c>
      <c r="B310" s="288" t="str" cm="1">
        <f t="array" ref="B310">IFERROR(INDEX(_xlfn.ANCHORARRAY($Q$6),ROW()-5,2),"")</f>
        <v/>
      </c>
      <c r="C310" s="289" t="str" cm="1">
        <f t="array" ref="C310">IFERROR(INDEX(_xlfn.ANCHORARRAY($Q$6),ROW()-5,3),"")</f>
        <v/>
      </c>
      <c r="D310" s="218" t="str">
        <f>IF($A310="","",IF($K310="DIESEL",SUMIFS(Table1[Quantity],Table1[Customer],$B310,Table1[Date],$A310,Table1[Bill No.],$C310),IF($K310="PETROL",SUMIFS(Table14[Quantity],Table14[Customer],$B310,Table14[Date],$A310,Table14[Bill No.],$C310),IF($K310="XtraGreen",SUMIFS(Table146[Quantity],Table146[Company],$B310,Table146[Date],$A310,Table146[Bill No.],$C310),""))))</f>
        <v/>
      </c>
      <c r="E310" s="219" t="str">
        <f>IF($A310="","",IF($K310="DIESEL",AVERAGEIFS(Table1[RSP],Table1[Customer],$B310,Table1[Date],$A310,Table1[Bill No.],$C310),IF($K310="PETROL",AVERAGEIFS(Table14[RSP],Table14[Customer],$B310,Table14[Date],$A310,Table14[Bill No.],$C310),IF($K310="XtraGreen",AVERAGEIFS(Table146[RSP],Table146[Company],$B310,Table146[Date],$A310,Table146[Bill No.],$C310),IFERROR($F310/$D310,"")))))</f>
        <v/>
      </c>
      <c r="F310" s="330" t="str">
        <f>IF($A310="","",IF($K310="DIESEL",SUMIFS(Table1[Amount],Table1[Customer],$B310,Table1[Date],$A310,Table1[Bill No.],$C310),IF($K310="PETROL",SUMIFS(Table14[Amount],Table14[Customer],$B310,Table14[Date],$A310,Table14[Bill No.],$C310),IF($K310="XtraGreen",SUMIFS(Table146[Amount],Table146[Company],$B310,Table146[Date],$A310,Table146[Bill No.],$C310),SUMIFS('Other Sale'!$D:$D,'Other Sale'!$E:$E,$B310,'Other Sale'!$C:$C,$K310,'Other Sale'!$A:$A,$A310)))))</f>
        <v/>
      </c>
      <c r="G310" s="330" t="str" cm="1">
        <f t="array" ref="G310">IF($A310="","",IF($K310="Payment",IFERROR(INDEX(_xlfn._xlws.FILTER(MasterPaid[Amount Paid],(MasterPaid[Customer]=$B310)*(MasterPaid[Date]=$A310)),COUNTIFS($A$6:$A310,$A310,$B$6:$B310,$B310,$K$6:$K310,"Payment")),0),0))</f>
        <v/>
      </c>
      <c r="H310" s="331"/>
      <c r="I310" s="331"/>
      <c r="J310" s="330" t="str">
        <f t="shared" si="4"/>
        <v/>
      </c>
      <c r="K310" s="289" t="str" cm="1">
        <f t="array" ref="K310">IFERROR(INDEX(_xlfn.ANCHORARRAY($Q$6),ROW()-5,4),"")</f>
        <v/>
      </c>
      <c r="L310" s="290"/>
      <c r="U310">
        <f>IF(OR($A310="",$F310=""),0,MAX(0,MIN($F310,SUMIFS($F$6:$F310,$B$6:$B310,$B310)-(SUMIFS($G$6:$G$355,$B$6:$B$355,$B310)+SUMIFS($H$6:$H$355,$B$6:$B$355,$B310)+SUMIFS($I$6:$I$355,$B$6:$B$355,$B310)))))</f>
        <v>0</v>
      </c>
    </row>
    <row r="311" spans="1:21" ht="23" x14ac:dyDescent="0.25">
      <c r="A311" s="217" t="str" cm="1">
        <f t="array" ref="A311">IFERROR(INDEX(_xlfn.ANCHORARRAY($Q$6),ROW()-5,1),"")</f>
        <v/>
      </c>
      <c r="B311" s="288" t="str" cm="1">
        <f t="array" ref="B311">IFERROR(INDEX(_xlfn.ANCHORARRAY($Q$6),ROW()-5,2),"")</f>
        <v/>
      </c>
      <c r="C311" s="289" t="str" cm="1">
        <f t="array" ref="C311">IFERROR(INDEX(_xlfn.ANCHORARRAY($Q$6),ROW()-5,3),"")</f>
        <v/>
      </c>
      <c r="D311" s="218" t="str">
        <f>IF($A311="","",IF($K311="DIESEL",SUMIFS(Table1[Quantity],Table1[Customer],$B311,Table1[Date],$A311,Table1[Bill No.],$C311),IF($K311="PETROL",SUMIFS(Table14[Quantity],Table14[Customer],$B311,Table14[Date],$A311,Table14[Bill No.],$C311),IF($K311="XtraGreen",SUMIFS(Table146[Quantity],Table146[Company],$B311,Table146[Date],$A311,Table146[Bill No.],$C311),""))))</f>
        <v/>
      </c>
      <c r="E311" s="219" t="str">
        <f>IF($A311="","",IF($K311="DIESEL",AVERAGEIFS(Table1[RSP],Table1[Customer],$B311,Table1[Date],$A311,Table1[Bill No.],$C311),IF($K311="PETROL",AVERAGEIFS(Table14[RSP],Table14[Customer],$B311,Table14[Date],$A311,Table14[Bill No.],$C311),IF($K311="XtraGreen",AVERAGEIFS(Table146[RSP],Table146[Company],$B311,Table146[Date],$A311,Table146[Bill No.],$C311),IFERROR($F311/$D311,"")))))</f>
        <v/>
      </c>
      <c r="F311" s="330" t="str">
        <f>IF($A311="","",IF($K311="DIESEL",SUMIFS(Table1[Amount],Table1[Customer],$B311,Table1[Date],$A311,Table1[Bill No.],$C311),IF($K311="PETROL",SUMIFS(Table14[Amount],Table14[Customer],$B311,Table14[Date],$A311,Table14[Bill No.],$C311),IF($K311="XtraGreen",SUMIFS(Table146[Amount],Table146[Company],$B311,Table146[Date],$A311,Table146[Bill No.],$C311),SUMIFS('Other Sale'!$D:$D,'Other Sale'!$E:$E,$B311,'Other Sale'!$C:$C,$K311,'Other Sale'!$A:$A,$A311)))))</f>
        <v/>
      </c>
      <c r="G311" s="330" t="str" cm="1">
        <f t="array" ref="G311">IF($A311="","",IF($K311="Payment",IFERROR(INDEX(_xlfn._xlws.FILTER(MasterPaid[Amount Paid],(MasterPaid[Customer]=$B311)*(MasterPaid[Date]=$A311)),COUNTIFS($A$6:$A311,$A311,$B$6:$B311,$B311,$K$6:$K311,"Payment")),0),0))</f>
        <v/>
      </c>
      <c r="H311" s="331"/>
      <c r="I311" s="331"/>
      <c r="J311" s="330" t="str">
        <f t="shared" si="4"/>
        <v/>
      </c>
      <c r="K311" s="289" t="str" cm="1">
        <f t="array" ref="K311">IFERROR(INDEX(_xlfn.ANCHORARRAY($Q$6),ROW()-5,4),"")</f>
        <v/>
      </c>
      <c r="L311" s="290"/>
      <c r="U311">
        <f>IF(OR($A311="",$F311=""),0,MAX(0,MIN($F311,SUMIFS($F$6:$F311,$B$6:$B311,$B311)-(SUMIFS($G$6:$G$355,$B$6:$B$355,$B311)+SUMIFS($H$6:$H$355,$B$6:$B$355,$B311)+SUMIFS($I$6:$I$355,$B$6:$B$355,$B311)))))</f>
        <v>0</v>
      </c>
    </row>
    <row r="312" spans="1:21" ht="23" x14ac:dyDescent="0.25">
      <c r="A312" s="217" t="str" cm="1">
        <f t="array" ref="A312">IFERROR(INDEX(_xlfn.ANCHORARRAY($Q$6),ROW()-5,1),"")</f>
        <v/>
      </c>
      <c r="B312" s="288" t="str" cm="1">
        <f t="array" ref="B312">IFERROR(INDEX(_xlfn.ANCHORARRAY($Q$6),ROW()-5,2),"")</f>
        <v/>
      </c>
      <c r="C312" s="289" t="str" cm="1">
        <f t="array" ref="C312">IFERROR(INDEX(_xlfn.ANCHORARRAY($Q$6),ROW()-5,3),"")</f>
        <v/>
      </c>
      <c r="D312" s="218" t="str">
        <f>IF($A312="","",IF($K312="DIESEL",SUMIFS(Table1[Quantity],Table1[Customer],$B312,Table1[Date],$A312,Table1[Bill No.],$C312),IF($K312="PETROL",SUMIFS(Table14[Quantity],Table14[Customer],$B312,Table14[Date],$A312,Table14[Bill No.],$C312),IF($K312="XtraGreen",SUMIFS(Table146[Quantity],Table146[Company],$B312,Table146[Date],$A312,Table146[Bill No.],$C312),""))))</f>
        <v/>
      </c>
      <c r="E312" s="219" t="str">
        <f>IF($A312="","",IF($K312="DIESEL",AVERAGEIFS(Table1[RSP],Table1[Customer],$B312,Table1[Date],$A312,Table1[Bill No.],$C312),IF($K312="PETROL",AVERAGEIFS(Table14[RSP],Table14[Customer],$B312,Table14[Date],$A312,Table14[Bill No.],$C312),IF($K312="XtraGreen",AVERAGEIFS(Table146[RSP],Table146[Company],$B312,Table146[Date],$A312,Table146[Bill No.],$C312),IFERROR($F312/$D312,"")))))</f>
        <v/>
      </c>
      <c r="F312" s="330" t="str">
        <f>IF($A312="","",IF($K312="DIESEL",SUMIFS(Table1[Amount],Table1[Customer],$B312,Table1[Date],$A312,Table1[Bill No.],$C312),IF($K312="PETROL",SUMIFS(Table14[Amount],Table14[Customer],$B312,Table14[Date],$A312,Table14[Bill No.],$C312),IF($K312="XtraGreen",SUMIFS(Table146[Amount],Table146[Company],$B312,Table146[Date],$A312,Table146[Bill No.],$C312),SUMIFS('Other Sale'!$D:$D,'Other Sale'!$E:$E,$B312,'Other Sale'!$C:$C,$K312,'Other Sale'!$A:$A,$A312)))))</f>
        <v/>
      </c>
      <c r="G312" s="330" t="str" cm="1">
        <f t="array" ref="G312">IF($A312="","",IF($K312="Payment",IFERROR(INDEX(_xlfn._xlws.FILTER(MasterPaid[Amount Paid],(MasterPaid[Customer]=$B312)*(MasterPaid[Date]=$A312)),COUNTIFS($A$6:$A312,$A312,$B$6:$B312,$B312,$K$6:$K312,"Payment")),0),0))</f>
        <v/>
      </c>
      <c r="H312" s="331"/>
      <c r="I312" s="331"/>
      <c r="J312" s="330" t="str">
        <f t="shared" si="4"/>
        <v/>
      </c>
      <c r="K312" s="289" t="str" cm="1">
        <f t="array" ref="K312">IFERROR(INDEX(_xlfn.ANCHORARRAY($Q$6),ROW()-5,4),"")</f>
        <v/>
      </c>
      <c r="L312" s="290"/>
      <c r="U312">
        <f>IF(OR($A312="",$F312=""),0,MAX(0,MIN($F312,SUMIFS($F$6:$F312,$B$6:$B312,$B312)-(SUMIFS($G$6:$G$355,$B$6:$B$355,$B312)+SUMIFS($H$6:$H$355,$B$6:$B$355,$B312)+SUMIFS($I$6:$I$355,$B$6:$B$355,$B312)))))</f>
        <v>0</v>
      </c>
    </row>
    <row r="313" spans="1:21" ht="23" x14ac:dyDescent="0.25">
      <c r="A313" s="217" t="str" cm="1">
        <f t="array" ref="A313">IFERROR(INDEX(_xlfn.ANCHORARRAY($Q$6),ROW()-5,1),"")</f>
        <v/>
      </c>
      <c r="B313" s="288" t="str" cm="1">
        <f t="array" ref="B313">IFERROR(INDEX(_xlfn.ANCHORARRAY($Q$6),ROW()-5,2),"")</f>
        <v/>
      </c>
      <c r="C313" s="289" t="str" cm="1">
        <f t="array" ref="C313">IFERROR(INDEX(_xlfn.ANCHORARRAY($Q$6),ROW()-5,3),"")</f>
        <v/>
      </c>
      <c r="D313" s="218" t="str">
        <f>IF($A313="","",IF($K313="DIESEL",SUMIFS(Table1[Quantity],Table1[Customer],$B313,Table1[Date],$A313,Table1[Bill No.],$C313),IF($K313="PETROL",SUMIFS(Table14[Quantity],Table14[Customer],$B313,Table14[Date],$A313,Table14[Bill No.],$C313),IF($K313="XtraGreen",SUMIFS(Table146[Quantity],Table146[Company],$B313,Table146[Date],$A313,Table146[Bill No.],$C313),""))))</f>
        <v/>
      </c>
      <c r="E313" s="219" t="str">
        <f>IF($A313="","",IF($K313="DIESEL",AVERAGEIFS(Table1[RSP],Table1[Customer],$B313,Table1[Date],$A313,Table1[Bill No.],$C313),IF($K313="PETROL",AVERAGEIFS(Table14[RSP],Table14[Customer],$B313,Table14[Date],$A313,Table14[Bill No.],$C313),IF($K313="XtraGreen",AVERAGEIFS(Table146[RSP],Table146[Company],$B313,Table146[Date],$A313,Table146[Bill No.],$C313),IFERROR($F313/$D313,"")))))</f>
        <v/>
      </c>
      <c r="F313" s="330" t="str">
        <f>IF($A313="","",IF($K313="DIESEL",SUMIFS(Table1[Amount],Table1[Customer],$B313,Table1[Date],$A313,Table1[Bill No.],$C313),IF($K313="PETROL",SUMIFS(Table14[Amount],Table14[Customer],$B313,Table14[Date],$A313,Table14[Bill No.],$C313),IF($K313="XtraGreen",SUMIFS(Table146[Amount],Table146[Company],$B313,Table146[Date],$A313,Table146[Bill No.],$C313),SUMIFS('Other Sale'!$D:$D,'Other Sale'!$E:$E,$B313,'Other Sale'!$C:$C,$K313,'Other Sale'!$A:$A,$A313)))))</f>
        <v/>
      </c>
      <c r="G313" s="330" t="str" cm="1">
        <f t="array" ref="G313">IF($A313="","",IF($K313="Payment",IFERROR(INDEX(_xlfn._xlws.FILTER(MasterPaid[Amount Paid],(MasterPaid[Customer]=$B313)*(MasterPaid[Date]=$A313)),COUNTIFS($A$6:$A313,$A313,$B$6:$B313,$B313,$K$6:$K313,"Payment")),0),0))</f>
        <v/>
      </c>
      <c r="H313" s="331"/>
      <c r="I313" s="331"/>
      <c r="J313" s="330" t="str">
        <f t="shared" si="4"/>
        <v/>
      </c>
      <c r="K313" s="289" t="str" cm="1">
        <f t="array" ref="K313">IFERROR(INDEX(_xlfn.ANCHORARRAY($Q$6),ROW()-5,4),"")</f>
        <v/>
      </c>
      <c r="L313" s="290"/>
      <c r="U313">
        <f>IF(OR($A313="",$F313=""),0,MAX(0,MIN($F313,SUMIFS($F$6:$F313,$B$6:$B313,$B313)-(SUMIFS($G$6:$G$355,$B$6:$B$355,$B313)+SUMIFS($H$6:$H$355,$B$6:$B$355,$B313)+SUMIFS($I$6:$I$355,$B$6:$B$355,$B313)))))</f>
        <v>0</v>
      </c>
    </row>
    <row r="314" spans="1:21" ht="23" x14ac:dyDescent="0.25">
      <c r="A314" s="217" t="str" cm="1">
        <f t="array" ref="A314">IFERROR(INDEX(_xlfn.ANCHORARRAY($Q$6),ROW()-5,1),"")</f>
        <v/>
      </c>
      <c r="B314" s="288" t="str" cm="1">
        <f t="array" ref="B314">IFERROR(INDEX(_xlfn.ANCHORARRAY($Q$6),ROW()-5,2),"")</f>
        <v/>
      </c>
      <c r="C314" s="289" t="str" cm="1">
        <f t="array" ref="C314">IFERROR(INDEX(_xlfn.ANCHORARRAY($Q$6),ROW()-5,3),"")</f>
        <v/>
      </c>
      <c r="D314" s="218" t="str">
        <f>IF($A314="","",IF($K314="DIESEL",SUMIFS(Table1[Quantity],Table1[Customer],$B314,Table1[Date],$A314,Table1[Bill No.],$C314),IF($K314="PETROL",SUMIFS(Table14[Quantity],Table14[Customer],$B314,Table14[Date],$A314,Table14[Bill No.],$C314),IF($K314="XtraGreen",SUMIFS(Table146[Quantity],Table146[Company],$B314,Table146[Date],$A314,Table146[Bill No.],$C314),""))))</f>
        <v/>
      </c>
      <c r="E314" s="219" t="str">
        <f>IF($A314="","",IF($K314="DIESEL",AVERAGEIFS(Table1[RSP],Table1[Customer],$B314,Table1[Date],$A314,Table1[Bill No.],$C314),IF($K314="PETROL",AVERAGEIFS(Table14[RSP],Table14[Customer],$B314,Table14[Date],$A314,Table14[Bill No.],$C314),IF($K314="XtraGreen",AVERAGEIFS(Table146[RSP],Table146[Company],$B314,Table146[Date],$A314,Table146[Bill No.],$C314),IFERROR($F314/$D314,"")))))</f>
        <v/>
      </c>
      <c r="F314" s="330" t="str">
        <f>IF($A314="","",IF($K314="DIESEL",SUMIFS(Table1[Amount],Table1[Customer],$B314,Table1[Date],$A314,Table1[Bill No.],$C314),IF($K314="PETROL",SUMIFS(Table14[Amount],Table14[Customer],$B314,Table14[Date],$A314,Table14[Bill No.],$C314),IF($K314="XtraGreen",SUMIFS(Table146[Amount],Table146[Company],$B314,Table146[Date],$A314,Table146[Bill No.],$C314),SUMIFS('Other Sale'!$D:$D,'Other Sale'!$E:$E,$B314,'Other Sale'!$C:$C,$K314,'Other Sale'!$A:$A,$A314)))))</f>
        <v/>
      </c>
      <c r="G314" s="330" t="str" cm="1">
        <f t="array" ref="G314">IF($A314="","",IF($K314="Payment",IFERROR(INDEX(_xlfn._xlws.FILTER(MasterPaid[Amount Paid],(MasterPaid[Customer]=$B314)*(MasterPaid[Date]=$A314)),COUNTIFS($A$6:$A314,$A314,$B$6:$B314,$B314,$K$6:$K314,"Payment")),0),0))</f>
        <v/>
      </c>
      <c r="H314" s="331"/>
      <c r="I314" s="331"/>
      <c r="J314" s="330" t="str">
        <f t="shared" si="4"/>
        <v/>
      </c>
      <c r="K314" s="289" t="str" cm="1">
        <f t="array" ref="K314">IFERROR(INDEX(_xlfn.ANCHORARRAY($Q$6),ROW()-5,4),"")</f>
        <v/>
      </c>
      <c r="L314" s="290"/>
      <c r="U314">
        <f>IF(OR($A314="",$F314=""),0,MAX(0,MIN($F314,SUMIFS($F$6:$F314,$B$6:$B314,$B314)-(SUMIFS($G$6:$G$355,$B$6:$B$355,$B314)+SUMIFS($H$6:$H$355,$B$6:$B$355,$B314)+SUMIFS($I$6:$I$355,$B$6:$B$355,$B314)))))</f>
        <v>0</v>
      </c>
    </row>
    <row r="315" spans="1:21" ht="23" x14ac:dyDescent="0.25">
      <c r="A315" s="217" t="str" cm="1">
        <f t="array" ref="A315">IFERROR(INDEX(_xlfn.ANCHORARRAY($Q$6),ROW()-5,1),"")</f>
        <v/>
      </c>
      <c r="B315" s="288" t="str" cm="1">
        <f t="array" ref="B315">IFERROR(INDEX(_xlfn.ANCHORARRAY($Q$6),ROW()-5,2),"")</f>
        <v/>
      </c>
      <c r="C315" s="289" t="str" cm="1">
        <f t="array" ref="C315">IFERROR(INDEX(_xlfn.ANCHORARRAY($Q$6),ROW()-5,3),"")</f>
        <v/>
      </c>
      <c r="D315" s="218" t="str">
        <f>IF($A315="","",IF($K315="DIESEL",SUMIFS(Table1[Quantity],Table1[Customer],$B315,Table1[Date],$A315,Table1[Bill No.],$C315),IF($K315="PETROL",SUMIFS(Table14[Quantity],Table14[Customer],$B315,Table14[Date],$A315,Table14[Bill No.],$C315),IF($K315="XtraGreen",SUMIFS(Table146[Quantity],Table146[Company],$B315,Table146[Date],$A315,Table146[Bill No.],$C315),""))))</f>
        <v/>
      </c>
      <c r="E315" s="219" t="str">
        <f>IF($A315="","",IF($K315="DIESEL",AVERAGEIFS(Table1[RSP],Table1[Customer],$B315,Table1[Date],$A315,Table1[Bill No.],$C315),IF($K315="PETROL",AVERAGEIFS(Table14[RSP],Table14[Customer],$B315,Table14[Date],$A315,Table14[Bill No.],$C315),IF($K315="XtraGreen",AVERAGEIFS(Table146[RSP],Table146[Company],$B315,Table146[Date],$A315,Table146[Bill No.],$C315),IFERROR($F315/$D315,"")))))</f>
        <v/>
      </c>
      <c r="F315" s="330" t="str">
        <f>IF($A315="","",IF($K315="DIESEL",SUMIFS(Table1[Amount],Table1[Customer],$B315,Table1[Date],$A315,Table1[Bill No.],$C315),IF($K315="PETROL",SUMIFS(Table14[Amount],Table14[Customer],$B315,Table14[Date],$A315,Table14[Bill No.],$C315),IF($K315="XtraGreen",SUMIFS(Table146[Amount],Table146[Company],$B315,Table146[Date],$A315,Table146[Bill No.],$C315),SUMIFS('Other Sale'!$D:$D,'Other Sale'!$E:$E,$B315,'Other Sale'!$C:$C,$K315,'Other Sale'!$A:$A,$A315)))))</f>
        <v/>
      </c>
      <c r="G315" s="330" t="str" cm="1">
        <f t="array" ref="G315">IF($A315="","",IF($K315="Payment",IFERROR(INDEX(_xlfn._xlws.FILTER(MasterPaid[Amount Paid],(MasterPaid[Customer]=$B315)*(MasterPaid[Date]=$A315)),COUNTIFS($A$6:$A315,$A315,$B$6:$B315,$B315,$K$6:$K315,"Payment")),0),0))</f>
        <v/>
      </c>
      <c r="H315" s="331"/>
      <c r="I315" s="331"/>
      <c r="J315" s="330" t="str">
        <f t="shared" si="4"/>
        <v/>
      </c>
      <c r="K315" s="289" t="str" cm="1">
        <f t="array" ref="K315">IFERROR(INDEX(_xlfn.ANCHORARRAY($Q$6),ROW()-5,4),"")</f>
        <v/>
      </c>
      <c r="L315" s="290"/>
      <c r="U315">
        <f>IF(OR($A315="",$F315=""),0,MAX(0,MIN($F315,SUMIFS($F$6:$F315,$B$6:$B315,$B315)-(SUMIFS($G$6:$G$355,$B$6:$B$355,$B315)+SUMIFS($H$6:$H$355,$B$6:$B$355,$B315)+SUMIFS($I$6:$I$355,$B$6:$B$355,$B315)))))</f>
        <v>0</v>
      </c>
    </row>
    <row r="316" spans="1:21" ht="23" x14ac:dyDescent="0.25">
      <c r="A316" s="217" t="str" cm="1">
        <f t="array" ref="A316">IFERROR(INDEX(_xlfn.ANCHORARRAY($Q$6),ROW()-5,1),"")</f>
        <v/>
      </c>
      <c r="B316" s="288" t="str" cm="1">
        <f t="array" ref="B316">IFERROR(INDEX(_xlfn.ANCHORARRAY($Q$6),ROW()-5,2),"")</f>
        <v/>
      </c>
      <c r="C316" s="289" t="str" cm="1">
        <f t="array" ref="C316">IFERROR(INDEX(_xlfn.ANCHORARRAY($Q$6),ROW()-5,3),"")</f>
        <v/>
      </c>
      <c r="D316" s="218" t="str">
        <f>IF($A316="","",IF($K316="DIESEL",SUMIFS(Table1[Quantity],Table1[Customer],$B316,Table1[Date],$A316,Table1[Bill No.],$C316),IF($K316="PETROL",SUMIFS(Table14[Quantity],Table14[Customer],$B316,Table14[Date],$A316,Table14[Bill No.],$C316),IF($K316="XtraGreen",SUMIFS(Table146[Quantity],Table146[Company],$B316,Table146[Date],$A316,Table146[Bill No.],$C316),""))))</f>
        <v/>
      </c>
      <c r="E316" s="219" t="str">
        <f>IF($A316="","",IF($K316="DIESEL",AVERAGEIFS(Table1[RSP],Table1[Customer],$B316,Table1[Date],$A316,Table1[Bill No.],$C316),IF($K316="PETROL",AVERAGEIFS(Table14[RSP],Table14[Customer],$B316,Table14[Date],$A316,Table14[Bill No.],$C316),IF($K316="XtraGreen",AVERAGEIFS(Table146[RSP],Table146[Company],$B316,Table146[Date],$A316,Table146[Bill No.],$C316),IFERROR($F316/$D316,"")))))</f>
        <v/>
      </c>
      <c r="F316" s="330" t="str">
        <f>IF($A316="","",IF($K316="DIESEL",SUMIFS(Table1[Amount],Table1[Customer],$B316,Table1[Date],$A316,Table1[Bill No.],$C316),IF($K316="PETROL",SUMIFS(Table14[Amount],Table14[Customer],$B316,Table14[Date],$A316,Table14[Bill No.],$C316),IF($K316="XtraGreen",SUMIFS(Table146[Amount],Table146[Company],$B316,Table146[Date],$A316,Table146[Bill No.],$C316),SUMIFS('Other Sale'!$D:$D,'Other Sale'!$E:$E,$B316,'Other Sale'!$C:$C,$K316,'Other Sale'!$A:$A,$A316)))))</f>
        <v/>
      </c>
      <c r="G316" s="330" t="str" cm="1">
        <f t="array" ref="G316">IF($A316="","",IF($K316="Payment",IFERROR(INDEX(_xlfn._xlws.FILTER(MasterPaid[Amount Paid],(MasterPaid[Customer]=$B316)*(MasterPaid[Date]=$A316)),COUNTIFS($A$6:$A316,$A316,$B$6:$B316,$B316,$K$6:$K316,"Payment")),0),0))</f>
        <v/>
      </c>
      <c r="H316" s="331"/>
      <c r="I316" s="331"/>
      <c r="J316" s="330" t="str">
        <f t="shared" si="4"/>
        <v/>
      </c>
      <c r="K316" s="289" t="str" cm="1">
        <f t="array" ref="K316">IFERROR(INDEX(_xlfn.ANCHORARRAY($Q$6),ROW()-5,4),"")</f>
        <v/>
      </c>
      <c r="L316" s="290"/>
      <c r="U316">
        <f>IF(OR($A316="",$F316=""),0,MAX(0,MIN($F316,SUMIFS($F$6:$F316,$B$6:$B316,$B316)-(SUMIFS($G$6:$G$355,$B$6:$B$355,$B316)+SUMIFS($H$6:$H$355,$B$6:$B$355,$B316)+SUMIFS($I$6:$I$355,$B$6:$B$355,$B316)))))</f>
        <v>0</v>
      </c>
    </row>
    <row r="317" spans="1:21" ht="23" x14ac:dyDescent="0.25">
      <c r="A317" s="217" t="str" cm="1">
        <f t="array" ref="A317">IFERROR(INDEX(_xlfn.ANCHORARRAY($Q$6),ROW()-5,1),"")</f>
        <v/>
      </c>
      <c r="B317" s="288" t="str" cm="1">
        <f t="array" ref="B317">IFERROR(INDEX(_xlfn.ANCHORARRAY($Q$6),ROW()-5,2),"")</f>
        <v/>
      </c>
      <c r="C317" s="289" t="str" cm="1">
        <f t="array" ref="C317">IFERROR(INDEX(_xlfn.ANCHORARRAY($Q$6),ROW()-5,3),"")</f>
        <v/>
      </c>
      <c r="D317" s="218" t="str">
        <f>IF($A317="","",IF($K317="DIESEL",SUMIFS(Table1[Quantity],Table1[Customer],$B317,Table1[Date],$A317,Table1[Bill No.],$C317),IF($K317="PETROL",SUMIFS(Table14[Quantity],Table14[Customer],$B317,Table14[Date],$A317,Table14[Bill No.],$C317),IF($K317="XtraGreen",SUMIFS(Table146[Quantity],Table146[Company],$B317,Table146[Date],$A317,Table146[Bill No.],$C317),""))))</f>
        <v/>
      </c>
      <c r="E317" s="219" t="str">
        <f>IF($A317="","",IF($K317="DIESEL",AVERAGEIFS(Table1[RSP],Table1[Customer],$B317,Table1[Date],$A317,Table1[Bill No.],$C317),IF($K317="PETROL",AVERAGEIFS(Table14[RSP],Table14[Customer],$B317,Table14[Date],$A317,Table14[Bill No.],$C317),IF($K317="XtraGreen",AVERAGEIFS(Table146[RSP],Table146[Company],$B317,Table146[Date],$A317,Table146[Bill No.],$C317),IFERROR($F317/$D317,"")))))</f>
        <v/>
      </c>
      <c r="F317" s="330" t="str">
        <f>IF($A317="","",IF($K317="DIESEL",SUMIFS(Table1[Amount],Table1[Customer],$B317,Table1[Date],$A317,Table1[Bill No.],$C317),IF($K317="PETROL",SUMIFS(Table14[Amount],Table14[Customer],$B317,Table14[Date],$A317,Table14[Bill No.],$C317),IF($K317="XtraGreen",SUMIFS(Table146[Amount],Table146[Company],$B317,Table146[Date],$A317,Table146[Bill No.],$C317),SUMIFS('Other Sale'!$D:$D,'Other Sale'!$E:$E,$B317,'Other Sale'!$C:$C,$K317,'Other Sale'!$A:$A,$A317)))))</f>
        <v/>
      </c>
      <c r="G317" s="330" t="str" cm="1">
        <f t="array" ref="G317">IF($A317="","",IF($K317="Payment",IFERROR(INDEX(_xlfn._xlws.FILTER(MasterPaid[Amount Paid],(MasterPaid[Customer]=$B317)*(MasterPaid[Date]=$A317)),COUNTIFS($A$6:$A317,$A317,$B$6:$B317,$B317,$K$6:$K317,"Payment")),0),0))</f>
        <v/>
      </c>
      <c r="H317" s="331"/>
      <c r="I317" s="331"/>
      <c r="J317" s="330" t="str">
        <f t="shared" si="4"/>
        <v/>
      </c>
      <c r="K317" s="289" t="str" cm="1">
        <f t="array" ref="K317">IFERROR(INDEX(_xlfn.ANCHORARRAY($Q$6),ROW()-5,4),"")</f>
        <v/>
      </c>
      <c r="L317" s="290"/>
      <c r="U317">
        <f>IF(OR($A317="",$F317=""),0,MAX(0,MIN($F317,SUMIFS($F$6:$F317,$B$6:$B317,$B317)-(SUMIFS($G$6:$G$355,$B$6:$B$355,$B317)+SUMIFS($H$6:$H$355,$B$6:$B$355,$B317)+SUMIFS($I$6:$I$355,$B$6:$B$355,$B317)))))</f>
        <v>0</v>
      </c>
    </row>
    <row r="318" spans="1:21" ht="23" x14ac:dyDescent="0.25">
      <c r="A318" s="217" t="str" cm="1">
        <f t="array" ref="A318">IFERROR(INDEX(_xlfn.ANCHORARRAY($Q$6),ROW()-5,1),"")</f>
        <v/>
      </c>
      <c r="B318" s="288" t="str" cm="1">
        <f t="array" ref="B318">IFERROR(INDEX(_xlfn.ANCHORARRAY($Q$6),ROW()-5,2),"")</f>
        <v/>
      </c>
      <c r="C318" s="289" t="str" cm="1">
        <f t="array" ref="C318">IFERROR(INDEX(_xlfn.ANCHORARRAY($Q$6),ROW()-5,3),"")</f>
        <v/>
      </c>
      <c r="D318" s="218" t="str">
        <f>IF($A318="","",IF($K318="DIESEL",SUMIFS(Table1[Quantity],Table1[Customer],$B318,Table1[Date],$A318,Table1[Bill No.],$C318),IF($K318="PETROL",SUMIFS(Table14[Quantity],Table14[Customer],$B318,Table14[Date],$A318,Table14[Bill No.],$C318),IF($K318="XtraGreen",SUMIFS(Table146[Quantity],Table146[Company],$B318,Table146[Date],$A318,Table146[Bill No.],$C318),""))))</f>
        <v/>
      </c>
      <c r="E318" s="219" t="str">
        <f>IF($A318="","",IF($K318="DIESEL",AVERAGEIFS(Table1[RSP],Table1[Customer],$B318,Table1[Date],$A318,Table1[Bill No.],$C318),IF($K318="PETROL",AVERAGEIFS(Table14[RSP],Table14[Customer],$B318,Table14[Date],$A318,Table14[Bill No.],$C318),IF($K318="XtraGreen",AVERAGEIFS(Table146[RSP],Table146[Company],$B318,Table146[Date],$A318,Table146[Bill No.],$C318),IFERROR($F318/$D318,"")))))</f>
        <v/>
      </c>
      <c r="F318" s="330" t="str">
        <f>IF($A318="","",IF($K318="DIESEL",SUMIFS(Table1[Amount],Table1[Customer],$B318,Table1[Date],$A318,Table1[Bill No.],$C318),IF($K318="PETROL",SUMIFS(Table14[Amount],Table14[Customer],$B318,Table14[Date],$A318,Table14[Bill No.],$C318),IF($K318="XtraGreen",SUMIFS(Table146[Amount],Table146[Company],$B318,Table146[Date],$A318,Table146[Bill No.],$C318),SUMIFS('Other Sale'!$D:$D,'Other Sale'!$E:$E,$B318,'Other Sale'!$C:$C,$K318,'Other Sale'!$A:$A,$A318)))))</f>
        <v/>
      </c>
      <c r="G318" s="330" t="str" cm="1">
        <f t="array" ref="G318">IF($A318="","",IF($K318="Payment",IFERROR(INDEX(_xlfn._xlws.FILTER(MasterPaid[Amount Paid],(MasterPaid[Customer]=$B318)*(MasterPaid[Date]=$A318)),COUNTIFS($A$6:$A318,$A318,$B$6:$B318,$B318,$K$6:$K318,"Payment")),0),0))</f>
        <v/>
      </c>
      <c r="H318" s="331"/>
      <c r="I318" s="331"/>
      <c r="J318" s="330" t="str">
        <f t="shared" si="4"/>
        <v/>
      </c>
      <c r="K318" s="289" t="str" cm="1">
        <f t="array" ref="K318">IFERROR(INDEX(_xlfn.ANCHORARRAY($Q$6),ROW()-5,4),"")</f>
        <v/>
      </c>
      <c r="L318" s="290"/>
      <c r="U318">
        <f>IF(OR($A318="",$F318=""),0,MAX(0,MIN($F318,SUMIFS($F$6:$F318,$B$6:$B318,$B318)-(SUMIFS($G$6:$G$355,$B$6:$B$355,$B318)+SUMIFS($H$6:$H$355,$B$6:$B$355,$B318)+SUMIFS($I$6:$I$355,$B$6:$B$355,$B318)))))</f>
        <v>0</v>
      </c>
    </row>
    <row r="319" spans="1:21" ht="23" x14ac:dyDescent="0.25">
      <c r="A319" s="217" t="str" cm="1">
        <f t="array" ref="A319">IFERROR(INDEX(_xlfn.ANCHORARRAY($Q$6),ROW()-5,1),"")</f>
        <v/>
      </c>
      <c r="B319" s="288" t="str" cm="1">
        <f t="array" ref="B319">IFERROR(INDEX(_xlfn.ANCHORARRAY($Q$6),ROW()-5,2),"")</f>
        <v/>
      </c>
      <c r="C319" s="289" t="str" cm="1">
        <f t="array" ref="C319">IFERROR(INDEX(_xlfn.ANCHORARRAY($Q$6),ROW()-5,3),"")</f>
        <v/>
      </c>
      <c r="D319" s="218" t="str">
        <f>IF($A319="","",IF($K319="DIESEL",SUMIFS(Table1[Quantity],Table1[Customer],$B319,Table1[Date],$A319,Table1[Bill No.],$C319),IF($K319="PETROL",SUMIFS(Table14[Quantity],Table14[Customer],$B319,Table14[Date],$A319,Table14[Bill No.],$C319),IF($K319="XtraGreen",SUMIFS(Table146[Quantity],Table146[Company],$B319,Table146[Date],$A319,Table146[Bill No.],$C319),""))))</f>
        <v/>
      </c>
      <c r="E319" s="219" t="str">
        <f>IF($A319="","",IF($K319="DIESEL",AVERAGEIFS(Table1[RSP],Table1[Customer],$B319,Table1[Date],$A319,Table1[Bill No.],$C319),IF($K319="PETROL",AVERAGEIFS(Table14[RSP],Table14[Customer],$B319,Table14[Date],$A319,Table14[Bill No.],$C319),IF($K319="XtraGreen",AVERAGEIFS(Table146[RSP],Table146[Company],$B319,Table146[Date],$A319,Table146[Bill No.],$C319),IFERROR($F319/$D319,"")))))</f>
        <v/>
      </c>
      <c r="F319" s="330" t="str">
        <f>IF($A319="","",IF($K319="DIESEL",SUMIFS(Table1[Amount],Table1[Customer],$B319,Table1[Date],$A319,Table1[Bill No.],$C319),IF($K319="PETROL",SUMIFS(Table14[Amount],Table14[Customer],$B319,Table14[Date],$A319,Table14[Bill No.],$C319),IF($K319="XtraGreen",SUMIFS(Table146[Amount],Table146[Company],$B319,Table146[Date],$A319,Table146[Bill No.],$C319),SUMIFS('Other Sale'!$D:$D,'Other Sale'!$E:$E,$B319,'Other Sale'!$C:$C,$K319,'Other Sale'!$A:$A,$A319)))))</f>
        <v/>
      </c>
      <c r="G319" s="330" t="str" cm="1">
        <f t="array" ref="G319">IF($A319="","",IF($K319="Payment",IFERROR(INDEX(_xlfn._xlws.FILTER(MasterPaid[Amount Paid],(MasterPaid[Customer]=$B319)*(MasterPaid[Date]=$A319)),COUNTIFS($A$6:$A319,$A319,$B$6:$B319,$B319,$K$6:$K319,"Payment")),0),0))</f>
        <v/>
      </c>
      <c r="H319" s="331"/>
      <c r="I319" s="331"/>
      <c r="J319" s="330" t="str">
        <f t="shared" si="4"/>
        <v/>
      </c>
      <c r="K319" s="289" t="str" cm="1">
        <f t="array" ref="K319">IFERROR(INDEX(_xlfn.ANCHORARRAY($Q$6),ROW()-5,4),"")</f>
        <v/>
      </c>
      <c r="L319" s="290"/>
      <c r="U319">
        <f>IF(OR($A319="",$F319=""),0,MAX(0,MIN($F319,SUMIFS($F$6:$F319,$B$6:$B319,$B319)-(SUMIFS($G$6:$G$355,$B$6:$B$355,$B319)+SUMIFS($H$6:$H$355,$B$6:$B$355,$B319)+SUMIFS($I$6:$I$355,$B$6:$B$355,$B319)))))</f>
        <v>0</v>
      </c>
    </row>
    <row r="320" spans="1:21" ht="23" x14ac:dyDescent="0.25">
      <c r="A320" s="217" t="str" cm="1">
        <f t="array" ref="A320">IFERROR(INDEX(_xlfn.ANCHORARRAY($Q$6),ROW()-5,1),"")</f>
        <v/>
      </c>
      <c r="B320" s="288" t="str" cm="1">
        <f t="array" ref="B320">IFERROR(INDEX(_xlfn.ANCHORARRAY($Q$6),ROW()-5,2),"")</f>
        <v/>
      </c>
      <c r="C320" s="289" t="str" cm="1">
        <f t="array" ref="C320">IFERROR(INDEX(_xlfn.ANCHORARRAY($Q$6),ROW()-5,3),"")</f>
        <v/>
      </c>
      <c r="D320" s="218" t="str">
        <f>IF($A320="","",IF($K320="DIESEL",SUMIFS(Table1[Quantity],Table1[Customer],$B320,Table1[Date],$A320,Table1[Bill No.],$C320),IF($K320="PETROL",SUMIFS(Table14[Quantity],Table14[Customer],$B320,Table14[Date],$A320,Table14[Bill No.],$C320),IF($K320="XtraGreen",SUMIFS(Table146[Quantity],Table146[Company],$B320,Table146[Date],$A320,Table146[Bill No.],$C320),""))))</f>
        <v/>
      </c>
      <c r="E320" s="219" t="str">
        <f>IF($A320="","",IF($K320="DIESEL",AVERAGEIFS(Table1[RSP],Table1[Customer],$B320,Table1[Date],$A320,Table1[Bill No.],$C320),IF($K320="PETROL",AVERAGEIFS(Table14[RSP],Table14[Customer],$B320,Table14[Date],$A320,Table14[Bill No.],$C320),IF($K320="XtraGreen",AVERAGEIFS(Table146[RSP],Table146[Company],$B320,Table146[Date],$A320,Table146[Bill No.],$C320),IFERROR($F320/$D320,"")))))</f>
        <v/>
      </c>
      <c r="F320" s="330" t="str">
        <f>IF($A320="","",IF($K320="DIESEL",SUMIFS(Table1[Amount],Table1[Customer],$B320,Table1[Date],$A320,Table1[Bill No.],$C320),IF($K320="PETROL",SUMIFS(Table14[Amount],Table14[Customer],$B320,Table14[Date],$A320,Table14[Bill No.],$C320),IF($K320="XtraGreen",SUMIFS(Table146[Amount],Table146[Company],$B320,Table146[Date],$A320,Table146[Bill No.],$C320),SUMIFS('Other Sale'!$D:$D,'Other Sale'!$E:$E,$B320,'Other Sale'!$C:$C,$K320,'Other Sale'!$A:$A,$A320)))))</f>
        <v/>
      </c>
      <c r="G320" s="330" t="str" cm="1">
        <f t="array" ref="G320">IF($A320="","",IF($K320="Payment",IFERROR(INDEX(_xlfn._xlws.FILTER(MasterPaid[Amount Paid],(MasterPaid[Customer]=$B320)*(MasterPaid[Date]=$A320)),COUNTIFS($A$6:$A320,$A320,$B$6:$B320,$B320,$K$6:$K320,"Payment")),0),0))</f>
        <v/>
      </c>
      <c r="H320" s="331"/>
      <c r="I320" s="331"/>
      <c r="J320" s="330" t="str">
        <f t="shared" si="4"/>
        <v/>
      </c>
      <c r="K320" s="289" t="str" cm="1">
        <f t="array" ref="K320">IFERROR(INDEX(_xlfn.ANCHORARRAY($Q$6),ROW()-5,4),"")</f>
        <v/>
      </c>
      <c r="L320" s="290"/>
      <c r="U320">
        <f>IF(OR($A320="",$F320=""),0,MAX(0,MIN($F320,SUMIFS($F$6:$F320,$B$6:$B320,$B320)-(SUMIFS($G$6:$G$355,$B$6:$B$355,$B320)+SUMIFS($H$6:$H$355,$B$6:$B$355,$B320)+SUMIFS($I$6:$I$355,$B$6:$B$355,$B320)))))</f>
        <v>0</v>
      </c>
    </row>
    <row r="321" spans="1:21" ht="23" x14ac:dyDescent="0.25">
      <c r="A321" s="217" t="str" cm="1">
        <f t="array" ref="A321">IFERROR(INDEX(_xlfn.ANCHORARRAY($Q$6),ROW()-5,1),"")</f>
        <v/>
      </c>
      <c r="B321" s="288" t="str" cm="1">
        <f t="array" ref="B321">IFERROR(INDEX(_xlfn.ANCHORARRAY($Q$6),ROW()-5,2),"")</f>
        <v/>
      </c>
      <c r="C321" s="289" t="str" cm="1">
        <f t="array" ref="C321">IFERROR(INDEX(_xlfn.ANCHORARRAY($Q$6),ROW()-5,3),"")</f>
        <v/>
      </c>
      <c r="D321" s="218" t="str">
        <f>IF($A321="","",IF($K321="DIESEL",SUMIFS(Table1[Quantity],Table1[Customer],$B321,Table1[Date],$A321,Table1[Bill No.],$C321),IF($K321="PETROL",SUMIFS(Table14[Quantity],Table14[Customer],$B321,Table14[Date],$A321,Table14[Bill No.],$C321),IF($K321="XtraGreen",SUMIFS(Table146[Quantity],Table146[Company],$B321,Table146[Date],$A321,Table146[Bill No.],$C321),""))))</f>
        <v/>
      </c>
      <c r="E321" s="219" t="str">
        <f>IF($A321="","",IF($K321="DIESEL",AVERAGEIFS(Table1[RSP],Table1[Customer],$B321,Table1[Date],$A321,Table1[Bill No.],$C321),IF($K321="PETROL",AVERAGEIFS(Table14[RSP],Table14[Customer],$B321,Table14[Date],$A321,Table14[Bill No.],$C321),IF($K321="XtraGreen",AVERAGEIFS(Table146[RSP],Table146[Company],$B321,Table146[Date],$A321,Table146[Bill No.],$C321),IFERROR($F321/$D321,"")))))</f>
        <v/>
      </c>
      <c r="F321" s="330" t="str">
        <f>IF($A321="","",IF($K321="DIESEL",SUMIFS(Table1[Amount],Table1[Customer],$B321,Table1[Date],$A321,Table1[Bill No.],$C321),IF($K321="PETROL",SUMIFS(Table14[Amount],Table14[Customer],$B321,Table14[Date],$A321,Table14[Bill No.],$C321),IF($K321="XtraGreen",SUMIFS(Table146[Amount],Table146[Company],$B321,Table146[Date],$A321,Table146[Bill No.],$C321),SUMIFS('Other Sale'!$D:$D,'Other Sale'!$E:$E,$B321,'Other Sale'!$C:$C,$K321,'Other Sale'!$A:$A,$A321)))))</f>
        <v/>
      </c>
      <c r="G321" s="330" t="str" cm="1">
        <f t="array" ref="G321">IF($A321="","",IF($K321="Payment",IFERROR(INDEX(_xlfn._xlws.FILTER(MasterPaid[Amount Paid],(MasterPaid[Customer]=$B321)*(MasterPaid[Date]=$A321)),COUNTIFS($A$6:$A321,$A321,$B$6:$B321,$B321,$K$6:$K321,"Payment")),0),0))</f>
        <v/>
      </c>
      <c r="H321" s="331"/>
      <c r="I321" s="331"/>
      <c r="J321" s="330" t="str">
        <f t="shared" si="4"/>
        <v/>
      </c>
      <c r="K321" s="289" t="str" cm="1">
        <f t="array" ref="K321">IFERROR(INDEX(_xlfn.ANCHORARRAY($Q$6),ROW()-5,4),"")</f>
        <v/>
      </c>
      <c r="L321" s="290"/>
      <c r="U321">
        <f>IF(OR($A321="",$F321=""),0,MAX(0,MIN($F321,SUMIFS($F$6:$F321,$B$6:$B321,$B321)-(SUMIFS($G$6:$G$355,$B$6:$B$355,$B321)+SUMIFS($H$6:$H$355,$B$6:$B$355,$B321)+SUMIFS($I$6:$I$355,$B$6:$B$355,$B321)))))</f>
        <v>0</v>
      </c>
    </row>
    <row r="322" spans="1:21" ht="23" x14ac:dyDescent="0.25">
      <c r="A322" s="217" t="str" cm="1">
        <f t="array" ref="A322">IFERROR(INDEX(_xlfn.ANCHORARRAY($Q$6),ROW()-5,1),"")</f>
        <v/>
      </c>
      <c r="B322" s="288" t="str" cm="1">
        <f t="array" ref="B322">IFERROR(INDEX(_xlfn.ANCHORARRAY($Q$6),ROW()-5,2),"")</f>
        <v/>
      </c>
      <c r="C322" s="289" t="str" cm="1">
        <f t="array" ref="C322">IFERROR(INDEX(_xlfn.ANCHORARRAY($Q$6),ROW()-5,3),"")</f>
        <v/>
      </c>
      <c r="D322" s="218" t="str">
        <f>IF($A322="","",IF($K322="DIESEL",SUMIFS(Table1[Quantity],Table1[Customer],$B322,Table1[Date],$A322,Table1[Bill No.],$C322),IF($K322="PETROL",SUMIFS(Table14[Quantity],Table14[Customer],$B322,Table14[Date],$A322,Table14[Bill No.],$C322),IF($K322="XtraGreen",SUMIFS(Table146[Quantity],Table146[Company],$B322,Table146[Date],$A322,Table146[Bill No.],$C322),""))))</f>
        <v/>
      </c>
      <c r="E322" s="219" t="str">
        <f>IF($A322="","",IF($K322="DIESEL",AVERAGEIFS(Table1[RSP],Table1[Customer],$B322,Table1[Date],$A322,Table1[Bill No.],$C322),IF($K322="PETROL",AVERAGEIFS(Table14[RSP],Table14[Customer],$B322,Table14[Date],$A322,Table14[Bill No.],$C322),IF($K322="XtraGreen",AVERAGEIFS(Table146[RSP],Table146[Company],$B322,Table146[Date],$A322,Table146[Bill No.],$C322),IFERROR($F322/$D322,"")))))</f>
        <v/>
      </c>
      <c r="F322" s="330" t="str">
        <f>IF($A322="","",IF($K322="DIESEL",SUMIFS(Table1[Amount],Table1[Customer],$B322,Table1[Date],$A322,Table1[Bill No.],$C322),IF($K322="PETROL",SUMIFS(Table14[Amount],Table14[Customer],$B322,Table14[Date],$A322,Table14[Bill No.],$C322),IF($K322="XtraGreen",SUMIFS(Table146[Amount],Table146[Company],$B322,Table146[Date],$A322,Table146[Bill No.],$C322),SUMIFS('Other Sale'!$D:$D,'Other Sale'!$E:$E,$B322,'Other Sale'!$C:$C,$K322,'Other Sale'!$A:$A,$A322)))))</f>
        <v/>
      </c>
      <c r="G322" s="330" t="str" cm="1">
        <f t="array" ref="G322">IF($A322="","",IF($K322="Payment",IFERROR(INDEX(_xlfn._xlws.FILTER(MasterPaid[Amount Paid],(MasterPaid[Customer]=$B322)*(MasterPaid[Date]=$A322)),COUNTIFS($A$6:$A322,$A322,$B$6:$B322,$B322,$K$6:$K322,"Payment")),0),0))</f>
        <v/>
      </c>
      <c r="H322" s="331"/>
      <c r="I322" s="331"/>
      <c r="J322" s="330" t="str">
        <f t="shared" si="4"/>
        <v/>
      </c>
      <c r="K322" s="289" t="str" cm="1">
        <f t="array" ref="K322">IFERROR(INDEX(_xlfn.ANCHORARRAY($Q$6),ROW()-5,4),"")</f>
        <v/>
      </c>
      <c r="L322" s="290"/>
      <c r="U322">
        <f>IF(OR($A322="",$F322=""),0,MAX(0,MIN($F322,SUMIFS($F$6:$F322,$B$6:$B322,$B322)-(SUMIFS($G$6:$G$355,$B$6:$B$355,$B322)+SUMIFS($H$6:$H$355,$B$6:$B$355,$B322)+SUMIFS($I$6:$I$355,$B$6:$B$355,$B322)))))</f>
        <v>0</v>
      </c>
    </row>
    <row r="323" spans="1:21" ht="23" x14ac:dyDescent="0.25">
      <c r="A323" s="217" t="str" cm="1">
        <f t="array" ref="A323">IFERROR(INDEX(_xlfn.ANCHORARRAY($Q$6),ROW()-5,1),"")</f>
        <v/>
      </c>
      <c r="B323" s="288" t="str" cm="1">
        <f t="array" ref="B323">IFERROR(INDEX(_xlfn.ANCHORARRAY($Q$6),ROW()-5,2),"")</f>
        <v/>
      </c>
      <c r="C323" s="289" t="str" cm="1">
        <f t="array" ref="C323">IFERROR(INDEX(_xlfn.ANCHORARRAY($Q$6),ROW()-5,3),"")</f>
        <v/>
      </c>
      <c r="D323" s="218" t="str">
        <f>IF($A323="","",IF($K323="DIESEL",SUMIFS(Table1[Quantity],Table1[Customer],$B323,Table1[Date],$A323,Table1[Bill No.],$C323),IF($K323="PETROL",SUMIFS(Table14[Quantity],Table14[Customer],$B323,Table14[Date],$A323,Table14[Bill No.],$C323),IF($K323="XtraGreen",SUMIFS(Table146[Quantity],Table146[Company],$B323,Table146[Date],$A323,Table146[Bill No.],$C323),""))))</f>
        <v/>
      </c>
      <c r="E323" s="219" t="str">
        <f>IF($A323="","",IF($K323="DIESEL",AVERAGEIFS(Table1[RSP],Table1[Customer],$B323,Table1[Date],$A323,Table1[Bill No.],$C323),IF($K323="PETROL",AVERAGEIFS(Table14[RSP],Table14[Customer],$B323,Table14[Date],$A323,Table14[Bill No.],$C323),IF($K323="XtraGreen",AVERAGEIFS(Table146[RSP],Table146[Company],$B323,Table146[Date],$A323,Table146[Bill No.],$C323),IFERROR($F323/$D323,"")))))</f>
        <v/>
      </c>
      <c r="F323" s="330" t="str">
        <f>IF($A323="","",IF($K323="DIESEL",SUMIFS(Table1[Amount],Table1[Customer],$B323,Table1[Date],$A323,Table1[Bill No.],$C323),IF($K323="PETROL",SUMIFS(Table14[Amount],Table14[Customer],$B323,Table14[Date],$A323,Table14[Bill No.],$C323),IF($K323="XtraGreen",SUMIFS(Table146[Amount],Table146[Company],$B323,Table146[Date],$A323,Table146[Bill No.],$C323),SUMIFS('Other Sale'!$D:$D,'Other Sale'!$E:$E,$B323,'Other Sale'!$C:$C,$K323,'Other Sale'!$A:$A,$A323)))))</f>
        <v/>
      </c>
      <c r="G323" s="330" t="str" cm="1">
        <f t="array" ref="G323">IF($A323="","",IF($K323="Payment",IFERROR(INDEX(_xlfn._xlws.FILTER(MasterPaid[Amount Paid],(MasterPaid[Customer]=$B323)*(MasterPaid[Date]=$A323)),COUNTIFS($A$6:$A323,$A323,$B$6:$B323,$B323,$K$6:$K323,"Payment")),0),0))</f>
        <v/>
      </c>
      <c r="H323" s="331"/>
      <c r="I323" s="331"/>
      <c r="J323" s="330" t="str">
        <f t="shared" si="4"/>
        <v/>
      </c>
      <c r="K323" s="289" t="str" cm="1">
        <f t="array" ref="K323">IFERROR(INDEX(_xlfn.ANCHORARRAY($Q$6),ROW()-5,4),"")</f>
        <v/>
      </c>
      <c r="L323" s="290"/>
      <c r="U323">
        <f>IF(OR($A323="",$F323=""),0,MAX(0,MIN($F323,SUMIFS($F$6:$F323,$B$6:$B323,$B323)-(SUMIFS($G$6:$G$355,$B$6:$B$355,$B323)+SUMIFS($H$6:$H$355,$B$6:$B$355,$B323)+SUMIFS($I$6:$I$355,$B$6:$B$355,$B323)))))</f>
        <v>0</v>
      </c>
    </row>
    <row r="324" spans="1:21" ht="23" x14ac:dyDescent="0.25">
      <c r="A324" s="217" t="str" cm="1">
        <f t="array" ref="A324">IFERROR(INDEX(_xlfn.ANCHORARRAY($Q$6),ROW()-5,1),"")</f>
        <v/>
      </c>
      <c r="B324" s="288" t="str" cm="1">
        <f t="array" ref="B324">IFERROR(INDEX(_xlfn.ANCHORARRAY($Q$6),ROW()-5,2),"")</f>
        <v/>
      </c>
      <c r="C324" s="289" t="str" cm="1">
        <f t="array" ref="C324">IFERROR(INDEX(_xlfn.ANCHORARRAY($Q$6),ROW()-5,3),"")</f>
        <v/>
      </c>
      <c r="D324" s="218" t="str">
        <f>IF($A324="","",IF($K324="DIESEL",SUMIFS(Table1[Quantity],Table1[Customer],$B324,Table1[Date],$A324,Table1[Bill No.],$C324),IF($K324="PETROL",SUMIFS(Table14[Quantity],Table14[Customer],$B324,Table14[Date],$A324,Table14[Bill No.],$C324),IF($K324="XtraGreen",SUMIFS(Table146[Quantity],Table146[Company],$B324,Table146[Date],$A324,Table146[Bill No.],$C324),""))))</f>
        <v/>
      </c>
      <c r="E324" s="219" t="str">
        <f>IF($A324="","",IF($K324="DIESEL",AVERAGEIFS(Table1[RSP],Table1[Customer],$B324,Table1[Date],$A324,Table1[Bill No.],$C324),IF($K324="PETROL",AVERAGEIFS(Table14[RSP],Table14[Customer],$B324,Table14[Date],$A324,Table14[Bill No.],$C324),IF($K324="XtraGreen",AVERAGEIFS(Table146[RSP],Table146[Company],$B324,Table146[Date],$A324,Table146[Bill No.],$C324),IFERROR($F324/$D324,"")))))</f>
        <v/>
      </c>
      <c r="F324" s="330" t="str">
        <f>IF($A324="","",IF($K324="DIESEL",SUMIFS(Table1[Amount],Table1[Customer],$B324,Table1[Date],$A324,Table1[Bill No.],$C324),IF($K324="PETROL",SUMIFS(Table14[Amount],Table14[Customer],$B324,Table14[Date],$A324,Table14[Bill No.],$C324),IF($K324="XtraGreen",SUMIFS(Table146[Amount],Table146[Company],$B324,Table146[Date],$A324,Table146[Bill No.],$C324),SUMIFS('Other Sale'!$D:$D,'Other Sale'!$E:$E,$B324,'Other Sale'!$C:$C,$K324,'Other Sale'!$A:$A,$A324)))))</f>
        <v/>
      </c>
      <c r="G324" s="330" t="str" cm="1">
        <f t="array" ref="G324">IF($A324="","",IF($K324="Payment",IFERROR(INDEX(_xlfn._xlws.FILTER(MasterPaid[Amount Paid],(MasterPaid[Customer]=$B324)*(MasterPaid[Date]=$A324)),COUNTIFS($A$6:$A324,$A324,$B$6:$B324,$B324,$K$6:$K324,"Payment")),0),0))</f>
        <v/>
      </c>
      <c r="H324" s="331"/>
      <c r="I324" s="331"/>
      <c r="J324" s="330" t="str">
        <f t="shared" si="4"/>
        <v/>
      </c>
      <c r="K324" s="289" t="str" cm="1">
        <f t="array" ref="K324">IFERROR(INDEX(_xlfn.ANCHORARRAY($Q$6),ROW()-5,4),"")</f>
        <v/>
      </c>
      <c r="L324" s="290"/>
      <c r="U324">
        <f>IF(OR($A324="",$F324=""),0,MAX(0,MIN($F324,SUMIFS($F$6:$F324,$B$6:$B324,$B324)-(SUMIFS($G$6:$G$355,$B$6:$B$355,$B324)+SUMIFS($H$6:$H$355,$B$6:$B$355,$B324)+SUMIFS($I$6:$I$355,$B$6:$B$355,$B324)))))</f>
        <v>0</v>
      </c>
    </row>
    <row r="325" spans="1:21" ht="23" x14ac:dyDescent="0.25">
      <c r="A325" s="217" t="str" cm="1">
        <f t="array" ref="A325">IFERROR(INDEX(_xlfn.ANCHORARRAY($Q$6),ROW()-5,1),"")</f>
        <v/>
      </c>
      <c r="B325" s="288" t="str" cm="1">
        <f t="array" ref="B325">IFERROR(INDEX(_xlfn.ANCHORARRAY($Q$6),ROW()-5,2),"")</f>
        <v/>
      </c>
      <c r="C325" s="289" t="str" cm="1">
        <f t="array" ref="C325">IFERROR(INDEX(_xlfn.ANCHORARRAY($Q$6),ROW()-5,3),"")</f>
        <v/>
      </c>
      <c r="D325" s="218" t="str">
        <f>IF($A325="","",IF($K325="DIESEL",SUMIFS(Table1[Quantity],Table1[Customer],$B325,Table1[Date],$A325,Table1[Bill No.],$C325),IF($K325="PETROL",SUMIFS(Table14[Quantity],Table14[Customer],$B325,Table14[Date],$A325,Table14[Bill No.],$C325),IF($K325="XtraGreen",SUMIFS(Table146[Quantity],Table146[Company],$B325,Table146[Date],$A325,Table146[Bill No.],$C325),""))))</f>
        <v/>
      </c>
      <c r="E325" s="219" t="str">
        <f>IF($A325="","",IF($K325="DIESEL",AVERAGEIFS(Table1[RSP],Table1[Customer],$B325,Table1[Date],$A325,Table1[Bill No.],$C325),IF($K325="PETROL",AVERAGEIFS(Table14[RSP],Table14[Customer],$B325,Table14[Date],$A325,Table14[Bill No.],$C325),IF($K325="XtraGreen",AVERAGEIFS(Table146[RSP],Table146[Company],$B325,Table146[Date],$A325,Table146[Bill No.],$C325),IFERROR($F325/$D325,"")))))</f>
        <v/>
      </c>
      <c r="F325" s="330" t="str">
        <f>IF($A325="","",IF($K325="DIESEL",SUMIFS(Table1[Amount],Table1[Customer],$B325,Table1[Date],$A325,Table1[Bill No.],$C325),IF($K325="PETROL",SUMIFS(Table14[Amount],Table14[Customer],$B325,Table14[Date],$A325,Table14[Bill No.],$C325),IF($K325="XtraGreen",SUMIFS(Table146[Amount],Table146[Company],$B325,Table146[Date],$A325,Table146[Bill No.],$C325),SUMIFS('Other Sale'!$D:$D,'Other Sale'!$E:$E,$B325,'Other Sale'!$C:$C,$K325,'Other Sale'!$A:$A,$A325)))))</f>
        <v/>
      </c>
      <c r="G325" s="330" t="str" cm="1">
        <f t="array" ref="G325">IF($A325="","",IF($K325="Payment",IFERROR(INDEX(_xlfn._xlws.FILTER(MasterPaid[Amount Paid],(MasterPaid[Customer]=$B325)*(MasterPaid[Date]=$A325)),COUNTIFS($A$6:$A325,$A325,$B$6:$B325,$B325,$K$6:$K325,"Payment")),0),0))</f>
        <v/>
      </c>
      <c r="H325" s="331"/>
      <c r="I325" s="331"/>
      <c r="J325" s="330" t="str">
        <f t="shared" si="4"/>
        <v/>
      </c>
      <c r="K325" s="289" t="str" cm="1">
        <f t="array" ref="K325">IFERROR(INDEX(_xlfn.ANCHORARRAY($Q$6),ROW()-5,4),"")</f>
        <v/>
      </c>
      <c r="L325" s="290"/>
      <c r="U325">
        <f>IF(OR($A325="",$F325=""),0,MAX(0,MIN($F325,SUMIFS($F$6:$F325,$B$6:$B325,$B325)-(SUMIFS($G$6:$G$355,$B$6:$B$355,$B325)+SUMIFS($H$6:$H$355,$B$6:$B$355,$B325)+SUMIFS($I$6:$I$355,$B$6:$B$355,$B325)))))</f>
        <v>0</v>
      </c>
    </row>
    <row r="326" spans="1:21" ht="23" x14ac:dyDescent="0.25">
      <c r="A326" s="217" t="str" cm="1">
        <f t="array" ref="A326">IFERROR(INDEX(_xlfn.ANCHORARRAY($Q$6),ROW()-5,1),"")</f>
        <v/>
      </c>
      <c r="B326" s="288" t="str" cm="1">
        <f t="array" ref="B326">IFERROR(INDEX(_xlfn.ANCHORARRAY($Q$6),ROW()-5,2),"")</f>
        <v/>
      </c>
      <c r="C326" s="289" t="str" cm="1">
        <f t="array" ref="C326">IFERROR(INDEX(_xlfn.ANCHORARRAY($Q$6),ROW()-5,3),"")</f>
        <v/>
      </c>
      <c r="D326" s="218" t="str">
        <f>IF($A326="","",IF($K326="DIESEL",SUMIFS(Table1[Quantity],Table1[Customer],$B326,Table1[Date],$A326,Table1[Bill No.],$C326),IF($K326="PETROL",SUMIFS(Table14[Quantity],Table14[Customer],$B326,Table14[Date],$A326,Table14[Bill No.],$C326),IF($K326="XtraGreen",SUMIFS(Table146[Quantity],Table146[Company],$B326,Table146[Date],$A326,Table146[Bill No.],$C326),""))))</f>
        <v/>
      </c>
      <c r="E326" s="219" t="str">
        <f>IF($A326="","",IF($K326="DIESEL",AVERAGEIFS(Table1[RSP],Table1[Customer],$B326,Table1[Date],$A326,Table1[Bill No.],$C326),IF($K326="PETROL",AVERAGEIFS(Table14[RSP],Table14[Customer],$B326,Table14[Date],$A326,Table14[Bill No.],$C326),IF($K326="XtraGreen",AVERAGEIFS(Table146[RSP],Table146[Company],$B326,Table146[Date],$A326,Table146[Bill No.],$C326),IFERROR($F326/$D326,"")))))</f>
        <v/>
      </c>
      <c r="F326" s="330" t="str">
        <f>IF($A326="","",IF($K326="DIESEL",SUMIFS(Table1[Amount],Table1[Customer],$B326,Table1[Date],$A326,Table1[Bill No.],$C326),IF($K326="PETROL",SUMIFS(Table14[Amount],Table14[Customer],$B326,Table14[Date],$A326,Table14[Bill No.],$C326),IF($K326="XtraGreen",SUMIFS(Table146[Amount],Table146[Company],$B326,Table146[Date],$A326,Table146[Bill No.],$C326),SUMIFS('Other Sale'!$D:$D,'Other Sale'!$E:$E,$B326,'Other Sale'!$C:$C,$K326,'Other Sale'!$A:$A,$A326)))))</f>
        <v/>
      </c>
      <c r="G326" s="330" t="str" cm="1">
        <f t="array" ref="G326">IF($A326="","",IF($K326="Payment",IFERROR(INDEX(_xlfn._xlws.FILTER(MasterPaid[Amount Paid],(MasterPaid[Customer]=$B326)*(MasterPaid[Date]=$A326)),COUNTIFS($A$6:$A326,$A326,$B$6:$B326,$B326,$K$6:$K326,"Payment")),0),0))</f>
        <v/>
      </c>
      <c r="H326" s="331"/>
      <c r="I326" s="331"/>
      <c r="J326" s="330" t="str">
        <f t="shared" si="4"/>
        <v/>
      </c>
      <c r="K326" s="289" t="str" cm="1">
        <f t="array" ref="K326">IFERROR(INDEX(_xlfn.ANCHORARRAY($Q$6),ROW()-5,4),"")</f>
        <v/>
      </c>
      <c r="L326" s="290"/>
      <c r="U326">
        <f>IF(OR($A326="",$F326=""),0,MAX(0,MIN($F326,SUMIFS($F$6:$F326,$B$6:$B326,$B326)-(SUMIFS($G$6:$G$355,$B$6:$B$355,$B326)+SUMIFS($H$6:$H$355,$B$6:$B$355,$B326)+SUMIFS($I$6:$I$355,$B$6:$B$355,$B326)))))</f>
        <v>0</v>
      </c>
    </row>
    <row r="327" spans="1:21" ht="23" x14ac:dyDescent="0.25">
      <c r="A327" s="217" t="str" cm="1">
        <f t="array" ref="A327">IFERROR(INDEX(_xlfn.ANCHORARRAY($Q$6),ROW()-5,1),"")</f>
        <v/>
      </c>
      <c r="B327" s="288" t="str" cm="1">
        <f t="array" ref="B327">IFERROR(INDEX(_xlfn.ANCHORARRAY($Q$6),ROW()-5,2),"")</f>
        <v/>
      </c>
      <c r="C327" s="289" t="str" cm="1">
        <f t="array" ref="C327">IFERROR(INDEX(_xlfn.ANCHORARRAY($Q$6),ROW()-5,3),"")</f>
        <v/>
      </c>
      <c r="D327" s="218" t="str">
        <f>IF($A327="","",IF($K327="DIESEL",SUMIFS(Table1[Quantity],Table1[Customer],$B327,Table1[Date],$A327,Table1[Bill No.],$C327),IF($K327="PETROL",SUMIFS(Table14[Quantity],Table14[Customer],$B327,Table14[Date],$A327,Table14[Bill No.],$C327),IF($K327="XtraGreen",SUMIFS(Table146[Quantity],Table146[Company],$B327,Table146[Date],$A327,Table146[Bill No.],$C327),""))))</f>
        <v/>
      </c>
      <c r="E327" s="219" t="str">
        <f>IF($A327="","",IF($K327="DIESEL",AVERAGEIFS(Table1[RSP],Table1[Customer],$B327,Table1[Date],$A327,Table1[Bill No.],$C327),IF($K327="PETROL",AVERAGEIFS(Table14[RSP],Table14[Customer],$B327,Table14[Date],$A327,Table14[Bill No.],$C327),IF($K327="XtraGreen",AVERAGEIFS(Table146[RSP],Table146[Company],$B327,Table146[Date],$A327,Table146[Bill No.],$C327),IFERROR($F327/$D327,"")))))</f>
        <v/>
      </c>
      <c r="F327" s="330" t="str">
        <f>IF($A327="","",IF($K327="DIESEL",SUMIFS(Table1[Amount],Table1[Customer],$B327,Table1[Date],$A327,Table1[Bill No.],$C327),IF($K327="PETROL",SUMIFS(Table14[Amount],Table14[Customer],$B327,Table14[Date],$A327,Table14[Bill No.],$C327),IF($K327="XtraGreen",SUMIFS(Table146[Amount],Table146[Company],$B327,Table146[Date],$A327,Table146[Bill No.],$C327),SUMIFS('Other Sale'!$D:$D,'Other Sale'!$E:$E,$B327,'Other Sale'!$C:$C,$K327,'Other Sale'!$A:$A,$A327)))))</f>
        <v/>
      </c>
      <c r="G327" s="330" t="str" cm="1">
        <f t="array" ref="G327">IF($A327="","",IF($K327="Payment",IFERROR(INDEX(_xlfn._xlws.FILTER(MasterPaid[Amount Paid],(MasterPaid[Customer]=$B327)*(MasterPaid[Date]=$A327)),COUNTIFS($A$6:$A327,$A327,$B$6:$B327,$B327,$K$6:$K327,"Payment")),0),0))</f>
        <v/>
      </c>
      <c r="H327" s="331"/>
      <c r="I327" s="331"/>
      <c r="J327" s="330" t="str">
        <f t="shared" si="4"/>
        <v/>
      </c>
      <c r="K327" s="289" t="str" cm="1">
        <f t="array" ref="K327">IFERROR(INDEX(_xlfn.ANCHORARRAY($Q$6),ROW()-5,4),"")</f>
        <v/>
      </c>
      <c r="L327" s="290"/>
      <c r="U327">
        <f>IF(OR($A327="",$F327=""),0,MAX(0,MIN($F327,SUMIFS($F$6:$F327,$B$6:$B327,$B327)-(SUMIFS($G$6:$G$355,$B$6:$B$355,$B327)+SUMIFS($H$6:$H$355,$B$6:$B$355,$B327)+SUMIFS($I$6:$I$355,$B$6:$B$355,$B327)))))</f>
        <v>0</v>
      </c>
    </row>
    <row r="328" spans="1:21" ht="23" x14ac:dyDescent="0.25">
      <c r="A328" s="217" t="str" cm="1">
        <f t="array" ref="A328">IFERROR(INDEX(_xlfn.ANCHORARRAY($Q$6),ROW()-5,1),"")</f>
        <v/>
      </c>
      <c r="B328" s="288" t="str" cm="1">
        <f t="array" ref="B328">IFERROR(INDEX(_xlfn.ANCHORARRAY($Q$6),ROW()-5,2),"")</f>
        <v/>
      </c>
      <c r="C328" s="289" t="str" cm="1">
        <f t="array" ref="C328">IFERROR(INDEX(_xlfn.ANCHORARRAY($Q$6),ROW()-5,3),"")</f>
        <v/>
      </c>
      <c r="D328" s="218" t="str">
        <f>IF($A328="","",IF($K328="DIESEL",SUMIFS(Table1[Quantity],Table1[Customer],$B328,Table1[Date],$A328,Table1[Bill No.],$C328),IF($K328="PETROL",SUMIFS(Table14[Quantity],Table14[Customer],$B328,Table14[Date],$A328,Table14[Bill No.],$C328),IF($K328="XtraGreen",SUMIFS(Table146[Quantity],Table146[Company],$B328,Table146[Date],$A328,Table146[Bill No.],$C328),""))))</f>
        <v/>
      </c>
      <c r="E328" s="219" t="str">
        <f>IF($A328="","",IF($K328="DIESEL",AVERAGEIFS(Table1[RSP],Table1[Customer],$B328,Table1[Date],$A328,Table1[Bill No.],$C328),IF($K328="PETROL",AVERAGEIFS(Table14[RSP],Table14[Customer],$B328,Table14[Date],$A328,Table14[Bill No.],$C328),IF($K328="XtraGreen",AVERAGEIFS(Table146[RSP],Table146[Company],$B328,Table146[Date],$A328,Table146[Bill No.],$C328),IFERROR($F328/$D328,"")))))</f>
        <v/>
      </c>
      <c r="F328" s="330" t="str">
        <f>IF($A328="","",IF($K328="DIESEL",SUMIFS(Table1[Amount],Table1[Customer],$B328,Table1[Date],$A328,Table1[Bill No.],$C328),IF($K328="PETROL",SUMIFS(Table14[Amount],Table14[Customer],$B328,Table14[Date],$A328,Table14[Bill No.],$C328),IF($K328="XtraGreen",SUMIFS(Table146[Amount],Table146[Company],$B328,Table146[Date],$A328,Table146[Bill No.],$C328),SUMIFS('Other Sale'!$D:$D,'Other Sale'!$E:$E,$B328,'Other Sale'!$C:$C,$K328,'Other Sale'!$A:$A,$A328)))))</f>
        <v/>
      </c>
      <c r="G328" s="330" t="str" cm="1">
        <f t="array" ref="G328">IF($A328="","",IF($K328="Payment",IFERROR(INDEX(_xlfn._xlws.FILTER(MasterPaid[Amount Paid],(MasterPaid[Customer]=$B328)*(MasterPaid[Date]=$A328)),COUNTIFS($A$6:$A328,$A328,$B$6:$B328,$B328,$K$6:$K328,"Payment")),0),0))</f>
        <v/>
      </c>
      <c r="H328" s="331"/>
      <c r="I328" s="331"/>
      <c r="J328" s="330" t="str">
        <f t="shared" ref="J328:J355" si="5">IF($A328="","",J327+N(F328)-N(G328)-N(H328)-N(I328))</f>
        <v/>
      </c>
      <c r="K328" s="289" t="str" cm="1">
        <f t="array" ref="K328">IFERROR(INDEX(_xlfn.ANCHORARRAY($Q$6),ROW()-5,4),"")</f>
        <v/>
      </c>
      <c r="L328" s="290"/>
      <c r="U328">
        <f>IF(OR($A328="",$F328=""),0,MAX(0,MIN($F328,SUMIFS($F$6:$F328,$B$6:$B328,$B328)-(SUMIFS($G$6:$G$355,$B$6:$B$355,$B328)+SUMIFS($H$6:$H$355,$B$6:$B$355,$B328)+SUMIFS($I$6:$I$355,$B$6:$B$355,$B328)))))</f>
        <v>0</v>
      </c>
    </row>
    <row r="329" spans="1:21" ht="23" x14ac:dyDescent="0.25">
      <c r="A329" s="217" t="str" cm="1">
        <f t="array" ref="A329">IFERROR(INDEX(_xlfn.ANCHORARRAY($Q$6),ROW()-5,1),"")</f>
        <v/>
      </c>
      <c r="B329" s="288" t="str" cm="1">
        <f t="array" ref="B329">IFERROR(INDEX(_xlfn.ANCHORARRAY($Q$6),ROW()-5,2),"")</f>
        <v/>
      </c>
      <c r="C329" s="289" t="str" cm="1">
        <f t="array" ref="C329">IFERROR(INDEX(_xlfn.ANCHORARRAY($Q$6),ROW()-5,3),"")</f>
        <v/>
      </c>
      <c r="D329" s="218" t="str">
        <f>IF($A329="","",IF($K329="DIESEL",SUMIFS(Table1[Quantity],Table1[Customer],$B329,Table1[Date],$A329,Table1[Bill No.],$C329),IF($K329="PETROL",SUMIFS(Table14[Quantity],Table14[Customer],$B329,Table14[Date],$A329,Table14[Bill No.],$C329),IF($K329="XtraGreen",SUMIFS(Table146[Quantity],Table146[Company],$B329,Table146[Date],$A329,Table146[Bill No.],$C329),""))))</f>
        <v/>
      </c>
      <c r="E329" s="219" t="str">
        <f>IF($A329="","",IF($K329="DIESEL",AVERAGEIFS(Table1[RSP],Table1[Customer],$B329,Table1[Date],$A329,Table1[Bill No.],$C329),IF($K329="PETROL",AVERAGEIFS(Table14[RSP],Table14[Customer],$B329,Table14[Date],$A329,Table14[Bill No.],$C329),IF($K329="XtraGreen",AVERAGEIFS(Table146[RSP],Table146[Company],$B329,Table146[Date],$A329,Table146[Bill No.],$C329),IFERROR($F329/$D329,"")))))</f>
        <v/>
      </c>
      <c r="F329" s="330" t="str">
        <f>IF($A329="","",IF($K329="DIESEL",SUMIFS(Table1[Amount],Table1[Customer],$B329,Table1[Date],$A329,Table1[Bill No.],$C329),IF($K329="PETROL",SUMIFS(Table14[Amount],Table14[Customer],$B329,Table14[Date],$A329,Table14[Bill No.],$C329),IF($K329="XtraGreen",SUMIFS(Table146[Amount],Table146[Company],$B329,Table146[Date],$A329,Table146[Bill No.],$C329),SUMIFS('Other Sale'!$D:$D,'Other Sale'!$E:$E,$B329,'Other Sale'!$C:$C,$K329,'Other Sale'!$A:$A,$A329)))))</f>
        <v/>
      </c>
      <c r="G329" s="330" t="str" cm="1">
        <f t="array" ref="G329">IF($A329="","",IF($K329="Payment",IFERROR(INDEX(_xlfn._xlws.FILTER(MasterPaid[Amount Paid],(MasterPaid[Customer]=$B329)*(MasterPaid[Date]=$A329)),COUNTIFS($A$6:$A329,$A329,$B$6:$B329,$B329,$K$6:$K329,"Payment")),0),0))</f>
        <v/>
      </c>
      <c r="H329" s="331"/>
      <c r="I329" s="331"/>
      <c r="J329" s="330" t="str">
        <f t="shared" si="5"/>
        <v/>
      </c>
      <c r="K329" s="289" t="str" cm="1">
        <f t="array" ref="K329">IFERROR(INDEX(_xlfn.ANCHORARRAY($Q$6),ROW()-5,4),"")</f>
        <v/>
      </c>
      <c r="L329" s="290"/>
      <c r="U329">
        <f>IF(OR($A329="",$F329=""),0,MAX(0,MIN($F329,SUMIFS($F$6:$F329,$B$6:$B329,$B329)-(SUMIFS($G$6:$G$355,$B$6:$B$355,$B329)+SUMIFS($H$6:$H$355,$B$6:$B$355,$B329)+SUMIFS($I$6:$I$355,$B$6:$B$355,$B329)))))</f>
        <v>0</v>
      </c>
    </row>
    <row r="330" spans="1:21" ht="23" x14ac:dyDescent="0.25">
      <c r="A330" s="217" t="str" cm="1">
        <f t="array" ref="A330">IFERROR(INDEX(_xlfn.ANCHORARRAY($Q$6),ROW()-5,1),"")</f>
        <v/>
      </c>
      <c r="B330" s="288" t="str" cm="1">
        <f t="array" ref="B330">IFERROR(INDEX(_xlfn.ANCHORARRAY($Q$6),ROW()-5,2),"")</f>
        <v/>
      </c>
      <c r="C330" s="289" t="str" cm="1">
        <f t="array" ref="C330">IFERROR(INDEX(_xlfn.ANCHORARRAY($Q$6),ROW()-5,3),"")</f>
        <v/>
      </c>
      <c r="D330" s="218" t="str">
        <f>IF($A330="","",IF($K330="DIESEL",SUMIFS(Table1[Quantity],Table1[Customer],$B330,Table1[Date],$A330,Table1[Bill No.],$C330),IF($K330="PETROL",SUMIFS(Table14[Quantity],Table14[Customer],$B330,Table14[Date],$A330,Table14[Bill No.],$C330),IF($K330="XtraGreen",SUMIFS(Table146[Quantity],Table146[Company],$B330,Table146[Date],$A330,Table146[Bill No.],$C330),""))))</f>
        <v/>
      </c>
      <c r="E330" s="219" t="str">
        <f>IF($A330="","",IF($K330="DIESEL",AVERAGEIFS(Table1[RSP],Table1[Customer],$B330,Table1[Date],$A330,Table1[Bill No.],$C330),IF($K330="PETROL",AVERAGEIFS(Table14[RSP],Table14[Customer],$B330,Table14[Date],$A330,Table14[Bill No.],$C330),IF($K330="XtraGreen",AVERAGEIFS(Table146[RSP],Table146[Company],$B330,Table146[Date],$A330,Table146[Bill No.],$C330),IFERROR($F330/$D330,"")))))</f>
        <v/>
      </c>
      <c r="F330" s="330" t="str">
        <f>IF($A330="","",IF($K330="DIESEL",SUMIFS(Table1[Amount],Table1[Customer],$B330,Table1[Date],$A330,Table1[Bill No.],$C330),IF($K330="PETROL",SUMIFS(Table14[Amount],Table14[Customer],$B330,Table14[Date],$A330,Table14[Bill No.],$C330),IF($K330="XtraGreen",SUMIFS(Table146[Amount],Table146[Company],$B330,Table146[Date],$A330,Table146[Bill No.],$C330),SUMIFS('Other Sale'!$D:$D,'Other Sale'!$E:$E,$B330,'Other Sale'!$C:$C,$K330,'Other Sale'!$A:$A,$A330)))))</f>
        <v/>
      </c>
      <c r="G330" s="330" t="str" cm="1">
        <f t="array" ref="G330">IF($A330="","",IF($K330="Payment",IFERROR(INDEX(_xlfn._xlws.FILTER(MasterPaid[Amount Paid],(MasterPaid[Customer]=$B330)*(MasterPaid[Date]=$A330)),COUNTIFS($A$6:$A330,$A330,$B$6:$B330,$B330,$K$6:$K330,"Payment")),0),0))</f>
        <v/>
      </c>
      <c r="H330" s="331"/>
      <c r="I330" s="331"/>
      <c r="J330" s="330" t="str">
        <f t="shared" si="5"/>
        <v/>
      </c>
      <c r="K330" s="289" t="str" cm="1">
        <f t="array" ref="K330">IFERROR(INDEX(_xlfn.ANCHORARRAY($Q$6),ROW()-5,4),"")</f>
        <v/>
      </c>
      <c r="L330" s="290"/>
      <c r="U330">
        <f>IF(OR($A330="",$F330=""),0,MAX(0,MIN($F330,SUMIFS($F$6:$F330,$B$6:$B330,$B330)-(SUMIFS($G$6:$G$355,$B$6:$B$355,$B330)+SUMIFS($H$6:$H$355,$B$6:$B$355,$B330)+SUMIFS($I$6:$I$355,$B$6:$B$355,$B330)))))</f>
        <v>0</v>
      </c>
    </row>
    <row r="331" spans="1:21" ht="23" x14ac:dyDescent="0.25">
      <c r="A331" s="217" t="str" cm="1">
        <f t="array" ref="A331">IFERROR(INDEX(_xlfn.ANCHORARRAY($Q$6),ROW()-5,1),"")</f>
        <v/>
      </c>
      <c r="B331" s="288" t="str" cm="1">
        <f t="array" ref="B331">IFERROR(INDEX(_xlfn.ANCHORARRAY($Q$6),ROW()-5,2),"")</f>
        <v/>
      </c>
      <c r="C331" s="289" t="str" cm="1">
        <f t="array" ref="C331">IFERROR(INDEX(_xlfn.ANCHORARRAY($Q$6),ROW()-5,3),"")</f>
        <v/>
      </c>
      <c r="D331" s="218" t="str">
        <f>IF($A331="","",IF($K331="DIESEL",SUMIFS(Table1[Quantity],Table1[Customer],$B331,Table1[Date],$A331,Table1[Bill No.],$C331),IF($K331="PETROL",SUMIFS(Table14[Quantity],Table14[Customer],$B331,Table14[Date],$A331,Table14[Bill No.],$C331),IF($K331="XtraGreen",SUMIFS(Table146[Quantity],Table146[Company],$B331,Table146[Date],$A331,Table146[Bill No.],$C331),""))))</f>
        <v/>
      </c>
      <c r="E331" s="219" t="str">
        <f>IF($A331="","",IF($K331="DIESEL",AVERAGEIFS(Table1[RSP],Table1[Customer],$B331,Table1[Date],$A331,Table1[Bill No.],$C331),IF($K331="PETROL",AVERAGEIFS(Table14[RSP],Table14[Customer],$B331,Table14[Date],$A331,Table14[Bill No.],$C331),IF($K331="XtraGreen",AVERAGEIFS(Table146[RSP],Table146[Company],$B331,Table146[Date],$A331,Table146[Bill No.],$C331),IFERROR($F331/$D331,"")))))</f>
        <v/>
      </c>
      <c r="F331" s="330" t="str">
        <f>IF($A331="","",IF($K331="DIESEL",SUMIFS(Table1[Amount],Table1[Customer],$B331,Table1[Date],$A331,Table1[Bill No.],$C331),IF($K331="PETROL",SUMIFS(Table14[Amount],Table14[Customer],$B331,Table14[Date],$A331,Table14[Bill No.],$C331),IF($K331="XtraGreen",SUMIFS(Table146[Amount],Table146[Company],$B331,Table146[Date],$A331,Table146[Bill No.],$C331),SUMIFS('Other Sale'!$D:$D,'Other Sale'!$E:$E,$B331,'Other Sale'!$C:$C,$K331,'Other Sale'!$A:$A,$A331)))))</f>
        <v/>
      </c>
      <c r="G331" s="330" t="str" cm="1">
        <f t="array" ref="G331">IF($A331="","",IF($K331="Payment",IFERROR(INDEX(_xlfn._xlws.FILTER(MasterPaid[Amount Paid],(MasterPaid[Customer]=$B331)*(MasterPaid[Date]=$A331)),COUNTIFS($A$6:$A331,$A331,$B$6:$B331,$B331,$K$6:$K331,"Payment")),0),0))</f>
        <v/>
      </c>
      <c r="H331" s="331"/>
      <c r="I331" s="331"/>
      <c r="J331" s="330" t="str">
        <f t="shared" si="5"/>
        <v/>
      </c>
      <c r="K331" s="289" t="str" cm="1">
        <f t="array" ref="K331">IFERROR(INDEX(_xlfn.ANCHORARRAY($Q$6),ROW()-5,4),"")</f>
        <v/>
      </c>
      <c r="L331" s="290"/>
      <c r="U331">
        <f>IF(OR($A331="",$F331=""),0,MAX(0,MIN($F331,SUMIFS($F$6:$F331,$B$6:$B331,$B331)-(SUMIFS($G$6:$G$355,$B$6:$B$355,$B331)+SUMIFS($H$6:$H$355,$B$6:$B$355,$B331)+SUMIFS($I$6:$I$355,$B$6:$B$355,$B331)))))</f>
        <v>0</v>
      </c>
    </row>
    <row r="332" spans="1:21" ht="23" x14ac:dyDescent="0.25">
      <c r="A332" s="217" t="str" cm="1">
        <f t="array" ref="A332">IFERROR(INDEX(_xlfn.ANCHORARRAY($Q$6),ROW()-5,1),"")</f>
        <v/>
      </c>
      <c r="B332" s="288" t="str" cm="1">
        <f t="array" ref="B332">IFERROR(INDEX(_xlfn.ANCHORARRAY($Q$6),ROW()-5,2),"")</f>
        <v/>
      </c>
      <c r="C332" s="289" t="str" cm="1">
        <f t="array" ref="C332">IFERROR(INDEX(_xlfn.ANCHORARRAY($Q$6),ROW()-5,3),"")</f>
        <v/>
      </c>
      <c r="D332" s="218" t="str">
        <f>IF($A332="","",IF($K332="DIESEL",SUMIFS(Table1[Quantity],Table1[Customer],$B332,Table1[Date],$A332,Table1[Bill No.],$C332),IF($K332="PETROL",SUMIFS(Table14[Quantity],Table14[Customer],$B332,Table14[Date],$A332,Table14[Bill No.],$C332),IF($K332="XtraGreen",SUMIFS(Table146[Quantity],Table146[Company],$B332,Table146[Date],$A332,Table146[Bill No.],$C332),""))))</f>
        <v/>
      </c>
      <c r="E332" s="219" t="str">
        <f>IF($A332="","",IF($K332="DIESEL",AVERAGEIFS(Table1[RSP],Table1[Customer],$B332,Table1[Date],$A332,Table1[Bill No.],$C332),IF($K332="PETROL",AVERAGEIFS(Table14[RSP],Table14[Customer],$B332,Table14[Date],$A332,Table14[Bill No.],$C332),IF($K332="XtraGreen",AVERAGEIFS(Table146[RSP],Table146[Company],$B332,Table146[Date],$A332,Table146[Bill No.],$C332),IFERROR($F332/$D332,"")))))</f>
        <v/>
      </c>
      <c r="F332" s="330" t="str">
        <f>IF($A332="","",IF($K332="DIESEL",SUMIFS(Table1[Amount],Table1[Customer],$B332,Table1[Date],$A332,Table1[Bill No.],$C332),IF($K332="PETROL",SUMIFS(Table14[Amount],Table14[Customer],$B332,Table14[Date],$A332,Table14[Bill No.],$C332),IF($K332="XtraGreen",SUMIFS(Table146[Amount],Table146[Company],$B332,Table146[Date],$A332,Table146[Bill No.],$C332),SUMIFS('Other Sale'!$D:$D,'Other Sale'!$E:$E,$B332,'Other Sale'!$C:$C,$K332,'Other Sale'!$A:$A,$A332)))))</f>
        <v/>
      </c>
      <c r="G332" s="330" t="str" cm="1">
        <f t="array" ref="G332">IF($A332="","",IF($K332="Payment",IFERROR(INDEX(_xlfn._xlws.FILTER(MasterPaid[Amount Paid],(MasterPaid[Customer]=$B332)*(MasterPaid[Date]=$A332)),COUNTIFS($A$6:$A332,$A332,$B$6:$B332,$B332,$K$6:$K332,"Payment")),0),0))</f>
        <v/>
      </c>
      <c r="H332" s="331"/>
      <c r="I332" s="331"/>
      <c r="J332" s="330" t="str">
        <f t="shared" si="5"/>
        <v/>
      </c>
      <c r="K332" s="289" t="str" cm="1">
        <f t="array" ref="K332">IFERROR(INDEX(_xlfn.ANCHORARRAY($Q$6),ROW()-5,4),"")</f>
        <v/>
      </c>
      <c r="L332" s="290"/>
      <c r="U332">
        <f>IF(OR($A332="",$F332=""),0,MAX(0,MIN($F332,SUMIFS($F$6:$F332,$B$6:$B332,$B332)-(SUMIFS($G$6:$G$355,$B$6:$B$355,$B332)+SUMIFS($H$6:$H$355,$B$6:$B$355,$B332)+SUMIFS($I$6:$I$355,$B$6:$B$355,$B332)))))</f>
        <v>0</v>
      </c>
    </row>
    <row r="333" spans="1:21" ht="23" x14ac:dyDescent="0.25">
      <c r="A333" s="217" t="str" cm="1">
        <f t="array" ref="A333">IFERROR(INDEX(_xlfn.ANCHORARRAY($Q$6),ROW()-5,1),"")</f>
        <v/>
      </c>
      <c r="B333" s="288" t="str" cm="1">
        <f t="array" ref="B333">IFERROR(INDEX(_xlfn.ANCHORARRAY($Q$6),ROW()-5,2),"")</f>
        <v/>
      </c>
      <c r="C333" s="289" t="str" cm="1">
        <f t="array" ref="C333">IFERROR(INDEX(_xlfn.ANCHORARRAY($Q$6),ROW()-5,3),"")</f>
        <v/>
      </c>
      <c r="D333" s="218" t="str">
        <f>IF($A333="","",IF($K333="DIESEL",SUMIFS(Table1[Quantity],Table1[Customer],$B333,Table1[Date],$A333,Table1[Bill No.],$C333),IF($K333="PETROL",SUMIFS(Table14[Quantity],Table14[Customer],$B333,Table14[Date],$A333,Table14[Bill No.],$C333),IF($K333="XtraGreen",SUMIFS(Table146[Quantity],Table146[Company],$B333,Table146[Date],$A333,Table146[Bill No.],$C333),""))))</f>
        <v/>
      </c>
      <c r="E333" s="219" t="str">
        <f>IF($A333="","",IF($K333="DIESEL",AVERAGEIFS(Table1[RSP],Table1[Customer],$B333,Table1[Date],$A333,Table1[Bill No.],$C333),IF($K333="PETROL",AVERAGEIFS(Table14[RSP],Table14[Customer],$B333,Table14[Date],$A333,Table14[Bill No.],$C333),IF($K333="XtraGreen",AVERAGEIFS(Table146[RSP],Table146[Company],$B333,Table146[Date],$A333,Table146[Bill No.],$C333),IFERROR($F333/$D333,"")))))</f>
        <v/>
      </c>
      <c r="F333" s="330" t="str">
        <f>IF($A333="","",IF($K333="DIESEL",SUMIFS(Table1[Amount],Table1[Customer],$B333,Table1[Date],$A333,Table1[Bill No.],$C333),IF($K333="PETROL",SUMIFS(Table14[Amount],Table14[Customer],$B333,Table14[Date],$A333,Table14[Bill No.],$C333),IF($K333="XtraGreen",SUMIFS(Table146[Amount],Table146[Company],$B333,Table146[Date],$A333,Table146[Bill No.],$C333),SUMIFS('Other Sale'!$D:$D,'Other Sale'!$E:$E,$B333,'Other Sale'!$C:$C,$K333,'Other Sale'!$A:$A,$A333)))))</f>
        <v/>
      </c>
      <c r="G333" s="330" t="str" cm="1">
        <f t="array" ref="G333">IF($A333="","",IF($K333="Payment",IFERROR(INDEX(_xlfn._xlws.FILTER(MasterPaid[Amount Paid],(MasterPaid[Customer]=$B333)*(MasterPaid[Date]=$A333)),COUNTIFS($A$6:$A333,$A333,$B$6:$B333,$B333,$K$6:$K333,"Payment")),0),0))</f>
        <v/>
      </c>
      <c r="H333" s="331"/>
      <c r="I333" s="331"/>
      <c r="J333" s="330" t="str">
        <f t="shared" si="5"/>
        <v/>
      </c>
      <c r="K333" s="289" t="str" cm="1">
        <f t="array" ref="K333">IFERROR(INDEX(_xlfn.ANCHORARRAY($Q$6),ROW()-5,4),"")</f>
        <v/>
      </c>
      <c r="L333" s="290"/>
      <c r="U333">
        <f>IF(OR($A333="",$F333=""),0,MAX(0,MIN($F333,SUMIFS($F$6:$F333,$B$6:$B333,$B333)-(SUMIFS($G$6:$G$355,$B$6:$B$355,$B333)+SUMIFS($H$6:$H$355,$B$6:$B$355,$B333)+SUMIFS($I$6:$I$355,$B$6:$B$355,$B333)))))</f>
        <v>0</v>
      </c>
    </row>
    <row r="334" spans="1:21" ht="23" x14ac:dyDescent="0.25">
      <c r="A334" s="217" t="str" cm="1">
        <f t="array" ref="A334">IFERROR(INDEX(_xlfn.ANCHORARRAY($Q$6),ROW()-5,1),"")</f>
        <v/>
      </c>
      <c r="B334" s="288" t="str" cm="1">
        <f t="array" ref="B334">IFERROR(INDEX(_xlfn.ANCHORARRAY($Q$6),ROW()-5,2),"")</f>
        <v/>
      </c>
      <c r="C334" s="289" t="str" cm="1">
        <f t="array" ref="C334">IFERROR(INDEX(_xlfn.ANCHORARRAY($Q$6),ROW()-5,3),"")</f>
        <v/>
      </c>
      <c r="D334" s="218" t="str">
        <f>IF($A334="","",IF($K334="DIESEL",SUMIFS(Table1[Quantity],Table1[Customer],$B334,Table1[Date],$A334,Table1[Bill No.],$C334),IF($K334="PETROL",SUMIFS(Table14[Quantity],Table14[Customer],$B334,Table14[Date],$A334,Table14[Bill No.],$C334),IF($K334="XtraGreen",SUMIFS(Table146[Quantity],Table146[Company],$B334,Table146[Date],$A334,Table146[Bill No.],$C334),""))))</f>
        <v/>
      </c>
      <c r="E334" s="219" t="str">
        <f>IF($A334="","",IF($K334="DIESEL",AVERAGEIFS(Table1[RSP],Table1[Customer],$B334,Table1[Date],$A334,Table1[Bill No.],$C334),IF($K334="PETROL",AVERAGEIFS(Table14[RSP],Table14[Customer],$B334,Table14[Date],$A334,Table14[Bill No.],$C334),IF($K334="XtraGreen",AVERAGEIFS(Table146[RSP],Table146[Company],$B334,Table146[Date],$A334,Table146[Bill No.],$C334),IFERROR($F334/$D334,"")))))</f>
        <v/>
      </c>
      <c r="F334" s="330" t="str">
        <f>IF($A334="","",IF($K334="DIESEL",SUMIFS(Table1[Amount],Table1[Customer],$B334,Table1[Date],$A334,Table1[Bill No.],$C334),IF($K334="PETROL",SUMIFS(Table14[Amount],Table14[Customer],$B334,Table14[Date],$A334,Table14[Bill No.],$C334),IF($K334="XtraGreen",SUMIFS(Table146[Amount],Table146[Company],$B334,Table146[Date],$A334,Table146[Bill No.],$C334),SUMIFS('Other Sale'!$D:$D,'Other Sale'!$E:$E,$B334,'Other Sale'!$C:$C,$K334,'Other Sale'!$A:$A,$A334)))))</f>
        <v/>
      </c>
      <c r="G334" s="330" t="str" cm="1">
        <f t="array" ref="G334">IF($A334="","",IF($K334="Payment",IFERROR(INDEX(_xlfn._xlws.FILTER(MasterPaid[Amount Paid],(MasterPaid[Customer]=$B334)*(MasterPaid[Date]=$A334)),COUNTIFS($A$6:$A334,$A334,$B$6:$B334,$B334,$K$6:$K334,"Payment")),0),0))</f>
        <v/>
      </c>
      <c r="H334" s="331"/>
      <c r="I334" s="331"/>
      <c r="J334" s="330" t="str">
        <f t="shared" si="5"/>
        <v/>
      </c>
      <c r="K334" s="289" t="str" cm="1">
        <f t="array" ref="K334">IFERROR(INDEX(_xlfn.ANCHORARRAY($Q$6),ROW()-5,4),"")</f>
        <v/>
      </c>
      <c r="L334" s="290"/>
      <c r="U334">
        <f>IF(OR($A334="",$F334=""),0,MAX(0,MIN($F334,SUMIFS($F$6:$F334,$B$6:$B334,$B334)-(SUMIFS($G$6:$G$355,$B$6:$B$355,$B334)+SUMIFS($H$6:$H$355,$B$6:$B$355,$B334)+SUMIFS($I$6:$I$355,$B$6:$B$355,$B334)))))</f>
        <v>0</v>
      </c>
    </row>
    <row r="335" spans="1:21" ht="23" x14ac:dyDescent="0.25">
      <c r="A335" s="217" t="str" cm="1">
        <f t="array" ref="A335">IFERROR(INDEX(_xlfn.ANCHORARRAY($Q$6),ROW()-5,1),"")</f>
        <v/>
      </c>
      <c r="B335" s="288" t="str" cm="1">
        <f t="array" ref="B335">IFERROR(INDEX(_xlfn.ANCHORARRAY($Q$6),ROW()-5,2),"")</f>
        <v/>
      </c>
      <c r="C335" s="289" t="str" cm="1">
        <f t="array" ref="C335">IFERROR(INDEX(_xlfn.ANCHORARRAY($Q$6),ROW()-5,3),"")</f>
        <v/>
      </c>
      <c r="D335" s="218" t="str">
        <f>IF($A335="","",IF($K335="DIESEL",SUMIFS(Table1[Quantity],Table1[Customer],$B335,Table1[Date],$A335,Table1[Bill No.],$C335),IF($K335="PETROL",SUMIFS(Table14[Quantity],Table14[Customer],$B335,Table14[Date],$A335,Table14[Bill No.],$C335),IF($K335="XtraGreen",SUMIFS(Table146[Quantity],Table146[Company],$B335,Table146[Date],$A335,Table146[Bill No.],$C335),""))))</f>
        <v/>
      </c>
      <c r="E335" s="219" t="str">
        <f>IF($A335="","",IF($K335="DIESEL",AVERAGEIFS(Table1[RSP],Table1[Customer],$B335,Table1[Date],$A335,Table1[Bill No.],$C335),IF($K335="PETROL",AVERAGEIFS(Table14[RSP],Table14[Customer],$B335,Table14[Date],$A335,Table14[Bill No.],$C335),IF($K335="XtraGreen",AVERAGEIFS(Table146[RSP],Table146[Company],$B335,Table146[Date],$A335,Table146[Bill No.],$C335),IFERROR($F335/$D335,"")))))</f>
        <v/>
      </c>
      <c r="F335" s="330" t="str">
        <f>IF($A335="","",IF($K335="DIESEL",SUMIFS(Table1[Amount],Table1[Customer],$B335,Table1[Date],$A335,Table1[Bill No.],$C335),IF($K335="PETROL",SUMIFS(Table14[Amount],Table14[Customer],$B335,Table14[Date],$A335,Table14[Bill No.],$C335),IF($K335="XtraGreen",SUMIFS(Table146[Amount],Table146[Company],$B335,Table146[Date],$A335,Table146[Bill No.],$C335),SUMIFS('Other Sale'!$D:$D,'Other Sale'!$E:$E,$B335,'Other Sale'!$C:$C,$K335,'Other Sale'!$A:$A,$A335)))))</f>
        <v/>
      </c>
      <c r="G335" s="330" t="str" cm="1">
        <f t="array" ref="G335">IF($A335="","",IF($K335="Payment",IFERROR(INDEX(_xlfn._xlws.FILTER(MasterPaid[Amount Paid],(MasterPaid[Customer]=$B335)*(MasterPaid[Date]=$A335)),COUNTIFS($A$6:$A335,$A335,$B$6:$B335,$B335,$K$6:$K335,"Payment")),0),0))</f>
        <v/>
      </c>
      <c r="H335" s="331"/>
      <c r="I335" s="331"/>
      <c r="J335" s="330" t="str">
        <f t="shared" si="5"/>
        <v/>
      </c>
      <c r="K335" s="289" t="str" cm="1">
        <f t="array" ref="K335">IFERROR(INDEX(_xlfn.ANCHORARRAY($Q$6),ROW()-5,4),"")</f>
        <v/>
      </c>
      <c r="L335" s="290"/>
      <c r="U335">
        <f>IF(OR($A335="",$F335=""),0,MAX(0,MIN($F335,SUMIFS($F$6:$F335,$B$6:$B335,$B335)-(SUMIFS($G$6:$G$355,$B$6:$B$355,$B335)+SUMIFS($H$6:$H$355,$B$6:$B$355,$B335)+SUMIFS($I$6:$I$355,$B$6:$B$355,$B335)))))</f>
        <v>0</v>
      </c>
    </row>
    <row r="336" spans="1:21" ht="23" x14ac:dyDescent="0.25">
      <c r="A336" s="217" t="str" cm="1">
        <f t="array" ref="A336">IFERROR(INDEX(_xlfn.ANCHORARRAY($Q$6),ROW()-5,1),"")</f>
        <v/>
      </c>
      <c r="B336" s="288" t="str" cm="1">
        <f t="array" ref="B336">IFERROR(INDEX(_xlfn.ANCHORARRAY($Q$6),ROW()-5,2),"")</f>
        <v/>
      </c>
      <c r="C336" s="289" t="str" cm="1">
        <f t="array" ref="C336">IFERROR(INDEX(_xlfn.ANCHORARRAY($Q$6),ROW()-5,3),"")</f>
        <v/>
      </c>
      <c r="D336" s="218" t="str">
        <f>IF($A336="","",IF($K336="DIESEL",SUMIFS(Table1[Quantity],Table1[Customer],$B336,Table1[Date],$A336,Table1[Bill No.],$C336),IF($K336="PETROL",SUMIFS(Table14[Quantity],Table14[Customer],$B336,Table14[Date],$A336,Table14[Bill No.],$C336),IF($K336="XtraGreen",SUMIFS(Table146[Quantity],Table146[Company],$B336,Table146[Date],$A336,Table146[Bill No.],$C336),""))))</f>
        <v/>
      </c>
      <c r="E336" s="219" t="str">
        <f>IF($A336="","",IF($K336="DIESEL",AVERAGEIFS(Table1[RSP],Table1[Customer],$B336,Table1[Date],$A336,Table1[Bill No.],$C336),IF($K336="PETROL",AVERAGEIFS(Table14[RSP],Table14[Customer],$B336,Table14[Date],$A336,Table14[Bill No.],$C336),IF($K336="XtraGreen",AVERAGEIFS(Table146[RSP],Table146[Company],$B336,Table146[Date],$A336,Table146[Bill No.],$C336),IFERROR($F336/$D336,"")))))</f>
        <v/>
      </c>
      <c r="F336" s="330" t="str">
        <f>IF($A336="","",IF($K336="DIESEL",SUMIFS(Table1[Amount],Table1[Customer],$B336,Table1[Date],$A336,Table1[Bill No.],$C336),IF($K336="PETROL",SUMIFS(Table14[Amount],Table14[Customer],$B336,Table14[Date],$A336,Table14[Bill No.],$C336),IF($K336="XtraGreen",SUMIFS(Table146[Amount],Table146[Company],$B336,Table146[Date],$A336,Table146[Bill No.],$C336),SUMIFS('Other Sale'!$D:$D,'Other Sale'!$E:$E,$B336,'Other Sale'!$C:$C,$K336,'Other Sale'!$A:$A,$A336)))))</f>
        <v/>
      </c>
      <c r="G336" s="330" t="str" cm="1">
        <f t="array" ref="G336">IF($A336="","",IF($K336="Payment",IFERROR(INDEX(_xlfn._xlws.FILTER(MasterPaid[Amount Paid],(MasterPaid[Customer]=$B336)*(MasterPaid[Date]=$A336)),COUNTIFS($A$6:$A336,$A336,$B$6:$B336,$B336,$K$6:$K336,"Payment")),0),0))</f>
        <v/>
      </c>
      <c r="H336" s="331"/>
      <c r="I336" s="331"/>
      <c r="J336" s="330" t="str">
        <f t="shared" si="5"/>
        <v/>
      </c>
      <c r="K336" s="289" t="str" cm="1">
        <f t="array" ref="K336">IFERROR(INDEX(_xlfn.ANCHORARRAY($Q$6),ROW()-5,4),"")</f>
        <v/>
      </c>
      <c r="L336" s="290"/>
      <c r="U336">
        <f>IF(OR($A336="",$F336=""),0,MAX(0,MIN($F336,SUMIFS($F$6:$F336,$B$6:$B336,$B336)-(SUMIFS($G$6:$G$355,$B$6:$B$355,$B336)+SUMIFS($H$6:$H$355,$B$6:$B$355,$B336)+SUMIFS($I$6:$I$355,$B$6:$B$355,$B336)))))</f>
        <v>0</v>
      </c>
    </row>
    <row r="337" spans="1:21" ht="23" x14ac:dyDescent="0.25">
      <c r="A337" s="217" t="str" cm="1">
        <f t="array" ref="A337">IFERROR(INDEX(_xlfn.ANCHORARRAY($Q$6),ROW()-5,1),"")</f>
        <v/>
      </c>
      <c r="B337" s="288" t="str" cm="1">
        <f t="array" ref="B337">IFERROR(INDEX(_xlfn.ANCHORARRAY($Q$6),ROW()-5,2),"")</f>
        <v/>
      </c>
      <c r="C337" s="289" t="str" cm="1">
        <f t="array" ref="C337">IFERROR(INDEX(_xlfn.ANCHORARRAY($Q$6),ROW()-5,3),"")</f>
        <v/>
      </c>
      <c r="D337" s="218" t="str">
        <f>IF($A337="","",IF($K337="DIESEL",SUMIFS(Table1[Quantity],Table1[Customer],$B337,Table1[Date],$A337,Table1[Bill No.],$C337),IF($K337="PETROL",SUMIFS(Table14[Quantity],Table14[Customer],$B337,Table14[Date],$A337,Table14[Bill No.],$C337),IF($K337="XtraGreen",SUMIFS(Table146[Quantity],Table146[Company],$B337,Table146[Date],$A337,Table146[Bill No.],$C337),""))))</f>
        <v/>
      </c>
      <c r="E337" s="219" t="str">
        <f>IF($A337="","",IF($K337="DIESEL",AVERAGEIFS(Table1[RSP],Table1[Customer],$B337,Table1[Date],$A337,Table1[Bill No.],$C337),IF($K337="PETROL",AVERAGEIFS(Table14[RSP],Table14[Customer],$B337,Table14[Date],$A337,Table14[Bill No.],$C337),IF($K337="XtraGreen",AVERAGEIFS(Table146[RSP],Table146[Company],$B337,Table146[Date],$A337,Table146[Bill No.],$C337),IFERROR($F337/$D337,"")))))</f>
        <v/>
      </c>
      <c r="F337" s="330" t="str">
        <f>IF($A337="","",IF($K337="DIESEL",SUMIFS(Table1[Amount],Table1[Customer],$B337,Table1[Date],$A337,Table1[Bill No.],$C337),IF($K337="PETROL",SUMIFS(Table14[Amount],Table14[Customer],$B337,Table14[Date],$A337,Table14[Bill No.],$C337),IF($K337="XtraGreen",SUMIFS(Table146[Amount],Table146[Company],$B337,Table146[Date],$A337,Table146[Bill No.],$C337),SUMIFS('Other Sale'!$D:$D,'Other Sale'!$E:$E,$B337,'Other Sale'!$C:$C,$K337,'Other Sale'!$A:$A,$A337)))))</f>
        <v/>
      </c>
      <c r="G337" s="330" t="str" cm="1">
        <f t="array" ref="G337">IF($A337="","",IF($K337="Payment",IFERROR(INDEX(_xlfn._xlws.FILTER(MasterPaid[Amount Paid],(MasterPaid[Customer]=$B337)*(MasterPaid[Date]=$A337)),COUNTIFS($A$6:$A337,$A337,$B$6:$B337,$B337,$K$6:$K337,"Payment")),0),0))</f>
        <v/>
      </c>
      <c r="H337" s="331"/>
      <c r="I337" s="331"/>
      <c r="J337" s="330" t="str">
        <f t="shared" si="5"/>
        <v/>
      </c>
      <c r="K337" s="289" t="str" cm="1">
        <f t="array" ref="K337">IFERROR(INDEX(_xlfn.ANCHORARRAY($Q$6),ROW()-5,4),"")</f>
        <v/>
      </c>
      <c r="L337" s="290"/>
      <c r="U337">
        <f>IF(OR($A337="",$F337=""),0,MAX(0,MIN($F337,SUMIFS($F$6:$F337,$B$6:$B337,$B337)-(SUMIFS($G$6:$G$355,$B$6:$B$355,$B337)+SUMIFS($H$6:$H$355,$B$6:$B$355,$B337)+SUMIFS($I$6:$I$355,$B$6:$B$355,$B337)))))</f>
        <v>0</v>
      </c>
    </row>
    <row r="338" spans="1:21" ht="23" x14ac:dyDescent="0.25">
      <c r="A338" s="217" t="str" cm="1">
        <f t="array" ref="A338">IFERROR(INDEX(_xlfn.ANCHORARRAY($Q$6),ROW()-5,1),"")</f>
        <v/>
      </c>
      <c r="B338" s="288" t="str" cm="1">
        <f t="array" ref="B338">IFERROR(INDEX(_xlfn.ANCHORARRAY($Q$6),ROW()-5,2),"")</f>
        <v/>
      </c>
      <c r="C338" s="289" t="str" cm="1">
        <f t="array" ref="C338">IFERROR(INDEX(_xlfn.ANCHORARRAY($Q$6),ROW()-5,3),"")</f>
        <v/>
      </c>
      <c r="D338" s="218" t="str">
        <f>IF($A338="","",IF($K338="DIESEL",SUMIFS(Table1[Quantity],Table1[Customer],$B338,Table1[Date],$A338,Table1[Bill No.],$C338),IF($K338="PETROL",SUMIFS(Table14[Quantity],Table14[Customer],$B338,Table14[Date],$A338,Table14[Bill No.],$C338),IF($K338="XtraGreen",SUMIFS(Table146[Quantity],Table146[Company],$B338,Table146[Date],$A338,Table146[Bill No.],$C338),""))))</f>
        <v/>
      </c>
      <c r="E338" s="219" t="str">
        <f>IF($A338="","",IF($K338="DIESEL",AVERAGEIFS(Table1[RSP],Table1[Customer],$B338,Table1[Date],$A338,Table1[Bill No.],$C338),IF($K338="PETROL",AVERAGEIFS(Table14[RSP],Table14[Customer],$B338,Table14[Date],$A338,Table14[Bill No.],$C338),IF($K338="XtraGreen",AVERAGEIFS(Table146[RSP],Table146[Company],$B338,Table146[Date],$A338,Table146[Bill No.],$C338),IFERROR($F338/$D338,"")))))</f>
        <v/>
      </c>
      <c r="F338" s="330" t="str">
        <f>IF($A338="","",IF($K338="DIESEL",SUMIFS(Table1[Amount],Table1[Customer],$B338,Table1[Date],$A338,Table1[Bill No.],$C338),IF($K338="PETROL",SUMIFS(Table14[Amount],Table14[Customer],$B338,Table14[Date],$A338,Table14[Bill No.],$C338),IF($K338="XtraGreen",SUMIFS(Table146[Amount],Table146[Company],$B338,Table146[Date],$A338,Table146[Bill No.],$C338),SUMIFS('Other Sale'!$D:$D,'Other Sale'!$E:$E,$B338,'Other Sale'!$C:$C,$K338,'Other Sale'!$A:$A,$A338)))))</f>
        <v/>
      </c>
      <c r="G338" s="330" t="str" cm="1">
        <f t="array" ref="G338">IF($A338="","",IF($K338="Payment",IFERROR(INDEX(_xlfn._xlws.FILTER(MasterPaid[Amount Paid],(MasterPaid[Customer]=$B338)*(MasterPaid[Date]=$A338)),COUNTIFS($A$6:$A338,$A338,$B$6:$B338,$B338,$K$6:$K338,"Payment")),0),0))</f>
        <v/>
      </c>
      <c r="H338" s="331"/>
      <c r="I338" s="331"/>
      <c r="J338" s="330" t="str">
        <f t="shared" si="5"/>
        <v/>
      </c>
      <c r="K338" s="289" t="str" cm="1">
        <f t="array" ref="K338">IFERROR(INDEX(_xlfn.ANCHORARRAY($Q$6),ROW()-5,4),"")</f>
        <v/>
      </c>
      <c r="L338" s="290"/>
      <c r="U338">
        <f>IF(OR($A338="",$F338=""),0,MAX(0,MIN($F338,SUMIFS($F$6:$F338,$B$6:$B338,$B338)-(SUMIFS($G$6:$G$355,$B$6:$B$355,$B338)+SUMIFS($H$6:$H$355,$B$6:$B$355,$B338)+SUMIFS($I$6:$I$355,$B$6:$B$355,$B338)))))</f>
        <v>0</v>
      </c>
    </row>
    <row r="339" spans="1:21" ht="23" x14ac:dyDescent="0.25">
      <c r="A339" s="217" t="str" cm="1">
        <f t="array" ref="A339">IFERROR(INDEX(_xlfn.ANCHORARRAY($Q$6),ROW()-5,1),"")</f>
        <v/>
      </c>
      <c r="B339" s="288" t="str" cm="1">
        <f t="array" ref="B339">IFERROR(INDEX(_xlfn.ANCHORARRAY($Q$6),ROW()-5,2),"")</f>
        <v/>
      </c>
      <c r="C339" s="289" t="str" cm="1">
        <f t="array" ref="C339">IFERROR(INDEX(_xlfn.ANCHORARRAY($Q$6),ROW()-5,3),"")</f>
        <v/>
      </c>
      <c r="D339" s="218" t="str">
        <f>IF($A339="","",IF($K339="DIESEL",SUMIFS(Table1[Quantity],Table1[Customer],$B339,Table1[Date],$A339,Table1[Bill No.],$C339),IF($K339="PETROL",SUMIFS(Table14[Quantity],Table14[Customer],$B339,Table14[Date],$A339,Table14[Bill No.],$C339),IF($K339="XtraGreen",SUMIFS(Table146[Quantity],Table146[Company],$B339,Table146[Date],$A339,Table146[Bill No.],$C339),""))))</f>
        <v/>
      </c>
      <c r="E339" s="219" t="str">
        <f>IF($A339="","",IF($K339="DIESEL",AVERAGEIFS(Table1[RSP],Table1[Customer],$B339,Table1[Date],$A339,Table1[Bill No.],$C339),IF($K339="PETROL",AVERAGEIFS(Table14[RSP],Table14[Customer],$B339,Table14[Date],$A339,Table14[Bill No.],$C339),IF($K339="XtraGreen",AVERAGEIFS(Table146[RSP],Table146[Company],$B339,Table146[Date],$A339,Table146[Bill No.],$C339),IFERROR($F339/$D339,"")))))</f>
        <v/>
      </c>
      <c r="F339" s="330" t="str">
        <f>IF($A339="","",IF($K339="DIESEL",SUMIFS(Table1[Amount],Table1[Customer],$B339,Table1[Date],$A339,Table1[Bill No.],$C339),IF($K339="PETROL",SUMIFS(Table14[Amount],Table14[Customer],$B339,Table14[Date],$A339,Table14[Bill No.],$C339),IF($K339="XtraGreen",SUMIFS(Table146[Amount],Table146[Company],$B339,Table146[Date],$A339,Table146[Bill No.],$C339),SUMIFS('Other Sale'!$D:$D,'Other Sale'!$E:$E,$B339,'Other Sale'!$C:$C,$K339,'Other Sale'!$A:$A,$A339)))))</f>
        <v/>
      </c>
      <c r="G339" s="330" t="str" cm="1">
        <f t="array" ref="G339">IF($A339="","",IF($K339="Payment",IFERROR(INDEX(_xlfn._xlws.FILTER(MasterPaid[Amount Paid],(MasterPaid[Customer]=$B339)*(MasterPaid[Date]=$A339)),COUNTIFS($A$6:$A339,$A339,$B$6:$B339,$B339,$K$6:$K339,"Payment")),0),0))</f>
        <v/>
      </c>
      <c r="H339" s="331"/>
      <c r="I339" s="331"/>
      <c r="J339" s="330" t="str">
        <f t="shared" si="5"/>
        <v/>
      </c>
      <c r="K339" s="289" t="str" cm="1">
        <f t="array" ref="K339">IFERROR(INDEX(_xlfn.ANCHORARRAY($Q$6),ROW()-5,4),"")</f>
        <v/>
      </c>
      <c r="L339" s="290"/>
      <c r="U339">
        <f>IF(OR($A339="",$F339=""),0,MAX(0,MIN($F339,SUMIFS($F$6:$F339,$B$6:$B339,$B339)-(SUMIFS($G$6:$G$355,$B$6:$B$355,$B339)+SUMIFS($H$6:$H$355,$B$6:$B$355,$B339)+SUMIFS($I$6:$I$355,$B$6:$B$355,$B339)))))</f>
        <v>0</v>
      </c>
    </row>
    <row r="340" spans="1:21" ht="23" x14ac:dyDescent="0.25">
      <c r="A340" s="217" t="str" cm="1">
        <f t="array" ref="A340">IFERROR(INDEX(_xlfn.ANCHORARRAY($Q$6),ROW()-5,1),"")</f>
        <v/>
      </c>
      <c r="B340" s="288" t="str" cm="1">
        <f t="array" ref="B340">IFERROR(INDEX(_xlfn.ANCHORARRAY($Q$6),ROW()-5,2),"")</f>
        <v/>
      </c>
      <c r="C340" s="289" t="str" cm="1">
        <f t="array" ref="C340">IFERROR(INDEX(_xlfn.ANCHORARRAY($Q$6),ROW()-5,3),"")</f>
        <v/>
      </c>
      <c r="D340" s="218" t="str">
        <f>IF($A340="","",IF($K340="DIESEL",SUMIFS(Table1[Quantity],Table1[Customer],$B340,Table1[Date],$A340,Table1[Bill No.],$C340),IF($K340="PETROL",SUMIFS(Table14[Quantity],Table14[Customer],$B340,Table14[Date],$A340,Table14[Bill No.],$C340),IF($K340="XtraGreen",SUMIFS(Table146[Quantity],Table146[Company],$B340,Table146[Date],$A340,Table146[Bill No.],$C340),""))))</f>
        <v/>
      </c>
      <c r="E340" s="219" t="str">
        <f>IF($A340="","",IF($K340="DIESEL",AVERAGEIFS(Table1[RSP],Table1[Customer],$B340,Table1[Date],$A340,Table1[Bill No.],$C340),IF($K340="PETROL",AVERAGEIFS(Table14[RSP],Table14[Customer],$B340,Table14[Date],$A340,Table14[Bill No.],$C340),IF($K340="XtraGreen",AVERAGEIFS(Table146[RSP],Table146[Company],$B340,Table146[Date],$A340,Table146[Bill No.],$C340),IFERROR($F340/$D340,"")))))</f>
        <v/>
      </c>
      <c r="F340" s="330" t="str">
        <f>IF($A340="","",IF($K340="DIESEL",SUMIFS(Table1[Amount],Table1[Customer],$B340,Table1[Date],$A340,Table1[Bill No.],$C340),IF($K340="PETROL",SUMIFS(Table14[Amount],Table14[Customer],$B340,Table14[Date],$A340,Table14[Bill No.],$C340),IF($K340="XtraGreen",SUMIFS(Table146[Amount],Table146[Company],$B340,Table146[Date],$A340,Table146[Bill No.],$C340),SUMIFS('Other Sale'!$D:$D,'Other Sale'!$E:$E,$B340,'Other Sale'!$C:$C,$K340,'Other Sale'!$A:$A,$A340)))))</f>
        <v/>
      </c>
      <c r="G340" s="330" t="str" cm="1">
        <f t="array" ref="G340">IF($A340="","",IF($K340="Payment",IFERROR(INDEX(_xlfn._xlws.FILTER(MasterPaid[Amount Paid],(MasterPaid[Customer]=$B340)*(MasterPaid[Date]=$A340)),COUNTIFS($A$6:$A340,$A340,$B$6:$B340,$B340,$K$6:$K340,"Payment")),0),0))</f>
        <v/>
      </c>
      <c r="H340" s="331"/>
      <c r="I340" s="331"/>
      <c r="J340" s="330" t="str">
        <f t="shared" si="5"/>
        <v/>
      </c>
      <c r="K340" s="289" t="str" cm="1">
        <f t="array" ref="K340">IFERROR(INDEX(_xlfn.ANCHORARRAY($Q$6),ROW()-5,4),"")</f>
        <v/>
      </c>
      <c r="L340" s="290"/>
      <c r="U340">
        <f>IF(OR($A340="",$F340=""),0,MAX(0,MIN($F340,SUMIFS($F$6:$F340,$B$6:$B340,$B340)-(SUMIFS($G$6:$G$355,$B$6:$B$355,$B340)+SUMIFS($H$6:$H$355,$B$6:$B$355,$B340)+SUMIFS($I$6:$I$355,$B$6:$B$355,$B340)))))</f>
        <v>0</v>
      </c>
    </row>
    <row r="341" spans="1:21" ht="23" x14ac:dyDescent="0.25">
      <c r="A341" s="217" t="str" cm="1">
        <f t="array" ref="A341">IFERROR(INDEX(_xlfn.ANCHORARRAY($Q$6),ROW()-5,1),"")</f>
        <v/>
      </c>
      <c r="B341" s="288" t="str" cm="1">
        <f t="array" ref="B341">IFERROR(INDEX(_xlfn.ANCHORARRAY($Q$6),ROW()-5,2),"")</f>
        <v/>
      </c>
      <c r="C341" s="289" t="str" cm="1">
        <f t="array" ref="C341">IFERROR(INDEX(_xlfn.ANCHORARRAY($Q$6),ROW()-5,3),"")</f>
        <v/>
      </c>
      <c r="D341" s="218" t="str">
        <f>IF($A341="","",IF($K341="DIESEL",SUMIFS(Table1[Quantity],Table1[Customer],$B341,Table1[Date],$A341,Table1[Bill No.],$C341),IF($K341="PETROL",SUMIFS(Table14[Quantity],Table14[Customer],$B341,Table14[Date],$A341,Table14[Bill No.],$C341),IF($K341="XtraGreen",SUMIFS(Table146[Quantity],Table146[Company],$B341,Table146[Date],$A341,Table146[Bill No.],$C341),""))))</f>
        <v/>
      </c>
      <c r="E341" s="219" t="str">
        <f>IF($A341="","",IF($K341="DIESEL",AVERAGEIFS(Table1[RSP],Table1[Customer],$B341,Table1[Date],$A341,Table1[Bill No.],$C341),IF($K341="PETROL",AVERAGEIFS(Table14[RSP],Table14[Customer],$B341,Table14[Date],$A341,Table14[Bill No.],$C341),IF($K341="XtraGreen",AVERAGEIFS(Table146[RSP],Table146[Company],$B341,Table146[Date],$A341,Table146[Bill No.],$C341),IFERROR($F341/$D341,"")))))</f>
        <v/>
      </c>
      <c r="F341" s="330" t="str">
        <f>IF($A341="","",IF($K341="DIESEL",SUMIFS(Table1[Amount],Table1[Customer],$B341,Table1[Date],$A341,Table1[Bill No.],$C341),IF($K341="PETROL",SUMIFS(Table14[Amount],Table14[Customer],$B341,Table14[Date],$A341,Table14[Bill No.],$C341),IF($K341="XtraGreen",SUMIFS(Table146[Amount],Table146[Company],$B341,Table146[Date],$A341,Table146[Bill No.],$C341),SUMIFS('Other Sale'!$D:$D,'Other Sale'!$E:$E,$B341,'Other Sale'!$C:$C,$K341,'Other Sale'!$A:$A,$A341)))))</f>
        <v/>
      </c>
      <c r="G341" s="330" t="str" cm="1">
        <f t="array" ref="G341">IF($A341="","",IF($K341="Payment",IFERROR(INDEX(_xlfn._xlws.FILTER(MasterPaid[Amount Paid],(MasterPaid[Customer]=$B341)*(MasterPaid[Date]=$A341)),COUNTIFS($A$6:$A341,$A341,$B$6:$B341,$B341,$K$6:$K341,"Payment")),0),0))</f>
        <v/>
      </c>
      <c r="H341" s="331"/>
      <c r="I341" s="331"/>
      <c r="J341" s="330" t="str">
        <f t="shared" si="5"/>
        <v/>
      </c>
      <c r="K341" s="289" t="str" cm="1">
        <f t="array" ref="K341">IFERROR(INDEX(_xlfn.ANCHORARRAY($Q$6),ROW()-5,4),"")</f>
        <v/>
      </c>
      <c r="L341" s="290"/>
      <c r="U341">
        <f>IF(OR($A341="",$F341=""),0,MAX(0,MIN($F341,SUMIFS($F$6:$F341,$B$6:$B341,$B341)-(SUMIFS($G$6:$G$355,$B$6:$B$355,$B341)+SUMIFS($H$6:$H$355,$B$6:$B$355,$B341)+SUMIFS($I$6:$I$355,$B$6:$B$355,$B341)))))</f>
        <v>0</v>
      </c>
    </row>
    <row r="342" spans="1:21" ht="23" x14ac:dyDescent="0.25">
      <c r="A342" s="217" t="str" cm="1">
        <f t="array" ref="A342">IFERROR(INDEX(_xlfn.ANCHORARRAY($Q$6),ROW()-5,1),"")</f>
        <v/>
      </c>
      <c r="B342" s="288" t="str" cm="1">
        <f t="array" ref="B342">IFERROR(INDEX(_xlfn.ANCHORARRAY($Q$6),ROW()-5,2),"")</f>
        <v/>
      </c>
      <c r="C342" s="289" t="str" cm="1">
        <f t="array" ref="C342">IFERROR(INDEX(_xlfn.ANCHORARRAY($Q$6),ROW()-5,3),"")</f>
        <v/>
      </c>
      <c r="D342" s="218" t="str">
        <f>IF($A342="","",IF($K342="DIESEL",SUMIFS(Table1[Quantity],Table1[Customer],$B342,Table1[Date],$A342,Table1[Bill No.],$C342),IF($K342="PETROL",SUMIFS(Table14[Quantity],Table14[Customer],$B342,Table14[Date],$A342,Table14[Bill No.],$C342),IF($K342="XtraGreen",SUMIFS(Table146[Quantity],Table146[Company],$B342,Table146[Date],$A342,Table146[Bill No.],$C342),""))))</f>
        <v/>
      </c>
      <c r="E342" s="219" t="str">
        <f>IF($A342="","",IF($K342="DIESEL",AVERAGEIFS(Table1[RSP],Table1[Customer],$B342,Table1[Date],$A342,Table1[Bill No.],$C342),IF($K342="PETROL",AVERAGEIFS(Table14[RSP],Table14[Customer],$B342,Table14[Date],$A342,Table14[Bill No.],$C342),IF($K342="XtraGreen",AVERAGEIFS(Table146[RSP],Table146[Company],$B342,Table146[Date],$A342,Table146[Bill No.],$C342),IFERROR($F342/$D342,"")))))</f>
        <v/>
      </c>
      <c r="F342" s="330" t="str">
        <f>IF($A342="","",IF($K342="DIESEL",SUMIFS(Table1[Amount],Table1[Customer],$B342,Table1[Date],$A342,Table1[Bill No.],$C342),IF($K342="PETROL",SUMIFS(Table14[Amount],Table14[Customer],$B342,Table14[Date],$A342,Table14[Bill No.],$C342),IF($K342="XtraGreen",SUMIFS(Table146[Amount],Table146[Company],$B342,Table146[Date],$A342,Table146[Bill No.],$C342),SUMIFS('Other Sale'!$D:$D,'Other Sale'!$E:$E,$B342,'Other Sale'!$C:$C,$K342,'Other Sale'!$A:$A,$A342)))))</f>
        <v/>
      </c>
      <c r="G342" s="330" t="str" cm="1">
        <f t="array" ref="G342">IF($A342="","",IF($K342="Payment",IFERROR(INDEX(_xlfn._xlws.FILTER(MasterPaid[Amount Paid],(MasterPaid[Customer]=$B342)*(MasterPaid[Date]=$A342)),COUNTIFS($A$6:$A342,$A342,$B$6:$B342,$B342,$K$6:$K342,"Payment")),0),0))</f>
        <v/>
      </c>
      <c r="H342" s="331"/>
      <c r="I342" s="331"/>
      <c r="J342" s="330" t="str">
        <f t="shared" si="5"/>
        <v/>
      </c>
      <c r="K342" s="289" t="str" cm="1">
        <f t="array" ref="K342">IFERROR(INDEX(_xlfn.ANCHORARRAY($Q$6),ROW()-5,4),"")</f>
        <v/>
      </c>
      <c r="L342" s="290"/>
      <c r="U342">
        <f>IF(OR($A342="",$F342=""),0,MAX(0,MIN($F342,SUMIFS($F$6:$F342,$B$6:$B342,$B342)-(SUMIFS($G$6:$G$355,$B$6:$B$355,$B342)+SUMIFS($H$6:$H$355,$B$6:$B$355,$B342)+SUMIFS($I$6:$I$355,$B$6:$B$355,$B342)))))</f>
        <v>0</v>
      </c>
    </row>
    <row r="343" spans="1:21" ht="23" x14ac:dyDescent="0.25">
      <c r="A343" s="217" t="str" cm="1">
        <f t="array" ref="A343">IFERROR(INDEX(_xlfn.ANCHORARRAY($Q$6),ROW()-5,1),"")</f>
        <v/>
      </c>
      <c r="B343" s="288" t="str" cm="1">
        <f t="array" ref="B343">IFERROR(INDEX(_xlfn.ANCHORARRAY($Q$6),ROW()-5,2),"")</f>
        <v/>
      </c>
      <c r="C343" s="289" t="str" cm="1">
        <f t="array" ref="C343">IFERROR(INDEX(_xlfn.ANCHORARRAY($Q$6),ROW()-5,3),"")</f>
        <v/>
      </c>
      <c r="D343" s="218" t="str">
        <f>IF($A343="","",IF($K343="DIESEL",SUMIFS(Table1[Quantity],Table1[Customer],$B343,Table1[Date],$A343,Table1[Bill No.],$C343),IF($K343="PETROL",SUMIFS(Table14[Quantity],Table14[Customer],$B343,Table14[Date],$A343,Table14[Bill No.],$C343),IF($K343="XtraGreen",SUMIFS(Table146[Quantity],Table146[Company],$B343,Table146[Date],$A343,Table146[Bill No.],$C343),""))))</f>
        <v/>
      </c>
      <c r="E343" s="219" t="str">
        <f>IF($A343="","",IF($K343="DIESEL",AVERAGEIFS(Table1[RSP],Table1[Customer],$B343,Table1[Date],$A343,Table1[Bill No.],$C343),IF($K343="PETROL",AVERAGEIFS(Table14[RSP],Table14[Customer],$B343,Table14[Date],$A343,Table14[Bill No.],$C343),IF($K343="XtraGreen",AVERAGEIFS(Table146[RSP],Table146[Company],$B343,Table146[Date],$A343,Table146[Bill No.],$C343),IFERROR($F343/$D343,"")))))</f>
        <v/>
      </c>
      <c r="F343" s="330" t="str">
        <f>IF($A343="","",IF($K343="DIESEL",SUMIFS(Table1[Amount],Table1[Customer],$B343,Table1[Date],$A343,Table1[Bill No.],$C343),IF($K343="PETROL",SUMIFS(Table14[Amount],Table14[Customer],$B343,Table14[Date],$A343,Table14[Bill No.],$C343),IF($K343="XtraGreen",SUMIFS(Table146[Amount],Table146[Company],$B343,Table146[Date],$A343,Table146[Bill No.],$C343),SUMIFS('Other Sale'!$D:$D,'Other Sale'!$E:$E,$B343,'Other Sale'!$C:$C,$K343,'Other Sale'!$A:$A,$A343)))))</f>
        <v/>
      </c>
      <c r="G343" s="330" t="str" cm="1">
        <f t="array" ref="G343">IF($A343="","",IF($K343="Payment",IFERROR(INDEX(_xlfn._xlws.FILTER(MasterPaid[Amount Paid],(MasterPaid[Customer]=$B343)*(MasterPaid[Date]=$A343)),COUNTIFS($A$6:$A343,$A343,$B$6:$B343,$B343,$K$6:$K343,"Payment")),0),0))</f>
        <v/>
      </c>
      <c r="H343" s="331"/>
      <c r="I343" s="331"/>
      <c r="J343" s="330" t="str">
        <f t="shared" si="5"/>
        <v/>
      </c>
      <c r="K343" s="289" t="str" cm="1">
        <f t="array" ref="K343">IFERROR(INDEX(_xlfn.ANCHORARRAY($Q$6),ROW()-5,4),"")</f>
        <v/>
      </c>
      <c r="L343" s="290"/>
      <c r="U343">
        <f>IF(OR($A343="",$F343=""),0,MAX(0,MIN($F343,SUMIFS($F$6:$F343,$B$6:$B343,$B343)-(SUMIFS($G$6:$G$355,$B$6:$B$355,$B343)+SUMIFS($H$6:$H$355,$B$6:$B$355,$B343)+SUMIFS($I$6:$I$355,$B$6:$B$355,$B343)))))</f>
        <v>0</v>
      </c>
    </row>
    <row r="344" spans="1:21" ht="23" x14ac:dyDescent="0.25">
      <c r="A344" s="217" t="str" cm="1">
        <f t="array" ref="A344">IFERROR(INDEX(_xlfn.ANCHORARRAY($Q$6),ROW()-5,1),"")</f>
        <v/>
      </c>
      <c r="B344" s="288" t="str" cm="1">
        <f t="array" ref="B344">IFERROR(INDEX(_xlfn.ANCHORARRAY($Q$6),ROW()-5,2),"")</f>
        <v/>
      </c>
      <c r="C344" s="289" t="str" cm="1">
        <f t="array" ref="C344">IFERROR(INDEX(_xlfn.ANCHORARRAY($Q$6),ROW()-5,3),"")</f>
        <v/>
      </c>
      <c r="D344" s="218" t="str">
        <f>IF($A344="","",IF($K344="DIESEL",SUMIFS(Table1[Quantity],Table1[Customer],$B344,Table1[Date],$A344,Table1[Bill No.],$C344),IF($K344="PETROL",SUMIFS(Table14[Quantity],Table14[Customer],$B344,Table14[Date],$A344,Table14[Bill No.],$C344),IF($K344="XtraGreen",SUMIFS(Table146[Quantity],Table146[Company],$B344,Table146[Date],$A344,Table146[Bill No.],$C344),""))))</f>
        <v/>
      </c>
      <c r="E344" s="219" t="str">
        <f>IF($A344="","",IF($K344="DIESEL",AVERAGEIFS(Table1[RSP],Table1[Customer],$B344,Table1[Date],$A344,Table1[Bill No.],$C344),IF($K344="PETROL",AVERAGEIFS(Table14[RSP],Table14[Customer],$B344,Table14[Date],$A344,Table14[Bill No.],$C344),IF($K344="XtraGreen",AVERAGEIFS(Table146[RSP],Table146[Company],$B344,Table146[Date],$A344,Table146[Bill No.],$C344),IFERROR($F344/$D344,"")))))</f>
        <v/>
      </c>
      <c r="F344" s="330" t="str">
        <f>IF($A344="","",IF($K344="DIESEL",SUMIFS(Table1[Amount],Table1[Customer],$B344,Table1[Date],$A344,Table1[Bill No.],$C344),IF($K344="PETROL",SUMIFS(Table14[Amount],Table14[Customer],$B344,Table14[Date],$A344,Table14[Bill No.],$C344),IF($K344="XtraGreen",SUMIFS(Table146[Amount],Table146[Company],$B344,Table146[Date],$A344,Table146[Bill No.],$C344),SUMIFS('Other Sale'!$D:$D,'Other Sale'!$E:$E,$B344,'Other Sale'!$C:$C,$K344,'Other Sale'!$A:$A,$A344)))))</f>
        <v/>
      </c>
      <c r="G344" s="330" t="str" cm="1">
        <f t="array" ref="G344">IF($A344="","",IF($K344="Payment",IFERROR(INDEX(_xlfn._xlws.FILTER(MasterPaid[Amount Paid],(MasterPaid[Customer]=$B344)*(MasterPaid[Date]=$A344)),COUNTIFS($A$6:$A344,$A344,$B$6:$B344,$B344,$K$6:$K344,"Payment")),0),0))</f>
        <v/>
      </c>
      <c r="H344" s="331"/>
      <c r="I344" s="331"/>
      <c r="J344" s="330" t="str">
        <f t="shared" si="5"/>
        <v/>
      </c>
      <c r="K344" s="289" t="str" cm="1">
        <f t="array" ref="K344">IFERROR(INDEX(_xlfn.ANCHORARRAY($Q$6),ROW()-5,4),"")</f>
        <v/>
      </c>
      <c r="L344" s="290"/>
      <c r="U344">
        <f>IF(OR($A344="",$F344=""),0,MAX(0,MIN($F344,SUMIFS($F$6:$F344,$B$6:$B344,$B344)-(SUMIFS($G$6:$G$355,$B$6:$B$355,$B344)+SUMIFS($H$6:$H$355,$B$6:$B$355,$B344)+SUMIFS($I$6:$I$355,$B$6:$B$355,$B344)))))</f>
        <v>0</v>
      </c>
    </row>
    <row r="345" spans="1:21" ht="23" x14ac:dyDescent="0.25">
      <c r="A345" s="217" t="str" cm="1">
        <f t="array" ref="A345">IFERROR(INDEX(_xlfn.ANCHORARRAY($Q$6),ROW()-5,1),"")</f>
        <v/>
      </c>
      <c r="B345" s="288" t="str" cm="1">
        <f t="array" ref="B345">IFERROR(INDEX(_xlfn.ANCHORARRAY($Q$6),ROW()-5,2),"")</f>
        <v/>
      </c>
      <c r="C345" s="289" t="str" cm="1">
        <f t="array" ref="C345">IFERROR(INDEX(_xlfn.ANCHORARRAY($Q$6),ROW()-5,3),"")</f>
        <v/>
      </c>
      <c r="D345" s="218" t="str">
        <f>IF($A345="","",IF($K345="DIESEL",SUMIFS(Table1[Quantity],Table1[Customer],$B345,Table1[Date],$A345,Table1[Bill No.],$C345),IF($K345="PETROL",SUMIFS(Table14[Quantity],Table14[Customer],$B345,Table14[Date],$A345,Table14[Bill No.],$C345),IF($K345="XtraGreen",SUMIFS(Table146[Quantity],Table146[Company],$B345,Table146[Date],$A345,Table146[Bill No.],$C345),""))))</f>
        <v/>
      </c>
      <c r="E345" s="219" t="str">
        <f>IF($A345="","",IF($K345="DIESEL",AVERAGEIFS(Table1[RSP],Table1[Customer],$B345,Table1[Date],$A345,Table1[Bill No.],$C345),IF($K345="PETROL",AVERAGEIFS(Table14[RSP],Table14[Customer],$B345,Table14[Date],$A345,Table14[Bill No.],$C345),IF($K345="XtraGreen",AVERAGEIFS(Table146[RSP],Table146[Company],$B345,Table146[Date],$A345,Table146[Bill No.],$C345),IFERROR($F345/$D345,"")))))</f>
        <v/>
      </c>
      <c r="F345" s="330" t="str">
        <f>IF($A345="","",IF($K345="DIESEL",SUMIFS(Table1[Amount],Table1[Customer],$B345,Table1[Date],$A345,Table1[Bill No.],$C345),IF($K345="PETROL",SUMIFS(Table14[Amount],Table14[Customer],$B345,Table14[Date],$A345,Table14[Bill No.],$C345),IF($K345="XtraGreen",SUMIFS(Table146[Amount],Table146[Company],$B345,Table146[Date],$A345,Table146[Bill No.],$C345),SUMIFS('Other Sale'!$D:$D,'Other Sale'!$E:$E,$B345,'Other Sale'!$C:$C,$K345,'Other Sale'!$A:$A,$A345)))))</f>
        <v/>
      </c>
      <c r="G345" s="330" t="str" cm="1">
        <f t="array" ref="G345">IF($A345="","",IF($K345="Payment",IFERROR(INDEX(_xlfn._xlws.FILTER(MasterPaid[Amount Paid],(MasterPaid[Customer]=$B345)*(MasterPaid[Date]=$A345)),COUNTIFS($A$6:$A345,$A345,$B$6:$B345,$B345,$K$6:$K345,"Payment")),0),0))</f>
        <v/>
      </c>
      <c r="H345" s="331"/>
      <c r="I345" s="331"/>
      <c r="J345" s="330" t="str">
        <f t="shared" si="5"/>
        <v/>
      </c>
      <c r="K345" s="289" t="str" cm="1">
        <f t="array" ref="K345">IFERROR(INDEX(_xlfn.ANCHORARRAY($Q$6),ROW()-5,4),"")</f>
        <v/>
      </c>
      <c r="L345" s="290"/>
      <c r="U345">
        <f>IF(OR($A345="",$F345=""),0,MAX(0,MIN($F345,SUMIFS($F$6:$F345,$B$6:$B345,$B345)-(SUMIFS($G$6:$G$355,$B$6:$B$355,$B345)+SUMIFS($H$6:$H$355,$B$6:$B$355,$B345)+SUMIFS($I$6:$I$355,$B$6:$B$355,$B345)))))</f>
        <v>0</v>
      </c>
    </row>
    <row r="346" spans="1:21" ht="23" x14ac:dyDescent="0.25">
      <c r="A346" s="217" t="str" cm="1">
        <f t="array" ref="A346">IFERROR(INDEX(_xlfn.ANCHORARRAY($Q$6),ROW()-5,1),"")</f>
        <v/>
      </c>
      <c r="B346" s="288" t="str" cm="1">
        <f t="array" ref="B346">IFERROR(INDEX(_xlfn.ANCHORARRAY($Q$6),ROW()-5,2),"")</f>
        <v/>
      </c>
      <c r="C346" s="289" t="str" cm="1">
        <f t="array" ref="C346">IFERROR(INDEX(_xlfn.ANCHORARRAY($Q$6),ROW()-5,3),"")</f>
        <v/>
      </c>
      <c r="D346" s="218" t="str">
        <f>IF($A346="","",IF($K346="DIESEL",SUMIFS(Table1[Quantity],Table1[Customer],$B346,Table1[Date],$A346,Table1[Bill No.],$C346),IF($K346="PETROL",SUMIFS(Table14[Quantity],Table14[Customer],$B346,Table14[Date],$A346,Table14[Bill No.],$C346),IF($K346="XtraGreen",SUMIFS(Table146[Quantity],Table146[Company],$B346,Table146[Date],$A346,Table146[Bill No.],$C346),""))))</f>
        <v/>
      </c>
      <c r="E346" s="219" t="str">
        <f>IF($A346="","",IF($K346="DIESEL",AVERAGEIFS(Table1[RSP],Table1[Customer],$B346,Table1[Date],$A346,Table1[Bill No.],$C346),IF($K346="PETROL",AVERAGEIFS(Table14[RSP],Table14[Customer],$B346,Table14[Date],$A346,Table14[Bill No.],$C346),IF($K346="XtraGreen",AVERAGEIFS(Table146[RSP],Table146[Company],$B346,Table146[Date],$A346,Table146[Bill No.],$C346),IFERROR($F346/$D346,"")))))</f>
        <v/>
      </c>
      <c r="F346" s="330" t="str">
        <f>IF($A346="","",IF($K346="DIESEL",SUMIFS(Table1[Amount],Table1[Customer],$B346,Table1[Date],$A346,Table1[Bill No.],$C346),IF($K346="PETROL",SUMIFS(Table14[Amount],Table14[Customer],$B346,Table14[Date],$A346,Table14[Bill No.],$C346),IF($K346="XtraGreen",SUMIFS(Table146[Amount],Table146[Company],$B346,Table146[Date],$A346,Table146[Bill No.],$C346),SUMIFS('Other Sale'!$D:$D,'Other Sale'!$E:$E,$B346,'Other Sale'!$C:$C,$K346,'Other Sale'!$A:$A,$A346)))))</f>
        <v/>
      </c>
      <c r="G346" s="330" t="str" cm="1">
        <f t="array" ref="G346">IF($A346="","",IF($K346="Payment",IFERROR(INDEX(_xlfn._xlws.FILTER(MasterPaid[Amount Paid],(MasterPaid[Customer]=$B346)*(MasterPaid[Date]=$A346)),COUNTIFS($A$6:$A346,$A346,$B$6:$B346,$B346,$K$6:$K346,"Payment")),0),0))</f>
        <v/>
      </c>
      <c r="H346" s="331"/>
      <c r="I346" s="331"/>
      <c r="J346" s="330" t="str">
        <f t="shared" si="5"/>
        <v/>
      </c>
      <c r="K346" s="289" t="str" cm="1">
        <f t="array" ref="K346">IFERROR(INDEX(_xlfn.ANCHORARRAY($Q$6),ROW()-5,4),"")</f>
        <v/>
      </c>
      <c r="L346" s="290"/>
      <c r="U346">
        <f>IF(OR($A346="",$F346=""),0,MAX(0,MIN($F346,SUMIFS($F$6:$F346,$B$6:$B346,$B346)-(SUMIFS($G$6:$G$355,$B$6:$B$355,$B346)+SUMIFS($H$6:$H$355,$B$6:$B$355,$B346)+SUMIFS($I$6:$I$355,$B$6:$B$355,$B346)))))</f>
        <v>0</v>
      </c>
    </row>
    <row r="347" spans="1:21" ht="23" x14ac:dyDescent="0.25">
      <c r="A347" s="217" t="str" cm="1">
        <f t="array" ref="A347">IFERROR(INDEX(_xlfn.ANCHORARRAY($Q$6),ROW()-5,1),"")</f>
        <v/>
      </c>
      <c r="B347" s="288" t="str" cm="1">
        <f t="array" ref="B347">IFERROR(INDEX(_xlfn.ANCHORARRAY($Q$6),ROW()-5,2),"")</f>
        <v/>
      </c>
      <c r="C347" s="289" t="str" cm="1">
        <f t="array" ref="C347">IFERROR(INDEX(_xlfn.ANCHORARRAY($Q$6),ROW()-5,3),"")</f>
        <v/>
      </c>
      <c r="D347" s="218" t="str">
        <f>IF($A347="","",IF($K347="DIESEL",SUMIFS(Table1[Quantity],Table1[Customer],$B347,Table1[Date],$A347,Table1[Bill No.],$C347),IF($K347="PETROL",SUMIFS(Table14[Quantity],Table14[Customer],$B347,Table14[Date],$A347,Table14[Bill No.],$C347),IF($K347="XtraGreen",SUMIFS(Table146[Quantity],Table146[Company],$B347,Table146[Date],$A347,Table146[Bill No.],$C347),""))))</f>
        <v/>
      </c>
      <c r="E347" s="219" t="str">
        <f>IF($A347="","",IF($K347="DIESEL",AVERAGEIFS(Table1[RSP],Table1[Customer],$B347,Table1[Date],$A347,Table1[Bill No.],$C347),IF($K347="PETROL",AVERAGEIFS(Table14[RSP],Table14[Customer],$B347,Table14[Date],$A347,Table14[Bill No.],$C347),IF($K347="XtraGreen",AVERAGEIFS(Table146[RSP],Table146[Company],$B347,Table146[Date],$A347,Table146[Bill No.],$C347),IFERROR($F347/$D347,"")))))</f>
        <v/>
      </c>
      <c r="F347" s="330" t="str">
        <f>IF($A347="","",IF($K347="DIESEL",SUMIFS(Table1[Amount],Table1[Customer],$B347,Table1[Date],$A347,Table1[Bill No.],$C347),IF($K347="PETROL",SUMIFS(Table14[Amount],Table14[Customer],$B347,Table14[Date],$A347,Table14[Bill No.],$C347),IF($K347="XtraGreen",SUMIFS(Table146[Amount],Table146[Company],$B347,Table146[Date],$A347,Table146[Bill No.],$C347),SUMIFS('Other Sale'!$D:$D,'Other Sale'!$E:$E,$B347,'Other Sale'!$C:$C,$K347,'Other Sale'!$A:$A,$A347)))))</f>
        <v/>
      </c>
      <c r="G347" s="330" t="str" cm="1">
        <f t="array" ref="G347">IF($A347="","",IF($K347="Payment",IFERROR(INDEX(_xlfn._xlws.FILTER(MasterPaid[Amount Paid],(MasterPaid[Customer]=$B347)*(MasterPaid[Date]=$A347)),COUNTIFS($A$6:$A347,$A347,$B$6:$B347,$B347,$K$6:$K347,"Payment")),0),0))</f>
        <v/>
      </c>
      <c r="H347" s="331"/>
      <c r="I347" s="331"/>
      <c r="J347" s="330" t="str">
        <f t="shared" si="5"/>
        <v/>
      </c>
      <c r="K347" s="289" t="str" cm="1">
        <f t="array" ref="K347">IFERROR(INDEX(_xlfn.ANCHORARRAY($Q$6),ROW()-5,4),"")</f>
        <v/>
      </c>
      <c r="L347" s="290"/>
      <c r="U347">
        <f>IF(OR($A347="",$F347=""),0,MAX(0,MIN($F347,SUMIFS($F$6:$F347,$B$6:$B347,$B347)-(SUMIFS($G$6:$G$355,$B$6:$B$355,$B347)+SUMIFS($H$6:$H$355,$B$6:$B$355,$B347)+SUMIFS($I$6:$I$355,$B$6:$B$355,$B347)))))</f>
        <v>0</v>
      </c>
    </row>
    <row r="348" spans="1:21" ht="23" x14ac:dyDescent="0.25">
      <c r="A348" s="217" t="str" cm="1">
        <f t="array" ref="A348">IFERROR(INDEX(_xlfn.ANCHORARRAY($Q$6),ROW()-5,1),"")</f>
        <v/>
      </c>
      <c r="B348" s="288" t="str" cm="1">
        <f t="array" ref="B348">IFERROR(INDEX(_xlfn.ANCHORARRAY($Q$6),ROW()-5,2),"")</f>
        <v/>
      </c>
      <c r="C348" s="289" t="str" cm="1">
        <f t="array" ref="C348">IFERROR(INDEX(_xlfn.ANCHORARRAY($Q$6),ROW()-5,3),"")</f>
        <v/>
      </c>
      <c r="D348" s="218" t="str">
        <f>IF($A348="","",IF($K348="DIESEL",SUMIFS(Table1[Quantity],Table1[Customer],$B348,Table1[Date],$A348,Table1[Bill No.],$C348),IF($K348="PETROL",SUMIFS(Table14[Quantity],Table14[Customer],$B348,Table14[Date],$A348,Table14[Bill No.],$C348),IF($K348="XtraGreen",SUMIFS(Table146[Quantity],Table146[Company],$B348,Table146[Date],$A348,Table146[Bill No.],$C348),""))))</f>
        <v/>
      </c>
      <c r="E348" s="219" t="str">
        <f>IF($A348="","",IF($K348="DIESEL",AVERAGEIFS(Table1[RSP],Table1[Customer],$B348,Table1[Date],$A348,Table1[Bill No.],$C348),IF($K348="PETROL",AVERAGEIFS(Table14[RSP],Table14[Customer],$B348,Table14[Date],$A348,Table14[Bill No.],$C348),IF($K348="XtraGreen",AVERAGEIFS(Table146[RSP],Table146[Company],$B348,Table146[Date],$A348,Table146[Bill No.],$C348),IFERROR($F348/$D348,"")))))</f>
        <v/>
      </c>
      <c r="F348" s="330" t="str">
        <f>IF($A348="","",IF($K348="DIESEL",SUMIFS(Table1[Amount],Table1[Customer],$B348,Table1[Date],$A348,Table1[Bill No.],$C348),IF($K348="PETROL",SUMIFS(Table14[Amount],Table14[Customer],$B348,Table14[Date],$A348,Table14[Bill No.],$C348),IF($K348="XtraGreen",SUMIFS(Table146[Amount],Table146[Company],$B348,Table146[Date],$A348,Table146[Bill No.],$C348),SUMIFS('Other Sale'!$D:$D,'Other Sale'!$E:$E,$B348,'Other Sale'!$C:$C,$K348,'Other Sale'!$A:$A,$A348)))))</f>
        <v/>
      </c>
      <c r="G348" s="330" t="str" cm="1">
        <f t="array" ref="G348">IF($A348="","",IF($K348="Payment",IFERROR(INDEX(_xlfn._xlws.FILTER(MasterPaid[Amount Paid],(MasterPaid[Customer]=$B348)*(MasterPaid[Date]=$A348)),COUNTIFS($A$6:$A348,$A348,$B$6:$B348,$B348,$K$6:$K348,"Payment")),0),0))</f>
        <v/>
      </c>
      <c r="H348" s="331"/>
      <c r="I348" s="331"/>
      <c r="J348" s="330" t="str">
        <f t="shared" si="5"/>
        <v/>
      </c>
      <c r="K348" s="289" t="str" cm="1">
        <f t="array" ref="K348">IFERROR(INDEX(_xlfn.ANCHORARRAY($Q$6),ROW()-5,4),"")</f>
        <v/>
      </c>
      <c r="L348" s="290"/>
      <c r="U348">
        <f>IF(OR($A348="",$F348=""),0,MAX(0,MIN($F348,SUMIFS($F$6:$F348,$B$6:$B348,$B348)-(SUMIFS($G$6:$G$355,$B$6:$B$355,$B348)+SUMIFS($H$6:$H$355,$B$6:$B$355,$B348)+SUMIFS($I$6:$I$355,$B$6:$B$355,$B348)))))</f>
        <v>0</v>
      </c>
    </row>
    <row r="349" spans="1:21" ht="23" x14ac:dyDescent="0.25">
      <c r="A349" s="217" t="str" cm="1">
        <f t="array" ref="A349">IFERROR(INDEX(_xlfn.ANCHORARRAY($Q$6),ROW()-5,1),"")</f>
        <v/>
      </c>
      <c r="B349" s="288" t="str" cm="1">
        <f t="array" ref="B349">IFERROR(INDEX(_xlfn.ANCHORARRAY($Q$6),ROW()-5,2),"")</f>
        <v/>
      </c>
      <c r="C349" s="289" t="str" cm="1">
        <f t="array" ref="C349">IFERROR(INDEX(_xlfn.ANCHORARRAY($Q$6),ROW()-5,3),"")</f>
        <v/>
      </c>
      <c r="D349" s="218" t="str">
        <f>IF($A349="","",IF($K349="DIESEL",SUMIFS(Table1[Quantity],Table1[Customer],$B349,Table1[Date],$A349,Table1[Bill No.],$C349),IF($K349="PETROL",SUMIFS(Table14[Quantity],Table14[Customer],$B349,Table14[Date],$A349,Table14[Bill No.],$C349),IF($K349="XtraGreen",SUMIFS(Table146[Quantity],Table146[Company],$B349,Table146[Date],$A349,Table146[Bill No.],$C349),""))))</f>
        <v/>
      </c>
      <c r="E349" s="219" t="str">
        <f>IF($A349="","",IF($K349="DIESEL",AVERAGEIFS(Table1[RSP],Table1[Customer],$B349,Table1[Date],$A349,Table1[Bill No.],$C349),IF($K349="PETROL",AVERAGEIFS(Table14[RSP],Table14[Customer],$B349,Table14[Date],$A349,Table14[Bill No.],$C349),IF($K349="XtraGreen",AVERAGEIFS(Table146[RSP],Table146[Company],$B349,Table146[Date],$A349,Table146[Bill No.],$C349),IFERROR($F349/$D349,"")))))</f>
        <v/>
      </c>
      <c r="F349" s="330" t="str">
        <f>IF($A349="","",IF($K349="DIESEL",SUMIFS(Table1[Amount],Table1[Customer],$B349,Table1[Date],$A349,Table1[Bill No.],$C349),IF($K349="PETROL",SUMIFS(Table14[Amount],Table14[Customer],$B349,Table14[Date],$A349,Table14[Bill No.],$C349),IF($K349="XtraGreen",SUMIFS(Table146[Amount],Table146[Company],$B349,Table146[Date],$A349,Table146[Bill No.],$C349),SUMIFS('Other Sale'!$D:$D,'Other Sale'!$E:$E,$B349,'Other Sale'!$C:$C,$K349,'Other Sale'!$A:$A,$A349)))))</f>
        <v/>
      </c>
      <c r="G349" s="330" t="str" cm="1">
        <f t="array" ref="G349">IF($A349="","",IF($K349="Payment",IFERROR(INDEX(_xlfn._xlws.FILTER(MasterPaid[Amount Paid],(MasterPaid[Customer]=$B349)*(MasterPaid[Date]=$A349)),COUNTIFS($A$6:$A349,$A349,$B$6:$B349,$B349,$K$6:$K349,"Payment")),0),0))</f>
        <v/>
      </c>
      <c r="H349" s="331"/>
      <c r="I349" s="331"/>
      <c r="J349" s="330" t="str">
        <f t="shared" si="5"/>
        <v/>
      </c>
      <c r="K349" s="289" t="str" cm="1">
        <f t="array" ref="K349">IFERROR(INDEX(_xlfn.ANCHORARRAY($Q$6),ROW()-5,4),"")</f>
        <v/>
      </c>
      <c r="L349" s="290"/>
      <c r="U349">
        <f>IF(OR($A349="",$F349=""),0,MAX(0,MIN($F349,SUMIFS($F$6:$F349,$B$6:$B349,$B349)-(SUMIFS($G$6:$G$355,$B$6:$B$355,$B349)+SUMIFS($H$6:$H$355,$B$6:$B$355,$B349)+SUMIFS($I$6:$I$355,$B$6:$B$355,$B349)))))</f>
        <v>0</v>
      </c>
    </row>
    <row r="350" spans="1:21" ht="23" x14ac:dyDescent="0.25">
      <c r="A350" s="217" t="str" cm="1">
        <f t="array" ref="A350">IFERROR(INDEX(_xlfn.ANCHORARRAY($Q$6),ROW()-5,1),"")</f>
        <v/>
      </c>
      <c r="B350" s="288" t="str" cm="1">
        <f t="array" ref="B350">IFERROR(INDEX(_xlfn.ANCHORARRAY($Q$6),ROW()-5,2),"")</f>
        <v/>
      </c>
      <c r="C350" s="289" t="str" cm="1">
        <f t="array" ref="C350">IFERROR(INDEX(_xlfn.ANCHORARRAY($Q$6),ROW()-5,3),"")</f>
        <v/>
      </c>
      <c r="D350" s="218" t="str">
        <f>IF($A350="","",IF($K350="DIESEL",SUMIFS(Table1[Quantity],Table1[Customer],$B350,Table1[Date],$A350,Table1[Bill No.],$C350),IF($K350="PETROL",SUMIFS(Table14[Quantity],Table14[Customer],$B350,Table14[Date],$A350,Table14[Bill No.],$C350),IF($K350="XtraGreen",SUMIFS(Table146[Quantity],Table146[Company],$B350,Table146[Date],$A350,Table146[Bill No.],$C350),""))))</f>
        <v/>
      </c>
      <c r="E350" s="219" t="str">
        <f>IF($A350="","",IF($K350="DIESEL",AVERAGEIFS(Table1[RSP],Table1[Customer],$B350,Table1[Date],$A350,Table1[Bill No.],$C350),IF($K350="PETROL",AVERAGEIFS(Table14[RSP],Table14[Customer],$B350,Table14[Date],$A350,Table14[Bill No.],$C350),IF($K350="XtraGreen",AVERAGEIFS(Table146[RSP],Table146[Company],$B350,Table146[Date],$A350,Table146[Bill No.],$C350),IFERROR($F350/$D350,"")))))</f>
        <v/>
      </c>
      <c r="F350" s="330" t="str">
        <f>IF($A350="","",IF($K350="DIESEL",SUMIFS(Table1[Amount],Table1[Customer],$B350,Table1[Date],$A350,Table1[Bill No.],$C350),IF($K350="PETROL",SUMIFS(Table14[Amount],Table14[Customer],$B350,Table14[Date],$A350,Table14[Bill No.],$C350),IF($K350="XtraGreen",SUMIFS(Table146[Amount],Table146[Company],$B350,Table146[Date],$A350,Table146[Bill No.],$C350),SUMIFS('Other Sale'!$D:$D,'Other Sale'!$E:$E,$B350,'Other Sale'!$C:$C,$K350,'Other Sale'!$A:$A,$A350)))))</f>
        <v/>
      </c>
      <c r="G350" s="330" t="str" cm="1">
        <f t="array" ref="G350">IF($A350="","",IF($K350="Payment",IFERROR(INDEX(_xlfn._xlws.FILTER(MasterPaid[Amount Paid],(MasterPaid[Customer]=$B350)*(MasterPaid[Date]=$A350)),COUNTIFS($A$6:$A350,$A350,$B$6:$B350,$B350,$K$6:$K350,"Payment")),0),0))</f>
        <v/>
      </c>
      <c r="H350" s="331"/>
      <c r="I350" s="331"/>
      <c r="J350" s="330" t="str">
        <f t="shared" si="5"/>
        <v/>
      </c>
      <c r="K350" s="289" t="str" cm="1">
        <f t="array" ref="K350">IFERROR(INDEX(_xlfn.ANCHORARRAY($Q$6),ROW()-5,4),"")</f>
        <v/>
      </c>
      <c r="L350" s="290"/>
      <c r="U350">
        <f>IF(OR($A350="",$F350=""),0,MAX(0,MIN($F350,SUMIFS($F$6:$F350,$B$6:$B350,$B350)-(SUMIFS($G$6:$G$355,$B$6:$B$355,$B350)+SUMIFS($H$6:$H$355,$B$6:$B$355,$B350)+SUMIFS($I$6:$I$355,$B$6:$B$355,$B350)))))</f>
        <v>0</v>
      </c>
    </row>
    <row r="351" spans="1:21" ht="23" x14ac:dyDescent="0.25">
      <c r="A351" s="217" t="str" cm="1">
        <f t="array" ref="A351">IFERROR(INDEX(_xlfn.ANCHORARRAY($Q$6),ROW()-5,1),"")</f>
        <v/>
      </c>
      <c r="B351" s="288" t="str" cm="1">
        <f t="array" ref="B351">IFERROR(INDEX(_xlfn.ANCHORARRAY($Q$6),ROW()-5,2),"")</f>
        <v/>
      </c>
      <c r="C351" s="289" t="str" cm="1">
        <f t="array" ref="C351">IFERROR(INDEX(_xlfn.ANCHORARRAY($Q$6),ROW()-5,3),"")</f>
        <v/>
      </c>
      <c r="D351" s="218" t="str">
        <f>IF($A351="","",IF($K351="DIESEL",SUMIFS(Table1[Quantity],Table1[Customer],$B351,Table1[Date],$A351,Table1[Bill No.],$C351),IF($K351="PETROL",SUMIFS(Table14[Quantity],Table14[Customer],$B351,Table14[Date],$A351,Table14[Bill No.],$C351),IF($K351="XtraGreen",SUMIFS(Table146[Quantity],Table146[Company],$B351,Table146[Date],$A351,Table146[Bill No.],$C351),""))))</f>
        <v/>
      </c>
      <c r="E351" s="219" t="str">
        <f>IF($A351="","",IF($K351="DIESEL",AVERAGEIFS(Table1[RSP],Table1[Customer],$B351,Table1[Date],$A351,Table1[Bill No.],$C351),IF($K351="PETROL",AVERAGEIFS(Table14[RSP],Table14[Customer],$B351,Table14[Date],$A351,Table14[Bill No.],$C351),IF($K351="XtraGreen",AVERAGEIFS(Table146[RSP],Table146[Company],$B351,Table146[Date],$A351,Table146[Bill No.],$C351),IFERROR($F351/$D351,"")))))</f>
        <v/>
      </c>
      <c r="F351" s="330" t="str">
        <f>IF($A351="","",IF($K351="DIESEL",SUMIFS(Table1[Amount],Table1[Customer],$B351,Table1[Date],$A351,Table1[Bill No.],$C351),IF($K351="PETROL",SUMIFS(Table14[Amount],Table14[Customer],$B351,Table14[Date],$A351,Table14[Bill No.],$C351),IF($K351="XtraGreen",SUMIFS(Table146[Amount],Table146[Company],$B351,Table146[Date],$A351,Table146[Bill No.],$C351),SUMIFS('Other Sale'!$D:$D,'Other Sale'!$E:$E,$B351,'Other Sale'!$C:$C,$K351,'Other Sale'!$A:$A,$A351)))))</f>
        <v/>
      </c>
      <c r="G351" s="330" t="str" cm="1">
        <f t="array" ref="G351">IF($A351="","",IF($K351="Payment",IFERROR(INDEX(_xlfn._xlws.FILTER(MasterPaid[Amount Paid],(MasterPaid[Customer]=$B351)*(MasterPaid[Date]=$A351)),COUNTIFS($A$6:$A351,$A351,$B$6:$B351,$B351,$K$6:$K351,"Payment")),0),0))</f>
        <v/>
      </c>
      <c r="H351" s="331"/>
      <c r="I351" s="331"/>
      <c r="J351" s="330" t="str">
        <f t="shared" si="5"/>
        <v/>
      </c>
      <c r="K351" s="289" t="str" cm="1">
        <f t="array" ref="K351">IFERROR(INDEX(_xlfn.ANCHORARRAY($Q$6),ROW()-5,4),"")</f>
        <v/>
      </c>
      <c r="L351" s="290"/>
      <c r="U351">
        <f>IF(OR($A351="",$F351=""),0,MAX(0,MIN($F351,SUMIFS($F$6:$F351,$B$6:$B351,$B351)-(SUMIFS($G$6:$G$355,$B$6:$B$355,$B351)+SUMIFS($H$6:$H$355,$B$6:$B$355,$B351)+SUMIFS($I$6:$I$355,$B$6:$B$355,$B351)))))</f>
        <v>0</v>
      </c>
    </row>
    <row r="352" spans="1:21" ht="23" x14ac:dyDescent="0.25">
      <c r="A352" s="217" t="str" cm="1">
        <f t="array" ref="A352">IFERROR(INDEX(_xlfn.ANCHORARRAY($Q$6),ROW()-5,1),"")</f>
        <v/>
      </c>
      <c r="B352" s="288" t="str" cm="1">
        <f t="array" ref="B352">IFERROR(INDEX(_xlfn.ANCHORARRAY($Q$6),ROW()-5,2),"")</f>
        <v/>
      </c>
      <c r="C352" s="289" t="str" cm="1">
        <f t="array" ref="C352">IFERROR(INDEX(_xlfn.ANCHORARRAY($Q$6),ROW()-5,3),"")</f>
        <v/>
      </c>
      <c r="D352" s="218" t="str">
        <f>IF($A352="","",IF($K352="DIESEL",SUMIFS(Table1[Quantity],Table1[Customer],$B352,Table1[Date],$A352,Table1[Bill No.],$C352),IF($K352="PETROL",SUMIFS(Table14[Quantity],Table14[Customer],$B352,Table14[Date],$A352,Table14[Bill No.],$C352),IF($K352="XtraGreen",SUMIFS(Table146[Quantity],Table146[Company],$B352,Table146[Date],$A352,Table146[Bill No.],$C352),""))))</f>
        <v/>
      </c>
      <c r="E352" s="219" t="str">
        <f>IF($A352="","",IF($K352="DIESEL",AVERAGEIFS(Table1[RSP],Table1[Customer],$B352,Table1[Date],$A352,Table1[Bill No.],$C352),IF($K352="PETROL",AVERAGEIFS(Table14[RSP],Table14[Customer],$B352,Table14[Date],$A352,Table14[Bill No.],$C352),IF($K352="XtraGreen",AVERAGEIFS(Table146[RSP],Table146[Company],$B352,Table146[Date],$A352,Table146[Bill No.],$C352),IFERROR($F352/$D352,"")))))</f>
        <v/>
      </c>
      <c r="F352" s="330" t="str">
        <f>IF($A352="","",IF($K352="DIESEL",SUMIFS(Table1[Amount],Table1[Customer],$B352,Table1[Date],$A352,Table1[Bill No.],$C352),IF($K352="PETROL",SUMIFS(Table14[Amount],Table14[Customer],$B352,Table14[Date],$A352,Table14[Bill No.],$C352),IF($K352="XtraGreen",SUMIFS(Table146[Amount],Table146[Company],$B352,Table146[Date],$A352,Table146[Bill No.],$C352),SUMIFS('Other Sale'!$D:$D,'Other Sale'!$E:$E,$B352,'Other Sale'!$C:$C,$K352,'Other Sale'!$A:$A,$A352)))))</f>
        <v/>
      </c>
      <c r="G352" s="330" t="str" cm="1">
        <f t="array" ref="G352">IF($A352="","",IF($K352="Payment",IFERROR(INDEX(_xlfn._xlws.FILTER(MasterPaid[Amount Paid],(MasterPaid[Customer]=$B352)*(MasterPaid[Date]=$A352)),COUNTIFS($A$6:$A352,$A352,$B$6:$B352,$B352,$K$6:$K352,"Payment")),0),0))</f>
        <v/>
      </c>
      <c r="H352" s="331"/>
      <c r="I352" s="331"/>
      <c r="J352" s="330" t="str">
        <f t="shared" si="5"/>
        <v/>
      </c>
      <c r="K352" s="289" t="str" cm="1">
        <f t="array" ref="K352">IFERROR(INDEX(_xlfn.ANCHORARRAY($Q$6),ROW()-5,4),"")</f>
        <v/>
      </c>
      <c r="L352" s="290"/>
      <c r="U352">
        <f>IF(OR($A352="",$F352=""),0,MAX(0,MIN($F352,SUMIFS($F$6:$F352,$B$6:$B352,$B352)-(SUMIFS($G$6:$G$355,$B$6:$B$355,$B352)+SUMIFS($H$6:$H$355,$B$6:$B$355,$B352)+SUMIFS($I$6:$I$355,$B$6:$B$355,$B352)))))</f>
        <v>0</v>
      </c>
    </row>
    <row r="353" spans="1:21" ht="23" x14ac:dyDescent="0.25">
      <c r="A353" s="217" t="str" cm="1">
        <f t="array" ref="A353">IFERROR(INDEX(_xlfn.ANCHORARRAY($Q$6),ROW()-5,1),"")</f>
        <v/>
      </c>
      <c r="B353" s="288" t="str" cm="1">
        <f t="array" ref="B353">IFERROR(INDEX(_xlfn.ANCHORARRAY($Q$6),ROW()-5,2),"")</f>
        <v/>
      </c>
      <c r="C353" s="289" t="str" cm="1">
        <f t="array" ref="C353">IFERROR(INDEX(_xlfn.ANCHORARRAY($Q$6),ROW()-5,3),"")</f>
        <v/>
      </c>
      <c r="D353" s="218" t="str">
        <f>IF($A353="","",IF($K353="DIESEL",SUMIFS(Table1[Quantity],Table1[Customer],$B353,Table1[Date],$A353,Table1[Bill No.],$C353),IF($K353="PETROL",SUMIFS(Table14[Quantity],Table14[Customer],$B353,Table14[Date],$A353,Table14[Bill No.],$C353),IF($K353="XtraGreen",SUMIFS(Table146[Quantity],Table146[Company],$B353,Table146[Date],$A353,Table146[Bill No.],$C353),""))))</f>
        <v/>
      </c>
      <c r="E353" s="219" t="str">
        <f>IF($A353="","",IF($K353="DIESEL",AVERAGEIFS(Table1[RSP],Table1[Customer],$B353,Table1[Date],$A353,Table1[Bill No.],$C353),IF($K353="PETROL",AVERAGEIFS(Table14[RSP],Table14[Customer],$B353,Table14[Date],$A353,Table14[Bill No.],$C353),IF($K353="XtraGreen",AVERAGEIFS(Table146[RSP],Table146[Company],$B353,Table146[Date],$A353,Table146[Bill No.],$C353),IFERROR($F353/$D353,"")))))</f>
        <v/>
      </c>
      <c r="F353" s="330" t="str">
        <f>IF($A353="","",IF($K353="DIESEL",SUMIFS(Table1[Amount],Table1[Customer],$B353,Table1[Date],$A353,Table1[Bill No.],$C353),IF($K353="PETROL",SUMIFS(Table14[Amount],Table14[Customer],$B353,Table14[Date],$A353,Table14[Bill No.],$C353),IF($K353="XtraGreen",SUMIFS(Table146[Amount],Table146[Company],$B353,Table146[Date],$A353,Table146[Bill No.],$C353),SUMIFS('Other Sale'!$D:$D,'Other Sale'!$E:$E,$B353,'Other Sale'!$C:$C,$K353,'Other Sale'!$A:$A,$A353)))))</f>
        <v/>
      </c>
      <c r="G353" s="330" t="str" cm="1">
        <f t="array" ref="G353">IF($A353="","",IF($K353="Payment",IFERROR(INDEX(_xlfn._xlws.FILTER(MasterPaid[Amount Paid],(MasterPaid[Customer]=$B353)*(MasterPaid[Date]=$A353)),COUNTIFS($A$6:$A353,$A353,$B$6:$B353,$B353,$K$6:$K353,"Payment")),0),0))</f>
        <v/>
      </c>
      <c r="H353" s="331"/>
      <c r="I353" s="331"/>
      <c r="J353" s="330" t="str">
        <f t="shared" si="5"/>
        <v/>
      </c>
      <c r="K353" s="289" t="str" cm="1">
        <f t="array" ref="K353">IFERROR(INDEX(_xlfn.ANCHORARRAY($Q$6),ROW()-5,4),"")</f>
        <v/>
      </c>
      <c r="L353" s="290"/>
      <c r="U353">
        <f>IF(OR($A353="",$F353=""),0,MAX(0,MIN($F353,SUMIFS($F$6:$F353,$B$6:$B353,$B353)-(SUMIFS($G$6:$G$355,$B$6:$B$355,$B353)+SUMIFS($H$6:$H$355,$B$6:$B$355,$B353)+SUMIFS($I$6:$I$355,$B$6:$B$355,$B353)))))</f>
        <v>0</v>
      </c>
    </row>
    <row r="354" spans="1:21" ht="23" x14ac:dyDescent="0.25">
      <c r="A354" s="217" t="str" cm="1">
        <f t="array" ref="A354">IFERROR(INDEX(_xlfn.ANCHORARRAY($Q$6),ROW()-5,1),"")</f>
        <v/>
      </c>
      <c r="B354" s="288" t="str" cm="1">
        <f t="array" ref="B354">IFERROR(INDEX(_xlfn.ANCHORARRAY($Q$6),ROW()-5,2),"")</f>
        <v/>
      </c>
      <c r="C354" s="289" t="str" cm="1">
        <f t="array" ref="C354">IFERROR(INDEX(_xlfn.ANCHORARRAY($Q$6),ROW()-5,3),"")</f>
        <v/>
      </c>
      <c r="D354" s="218" t="str">
        <f>IF($A354="","",IF($K354="DIESEL",SUMIFS(Table1[Quantity],Table1[Customer],$B354,Table1[Date],$A354,Table1[Bill No.],$C354),IF($K354="PETROL",SUMIFS(Table14[Quantity],Table14[Customer],$B354,Table14[Date],$A354,Table14[Bill No.],$C354),IF($K354="XtraGreen",SUMIFS(Table146[Quantity],Table146[Company],$B354,Table146[Date],$A354,Table146[Bill No.],$C354),""))))</f>
        <v/>
      </c>
      <c r="E354" s="219" t="str">
        <f>IF($A354="","",IF($K354="DIESEL",AVERAGEIFS(Table1[RSP],Table1[Customer],$B354,Table1[Date],$A354,Table1[Bill No.],$C354),IF($K354="PETROL",AVERAGEIFS(Table14[RSP],Table14[Customer],$B354,Table14[Date],$A354,Table14[Bill No.],$C354),IF($K354="XtraGreen",AVERAGEIFS(Table146[RSP],Table146[Company],$B354,Table146[Date],$A354,Table146[Bill No.],$C354),IFERROR($F354/$D354,"")))))</f>
        <v/>
      </c>
      <c r="F354" s="330" t="str">
        <f>IF($A354="","",IF($K354="DIESEL",SUMIFS(Table1[Amount],Table1[Customer],$B354,Table1[Date],$A354,Table1[Bill No.],$C354),IF($K354="PETROL",SUMIFS(Table14[Amount],Table14[Customer],$B354,Table14[Date],$A354,Table14[Bill No.],$C354),IF($K354="XtraGreen",SUMIFS(Table146[Amount],Table146[Company],$B354,Table146[Date],$A354,Table146[Bill No.],$C354),SUMIFS('Other Sale'!$D:$D,'Other Sale'!$E:$E,$B354,'Other Sale'!$C:$C,$K354,'Other Sale'!$A:$A,$A354)))))</f>
        <v/>
      </c>
      <c r="G354" s="330" t="str" cm="1">
        <f t="array" ref="G354">IF($A354="","",IF($K354="Payment",IFERROR(INDEX(_xlfn._xlws.FILTER(MasterPaid[Amount Paid],(MasterPaid[Customer]=$B354)*(MasterPaid[Date]=$A354)),COUNTIFS($A$6:$A354,$A354,$B$6:$B354,$B354,$K$6:$K354,"Payment")),0),0))</f>
        <v/>
      </c>
      <c r="H354" s="331"/>
      <c r="I354" s="331"/>
      <c r="J354" s="330" t="str">
        <f t="shared" si="5"/>
        <v/>
      </c>
      <c r="K354" s="289" t="str" cm="1">
        <f t="array" ref="K354">IFERROR(INDEX(_xlfn.ANCHORARRAY($Q$6),ROW()-5,4),"")</f>
        <v/>
      </c>
      <c r="L354" s="290"/>
      <c r="U354">
        <f>IF(OR($A354="",$F354=""),0,MAX(0,MIN($F354,SUMIFS($F$6:$F354,$B$6:$B354,$B354)-(SUMIFS($G$6:$G$355,$B$6:$B$355,$B354)+SUMIFS($H$6:$H$355,$B$6:$B$355,$B354)+SUMIFS($I$6:$I$355,$B$6:$B$355,$B354)))))</f>
        <v>0</v>
      </c>
    </row>
    <row r="355" spans="1:21" ht="23" x14ac:dyDescent="0.25">
      <c r="A355" s="217" t="str" cm="1">
        <f t="array" ref="A355">IFERROR(INDEX(_xlfn.ANCHORARRAY($Q$6),ROW()-5,1),"")</f>
        <v/>
      </c>
      <c r="B355" s="288" t="str" cm="1">
        <f t="array" ref="B355">IFERROR(INDEX(_xlfn.ANCHORARRAY($Q$6),ROW()-5,2),"")</f>
        <v/>
      </c>
      <c r="C355" s="289" t="str" cm="1">
        <f t="array" ref="C355">IFERROR(INDEX(_xlfn.ANCHORARRAY($Q$6),ROW()-5,3),"")</f>
        <v/>
      </c>
      <c r="D355" s="218" t="str">
        <f>IF($A355="","",IF($K355="DIESEL",SUMIFS(Table1[Quantity],Table1[Customer],$B355,Table1[Date],$A355,Table1[Bill No.],$C355),IF($K355="PETROL",SUMIFS(Table14[Quantity],Table14[Customer],$B355,Table14[Date],$A355,Table14[Bill No.],$C355),IF($K355="XtraGreen",SUMIFS(Table146[Quantity],Table146[Company],$B355,Table146[Date],$A355,Table146[Bill No.],$C355),""))))</f>
        <v/>
      </c>
      <c r="E355" s="219" t="str">
        <f>IF($A355="","",IF($K355="DIESEL",AVERAGEIFS(Table1[RSP],Table1[Customer],$B355,Table1[Date],$A355,Table1[Bill No.],$C355),IF($K355="PETROL",AVERAGEIFS(Table14[RSP],Table14[Customer],$B355,Table14[Date],$A355,Table14[Bill No.],$C355),IF($K355="XtraGreen",AVERAGEIFS(Table146[RSP],Table146[Company],$B355,Table146[Date],$A355,Table146[Bill No.],$C355),IFERROR($F355/$D355,"")))))</f>
        <v/>
      </c>
      <c r="F355" s="330" t="str">
        <f>IF($A355="","",IF($K355="DIESEL",SUMIFS(Table1[Amount],Table1[Customer],$B355,Table1[Date],$A355,Table1[Bill No.],$C355),IF($K355="PETROL",SUMIFS(Table14[Amount],Table14[Customer],$B355,Table14[Date],$A355,Table14[Bill No.],$C355),IF($K355="XtraGreen",SUMIFS(Table146[Amount],Table146[Company],$B355,Table146[Date],$A355,Table146[Bill No.],$C355),SUMIFS('Other Sale'!$D:$D,'Other Sale'!$E:$E,$B355,'Other Sale'!$C:$C,$K355,'Other Sale'!$A:$A,$A355)))))</f>
        <v/>
      </c>
      <c r="G355" s="330" t="str" cm="1">
        <f t="array" ref="G355">IF($A355="","",IF($K355="Payment",IFERROR(INDEX(_xlfn._xlws.FILTER(MasterPaid[Amount Paid],(MasterPaid[Customer]=$B355)*(MasterPaid[Date]=$A355)),COUNTIFS($A$6:$A355,$A355,$B$6:$B355,$B355,$K$6:$K355,"Payment")),0),0))</f>
        <v/>
      </c>
      <c r="H355" s="331"/>
      <c r="I355" s="331"/>
      <c r="J355" s="330" t="str">
        <f t="shared" si="5"/>
        <v/>
      </c>
      <c r="K355" s="289" t="str" cm="1">
        <f t="array" ref="K355">IFERROR(INDEX(_xlfn.ANCHORARRAY($Q$6),ROW()-5,4),"")</f>
        <v/>
      </c>
      <c r="L355" s="290"/>
      <c r="U355">
        <f>IF(OR($A355="",$F355=""),0,MAX(0,MIN($F355,SUMIFS($F$6:$F355,$B$6:$B355,$B355)-(SUMIFS($G$6:$G$355,$B$6:$B$355,$B355)+SUMIFS($H$6:$H$355,$B$6:$B$355,$B355)+SUMIFS($I$6:$I$355,$B$6:$B$355,$B355)))))</f>
        <v>0</v>
      </c>
    </row>
  </sheetData>
  <sheetProtection sheet="1" objects="1" scenarios="1"/>
  <mergeCells count="2">
    <mergeCell ref="A1:L1"/>
    <mergeCell ref="Y5:AB5"/>
  </mergeCells>
  <conditionalFormatting sqref="A1:AB355">
    <cfRule type="cellIs" dxfId="1936" priority="1" operator="lessThan">
      <formula>0</formula>
    </cfRule>
  </conditionalFormatting>
  <hyperlinks>
    <hyperlink ref="M1" location="Index!A1" display="→ Index" xr:uid="{AED277C6-0D0B-0A4E-A5D1-0F142F81890B}"/>
  </hyperlink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71C82-18B4-6D44-BEF8-738B36EC6293}">
  <sheetPr codeName="Sheet48"/>
  <dimension ref="A1:AJ355"/>
  <sheetViews>
    <sheetView zoomScale="85" workbookViewId="0">
      <selection activeCell="M1" sqref="M1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12.1640625" customWidth="1"/>
    <col min="3" max="3" width="11.5" bestFit="1" customWidth="1"/>
    <col min="4" max="4" width="9.83203125" bestFit="1" customWidth="1"/>
    <col min="5" max="6" width="15" bestFit="1" customWidth="1"/>
    <col min="7" max="7" width="9.83203125" bestFit="1" customWidth="1"/>
    <col min="8" max="8" width="13" bestFit="1" customWidth="1"/>
    <col min="9" max="9" width="15.5" bestFit="1" customWidth="1"/>
    <col min="10" max="10" width="12.83203125" bestFit="1" customWidth="1"/>
    <col min="11" max="11" width="18.6640625" customWidth="1"/>
    <col min="12" max="12" width="24.83203125" bestFit="1" customWidth="1"/>
    <col min="14" max="14" width="18" bestFit="1" customWidth="1"/>
    <col min="15" max="15" width="15.83203125" bestFit="1" customWidth="1"/>
    <col min="17" max="18" width="10.83203125" outlineLevel="1"/>
    <col min="20" max="20" width="11.6640625" style="17" customWidth="1"/>
    <col min="21" max="21" width="12.5" customWidth="1"/>
    <col min="22" max="22" width="3" customWidth="1"/>
    <col min="23" max="23" width="11.6640625" customWidth="1"/>
    <col min="24" max="27" width="12.5" customWidth="1"/>
    <col min="29" max="34" width="0" hidden="1" customWidth="1" outlineLevel="1"/>
    <col min="35" max="35" width="10.83203125" collapsed="1"/>
  </cols>
  <sheetData>
    <row r="1" spans="1:36" ht="36" customHeight="1" x14ac:dyDescent="0.2">
      <c r="A1" s="499" t="s">
        <v>3812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  <c r="N1" s="319" t="s">
        <v>2033</v>
      </c>
      <c r="O1" s="320"/>
      <c r="T1" s="31" t="s">
        <v>2173</v>
      </c>
      <c r="AJ1" s="309" t="s">
        <v>2636</v>
      </c>
    </row>
    <row r="2" spans="1:36" ht="15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77"/>
      <c r="N2" s="320" t="s">
        <v>2034</v>
      </c>
      <c r="O2" s="340">
        <f>SUM(E6:E355)</f>
        <v>10798920</v>
      </c>
      <c r="T2" s="435" t="s">
        <v>2750</v>
      </c>
    </row>
    <row r="3" spans="1:36" ht="23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321" t="s">
        <v>2027</v>
      </c>
      <c r="M3" s="308" t="s">
        <v>3806</v>
      </c>
      <c r="N3" s="320" t="s">
        <v>2035</v>
      </c>
      <c r="O3" s="340">
        <f>SUM(F6:F355)</f>
        <v>4197180</v>
      </c>
      <c r="T3" s="436" t="s">
        <v>2165</v>
      </c>
      <c r="W3" s="309" t="s">
        <v>2167</v>
      </c>
    </row>
    <row r="4" spans="1:36" ht="22.5" thickBot="1" x14ac:dyDescent="0.3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322" t="s">
        <v>2028</v>
      </c>
      <c r="M4" s="229">
        <v>0</v>
      </c>
      <c r="N4" s="320" t="s">
        <v>2036</v>
      </c>
      <c r="O4" s="340">
        <f>SUM(G6:G355)</f>
        <v>2400</v>
      </c>
      <c r="T4" s="437" t="s">
        <v>2163</v>
      </c>
      <c r="U4" s="311" t="s">
        <v>2166</v>
      </c>
      <c r="W4" s="311" t="s">
        <v>2163</v>
      </c>
      <c r="X4" s="311" t="s">
        <v>2166</v>
      </c>
      <c r="Y4" s="311" t="s">
        <v>2168</v>
      </c>
      <c r="Z4" s="311" t="s">
        <v>2169</v>
      </c>
      <c r="AA4" s="311" t="s">
        <v>2170</v>
      </c>
      <c r="AJ4" s="407" t="s">
        <v>2637</v>
      </c>
    </row>
    <row r="5" spans="1:36" ht="21.75" x14ac:dyDescent="0.25">
      <c r="A5" s="285" t="s">
        <v>6</v>
      </c>
      <c r="B5" s="285" t="s">
        <v>0</v>
      </c>
      <c r="C5" s="285" t="s">
        <v>1179</v>
      </c>
      <c r="D5" s="285" t="s">
        <v>1180</v>
      </c>
      <c r="E5" s="285" t="s">
        <v>4</v>
      </c>
      <c r="F5" s="285" t="s">
        <v>1181</v>
      </c>
      <c r="G5" s="285" t="s">
        <v>2030</v>
      </c>
      <c r="H5" s="285" t="s">
        <v>2031</v>
      </c>
      <c r="I5" s="285" t="s">
        <v>1182</v>
      </c>
      <c r="J5" s="285" t="s">
        <v>1183</v>
      </c>
      <c r="K5" s="315" t="s">
        <v>2163</v>
      </c>
      <c r="L5" s="315" t="s">
        <v>2032</v>
      </c>
      <c r="M5" s="225">
        <f>DATE(2026,4,1)</f>
        <v>46113</v>
      </c>
      <c r="N5" s="320" t="s">
        <v>2037</v>
      </c>
      <c r="O5" s="340">
        <f>SUM(H6:H355)</f>
        <v>0</v>
      </c>
      <c r="P5" t="s">
        <v>2066</v>
      </c>
      <c r="T5" s="438"/>
      <c r="U5" s="350"/>
      <c r="W5" s="316" t="str">
        <f>IFERROR(INDEX($AC$5:$AC$54,MATCH(ROW()-4,$AH$5:$AH$54,0)),"")</f>
        <v/>
      </c>
      <c r="X5" s="273" t="str">
        <f>IF($W5="","",INDEX($AD$5:$AD$54,MATCH(ROW()-4,$AH$5:$AH$54,0)))</f>
        <v/>
      </c>
      <c r="Y5" s="273" t="str">
        <f>IF($W5="","",INDEX($AE$5:$AE$54,MATCH(ROW()-4,$AH$5:$AH$54,0)))</f>
        <v/>
      </c>
      <c r="Z5" s="273" t="str">
        <f>IF($W5="","",INDEX($AF$5:$AF$54,MATCH(ROW()-4,$AH$5:$AH$54,0)))</f>
        <v/>
      </c>
      <c r="AA5" s="316" t="str">
        <f>IF($W5="","",IF($Z5&gt;0,"Pending","Completed"))</f>
        <v/>
      </c>
      <c r="AC5" t="str" cm="1">
        <f t="array" ref="AC5">IF(INDEX($T$5:$T$54,ROW()-4)="","",INDEX($T$5:$T$54,ROW()-4))</f>
        <v/>
      </c>
      <c r="AD5" t="str">
        <f>IF($AC5="","",N(INDEX($U$5:$U$54,ROW()-4)))</f>
        <v/>
      </c>
      <c r="AE5" t="str">
        <f>IF($AC5="","",SUMIFS($C$6:$C$355,$K$6:$K$355,$AC5))</f>
        <v/>
      </c>
      <c r="AF5" t="str">
        <f>IF($AC5="","",$AD5-$AE5)</f>
        <v/>
      </c>
      <c r="AG5">
        <f>IF($AC5="",0,IF($AF5&gt;0,1,0))</f>
        <v>0</v>
      </c>
      <c r="AH5" t="str" cm="1">
        <f t="array" ref="AH5">IF($AC5="","",IF($AG5=1,SUMPRODUCT(($AG$5:$AG$54=1)*($AC$5:$AC$54&gt;$AC5))+1,SUM($AG$5:$AG$54)+SUMPRODUCT(($AG$5:$AG$54=0)*($AC$5:$AC$54&lt;&gt;"")*($AC$5:$AC$54&gt;$AC5))+1))</f>
        <v/>
      </c>
      <c r="AJ5" s="1" t="str" cm="1">
        <f t="array" ref="AJ5">IFERROR(_xlfn._xlws.FILTER($W$5:$W$54,($W$5:$W$54&lt;&gt;"")*($AA$5:$AA$54="Pending")),"")</f>
        <v/>
      </c>
    </row>
    <row r="6" spans="1:36" ht="21.75" x14ac:dyDescent="0.25">
      <c r="A6" s="217" cm="1">
        <f t="array" ref="A6">IFERROR(INDEX(_xlfn.ANCHORARRAY($P$6),ROW()-5,1),"")</f>
        <v>46255</v>
      </c>
      <c r="B6" s="344" t="str" cm="1">
        <f t="array" ref="B6">IFERROR(INDEX(_xlfn.ANCHORARRAY($P$6),ROW()-5,2),"")</f>
        <v>2278</v>
      </c>
      <c r="C6" s="345">
        <f>IF($A6="","",IF($J6="DIESEL",SUMIFS(Table1[Quantity],Table1[Customer],$M$3,Table1[Date],$A6,Table1[Bill No.],$B6),IF($J6="PETROL",SUMIFS(Table14[Quantity],Table14[Customer],$M$3,Table14[Date],$A6,Table14[Bill No.],$B6),IF($J6="XtraGreen",SUMIFS(Table146[Quantity],Table146[Company],$M$3,Table146[Date],$A6,Table146[Bill No.],$B6),""))))</f>
        <v>18000</v>
      </c>
      <c r="D6" s="346">
        <f>IF($A6="","",IF($J6="DIESEL",AVERAGEIFS(Table1[RSP],Table1[Customer],$M$3,Table1[Date],$A6,Table1[Bill No.],$B6),IF($J6="PETROL",AVERAGEIFS(Table14[RSP],Table14[Customer],$M$3,Table14[Date],$A6,Table14[Bill No.],$B6),IF($J6="XtraGreen",AVERAGEIFS(Table146[RSP],Table146[Company],$M$3,Table146[Date],$A6,Table146[Bill No.],$B6),IFERROR($E6/$C6,"")))))</f>
        <v>99.99</v>
      </c>
      <c r="E6" s="347">
        <f>IF($A6="","",IF($J6="DIESEL",SUMIFS(Table1[Amount],Table1[Customer],$M$3,Table1[Date],$A6,Table1[Bill No.],$B6),IF($J6="PETROL",SUMIFS(Table14[Amount],Table14[Customer],$M$3,Table14[Date],$A6,Table14[Bill No.],$B6),IF($J6="XtraGreen",SUMIFS(Table146[Amount],Table146[Company],$M$3,Table146[Date],$A6,Table146[Bill No.],$B6),SUMIFS('Other Sale'!$D:$D,'Other Sale'!$E:$E,$M$3,'Other Sale'!$C:$C,$J6,'Other Sale'!$A:$A,$A6)))))</f>
        <v>1799820</v>
      </c>
      <c r="F6" s="347" cm="1">
        <f t="array" ref="F6">IF($A6="","",IF($J6="Payment",IFERROR(INDEX(_xlfn._xlws.FILTER(MasterPaid[Amount Paid],(MasterPaid[Customer]=$M$3)*(MasterPaid[Date]=$A6)),COUNTIFS($A$6:$A6,$A6,$J$6:$J6,"Payment")),0),0))</f>
        <v>0</v>
      </c>
      <c r="G6" s="331"/>
      <c r="H6" s="427"/>
      <c r="I6" s="330">
        <f>IF($A6="","",$M$4+N(E6)-N(F6)-N(G6)-N(H6))</f>
        <v>1799820</v>
      </c>
      <c r="J6" s="344" t="str" cm="1">
        <f t="array" ref="J6">IFERROR(INDEX(_xlfn.ANCHORARRAY($P$6),ROW()-5,3),"")</f>
        <v>DIESEL</v>
      </c>
      <c r="K6" s="349"/>
      <c r="L6" s="348"/>
      <c r="M6" s="277"/>
      <c r="N6" s="323" t="s">
        <v>2038</v>
      </c>
      <c r="O6" s="341">
        <f>M4+O2-O3-O4-O5</f>
        <v>6599340</v>
      </c>
      <c r="P6" cm="1">
        <f t="array" ref="P6:R14">_xlfn.LET(_xlpm.cut,$M$5,_xlpm.hd,'HSD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M$3)*(_xlpm.hd&gt;=_xlpm.cut)),_xlfn.HSTACK("x","x","x")),_xlpm.mF,IFERROR(_xlfn._xlws.FILTER(_xlfn.HSTACK(_xlpm.md,_xlpm.mb,IF(_xlpm.md&lt;&gt;"","PETROL","")),(_xlpm.mc=$M$3)*(_xlpm.md&gt;=_xlpm.cut)),_xlfn.HSTACK("x","x","x")),_xlpm.xF,IFERROR(_xlfn._xlws.FILTER(_xlfn.HSTACK(_xlpm.xd,_xlpm.xb,IF(_xlpm.xd&lt;&gt;"","XtraGreen","")),(_xlpm.xc=$M$3)*(_xlpm.xd&gt;=_xlpm.cut)),_xlfn.HSTACK("x","x","x")),_xlpm.pF,IFERROR(_xlfn._xlws.FILTER(_xlfn.HSTACK(_xlpm.pd,IF(_xlpm.pd&lt;&gt;"","",""),IF(_xlpm.pd&lt;&gt;"","Payment","")),(_xlpm.pc=$M$3)*(_xlpm.pd&gt;=_xlpm.cut)),_xlfn.HSTACK("x","x","x")),_xlpm.oF,IFERROR(_xlfn._xlws.FILTER(_xlfn.HSTACK(_xlpm.od,IF(_xlpm.od&lt;&gt;"","",""),_xlpm.op),(_xlpm.oc=$M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46255</v>
      </c>
      <c r="Q6" t="str">
        <v>2278</v>
      </c>
      <c r="R6" t="str">
        <v>DIESEL</v>
      </c>
      <c r="T6" s="438"/>
      <c r="U6" s="350"/>
      <c r="W6" s="316" t="str">
        <f t="shared" ref="W6:W54" si="0">IFERROR(INDEX($AC$5:$AC$54,MATCH(ROW()-4,$AH$5:$AH$54,0)),"")</f>
        <v/>
      </c>
      <c r="X6" s="273" t="str">
        <f t="shared" ref="X6:X54" si="1">IF($W6="","",INDEX($AD$5:$AD$54,MATCH(ROW()-4,$AH$5:$AH$54,0)))</f>
        <v/>
      </c>
      <c r="Y6" s="273" t="str">
        <f t="shared" ref="Y6:Y54" si="2">IF($W6="","",INDEX($AE$5:$AE$54,MATCH(ROW()-4,$AH$5:$AH$54,0)))</f>
        <v/>
      </c>
      <c r="Z6" s="273" t="str">
        <f t="shared" ref="Z6:Z54" si="3">IF($W6="","",INDEX($AF$5:$AF$54,MATCH(ROW()-4,$AH$5:$AH$54,0)))</f>
        <v/>
      </c>
      <c r="AA6" s="316" t="str">
        <f t="shared" ref="AA6:AA54" si="4">IF($W6="","",IF($Z6&gt;0,"Pending","Completed"))</f>
        <v/>
      </c>
      <c r="AC6" t="str" cm="1">
        <f t="array" ref="AC6">IF(INDEX($T$5:$T$54,ROW()-4)="","",INDEX($T$5:$T$54,ROW()-4))</f>
        <v/>
      </c>
      <c r="AD6" t="str">
        <f t="shared" ref="AD6:AD54" si="5">IF($AC6="","",N(INDEX($U$5:$U$54,ROW()-4)))</f>
        <v/>
      </c>
      <c r="AE6" t="str">
        <f t="shared" ref="AE6:AE54" si="6">IF($AC6="","",SUMIFS($C$6:$C$355,$K$6:$K$355,$AC6))</f>
        <v/>
      </c>
      <c r="AF6" t="str">
        <f t="shared" ref="AF6:AF54" si="7">IF($AC6="","",$AD6-$AE6)</f>
        <v/>
      </c>
      <c r="AG6">
        <f t="shared" ref="AG6:AG54" si="8">IF($AC6="",0,IF($AF6&gt;0,1,0))</f>
        <v>0</v>
      </c>
      <c r="AH6" t="str" cm="1">
        <f t="array" ref="AH6">IF($AC6="","",IF($AG6=1,SUMPRODUCT(($AG$5:$AG$54=1)*($AC$5:$AC$54&gt;$AC6))+1,SUM($AG$5:$AG$54)+SUMPRODUCT(($AG$5:$AG$54=0)*($AC$5:$AC$54&lt;&gt;"")*($AC$5:$AC$54&gt;$AC6))+1))</f>
        <v/>
      </c>
    </row>
    <row r="7" spans="1:36" ht="21.75" x14ac:dyDescent="0.25">
      <c r="A7" s="217" cm="1">
        <f t="array" ref="A7">IFERROR(INDEX(_xlfn.ANCHORARRAY($P$6),ROW()-5,1),"")</f>
        <v>46256</v>
      </c>
      <c r="B7" s="344" t="str" cm="1">
        <f t="array" ref="B7">IFERROR(INDEX(_xlfn.ANCHORARRAY($P$6),ROW()-5,2),"")</f>
        <v>2291</v>
      </c>
      <c r="C7" s="345">
        <f>IF($A7="","",IF($J7="DIESEL",SUMIFS(Table1[Quantity],Table1[Customer],$M$3,Table1[Date],$A7,Table1[Bill No.],$B7),IF($J7="PETROL",SUMIFS(Table14[Quantity],Table14[Customer],$M$3,Table14[Date],$A7,Table14[Bill No.],$B7),IF($J7="XtraGreen",SUMIFS(Table146[Quantity],Table146[Company],$M$3,Table146[Date],$A7,Table146[Bill No.],$B7),""))))</f>
        <v>12000</v>
      </c>
      <c r="D7" s="346">
        <f>IF($A7="","",IF($J7="DIESEL",AVERAGEIFS(Table1[RSP],Table1[Customer],$M$3,Table1[Date],$A7,Table1[Bill No.],$B7),IF($J7="PETROL",AVERAGEIFS(Table14[RSP],Table14[Customer],$M$3,Table14[Date],$A7,Table14[Bill No.],$B7),IF($J7="XtraGreen",AVERAGEIFS(Table146[RSP],Table146[Company],$M$3,Table146[Date],$A7,Table146[Bill No.],$B7),IFERROR($E7/$C7,"")))))</f>
        <v>99.99</v>
      </c>
      <c r="E7" s="347">
        <f>IF($A7="","",IF($J7="DIESEL",SUMIFS(Table1[Amount],Table1[Customer],$M$3,Table1[Date],$A7,Table1[Bill No.],$B7),IF($J7="PETROL",SUMIFS(Table14[Amount],Table14[Customer],$M$3,Table14[Date],$A7,Table14[Bill No.],$B7),IF($J7="XtraGreen",SUMIFS(Table146[Amount],Table146[Company],$M$3,Table146[Date],$A7,Table146[Bill No.],$B7),SUMIFS('Other Sale'!$D:$D,'Other Sale'!$E:$E,$M$3,'Other Sale'!$C:$C,$J7,'Other Sale'!$A:$A,$A7)))))</f>
        <v>1199880</v>
      </c>
      <c r="F7" s="347" cm="1">
        <f t="array" ref="F7">IF($A7="","",IF($J7="Payment",IFERROR(INDEX(_xlfn._xlws.FILTER(MasterPaid[Amount Paid],(MasterPaid[Customer]=$M$3)*(MasterPaid[Date]=$A7)),COUNTIFS($A$6:$A7,$A7,$J$6:$J7,"Payment")),0),0))</f>
        <v>0</v>
      </c>
      <c r="G7" s="331"/>
      <c r="H7" s="427"/>
      <c r="I7" s="330">
        <f>IF($A7="","",I6+N(E7)-N(F7)-N(G7)-N(H7))</f>
        <v>2999700</v>
      </c>
      <c r="J7" s="344" t="str" cm="1">
        <f t="array" ref="J7">IFERROR(INDEX(_xlfn.ANCHORARRAY($P$6),ROW()-5,3),"")</f>
        <v>DIESEL</v>
      </c>
      <c r="K7" s="429"/>
      <c r="L7" s="348"/>
      <c r="M7" s="277"/>
      <c r="N7" s="277"/>
      <c r="O7" s="277"/>
      <c r="P7">
        <v>46256</v>
      </c>
      <c r="Q7" t="str">
        <v>2291</v>
      </c>
      <c r="R7" t="str">
        <v>DIESEL</v>
      </c>
      <c r="T7" s="438"/>
      <c r="U7" s="350"/>
      <c r="W7" s="316" t="str">
        <f t="shared" si="0"/>
        <v/>
      </c>
      <c r="X7" s="273" t="str">
        <f t="shared" si="1"/>
        <v/>
      </c>
      <c r="Y7" s="273" t="str">
        <f t="shared" si="2"/>
        <v/>
      </c>
      <c r="Z7" s="273" t="str">
        <f t="shared" si="3"/>
        <v/>
      </c>
      <c r="AA7" s="316" t="str">
        <f t="shared" si="4"/>
        <v/>
      </c>
      <c r="AC7" t="str" cm="1">
        <f t="array" ref="AC7">IF(INDEX($T$5:$T$54,ROW()-4)="","",INDEX($T$5:$T$54,ROW()-4))</f>
        <v/>
      </c>
      <c r="AD7" t="str">
        <f t="shared" si="5"/>
        <v/>
      </c>
      <c r="AE7" t="str">
        <f t="shared" si="6"/>
        <v/>
      </c>
      <c r="AF7" t="str">
        <f t="shared" si="7"/>
        <v/>
      </c>
      <c r="AG7">
        <f t="shared" si="8"/>
        <v>0</v>
      </c>
      <c r="AH7" t="str" cm="1">
        <f t="array" ref="AH7">IF($AC7="","",IF($AG7=1,SUMPRODUCT(($AG$5:$AG$54=1)*($AC$5:$AC$54&gt;$AC7))+1,SUM($AG$5:$AG$54)+SUMPRODUCT(($AG$5:$AG$54=0)*($AC$5:$AC$54&lt;&gt;"")*($AC$5:$AC$54&gt;$AC7))+1))</f>
        <v/>
      </c>
    </row>
    <row r="8" spans="1:36" ht="21.75" x14ac:dyDescent="0.25">
      <c r="A8" s="217" cm="1">
        <f t="array" ref="A8">IFERROR(INDEX(_xlfn.ANCHORARRAY($P$6),ROW()-5,1),"")</f>
        <v>46256</v>
      </c>
      <c r="B8" s="344" t="str" cm="1">
        <f t="array" ref="B8">IFERROR(INDEX(_xlfn.ANCHORARRAY($P$6),ROW()-5,2),"")</f>
        <v>2292</v>
      </c>
      <c r="C8" s="345">
        <f>IF($A8="","",IF($J8="DIESEL",SUMIFS(Table1[Quantity],Table1[Customer],$M$3,Table1[Date],$A8,Table1[Bill No.],$B8),IF($J8="PETROL",SUMIFS(Table14[Quantity],Table14[Customer],$M$3,Table14[Date],$A8,Table14[Bill No.],$B8),IF($J8="XtraGreen",SUMIFS(Table146[Quantity],Table146[Company],$M$3,Table146[Date],$A8,Table146[Bill No.],$B8),""))))</f>
        <v>12000</v>
      </c>
      <c r="D8" s="346">
        <f>IF($A8="","",IF($J8="DIESEL",AVERAGEIFS(Table1[RSP],Table1[Customer],$M$3,Table1[Date],$A8,Table1[Bill No.],$B8),IF($J8="PETROL",AVERAGEIFS(Table14[RSP],Table14[Customer],$M$3,Table14[Date],$A8,Table14[Bill No.],$B8),IF($J8="XtraGreen",AVERAGEIFS(Table146[RSP],Table146[Company],$M$3,Table146[Date],$A8,Table146[Bill No.],$B8),IFERROR($E8/$C8,"")))))</f>
        <v>99.99</v>
      </c>
      <c r="E8" s="347">
        <f>IF($A8="","",IF($J8="DIESEL",SUMIFS(Table1[Amount],Table1[Customer],$M$3,Table1[Date],$A8,Table1[Bill No.],$B8),IF($J8="PETROL",SUMIFS(Table14[Amount],Table14[Customer],$M$3,Table14[Date],$A8,Table14[Bill No.],$B8),IF($J8="XtraGreen",SUMIFS(Table146[Amount],Table146[Company],$M$3,Table146[Date],$A8,Table146[Bill No.],$B8),SUMIFS('Other Sale'!$D:$D,'Other Sale'!$E:$E,$M$3,'Other Sale'!$C:$C,$J8,'Other Sale'!$A:$A,$A8)))))</f>
        <v>1199880</v>
      </c>
      <c r="F8" s="347" cm="1">
        <f t="array" ref="F8">IF($A8="","",IF($J8="Payment",IFERROR(INDEX(_xlfn._xlws.FILTER(MasterPaid[Amount Paid],(MasterPaid[Customer]=$M$3)*(MasterPaid[Date]=$A8)),COUNTIFS($A$6:$A8,$A8,$J$6:$J8,"Payment")),0),0))</f>
        <v>0</v>
      </c>
      <c r="G8" s="331"/>
      <c r="H8" s="427"/>
      <c r="I8" s="330">
        <f t="shared" ref="I8:I71" si="9">IF($A8="","",I7+N(E8)-N(F8)-N(G8)-N(H8))</f>
        <v>4199580</v>
      </c>
      <c r="J8" s="344" t="str" cm="1">
        <f t="array" ref="J8">IFERROR(INDEX(_xlfn.ANCHORARRAY($P$6),ROW()-5,3),"")</f>
        <v>DIESEL</v>
      </c>
      <c r="K8" s="349"/>
      <c r="L8" s="348"/>
      <c r="M8" s="277"/>
      <c r="N8" s="277"/>
      <c r="O8" s="277"/>
      <c r="P8">
        <v>46256</v>
      </c>
      <c r="Q8" t="str">
        <v>2292</v>
      </c>
      <c r="R8" t="str">
        <v>DIESEL</v>
      </c>
      <c r="T8" s="438"/>
      <c r="U8" s="350"/>
      <c r="W8" s="316" t="str">
        <f t="shared" si="0"/>
        <v/>
      </c>
      <c r="X8" s="273" t="str">
        <f t="shared" si="1"/>
        <v/>
      </c>
      <c r="Y8" s="273" t="str">
        <f t="shared" si="2"/>
        <v/>
      </c>
      <c r="Z8" s="273" t="str">
        <f t="shared" si="3"/>
        <v/>
      </c>
      <c r="AA8" s="316" t="str">
        <f t="shared" si="4"/>
        <v/>
      </c>
      <c r="AC8" t="str" cm="1">
        <f t="array" ref="AC8">IF(INDEX($T$5:$T$54,ROW()-4)="","",INDEX($T$5:$T$54,ROW()-4))</f>
        <v/>
      </c>
      <c r="AD8" t="str">
        <f t="shared" si="5"/>
        <v/>
      </c>
      <c r="AE8" t="str">
        <f t="shared" si="6"/>
        <v/>
      </c>
      <c r="AF8" t="str">
        <f t="shared" si="7"/>
        <v/>
      </c>
      <c r="AG8">
        <f t="shared" si="8"/>
        <v>0</v>
      </c>
      <c r="AH8" t="str" cm="1">
        <f t="array" ref="AH8">IF($AC8="","",IF($AG8=1,SUMPRODUCT(($AG$5:$AG$54=1)*($AC$5:$AC$54&gt;$AC8))+1,SUM($AG$5:$AG$54)+SUMPRODUCT(($AG$5:$AG$54=0)*($AC$5:$AC$54&lt;&gt;"")*($AC$5:$AC$54&gt;$AC8))+1))</f>
        <v/>
      </c>
    </row>
    <row r="9" spans="1:36" ht="21.75" x14ac:dyDescent="0.25">
      <c r="A9" s="217" cm="1">
        <f t="array" ref="A9">IFERROR(INDEX(_xlfn.ANCHORARRAY($P$6),ROW()-5,1),"")</f>
        <v>46259</v>
      </c>
      <c r="B9" s="344" t="str" cm="1">
        <f t="array" ref="B9">IFERROR(INDEX(_xlfn.ANCHORARRAY($P$6),ROW()-5,2),"")</f>
        <v/>
      </c>
      <c r="C9" s="345" t="str">
        <f>IF($A9="","",IF($J9="DIESEL",SUMIFS(Table1[Quantity],Table1[Customer],$M$3,Table1[Date],$A9,Table1[Bill No.],$B9),IF($J9="PETROL",SUMIFS(Table14[Quantity],Table14[Customer],$M$3,Table14[Date],$A9,Table14[Bill No.],$B9),IF($J9="XtraGreen",SUMIFS(Table146[Quantity],Table146[Company],$M$3,Table146[Date],$A9,Table146[Bill No.],$B9),""))))</f>
        <v/>
      </c>
      <c r="D9" s="346" t="str">
        <f>IF($A9="","",IF($J9="DIESEL",AVERAGEIFS(Table1[RSP],Table1[Customer],$M$3,Table1[Date],$A9,Table1[Bill No.],$B9),IF($J9="PETROL",AVERAGEIFS(Table14[RSP],Table14[Customer],$M$3,Table14[Date],$A9,Table14[Bill No.],$B9),IF($J9="XtraGreen",AVERAGEIFS(Table146[RSP],Table146[Company],$M$3,Table146[Date],$A9,Table146[Bill No.],$B9),IFERROR($E9/$C9,"")))))</f>
        <v/>
      </c>
      <c r="E9" s="347">
        <f>IF($A9="","",IF($J9="DIESEL",SUMIFS(Table1[Amount],Table1[Customer],$M$3,Table1[Date],$A9,Table1[Bill No.],$B9),IF($J9="PETROL",SUMIFS(Table14[Amount],Table14[Customer],$M$3,Table14[Date],$A9,Table14[Bill No.],$B9),IF($J9="XtraGreen",SUMIFS(Table146[Amount],Table146[Company],$M$3,Table146[Date],$A9,Table146[Bill No.],$B9),SUMIFS('Other Sale'!$D:$D,'Other Sale'!$E:$E,$M$3,'Other Sale'!$C:$C,$J9,'Other Sale'!$A:$A,$A9)))))</f>
        <v>0</v>
      </c>
      <c r="F9" s="347" cm="1">
        <f t="array" ref="F9">IF($A9="","",IF($J9="Payment",IFERROR(INDEX(_xlfn._xlws.FILTER(MasterPaid[Amount Paid],(MasterPaid[Customer]=$M$3)*(MasterPaid[Date]=$A9)),COUNTIFS($A$6:$A9,$A9,$J$6:$J9,"Payment")),0),0))</f>
        <v>4197180</v>
      </c>
      <c r="G9" s="331">
        <v>2400</v>
      </c>
      <c r="H9" s="427"/>
      <c r="I9" s="330">
        <f t="shared" si="9"/>
        <v>0</v>
      </c>
      <c r="J9" s="344" t="str" cm="1">
        <f t="array" ref="J9">IFERROR(INDEX(_xlfn.ANCHORARRAY($P$6),ROW()-5,3),"")</f>
        <v>Payment</v>
      </c>
      <c r="K9" s="349"/>
      <c r="L9" s="348"/>
      <c r="M9" s="277"/>
      <c r="N9" s="277"/>
      <c r="O9" s="277"/>
      <c r="P9">
        <v>46259</v>
      </c>
      <c r="Q9" t="str">
        <v/>
      </c>
      <c r="R9" t="str">
        <v>Payment</v>
      </c>
      <c r="T9" s="438"/>
      <c r="U9" s="350"/>
      <c r="W9" s="316" t="str">
        <f t="shared" si="0"/>
        <v/>
      </c>
      <c r="X9" s="273" t="str">
        <f t="shared" si="1"/>
        <v/>
      </c>
      <c r="Y9" s="273" t="str">
        <f t="shared" si="2"/>
        <v/>
      </c>
      <c r="Z9" s="273" t="str">
        <f t="shared" si="3"/>
        <v/>
      </c>
      <c r="AA9" s="316" t="str">
        <f t="shared" si="4"/>
        <v/>
      </c>
      <c r="AC9" t="str" cm="1">
        <f t="array" ref="AC9">IF(INDEX($T$5:$T$54,ROW()-4)="","",INDEX($T$5:$T$54,ROW()-4))</f>
        <v/>
      </c>
      <c r="AD9" t="str">
        <f t="shared" si="5"/>
        <v/>
      </c>
      <c r="AE9" t="str">
        <f t="shared" si="6"/>
        <v/>
      </c>
      <c r="AF9" t="str">
        <f t="shared" si="7"/>
        <v/>
      </c>
      <c r="AG9">
        <f t="shared" si="8"/>
        <v>0</v>
      </c>
      <c r="AH9" t="str" cm="1">
        <f t="array" ref="AH9">IF($AC9="","",IF($AG9=1,SUMPRODUCT(($AG$5:$AG$54=1)*($AC$5:$AC$54&gt;$AC9))+1,SUM($AG$5:$AG$54)+SUMPRODUCT(($AG$5:$AG$54=0)*($AC$5:$AC$54&lt;&gt;"")*($AC$5:$AC$54&gt;$AC9))+1))</f>
        <v/>
      </c>
    </row>
    <row r="10" spans="1:36" ht="21.75" x14ac:dyDescent="0.25">
      <c r="A10" s="217" cm="1">
        <f t="array" ref="A10">IFERROR(INDEX(_xlfn.ANCHORARRAY($P$6),ROW()-5,1),"")</f>
        <v>46260</v>
      </c>
      <c r="B10" s="344" t="str" cm="1">
        <f t="array" ref="B10">IFERROR(INDEX(_xlfn.ANCHORARRAY($P$6),ROW()-5,2),"")</f>
        <v>2381</v>
      </c>
      <c r="C10" s="345">
        <f>IF($A10="","",IF($J10="DIESEL",SUMIFS(Table1[Quantity],Table1[Customer],$M$3,Table1[Date],$A10,Table1[Bill No.],$B10),IF($J10="PETROL",SUMIFS(Table14[Quantity],Table14[Customer],$M$3,Table14[Date],$A10,Table14[Bill No.],$B10),IF($J10="XtraGreen",SUMIFS(Table146[Quantity],Table146[Company],$M$3,Table146[Date],$A10,Table146[Bill No.],$B10),""))))</f>
        <v>12000</v>
      </c>
      <c r="D10" s="346">
        <f>IF($A10="","",IF($J10="DIESEL",AVERAGEIFS(Table1[RSP],Table1[Customer],$M$3,Table1[Date],$A10,Table1[Bill No.],$B10),IF($J10="PETROL",AVERAGEIFS(Table14[RSP],Table14[Customer],$M$3,Table14[Date],$A10,Table14[Bill No.],$B10),IF($J10="XtraGreen",AVERAGEIFS(Table146[RSP],Table146[Company],$M$3,Table146[Date],$A10,Table146[Bill No.],$B10),IFERROR($E10/$C10,"")))))</f>
        <v>99.99</v>
      </c>
      <c r="E10" s="347">
        <f>IF($A10="","",IF($J10="DIESEL",SUMIFS(Table1[Amount],Table1[Customer],$M$3,Table1[Date],$A10,Table1[Bill No.],$B10),IF($J10="PETROL",SUMIFS(Table14[Amount],Table14[Customer],$M$3,Table14[Date],$A10,Table14[Bill No.],$B10),IF($J10="XtraGreen",SUMIFS(Table146[Amount],Table146[Company],$M$3,Table146[Date],$A10,Table146[Bill No.],$B10),SUMIFS('Other Sale'!$D:$D,'Other Sale'!$E:$E,$M$3,'Other Sale'!$C:$C,$J10,'Other Sale'!$A:$A,$A10)))))</f>
        <v>1199880</v>
      </c>
      <c r="F10" s="347" cm="1">
        <f t="array" ref="F10">IF($A10="","",IF($J10="Payment",IFERROR(INDEX(_xlfn._xlws.FILTER(MasterPaid[Amount Paid],(MasterPaid[Customer]=$M$3)*(MasterPaid[Date]=$A10)),COUNTIFS($A$6:$A10,$A10,$J$6:$J10,"Payment")),0),0))</f>
        <v>0</v>
      </c>
      <c r="G10" s="331"/>
      <c r="H10" s="427"/>
      <c r="I10" s="330">
        <f t="shared" si="9"/>
        <v>1199880</v>
      </c>
      <c r="J10" s="344" t="str" cm="1">
        <f t="array" ref="J10">IFERROR(INDEX(_xlfn.ANCHORARRAY($P$6),ROW()-5,3),"")</f>
        <v>DIESEL</v>
      </c>
      <c r="K10" s="349"/>
      <c r="L10" s="348"/>
      <c r="M10" s="277"/>
      <c r="N10" s="277"/>
      <c r="O10" s="277"/>
      <c r="P10">
        <v>46260</v>
      </c>
      <c r="Q10" t="str">
        <v>2381</v>
      </c>
      <c r="R10" t="str">
        <v>DIESEL</v>
      </c>
      <c r="T10" s="438"/>
      <c r="U10" s="350"/>
      <c r="W10" s="316" t="str">
        <f t="shared" si="0"/>
        <v/>
      </c>
      <c r="X10" s="273" t="str">
        <f t="shared" si="1"/>
        <v/>
      </c>
      <c r="Y10" s="273" t="str">
        <f t="shared" si="2"/>
        <v/>
      </c>
      <c r="Z10" s="273" t="str">
        <f t="shared" si="3"/>
        <v/>
      </c>
      <c r="AA10" s="316" t="str">
        <f t="shared" si="4"/>
        <v/>
      </c>
      <c r="AC10" t="str" cm="1">
        <f t="array" ref="AC10">IF(INDEX($T$5:$T$54,ROW()-4)="","",INDEX($T$5:$T$54,ROW()-4))</f>
        <v/>
      </c>
      <c r="AD10" t="str">
        <f t="shared" si="5"/>
        <v/>
      </c>
      <c r="AE10" t="str">
        <f t="shared" si="6"/>
        <v/>
      </c>
      <c r="AF10" t="str">
        <f t="shared" si="7"/>
        <v/>
      </c>
      <c r="AG10">
        <f t="shared" si="8"/>
        <v>0</v>
      </c>
      <c r="AH10" t="str" cm="1">
        <f t="array" ref="AH10">IF($AC10="","",IF($AG10=1,SUMPRODUCT(($AG$5:$AG$54=1)*($AC$5:$AC$54&gt;$AC10))+1,SUM($AG$5:$AG$54)+SUMPRODUCT(($AG$5:$AG$54=0)*($AC$5:$AC$54&lt;&gt;"")*($AC$5:$AC$54&gt;$AC10))+1))</f>
        <v/>
      </c>
    </row>
    <row r="11" spans="1:36" ht="21.75" x14ac:dyDescent="0.25">
      <c r="A11" s="217" cm="1">
        <f t="array" ref="A11">IFERROR(INDEX(_xlfn.ANCHORARRAY($P$6),ROW()-5,1),"")</f>
        <v>46260</v>
      </c>
      <c r="B11" s="344" t="str" cm="1">
        <f t="array" ref="B11">IFERROR(INDEX(_xlfn.ANCHORARRAY($P$6),ROW()-5,2),"")</f>
        <v>2382</v>
      </c>
      <c r="C11" s="345">
        <f>IF($A11="","",IF($J11="DIESEL",SUMIFS(Table1[Quantity],Table1[Customer],$M$3,Table1[Date],$A11,Table1[Bill No.],$B11),IF($J11="PETROL",SUMIFS(Table14[Quantity],Table14[Customer],$M$3,Table14[Date],$A11,Table14[Bill No.],$B11),IF($J11="XtraGreen",SUMIFS(Table146[Quantity],Table146[Company],$M$3,Table146[Date],$A11,Table146[Bill No.],$B11),""))))</f>
        <v>12000</v>
      </c>
      <c r="D11" s="346">
        <f>IF($A11="","",IF($J11="DIESEL",AVERAGEIFS(Table1[RSP],Table1[Customer],$M$3,Table1[Date],$A11,Table1[Bill No.],$B11),IF($J11="PETROL",AVERAGEIFS(Table14[RSP],Table14[Customer],$M$3,Table14[Date],$A11,Table14[Bill No.],$B11),IF($J11="XtraGreen",AVERAGEIFS(Table146[RSP],Table146[Company],$M$3,Table146[Date],$A11,Table146[Bill No.],$B11),IFERROR($E11/$C11,"")))))</f>
        <v>99.99</v>
      </c>
      <c r="E11" s="347">
        <f>IF($A11="","",IF($J11="DIESEL",SUMIFS(Table1[Amount],Table1[Customer],$M$3,Table1[Date],$A11,Table1[Bill No.],$B11),IF($J11="PETROL",SUMIFS(Table14[Amount],Table14[Customer],$M$3,Table14[Date],$A11,Table14[Bill No.],$B11),IF($J11="XtraGreen",SUMIFS(Table146[Amount],Table146[Company],$M$3,Table146[Date],$A11,Table146[Bill No.],$B11),SUMIFS('Other Sale'!$D:$D,'Other Sale'!$E:$E,$M$3,'Other Sale'!$C:$C,$J11,'Other Sale'!$A:$A,$A11)))))</f>
        <v>1199880</v>
      </c>
      <c r="F11" s="347" cm="1">
        <f t="array" ref="F11">IF($A11="","",IF($J11="Payment",IFERROR(INDEX(_xlfn._xlws.FILTER(MasterPaid[Amount Paid],(MasterPaid[Customer]=$M$3)*(MasterPaid[Date]=$A11)),COUNTIFS($A$6:$A11,$A11,$J$6:$J11,"Payment")),0),0))</f>
        <v>0</v>
      </c>
      <c r="G11" s="331"/>
      <c r="H11" s="427"/>
      <c r="I11" s="330">
        <f t="shared" si="9"/>
        <v>2399760</v>
      </c>
      <c r="J11" s="344" t="str" cm="1">
        <f t="array" ref="J11">IFERROR(INDEX(_xlfn.ANCHORARRAY($P$6),ROW()-5,3),"")</f>
        <v>DIESEL</v>
      </c>
      <c r="K11" s="349"/>
      <c r="L11" s="348"/>
      <c r="M11" s="277"/>
      <c r="N11" s="277"/>
      <c r="O11" s="277"/>
      <c r="P11">
        <v>46260</v>
      </c>
      <c r="Q11" t="str">
        <v>2382</v>
      </c>
      <c r="R11" t="str">
        <v>DIESEL</v>
      </c>
      <c r="T11" s="438"/>
      <c r="U11" s="350"/>
      <c r="W11" s="316" t="str">
        <f t="shared" si="0"/>
        <v/>
      </c>
      <c r="X11" s="273" t="str">
        <f t="shared" si="1"/>
        <v/>
      </c>
      <c r="Y11" s="273" t="str">
        <f t="shared" si="2"/>
        <v/>
      </c>
      <c r="Z11" s="273" t="str">
        <f t="shared" si="3"/>
        <v/>
      </c>
      <c r="AA11" s="316" t="str">
        <f t="shared" si="4"/>
        <v/>
      </c>
      <c r="AC11" t="str" cm="1">
        <f t="array" ref="AC11">IF(INDEX($T$5:$T$54,ROW()-4)="","",INDEX($T$5:$T$54,ROW()-4))</f>
        <v/>
      </c>
      <c r="AD11" t="str">
        <f t="shared" si="5"/>
        <v/>
      </c>
      <c r="AE11" t="str">
        <f t="shared" si="6"/>
        <v/>
      </c>
      <c r="AF11" t="str">
        <f t="shared" si="7"/>
        <v/>
      </c>
      <c r="AG11">
        <f t="shared" si="8"/>
        <v>0</v>
      </c>
      <c r="AH11" t="str" cm="1">
        <f t="array" ref="AH11">IF($AC11="","",IF($AG11=1,SUMPRODUCT(($AG$5:$AG$54=1)*($AC$5:$AC$54&gt;$AC11))+1,SUM($AG$5:$AG$54)+SUMPRODUCT(($AG$5:$AG$54=0)*($AC$5:$AC$54&lt;&gt;"")*($AC$5:$AC$54&gt;$AC11))+1))</f>
        <v/>
      </c>
    </row>
    <row r="12" spans="1:36" ht="21.75" x14ac:dyDescent="0.25">
      <c r="A12" s="217" cm="1">
        <f t="array" ref="A12">IFERROR(INDEX(_xlfn.ANCHORARRAY($P$6),ROW()-5,1),"")</f>
        <v>46261</v>
      </c>
      <c r="B12" s="344" t="str" cm="1">
        <f t="array" ref="B12">IFERROR(INDEX(_xlfn.ANCHORARRAY($P$6),ROW()-5,2),"")</f>
        <v>2474</v>
      </c>
      <c r="C12" s="345">
        <f>IF($A12="","",IF($J12="DIESEL",SUMIFS(Table1[Quantity],Table1[Customer],$M$3,Table1[Date],$A12,Table1[Bill No.],$B12),IF($J12="PETROL",SUMIFS(Table14[Quantity],Table14[Customer],$M$3,Table14[Date],$A12,Table14[Bill No.],$B12),IF($J12="XtraGreen",SUMIFS(Table146[Quantity],Table146[Company],$M$3,Table146[Date],$A12,Table146[Bill No.],$B12),""))))</f>
        <v>18000</v>
      </c>
      <c r="D12" s="346">
        <f>IF($A12="","",IF($J12="DIESEL",AVERAGEIFS(Table1[RSP],Table1[Customer],$M$3,Table1[Date],$A12,Table1[Bill No.],$B12),IF($J12="PETROL",AVERAGEIFS(Table14[RSP],Table14[Customer],$M$3,Table14[Date],$A12,Table14[Bill No.],$B12),IF($J12="XtraGreen",AVERAGEIFS(Table146[RSP],Table146[Company],$M$3,Table146[Date],$A12,Table146[Bill No.],$B12),IFERROR($E12/$C12,"")))))</f>
        <v>99.99</v>
      </c>
      <c r="E12" s="347">
        <f>IF($A12="","",IF($J12="DIESEL",SUMIFS(Table1[Amount],Table1[Customer],$M$3,Table1[Date],$A12,Table1[Bill No.],$B12),IF($J12="PETROL",SUMIFS(Table14[Amount],Table14[Customer],$M$3,Table14[Date],$A12,Table14[Bill No.],$B12),IF($J12="XtraGreen",SUMIFS(Table146[Amount],Table146[Company],$M$3,Table146[Date],$A12,Table146[Bill No.],$B12),SUMIFS('Other Sale'!$D:$D,'Other Sale'!$E:$E,$M$3,'Other Sale'!$C:$C,$J12,'Other Sale'!$A:$A,$A12)))))</f>
        <v>1799820</v>
      </c>
      <c r="F12" s="347" cm="1">
        <f t="array" ref="F12">IF($A12="","",IF($J12="Payment",IFERROR(INDEX(_xlfn._xlws.FILTER(MasterPaid[Amount Paid],(MasterPaid[Customer]=$M$3)*(MasterPaid[Date]=$A12)),COUNTIFS($A$6:$A12,$A12,$J$6:$J12,"Payment")),0),0))</f>
        <v>0</v>
      </c>
      <c r="G12" s="331"/>
      <c r="H12" s="427"/>
      <c r="I12" s="330">
        <f t="shared" si="9"/>
        <v>4199580</v>
      </c>
      <c r="J12" s="344" t="str" cm="1">
        <f t="array" ref="J12">IFERROR(INDEX(_xlfn.ANCHORARRAY($P$6),ROW()-5,3),"")</f>
        <v>DIESEL</v>
      </c>
      <c r="K12" s="349"/>
      <c r="L12" s="348"/>
      <c r="M12" s="277"/>
      <c r="N12" s="277"/>
      <c r="O12" s="277"/>
      <c r="P12">
        <v>46261</v>
      </c>
      <c r="Q12" t="str">
        <v>2474</v>
      </c>
      <c r="R12" t="str">
        <v>DIESEL</v>
      </c>
      <c r="T12" s="438"/>
      <c r="U12" s="350"/>
      <c r="W12" s="316" t="str">
        <f t="shared" si="0"/>
        <v/>
      </c>
      <c r="X12" s="273" t="str">
        <f t="shared" si="1"/>
        <v/>
      </c>
      <c r="Y12" s="273" t="str">
        <f t="shared" si="2"/>
        <v/>
      </c>
      <c r="Z12" s="273" t="str">
        <f t="shared" si="3"/>
        <v/>
      </c>
      <c r="AA12" s="316" t="str">
        <f t="shared" si="4"/>
        <v/>
      </c>
      <c r="AC12" t="str" cm="1">
        <f t="array" ref="AC12">IF(INDEX($T$5:$T$54,ROW()-4)="","",INDEX($T$5:$T$54,ROW()-4))</f>
        <v/>
      </c>
      <c r="AD12" t="str">
        <f t="shared" si="5"/>
        <v/>
      </c>
      <c r="AE12" t="str">
        <f t="shared" si="6"/>
        <v/>
      </c>
      <c r="AF12" t="str">
        <f t="shared" si="7"/>
        <v/>
      </c>
      <c r="AG12">
        <f t="shared" si="8"/>
        <v>0</v>
      </c>
      <c r="AH12" t="str" cm="1">
        <f t="array" ref="AH12">IF($AC12="","",IF($AG12=1,SUMPRODUCT(($AG$5:$AG$54=1)*($AC$5:$AC$54&gt;$AC12))+1,SUM($AG$5:$AG$54)+SUMPRODUCT(($AG$5:$AG$54=0)*($AC$5:$AC$54&lt;&gt;"")*($AC$5:$AC$54&gt;$AC12))+1))</f>
        <v/>
      </c>
    </row>
    <row r="13" spans="1:36" ht="21.75" x14ac:dyDescent="0.25">
      <c r="A13" s="217" cm="1">
        <f t="array" ref="A13">IFERROR(INDEX(_xlfn.ANCHORARRAY($P$6),ROW()-5,1),"")</f>
        <v>46262</v>
      </c>
      <c r="B13" s="344" t="str" cm="1">
        <f t="array" ref="B13">IFERROR(INDEX(_xlfn.ANCHORARRAY($P$6),ROW()-5,2),"")</f>
        <v>2475</v>
      </c>
      <c r="C13" s="345">
        <f>IF($A13="","",IF($J13="DIESEL",SUMIFS(Table1[Quantity],Table1[Customer],$M$3,Table1[Date],$A13,Table1[Bill No.],$B13),IF($J13="PETROL",SUMIFS(Table14[Quantity],Table14[Customer],$M$3,Table14[Date],$A13,Table14[Bill No.],$B13),IF($J13="XtraGreen",SUMIFS(Table146[Quantity],Table146[Company],$M$3,Table146[Date],$A13,Table146[Bill No.],$B13),""))))</f>
        <v>12000</v>
      </c>
      <c r="D13" s="346">
        <f>IF($A13="","",IF($J13="DIESEL",AVERAGEIFS(Table1[RSP],Table1[Customer],$M$3,Table1[Date],$A13,Table1[Bill No.],$B13),IF($J13="PETROL",AVERAGEIFS(Table14[RSP],Table14[Customer],$M$3,Table14[Date],$A13,Table14[Bill No.],$B13),IF($J13="XtraGreen",AVERAGEIFS(Table146[RSP],Table146[Company],$M$3,Table146[Date],$A13,Table146[Bill No.],$B13),IFERROR($E13/$C13,"")))))</f>
        <v>99.99</v>
      </c>
      <c r="E13" s="347">
        <f>IF($A13="","",IF($J13="DIESEL",SUMIFS(Table1[Amount],Table1[Customer],$M$3,Table1[Date],$A13,Table1[Bill No.],$B13),IF($J13="PETROL",SUMIFS(Table14[Amount],Table14[Customer],$M$3,Table14[Date],$A13,Table14[Bill No.],$B13),IF($J13="XtraGreen",SUMIFS(Table146[Amount],Table146[Company],$M$3,Table146[Date],$A13,Table146[Bill No.],$B13),SUMIFS('Other Sale'!$D:$D,'Other Sale'!$E:$E,$M$3,'Other Sale'!$C:$C,$J13,'Other Sale'!$A:$A,$A13)))))</f>
        <v>1199880</v>
      </c>
      <c r="F13" s="347" cm="1">
        <f t="array" ref="F13">IF($A13="","",IF($J13="Payment",IFERROR(INDEX(_xlfn._xlws.FILTER(MasterPaid[Amount Paid],(MasterPaid[Customer]=$M$3)*(MasterPaid[Date]=$A13)),COUNTIFS($A$6:$A13,$A13,$J$6:$J13,"Payment")),0),0))</f>
        <v>0</v>
      </c>
      <c r="G13" s="331"/>
      <c r="H13" s="427"/>
      <c r="I13" s="330">
        <f t="shared" si="9"/>
        <v>5399460</v>
      </c>
      <c r="J13" s="344" t="str" cm="1">
        <f t="array" ref="J13">IFERROR(INDEX(_xlfn.ANCHORARRAY($P$6),ROW()-5,3),"")</f>
        <v>DIESEL</v>
      </c>
      <c r="K13" s="349"/>
      <c r="L13" s="348"/>
      <c r="M13" s="277"/>
      <c r="N13" s="277"/>
      <c r="O13" s="277"/>
      <c r="P13">
        <v>46262</v>
      </c>
      <c r="Q13" t="str">
        <v>2475</v>
      </c>
      <c r="R13" t="str">
        <v>DIESEL</v>
      </c>
      <c r="T13" s="438"/>
      <c r="U13" s="350"/>
      <c r="W13" s="316" t="str">
        <f t="shared" si="0"/>
        <v/>
      </c>
      <c r="X13" s="273" t="str">
        <f t="shared" si="1"/>
        <v/>
      </c>
      <c r="Y13" s="273" t="str">
        <f t="shared" si="2"/>
        <v/>
      </c>
      <c r="Z13" s="273" t="str">
        <f t="shared" si="3"/>
        <v/>
      </c>
      <c r="AA13" s="316" t="str">
        <f t="shared" si="4"/>
        <v/>
      </c>
      <c r="AC13" t="str" cm="1">
        <f t="array" ref="AC13">IF(INDEX($T$5:$T$54,ROW()-4)="","",INDEX($T$5:$T$54,ROW()-4))</f>
        <v/>
      </c>
      <c r="AD13" t="str">
        <f t="shared" si="5"/>
        <v/>
      </c>
      <c r="AE13" t="str">
        <f t="shared" si="6"/>
        <v/>
      </c>
      <c r="AF13" t="str">
        <f t="shared" si="7"/>
        <v/>
      </c>
      <c r="AG13">
        <f t="shared" si="8"/>
        <v>0</v>
      </c>
      <c r="AH13" t="str" cm="1">
        <f t="array" ref="AH13">IF($AC13="","",IF($AG13=1,SUMPRODUCT(($AG$5:$AG$54=1)*($AC$5:$AC$54&gt;$AC13))+1,SUM($AG$5:$AG$54)+SUMPRODUCT(($AG$5:$AG$54=0)*($AC$5:$AC$54&lt;&gt;"")*($AC$5:$AC$54&gt;$AC13))+1))</f>
        <v/>
      </c>
    </row>
    <row r="14" spans="1:36" ht="21.75" x14ac:dyDescent="0.25">
      <c r="A14" s="217" cm="1">
        <f t="array" ref="A14">IFERROR(INDEX(_xlfn.ANCHORARRAY($P$6),ROW()-5,1),"")</f>
        <v>46262</v>
      </c>
      <c r="B14" s="344" t="str" cm="1">
        <f t="array" ref="B14">IFERROR(INDEX(_xlfn.ANCHORARRAY($P$6),ROW()-5,2),"")</f>
        <v>2476</v>
      </c>
      <c r="C14" s="345">
        <f>IF($A14="","",IF($J14="DIESEL",SUMIFS(Table1[Quantity],Table1[Customer],$M$3,Table1[Date],$A14,Table1[Bill No.],$B14),IF($J14="PETROL",SUMIFS(Table14[Quantity],Table14[Customer],$M$3,Table14[Date],$A14,Table14[Bill No.],$B14),IF($J14="XtraGreen",SUMIFS(Table146[Quantity],Table146[Company],$M$3,Table146[Date],$A14,Table146[Bill No.],$B14),""))))</f>
        <v>12000</v>
      </c>
      <c r="D14" s="346">
        <f>IF($A14="","",IF($J14="DIESEL",AVERAGEIFS(Table1[RSP],Table1[Customer],$M$3,Table1[Date],$A14,Table1[Bill No.],$B14),IF($J14="PETROL",AVERAGEIFS(Table14[RSP],Table14[Customer],$M$3,Table14[Date],$A14,Table14[Bill No.],$B14),IF($J14="XtraGreen",AVERAGEIFS(Table146[RSP],Table146[Company],$M$3,Table146[Date],$A14,Table146[Bill No.],$B14),IFERROR($E14/$C14,"")))))</f>
        <v>99.99</v>
      </c>
      <c r="E14" s="347">
        <f>IF($A14="","",IF($J14="DIESEL",SUMIFS(Table1[Amount],Table1[Customer],$M$3,Table1[Date],$A14,Table1[Bill No.],$B14),IF($J14="PETROL",SUMIFS(Table14[Amount],Table14[Customer],$M$3,Table14[Date],$A14,Table14[Bill No.],$B14),IF($J14="XtraGreen",SUMIFS(Table146[Amount],Table146[Company],$M$3,Table146[Date],$A14,Table146[Bill No.],$B14),SUMIFS('Other Sale'!$D:$D,'Other Sale'!$E:$E,$M$3,'Other Sale'!$C:$C,$J14,'Other Sale'!$A:$A,$A14)))))</f>
        <v>1199880</v>
      </c>
      <c r="F14" s="347" cm="1">
        <f t="array" ref="F14">IF($A14="","",IF($J14="Payment",IFERROR(INDEX(_xlfn._xlws.FILTER(MasterPaid[Amount Paid],(MasterPaid[Customer]=$M$3)*(MasterPaid[Date]=$A14)),COUNTIFS($A$6:$A14,$A14,$J$6:$J14,"Payment")),0),0))</f>
        <v>0</v>
      </c>
      <c r="G14" s="331"/>
      <c r="H14" s="427"/>
      <c r="I14" s="330">
        <f t="shared" si="9"/>
        <v>6599340</v>
      </c>
      <c r="J14" s="344" t="str" cm="1">
        <f t="array" ref="J14">IFERROR(INDEX(_xlfn.ANCHORARRAY($P$6),ROW()-5,3),"")</f>
        <v>DIESEL</v>
      </c>
      <c r="K14" s="349"/>
      <c r="L14" s="348"/>
      <c r="M14" s="277"/>
      <c r="N14" s="277"/>
      <c r="O14" s="277"/>
      <c r="P14">
        <v>46262</v>
      </c>
      <c r="Q14" t="str">
        <v>2476</v>
      </c>
      <c r="R14" t="str">
        <v>DIESEL</v>
      </c>
      <c r="T14" s="438"/>
      <c r="U14" s="350"/>
      <c r="W14" s="316" t="str">
        <f t="shared" si="0"/>
        <v/>
      </c>
      <c r="X14" s="273" t="str">
        <f t="shared" si="1"/>
        <v/>
      </c>
      <c r="Y14" s="273" t="str">
        <f t="shared" si="2"/>
        <v/>
      </c>
      <c r="Z14" s="273" t="str">
        <f t="shared" si="3"/>
        <v/>
      </c>
      <c r="AA14" s="316" t="str">
        <f t="shared" si="4"/>
        <v/>
      </c>
      <c r="AC14" t="str" cm="1">
        <f t="array" ref="AC14">IF(INDEX($T$5:$T$54,ROW()-4)="","",INDEX($T$5:$T$54,ROW()-4))</f>
        <v/>
      </c>
      <c r="AD14" t="str">
        <f t="shared" si="5"/>
        <v/>
      </c>
      <c r="AE14" t="str">
        <f t="shared" si="6"/>
        <v/>
      </c>
      <c r="AF14" t="str">
        <f t="shared" si="7"/>
        <v/>
      </c>
      <c r="AG14">
        <f t="shared" si="8"/>
        <v>0</v>
      </c>
      <c r="AH14" t="str" cm="1">
        <f t="array" ref="AH14">IF($AC14="","",IF($AG14=1,SUMPRODUCT(($AG$5:$AG$54=1)*($AC$5:$AC$54&gt;$AC14))+1,SUM($AG$5:$AG$54)+SUMPRODUCT(($AG$5:$AG$54=0)*($AC$5:$AC$54&lt;&gt;"")*($AC$5:$AC$54&gt;$AC14))+1))</f>
        <v/>
      </c>
    </row>
    <row r="15" spans="1:36" ht="21.75" x14ac:dyDescent="0.25">
      <c r="A15" s="217" t="str" cm="1">
        <f t="array" ref="A15">IFERROR(INDEX(_xlfn.ANCHORARRAY($P$6),ROW()-5,1),"")</f>
        <v/>
      </c>
      <c r="B15" s="344" t="str" cm="1">
        <f t="array" ref="B15">IFERROR(INDEX(_xlfn.ANCHORARRAY($P$6),ROW()-5,2),"")</f>
        <v/>
      </c>
      <c r="C15" s="345" t="str">
        <f>IF($A15="","",IF($J15="DIESEL",SUMIFS(Table1[Quantity],Table1[Customer],$M$3,Table1[Date],$A15,Table1[Bill No.],$B15),IF($J15="PETROL",SUMIFS(Table14[Quantity],Table14[Customer],$M$3,Table14[Date],$A15,Table14[Bill No.],$B15),IF($J15="XtraGreen",SUMIFS(Table146[Quantity],Table146[Company],$M$3,Table146[Date],$A15,Table146[Bill No.],$B15),""))))</f>
        <v/>
      </c>
      <c r="D15" s="346" t="str">
        <f>IF($A15="","",IF($J15="DIESEL",AVERAGEIFS(Table1[RSP],Table1[Customer],$M$3,Table1[Date],$A15,Table1[Bill No.],$B15),IF($J15="PETROL",AVERAGEIFS(Table14[RSP],Table14[Customer],$M$3,Table14[Date],$A15,Table14[Bill No.],$B15),IF($J15="XtraGreen",AVERAGEIFS(Table146[RSP],Table146[Company],$M$3,Table146[Date],$A15,Table146[Bill No.],$B15),IFERROR($E15/$C15,"")))))</f>
        <v/>
      </c>
      <c r="E15" s="347" t="str">
        <f>IF($A15="","",IF($J15="DIESEL",SUMIFS(Table1[Amount],Table1[Customer],$M$3,Table1[Date],$A15,Table1[Bill No.],$B15),IF($J15="PETROL",SUMIFS(Table14[Amount],Table14[Customer],$M$3,Table14[Date],$A15,Table14[Bill No.],$B15),IF($J15="XtraGreen",SUMIFS(Table146[Amount],Table146[Company],$M$3,Table146[Date],$A15,Table146[Bill No.],$B15),SUMIFS('Other Sale'!$D:$D,'Other Sale'!$E:$E,$M$3,'Other Sale'!$C:$C,$J15,'Other Sale'!$A:$A,$A15)))))</f>
        <v/>
      </c>
      <c r="F15" s="347" t="str" cm="1">
        <f t="array" ref="F15">IF($A15="","",IF($J15="Payment",IFERROR(INDEX(_xlfn._xlws.FILTER(MasterPaid[Amount Paid],(MasterPaid[Customer]=$M$3)*(MasterPaid[Date]=$A15)),COUNTIFS($A$6:$A15,$A15,$J$6:$J15,"Payment")),0),0))</f>
        <v/>
      </c>
      <c r="G15" s="331"/>
      <c r="H15" s="427"/>
      <c r="I15" s="330" t="str">
        <f t="shared" si="9"/>
        <v/>
      </c>
      <c r="J15" s="344" t="str" cm="1">
        <f t="array" ref="J15">IFERROR(INDEX(_xlfn.ANCHORARRAY($P$6),ROW()-5,3),"")</f>
        <v/>
      </c>
      <c r="K15" s="349"/>
      <c r="L15" s="348"/>
      <c r="M15" s="277"/>
      <c r="N15" s="277"/>
      <c r="O15" s="277"/>
      <c r="T15" s="438"/>
      <c r="U15" s="350"/>
      <c r="W15" s="316" t="str">
        <f t="shared" si="0"/>
        <v/>
      </c>
      <c r="X15" s="273" t="str">
        <f t="shared" si="1"/>
        <v/>
      </c>
      <c r="Y15" s="273" t="str">
        <f t="shared" si="2"/>
        <v/>
      </c>
      <c r="Z15" s="273" t="str">
        <f t="shared" si="3"/>
        <v/>
      </c>
      <c r="AA15" s="316" t="str">
        <f t="shared" si="4"/>
        <v/>
      </c>
      <c r="AC15" t="str" cm="1">
        <f t="array" ref="AC15">IF(INDEX($T$5:$T$54,ROW()-4)="","",INDEX($T$5:$T$54,ROW()-4))</f>
        <v/>
      </c>
      <c r="AD15" t="str">
        <f t="shared" si="5"/>
        <v/>
      </c>
      <c r="AE15" t="str">
        <f t="shared" si="6"/>
        <v/>
      </c>
      <c r="AF15" t="str">
        <f t="shared" si="7"/>
        <v/>
      </c>
      <c r="AG15">
        <f t="shared" si="8"/>
        <v>0</v>
      </c>
      <c r="AH15" t="str" cm="1">
        <f t="array" ref="AH15">IF($AC15="","",IF($AG15=1,SUMPRODUCT(($AG$5:$AG$54=1)*($AC$5:$AC$54&gt;$AC15))+1,SUM($AG$5:$AG$54)+SUMPRODUCT(($AG$5:$AG$54=0)*($AC$5:$AC$54&lt;&gt;"")*($AC$5:$AC$54&gt;$AC15))+1))</f>
        <v/>
      </c>
    </row>
    <row r="16" spans="1:36" ht="21.75" x14ac:dyDescent="0.25">
      <c r="A16" s="217" t="str" cm="1">
        <f t="array" ref="A16">IFERROR(INDEX(_xlfn.ANCHORARRAY($P$6),ROW()-5,1),"")</f>
        <v/>
      </c>
      <c r="B16" s="344" t="str" cm="1">
        <f t="array" ref="B16">IFERROR(INDEX(_xlfn.ANCHORARRAY($P$6),ROW()-5,2),"")</f>
        <v/>
      </c>
      <c r="C16" s="345" t="str">
        <f>IF($A16="","",IF($J16="DIESEL",SUMIFS(Table1[Quantity],Table1[Customer],$M$3,Table1[Date],$A16,Table1[Bill No.],$B16),IF($J16="PETROL",SUMIFS(Table14[Quantity],Table14[Customer],$M$3,Table14[Date],$A16,Table14[Bill No.],$B16),IF($J16="XtraGreen",SUMIFS(Table146[Quantity],Table146[Company],$M$3,Table146[Date],$A16,Table146[Bill No.],$B16),""))))</f>
        <v/>
      </c>
      <c r="D16" s="346" t="str">
        <f>IF($A16="","",IF($J16="DIESEL",AVERAGEIFS(Table1[RSP],Table1[Customer],$M$3,Table1[Date],$A16,Table1[Bill No.],$B16),IF($J16="PETROL",AVERAGEIFS(Table14[RSP],Table14[Customer],$M$3,Table14[Date],$A16,Table14[Bill No.],$B16),IF($J16="XtraGreen",AVERAGEIFS(Table146[RSP],Table146[Company],$M$3,Table146[Date],$A16,Table146[Bill No.],$B16),IFERROR($E16/$C16,"")))))</f>
        <v/>
      </c>
      <c r="E16" s="347" t="str">
        <f>IF($A16="","",IF($J16="DIESEL",SUMIFS(Table1[Amount],Table1[Customer],$M$3,Table1[Date],$A16,Table1[Bill No.],$B16),IF($J16="PETROL",SUMIFS(Table14[Amount],Table14[Customer],$M$3,Table14[Date],$A16,Table14[Bill No.],$B16),IF($J16="XtraGreen",SUMIFS(Table146[Amount],Table146[Company],$M$3,Table146[Date],$A16,Table146[Bill No.],$B16),SUMIFS('Other Sale'!$D:$D,'Other Sale'!$E:$E,$M$3,'Other Sale'!$C:$C,$J16,'Other Sale'!$A:$A,$A16)))))</f>
        <v/>
      </c>
      <c r="F16" s="347" t="str" cm="1">
        <f t="array" ref="F16">IF($A16="","",IF($J16="Payment",IFERROR(INDEX(_xlfn._xlws.FILTER(MasterPaid[Amount Paid],(MasterPaid[Customer]=$M$3)*(MasterPaid[Date]=$A16)),COUNTIFS($A$6:$A16,$A16,$J$6:$J16,"Payment")),0),0))</f>
        <v/>
      </c>
      <c r="G16" s="331"/>
      <c r="H16" s="427"/>
      <c r="I16" s="330" t="str">
        <f t="shared" si="9"/>
        <v/>
      </c>
      <c r="J16" s="344" t="str" cm="1">
        <f t="array" ref="J16">IFERROR(INDEX(_xlfn.ANCHORARRAY($P$6),ROW()-5,3),"")</f>
        <v/>
      </c>
      <c r="K16" s="349"/>
      <c r="L16" s="348"/>
      <c r="M16" s="277"/>
      <c r="N16" s="277"/>
      <c r="O16" s="277"/>
      <c r="T16" s="438"/>
      <c r="U16" s="350"/>
      <c r="W16" s="316" t="str">
        <f t="shared" si="0"/>
        <v/>
      </c>
      <c r="X16" s="273" t="str">
        <f t="shared" si="1"/>
        <v/>
      </c>
      <c r="Y16" s="273" t="str">
        <f t="shared" si="2"/>
        <v/>
      </c>
      <c r="Z16" s="273" t="str">
        <f t="shared" si="3"/>
        <v/>
      </c>
      <c r="AA16" s="316" t="str">
        <f t="shared" si="4"/>
        <v/>
      </c>
      <c r="AC16" t="str" cm="1">
        <f t="array" ref="AC16">IF(INDEX($T$5:$T$54,ROW()-4)="","",INDEX($T$5:$T$54,ROW()-4))</f>
        <v/>
      </c>
      <c r="AD16" t="str">
        <f t="shared" si="5"/>
        <v/>
      </c>
      <c r="AE16" t="str">
        <f t="shared" si="6"/>
        <v/>
      </c>
      <c r="AF16" t="str">
        <f t="shared" si="7"/>
        <v/>
      </c>
      <c r="AG16">
        <f t="shared" si="8"/>
        <v>0</v>
      </c>
      <c r="AH16" t="str" cm="1">
        <f t="array" ref="AH16">IF($AC16="","",IF($AG16=1,SUMPRODUCT(($AG$5:$AG$54=1)*($AC$5:$AC$54&gt;$AC16))+1,SUM($AG$5:$AG$54)+SUMPRODUCT(($AG$5:$AG$54=0)*($AC$5:$AC$54&lt;&gt;"")*($AC$5:$AC$54&gt;$AC16))+1))</f>
        <v/>
      </c>
    </row>
    <row r="17" spans="1:34" ht="21.75" x14ac:dyDescent="0.25">
      <c r="A17" s="217" t="str" cm="1">
        <f t="array" ref="A17">IFERROR(INDEX(_xlfn.ANCHORARRAY($P$6),ROW()-5,1),"")</f>
        <v/>
      </c>
      <c r="B17" s="344" t="str" cm="1">
        <f t="array" ref="B17">IFERROR(INDEX(_xlfn.ANCHORARRAY($P$6),ROW()-5,2),"")</f>
        <v/>
      </c>
      <c r="C17" s="345" t="str">
        <f>IF($A17="","",IF($J17="DIESEL",SUMIFS(Table1[Quantity],Table1[Customer],$M$3,Table1[Date],$A17,Table1[Bill No.],$B17),IF($J17="PETROL",SUMIFS(Table14[Quantity],Table14[Customer],$M$3,Table14[Date],$A17,Table14[Bill No.],$B17),IF($J17="XtraGreen",SUMIFS(Table146[Quantity],Table146[Company],$M$3,Table146[Date],$A17,Table146[Bill No.],$B17),""))))</f>
        <v/>
      </c>
      <c r="D17" s="346" t="str">
        <f>IF($A17="","",IF($J17="DIESEL",AVERAGEIFS(Table1[RSP],Table1[Customer],$M$3,Table1[Date],$A17,Table1[Bill No.],$B17),IF($J17="PETROL",AVERAGEIFS(Table14[RSP],Table14[Customer],$M$3,Table14[Date],$A17,Table14[Bill No.],$B17),IF($J17="XtraGreen",AVERAGEIFS(Table146[RSP],Table146[Company],$M$3,Table146[Date],$A17,Table146[Bill No.],$B17),IFERROR($E17/$C17,"")))))</f>
        <v/>
      </c>
      <c r="E17" s="347" t="str">
        <f>IF($A17="","",IF($J17="DIESEL",SUMIFS(Table1[Amount],Table1[Customer],$M$3,Table1[Date],$A17,Table1[Bill No.],$B17),IF($J17="PETROL",SUMIFS(Table14[Amount],Table14[Customer],$M$3,Table14[Date],$A17,Table14[Bill No.],$B17),IF($J17="XtraGreen",SUMIFS(Table146[Amount],Table146[Company],$M$3,Table146[Date],$A17,Table146[Bill No.],$B17),SUMIFS('Other Sale'!$D:$D,'Other Sale'!$E:$E,$M$3,'Other Sale'!$C:$C,$J17,'Other Sale'!$A:$A,$A17)))))</f>
        <v/>
      </c>
      <c r="F17" s="347" t="str" cm="1">
        <f t="array" ref="F17">IF($A17="","",IF($J17="Payment",IFERROR(INDEX(_xlfn._xlws.FILTER(MasterPaid[Amount Paid],(MasterPaid[Customer]=$M$3)*(MasterPaid[Date]=$A17)),COUNTIFS($A$6:$A17,$A17,$J$6:$J17,"Payment")),0),0))</f>
        <v/>
      </c>
      <c r="G17" s="331"/>
      <c r="H17" s="427"/>
      <c r="I17" s="330" t="str">
        <f t="shared" si="9"/>
        <v/>
      </c>
      <c r="J17" s="344" t="str" cm="1">
        <f t="array" ref="J17">IFERROR(INDEX(_xlfn.ANCHORARRAY($P$6),ROW()-5,3),"")</f>
        <v/>
      </c>
      <c r="K17" s="349"/>
      <c r="L17" s="348"/>
      <c r="M17" s="277"/>
      <c r="N17" s="277"/>
      <c r="O17" s="277"/>
      <c r="T17" s="438"/>
      <c r="U17" s="350"/>
      <c r="W17" s="316" t="str">
        <f t="shared" si="0"/>
        <v/>
      </c>
      <c r="X17" s="273" t="str">
        <f t="shared" si="1"/>
        <v/>
      </c>
      <c r="Y17" s="273" t="str">
        <f t="shared" si="2"/>
        <v/>
      </c>
      <c r="Z17" s="273" t="str">
        <f t="shared" si="3"/>
        <v/>
      </c>
      <c r="AA17" s="316" t="str">
        <f t="shared" si="4"/>
        <v/>
      </c>
      <c r="AC17" t="str" cm="1">
        <f t="array" ref="AC17">IF(INDEX($T$5:$T$54,ROW()-4)="","",INDEX($T$5:$T$54,ROW()-4))</f>
        <v/>
      </c>
      <c r="AD17" t="str">
        <f t="shared" si="5"/>
        <v/>
      </c>
      <c r="AE17" t="str">
        <f t="shared" si="6"/>
        <v/>
      </c>
      <c r="AF17" t="str">
        <f t="shared" si="7"/>
        <v/>
      </c>
      <c r="AG17">
        <f t="shared" si="8"/>
        <v>0</v>
      </c>
      <c r="AH17" t="str" cm="1">
        <f t="array" ref="AH17">IF($AC17="","",IF($AG17=1,SUMPRODUCT(($AG$5:$AG$54=1)*($AC$5:$AC$54&gt;$AC17))+1,SUM($AG$5:$AG$54)+SUMPRODUCT(($AG$5:$AG$54=0)*($AC$5:$AC$54&lt;&gt;"")*($AC$5:$AC$54&gt;$AC17))+1))</f>
        <v/>
      </c>
    </row>
    <row r="18" spans="1:34" ht="21.75" customHeight="1" x14ac:dyDescent="0.25">
      <c r="A18" s="217" t="str" cm="1">
        <f t="array" ref="A18">IFERROR(INDEX(_xlfn.ANCHORARRAY($P$6),ROW()-5,1),"")</f>
        <v/>
      </c>
      <c r="B18" s="344" t="str" cm="1">
        <f t="array" ref="B18">IFERROR(INDEX(_xlfn.ANCHORARRAY($P$6),ROW()-5,2),"")</f>
        <v/>
      </c>
      <c r="C18" s="345" t="str">
        <f>IF($A18="","",IF($J18="DIESEL",SUMIFS(Table1[Quantity],Table1[Customer],$M$3,Table1[Date],$A18,Table1[Bill No.],$B18),IF($J18="PETROL",SUMIFS(Table14[Quantity],Table14[Customer],$M$3,Table14[Date],$A18,Table14[Bill No.],$B18),IF($J18="XtraGreen",SUMIFS(Table146[Quantity],Table146[Company],$M$3,Table146[Date],$A18,Table146[Bill No.],$B18),""))))</f>
        <v/>
      </c>
      <c r="D18" s="346" t="str">
        <f>IF($A18="","",IF($J18="DIESEL",AVERAGEIFS(Table1[RSP],Table1[Customer],$M$3,Table1[Date],$A18,Table1[Bill No.],$B18),IF($J18="PETROL",AVERAGEIFS(Table14[RSP],Table14[Customer],$M$3,Table14[Date],$A18,Table14[Bill No.],$B18),IF($J18="XtraGreen",AVERAGEIFS(Table146[RSP],Table146[Company],$M$3,Table146[Date],$A18,Table146[Bill No.],$B18),IFERROR($E18/$C18,"")))))</f>
        <v/>
      </c>
      <c r="E18" s="347" t="str">
        <f>IF($A18="","",IF($J18="DIESEL",SUMIFS(Table1[Amount],Table1[Customer],$M$3,Table1[Date],$A18,Table1[Bill No.],$B18),IF($J18="PETROL",SUMIFS(Table14[Amount],Table14[Customer],$M$3,Table14[Date],$A18,Table14[Bill No.],$B18),IF($J18="XtraGreen",SUMIFS(Table146[Amount],Table146[Company],$M$3,Table146[Date],$A18,Table146[Bill No.],$B18),SUMIFS('Other Sale'!$D:$D,'Other Sale'!$E:$E,$M$3,'Other Sale'!$C:$C,$J18,'Other Sale'!$A:$A,$A18)))))</f>
        <v/>
      </c>
      <c r="F18" s="347" t="str" cm="1">
        <f t="array" ref="F18">IF($A18="","",IF($J18="Payment",IFERROR(INDEX(_xlfn._xlws.FILTER(MasterPaid[Amount Paid],(MasterPaid[Customer]=$M$3)*(MasterPaid[Date]=$A18)),COUNTIFS($A$6:$A18,$A18,$J$6:$J18,"Payment")),0),0))</f>
        <v/>
      </c>
      <c r="G18" s="331"/>
      <c r="H18" s="427"/>
      <c r="I18" s="330" t="str">
        <f t="shared" si="9"/>
        <v/>
      </c>
      <c r="J18" s="344" t="str" cm="1">
        <f t="array" ref="J18">IFERROR(INDEX(_xlfn.ANCHORARRAY($P$6),ROW()-5,3),"")</f>
        <v/>
      </c>
      <c r="K18" s="349"/>
      <c r="L18" s="348"/>
      <c r="M18" s="277"/>
      <c r="N18" s="277"/>
      <c r="O18" s="277"/>
      <c r="T18" s="438"/>
      <c r="U18" s="350"/>
      <c r="W18" s="316" t="str">
        <f t="shared" si="0"/>
        <v/>
      </c>
      <c r="X18" s="273" t="str">
        <f t="shared" si="1"/>
        <v/>
      </c>
      <c r="Y18" s="273" t="str">
        <f t="shared" si="2"/>
        <v/>
      </c>
      <c r="Z18" s="273" t="str">
        <f t="shared" si="3"/>
        <v/>
      </c>
      <c r="AA18" s="316" t="str">
        <f t="shared" si="4"/>
        <v/>
      </c>
      <c r="AC18" t="str" cm="1">
        <f t="array" ref="AC18">IF(INDEX($T$5:$T$54,ROW()-4)="","",INDEX($T$5:$T$54,ROW()-4))</f>
        <v/>
      </c>
      <c r="AD18" t="str">
        <f t="shared" si="5"/>
        <v/>
      </c>
      <c r="AE18" t="str">
        <f t="shared" si="6"/>
        <v/>
      </c>
      <c r="AF18" t="str">
        <f t="shared" si="7"/>
        <v/>
      </c>
      <c r="AG18">
        <f t="shared" si="8"/>
        <v>0</v>
      </c>
      <c r="AH18" t="str" cm="1">
        <f t="array" ref="AH18">IF($AC18="","",IF($AG18=1,SUMPRODUCT(($AG$5:$AG$54=1)*($AC$5:$AC$54&gt;$AC18))+1,SUM($AG$5:$AG$54)+SUMPRODUCT(($AG$5:$AG$54=0)*($AC$5:$AC$54&lt;&gt;"")*($AC$5:$AC$54&gt;$AC18))+1))</f>
        <v/>
      </c>
    </row>
    <row r="19" spans="1:34" ht="21.75" x14ac:dyDescent="0.25">
      <c r="A19" s="217" t="str" cm="1">
        <f t="array" ref="A19">IFERROR(INDEX(_xlfn.ANCHORARRAY($P$6),ROW()-5,1),"")</f>
        <v/>
      </c>
      <c r="B19" s="344" t="str" cm="1">
        <f t="array" ref="B19">IFERROR(INDEX(_xlfn.ANCHORARRAY($P$6),ROW()-5,2),"")</f>
        <v/>
      </c>
      <c r="C19" s="345" t="str">
        <f>IF($A19="","",IF($J19="DIESEL",SUMIFS(Table1[Quantity],Table1[Customer],$M$3,Table1[Date],$A19,Table1[Bill No.],$B19),IF($J19="PETROL",SUMIFS(Table14[Quantity],Table14[Customer],$M$3,Table14[Date],$A19,Table14[Bill No.],$B19),IF($J19="XtraGreen",SUMIFS(Table146[Quantity],Table146[Company],$M$3,Table146[Date],$A19,Table146[Bill No.],$B19),""))))</f>
        <v/>
      </c>
      <c r="D19" s="346" t="str">
        <f>IF($A19="","",IF($J19="DIESEL",AVERAGEIFS(Table1[RSP],Table1[Customer],$M$3,Table1[Date],$A19,Table1[Bill No.],$B19),IF($J19="PETROL",AVERAGEIFS(Table14[RSP],Table14[Customer],$M$3,Table14[Date],$A19,Table14[Bill No.],$B19),IF($J19="XtraGreen",AVERAGEIFS(Table146[RSP],Table146[Company],$M$3,Table146[Date],$A19,Table146[Bill No.],$B19),IFERROR($E19/$C19,"")))))</f>
        <v/>
      </c>
      <c r="E19" s="347" t="str">
        <f>IF($A19="","",IF($J19="DIESEL",SUMIFS(Table1[Amount],Table1[Customer],$M$3,Table1[Date],$A19,Table1[Bill No.],$B19),IF($J19="PETROL",SUMIFS(Table14[Amount],Table14[Customer],$M$3,Table14[Date],$A19,Table14[Bill No.],$B19),IF($J19="XtraGreen",SUMIFS(Table146[Amount],Table146[Company],$M$3,Table146[Date],$A19,Table146[Bill No.],$B19),SUMIFS('Other Sale'!$D:$D,'Other Sale'!$E:$E,$M$3,'Other Sale'!$C:$C,$J19,'Other Sale'!$A:$A,$A19)))))</f>
        <v/>
      </c>
      <c r="F19" s="347" t="str" cm="1">
        <f t="array" ref="F19">IF($A19="","",IF($J19="Payment",IFERROR(INDEX(_xlfn._xlws.FILTER(MasterPaid[Amount Paid],(MasterPaid[Customer]=$M$3)*(MasterPaid[Date]=$A19)),COUNTIFS($A$6:$A19,$A19,$J$6:$J19,"Payment")),0),0))</f>
        <v/>
      </c>
      <c r="G19" s="331"/>
      <c r="H19" s="427"/>
      <c r="I19" s="330" t="str">
        <f t="shared" si="9"/>
        <v/>
      </c>
      <c r="J19" s="344" t="str" cm="1">
        <f t="array" ref="J19">IFERROR(INDEX(_xlfn.ANCHORARRAY($P$6),ROW()-5,3),"")</f>
        <v/>
      </c>
      <c r="K19" s="349"/>
      <c r="L19" s="348"/>
      <c r="M19" s="277"/>
      <c r="N19" s="277"/>
      <c r="O19" s="277"/>
      <c r="T19" s="438"/>
      <c r="U19" s="350"/>
      <c r="W19" s="316" t="str">
        <f t="shared" si="0"/>
        <v/>
      </c>
      <c r="X19" s="273" t="str">
        <f t="shared" si="1"/>
        <v/>
      </c>
      <c r="Y19" s="273" t="str">
        <f t="shared" si="2"/>
        <v/>
      </c>
      <c r="Z19" s="273" t="str">
        <f t="shared" si="3"/>
        <v/>
      </c>
      <c r="AA19" s="316" t="str">
        <f t="shared" si="4"/>
        <v/>
      </c>
      <c r="AC19" t="str" cm="1">
        <f t="array" ref="AC19">IF(INDEX($T$5:$T$54,ROW()-4)="","",INDEX($T$5:$T$54,ROW()-4))</f>
        <v/>
      </c>
      <c r="AD19" t="str">
        <f t="shared" si="5"/>
        <v/>
      </c>
      <c r="AE19" t="str">
        <f t="shared" si="6"/>
        <v/>
      </c>
      <c r="AF19" t="str">
        <f t="shared" si="7"/>
        <v/>
      </c>
      <c r="AG19">
        <f t="shared" si="8"/>
        <v>0</v>
      </c>
      <c r="AH19" t="str" cm="1">
        <f t="array" ref="AH19">IF($AC19="","",IF($AG19=1,SUMPRODUCT(($AG$5:$AG$54=1)*($AC$5:$AC$54&gt;$AC19))+1,SUM($AG$5:$AG$54)+SUMPRODUCT(($AG$5:$AG$54=0)*($AC$5:$AC$54&lt;&gt;"")*($AC$5:$AC$54&gt;$AC19))+1))</f>
        <v/>
      </c>
    </row>
    <row r="20" spans="1:34" ht="21.75" x14ac:dyDescent="0.25">
      <c r="A20" s="217" t="str" cm="1">
        <f t="array" ref="A20">IFERROR(INDEX(_xlfn.ANCHORARRAY($P$6),ROW()-5,1),"")</f>
        <v/>
      </c>
      <c r="B20" s="344" t="str" cm="1">
        <f t="array" ref="B20">IFERROR(INDEX(_xlfn.ANCHORARRAY($P$6),ROW()-5,2),"")</f>
        <v/>
      </c>
      <c r="C20" s="345" t="str">
        <f>IF($A20="","",IF($J20="DIESEL",SUMIFS(Table1[Quantity],Table1[Customer],$M$3,Table1[Date],$A20,Table1[Bill No.],$B20),IF($J20="PETROL",SUMIFS(Table14[Quantity],Table14[Customer],$M$3,Table14[Date],$A20,Table14[Bill No.],$B20),IF($J20="XtraGreen",SUMIFS(Table146[Quantity],Table146[Company],$M$3,Table146[Date],$A20,Table146[Bill No.],$B20),""))))</f>
        <v/>
      </c>
      <c r="D20" s="346" t="str">
        <f>IF($A20="","",IF($J20="DIESEL",AVERAGEIFS(Table1[RSP],Table1[Customer],$M$3,Table1[Date],$A20,Table1[Bill No.],$B20),IF($J20="PETROL",AVERAGEIFS(Table14[RSP],Table14[Customer],$M$3,Table14[Date],$A20,Table14[Bill No.],$B20),IF($J20="XtraGreen",AVERAGEIFS(Table146[RSP],Table146[Company],$M$3,Table146[Date],$A20,Table146[Bill No.],$B20),IFERROR($E20/$C20,"")))))</f>
        <v/>
      </c>
      <c r="E20" s="347" t="str">
        <f>IF($A20="","",IF($J20="DIESEL",SUMIFS(Table1[Amount],Table1[Customer],$M$3,Table1[Date],$A20,Table1[Bill No.],$B20),IF($J20="PETROL",SUMIFS(Table14[Amount],Table14[Customer],$M$3,Table14[Date],$A20,Table14[Bill No.],$B20),IF($J20="XtraGreen",SUMIFS(Table146[Amount],Table146[Company],$M$3,Table146[Date],$A20,Table146[Bill No.],$B20),SUMIFS('Other Sale'!$D:$D,'Other Sale'!$E:$E,$M$3,'Other Sale'!$C:$C,$J20,'Other Sale'!$A:$A,$A20)))))</f>
        <v/>
      </c>
      <c r="F20" s="347" t="str" cm="1">
        <f t="array" ref="F20">IF($A20="","",IF($J20="Payment",IFERROR(INDEX(_xlfn._xlws.FILTER(MasterPaid[Amount Paid],(MasterPaid[Customer]=$M$3)*(MasterPaid[Date]=$A20)),COUNTIFS($A$6:$A20,$A20,$J$6:$J20,"Payment")),0),0))</f>
        <v/>
      </c>
      <c r="G20" s="331"/>
      <c r="H20" s="427"/>
      <c r="I20" s="330" t="str">
        <f t="shared" si="9"/>
        <v/>
      </c>
      <c r="J20" s="344" t="str" cm="1">
        <f t="array" ref="J20">IFERROR(INDEX(_xlfn.ANCHORARRAY($P$6),ROW()-5,3),"")</f>
        <v/>
      </c>
      <c r="K20" s="349"/>
      <c r="L20" s="348"/>
      <c r="M20" s="277"/>
      <c r="N20" s="277"/>
      <c r="O20" s="277"/>
      <c r="T20" s="438"/>
      <c r="U20" s="350"/>
      <c r="W20" s="316" t="str">
        <f t="shared" si="0"/>
        <v/>
      </c>
      <c r="X20" s="273" t="str">
        <f t="shared" si="1"/>
        <v/>
      </c>
      <c r="Y20" s="273" t="str">
        <f t="shared" si="2"/>
        <v/>
      </c>
      <c r="Z20" s="273" t="str">
        <f t="shared" si="3"/>
        <v/>
      </c>
      <c r="AA20" s="316" t="str">
        <f t="shared" si="4"/>
        <v/>
      </c>
      <c r="AC20" t="str" cm="1">
        <f t="array" ref="AC20">IF(INDEX($T$5:$T$54,ROW()-4)="","",INDEX($T$5:$T$54,ROW()-4))</f>
        <v/>
      </c>
      <c r="AD20" t="str">
        <f t="shared" si="5"/>
        <v/>
      </c>
      <c r="AE20" t="str">
        <f t="shared" si="6"/>
        <v/>
      </c>
      <c r="AF20" t="str">
        <f t="shared" si="7"/>
        <v/>
      </c>
      <c r="AG20">
        <f t="shared" si="8"/>
        <v>0</v>
      </c>
      <c r="AH20" t="str" cm="1">
        <f t="array" ref="AH20">IF($AC20="","",IF($AG20=1,SUMPRODUCT(($AG$5:$AG$54=1)*($AC$5:$AC$54&gt;$AC20))+1,SUM($AG$5:$AG$54)+SUMPRODUCT(($AG$5:$AG$54=0)*($AC$5:$AC$54&lt;&gt;"")*($AC$5:$AC$54&gt;$AC20))+1))</f>
        <v/>
      </c>
    </row>
    <row r="21" spans="1:34" ht="21.75" x14ac:dyDescent="0.25">
      <c r="A21" s="217" t="str" cm="1">
        <f t="array" ref="A21">IFERROR(INDEX(_xlfn.ANCHORARRAY($P$6),ROW()-5,1),"")</f>
        <v/>
      </c>
      <c r="B21" s="344" t="str" cm="1">
        <f t="array" ref="B21">IFERROR(INDEX(_xlfn.ANCHORARRAY($P$6),ROW()-5,2),"")</f>
        <v/>
      </c>
      <c r="C21" s="345" t="str">
        <f>IF($A21="","",IF($J21="DIESEL",SUMIFS(Table1[Quantity],Table1[Customer],$M$3,Table1[Date],$A21,Table1[Bill No.],$B21),IF($J21="PETROL",SUMIFS(Table14[Quantity],Table14[Customer],$M$3,Table14[Date],$A21,Table14[Bill No.],$B21),IF($J21="XtraGreen",SUMIFS(Table146[Quantity],Table146[Company],$M$3,Table146[Date],$A21,Table146[Bill No.],$B21),""))))</f>
        <v/>
      </c>
      <c r="D21" s="346" t="str">
        <f>IF($A21="","",IF($J21="DIESEL",AVERAGEIFS(Table1[RSP],Table1[Customer],$M$3,Table1[Date],$A21,Table1[Bill No.],$B21),IF($J21="PETROL",AVERAGEIFS(Table14[RSP],Table14[Customer],$M$3,Table14[Date],$A21,Table14[Bill No.],$B21),IF($J21="XtraGreen",AVERAGEIFS(Table146[RSP],Table146[Company],$M$3,Table146[Date],$A21,Table146[Bill No.],$B21),IFERROR($E21/$C21,"")))))</f>
        <v/>
      </c>
      <c r="E21" s="347" t="str">
        <f>IF($A21="","",IF($J21="DIESEL",SUMIFS(Table1[Amount],Table1[Customer],$M$3,Table1[Date],$A21,Table1[Bill No.],$B21),IF($J21="PETROL",SUMIFS(Table14[Amount],Table14[Customer],$M$3,Table14[Date],$A21,Table14[Bill No.],$B21),IF($J21="XtraGreen",SUMIFS(Table146[Amount],Table146[Company],$M$3,Table146[Date],$A21,Table146[Bill No.],$B21),SUMIFS('Other Sale'!$D:$D,'Other Sale'!$E:$E,$M$3,'Other Sale'!$C:$C,$J21,'Other Sale'!$A:$A,$A21)))))</f>
        <v/>
      </c>
      <c r="F21" s="347" t="str" cm="1">
        <f t="array" ref="F21">IF($A21="","",IF($J21="Payment",IFERROR(INDEX(_xlfn._xlws.FILTER(MasterPaid[Amount Paid],(MasterPaid[Customer]=$M$3)*(MasterPaid[Date]=$A21)),COUNTIFS($A$6:$A21,$A21,$J$6:$J21,"Payment")),0),0))</f>
        <v/>
      </c>
      <c r="G21" s="331"/>
      <c r="H21" s="427"/>
      <c r="I21" s="330" t="str">
        <f t="shared" si="9"/>
        <v/>
      </c>
      <c r="J21" s="344" t="str" cm="1">
        <f t="array" ref="J21">IFERROR(INDEX(_xlfn.ANCHORARRAY($P$6),ROW()-5,3),"")</f>
        <v/>
      </c>
      <c r="K21" s="349"/>
      <c r="L21" s="348"/>
      <c r="M21" s="277"/>
      <c r="N21" s="277"/>
      <c r="O21" s="277"/>
      <c r="T21" s="439"/>
      <c r="U21" s="350"/>
      <c r="W21" s="316" t="str">
        <f t="shared" si="0"/>
        <v/>
      </c>
      <c r="X21" s="273" t="str">
        <f t="shared" si="1"/>
        <v/>
      </c>
      <c r="Y21" s="273" t="str">
        <f t="shared" si="2"/>
        <v/>
      </c>
      <c r="Z21" s="273" t="str">
        <f t="shared" si="3"/>
        <v/>
      </c>
      <c r="AA21" s="316" t="str">
        <f t="shared" si="4"/>
        <v/>
      </c>
      <c r="AC21" t="str" cm="1">
        <f t="array" ref="AC21">IF(INDEX($T$5:$T$54,ROW()-4)="","",INDEX($T$5:$T$54,ROW()-4))</f>
        <v/>
      </c>
      <c r="AD21" t="str">
        <f t="shared" si="5"/>
        <v/>
      </c>
      <c r="AE21" t="str">
        <f t="shared" si="6"/>
        <v/>
      </c>
      <c r="AF21" t="str">
        <f t="shared" si="7"/>
        <v/>
      </c>
      <c r="AG21">
        <f t="shared" si="8"/>
        <v>0</v>
      </c>
      <c r="AH21" t="str" cm="1">
        <f t="array" ref="AH21">IF($AC21="","",IF($AG21=1,SUMPRODUCT(($AG$5:$AG$54=1)*($AC$5:$AC$54&gt;$AC21))+1,SUM($AG$5:$AG$54)+SUMPRODUCT(($AG$5:$AG$54=0)*($AC$5:$AC$54&lt;&gt;"")*($AC$5:$AC$54&gt;$AC21))+1))</f>
        <v/>
      </c>
    </row>
    <row r="22" spans="1:34" ht="21.75" x14ac:dyDescent="0.25">
      <c r="A22" s="217" t="str" cm="1">
        <f t="array" ref="A22">IFERROR(INDEX(_xlfn.ANCHORARRAY($P$6),ROW()-5,1),"")</f>
        <v/>
      </c>
      <c r="B22" s="344" t="str" cm="1">
        <f t="array" ref="B22">IFERROR(INDEX(_xlfn.ANCHORARRAY($P$6),ROW()-5,2),"")</f>
        <v/>
      </c>
      <c r="C22" s="345" t="str">
        <f>IF($A22="","",IF($J22="DIESEL",SUMIFS(Table1[Quantity],Table1[Customer],$M$3,Table1[Date],$A22,Table1[Bill No.],$B22),IF($J22="PETROL",SUMIFS(Table14[Quantity],Table14[Customer],$M$3,Table14[Date],$A22,Table14[Bill No.],$B22),IF($J22="XtraGreen",SUMIFS(Table146[Quantity],Table146[Company],$M$3,Table146[Date],$A22,Table146[Bill No.],$B22),""))))</f>
        <v/>
      </c>
      <c r="D22" s="346" t="str">
        <f>IF($A22="","",IF($J22="DIESEL",AVERAGEIFS(Table1[RSP],Table1[Customer],$M$3,Table1[Date],$A22,Table1[Bill No.],$B22),IF($J22="PETROL",AVERAGEIFS(Table14[RSP],Table14[Customer],$M$3,Table14[Date],$A22,Table14[Bill No.],$B22),IF($J22="XtraGreen",AVERAGEIFS(Table146[RSP],Table146[Company],$M$3,Table146[Date],$A22,Table146[Bill No.],$B22),IFERROR($E22/$C22,"")))))</f>
        <v/>
      </c>
      <c r="E22" s="347" t="str">
        <f>IF($A22="","",IF($J22="DIESEL",SUMIFS(Table1[Amount],Table1[Customer],$M$3,Table1[Date],$A22,Table1[Bill No.],$B22),IF($J22="PETROL",SUMIFS(Table14[Amount],Table14[Customer],$M$3,Table14[Date],$A22,Table14[Bill No.],$B22),IF($J22="XtraGreen",SUMIFS(Table146[Amount],Table146[Company],$M$3,Table146[Date],$A22,Table146[Bill No.],$B22),SUMIFS('Other Sale'!$D:$D,'Other Sale'!$E:$E,$M$3,'Other Sale'!$C:$C,$J22,'Other Sale'!$A:$A,$A22)))))</f>
        <v/>
      </c>
      <c r="F22" s="347" t="str" cm="1">
        <f t="array" ref="F22">IF($A22="","",IF($J22="Payment",IFERROR(INDEX(_xlfn._xlws.FILTER(MasterPaid[Amount Paid],(MasterPaid[Customer]=$M$3)*(MasterPaid[Date]=$A22)),COUNTIFS($A$6:$A22,$A22,$J$6:$J22,"Payment")),0),0))</f>
        <v/>
      </c>
      <c r="G22" s="331"/>
      <c r="H22" s="427"/>
      <c r="I22" s="330" t="str">
        <f t="shared" si="9"/>
        <v/>
      </c>
      <c r="J22" s="344" t="str" cm="1">
        <f t="array" ref="J22">IFERROR(INDEX(_xlfn.ANCHORARRAY($P$6),ROW()-5,3),"")</f>
        <v/>
      </c>
      <c r="K22" s="349"/>
      <c r="L22" s="348"/>
      <c r="M22" s="277"/>
      <c r="N22" s="277"/>
      <c r="O22" s="277"/>
      <c r="T22" s="439"/>
      <c r="U22" s="350"/>
      <c r="W22" s="316" t="str">
        <f t="shared" si="0"/>
        <v/>
      </c>
      <c r="X22" s="273" t="str">
        <f t="shared" si="1"/>
        <v/>
      </c>
      <c r="Y22" s="273" t="str">
        <f t="shared" si="2"/>
        <v/>
      </c>
      <c r="Z22" s="273" t="str">
        <f t="shared" si="3"/>
        <v/>
      </c>
      <c r="AA22" s="316" t="str">
        <f t="shared" si="4"/>
        <v/>
      </c>
      <c r="AC22" t="str" cm="1">
        <f t="array" ref="AC22">IF(INDEX($T$5:$T$54,ROW()-4)="","",INDEX($T$5:$T$54,ROW()-4))</f>
        <v/>
      </c>
      <c r="AD22" t="str">
        <f t="shared" si="5"/>
        <v/>
      </c>
      <c r="AE22" t="str">
        <f t="shared" si="6"/>
        <v/>
      </c>
      <c r="AF22" t="str">
        <f t="shared" si="7"/>
        <v/>
      </c>
      <c r="AG22">
        <f t="shared" si="8"/>
        <v>0</v>
      </c>
      <c r="AH22" t="str" cm="1">
        <f t="array" ref="AH22">IF($AC22="","",IF($AG22=1,SUMPRODUCT(($AG$5:$AG$54=1)*($AC$5:$AC$54&gt;$AC22))+1,SUM($AG$5:$AG$54)+SUMPRODUCT(($AG$5:$AG$54=0)*($AC$5:$AC$54&lt;&gt;"")*($AC$5:$AC$54&gt;$AC22))+1))</f>
        <v/>
      </c>
    </row>
    <row r="23" spans="1:34" ht="21.75" x14ac:dyDescent="0.25">
      <c r="A23" s="217" t="str" cm="1">
        <f t="array" ref="A23">IFERROR(INDEX(_xlfn.ANCHORARRAY($P$6),ROW()-5,1),"")</f>
        <v/>
      </c>
      <c r="B23" s="344" t="str" cm="1">
        <f t="array" ref="B23">IFERROR(INDEX(_xlfn.ANCHORARRAY($P$6),ROW()-5,2),"")</f>
        <v/>
      </c>
      <c r="C23" s="345" t="str">
        <f>IF($A23="","",IF($J23="DIESEL",SUMIFS(Table1[Quantity],Table1[Customer],$M$3,Table1[Date],$A23,Table1[Bill No.],$B23),IF($J23="PETROL",SUMIFS(Table14[Quantity],Table14[Customer],$M$3,Table14[Date],$A23,Table14[Bill No.],$B23),IF($J23="XtraGreen",SUMIFS(Table146[Quantity],Table146[Company],$M$3,Table146[Date],$A23,Table146[Bill No.],$B23),""))))</f>
        <v/>
      </c>
      <c r="D23" s="346" t="str">
        <f>IF($A23="","",IF($J23="DIESEL",AVERAGEIFS(Table1[RSP],Table1[Customer],$M$3,Table1[Date],$A23,Table1[Bill No.],$B23),IF($J23="PETROL",AVERAGEIFS(Table14[RSP],Table14[Customer],$M$3,Table14[Date],$A23,Table14[Bill No.],$B23),IF($J23="XtraGreen",AVERAGEIFS(Table146[RSP],Table146[Company],$M$3,Table146[Date],$A23,Table146[Bill No.],$B23),IFERROR($E23/$C23,"")))))</f>
        <v/>
      </c>
      <c r="E23" s="347" t="str">
        <f>IF($A23="","",IF($J23="DIESEL",SUMIFS(Table1[Amount],Table1[Customer],$M$3,Table1[Date],$A23,Table1[Bill No.],$B23),IF($J23="PETROL",SUMIFS(Table14[Amount],Table14[Customer],$M$3,Table14[Date],$A23,Table14[Bill No.],$B23),IF($J23="XtraGreen",SUMIFS(Table146[Amount],Table146[Company],$M$3,Table146[Date],$A23,Table146[Bill No.],$B23),SUMIFS('Other Sale'!$D:$D,'Other Sale'!$E:$E,$M$3,'Other Sale'!$C:$C,$J23,'Other Sale'!$A:$A,$A23)))))</f>
        <v/>
      </c>
      <c r="F23" s="347" t="str" cm="1">
        <f t="array" ref="F23">IF($A23="","",IF($J23="Payment",IFERROR(INDEX(_xlfn._xlws.FILTER(MasterPaid[Amount Paid],(MasterPaid[Customer]=$M$3)*(MasterPaid[Date]=$A23)),COUNTIFS($A$6:$A23,$A23,$J$6:$J23,"Payment")),0),0))</f>
        <v/>
      </c>
      <c r="G23" s="331"/>
      <c r="H23" s="427"/>
      <c r="I23" s="330" t="str">
        <f t="shared" si="9"/>
        <v/>
      </c>
      <c r="J23" s="344" t="str" cm="1">
        <f t="array" ref="J23">IFERROR(INDEX(_xlfn.ANCHORARRAY($P$6),ROW()-5,3),"")</f>
        <v/>
      </c>
      <c r="K23" s="349"/>
      <c r="L23" s="348"/>
      <c r="M23" s="277"/>
      <c r="N23" s="277"/>
      <c r="O23" s="277"/>
      <c r="T23" s="439"/>
      <c r="U23" s="350"/>
      <c r="W23" s="316" t="str">
        <f t="shared" si="0"/>
        <v/>
      </c>
      <c r="X23" s="273" t="str">
        <f t="shared" si="1"/>
        <v/>
      </c>
      <c r="Y23" s="273" t="str">
        <f t="shared" si="2"/>
        <v/>
      </c>
      <c r="Z23" s="273" t="str">
        <f t="shared" si="3"/>
        <v/>
      </c>
      <c r="AA23" s="316" t="str">
        <f t="shared" si="4"/>
        <v/>
      </c>
      <c r="AC23" t="str" cm="1">
        <f t="array" ref="AC23">IF(INDEX($T$5:$T$54,ROW()-4)="","",INDEX($T$5:$T$54,ROW()-4))</f>
        <v/>
      </c>
      <c r="AD23" t="str">
        <f t="shared" si="5"/>
        <v/>
      </c>
      <c r="AE23" t="str">
        <f t="shared" si="6"/>
        <v/>
      </c>
      <c r="AF23" t="str">
        <f t="shared" si="7"/>
        <v/>
      </c>
      <c r="AG23">
        <f t="shared" si="8"/>
        <v>0</v>
      </c>
      <c r="AH23" t="str" cm="1">
        <f t="array" ref="AH23">IF($AC23="","",IF($AG23=1,SUMPRODUCT(($AG$5:$AG$54=1)*($AC$5:$AC$54&gt;$AC23))+1,SUM($AG$5:$AG$54)+SUMPRODUCT(($AG$5:$AG$54=0)*($AC$5:$AC$54&lt;&gt;"")*($AC$5:$AC$54&gt;$AC23))+1))</f>
        <v/>
      </c>
    </row>
    <row r="24" spans="1:34" ht="21.75" x14ac:dyDescent="0.25">
      <c r="A24" s="217" t="str" cm="1">
        <f t="array" ref="A24">IFERROR(INDEX(_xlfn.ANCHORARRAY($P$6),ROW()-5,1),"")</f>
        <v/>
      </c>
      <c r="B24" s="344" t="str" cm="1">
        <f t="array" ref="B24">IFERROR(INDEX(_xlfn.ANCHORARRAY($P$6),ROW()-5,2),"")</f>
        <v/>
      </c>
      <c r="C24" s="345" t="str">
        <f>IF($A24="","",IF($J24="DIESEL",SUMIFS(Table1[Quantity],Table1[Customer],$M$3,Table1[Date],$A24,Table1[Bill No.],$B24),IF($J24="PETROL",SUMIFS(Table14[Quantity],Table14[Customer],$M$3,Table14[Date],$A24,Table14[Bill No.],$B24),IF($J24="XtraGreen",SUMIFS(Table146[Quantity],Table146[Company],$M$3,Table146[Date],$A24,Table146[Bill No.],$B24),""))))</f>
        <v/>
      </c>
      <c r="D24" s="346" t="str">
        <f>IF($A24="","",IF($J24="DIESEL",AVERAGEIFS(Table1[RSP],Table1[Customer],$M$3,Table1[Date],$A24,Table1[Bill No.],$B24),IF($J24="PETROL",AVERAGEIFS(Table14[RSP],Table14[Customer],$M$3,Table14[Date],$A24,Table14[Bill No.],$B24),IF($J24="XtraGreen",AVERAGEIFS(Table146[RSP],Table146[Company],$M$3,Table146[Date],$A24,Table146[Bill No.],$B24),IFERROR($E24/$C24,"")))))</f>
        <v/>
      </c>
      <c r="E24" s="347" t="str">
        <f>IF($A24="","",IF($J24="DIESEL",SUMIFS(Table1[Amount],Table1[Customer],$M$3,Table1[Date],$A24,Table1[Bill No.],$B24),IF($J24="PETROL",SUMIFS(Table14[Amount],Table14[Customer],$M$3,Table14[Date],$A24,Table14[Bill No.],$B24),IF($J24="XtraGreen",SUMIFS(Table146[Amount],Table146[Company],$M$3,Table146[Date],$A24,Table146[Bill No.],$B24),SUMIFS('Other Sale'!$D:$D,'Other Sale'!$E:$E,$M$3,'Other Sale'!$C:$C,$J24,'Other Sale'!$A:$A,$A24)))))</f>
        <v/>
      </c>
      <c r="F24" s="347" t="str" cm="1">
        <f t="array" ref="F24">IF($A24="","",IF($J24="Payment",IFERROR(INDEX(_xlfn._xlws.FILTER(MasterPaid[Amount Paid],(MasterPaid[Customer]=$M$3)*(MasterPaid[Date]=$A24)),COUNTIFS($A$6:$A24,$A24,$J$6:$J24,"Payment")),0),0))</f>
        <v/>
      </c>
      <c r="G24" s="331"/>
      <c r="H24" s="427"/>
      <c r="I24" s="330" t="str">
        <f t="shared" si="9"/>
        <v/>
      </c>
      <c r="J24" s="344" t="str" cm="1">
        <f t="array" ref="J24">IFERROR(INDEX(_xlfn.ANCHORARRAY($P$6),ROW()-5,3),"")</f>
        <v/>
      </c>
      <c r="K24" s="349"/>
      <c r="L24" s="348"/>
      <c r="M24" s="277"/>
      <c r="N24" s="277"/>
      <c r="O24" s="277"/>
      <c r="T24" s="439"/>
      <c r="U24" s="350"/>
      <c r="W24" s="316" t="str">
        <f t="shared" si="0"/>
        <v/>
      </c>
      <c r="X24" s="273" t="str">
        <f t="shared" si="1"/>
        <v/>
      </c>
      <c r="Y24" s="273" t="str">
        <f t="shared" si="2"/>
        <v/>
      </c>
      <c r="Z24" s="273" t="str">
        <f t="shared" si="3"/>
        <v/>
      </c>
      <c r="AA24" s="316" t="str">
        <f t="shared" si="4"/>
        <v/>
      </c>
      <c r="AC24" t="str" cm="1">
        <f t="array" ref="AC24">IF(INDEX($T$5:$T$54,ROW()-4)="","",INDEX($T$5:$T$54,ROW()-4))</f>
        <v/>
      </c>
      <c r="AD24" t="str">
        <f t="shared" si="5"/>
        <v/>
      </c>
      <c r="AE24" t="str">
        <f t="shared" si="6"/>
        <v/>
      </c>
      <c r="AF24" t="str">
        <f t="shared" si="7"/>
        <v/>
      </c>
      <c r="AG24">
        <f t="shared" si="8"/>
        <v>0</v>
      </c>
      <c r="AH24" t="str" cm="1">
        <f t="array" ref="AH24">IF($AC24="","",IF($AG24=1,SUMPRODUCT(($AG$5:$AG$54=1)*($AC$5:$AC$54&gt;$AC24))+1,SUM($AG$5:$AG$54)+SUMPRODUCT(($AG$5:$AG$54=0)*($AC$5:$AC$54&lt;&gt;"")*($AC$5:$AC$54&gt;$AC24))+1))</f>
        <v/>
      </c>
    </row>
    <row r="25" spans="1:34" ht="21.75" customHeight="1" x14ac:dyDescent="0.25">
      <c r="A25" s="217" t="str" cm="1">
        <f t="array" ref="A25">IFERROR(INDEX(_xlfn.ANCHORARRAY($P$6),ROW()-5,1),"")</f>
        <v/>
      </c>
      <c r="B25" s="344" t="str" cm="1">
        <f t="array" ref="B25">IFERROR(INDEX(_xlfn.ANCHORARRAY($P$6),ROW()-5,2),"")</f>
        <v/>
      </c>
      <c r="C25" s="345" t="str">
        <f>IF($A25="","",IF($J25="DIESEL",SUMIFS(Table1[Quantity],Table1[Customer],$M$3,Table1[Date],$A25,Table1[Bill No.],$B25),IF($J25="PETROL",SUMIFS(Table14[Quantity],Table14[Customer],$M$3,Table14[Date],$A25,Table14[Bill No.],$B25),IF($J25="XtraGreen",SUMIFS(Table146[Quantity],Table146[Company],$M$3,Table146[Date],$A25,Table146[Bill No.],$B25),""))))</f>
        <v/>
      </c>
      <c r="D25" s="346" t="str">
        <f>IF($A25="","",IF($J25="DIESEL",AVERAGEIFS(Table1[RSP],Table1[Customer],$M$3,Table1[Date],$A25,Table1[Bill No.],$B25),IF($J25="PETROL",AVERAGEIFS(Table14[RSP],Table14[Customer],$M$3,Table14[Date],$A25,Table14[Bill No.],$B25),IF($J25="XtraGreen",AVERAGEIFS(Table146[RSP],Table146[Company],$M$3,Table146[Date],$A25,Table146[Bill No.],$B25),IFERROR($E25/$C25,"")))))</f>
        <v/>
      </c>
      <c r="E25" s="347" t="str">
        <f>IF($A25="","",IF($J25="DIESEL",SUMIFS(Table1[Amount],Table1[Customer],$M$3,Table1[Date],$A25,Table1[Bill No.],$B25),IF($J25="PETROL",SUMIFS(Table14[Amount],Table14[Customer],$M$3,Table14[Date],$A25,Table14[Bill No.],$B25),IF($J25="XtraGreen",SUMIFS(Table146[Amount],Table146[Company],$M$3,Table146[Date],$A25,Table146[Bill No.],$B25),SUMIFS('Other Sale'!$D:$D,'Other Sale'!$E:$E,$M$3,'Other Sale'!$C:$C,$J25,'Other Sale'!$A:$A,$A25)))))</f>
        <v/>
      </c>
      <c r="F25" s="347" t="str" cm="1">
        <f t="array" ref="F25">IF($A25="","",IF($J25="Payment",IFERROR(INDEX(_xlfn._xlws.FILTER(MasterPaid[Amount Paid],(MasterPaid[Customer]=$M$3)*(MasterPaid[Date]=$A25)),COUNTIFS($A$6:$A25,$A25,$J$6:$J25,"Payment")),0),0))</f>
        <v/>
      </c>
      <c r="G25" s="331"/>
      <c r="H25" s="427"/>
      <c r="I25" s="330" t="str">
        <f t="shared" si="9"/>
        <v/>
      </c>
      <c r="J25" s="344" t="str" cm="1">
        <f t="array" ref="J25">IFERROR(INDEX(_xlfn.ANCHORARRAY($P$6),ROW()-5,3),"")</f>
        <v/>
      </c>
      <c r="K25" s="349"/>
      <c r="L25" s="348"/>
      <c r="M25" s="277"/>
      <c r="N25" s="277"/>
      <c r="O25" s="277"/>
      <c r="T25" s="439"/>
      <c r="U25" s="350"/>
      <c r="W25" s="316" t="str">
        <f t="shared" si="0"/>
        <v/>
      </c>
      <c r="X25" s="273" t="str">
        <f t="shared" si="1"/>
        <v/>
      </c>
      <c r="Y25" s="273" t="str">
        <f t="shared" si="2"/>
        <v/>
      </c>
      <c r="Z25" s="273" t="str">
        <f t="shared" si="3"/>
        <v/>
      </c>
      <c r="AA25" s="316" t="str">
        <f t="shared" si="4"/>
        <v/>
      </c>
      <c r="AC25" t="str" cm="1">
        <f t="array" ref="AC25">IF(INDEX($T$5:$T$54,ROW()-4)="","",INDEX($T$5:$T$54,ROW()-4))</f>
        <v/>
      </c>
      <c r="AD25" t="str">
        <f t="shared" si="5"/>
        <v/>
      </c>
      <c r="AE25" t="str">
        <f t="shared" si="6"/>
        <v/>
      </c>
      <c r="AF25" t="str">
        <f t="shared" si="7"/>
        <v/>
      </c>
      <c r="AG25">
        <f t="shared" si="8"/>
        <v>0</v>
      </c>
      <c r="AH25" t="str" cm="1">
        <f t="array" ref="AH25">IF($AC25="","",IF($AG25=1,SUMPRODUCT(($AG$5:$AG$54=1)*($AC$5:$AC$54&gt;$AC25))+1,SUM($AG$5:$AG$54)+SUMPRODUCT(($AG$5:$AG$54=0)*($AC$5:$AC$54&lt;&gt;"")*($AC$5:$AC$54&gt;$AC25))+1))</f>
        <v/>
      </c>
    </row>
    <row r="26" spans="1:34" ht="21.75" x14ac:dyDescent="0.25">
      <c r="A26" s="217" t="str" cm="1">
        <f t="array" ref="A26">IFERROR(INDEX(_xlfn.ANCHORARRAY($P$6),ROW()-5,1),"")</f>
        <v/>
      </c>
      <c r="B26" s="344" t="str" cm="1">
        <f t="array" ref="B26">IFERROR(INDEX(_xlfn.ANCHORARRAY($P$6),ROW()-5,2),"")</f>
        <v/>
      </c>
      <c r="C26" s="345" t="str">
        <f>IF($A26="","",IF($J26="DIESEL",SUMIFS(Table1[Quantity],Table1[Customer],$M$3,Table1[Date],$A26,Table1[Bill No.],$B26),IF($J26="PETROL",SUMIFS(Table14[Quantity],Table14[Customer],$M$3,Table14[Date],$A26,Table14[Bill No.],$B26),IF($J26="XtraGreen",SUMIFS(Table146[Quantity],Table146[Company],$M$3,Table146[Date],$A26,Table146[Bill No.],$B26),""))))</f>
        <v/>
      </c>
      <c r="D26" s="346" t="str">
        <f>IF($A26="","",IF($J26="DIESEL",AVERAGEIFS(Table1[RSP],Table1[Customer],$M$3,Table1[Date],$A26,Table1[Bill No.],$B26),IF($J26="PETROL",AVERAGEIFS(Table14[RSP],Table14[Customer],$M$3,Table14[Date],$A26,Table14[Bill No.],$B26),IF($J26="XtraGreen",AVERAGEIFS(Table146[RSP],Table146[Company],$M$3,Table146[Date],$A26,Table146[Bill No.],$B26),IFERROR($E26/$C26,"")))))</f>
        <v/>
      </c>
      <c r="E26" s="347" t="str">
        <f>IF($A26="","",IF($J26="DIESEL",SUMIFS(Table1[Amount],Table1[Customer],$M$3,Table1[Date],$A26,Table1[Bill No.],$B26),IF($J26="PETROL",SUMIFS(Table14[Amount],Table14[Customer],$M$3,Table14[Date],$A26,Table14[Bill No.],$B26),IF($J26="XtraGreen",SUMIFS(Table146[Amount],Table146[Company],$M$3,Table146[Date],$A26,Table146[Bill No.],$B26),SUMIFS('Other Sale'!$D:$D,'Other Sale'!$E:$E,$M$3,'Other Sale'!$C:$C,$J26,'Other Sale'!$A:$A,$A26)))))</f>
        <v/>
      </c>
      <c r="F26" s="347" t="str" cm="1">
        <f t="array" ref="F26">IF($A26="","",IF($J26="Payment",IFERROR(INDEX(_xlfn._xlws.FILTER(MasterPaid[Amount Paid],(MasterPaid[Customer]=$M$3)*(MasterPaid[Date]=$A26)),COUNTIFS($A$6:$A26,$A26,$J$6:$J26,"Payment")),0),0))</f>
        <v/>
      </c>
      <c r="G26" s="331"/>
      <c r="H26" s="427"/>
      <c r="I26" s="330" t="str">
        <f t="shared" si="9"/>
        <v/>
      </c>
      <c r="J26" s="344" t="str" cm="1">
        <f t="array" ref="J26">IFERROR(INDEX(_xlfn.ANCHORARRAY($P$6),ROW()-5,3),"")</f>
        <v/>
      </c>
      <c r="K26" s="349"/>
      <c r="L26" s="348"/>
      <c r="M26" s="277"/>
      <c r="N26" s="277"/>
      <c r="O26" s="277"/>
      <c r="T26" s="439"/>
      <c r="U26" s="350"/>
      <c r="W26" s="316" t="str">
        <f t="shared" si="0"/>
        <v/>
      </c>
      <c r="X26" s="273" t="str">
        <f t="shared" si="1"/>
        <v/>
      </c>
      <c r="Y26" s="273" t="str">
        <f t="shared" si="2"/>
        <v/>
      </c>
      <c r="Z26" s="273" t="str">
        <f t="shared" si="3"/>
        <v/>
      </c>
      <c r="AA26" s="316" t="str">
        <f t="shared" si="4"/>
        <v/>
      </c>
      <c r="AC26" t="str" cm="1">
        <f t="array" ref="AC26">IF(INDEX($T$5:$T$54,ROW()-4)="","",INDEX($T$5:$T$54,ROW()-4))</f>
        <v/>
      </c>
      <c r="AD26" t="str">
        <f t="shared" si="5"/>
        <v/>
      </c>
      <c r="AE26" t="str">
        <f t="shared" si="6"/>
        <v/>
      </c>
      <c r="AF26" t="str">
        <f t="shared" si="7"/>
        <v/>
      </c>
      <c r="AG26">
        <f t="shared" si="8"/>
        <v>0</v>
      </c>
      <c r="AH26" t="str" cm="1">
        <f t="array" ref="AH26">IF($AC26="","",IF($AG26=1,SUMPRODUCT(($AG$5:$AG$54=1)*($AC$5:$AC$54&gt;$AC26))+1,SUM($AG$5:$AG$54)+SUMPRODUCT(($AG$5:$AG$54=0)*($AC$5:$AC$54&lt;&gt;"")*($AC$5:$AC$54&gt;$AC26))+1))</f>
        <v/>
      </c>
    </row>
    <row r="27" spans="1:34" ht="21.75" x14ac:dyDescent="0.25">
      <c r="A27" s="217" t="str" cm="1">
        <f t="array" ref="A27">IFERROR(INDEX(_xlfn.ANCHORARRAY($P$6),ROW()-5,1),"")</f>
        <v/>
      </c>
      <c r="B27" s="344" t="str" cm="1">
        <f t="array" ref="B27">IFERROR(INDEX(_xlfn.ANCHORARRAY($P$6),ROW()-5,2),"")</f>
        <v/>
      </c>
      <c r="C27" s="345" t="str">
        <f>IF($A27="","",IF($J27="DIESEL",SUMIFS(Table1[Quantity],Table1[Customer],$M$3,Table1[Date],$A27,Table1[Bill No.],$B27),IF($J27="PETROL",SUMIFS(Table14[Quantity],Table14[Customer],$M$3,Table14[Date],$A27,Table14[Bill No.],$B27),IF($J27="XtraGreen",SUMIFS(Table146[Quantity],Table146[Company],$M$3,Table146[Date],$A27,Table146[Bill No.],$B27),""))))</f>
        <v/>
      </c>
      <c r="D27" s="346" t="str">
        <f>IF($A27="","",IF($J27="DIESEL",AVERAGEIFS(Table1[RSP],Table1[Customer],$M$3,Table1[Date],$A27,Table1[Bill No.],$B27),IF($J27="PETROL",AVERAGEIFS(Table14[RSP],Table14[Customer],$M$3,Table14[Date],$A27,Table14[Bill No.],$B27),IF($J27="XtraGreen",AVERAGEIFS(Table146[RSP],Table146[Company],$M$3,Table146[Date],$A27,Table146[Bill No.],$B27),IFERROR($E27/$C27,"")))))</f>
        <v/>
      </c>
      <c r="E27" s="347" t="str">
        <f>IF($A27="","",IF($J27="DIESEL",SUMIFS(Table1[Amount],Table1[Customer],$M$3,Table1[Date],$A27,Table1[Bill No.],$B27),IF($J27="PETROL",SUMIFS(Table14[Amount],Table14[Customer],$M$3,Table14[Date],$A27,Table14[Bill No.],$B27),IF($J27="XtraGreen",SUMIFS(Table146[Amount],Table146[Company],$M$3,Table146[Date],$A27,Table146[Bill No.],$B27),SUMIFS('Other Sale'!$D:$D,'Other Sale'!$E:$E,$M$3,'Other Sale'!$C:$C,$J27,'Other Sale'!$A:$A,$A27)))))</f>
        <v/>
      </c>
      <c r="F27" s="347" t="str" cm="1">
        <f t="array" ref="F27">IF($A27="","",IF($J27="Payment",IFERROR(INDEX(_xlfn._xlws.FILTER(MasterPaid[Amount Paid],(MasterPaid[Customer]=$M$3)*(MasterPaid[Date]=$A27)),COUNTIFS($A$6:$A27,$A27,$J$6:$J27,"Payment")),0),0))</f>
        <v/>
      </c>
      <c r="G27" s="331"/>
      <c r="H27" s="427"/>
      <c r="I27" s="330" t="str">
        <f t="shared" si="9"/>
        <v/>
      </c>
      <c r="J27" s="344" t="str" cm="1">
        <f t="array" ref="J27">IFERROR(INDEX(_xlfn.ANCHORARRAY($P$6),ROW()-5,3),"")</f>
        <v/>
      </c>
      <c r="K27" s="349"/>
      <c r="L27" s="348"/>
      <c r="M27" s="277"/>
      <c r="N27" s="277"/>
      <c r="O27" s="277"/>
      <c r="T27" s="439"/>
      <c r="U27" s="350"/>
      <c r="W27" s="316" t="str">
        <f t="shared" si="0"/>
        <v/>
      </c>
      <c r="X27" s="273" t="str">
        <f t="shared" si="1"/>
        <v/>
      </c>
      <c r="Y27" s="273" t="str">
        <f t="shared" si="2"/>
        <v/>
      </c>
      <c r="Z27" s="273" t="str">
        <f t="shared" si="3"/>
        <v/>
      </c>
      <c r="AA27" s="316" t="str">
        <f t="shared" si="4"/>
        <v/>
      </c>
      <c r="AC27" t="str" cm="1">
        <f t="array" ref="AC27">IF(INDEX($T$5:$T$54,ROW()-4)="","",INDEX($T$5:$T$54,ROW()-4))</f>
        <v/>
      </c>
      <c r="AD27" t="str">
        <f t="shared" si="5"/>
        <v/>
      </c>
      <c r="AE27" t="str">
        <f t="shared" si="6"/>
        <v/>
      </c>
      <c r="AF27" t="str">
        <f t="shared" si="7"/>
        <v/>
      </c>
      <c r="AG27">
        <f t="shared" si="8"/>
        <v>0</v>
      </c>
      <c r="AH27" t="str" cm="1">
        <f t="array" ref="AH27">IF($AC27="","",IF($AG27=1,SUMPRODUCT(($AG$5:$AG$54=1)*($AC$5:$AC$54&gt;$AC27))+1,SUM($AG$5:$AG$54)+SUMPRODUCT(($AG$5:$AG$54=0)*($AC$5:$AC$54&lt;&gt;"")*($AC$5:$AC$54&gt;$AC27))+1))</f>
        <v/>
      </c>
    </row>
    <row r="28" spans="1:34" ht="21.75" x14ac:dyDescent="0.25">
      <c r="A28" s="217" t="str" cm="1">
        <f t="array" ref="A28">IFERROR(INDEX(_xlfn.ANCHORARRAY($P$6),ROW()-5,1),"")</f>
        <v/>
      </c>
      <c r="B28" s="344" t="str" cm="1">
        <f t="array" ref="B28">IFERROR(INDEX(_xlfn.ANCHORARRAY($P$6),ROW()-5,2),"")</f>
        <v/>
      </c>
      <c r="C28" s="345" t="str">
        <f>IF($A28="","",IF($J28="DIESEL",SUMIFS(Table1[Quantity],Table1[Customer],$M$3,Table1[Date],$A28,Table1[Bill No.],$B28),IF($J28="PETROL",SUMIFS(Table14[Quantity],Table14[Customer],$M$3,Table14[Date],$A28,Table14[Bill No.],$B28),IF($J28="XtraGreen",SUMIFS(Table146[Quantity],Table146[Company],$M$3,Table146[Date],$A28,Table146[Bill No.],$B28),""))))</f>
        <v/>
      </c>
      <c r="D28" s="346" t="str">
        <f>IF($A28="","",IF($J28="DIESEL",AVERAGEIFS(Table1[RSP],Table1[Customer],$M$3,Table1[Date],$A28,Table1[Bill No.],$B28),IF($J28="PETROL",AVERAGEIFS(Table14[RSP],Table14[Customer],$M$3,Table14[Date],$A28,Table14[Bill No.],$B28),IF($J28="XtraGreen",AVERAGEIFS(Table146[RSP],Table146[Company],$M$3,Table146[Date],$A28,Table146[Bill No.],$B28),IFERROR($E28/$C28,"")))))</f>
        <v/>
      </c>
      <c r="E28" s="347" t="str">
        <f>IF($A28="","",IF($J28="DIESEL",SUMIFS(Table1[Amount],Table1[Customer],$M$3,Table1[Date],$A28,Table1[Bill No.],$B28),IF($J28="PETROL",SUMIFS(Table14[Amount],Table14[Customer],$M$3,Table14[Date],$A28,Table14[Bill No.],$B28),IF($J28="XtraGreen",SUMIFS(Table146[Amount],Table146[Company],$M$3,Table146[Date],$A28,Table146[Bill No.],$B28),SUMIFS('Other Sale'!$D:$D,'Other Sale'!$E:$E,$M$3,'Other Sale'!$C:$C,$J28,'Other Sale'!$A:$A,$A28)))))</f>
        <v/>
      </c>
      <c r="F28" s="347" t="str" cm="1">
        <f t="array" ref="F28">IF($A28="","",IF($J28="Payment",IFERROR(INDEX(_xlfn._xlws.FILTER(MasterPaid[Amount Paid],(MasterPaid[Customer]=$M$3)*(MasterPaid[Date]=$A28)),COUNTIFS($A$6:$A28,$A28,$J$6:$J28,"Payment")),0),0))</f>
        <v/>
      </c>
      <c r="G28" s="331"/>
      <c r="H28" s="427"/>
      <c r="I28" s="330" t="str">
        <f t="shared" si="9"/>
        <v/>
      </c>
      <c r="J28" s="344" t="str" cm="1">
        <f t="array" ref="J28">IFERROR(INDEX(_xlfn.ANCHORARRAY($P$6),ROW()-5,3),"")</f>
        <v/>
      </c>
      <c r="K28" s="349"/>
      <c r="L28" s="348"/>
      <c r="M28" s="277"/>
      <c r="N28" s="277"/>
      <c r="O28" s="277"/>
      <c r="T28" s="439"/>
      <c r="U28" s="350"/>
      <c r="W28" s="316" t="str">
        <f t="shared" si="0"/>
        <v/>
      </c>
      <c r="X28" s="273" t="str">
        <f t="shared" si="1"/>
        <v/>
      </c>
      <c r="Y28" s="273" t="str">
        <f t="shared" si="2"/>
        <v/>
      </c>
      <c r="Z28" s="273" t="str">
        <f t="shared" si="3"/>
        <v/>
      </c>
      <c r="AA28" s="316" t="str">
        <f t="shared" si="4"/>
        <v/>
      </c>
      <c r="AC28" t="str" cm="1">
        <f t="array" ref="AC28">IF(INDEX($T$5:$T$54,ROW()-4)="","",INDEX($T$5:$T$54,ROW()-4))</f>
        <v/>
      </c>
      <c r="AD28" t="str">
        <f t="shared" si="5"/>
        <v/>
      </c>
      <c r="AE28" t="str">
        <f t="shared" si="6"/>
        <v/>
      </c>
      <c r="AF28" t="str">
        <f t="shared" si="7"/>
        <v/>
      </c>
      <c r="AG28">
        <f t="shared" si="8"/>
        <v>0</v>
      </c>
      <c r="AH28" t="str" cm="1">
        <f t="array" ref="AH28">IF($AC28="","",IF($AG28=1,SUMPRODUCT(($AG$5:$AG$54=1)*($AC$5:$AC$54&gt;$AC28))+1,SUM($AG$5:$AG$54)+SUMPRODUCT(($AG$5:$AG$54=0)*($AC$5:$AC$54&lt;&gt;"")*($AC$5:$AC$54&gt;$AC28))+1))</f>
        <v/>
      </c>
    </row>
    <row r="29" spans="1:34" ht="21.75" customHeight="1" x14ac:dyDescent="0.25">
      <c r="A29" s="217" t="str" cm="1">
        <f t="array" ref="A29">IFERROR(INDEX(_xlfn.ANCHORARRAY($P$6),ROW()-5,1),"")</f>
        <v/>
      </c>
      <c r="B29" s="344" t="str" cm="1">
        <f t="array" ref="B29">IFERROR(INDEX(_xlfn.ANCHORARRAY($P$6),ROW()-5,2),"")</f>
        <v/>
      </c>
      <c r="C29" s="345" t="str">
        <f>IF($A29="","",IF($J29="DIESEL",SUMIFS(Table1[Quantity],Table1[Customer],$M$3,Table1[Date],$A29,Table1[Bill No.],$B29),IF($J29="PETROL",SUMIFS(Table14[Quantity],Table14[Customer],$M$3,Table14[Date],$A29,Table14[Bill No.],$B29),IF($J29="XtraGreen",SUMIFS(Table146[Quantity],Table146[Company],$M$3,Table146[Date],$A29,Table146[Bill No.],$B29),""))))</f>
        <v/>
      </c>
      <c r="D29" s="346" t="str">
        <f>IF($A29="","",IF($J29="DIESEL",AVERAGEIFS(Table1[RSP],Table1[Customer],$M$3,Table1[Date],$A29,Table1[Bill No.],$B29),IF($J29="PETROL",AVERAGEIFS(Table14[RSP],Table14[Customer],$M$3,Table14[Date],$A29,Table14[Bill No.],$B29),IF($J29="XtraGreen",AVERAGEIFS(Table146[RSP],Table146[Company],$M$3,Table146[Date],$A29,Table146[Bill No.],$B29),IFERROR($E29/$C29,"")))))</f>
        <v/>
      </c>
      <c r="E29" s="347" t="str">
        <f>IF($A29="","",IF($J29="DIESEL",SUMIFS(Table1[Amount],Table1[Customer],$M$3,Table1[Date],$A29,Table1[Bill No.],$B29),IF($J29="PETROL",SUMIFS(Table14[Amount],Table14[Customer],$M$3,Table14[Date],$A29,Table14[Bill No.],$B29),IF($J29="XtraGreen",SUMIFS(Table146[Amount],Table146[Company],$M$3,Table146[Date],$A29,Table146[Bill No.],$B29),SUMIFS('Other Sale'!$D:$D,'Other Sale'!$E:$E,$M$3,'Other Sale'!$C:$C,$J29,'Other Sale'!$A:$A,$A29)))))</f>
        <v/>
      </c>
      <c r="F29" s="347" t="str" cm="1">
        <f t="array" ref="F29">IF($A29="","",IF($J29="Payment",IFERROR(INDEX(_xlfn._xlws.FILTER(MasterPaid[Amount Paid],(MasterPaid[Customer]=$M$3)*(MasterPaid[Date]=$A29)),COUNTIFS($A$6:$A29,$A29,$J$6:$J29,"Payment")),0),0))</f>
        <v/>
      </c>
      <c r="G29" s="331"/>
      <c r="H29" s="427"/>
      <c r="I29" s="330" t="str">
        <f t="shared" si="9"/>
        <v/>
      </c>
      <c r="J29" s="344" t="str" cm="1">
        <f t="array" ref="J29">IFERROR(INDEX(_xlfn.ANCHORARRAY($P$6),ROW()-5,3),"")</f>
        <v/>
      </c>
      <c r="K29" s="349"/>
      <c r="L29" s="348"/>
      <c r="M29" s="277"/>
      <c r="N29" s="277"/>
      <c r="O29" s="277"/>
      <c r="T29" s="439"/>
      <c r="U29" s="350"/>
      <c r="W29" s="316" t="str">
        <f t="shared" si="0"/>
        <v/>
      </c>
      <c r="X29" s="273" t="str">
        <f t="shared" si="1"/>
        <v/>
      </c>
      <c r="Y29" s="273" t="str">
        <f t="shared" si="2"/>
        <v/>
      </c>
      <c r="Z29" s="273" t="str">
        <f t="shared" si="3"/>
        <v/>
      </c>
      <c r="AA29" s="316" t="str">
        <f t="shared" si="4"/>
        <v/>
      </c>
      <c r="AC29" t="str" cm="1">
        <f t="array" ref="AC29">IF(INDEX($T$5:$T$54,ROW()-4)="","",INDEX($T$5:$T$54,ROW()-4))</f>
        <v/>
      </c>
      <c r="AD29" t="str">
        <f t="shared" si="5"/>
        <v/>
      </c>
      <c r="AE29" t="str">
        <f t="shared" si="6"/>
        <v/>
      </c>
      <c r="AF29" t="str">
        <f t="shared" si="7"/>
        <v/>
      </c>
      <c r="AG29">
        <f t="shared" si="8"/>
        <v>0</v>
      </c>
      <c r="AH29" t="str" cm="1">
        <f t="array" ref="AH29">IF($AC29="","",IF($AG29=1,SUMPRODUCT(($AG$5:$AG$54=1)*($AC$5:$AC$54&gt;$AC29))+1,SUM($AG$5:$AG$54)+SUMPRODUCT(($AG$5:$AG$54=0)*($AC$5:$AC$54&lt;&gt;"")*($AC$5:$AC$54&gt;$AC29))+1))</f>
        <v/>
      </c>
    </row>
    <row r="30" spans="1:34" ht="21.75" x14ac:dyDescent="0.25">
      <c r="A30" s="217" t="str" cm="1">
        <f t="array" ref="A30">IFERROR(INDEX(_xlfn.ANCHORARRAY($P$6),ROW()-5,1),"")</f>
        <v/>
      </c>
      <c r="B30" s="344" t="str" cm="1">
        <f t="array" ref="B30">IFERROR(INDEX(_xlfn.ANCHORARRAY($P$6),ROW()-5,2),"")</f>
        <v/>
      </c>
      <c r="C30" s="345" t="str">
        <f>IF($A30="","",IF($J30="DIESEL",SUMIFS(Table1[Quantity],Table1[Customer],$M$3,Table1[Date],$A30,Table1[Bill No.],$B30),IF($J30="PETROL",SUMIFS(Table14[Quantity],Table14[Customer],$M$3,Table14[Date],$A30,Table14[Bill No.],$B30),IF($J30="XtraGreen",SUMIFS(Table146[Quantity],Table146[Company],$M$3,Table146[Date],$A30,Table146[Bill No.],$B30),""))))</f>
        <v/>
      </c>
      <c r="D30" s="346" t="str">
        <f>IF($A30="","",IF($J30="DIESEL",AVERAGEIFS(Table1[RSP],Table1[Customer],$M$3,Table1[Date],$A30,Table1[Bill No.],$B30),IF($J30="PETROL",AVERAGEIFS(Table14[RSP],Table14[Customer],$M$3,Table14[Date],$A30,Table14[Bill No.],$B30),IF($J30="XtraGreen",AVERAGEIFS(Table146[RSP],Table146[Company],$M$3,Table146[Date],$A30,Table146[Bill No.],$B30),IFERROR($E30/$C30,"")))))</f>
        <v/>
      </c>
      <c r="E30" s="347" t="str">
        <f>IF($A30="","",IF($J30="DIESEL",SUMIFS(Table1[Amount],Table1[Customer],$M$3,Table1[Date],$A30,Table1[Bill No.],$B30),IF($J30="PETROL",SUMIFS(Table14[Amount],Table14[Customer],$M$3,Table14[Date],$A30,Table14[Bill No.],$B30),IF($J30="XtraGreen",SUMIFS(Table146[Amount],Table146[Company],$M$3,Table146[Date],$A30,Table146[Bill No.],$B30),SUMIFS('Other Sale'!$D:$D,'Other Sale'!$E:$E,$M$3,'Other Sale'!$C:$C,$J30,'Other Sale'!$A:$A,$A30)))))</f>
        <v/>
      </c>
      <c r="F30" s="347" t="str" cm="1">
        <f t="array" ref="F30">IF($A30="","",IF($J30="Payment",IFERROR(INDEX(_xlfn._xlws.FILTER(MasterPaid[Amount Paid],(MasterPaid[Customer]=$M$3)*(MasterPaid[Date]=$A30)),COUNTIFS($A$6:$A30,$A30,$J$6:$J30,"Payment")),0),0))</f>
        <v/>
      </c>
      <c r="G30" s="331"/>
      <c r="H30" s="427"/>
      <c r="I30" s="330" t="str">
        <f t="shared" si="9"/>
        <v/>
      </c>
      <c r="J30" s="344" t="str" cm="1">
        <f t="array" ref="J30">IFERROR(INDEX(_xlfn.ANCHORARRAY($P$6),ROW()-5,3),"")</f>
        <v/>
      </c>
      <c r="K30" s="349"/>
      <c r="L30" s="348"/>
      <c r="M30" s="277"/>
      <c r="N30" s="277"/>
      <c r="O30" s="277"/>
      <c r="T30" s="439"/>
      <c r="U30" s="350"/>
      <c r="W30" s="316" t="str">
        <f t="shared" si="0"/>
        <v/>
      </c>
      <c r="X30" s="273" t="str">
        <f t="shared" si="1"/>
        <v/>
      </c>
      <c r="Y30" s="273" t="str">
        <f t="shared" si="2"/>
        <v/>
      </c>
      <c r="Z30" s="273" t="str">
        <f t="shared" si="3"/>
        <v/>
      </c>
      <c r="AA30" s="316" t="str">
        <f t="shared" si="4"/>
        <v/>
      </c>
      <c r="AC30" t="str" cm="1">
        <f t="array" ref="AC30">IF(INDEX($T$5:$T$54,ROW()-4)="","",INDEX($T$5:$T$54,ROW()-4))</f>
        <v/>
      </c>
      <c r="AD30" t="str">
        <f t="shared" si="5"/>
        <v/>
      </c>
      <c r="AE30" t="str">
        <f t="shared" si="6"/>
        <v/>
      </c>
      <c r="AF30" t="str">
        <f t="shared" si="7"/>
        <v/>
      </c>
      <c r="AG30">
        <f t="shared" si="8"/>
        <v>0</v>
      </c>
      <c r="AH30" t="str" cm="1">
        <f t="array" ref="AH30">IF($AC30="","",IF($AG30=1,SUMPRODUCT(($AG$5:$AG$54=1)*($AC$5:$AC$54&gt;$AC30))+1,SUM($AG$5:$AG$54)+SUMPRODUCT(($AG$5:$AG$54=0)*($AC$5:$AC$54&lt;&gt;"")*($AC$5:$AC$54&gt;$AC30))+1))</f>
        <v/>
      </c>
    </row>
    <row r="31" spans="1:34" ht="21.75" x14ac:dyDescent="0.25">
      <c r="A31" s="217" t="str" cm="1">
        <f t="array" ref="A31">IFERROR(INDEX(_xlfn.ANCHORARRAY($P$6),ROW()-5,1),"")</f>
        <v/>
      </c>
      <c r="B31" s="344" t="str" cm="1">
        <f t="array" ref="B31">IFERROR(INDEX(_xlfn.ANCHORARRAY($P$6),ROW()-5,2),"")</f>
        <v/>
      </c>
      <c r="C31" s="345" t="str">
        <f>IF($A31="","",IF($J31="DIESEL",SUMIFS(Table1[Quantity],Table1[Customer],$M$3,Table1[Date],$A31,Table1[Bill No.],$B31),IF($J31="PETROL",SUMIFS(Table14[Quantity],Table14[Customer],$M$3,Table14[Date],$A31,Table14[Bill No.],$B31),IF($J31="XtraGreen",SUMIFS(Table146[Quantity],Table146[Company],$M$3,Table146[Date],$A31,Table146[Bill No.],$B31),""))))</f>
        <v/>
      </c>
      <c r="D31" s="346" t="str">
        <f>IF($A31="","",IF($J31="DIESEL",AVERAGEIFS(Table1[RSP],Table1[Customer],$M$3,Table1[Date],$A31,Table1[Bill No.],$B31),IF($J31="PETROL",AVERAGEIFS(Table14[RSP],Table14[Customer],$M$3,Table14[Date],$A31,Table14[Bill No.],$B31),IF($J31="XtraGreen",AVERAGEIFS(Table146[RSP],Table146[Company],$M$3,Table146[Date],$A31,Table146[Bill No.],$B31),IFERROR($E31/$C31,"")))))</f>
        <v/>
      </c>
      <c r="E31" s="347" t="str">
        <f>IF($A31="","",IF($J31="DIESEL",SUMIFS(Table1[Amount],Table1[Customer],$M$3,Table1[Date],$A31,Table1[Bill No.],$B31),IF($J31="PETROL",SUMIFS(Table14[Amount],Table14[Customer],$M$3,Table14[Date],$A31,Table14[Bill No.],$B31),IF($J31="XtraGreen",SUMIFS(Table146[Amount],Table146[Company],$M$3,Table146[Date],$A31,Table146[Bill No.],$B31),SUMIFS('Other Sale'!$D:$D,'Other Sale'!$E:$E,$M$3,'Other Sale'!$C:$C,$J31,'Other Sale'!$A:$A,$A31)))))</f>
        <v/>
      </c>
      <c r="F31" s="347" t="str" cm="1">
        <f t="array" ref="F31">IF($A31="","",IF($J31="Payment",IFERROR(INDEX(_xlfn._xlws.FILTER(MasterPaid[Amount Paid],(MasterPaid[Customer]=$M$3)*(MasterPaid[Date]=$A31)),COUNTIFS($A$6:$A31,$A31,$J$6:$J31,"Payment")),0),0))</f>
        <v/>
      </c>
      <c r="G31" s="331"/>
      <c r="H31" s="427"/>
      <c r="I31" s="330" t="str">
        <f t="shared" si="9"/>
        <v/>
      </c>
      <c r="J31" s="344" t="str" cm="1">
        <f t="array" ref="J31">IFERROR(INDEX(_xlfn.ANCHORARRAY($P$6),ROW()-5,3),"")</f>
        <v/>
      </c>
      <c r="K31" s="349"/>
      <c r="L31" s="348"/>
      <c r="M31" s="277"/>
      <c r="N31" s="277"/>
      <c r="O31" s="277"/>
      <c r="T31" s="439"/>
      <c r="U31" s="350"/>
      <c r="W31" s="316" t="str">
        <f t="shared" si="0"/>
        <v/>
      </c>
      <c r="X31" s="273" t="str">
        <f t="shared" si="1"/>
        <v/>
      </c>
      <c r="Y31" s="273" t="str">
        <f t="shared" si="2"/>
        <v/>
      </c>
      <c r="Z31" s="273" t="str">
        <f t="shared" si="3"/>
        <v/>
      </c>
      <c r="AA31" s="316" t="str">
        <f t="shared" si="4"/>
        <v/>
      </c>
      <c r="AC31" t="str" cm="1">
        <f t="array" ref="AC31">IF(INDEX($T$5:$T$54,ROW()-4)="","",INDEX($T$5:$T$54,ROW()-4))</f>
        <v/>
      </c>
      <c r="AD31" t="str">
        <f t="shared" si="5"/>
        <v/>
      </c>
      <c r="AE31" t="str">
        <f t="shared" si="6"/>
        <v/>
      </c>
      <c r="AF31" t="str">
        <f t="shared" si="7"/>
        <v/>
      </c>
      <c r="AG31">
        <f t="shared" si="8"/>
        <v>0</v>
      </c>
      <c r="AH31" t="str" cm="1">
        <f t="array" ref="AH31">IF($AC31="","",IF($AG31=1,SUMPRODUCT(($AG$5:$AG$54=1)*($AC$5:$AC$54&gt;$AC31))+1,SUM($AG$5:$AG$54)+SUMPRODUCT(($AG$5:$AG$54=0)*($AC$5:$AC$54&lt;&gt;"")*($AC$5:$AC$54&gt;$AC31))+1))</f>
        <v/>
      </c>
    </row>
    <row r="32" spans="1:34" ht="21.75" x14ac:dyDescent="0.25">
      <c r="A32" s="217" t="str" cm="1">
        <f t="array" ref="A32">IFERROR(INDEX(_xlfn.ANCHORARRAY($P$6),ROW()-5,1),"")</f>
        <v/>
      </c>
      <c r="B32" s="344" t="str" cm="1">
        <f t="array" ref="B32">IFERROR(INDEX(_xlfn.ANCHORARRAY($P$6),ROW()-5,2),"")</f>
        <v/>
      </c>
      <c r="C32" s="345" t="str">
        <f>IF($A32="","",IF($J32="DIESEL",SUMIFS(Table1[Quantity],Table1[Customer],$M$3,Table1[Date],$A32,Table1[Bill No.],$B32),IF($J32="PETROL",SUMIFS(Table14[Quantity],Table14[Customer],$M$3,Table14[Date],$A32,Table14[Bill No.],$B32),IF($J32="XtraGreen",SUMIFS(Table146[Quantity],Table146[Company],$M$3,Table146[Date],$A32,Table146[Bill No.],$B32),""))))</f>
        <v/>
      </c>
      <c r="D32" s="346" t="str">
        <f>IF($A32="","",IF($J32="DIESEL",AVERAGEIFS(Table1[RSP],Table1[Customer],$M$3,Table1[Date],$A32,Table1[Bill No.],$B32),IF($J32="PETROL",AVERAGEIFS(Table14[RSP],Table14[Customer],$M$3,Table14[Date],$A32,Table14[Bill No.],$B32),IF($J32="XtraGreen",AVERAGEIFS(Table146[RSP],Table146[Company],$M$3,Table146[Date],$A32,Table146[Bill No.],$B32),IFERROR($E32/$C32,"")))))</f>
        <v/>
      </c>
      <c r="E32" s="347" t="str">
        <f>IF($A32="","",IF($J32="DIESEL",SUMIFS(Table1[Amount],Table1[Customer],$M$3,Table1[Date],$A32,Table1[Bill No.],$B32),IF($J32="PETROL",SUMIFS(Table14[Amount],Table14[Customer],$M$3,Table14[Date],$A32,Table14[Bill No.],$B32),IF($J32="XtraGreen",SUMIFS(Table146[Amount],Table146[Company],$M$3,Table146[Date],$A32,Table146[Bill No.],$B32),SUMIFS('Other Sale'!$D:$D,'Other Sale'!$E:$E,$M$3,'Other Sale'!$C:$C,$J32,'Other Sale'!$A:$A,$A32)))))</f>
        <v/>
      </c>
      <c r="F32" s="347" t="str" cm="1">
        <f t="array" ref="F32">IF($A32="","",IF($J32="Payment",IFERROR(INDEX(_xlfn._xlws.FILTER(MasterPaid[Amount Paid],(MasterPaid[Customer]=$M$3)*(MasterPaid[Date]=$A32)),COUNTIFS($A$6:$A32,$A32,$J$6:$J32,"Payment")),0),0))</f>
        <v/>
      </c>
      <c r="G32" s="331"/>
      <c r="H32" s="427"/>
      <c r="I32" s="330" t="str">
        <f t="shared" si="9"/>
        <v/>
      </c>
      <c r="J32" s="344" t="str" cm="1">
        <f t="array" ref="J32">IFERROR(INDEX(_xlfn.ANCHORARRAY($P$6),ROW()-5,3),"")</f>
        <v/>
      </c>
      <c r="K32" s="349"/>
      <c r="L32" s="348"/>
      <c r="M32" s="277"/>
      <c r="N32" s="277"/>
      <c r="O32" s="277"/>
      <c r="T32" s="439"/>
      <c r="U32" s="350"/>
      <c r="W32" s="316" t="str">
        <f t="shared" si="0"/>
        <v/>
      </c>
      <c r="X32" s="273" t="str">
        <f t="shared" si="1"/>
        <v/>
      </c>
      <c r="Y32" s="273" t="str">
        <f t="shared" si="2"/>
        <v/>
      </c>
      <c r="Z32" s="273" t="str">
        <f t="shared" si="3"/>
        <v/>
      </c>
      <c r="AA32" s="316" t="str">
        <f t="shared" si="4"/>
        <v/>
      </c>
      <c r="AC32" t="str" cm="1">
        <f t="array" ref="AC32">IF(INDEX($T$5:$T$54,ROW()-4)="","",INDEX($T$5:$T$54,ROW()-4))</f>
        <v/>
      </c>
      <c r="AD32" t="str">
        <f t="shared" si="5"/>
        <v/>
      </c>
      <c r="AE32" t="str">
        <f t="shared" si="6"/>
        <v/>
      </c>
      <c r="AF32" t="str">
        <f t="shared" si="7"/>
        <v/>
      </c>
      <c r="AG32">
        <f t="shared" si="8"/>
        <v>0</v>
      </c>
      <c r="AH32" t="str" cm="1">
        <f t="array" ref="AH32">IF($AC32="","",IF($AG32=1,SUMPRODUCT(($AG$5:$AG$54=1)*($AC$5:$AC$54&gt;$AC32))+1,SUM($AG$5:$AG$54)+SUMPRODUCT(($AG$5:$AG$54=0)*($AC$5:$AC$54&lt;&gt;"")*($AC$5:$AC$54&gt;$AC32))+1))</f>
        <v/>
      </c>
    </row>
    <row r="33" spans="1:34" ht="21.75" x14ac:dyDescent="0.25">
      <c r="A33" s="217" t="str" cm="1">
        <f t="array" ref="A33">IFERROR(INDEX(_xlfn.ANCHORARRAY($P$6),ROW()-5,1),"")</f>
        <v/>
      </c>
      <c r="B33" s="344" t="str" cm="1">
        <f t="array" ref="B33">IFERROR(INDEX(_xlfn.ANCHORARRAY($P$6),ROW()-5,2),"")</f>
        <v/>
      </c>
      <c r="C33" s="345" t="str">
        <f>IF($A33="","",IF($J33="DIESEL",SUMIFS(Table1[Quantity],Table1[Customer],$M$3,Table1[Date],$A33,Table1[Bill No.],$B33),IF($J33="PETROL",SUMIFS(Table14[Quantity],Table14[Customer],$M$3,Table14[Date],$A33,Table14[Bill No.],$B33),IF($J33="XtraGreen",SUMIFS(Table146[Quantity],Table146[Company],$M$3,Table146[Date],$A33,Table146[Bill No.],$B33),""))))</f>
        <v/>
      </c>
      <c r="D33" s="346" t="str">
        <f>IF($A33="","",IF($J33="DIESEL",AVERAGEIFS(Table1[RSP],Table1[Customer],$M$3,Table1[Date],$A33,Table1[Bill No.],$B33),IF($J33="PETROL",AVERAGEIFS(Table14[RSP],Table14[Customer],$M$3,Table14[Date],$A33,Table14[Bill No.],$B33),IF($J33="XtraGreen",AVERAGEIFS(Table146[RSP],Table146[Company],$M$3,Table146[Date],$A33,Table146[Bill No.],$B33),IFERROR($E33/$C33,"")))))</f>
        <v/>
      </c>
      <c r="E33" s="347" t="str">
        <f>IF($A33="","",IF($J33="DIESEL",SUMIFS(Table1[Amount],Table1[Customer],$M$3,Table1[Date],$A33,Table1[Bill No.],$B33),IF($J33="PETROL",SUMIFS(Table14[Amount],Table14[Customer],$M$3,Table14[Date],$A33,Table14[Bill No.],$B33),IF($J33="XtraGreen",SUMIFS(Table146[Amount],Table146[Company],$M$3,Table146[Date],$A33,Table146[Bill No.],$B33),SUMIFS('Other Sale'!$D:$D,'Other Sale'!$E:$E,$M$3,'Other Sale'!$C:$C,$J33,'Other Sale'!$A:$A,$A33)))))</f>
        <v/>
      </c>
      <c r="F33" s="347" t="str" cm="1">
        <f t="array" ref="F33">IF($A33="","",IF($J33="Payment",IFERROR(INDEX(_xlfn._xlws.FILTER(MasterPaid[Amount Paid],(MasterPaid[Customer]=$M$3)*(MasterPaid[Date]=$A33)),COUNTIFS($A$6:$A33,$A33,$J$6:$J33,"Payment")),0),0))</f>
        <v/>
      </c>
      <c r="G33" s="331"/>
      <c r="H33" s="427"/>
      <c r="I33" s="330" t="str">
        <f t="shared" si="9"/>
        <v/>
      </c>
      <c r="J33" s="344" t="str" cm="1">
        <f t="array" ref="J33">IFERROR(INDEX(_xlfn.ANCHORARRAY($P$6),ROW()-5,3),"")</f>
        <v/>
      </c>
      <c r="K33" s="349"/>
      <c r="L33" s="348"/>
      <c r="M33" s="277"/>
      <c r="N33" s="277"/>
      <c r="O33" s="277"/>
      <c r="T33" s="439"/>
      <c r="U33" s="350"/>
      <c r="W33" s="316" t="str">
        <f t="shared" si="0"/>
        <v/>
      </c>
      <c r="X33" s="273" t="str">
        <f t="shared" si="1"/>
        <v/>
      </c>
      <c r="Y33" s="273" t="str">
        <f t="shared" si="2"/>
        <v/>
      </c>
      <c r="Z33" s="273" t="str">
        <f t="shared" si="3"/>
        <v/>
      </c>
      <c r="AA33" s="316" t="str">
        <f t="shared" si="4"/>
        <v/>
      </c>
      <c r="AC33" t="str" cm="1">
        <f t="array" ref="AC33">IF(INDEX($T$5:$T$54,ROW()-4)="","",INDEX($T$5:$T$54,ROW()-4))</f>
        <v/>
      </c>
      <c r="AD33" t="str">
        <f t="shared" si="5"/>
        <v/>
      </c>
      <c r="AE33" t="str">
        <f t="shared" si="6"/>
        <v/>
      </c>
      <c r="AF33" t="str">
        <f t="shared" si="7"/>
        <v/>
      </c>
      <c r="AG33">
        <f t="shared" si="8"/>
        <v>0</v>
      </c>
      <c r="AH33" t="str" cm="1">
        <f t="array" ref="AH33">IF($AC33="","",IF($AG33=1,SUMPRODUCT(($AG$5:$AG$54=1)*($AC$5:$AC$54&gt;$AC33))+1,SUM($AG$5:$AG$54)+SUMPRODUCT(($AG$5:$AG$54=0)*($AC$5:$AC$54&lt;&gt;"")*($AC$5:$AC$54&gt;$AC33))+1))</f>
        <v/>
      </c>
    </row>
    <row r="34" spans="1:34" ht="21.75" x14ac:dyDescent="0.25">
      <c r="A34" s="217" t="str" cm="1">
        <f t="array" ref="A34">IFERROR(INDEX(_xlfn.ANCHORARRAY($P$6),ROW()-5,1),"")</f>
        <v/>
      </c>
      <c r="B34" s="344" t="str" cm="1">
        <f t="array" ref="B34">IFERROR(INDEX(_xlfn.ANCHORARRAY($P$6),ROW()-5,2),"")</f>
        <v/>
      </c>
      <c r="C34" s="345" t="str">
        <f>IF($A34="","",IF($J34="DIESEL",SUMIFS(Table1[Quantity],Table1[Customer],$M$3,Table1[Date],$A34,Table1[Bill No.],$B34),IF($J34="PETROL",SUMIFS(Table14[Quantity],Table14[Customer],$M$3,Table14[Date],$A34,Table14[Bill No.],$B34),IF($J34="XtraGreen",SUMIFS(Table146[Quantity],Table146[Company],$M$3,Table146[Date],$A34,Table146[Bill No.],$B34),""))))</f>
        <v/>
      </c>
      <c r="D34" s="346" t="str">
        <f>IF($A34="","",IF($J34="DIESEL",AVERAGEIFS(Table1[RSP],Table1[Customer],$M$3,Table1[Date],$A34,Table1[Bill No.],$B34),IF($J34="PETROL",AVERAGEIFS(Table14[RSP],Table14[Customer],$M$3,Table14[Date],$A34,Table14[Bill No.],$B34),IF($J34="XtraGreen",AVERAGEIFS(Table146[RSP],Table146[Company],$M$3,Table146[Date],$A34,Table146[Bill No.],$B34),IFERROR($E34/$C34,"")))))</f>
        <v/>
      </c>
      <c r="E34" s="347" t="str">
        <f>IF($A34="","",IF($J34="DIESEL",SUMIFS(Table1[Amount],Table1[Customer],$M$3,Table1[Date],$A34,Table1[Bill No.],$B34),IF($J34="PETROL",SUMIFS(Table14[Amount],Table14[Customer],$M$3,Table14[Date],$A34,Table14[Bill No.],$B34),IF($J34="XtraGreen",SUMIFS(Table146[Amount],Table146[Company],$M$3,Table146[Date],$A34,Table146[Bill No.],$B34),SUMIFS('Other Sale'!$D:$D,'Other Sale'!$E:$E,$M$3,'Other Sale'!$C:$C,$J34,'Other Sale'!$A:$A,$A34)))))</f>
        <v/>
      </c>
      <c r="F34" s="347" t="str" cm="1">
        <f t="array" ref="F34">IF($A34="","",IF($J34="Payment",IFERROR(INDEX(_xlfn._xlws.FILTER(MasterPaid[Amount Paid],(MasterPaid[Customer]=$M$3)*(MasterPaid[Date]=$A34)),COUNTIFS($A$6:$A34,$A34,$J$6:$J34,"Payment")),0),0))</f>
        <v/>
      </c>
      <c r="G34" s="331"/>
      <c r="H34" s="427"/>
      <c r="I34" s="330" t="str">
        <f t="shared" si="9"/>
        <v/>
      </c>
      <c r="J34" s="344" t="str" cm="1">
        <f t="array" ref="J34">IFERROR(INDEX(_xlfn.ANCHORARRAY($P$6),ROW()-5,3),"")</f>
        <v/>
      </c>
      <c r="K34" s="349"/>
      <c r="L34" s="348"/>
      <c r="M34" s="277"/>
      <c r="N34" s="277"/>
      <c r="O34" s="277"/>
      <c r="T34" s="439"/>
      <c r="U34" s="350"/>
      <c r="W34" s="316" t="str">
        <f t="shared" si="0"/>
        <v/>
      </c>
      <c r="X34" s="273" t="str">
        <f t="shared" si="1"/>
        <v/>
      </c>
      <c r="Y34" s="273" t="str">
        <f t="shared" si="2"/>
        <v/>
      </c>
      <c r="Z34" s="273" t="str">
        <f t="shared" si="3"/>
        <v/>
      </c>
      <c r="AA34" s="316" t="str">
        <f t="shared" si="4"/>
        <v/>
      </c>
      <c r="AC34" t="str" cm="1">
        <f t="array" ref="AC34">IF(INDEX($T$5:$T$54,ROW()-4)="","",INDEX($T$5:$T$54,ROW()-4))</f>
        <v/>
      </c>
      <c r="AD34" t="str">
        <f t="shared" si="5"/>
        <v/>
      </c>
      <c r="AE34" t="str">
        <f t="shared" si="6"/>
        <v/>
      </c>
      <c r="AF34" t="str">
        <f t="shared" si="7"/>
        <v/>
      </c>
      <c r="AG34">
        <f t="shared" si="8"/>
        <v>0</v>
      </c>
      <c r="AH34" t="str" cm="1">
        <f t="array" ref="AH34">IF($AC34="","",IF($AG34=1,SUMPRODUCT(($AG$5:$AG$54=1)*($AC$5:$AC$54&gt;$AC34))+1,SUM($AG$5:$AG$54)+SUMPRODUCT(($AG$5:$AG$54=0)*($AC$5:$AC$54&lt;&gt;"")*($AC$5:$AC$54&gt;$AC34))+1))</f>
        <v/>
      </c>
    </row>
    <row r="35" spans="1:34" ht="21.75" customHeight="1" x14ac:dyDescent="0.25">
      <c r="A35" s="217" t="str" cm="1">
        <f t="array" ref="A35">IFERROR(INDEX(_xlfn.ANCHORARRAY($P$6),ROW()-5,1),"")</f>
        <v/>
      </c>
      <c r="B35" s="344" t="str" cm="1">
        <f t="array" ref="B35">IFERROR(INDEX(_xlfn.ANCHORARRAY($P$6),ROW()-5,2),"")</f>
        <v/>
      </c>
      <c r="C35" s="345" t="str">
        <f>IF($A35="","",IF($J35="DIESEL",SUMIFS(Table1[Quantity],Table1[Customer],$M$3,Table1[Date],$A35,Table1[Bill No.],$B35),IF($J35="PETROL",SUMIFS(Table14[Quantity],Table14[Customer],$M$3,Table14[Date],$A35,Table14[Bill No.],$B35),IF($J35="XtraGreen",SUMIFS(Table146[Quantity],Table146[Company],$M$3,Table146[Date],$A35,Table146[Bill No.],$B35),""))))</f>
        <v/>
      </c>
      <c r="D35" s="346" t="str">
        <f>IF($A35="","",IF($J35="DIESEL",AVERAGEIFS(Table1[RSP],Table1[Customer],$M$3,Table1[Date],$A35,Table1[Bill No.],$B35),IF($J35="PETROL",AVERAGEIFS(Table14[RSP],Table14[Customer],$M$3,Table14[Date],$A35,Table14[Bill No.],$B35),IF($J35="XtraGreen",AVERAGEIFS(Table146[RSP],Table146[Company],$M$3,Table146[Date],$A35,Table146[Bill No.],$B35),IFERROR($E35/$C35,"")))))</f>
        <v/>
      </c>
      <c r="E35" s="347" t="str">
        <f>IF($A35="","",IF($J35="DIESEL",SUMIFS(Table1[Amount],Table1[Customer],$M$3,Table1[Date],$A35,Table1[Bill No.],$B35),IF($J35="PETROL",SUMIFS(Table14[Amount],Table14[Customer],$M$3,Table14[Date],$A35,Table14[Bill No.],$B35),IF($J35="XtraGreen",SUMIFS(Table146[Amount],Table146[Company],$M$3,Table146[Date],$A35,Table146[Bill No.],$B35),SUMIFS('Other Sale'!$D:$D,'Other Sale'!$E:$E,$M$3,'Other Sale'!$C:$C,$J35,'Other Sale'!$A:$A,$A35)))))</f>
        <v/>
      </c>
      <c r="F35" s="347" t="str" cm="1">
        <f t="array" ref="F35">IF($A35="","",IF($J35="Payment",IFERROR(INDEX(_xlfn._xlws.FILTER(MasterPaid[Amount Paid],(MasterPaid[Customer]=$M$3)*(MasterPaid[Date]=$A35)),COUNTIFS($A$6:$A35,$A35,$J$6:$J35,"Payment")),0),0))</f>
        <v/>
      </c>
      <c r="G35" s="331"/>
      <c r="H35" s="427"/>
      <c r="I35" s="330" t="str">
        <f t="shared" si="9"/>
        <v/>
      </c>
      <c r="J35" s="344" t="str" cm="1">
        <f t="array" ref="J35">IFERROR(INDEX(_xlfn.ANCHORARRAY($P$6),ROW()-5,3),"")</f>
        <v/>
      </c>
      <c r="K35" s="349"/>
      <c r="L35" s="348"/>
      <c r="M35" s="277"/>
      <c r="N35" s="277"/>
      <c r="O35" s="277"/>
      <c r="T35" s="439"/>
      <c r="U35" s="350"/>
      <c r="W35" s="316" t="str">
        <f t="shared" si="0"/>
        <v/>
      </c>
      <c r="X35" s="273" t="str">
        <f t="shared" si="1"/>
        <v/>
      </c>
      <c r="Y35" s="273" t="str">
        <f t="shared" si="2"/>
        <v/>
      </c>
      <c r="Z35" s="273" t="str">
        <f t="shared" si="3"/>
        <v/>
      </c>
      <c r="AA35" s="316" t="str">
        <f t="shared" si="4"/>
        <v/>
      </c>
      <c r="AC35" t="str" cm="1">
        <f t="array" ref="AC35">IF(INDEX($T$5:$T$54,ROW()-4)="","",INDEX($T$5:$T$54,ROW()-4))</f>
        <v/>
      </c>
      <c r="AD35" t="str">
        <f t="shared" si="5"/>
        <v/>
      </c>
      <c r="AE35" t="str">
        <f t="shared" si="6"/>
        <v/>
      </c>
      <c r="AF35" t="str">
        <f t="shared" si="7"/>
        <v/>
      </c>
      <c r="AG35">
        <f t="shared" si="8"/>
        <v>0</v>
      </c>
      <c r="AH35" t="str" cm="1">
        <f t="array" ref="AH35">IF($AC35="","",IF($AG35=1,SUMPRODUCT(($AG$5:$AG$54=1)*($AC$5:$AC$54&gt;$AC35))+1,SUM($AG$5:$AG$54)+SUMPRODUCT(($AG$5:$AG$54=0)*($AC$5:$AC$54&lt;&gt;"")*($AC$5:$AC$54&gt;$AC35))+1))</f>
        <v/>
      </c>
    </row>
    <row r="36" spans="1:34" ht="23" x14ac:dyDescent="0.25">
      <c r="A36" s="217" t="str" cm="1">
        <f t="array" ref="A36">IFERROR(INDEX(_xlfn.ANCHORARRAY($P$6),ROW()-5,1),"")</f>
        <v/>
      </c>
      <c r="B36" s="344" t="str" cm="1">
        <f t="array" ref="B36">IFERROR(INDEX(_xlfn.ANCHORARRAY($P$6),ROW()-5,2),"")</f>
        <v/>
      </c>
      <c r="C36" s="345" t="str">
        <f>IF($A36="","",IF($J36="DIESEL",SUMIFS(Table1[Quantity],Table1[Customer],$M$3,Table1[Date],$A36,Table1[Bill No.],$B36),IF($J36="PETROL",SUMIFS(Table14[Quantity],Table14[Customer],$M$3,Table14[Date],$A36,Table14[Bill No.],$B36),IF($J36="XtraGreen",SUMIFS(Table146[Quantity],Table146[Company],$M$3,Table146[Date],$A36,Table146[Bill No.],$B36),""))))</f>
        <v/>
      </c>
      <c r="D36" s="346" t="str">
        <f>IF($A36="","",IF($J36="DIESEL",AVERAGEIFS(Table1[RSP],Table1[Customer],$M$3,Table1[Date],$A36,Table1[Bill No.],$B36),IF($J36="PETROL",AVERAGEIFS(Table14[RSP],Table14[Customer],$M$3,Table14[Date],$A36,Table14[Bill No.],$B36),IF($J36="XtraGreen",AVERAGEIFS(Table146[RSP],Table146[Company],$M$3,Table146[Date],$A36,Table146[Bill No.],$B36),IFERROR($E36/$C36,"")))))</f>
        <v/>
      </c>
      <c r="E36" s="347" t="str">
        <f>IF($A36="","",IF($J36="DIESEL",SUMIFS(Table1[Amount],Table1[Customer],$M$3,Table1[Date],$A36,Table1[Bill No.],$B36),IF($J36="PETROL",SUMIFS(Table14[Amount],Table14[Customer],$M$3,Table14[Date],$A36,Table14[Bill No.],$B36),IF($J36="XtraGreen",SUMIFS(Table146[Amount],Table146[Company],$M$3,Table146[Date],$A36,Table146[Bill No.],$B36),SUMIFS('Other Sale'!$D:$D,'Other Sale'!$E:$E,$M$3,'Other Sale'!$C:$C,$J36,'Other Sale'!$A:$A,$A36)))))</f>
        <v/>
      </c>
      <c r="F36" s="347" t="str" cm="1">
        <f t="array" ref="F36">IF($A36="","",IF($J36="Payment",IFERROR(INDEX(_xlfn._xlws.FILTER(MasterPaid[Amount Paid],(MasterPaid[Customer]=$M$3)*(MasterPaid[Date]=$A36)),COUNTIFS($A$6:$A36,$A36,$J$6:$J36,"Payment")),0),0))</f>
        <v/>
      </c>
      <c r="G36" s="331"/>
      <c r="H36" s="427"/>
      <c r="I36" s="330" t="str">
        <f t="shared" si="9"/>
        <v/>
      </c>
      <c r="J36" s="344" t="str" cm="1">
        <f t="array" ref="J36">IFERROR(INDEX(_xlfn.ANCHORARRAY($P$6),ROW()-5,3),"")</f>
        <v/>
      </c>
      <c r="K36" s="349"/>
      <c r="L36" s="348"/>
      <c r="M36" s="277"/>
      <c r="N36" s="277"/>
      <c r="O36" s="277"/>
      <c r="T36" s="439"/>
      <c r="U36" s="350"/>
      <c r="W36" s="316" t="str">
        <f t="shared" si="0"/>
        <v/>
      </c>
      <c r="X36" s="273" t="str">
        <f t="shared" si="1"/>
        <v/>
      </c>
      <c r="Y36" s="273" t="str">
        <f t="shared" si="2"/>
        <v/>
      </c>
      <c r="Z36" s="273" t="str">
        <f t="shared" si="3"/>
        <v/>
      </c>
      <c r="AA36" s="316" t="str">
        <f t="shared" si="4"/>
        <v/>
      </c>
      <c r="AC36" t="str" cm="1">
        <f t="array" ref="AC36">IF(INDEX($T$5:$T$54,ROW()-4)="","",INDEX($T$5:$T$54,ROW()-4))</f>
        <v/>
      </c>
      <c r="AD36" t="str">
        <f t="shared" si="5"/>
        <v/>
      </c>
      <c r="AE36" t="str">
        <f t="shared" si="6"/>
        <v/>
      </c>
      <c r="AF36" t="str">
        <f t="shared" si="7"/>
        <v/>
      </c>
      <c r="AG36">
        <f t="shared" si="8"/>
        <v>0</v>
      </c>
      <c r="AH36" t="str" cm="1">
        <f t="array" ref="AH36">IF($AC36="","",IF($AG36=1,SUMPRODUCT(($AG$5:$AG$54=1)*($AC$5:$AC$54&gt;$AC36))+1,SUM($AG$5:$AG$54)+SUMPRODUCT(($AG$5:$AG$54=0)*($AC$5:$AC$54&lt;&gt;"")*($AC$5:$AC$54&gt;$AC36))+1))</f>
        <v/>
      </c>
    </row>
    <row r="37" spans="1:34" ht="23" x14ac:dyDescent="0.25">
      <c r="A37" s="217" t="str" cm="1">
        <f t="array" ref="A37">IFERROR(INDEX(_xlfn.ANCHORARRAY($P$6),ROW()-5,1),"")</f>
        <v/>
      </c>
      <c r="B37" s="344" t="str" cm="1">
        <f t="array" ref="B37">IFERROR(INDEX(_xlfn.ANCHORARRAY($P$6),ROW()-5,2),"")</f>
        <v/>
      </c>
      <c r="C37" s="345" t="str">
        <f>IF($A37="","",IF($J37="DIESEL",SUMIFS(Table1[Quantity],Table1[Customer],$M$3,Table1[Date],$A37,Table1[Bill No.],$B37),IF($J37="PETROL",SUMIFS(Table14[Quantity],Table14[Customer],$M$3,Table14[Date],$A37,Table14[Bill No.],$B37),IF($J37="XtraGreen",SUMIFS(Table146[Quantity],Table146[Company],$M$3,Table146[Date],$A37,Table146[Bill No.],$B37),""))))</f>
        <v/>
      </c>
      <c r="D37" s="346" t="str">
        <f>IF($A37="","",IF($J37="DIESEL",AVERAGEIFS(Table1[RSP],Table1[Customer],$M$3,Table1[Date],$A37,Table1[Bill No.],$B37),IF($J37="PETROL",AVERAGEIFS(Table14[RSP],Table14[Customer],$M$3,Table14[Date],$A37,Table14[Bill No.],$B37),IF($J37="XtraGreen",AVERAGEIFS(Table146[RSP],Table146[Company],$M$3,Table146[Date],$A37,Table146[Bill No.],$B37),IFERROR($E37/$C37,"")))))</f>
        <v/>
      </c>
      <c r="E37" s="347" t="str">
        <f>IF($A37="","",IF($J37="DIESEL",SUMIFS(Table1[Amount],Table1[Customer],$M$3,Table1[Date],$A37,Table1[Bill No.],$B37),IF($J37="PETROL",SUMIFS(Table14[Amount],Table14[Customer],$M$3,Table14[Date],$A37,Table14[Bill No.],$B37),IF($J37="XtraGreen",SUMIFS(Table146[Amount],Table146[Company],$M$3,Table146[Date],$A37,Table146[Bill No.],$B37),SUMIFS('Other Sale'!$D:$D,'Other Sale'!$E:$E,$M$3,'Other Sale'!$C:$C,$J37,'Other Sale'!$A:$A,$A37)))))</f>
        <v/>
      </c>
      <c r="F37" s="347" t="str" cm="1">
        <f t="array" ref="F37">IF($A37="","",IF($J37="Payment",IFERROR(INDEX(_xlfn._xlws.FILTER(MasterPaid[Amount Paid],(MasterPaid[Customer]=$M$3)*(MasterPaid[Date]=$A37)),COUNTIFS($A$6:$A37,$A37,$J$6:$J37,"Payment")),0),0))</f>
        <v/>
      </c>
      <c r="G37" s="331"/>
      <c r="H37" s="427"/>
      <c r="I37" s="330" t="str">
        <f t="shared" si="9"/>
        <v/>
      </c>
      <c r="J37" s="344" t="str" cm="1">
        <f t="array" ref="J37">IFERROR(INDEX(_xlfn.ANCHORARRAY($P$6),ROW()-5,3),"")</f>
        <v/>
      </c>
      <c r="K37" s="349"/>
      <c r="L37" s="348"/>
      <c r="M37" s="277"/>
      <c r="N37" s="277"/>
      <c r="O37" s="277"/>
      <c r="T37" s="439"/>
      <c r="U37" s="350"/>
      <c r="W37" s="316" t="str">
        <f t="shared" si="0"/>
        <v/>
      </c>
      <c r="X37" s="273" t="str">
        <f t="shared" si="1"/>
        <v/>
      </c>
      <c r="Y37" s="273" t="str">
        <f t="shared" si="2"/>
        <v/>
      </c>
      <c r="Z37" s="273" t="str">
        <f t="shared" si="3"/>
        <v/>
      </c>
      <c r="AA37" s="316" t="str">
        <f t="shared" si="4"/>
        <v/>
      </c>
      <c r="AC37" t="str" cm="1">
        <f t="array" ref="AC37">IF(INDEX($T$5:$T$54,ROW()-4)="","",INDEX($T$5:$T$54,ROW()-4))</f>
        <v/>
      </c>
      <c r="AD37" t="str">
        <f t="shared" si="5"/>
        <v/>
      </c>
      <c r="AE37" t="str">
        <f t="shared" si="6"/>
        <v/>
      </c>
      <c r="AF37" t="str">
        <f t="shared" si="7"/>
        <v/>
      </c>
      <c r="AG37">
        <f t="shared" si="8"/>
        <v>0</v>
      </c>
      <c r="AH37" t="str" cm="1">
        <f t="array" ref="AH37">IF($AC37="","",IF($AG37=1,SUMPRODUCT(($AG$5:$AG$54=1)*($AC$5:$AC$54&gt;$AC37))+1,SUM($AG$5:$AG$54)+SUMPRODUCT(($AG$5:$AG$54=0)*($AC$5:$AC$54&lt;&gt;"")*($AC$5:$AC$54&gt;$AC37))+1))</f>
        <v/>
      </c>
    </row>
    <row r="38" spans="1:34" ht="21.75" customHeight="1" x14ac:dyDescent="0.25">
      <c r="A38" s="217" t="str" cm="1">
        <f t="array" ref="A38">IFERROR(INDEX(_xlfn.ANCHORARRAY($P$6),ROW()-5,1),"")</f>
        <v/>
      </c>
      <c r="B38" s="344" t="str" cm="1">
        <f t="array" ref="B38">IFERROR(INDEX(_xlfn.ANCHORARRAY($P$6),ROW()-5,2),"")</f>
        <v/>
      </c>
      <c r="C38" s="345" t="str">
        <f>IF($A38="","",IF($J38="DIESEL",SUMIFS(Table1[Quantity],Table1[Customer],$M$3,Table1[Date],$A38,Table1[Bill No.],$B38),IF($J38="PETROL",SUMIFS(Table14[Quantity],Table14[Customer],$M$3,Table14[Date],$A38,Table14[Bill No.],$B38),IF($J38="XtraGreen",SUMIFS(Table146[Quantity],Table146[Company],$M$3,Table146[Date],$A38,Table146[Bill No.],$B38),""))))</f>
        <v/>
      </c>
      <c r="D38" s="346" t="str">
        <f>IF($A38="","",IF($J38="DIESEL",AVERAGEIFS(Table1[RSP],Table1[Customer],$M$3,Table1[Date],$A38,Table1[Bill No.],$B38),IF($J38="PETROL",AVERAGEIFS(Table14[RSP],Table14[Customer],$M$3,Table14[Date],$A38,Table14[Bill No.],$B38),IF($J38="XtraGreen",AVERAGEIFS(Table146[RSP],Table146[Company],$M$3,Table146[Date],$A38,Table146[Bill No.],$B38),IFERROR($E38/$C38,"")))))</f>
        <v/>
      </c>
      <c r="E38" s="347" t="str">
        <f>IF($A38="","",IF($J38="DIESEL",SUMIFS(Table1[Amount],Table1[Customer],$M$3,Table1[Date],$A38,Table1[Bill No.],$B38),IF($J38="PETROL",SUMIFS(Table14[Amount],Table14[Customer],$M$3,Table14[Date],$A38,Table14[Bill No.],$B38),IF($J38="XtraGreen",SUMIFS(Table146[Amount],Table146[Company],$M$3,Table146[Date],$A38,Table146[Bill No.],$B38),SUMIFS('Other Sale'!$D:$D,'Other Sale'!$E:$E,$M$3,'Other Sale'!$C:$C,$J38,'Other Sale'!$A:$A,$A38)))))</f>
        <v/>
      </c>
      <c r="F38" s="347" t="str" cm="1">
        <f t="array" ref="F38">IF($A38="","",IF($J38="Payment",IFERROR(INDEX(_xlfn._xlws.FILTER(MasterPaid[Amount Paid],(MasterPaid[Customer]=$M$3)*(MasterPaid[Date]=$A38)),COUNTIFS($A$6:$A38,$A38,$J$6:$J38,"Payment")),0),0))</f>
        <v/>
      </c>
      <c r="G38" s="331"/>
      <c r="H38" s="427"/>
      <c r="I38" s="330" t="str">
        <f t="shared" si="9"/>
        <v/>
      </c>
      <c r="J38" s="344" t="str" cm="1">
        <f t="array" ref="J38">IFERROR(INDEX(_xlfn.ANCHORARRAY($P$6),ROW()-5,3),"")</f>
        <v/>
      </c>
      <c r="K38" s="349"/>
      <c r="L38" s="348"/>
      <c r="M38" s="277"/>
      <c r="N38" s="277"/>
      <c r="O38" s="277"/>
      <c r="T38" s="439"/>
      <c r="U38" s="350"/>
      <c r="W38" s="316" t="str">
        <f t="shared" si="0"/>
        <v/>
      </c>
      <c r="X38" s="273" t="str">
        <f t="shared" si="1"/>
        <v/>
      </c>
      <c r="Y38" s="273" t="str">
        <f t="shared" si="2"/>
        <v/>
      </c>
      <c r="Z38" s="273" t="str">
        <f t="shared" si="3"/>
        <v/>
      </c>
      <c r="AA38" s="316" t="str">
        <f t="shared" si="4"/>
        <v/>
      </c>
      <c r="AC38" t="str" cm="1">
        <f t="array" ref="AC38">IF(INDEX($T$5:$T$54,ROW()-4)="","",INDEX($T$5:$T$54,ROW()-4))</f>
        <v/>
      </c>
      <c r="AD38" t="str">
        <f t="shared" si="5"/>
        <v/>
      </c>
      <c r="AE38" t="str">
        <f t="shared" si="6"/>
        <v/>
      </c>
      <c r="AF38" t="str">
        <f t="shared" si="7"/>
        <v/>
      </c>
      <c r="AG38">
        <f t="shared" si="8"/>
        <v>0</v>
      </c>
      <c r="AH38" t="str" cm="1">
        <f t="array" ref="AH38">IF($AC38="","",IF($AG38=1,SUMPRODUCT(($AG$5:$AG$54=1)*($AC$5:$AC$54&gt;$AC38))+1,SUM($AG$5:$AG$54)+SUMPRODUCT(($AG$5:$AG$54=0)*($AC$5:$AC$54&lt;&gt;"")*($AC$5:$AC$54&gt;$AC38))+1))</f>
        <v/>
      </c>
    </row>
    <row r="39" spans="1:34" ht="23" x14ac:dyDescent="0.25">
      <c r="A39" s="217" t="str" cm="1">
        <f t="array" ref="A39">IFERROR(INDEX(_xlfn.ANCHORARRAY($P$6),ROW()-5,1),"")</f>
        <v/>
      </c>
      <c r="B39" s="344" t="str" cm="1">
        <f t="array" ref="B39">IFERROR(INDEX(_xlfn.ANCHORARRAY($P$6),ROW()-5,2),"")</f>
        <v/>
      </c>
      <c r="C39" s="345" t="str">
        <f>IF($A39="","",IF($J39="DIESEL",SUMIFS(Table1[Quantity],Table1[Customer],$M$3,Table1[Date],$A39,Table1[Bill No.],$B39),IF($J39="PETROL",SUMIFS(Table14[Quantity],Table14[Customer],$M$3,Table14[Date],$A39,Table14[Bill No.],$B39),IF($J39="XtraGreen",SUMIFS(Table146[Quantity],Table146[Company],$M$3,Table146[Date],$A39,Table146[Bill No.],$B39),""))))</f>
        <v/>
      </c>
      <c r="D39" s="346" t="str">
        <f>IF($A39="","",IF($J39="DIESEL",AVERAGEIFS(Table1[RSP],Table1[Customer],$M$3,Table1[Date],$A39,Table1[Bill No.],$B39),IF($J39="PETROL",AVERAGEIFS(Table14[RSP],Table14[Customer],$M$3,Table14[Date],$A39,Table14[Bill No.],$B39),IF($J39="XtraGreen",AVERAGEIFS(Table146[RSP],Table146[Company],$M$3,Table146[Date],$A39,Table146[Bill No.],$B39),IFERROR($E39/$C39,"")))))</f>
        <v/>
      </c>
      <c r="E39" s="347" t="str">
        <f>IF($A39="","",IF($J39="DIESEL",SUMIFS(Table1[Amount],Table1[Customer],$M$3,Table1[Date],$A39,Table1[Bill No.],$B39),IF($J39="PETROL",SUMIFS(Table14[Amount],Table14[Customer],$M$3,Table14[Date],$A39,Table14[Bill No.],$B39),IF($J39="XtraGreen",SUMIFS(Table146[Amount],Table146[Company],$M$3,Table146[Date],$A39,Table146[Bill No.],$B39),SUMIFS('Other Sale'!$D:$D,'Other Sale'!$E:$E,$M$3,'Other Sale'!$C:$C,$J39,'Other Sale'!$A:$A,$A39)))))</f>
        <v/>
      </c>
      <c r="F39" s="347" t="str" cm="1">
        <f t="array" ref="F39">IF($A39="","",IF($J39="Payment",IFERROR(INDEX(_xlfn._xlws.FILTER(MasterPaid[Amount Paid],(MasterPaid[Customer]=$M$3)*(MasterPaid[Date]=$A39)),COUNTIFS($A$6:$A39,$A39,$J$6:$J39,"Payment")),0),0))</f>
        <v/>
      </c>
      <c r="G39" s="331"/>
      <c r="H39" s="427"/>
      <c r="I39" s="330" t="str">
        <f t="shared" si="9"/>
        <v/>
      </c>
      <c r="J39" s="344" t="str" cm="1">
        <f t="array" ref="J39">IFERROR(INDEX(_xlfn.ANCHORARRAY($P$6),ROW()-5,3),"")</f>
        <v/>
      </c>
      <c r="K39" s="349"/>
      <c r="L39" s="348"/>
      <c r="M39" s="277"/>
      <c r="N39" s="277"/>
      <c r="O39" s="277"/>
      <c r="T39" s="439"/>
      <c r="U39" s="350"/>
      <c r="W39" s="316" t="str">
        <f t="shared" si="0"/>
        <v/>
      </c>
      <c r="X39" s="273" t="str">
        <f t="shared" si="1"/>
        <v/>
      </c>
      <c r="Y39" s="273" t="str">
        <f t="shared" si="2"/>
        <v/>
      </c>
      <c r="Z39" s="273" t="str">
        <f t="shared" si="3"/>
        <v/>
      </c>
      <c r="AA39" s="316" t="str">
        <f t="shared" si="4"/>
        <v/>
      </c>
      <c r="AC39" t="str" cm="1">
        <f t="array" ref="AC39">IF(INDEX($T$5:$T$54,ROW()-4)="","",INDEX($T$5:$T$54,ROW()-4))</f>
        <v/>
      </c>
      <c r="AD39" t="str">
        <f t="shared" si="5"/>
        <v/>
      </c>
      <c r="AE39" t="str">
        <f t="shared" si="6"/>
        <v/>
      </c>
      <c r="AF39" t="str">
        <f t="shared" si="7"/>
        <v/>
      </c>
      <c r="AG39">
        <f t="shared" si="8"/>
        <v>0</v>
      </c>
      <c r="AH39" t="str" cm="1">
        <f t="array" ref="AH39">IF($AC39="","",IF($AG39=1,SUMPRODUCT(($AG$5:$AG$54=1)*($AC$5:$AC$54&gt;$AC39))+1,SUM($AG$5:$AG$54)+SUMPRODUCT(($AG$5:$AG$54=0)*($AC$5:$AC$54&lt;&gt;"")*($AC$5:$AC$54&gt;$AC39))+1))</f>
        <v/>
      </c>
    </row>
    <row r="40" spans="1:34" ht="23" x14ac:dyDescent="0.25">
      <c r="A40" s="217" t="str" cm="1">
        <f t="array" ref="A40">IFERROR(INDEX(_xlfn.ANCHORARRAY($P$6),ROW()-5,1),"")</f>
        <v/>
      </c>
      <c r="B40" s="344" t="str" cm="1">
        <f t="array" ref="B40">IFERROR(INDEX(_xlfn.ANCHORARRAY($P$6),ROW()-5,2),"")</f>
        <v/>
      </c>
      <c r="C40" s="345" t="str">
        <f>IF($A40="","",IF($J40="DIESEL",SUMIFS(Table1[Quantity],Table1[Customer],$M$3,Table1[Date],$A40,Table1[Bill No.],$B40),IF($J40="PETROL",SUMIFS(Table14[Quantity],Table14[Customer],$M$3,Table14[Date],$A40,Table14[Bill No.],$B40),IF($J40="XtraGreen",SUMIFS(Table146[Quantity],Table146[Company],$M$3,Table146[Date],$A40,Table146[Bill No.],$B40),""))))</f>
        <v/>
      </c>
      <c r="D40" s="346" t="str">
        <f>IF($A40="","",IF($J40="DIESEL",AVERAGEIFS(Table1[RSP],Table1[Customer],$M$3,Table1[Date],$A40,Table1[Bill No.],$B40),IF($J40="PETROL",AVERAGEIFS(Table14[RSP],Table14[Customer],$M$3,Table14[Date],$A40,Table14[Bill No.],$B40),IF($J40="XtraGreen",AVERAGEIFS(Table146[RSP],Table146[Company],$M$3,Table146[Date],$A40,Table146[Bill No.],$B40),IFERROR($E40/$C40,"")))))</f>
        <v/>
      </c>
      <c r="E40" s="347" t="str">
        <f>IF($A40="","",IF($J40="DIESEL",SUMIFS(Table1[Amount],Table1[Customer],$M$3,Table1[Date],$A40,Table1[Bill No.],$B40),IF($J40="PETROL",SUMIFS(Table14[Amount],Table14[Customer],$M$3,Table14[Date],$A40,Table14[Bill No.],$B40),IF($J40="XtraGreen",SUMIFS(Table146[Amount],Table146[Company],$M$3,Table146[Date],$A40,Table146[Bill No.],$B40),SUMIFS('Other Sale'!$D:$D,'Other Sale'!$E:$E,$M$3,'Other Sale'!$C:$C,$J40,'Other Sale'!$A:$A,$A40)))))</f>
        <v/>
      </c>
      <c r="F40" s="347" t="str" cm="1">
        <f t="array" ref="F40">IF($A40="","",IF($J40="Payment",IFERROR(INDEX(_xlfn._xlws.FILTER(MasterPaid[Amount Paid],(MasterPaid[Customer]=$M$3)*(MasterPaid[Date]=$A40)),COUNTIFS($A$6:$A40,$A40,$J$6:$J40,"Payment")),0),0))</f>
        <v/>
      </c>
      <c r="G40" s="331"/>
      <c r="H40" s="427"/>
      <c r="I40" s="330" t="str">
        <f t="shared" si="9"/>
        <v/>
      </c>
      <c r="J40" s="344" t="str" cm="1">
        <f t="array" ref="J40">IFERROR(INDEX(_xlfn.ANCHORARRAY($P$6),ROW()-5,3),"")</f>
        <v/>
      </c>
      <c r="K40" s="349"/>
      <c r="L40" s="348"/>
      <c r="M40" s="277"/>
      <c r="N40" s="277"/>
      <c r="O40" s="277"/>
      <c r="T40" s="439"/>
      <c r="U40" s="350"/>
      <c r="W40" s="316" t="str">
        <f t="shared" si="0"/>
        <v/>
      </c>
      <c r="X40" s="273" t="str">
        <f t="shared" si="1"/>
        <v/>
      </c>
      <c r="Y40" s="273" t="str">
        <f t="shared" si="2"/>
        <v/>
      </c>
      <c r="Z40" s="273" t="str">
        <f t="shared" si="3"/>
        <v/>
      </c>
      <c r="AA40" s="316" t="str">
        <f t="shared" si="4"/>
        <v/>
      </c>
      <c r="AC40" t="str" cm="1">
        <f t="array" ref="AC40">IF(INDEX($T$5:$T$54,ROW()-4)="","",INDEX($T$5:$T$54,ROW()-4))</f>
        <v/>
      </c>
      <c r="AD40" t="str">
        <f t="shared" si="5"/>
        <v/>
      </c>
      <c r="AE40" t="str">
        <f t="shared" si="6"/>
        <v/>
      </c>
      <c r="AF40" t="str">
        <f t="shared" si="7"/>
        <v/>
      </c>
      <c r="AG40">
        <f t="shared" si="8"/>
        <v>0</v>
      </c>
      <c r="AH40" t="str" cm="1">
        <f t="array" ref="AH40">IF($AC40="","",IF($AG40=1,SUMPRODUCT(($AG$5:$AG$54=1)*($AC$5:$AC$54&gt;$AC40))+1,SUM($AG$5:$AG$54)+SUMPRODUCT(($AG$5:$AG$54=0)*($AC$5:$AC$54&lt;&gt;"")*($AC$5:$AC$54&gt;$AC40))+1))</f>
        <v/>
      </c>
    </row>
    <row r="41" spans="1:34" ht="23" x14ac:dyDescent="0.25">
      <c r="A41" s="217" t="str" cm="1">
        <f t="array" ref="A41">IFERROR(INDEX(_xlfn.ANCHORARRAY($P$6),ROW()-5,1),"")</f>
        <v/>
      </c>
      <c r="B41" s="344" t="str" cm="1">
        <f t="array" ref="B41">IFERROR(INDEX(_xlfn.ANCHORARRAY($P$6),ROW()-5,2),"")</f>
        <v/>
      </c>
      <c r="C41" s="345" t="str">
        <f>IF($A41="","",IF($J41="DIESEL",SUMIFS(Table1[Quantity],Table1[Customer],$M$3,Table1[Date],$A41,Table1[Bill No.],$B41),IF($J41="PETROL",SUMIFS(Table14[Quantity],Table14[Customer],$M$3,Table14[Date],$A41,Table14[Bill No.],$B41),IF($J41="XtraGreen",SUMIFS(Table146[Quantity],Table146[Company],$M$3,Table146[Date],$A41,Table146[Bill No.],$B41),""))))</f>
        <v/>
      </c>
      <c r="D41" s="346" t="str">
        <f>IF($A41="","",IF($J41="DIESEL",AVERAGEIFS(Table1[RSP],Table1[Customer],$M$3,Table1[Date],$A41,Table1[Bill No.],$B41),IF($J41="PETROL",AVERAGEIFS(Table14[RSP],Table14[Customer],$M$3,Table14[Date],$A41,Table14[Bill No.],$B41),IF($J41="XtraGreen",AVERAGEIFS(Table146[RSP],Table146[Company],$M$3,Table146[Date],$A41,Table146[Bill No.],$B41),IFERROR($E41/$C41,"")))))</f>
        <v/>
      </c>
      <c r="E41" s="347" t="str">
        <f>IF($A41="","",IF($J41="DIESEL",SUMIFS(Table1[Amount],Table1[Customer],$M$3,Table1[Date],$A41,Table1[Bill No.],$B41),IF($J41="PETROL",SUMIFS(Table14[Amount],Table14[Customer],$M$3,Table14[Date],$A41,Table14[Bill No.],$B41),IF($J41="XtraGreen",SUMIFS(Table146[Amount],Table146[Company],$M$3,Table146[Date],$A41,Table146[Bill No.],$B41),SUMIFS('Other Sale'!$D:$D,'Other Sale'!$E:$E,$M$3,'Other Sale'!$C:$C,$J41,'Other Sale'!$A:$A,$A41)))))</f>
        <v/>
      </c>
      <c r="F41" s="347" t="str" cm="1">
        <f t="array" ref="F41">IF($A41="","",IF($J41="Payment",IFERROR(INDEX(_xlfn._xlws.FILTER(MasterPaid[Amount Paid],(MasterPaid[Customer]=$M$3)*(MasterPaid[Date]=$A41)),COUNTIFS($A$6:$A41,$A41,$J$6:$J41,"Payment")),0),0))</f>
        <v/>
      </c>
      <c r="G41" s="331"/>
      <c r="H41" s="427"/>
      <c r="I41" s="330" t="str">
        <f t="shared" si="9"/>
        <v/>
      </c>
      <c r="J41" s="344" t="str" cm="1">
        <f t="array" ref="J41">IFERROR(INDEX(_xlfn.ANCHORARRAY($P$6),ROW()-5,3),"")</f>
        <v/>
      </c>
      <c r="K41" s="349"/>
      <c r="L41" s="348"/>
      <c r="M41" s="277"/>
      <c r="N41" s="277"/>
      <c r="O41" s="277"/>
      <c r="T41" s="439"/>
      <c r="U41" s="350"/>
      <c r="W41" s="316" t="str">
        <f t="shared" si="0"/>
        <v/>
      </c>
      <c r="X41" s="273" t="str">
        <f t="shared" si="1"/>
        <v/>
      </c>
      <c r="Y41" s="273" t="str">
        <f t="shared" si="2"/>
        <v/>
      </c>
      <c r="Z41" s="273" t="str">
        <f t="shared" si="3"/>
        <v/>
      </c>
      <c r="AA41" s="316" t="str">
        <f t="shared" si="4"/>
        <v/>
      </c>
      <c r="AC41" t="str" cm="1">
        <f t="array" ref="AC41">IF(INDEX($T$5:$T$54,ROW()-4)="","",INDEX($T$5:$T$54,ROW()-4))</f>
        <v/>
      </c>
      <c r="AD41" t="str">
        <f t="shared" si="5"/>
        <v/>
      </c>
      <c r="AE41" t="str">
        <f t="shared" si="6"/>
        <v/>
      </c>
      <c r="AF41" t="str">
        <f t="shared" si="7"/>
        <v/>
      </c>
      <c r="AG41">
        <f t="shared" si="8"/>
        <v>0</v>
      </c>
      <c r="AH41" t="str" cm="1">
        <f t="array" ref="AH41">IF($AC41="","",IF($AG41=1,SUMPRODUCT(($AG$5:$AG$54=1)*($AC$5:$AC$54&gt;$AC41))+1,SUM($AG$5:$AG$54)+SUMPRODUCT(($AG$5:$AG$54=0)*($AC$5:$AC$54&lt;&gt;"")*($AC$5:$AC$54&gt;$AC41))+1))</f>
        <v/>
      </c>
    </row>
    <row r="42" spans="1:34" ht="23" x14ac:dyDescent="0.25">
      <c r="A42" s="217" t="str" cm="1">
        <f t="array" ref="A42">IFERROR(INDEX(_xlfn.ANCHORARRAY($P$6),ROW()-5,1),"")</f>
        <v/>
      </c>
      <c r="B42" s="344" t="str" cm="1">
        <f t="array" ref="B42">IFERROR(INDEX(_xlfn.ANCHORARRAY($P$6),ROW()-5,2),"")</f>
        <v/>
      </c>
      <c r="C42" s="345" t="str">
        <f>IF($A42="","",IF($J42="DIESEL",SUMIFS(Table1[Quantity],Table1[Customer],$M$3,Table1[Date],$A42,Table1[Bill No.],$B42),IF($J42="PETROL",SUMIFS(Table14[Quantity],Table14[Customer],$M$3,Table14[Date],$A42,Table14[Bill No.],$B42),IF($J42="XtraGreen",SUMIFS(Table146[Quantity],Table146[Company],$M$3,Table146[Date],$A42,Table146[Bill No.],$B42),""))))</f>
        <v/>
      </c>
      <c r="D42" s="346" t="str">
        <f>IF($A42="","",IF($J42="DIESEL",AVERAGEIFS(Table1[RSP],Table1[Customer],$M$3,Table1[Date],$A42,Table1[Bill No.],$B42),IF($J42="PETROL",AVERAGEIFS(Table14[RSP],Table14[Customer],$M$3,Table14[Date],$A42,Table14[Bill No.],$B42),IF($J42="XtraGreen",AVERAGEIFS(Table146[RSP],Table146[Company],$M$3,Table146[Date],$A42,Table146[Bill No.],$B42),IFERROR($E42/$C42,"")))))</f>
        <v/>
      </c>
      <c r="E42" s="347" t="str">
        <f>IF($A42="","",IF($J42="DIESEL",SUMIFS(Table1[Amount],Table1[Customer],$M$3,Table1[Date],$A42,Table1[Bill No.],$B42),IF($J42="PETROL",SUMIFS(Table14[Amount],Table14[Customer],$M$3,Table14[Date],$A42,Table14[Bill No.],$B42),IF($J42="XtraGreen",SUMIFS(Table146[Amount],Table146[Company],$M$3,Table146[Date],$A42,Table146[Bill No.],$B42),SUMIFS('Other Sale'!$D:$D,'Other Sale'!$E:$E,$M$3,'Other Sale'!$C:$C,$J42,'Other Sale'!$A:$A,$A42)))))</f>
        <v/>
      </c>
      <c r="F42" s="347" t="str" cm="1">
        <f t="array" ref="F42">IF($A42="","",IF($J42="Payment",IFERROR(INDEX(_xlfn._xlws.FILTER(MasterPaid[Amount Paid],(MasterPaid[Customer]=$M$3)*(MasterPaid[Date]=$A42)),COUNTIFS($A$6:$A42,$A42,$J$6:$J42,"Payment")),0),0))</f>
        <v/>
      </c>
      <c r="G42" s="331"/>
      <c r="H42" s="427"/>
      <c r="I42" s="330" t="str">
        <f t="shared" si="9"/>
        <v/>
      </c>
      <c r="J42" s="344" t="str" cm="1">
        <f t="array" ref="J42">IFERROR(INDEX(_xlfn.ANCHORARRAY($P$6),ROW()-5,3),"")</f>
        <v/>
      </c>
      <c r="K42" s="349"/>
      <c r="L42" s="348"/>
      <c r="M42" s="277"/>
      <c r="N42" s="277"/>
      <c r="O42" s="277"/>
      <c r="T42" s="439"/>
      <c r="U42" s="350"/>
      <c r="W42" s="316" t="str">
        <f t="shared" si="0"/>
        <v/>
      </c>
      <c r="X42" s="273" t="str">
        <f t="shared" si="1"/>
        <v/>
      </c>
      <c r="Y42" s="273" t="str">
        <f t="shared" si="2"/>
        <v/>
      </c>
      <c r="Z42" s="273" t="str">
        <f t="shared" si="3"/>
        <v/>
      </c>
      <c r="AA42" s="316" t="str">
        <f t="shared" si="4"/>
        <v/>
      </c>
      <c r="AC42" t="str" cm="1">
        <f t="array" ref="AC42">IF(INDEX($T$5:$T$54,ROW()-4)="","",INDEX($T$5:$T$54,ROW()-4))</f>
        <v/>
      </c>
      <c r="AD42" t="str">
        <f t="shared" si="5"/>
        <v/>
      </c>
      <c r="AE42" t="str">
        <f t="shared" si="6"/>
        <v/>
      </c>
      <c r="AF42" t="str">
        <f t="shared" si="7"/>
        <v/>
      </c>
      <c r="AG42">
        <f t="shared" si="8"/>
        <v>0</v>
      </c>
      <c r="AH42" t="str" cm="1">
        <f t="array" ref="AH42">IF($AC42="","",IF($AG42=1,SUMPRODUCT(($AG$5:$AG$54=1)*($AC$5:$AC$54&gt;$AC42))+1,SUM($AG$5:$AG$54)+SUMPRODUCT(($AG$5:$AG$54=0)*($AC$5:$AC$54&lt;&gt;"")*($AC$5:$AC$54&gt;$AC42))+1))</f>
        <v/>
      </c>
    </row>
    <row r="43" spans="1:34" ht="23" x14ac:dyDescent="0.25">
      <c r="A43" s="217" t="str" cm="1">
        <f t="array" ref="A43">IFERROR(INDEX(_xlfn.ANCHORARRAY($P$6),ROW()-5,1),"")</f>
        <v/>
      </c>
      <c r="B43" s="344" t="str" cm="1">
        <f t="array" ref="B43">IFERROR(INDEX(_xlfn.ANCHORARRAY($P$6),ROW()-5,2),"")</f>
        <v/>
      </c>
      <c r="C43" s="345" t="str">
        <f>IF($A43="","",IF($J43="DIESEL",SUMIFS(Table1[Quantity],Table1[Customer],$M$3,Table1[Date],$A43,Table1[Bill No.],$B43),IF($J43="PETROL",SUMIFS(Table14[Quantity],Table14[Customer],$M$3,Table14[Date],$A43,Table14[Bill No.],$B43),IF($J43="XtraGreen",SUMIFS(Table146[Quantity],Table146[Company],$M$3,Table146[Date],$A43,Table146[Bill No.],$B43),""))))</f>
        <v/>
      </c>
      <c r="D43" s="346" t="str">
        <f>IF($A43="","",IF($J43="DIESEL",AVERAGEIFS(Table1[RSP],Table1[Customer],$M$3,Table1[Date],$A43,Table1[Bill No.],$B43),IF($J43="PETROL",AVERAGEIFS(Table14[RSP],Table14[Customer],$M$3,Table14[Date],$A43,Table14[Bill No.],$B43),IF($J43="XtraGreen",AVERAGEIFS(Table146[RSP],Table146[Company],$M$3,Table146[Date],$A43,Table146[Bill No.],$B43),IFERROR($E43/$C43,"")))))</f>
        <v/>
      </c>
      <c r="E43" s="347" t="str">
        <f>IF($A43="","",IF($J43="DIESEL",SUMIFS(Table1[Amount],Table1[Customer],$M$3,Table1[Date],$A43,Table1[Bill No.],$B43),IF($J43="PETROL",SUMIFS(Table14[Amount],Table14[Customer],$M$3,Table14[Date],$A43,Table14[Bill No.],$B43),IF($J43="XtraGreen",SUMIFS(Table146[Amount],Table146[Company],$M$3,Table146[Date],$A43,Table146[Bill No.],$B43),SUMIFS('Other Sale'!$D:$D,'Other Sale'!$E:$E,$M$3,'Other Sale'!$C:$C,$J43,'Other Sale'!$A:$A,$A43)))))</f>
        <v/>
      </c>
      <c r="F43" s="347" t="str" cm="1">
        <f t="array" ref="F43">IF($A43="","",IF($J43="Payment",IFERROR(INDEX(_xlfn._xlws.FILTER(MasterPaid[Amount Paid],(MasterPaid[Customer]=$M$3)*(MasterPaid[Date]=$A43)),COUNTIFS($A$6:$A43,$A43,$J$6:$J43,"Payment")),0),0))</f>
        <v/>
      </c>
      <c r="G43" s="331"/>
      <c r="H43" s="427"/>
      <c r="I43" s="330" t="str">
        <f t="shared" si="9"/>
        <v/>
      </c>
      <c r="J43" s="344" t="str" cm="1">
        <f t="array" ref="J43">IFERROR(INDEX(_xlfn.ANCHORARRAY($P$6),ROW()-5,3),"")</f>
        <v/>
      </c>
      <c r="K43" s="349"/>
      <c r="L43" s="348"/>
      <c r="M43" s="277"/>
      <c r="N43" s="277"/>
      <c r="O43" s="277"/>
      <c r="T43" s="439"/>
      <c r="U43" s="350"/>
      <c r="W43" s="316" t="str">
        <f t="shared" si="0"/>
        <v/>
      </c>
      <c r="X43" s="273" t="str">
        <f t="shared" si="1"/>
        <v/>
      </c>
      <c r="Y43" s="273" t="str">
        <f t="shared" si="2"/>
        <v/>
      </c>
      <c r="Z43" s="273" t="str">
        <f t="shared" si="3"/>
        <v/>
      </c>
      <c r="AA43" s="316" t="str">
        <f t="shared" si="4"/>
        <v/>
      </c>
      <c r="AC43" t="str" cm="1">
        <f t="array" ref="AC43">IF(INDEX($T$5:$T$54,ROW()-4)="","",INDEX($T$5:$T$54,ROW()-4))</f>
        <v/>
      </c>
      <c r="AD43" t="str">
        <f t="shared" si="5"/>
        <v/>
      </c>
      <c r="AE43" t="str">
        <f t="shared" si="6"/>
        <v/>
      </c>
      <c r="AF43" t="str">
        <f t="shared" si="7"/>
        <v/>
      </c>
      <c r="AG43">
        <f t="shared" si="8"/>
        <v>0</v>
      </c>
      <c r="AH43" t="str" cm="1">
        <f t="array" ref="AH43">IF($AC43="","",IF($AG43=1,SUMPRODUCT(($AG$5:$AG$54=1)*($AC$5:$AC$54&gt;$AC43))+1,SUM($AG$5:$AG$54)+SUMPRODUCT(($AG$5:$AG$54=0)*($AC$5:$AC$54&lt;&gt;"")*($AC$5:$AC$54&gt;$AC43))+1))</f>
        <v/>
      </c>
    </row>
    <row r="44" spans="1:34" ht="23" x14ac:dyDescent="0.25">
      <c r="A44" s="217" t="str" cm="1">
        <f t="array" ref="A44">IFERROR(INDEX(_xlfn.ANCHORARRAY($P$6),ROW()-5,1),"")</f>
        <v/>
      </c>
      <c r="B44" s="344" t="str" cm="1">
        <f t="array" ref="B44">IFERROR(INDEX(_xlfn.ANCHORARRAY($P$6),ROW()-5,2),"")</f>
        <v/>
      </c>
      <c r="C44" s="345" t="str">
        <f>IF($A44="","",IF($J44="DIESEL",SUMIFS(Table1[Quantity],Table1[Customer],$M$3,Table1[Date],$A44,Table1[Bill No.],$B44),IF($J44="PETROL",SUMIFS(Table14[Quantity],Table14[Customer],$M$3,Table14[Date],$A44,Table14[Bill No.],$B44),IF($J44="XtraGreen",SUMIFS(Table146[Quantity],Table146[Company],$M$3,Table146[Date],$A44,Table146[Bill No.],$B44),""))))</f>
        <v/>
      </c>
      <c r="D44" s="346" t="str">
        <f>IF($A44="","",IF($J44="DIESEL",AVERAGEIFS(Table1[RSP],Table1[Customer],$M$3,Table1[Date],$A44,Table1[Bill No.],$B44),IF($J44="PETROL",AVERAGEIFS(Table14[RSP],Table14[Customer],$M$3,Table14[Date],$A44,Table14[Bill No.],$B44),IF($J44="XtraGreen",AVERAGEIFS(Table146[RSP],Table146[Company],$M$3,Table146[Date],$A44,Table146[Bill No.],$B44),IFERROR($E44/$C44,"")))))</f>
        <v/>
      </c>
      <c r="E44" s="347" t="str">
        <f>IF($A44="","",IF($J44="DIESEL",SUMIFS(Table1[Amount],Table1[Customer],$M$3,Table1[Date],$A44,Table1[Bill No.],$B44),IF($J44="PETROL",SUMIFS(Table14[Amount],Table14[Customer],$M$3,Table14[Date],$A44,Table14[Bill No.],$B44),IF($J44="XtraGreen",SUMIFS(Table146[Amount],Table146[Company],$M$3,Table146[Date],$A44,Table146[Bill No.],$B44),SUMIFS('Other Sale'!$D:$D,'Other Sale'!$E:$E,$M$3,'Other Sale'!$C:$C,$J44,'Other Sale'!$A:$A,$A44)))))</f>
        <v/>
      </c>
      <c r="F44" s="347" t="str" cm="1">
        <f t="array" ref="F44">IF($A44="","",IF($J44="Payment",IFERROR(INDEX(_xlfn._xlws.FILTER(MasterPaid[Amount Paid],(MasterPaid[Customer]=$M$3)*(MasterPaid[Date]=$A44)),COUNTIFS($A$6:$A44,$A44,$J$6:$J44,"Payment")),0),0))</f>
        <v/>
      </c>
      <c r="G44" s="331"/>
      <c r="H44" s="427"/>
      <c r="I44" s="330" t="str">
        <f t="shared" si="9"/>
        <v/>
      </c>
      <c r="J44" s="344" t="str" cm="1">
        <f t="array" ref="J44">IFERROR(INDEX(_xlfn.ANCHORARRAY($P$6),ROW()-5,3),"")</f>
        <v/>
      </c>
      <c r="K44" s="349"/>
      <c r="L44" s="348"/>
      <c r="M44" s="277"/>
      <c r="N44" s="277"/>
      <c r="O44" s="277"/>
      <c r="T44" s="439"/>
      <c r="U44" s="350"/>
      <c r="W44" s="316" t="str">
        <f t="shared" si="0"/>
        <v/>
      </c>
      <c r="X44" s="273" t="str">
        <f t="shared" si="1"/>
        <v/>
      </c>
      <c r="Y44" s="273" t="str">
        <f t="shared" si="2"/>
        <v/>
      </c>
      <c r="Z44" s="273" t="str">
        <f t="shared" si="3"/>
        <v/>
      </c>
      <c r="AA44" s="316" t="str">
        <f t="shared" si="4"/>
        <v/>
      </c>
      <c r="AC44" t="str" cm="1">
        <f t="array" ref="AC44">IF(INDEX($T$5:$T$54,ROW()-4)="","",INDEX($T$5:$T$54,ROW()-4))</f>
        <v/>
      </c>
      <c r="AD44" t="str">
        <f t="shared" si="5"/>
        <v/>
      </c>
      <c r="AE44" t="str">
        <f t="shared" si="6"/>
        <v/>
      </c>
      <c r="AF44" t="str">
        <f t="shared" si="7"/>
        <v/>
      </c>
      <c r="AG44">
        <f t="shared" si="8"/>
        <v>0</v>
      </c>
      <c r="AH44" t="str" cm="1">
        <f t="array" ref="AH44">IF($AC44="","",IF($AG44=1,SUMPRODUCT(($AG$5:$AG$54=1)*($AC$5:$AC$54&gt;$AC44))+1,SUM($AG$5:$AG$54)+SUMPRODUCT(($AG$5:$AG$54=0)*($AC$5:$AC$54&lt;&gt;"")*($AC$5:$AC$54&gt;$AC44))+1))</f>
        <v/>
      </c>
    </row>
    <row r="45" spans="1:34" ht="23" x14ac:dyDescent="0.25">
      <c r="A45" s="217" t="str" cm="1">
        <f t="array" ref="A45">IFERROR(INDEX(_xlfn.ANCHORARRAY($P$6),ROW()-5,1),"")</f>
        <v/>
      </c>
      <c r="B45" s="344" t="str" cm="1">
        <f t="array" ref="B45">IFERROR(INDEX(_xlfn.ANCHORARRAY($P$6),ROW()-5,2),"")</f>
        <v/>
      </c>
      <c r="C45" s="345" t="str">
        <f>IF($A45="","",IF($J45="DIESEL",SUMIFS(Table1[Quantity],Table1[Customer],$M$3,Table1[Date],$A45,Table1[Bill No.],$B45),IF($J45="PETROL",SUMIFS(Table14[Quantity],Table14[Customer],$M$3,Table14[Date],$A45,Table14[Bill No.],$B45),IF($J45="XtraGreen",SUMIFS(Table146[Quantity],Table146[Company],$M$3,Table146[Date],$A45,Table146[Bill No.],$B45),""))))</f>
        <v/>
      </c>
      <c r="D45" s="346" t="str">
        <f>IF($A45="","",IF($J45="DIESEL",AVERAGEIFS(Table1[RSP],Table1[Customer],$M$3,Table1[Date],$A45,Table1[Bill No.],$B45),IF($J45="PETROL",AVERAGEIFS(Table14[RSP],Table14[Customer],$M$3,Table14[Date],$A45,Table14[Bill No.],$B45),IF($J45="XtraGreen",AVERAGEIFS(Table146[RSP],Table146[Company],$M$3,Table146[Date],$A45,Table146[Bill No.],$B45),IFERROR($E45/$C45,"")))))</f>
        <v/>
      </c>
      <c r="E45" s="347" t="str">
        <f>IF($A45="","",IF($J45="DIESEL",SUMIFS(Table1[Amount],Table1[Customer],$M$3,Table1[Date],$A45,Table1[Bill No.],$B45),IF($J45="PETROL",SUMIFS(Table14[Amount],Table14[Customer],$M$3,Table14[Date],$A45,Table14[Bill No.],$B45),IF($J45="XtraGreen",SUMIFS(Table146[Amount],Table146[Company],$M$3,Table146[Date],$A45,Table146[Bill No.],$B45),SUMIFS('Other Sale'!$D:$D,'Other Sale'!$E:$E,$M$3,'Other Sale'!$C:$C,$J45,'Other Sale'!$A:$A,$A45)))))</f>
        <v/>
      </c>
      <c r="F45" s="347" t="str" cm="1">
        <f t="array" ref="F45">IF($A45="","",IF($J45="Payment",IFERROR(INDEX(_xlfn._xlws.FILTER(MasterPaid[Amount Paid],(MasterPaid[Customer]=$M$3)*(MasterPaid[Date]=$A45)),COUNTIFS($A$6:$A45,$A45,$J$6:$J45,"Payment")),0),0))</f>
        <v/>
      </c>
      <c r="G45" s="331"/>
      <c r="H45" s="427"/>
      <c r="I45" s="330" t="str">
        <f t="shared" si="9"/>
        <v/>
      </c>
      <c r="J45" s="344" t="str" cm="1">
        <f t="array" ref="J45">IFERROR(INDEX(_xlfn.ANCHORARRAY($P$6),ROW()-5,3),"")</f>
        <v/>
      </c>
      <c r="K45" s="349"/>
      <c r="L45" s="348"/>
      <c r="M45" s="277"/>
      <c r="N45" s="277"/>
      <c r="O45" s="277"/>
      <c r="T45" s="439"/>
      <c r="U45" s="350"/>
      <c r="W45" s="316" t="str">
        <f t="shared" si="0"/>
        <v/>
      </c>
      <c r="X45" s="273" t="str">
        <f t="shared" si="1"/>
        <v/>
      </c>
      <c r="Y45" s="273" t="str">
        <f t="shared" si="2"/>
        <v/>
      </c>
      <c r="Z45" s="273" t="str">
        <f t="shared" si="3"/>
        <v/>
      </c>
      <c r="AA45" s="316" t="str">
        <f t="shared" si="4"/>
        <v/>
      </c>
      <c r="AC45" t="str" cm="1">
        <f t="array" ref="AC45">IF(INDEX($T$5:$T$54,ROW()-4)="","",INDEX($T$5:$T$54,ROW()-4))</f>
        <v/>
      </c>
      <c r="AD45" t="str">
        <f t="shared" si="5"/>
        <v/>
      </c>
      <c r="AE45" t="str">
        <f t="shared" si="6"/>
        <v/>
      </c>
      <c r="AF45" t="str">
        <f t="shared" si="7"/>
        <v/>
      </c>
      <c r="AG45">
        <f t="shared" si="8"/>
        <v>0</v>
      </c>
      <c r="AH45" t="str" cm="1">
        <f t="array" ref="AH45">IF($AC45="","",IF($AG45=1,SUMPRODUCT(($AG$5:$AG$54=1)*($AC$5:$AC$54&gt;$AC45))+1,SUM($AG$5:$AG$54)+SUMPRODUCT(($AG$5:$AG$54=0)*($AC$5:$AC$54&lt;&gt;"")*($AC$5:$AC$54&gt;$AC45))+1))</f>
        <v/>
      </c>
    </row>
    <row r="46" spans="1:34" ht="23" x14ac:dyDescent="0.25">
      <c r="A46" s="217" t="str" cm="1">
        <f t="array" ref="A46">IFERROR(INDEX(_xlfn.ANCHORARRAY($P$6),ROW()-5,1),"")</f>
        <v/>
      </c>
      <c r="B46" s="344" t="str" cm="1">
        <f t="array" ref="B46">IFERROR(INDEX(_xlfn.ANCHORARRAY($P$6),ROW()-5,2),"")</f>
        <v/>
      </c>
      <c r="C46" s="345" t="str">
        <f>IF($A46="","",IF($J46="DIESEL",SUMIFS(Table1[Quantity],Table1[Customer],$M$3,Table1[Date],$A46,Table1[Bill No.],$B46),IF($J46="PETROL",SUMIFS(Table14[Quantity],Table14[Customer],$M$3,Table14[Date],$A46,Table14[Bill No.],$B46),IF($J46="XtraGreen",SUMIFS(Table146[Quantity],Table146[Company],$M$3,Table146[Date],$A46,Table146[Bill No.],$B46),""))))</f>
        <v/>
      </c>
      <c r="D46" s="346" t="str">
        <f>IF($A46="","",IF($J46="DIESEL",AVERAGEIFS(Table1[RSP],Table1[Customer],$M$3,Table1[Date],$A46,Table1[Bill No.],$B46),IF($J46="PETROL",AVERAGEIFS(Table14[RSP],Table14[Customer],$M$3,Table14[Date],$A46,Table14[Bill No.],$B46),IF($J46="XtraGreen",AVERAGEIFS(Table146[RSP],Table146[Company],$M$3,Table146[Date],$A46,Table146[Bill No.],$B46),IFERROR($E46/$C46,"")))))</f>
        <v/>
      </c>
      <c r="E46" s="347" t="str">
        <f>IF($A46="","",IF($J46="DIESEL",SUMIFS(Table1[Amount],Table1[Customer],$M$3,Table1[Date],$A46,Table1[Bill No.],$B46),IF($J46="PETROL",SUMIFS(Table14[Amount],Table14[Customer],$M$3,Table14[Date],$A46,Table14[Bill No.],$B46),IF($J46="XtraGreen",SUMIFS(Table146[Amount],Table146[Company],$M$3,Table146[Date],$A46,Table146[Bill No.],$B46),SUMIFS('Other Sale'!$D:$D,'Other Sale'!$E:$E,$M$3,'Other Sale'!$C:$C,$J46,'Other Sale'!$A:$A,$A46)))))</f>
        <v/>
      </c>
      <c r="F46" s="347" t="str" cm="1">
        <f t="array" ref="F46">IF($A46="","",IF($J46="Payment",IFERROR(INDEX(_xlfn._xlws.FILTER(MasterPaid[Amount Paid],(MasterPaid[Customer]=$M$3)*(MasterPaid[Date]=$A46)),COUNTIFS($A$6:$A46,$A46,$J$6:$J46,"Payment")),0),0))</f>
        <v/>
      </c>
      <c r="G46" s="331"/>
      <c r="H46" s="427"/>
      <c r="I46" s="330" t="str">
        <f t="shared" si="9"/>
        <v/>
      </c>
      <c r="J46" s="344" t="str" cm="1">
        <f t="array" ref="J46">IFERROR(INDEX(_xlfn.ANCHORARRAY($P$6),ROW()-5,3),"")</f>
        <v/>
      </c>
      <c r="K46" s="349"/>
      <c r="L46" s="348"/>
      <c r="M46" s="277"/>
      <c r="N46" s="277"/>
      <c r="O46" s="277"/>
      <c r="T46" s="439"/>
      <c r="U46" s="350"/>
      <c r="W46" s="316" t="str">
        <f t="shared" si="0"/>
        <v/>
      </c>
      <c r="X46" s="273" t="str">
        <f t="shared" si="1"/>
        <v/>
      </c>
      <c r="Y46" s="273" t="str">
        <f t="shared" si="2"/>
        <v/>
      </c>
      <c r="Z46" s="273" t="str">
        <f t="shared" si="3"/>
        <v/>
      </c>
      <c r="AA46" s="316" t="str">
        <f t="shared" si="4"/>
        <v/>
      </c>
      <c r="AC46" t="str" cm="1">
        <f t="array" ref="AC46">IF(INDEX($T$5:$T$54,ROW()-4)="","",INDEX($T$5:$T$54,ROW()-4))</f>
        <v/>
      </c>
      <c r="AD46" t="str">
        <f t="shared" si="5"/>
        <v/>
      </c>
      <c r="AE46" t="str">
        <f t="shared" si="6"/>
        <v/>
      </c>
      <c r="AF46" t="str">
        <f t="shared" si="7"/>
        <v/>
      </c>
      <c r="AG46">
        <f t="shared" si="8"/>
        <v>0</v>
      </c>
      <c r="AH46" t="str" cm="1">
        <f t="array" ref="AH46">IF($AC46="","",IF($AG46=1,SUMPRODUCT(($AG$5:$AG$54=1)*($AC$5:$AC$54&gt;$AC46))+1,SUM($AG$5:$AG$54)+SUMPRODUCT(($AG$5:$AG$54=0)*($AC$5:$AC$54&lt;&gt;"")*($AC$5:$AC$54&gt;$AC46))+1))</f>
        <v/>
      </c>
    </row>
    <row r="47" spans="1:34" ht="23" x14ac:dyDescent="0.25">
      <c r="A47" s="217" t="str" cm="1">
        <f t="array" ref="A47">IFERROR(INDEX(_xlfn.ANCHORARRAY($P$6),ROW()-5,1),"")</f>
        <v/>
      </c>
      <c r="B47" s="344" t="str" cm="1">
        <f t="array" ref="B47">IFERROR(INDEX(_xlfn.ANCHORARRAY($P$6),ROW()-5,2),"")</f>
        <v/>
      </c>
      <c r="C47" s="345" t="str">
        <f>IF($A47="","",IF($J47="DIESEL",SUMIFS(Table1[Quantity],Table1[Customer],$M$3,Table1[Date],$A47,Table1[Bill No.],$B47),IF($J47="PETROL",SUMIFS(Table14[Quantity],Table14[Customer],$M$3,Table14[Date],$A47,Table14[Bill No.],$B47),IF($J47="XtraGreen",SUMIFS(Table146[Quantity],Table146[Company],$M$3,Table146[Date],$A47,Table146[Bill No.],$B47),""))))</f>
        <v/>
      </c>
      <c r="D47" s="346" t="str">
        <f>IF($A47="","",IF($J47="DIESEL",AVERAGEIFS(Table1[RSP],Table1[Customer],$M$3,Table1[Date],$A47,Table1[Bill No.],$B47),IF($J47="PETROL",AVERAGEIFS(Table14[RSP],Table14[Customer],$M$3,Table14[Date],$A47,Table14[Bill No.],$B47),IF($J47="XtraGreen",AVERAGEIFS(Table146[RSP],Table146[Company],$M$3,Table146[Date],$A47,Table146[Bill No.],$B47),IFERROR($E47/$C47,"")))))</f>
        <v/>
      </c>
      <c r="E47" s="347" t="str">
        <f>IF($A47="","",IF($J47="DIESEL",SUMIFS(Table1[Amount],Table1[Customer],$M$3,Table1[Date],$A47,Table1[Bill No.],$B47),IF($J47="PETROL",SUMIFS(Table14[Amount],Table14[Customer],$M$3,Table14[Date],$A47,Table14[Bill No.],$B47),IF($J47="XtraGreen",SUMIFS(Table146[Amount],Table146[Company],$M$3,Table146[Date],$A47,Table146[Bill No.],$B47),SUMIFS('Other Sale'!$D:$D,'Other Sale'!$E:$E,$M$3,'Other Sale'!$C:$C,$J47,'Other Sale'!$A:$A,$A47)))))</f>
        <v/>
      </c>
      <c r="F47" s="347" t="str" cm="1">
        <f t="array" ref="F47">IF($A47="","",IF($J47="Payment",IFERROR(INDEX(_xlfn._xlws.FILTER(MasterPaid[Amount Paid],(MasterPaid[Customer]=$M$3)*(MasterPaid[Date]=$A47)),COUNTIFS($A$6:$A47,$A47,$J$6:$J47,"Payment")),0),0))</f>
        <v/>
      </c>
      <c r="G47" s="331"/>
      <c r="H47" s="427"/>
      <c r="I47" s="330" t="str">
        <f t="shared" si="9"/>
        <v/>
      </c>
      <c r="J47" s="344" t="str" cm="1">
        <f t="array" ref="J47">IFERROR(INDEX(_xlfn.ANCHORARRAY($P$6),ROW()-5,3),"")</f>
        <v/>
      </c>
      <c r="K47" s="349"/>
      <c r="L47" s="348"/>
      <c r="M47" s="277"/>
      <c r="N47" s="277"/>
      <c r="O47" s="277"/>
      <c r="T47" s="439"/>
      <c r="U47" s="350"/>
      <c r="W47" s="316" t="str">
        <f t="shared" si="0"/>
        <v/>
      </c>
      <c r="X47" s="273" t="str">
        <f t="shared" si="1"/>
        <v/>
      </c>
      <c r="Y47" s="273" t="str">
        <f t="shared" si="2"/>
        <v/>
      </c>
      <c r="Z47" s="273" t="str">
        <f t="shared" si="3"/>
        <v/>
      </c>
      <c r="AA47" s="316" t="str">
        <f t="shared" si="4"/>
        <v/>
      </c>
      <c r="AC47" t="str" cm="1">
        <f t="array" ref="AC47">IF(INDEX($T$5:$T$54,ROW()-4)="","",INDEX($T$5:$T$54,ROW()-4))</f>
        <v/>
      </c>
      <c r="AD47" t="str">
        <f t="shared" si="5"/>
        <v/>
      </c>
      <c r="AE47" t="str">
        <f t="shared" si="6"/>
        <v/>
      </c>
      <c r="AF47" t="str">
        <f t="shared" si="7"/>
        <v/>
      </c>
      <c r="AG47">
        <f t="shared" si="8"/>
        <v>0</v>
      </c>
      <c r="AH47" t="str" cm="1">
        <f t="array" ref="AH47">IF($AC47="","",IF($AG47=1,SUMPRODUCT(($AG$5:$AG$54=1)*($AC$5:$AC$54&gt;$AC47))+1,SUM($AG$5:$AG$54)+SUMPRODUCT(($AG$5:$AG$54=0)*($AC$5:$AC$54&lt;&gt;"")*($AC$5:$AC$54&gt;$AC47))+1))</f>
        <v/>
      </c>
    </row>
    <row r="48" spans="1:34" ht="21.75" customHeight="1" x14ac:dyDescent="0.25">
      <c r="A48" s="217" t="str" cm="1">
        <f t="array" ref="A48">IFERROR(INDEX(_xlfn.ANCHORARRAY($P$6),ROW()-5,1),"")</f>
        <v/>
      </c>
      <c r="B48" s="344" t="str" cm="1">
        <f t="array" ref="B48">IFERROR(INDEX(_xlfn.ANCHORARRAY($P$6),ROW()-5,2),"")</f>
        <v/>
      </c>
      <c r="C48" s="345" t="str">
        <f>IF($A48="","",IF($J48="DIESEL",SUMIFS(Table1[Quantity],Table1[Customer],$M$3,Table1[Date],$A48,Table1[Bill No.],$B48),IF($J48="PETROL",SUMIFS(Table14[Quantity],Table14[Customer],$M$3,Table14[Date],$A48,Table14[Bill No.],$B48),IF($J48="XtraGreen",SUMIFS(Table146[Quantity],Table146[Company],$M$3,Table146[Date],$A48,Table146[Bill No.],$B48),""))))</f>
        <v/>
      </c>
      <c r="D48" s="346" t="str">
        <f>IF($A48="","",IF($J48="DIESEL",AVERAGEIFS(Table1[RSP],Table1[Customer],$M$3,Table1[Date],$A48,Table1[Bill No.],$B48),IF($J48="PETROL",AVERAGEIFS(Table14[RSP],Table14[Customer],$M$3,Table14[Date],$A48,Table14[Bill No.],$B48),IF($J48="XtraGreen",AVERAGEIFS(Table146[RSP],Table146[Company],$M$3,Table146[Date],$A48,Table146[Bill No.],$B48),IFERROR($E48/$C48,"")))))</f>
        <v/>
      </c>
      <c r="E48" s="347" t="str">
        <f>IF($A48="","",IF($J48="DIESEL",SUMIFS(Table1[Amount],Table1[Customer],$M$3,Table1[Date],$A48,Table1[Bill No.],$B48),IF($J48="PETROL",SUMIFS(Table14[Amount],Table14[Customer],$M$3,Table14[Date],$A48,Table14[Bill No.],$B48),IF($J48="XtraGreen",SUMIFS(Table146[Amount],Table146[Company],$M$3,Table146[Date],$A48,Table146[Bill No.],$B48),SUMIFS('Other Sale'!$D:$D,'Other Sale'!$E:$E,$M$3,'Other Sale'!$C:$C,$J48,'Other Sale'!$A:$A,$A48)))))</f>
        <v/>
      </c>
      <c r="F48" s="347" t="str" cm="1">
        <f t="array" ref="F48">IF($A48="","",IF($J48="Payment",IFERROR(INDEX(_xlfn._xlws.FILTER(MasterPaid[Amount Paid],(MasterPaid[Customer]=$M$3)*(MasterPaid[Date]=$A48)),COUNTIFS($A$6:$A48,$A48,$J$6:$J48,"Payment")),0),0))</f>
        <v/>
      </c>
      <c r="G48" s="331"/>
      <c r="H48" s="427"/>
      <c r="I48" s="330" t="str">
        <f t="shared" si="9"/>
        <v/>
      </c>
      <c r="J48" s="344" t="str" cm="1">
        <f t="array" ref="J48">IFERROR(INDEX(_xlfn.ANCHORARRAY($P$6),ROW()-5,3),"")</f>
        <v/>
      </c>
      <c r="K48" s="349"/>
      <c r="L48" s="348"/>
      <c r="M48" s="277"/>
      <c r="N48" s="277"/>
      <c r="O48" s="277"/>
      <c r="T48" s="439"/>
      <c r="U48" s="350"/>
      <c r="W48" s="316" t="str">
        <f t="shared" si="0"/>
        <v/>
      </c>
      <c r="X48" s="273" t="str">
        <f t="shared" si="1"/>
        <v/>
      </c>
      <c r="Y48" s="273" t="str">
        <f t="shared" si="2"/>
        <v/>
      </c>
      <c r="Z48" s="273" t="str">
        <f t="shared" si="3"/>
        <v/>
      </c>
      <c r="AA48" s="316" t="str">
        <f t="shared" si="4"/>
        <v/>
      </c>
      <c r="AC48" t="str" cm="1">
        <f t="array" ref="AC48">IF(INDEX($T$5:$T$54,ROW()-4)="","",INDEX($T$5:$T$54,ROW()-4))</f>
        <v/>
      </c>
      <c r="AD48" t="str">
        <f t="shared" si="5"/>
        <v/>
      </c>
      <c r="AE48" t="str">
        <f t="shared" si="6"/>
        <v/>
      </c>
      <c r="AF48" t="str">
        <f t="shared" si="7"/>
        <v/>
      </c>
      <c r="AG48">
        <f t="shared" si="8"/>
        <v>0</v>
      </c>
      <c r="AH48" t="str" cm="1">
        <f t="array" ref="AH48">IF($AC48="","",IF($AG48=1,SUMPRODUCT(($AG$5:$AG$54=1)*($AC$5:$AC$54&gt;$AC48))+1,SUM($AG$5:$AG$54)+SUMPRODUCT(($AG$5:$AG$54=0)*($AC$5:$AC$54&lt;&gt;"")*($AC$5:$AC$54&gt;$AC48))+1))</f>
        <v/>
      </c>
    </row>
    <row r="49" spans="1:34" ht="23" x14ac:dyDescent="0.25">
      <c r="A49" s="217" t="str" cm="1">
        <f t="array" ref="A49">IFERROR(INDEX(_xlfn.ANCHORARRAY($P$6),ROW()-5,1),"")</f>
        <v/>
      </c>
      <c r="B49" s="344" t="str" cm="1">
        <f t="array" ref="B49">IFERROR(INDEX(_xlfn.ANCHORARRAY($P$6),ROW()-5,2),"")</f>
        <v/>
      </c>
      <c r="C49" s="345" t="str">
        <f>IF($A49="","",IF($J49="DIESEL",SUMIFS(Table1[Quantity],Table1[Customer],$M$3,Table1[Date],$A49,Table1[Bill No.],$B49),IF($J49="PETROL",SUMIFS(Table14[Quantity],Table14[Customer],$M$3,Table14[Date],$A49,Table14[Bill No.],$B49),IF($J49="XtraGreen",SUMIFS(Table146[Quantity],Table146[Company],$M$3,Table146[Date],$A49,Table146[Bill No.],$B49),""))))</f>
        <v/>
      </c>
      <c r="D49" s="346" t="str">
        <f>IF($A49="","",IF($J49="DIESEL",AVERAGEIFS(Table1[RSP],Table1[Customer],$M$3,Table1[Date],$A49,Table1[Bill No.],$B49),IF($J49="PETROL",AVERAGEIFS(Table14[RSP],Table14[Customer],$M$3,Table14[Date],$A49,Table14[Bill No.],$B49),IF($J49="XtraGreen",AVERAGEIFS(Table146[RSP],Table146[Company],$M$3,Table146[Date],$A49,Table146[Bill No.],$B49),IFERROR($E49/$C49,"")))))</f>
        <v/>
      </c>
      <c r="E49" s="347" t="str">
        <f>IF($A49="","",IF($J49="DIESEL",SUMIFS(Table1[Amount],Table1[Customer],$M$3,Table1[Date],$A49,Table1[Bill No.],$B49),IF($J49="PETROL",SUMIFS(Table14[Amount],Table14[Customer],$M$3,Table14[Date],$A49,Table14[Bill No.],$B49),IF($J49="XtraGreen",SUMIFS(Table146[Amount],Table146[Company],$M$3,Table146[Date],$A49,Table146[Bill No.],$B49),SUMIFS('Other Sale'!$D:$D,'Other Sale'!$E:$E,$M$3,'Other Sale'!$C:$C,$J49,'Other Sale'!$A:$A,$A49)))))</f>
        <v/>
      </c>
      <c r="F49" s="347" t="str" cm="1">
        <f t="array" ref="F49">IF($A49="","",IF($J49="Payment",IFERROR(INDEX(_xlfn._xlws.FILTER(MasterPaid[Amount Paid],(MasterPaid[Customer]=$M$3)*(MasterPaid[Date]=$A49)),COUNTIFS($A$6:$A49,$A49,$J$6:$J49,"Payment")),0),0))</f>
        <v/>
      </c>
      <c r="G49" s="331"/>
      <c r="H49" s="427"/>
      <c r="I49" s="330" t="str">
        <f t="shared" si="9"/>
        <v/>
      </c>
      <c r="J49" s="344" t="str" cm="1">
        <f t="array" ref="J49">IFERROR(INDEX(_xlfn.ANCHORARRAY($P$6),ROW()-5,3),"")</f>
        <v/>
      </c>
      <c r="K49" s="349"/>
      <c r="L49" s="348"/>
      <c r="M49" s="277"/>
      <c r="N49" s="277"/>
      <c r="O49" s="277"/>
      <c r="T49" s="439"/>
      <c r="U49" s="350"/>
      <c r="W49" s="316" t="str">
        <f t="shared" si="0"/>
        <v/>
      </c>
      <c r="X49" s="273" t="str">
        <f t="shared" si="1"/>
        <v/>
      </c>
      <c r="Y49" s="273" t="str">
        <f t="shared" si="2"/>
        <v/>
      </c>
      <c r="Z49" s="273" t="str">
        <f t="shared" si="3"/>
        <v/>
      </c>
      <c r="AA49" s="316" t="str">
        <f t="shared" si="4"/>
        <v/>
      </c>
      <c r="AC49" t="str" cm="1">
        <f t="array" ref="AC49">IF(INDEX($T$5:$T$54,ROW()-4)="","",INDEX($T$5:$T$54,ROW()-4))</f>
        <v/>
      </c>
      <c r="AD49" t="str">
        <f t="shared" si="5"/>
        <v/>
      </c>
      <c r="AE49" t="str">
        <f t="shared" si="6"/>
        <v/>
      </c>
      <c r="AF49" t="str">
        <f t="shared" si="7"/>
        <v/>
      </c>
      <c r="AG49">
        <f t="shared" si="8"/>
        <v>0</v>
      </c>
      <c r="AH49" t="str" cm="1">
        <f t="array" ref="AH49">IF($AC49="","",IF($AG49=1,SUMPRODUCT(($AG$5:$AG$54=1)*($AC$5:$AC$54&gt;$AC49))+1,SUM($AG$5:$AG$54)+SUMPRODUCT(($AG$5:$AG$54=0)*($AC$5:$AC$54&lt;&gt;"")*($AC$5:$AC$54&gt;$AC49))+1))</f>
        <v/>
      </c>
    </row>
    <row r="50" spans="1:34" ht="23" x14ac:dyDescent="0.25">
      <c r="A50" s="217" t="str" cm="1">
        <f t="array" ref="A50">IFERROR(INDEX(_xlfn.ANCHORARRAY($P$6),ROW()-5,1),"")</f>
        <v/>
      </c>
      <c r="B50" s="344" t="str" cm="1">
        <f t="array" ref="B50">IFERROR(INDEX(_xlfn.ANCHORARRAY($P$6),ROW()-5,2),"")</f>
        <v/>
      </c>
      <c r="C50" s="345" t="str">
        <f>IF($A50="","",IF($J50="DIESEL",SUMIFS(Table1[Quantity],Table1[Customer],$M$3,Table1[Date],$A50,Table1[Bill No.],$B50),IF($J50="PETROL",SUMIFS(Table14[Quantity],Table14[Customer],$M$3,Table14[Date],$A50,Table14[Bill No.],$B50),IF($J50="XtraGreen",SUMIFS(Table146[Quantity],Table146[Company],$M$3,Table146[Date],$A50,Table146[Bill No.],$B50),""))))</f>
        <v/>
      </c>
      <c r="D50" s="346" t="str">
        <f>IF($A50="","",IF($J50="DIESEL",AVERAGEIFS(Table1[RSP],Table1[Customer],$M$3,Table1[Date],$A50,Table1[Bill No.],$B50),IF($J50="PETROL",AVERAGEIFS(Table14[RSP],Table14[Customer],$M$3,Table14[Date],$A50,Table14[Bill No.],$B50),IF($J50="XtraGreen",AVERAGEIFS(Table146[RSP],Table146[Company],$M$3,Table146[Date],$A50,Table146[Bill No.],$B50),IFERROR($E50/$C50,"")))))</f>
        <v/>
      </c>
      <c r="E50" s="347" t="str">
        <f>IF($A50="","",IF($J50="DIESEL",SUMIFS(Table1[Amount],Table1[Customer],$M$3,Table1[Date],$A50,Table1[Bill No.],$B50),IF($J50="PETROL",SUMIFS(Table14[Amount],Table14[Customer],$M$3,Table14[Date],$A50,Table14[Bill No.],$B50),IF($J50="XtraGreen",SUMIFS(Table146[Amount],Table146[Company],$M$3,Table146[Date],$A50,Table146[Bill No.],$B50),SUMIFS('Other Sale'!$D:$D,'Other Sale'!$E:$E,$M$3,'Other Sale'!$C:$C,$J50,'Other Sale'!$A:$A,$A50)))))</f>
        <v/>
      </c>
      <c r="F50" s="347" t="str" cm="1">
        <f t="array" ref="F50">IF($A50="","",IF($J50="Payment",IFERROR(INDEX(_xlfn._xlws.FILTER(MasterPaid[Amount Paid],(MasterPaid[Customer]=$M$3)*(MasterPaid[Date]=$A50)),COUNTIFS($A$6:$A50,$A50,$J$6:$J50,"Payment")),0),0))</f>
        <v/>
      </c>
      <c r="G50" s="331"/>
      <c r="H50" s="427"/>
      <c r="I50" s="330" t="str">
        <f t="shared" si="9"/>
        <v/>
      </c>
      <c r="J50" s="344" t="str" cm="1">
        <f t="array" ref="J50">IFERROR(INDEX(_xlfn.ANCHORARRAY($P$6),ROW()-5,3),"")</f>
        <v/>
      </c>
      <c r="K50" s="349"/>
      <c r="L50" s="348"/>
      <c r="M50" s="277"/>
      <c r="N50" s="277"/>
      <c r="O50" s="277"/>
      <c r="T50" s="439"/>
      <c r="U50" s="350"/>
      <c r="W50" s="316" t="str">
        <f t="shared" si="0"/>
        <v/>
      </c>
      <c r="X50" s="273" t="str">
        <f t="shared" si="1"/>
        <v/>
      </c>
      <c r="Y50" s="273" t="str">
        <f t="shared" si="2"/>
        <v/>
      </c>
      <c r="Z50" s="273" t="str">
        <f t="shared" si="3"/>
        <v/>
      </c>
      <c r="AA50" s="316" t="str">
        <f t="shared" si="4"/>
        <v/>
      </c>
      <c r="AC50" t="str" cm="1">
        <f t="array" ref="AC50">IF(INDEX($T$5:$T$54,ROW()-4)="","",INDEX($T$5:$T$54,ROW()-4))</f>
        <v/>
      </c>
      <c r="AD50" t="str">
        <f t="shared" si="5"/>
        <v/>
      </c>
      <c r="AE50" t="str">
        <f t="shared" si="6"/>
        <v/>
      </c>
      <c r="AF50" t="str">
        <f t="shared" si="7"/>
        <v/>
      </c>
      <c r="AG50">
        <f t="shared" si="8"/>
        <v>0</v>
      </c>
      <c r="AH50" t="str" cm="1">
        <f t="array" ref="AH50">IF($AC50="","",IF($AG50=1,SUMPRODUCT(($AG$5:$AG$54=1)*($AC$5:$AC$54&gt;$AC50))+1,SUM($AG$5:$AG$54)+SUMPRODUCT(($AG$5:$AG$54=0)*($AC$5:$AC$54&lt;&gt;"")*($AC$5:$AC$54&gt;$AC50))+1))</f>
        <v/>
      </c>
    </row>
    <row r="51" spans="1:34" ht="23" x14ac:dyDescent="0.25">
      <c r="A51" s="217" t="str" cm="1">
        <f t="array" ref="A51">IFERROR(INDEX(_xlfn.ANCHORARRAY($P$6),ROW()-5,1),"")</f>
        <v/>
      </c>
      <c r="B51" s="344" t="str" cm="1">
        <f t="array" ref="B51">IFERROR(INDEX(_xlfn.ANCHORARRAY($P$6),ROW()-5,2),"")</f>
        <v/>
      </c>
      <c r="C51" s="345" t="str">
        <f>IF($A51="","",IF($J51="DIESEL",SUMIFS(Table1[Quantity],Table1[Customer],$M$3,Table1[Date],$A51,Table1[Bill No.],$B51),IF($J51="PETROL",SUMIFS(Table14[Quantity],Table14[Customer],$M$3,Table14[Date],$A51,Table14[Bill No.],$B51),IF($J51="XtraGreen",SUMIFS(Table146[Quantity],Table146[Company],$M$3,Table146[Date],$A51,Table146[Bill No.],$B51),""))))</f>
        <v/>
      </c>
      <c r="D51" s="346" t="str">
        <f>IF($A51="","",IF($J51="DIESEL",AVERAGEIFS(Table1[RSP],Table1[Customer],$M$3,Table1[Date],$A51,Table1[Bill No.],$B51),IF($J51="PETROL",AVERAGEIFS(Table14[RSP],Table14[Customer],$M$3,Table14[Date],$A51,Table14[Bill No.],$B51),IF($J51="XtraGreen",AVERAGEIFS(Table146[RSP],Table146[Company],$M$3,Table146[Date],$A51,Table146[Bill No.],$B51),IFERROR($E51/$C51,"")))))</f>
        <v/>
      </c>
      <c r="E51" s="347" t="str">
        <f>IF($A51="","",IF($J51="DIESEL",SUMIFS(Table1[Amount],Table1[Customer],$M$3,Table1[Date],$A51,Table1[Bill No.],$B51),IF($J51="PETROL",SUMIFS(Table14[Amount],Table14[Customer],$M$3,Table14[Date],$A51,Table14[Bill No.],$B51),IF($J51="XtraGreen",SUMIFS(Table146[Amount],Table146[Company],$M$3,Table146[Date],$A51,Table146[Bill No.],$B51),SUMIFS('Other Sale'!$D:$D,'Other Sale'!$E:$E,$M$3,'Other Sale'!$C:$C,$J51,'Other Sale'!$A:$A,$A51)))))</f>
        <v/>
      </c>
      <c r="F51" s="347" t="str" cm="1">
        <f t="array" ref="F51">IF($A51="","",IF($J51="Payment",IFERROR(INDEX(_xlfn._xlws.FILTER(MasterPaid[Amount Paid],(MasterPaid[Customer]=$M$3)*(MasterPaid[Date]=$A51)),COUNTIFS($A$6:$A51,$A51,$J$6:$J51,"Payment")),0),0))</f>
        <v/>
      </c>
      <c r="G51" s="331"/>
      <c r="H51" s="427"/>
      <c r="I51" s="330" t="str">
        <f t="shared" si="9"/>
        <v/>
      </c>
      <c r="J51" s="344" t="str" cm="1">
        <f t="array" ref="J51">IFERROR(INDEX(_xlfn.ANCHORARRAY($P$6),ROW()-5,3),"")</f>
        <v/>
      </c>
      <c r="K51" s="349"/>
      <c r="L51" s="348"/>
      <c r="M51" s="277"/>
      <c r="N51" s="277"/>
      <c r="O51" s="277"/>
      <c r="T51" s="439"/>
      <c r="U51" s="350"/>
      <c r="W51" s="316" t="str">
        <f t="shared" si="0"/>
        <v/>
      </c>
      <c r="X51" s="273" t="str">
        <f t="shared" si="1"/>
        <v/>
      </c>
      <c r="Y51" s="273" t="str">
        <f t="shared" si="2"/>
        <v/>
      </c>
      <c r="Z51" s="273" t="str">
        <f t="shared" si="3"/>
        <v/>
      </c>
      <c r="AA51" s="316" t="str">
        <f t="shared" si="4"/>
        <v/>
      </c>
      <c r="AC51" t="str" cm="1">
        <f t="array" ref="AC51">IF(INDEX($T$5:$T$54,ROW()-4)="","",INDEX($T$5:$T$54,ROW()-4))</f>
        <v/>
      </c>
      <c r="AD51" t="str">
        <f t="shared" si="5"/>
        <v/>
      </c>
      <c r="AE51" t="str">
        <f t="shared" si="6"/>
        <v/>
      </c>
      <c r="AF51" t="str">
        <f t="shared" si="7"/>
        <v/>
      </c>
      <c r="AG51">
        <f t="shared" si="8"/>
        <v>0</v>
      </c>
      <c r="AH51" t="str" cm="1">
        <f t="array" ref="AH51">IF($AC51="","",IF($AG51=1,SUMPRODUCT(($AG$5:$AG$54=1)*($AC$5:$AC$54&gt;$AC51))+1,SUM($AG$5:$AG$54)+SUMPRODUCT(($AG$5:$AG$54=0)*($AC$5:$AC$54&lt;&gt;"")*($AC$5:$AC$54&gt;$AC51))+1))</f>
        <v/>
      </c>
    </row>
    <row r="52" spans="1:34" ht="23" x14ac:dyDescent="0.25">
      <c r="A52" s="217" t="str" cm="1">
        <f t="array" ref="A52">IFERROR(INDEX(_xlfn.ANCHORARRAY($P$6),ROW()-5,1),"")</f>
        <v/>
      </c>
      <c r="B52" s="344" t="str" cm="1">
        <f t="array" ref="B52">IFERROR(INDEX(_xlfn.ANCHORARRAY($P$6),ROW()-5,2),"")</f>
        <v/>
      </c>
      <c r="C52" s="345" t="str">
        <f>IF($A52="","",IF($J52="DIESEL",SUMIFS(Table1[Quantity],Table1[Customer],$M$3,Table1[Date],$A52,Table1[Bill No.],$B52),IF($J52="PETROL",SUMIFS(Table14[Quantity],Table14[Customer],$M$3,Table14[Date],$A52,Table14[Bill No.],$B52),IF($J52="XtraGreen",SUMIFS(Table146[Quantity],Table146[Company],$M$3,Table146[Date],$A52,Table146[Bill No.],$B52),""))))</f>
        <v/>
      </c>
      <c r="D52" s="346" t="str">
        <f>IF($A52="","",IF($J52="DIESEL",AVERAGEIFS(Table1[RSP],Table1[Customer],$M$3,Table1[Date],$A52,Table1[Bill No.],$B52),IF($J52="PETROL",AVERAGEIFS(Table14[RSP],Table14[Customer],$M$3,Table14[Date],$A52,Table14[Bill No.],$B52),IF($J52="XtraGreen",AVERAGEIFS(Table146[RSP],Table146[Company],$M$3,Table146[Date],$A52,Table146[Bill No.],$B52),IFERROR($E52/$C52,"")))))</f>
        <v/>
      </c>
      <c r="E52" s="347" t="str">
        <f>IF($A52="","",IF($J52="DIESEL",SUMIFS(Table1[Amount],Table1[Customer],$M$3,Table1[Date],$A52,Table1[Bill No.],$B52),IF($J52="PETROL",SUMIFS(Table14[Amount],Table14[Customer],$M$3,Table14[Date],$A52,Table14[Bill No.],$B52),IF($J52="XtraGreen",SUMIFS(Table146[Amount],Table146[Company],$M$3,Table146[Date],$A52,Table146[Bill No.],$B52),SUMIFS('Other Sale'!$D:$D,'Other Sale'!$E:$E,$M$3,'Other Sale'!$C:$C,$J52,'Other Sale'!$A:$A,$A52)))))</f>
        <v/>
      </c>
      <c r="F52" s="347" t="str" cm="1">
        <f t="array" ref="F52">IF($A52="","",IF($J52="Payment",IFERROR(INDEX(_xlfn._xlws.FILTER(MasterPaid[Amount Paid],(MasterPaid[Customer]=$M$3)*(MasterPaid[Date]=$A52)),COUNTIFS($A$6:$A52,$A52,$J$6:$J52,"Payment")),0),0))</f>
        <v/>
      </c>
      <c r="G52" s="331"/>
      <c r="H52" s="427"/>
      <c r="I52" s="330" t="str">
        <f t="shared" si="9"/>
        <v/>
      </c>
      <c r="J52" s="344" t="str" cm="1">
        <f t="array" ref="J52">IFERROR(INDEX(_xlfn.ANCHORARRAY($P$6),ROW()-5,3),"")</f>
        <v/>
      </c>
      <c r="K52" s="349"/>
      <c r="L52" s="348"/>
      <c r="M52" s="277"/>
      <c r="N52" s="277"/>
      <c r="O52" s="277"/>
      <c r="T52" s="439"/>
      <c r="U52" s="350"/>
      <c r="W52" s="316" t="str">
        <f t="shared" si="0"/>
        <v/>
      </c>
      <c r="X52" s="273" t="str">
        <f t="shared" si="1"/>
        <v/>
      </c>
      <c r="Y52" s="273" t="str">
        <f t="shared" si="2"/>
        <v/>
      </c>
      <c r="Z52" s="273" t="str">
        <f t="shared" si="3"/>
        <v/>
      </c>
      <c r="AA52" s="316" t="str">
        <f t="shared" si="4"/>
        <v/>
      </c>
      <c r="AC52" t="str" cm="1">
        <f t="array" ref="AC52">IF(INDEX($T$5:$T$54,ROW()-4)="","",INDEX($T$5:$T$54,ROW()-4))</f>
        <v/>
      </c>
      <c r="AD52" t="str">
        <f t="shared" si="5"/>
        <v/>
      </c>
      <c r="AE52" t="str">
        <f t="shared" si="6"/>
        <v/>
      </c>
      <c r="AF52" t="str">
        <f t="shared" si="7"/>
        <v/>
      </c>
      <c r="AG52">
        <f t="shared" si="8"/>
        <v>0</v>
      </c>
      <c r="AH52" t="str" cm="1">
        <f t="array" ref="AH52">IF($AC52="","",IF($AG52=1,SUMPRODUCT(($AG$5:$AG$54=1)*($AC$5:$AC$54&gt;$AC52))+1,SUM($AG$5:$AG$54)+SUMPRODUCT(($AG$5:$AG$54=0)*($AC$5:$AC$54&lt;&gt;"")*($AC$5:$AC$54&gt;$AC52))+1))</f>
        <v/>
      </c>
    </row>
    <row r="53" spans="1:34" ht="23" x14ac:dyDescent="0.25">
      <c r="A53" s="217" t="str" cm="1">
        <f t="array" ref="A53">IFERROR(INDEX(_xlfn.ANCHORARRAY($P$6),ROW()-5,1),"")</f>
        <v/>
      </c>
      <c r="B53" s="344" t="str" cm="1">
        <f t="array" ref="B53">IFERROR(INDEX(_xlfn.ANCHORARRAY($P$6),ROW()-5,2),"")</f>
        <v/>
      </c>
      <c r="C53" s="345" t="str">
        <f>IF($A53="","",IF($J53="DIESEL",SUMIFS(Table1[Quantity],Table1[Customer],$M$3,Table1[Date],$A53,Table1[Bill No.],$B53),IF($J53="PETROL",SUMIFS(Table14[Quantity],Table14[Customer],$M$3,Table14[Date],$A53,Table14[Bill No.],$B53),IF($J53="XtraGreen",SUMIFS(Table146[Quantity],Table146[Company],$M$3,Table146[Date],$A53,Table146[Bill No.],$B53),""))))</f>
        <v/>
      </c>
      <c r="D53" s="346" t="str">
        <f>IF($A53="","",IF($J53="DIESEL",AVERAGEIFS(Table1[RSP],Table1[Customer],$M$3,Table1[Date],$A53,Table1[Bill No.],$B53),IF($J53="PETROL",AVERAGEIFS(Table14[RSP],Table14[Customer],$M$3,Table14[Date],$A53,Table14[Bill No.],$B53),IF($J53="XtraGreen",AVERAGEIFS(Table146[RSP],Table146[Company],$M$3,Table146[Date],$A53,Table146[Bill No.],$B53),IFERROR($E53/$C53,"")))))</f>
        <v/>
      </c>
      <c r="E53" s="347" t="str">
        <f>IF($A53="","",IF($J53="DIESEL",SUMIFS(Table1[Amount],Table1[Customer],$M$3,Table1[Date],$A53,Table1[Bill No.],$B53),IF($J53="PETROL",SUMIFS(Table14[Amount],Table14[Customer],$M$3,Table14[Date],$A53,Table14[Bill No.],$B53),IF($J53="XtraGreen",SUMIFS(Table146[Amount],Table146[Company],$M$3,Table146[Date],$A53,Table146[Bill No.],$B53),SUMIFS('Other Sale'!$D:$D,'Other Sale'!$E:$E,$M$3,'Other Sale'!$C:$C,$J53,'Other Sale'!$A:$A,$A53)))))</f>
        <v/>
      </c>
      <c r="F53" s="347" t="str" cm="1">
        <f t="array" ref="F53">IF($A53="","",IF($J53="Payment",IFERROR(INDEX(_xlfn._xlws.FILTER(MasterPaid[Amount Paid],(MasterPaid[Customer]=$M$3)*(MasterPaid[Date]=$A53)),COUNTIFS($A$6:$A53,$A53,$J$6:$J53,"Payment")),0),0))</f>
        <v/>
      </c>
      <c r="G53" s="331"/>
      <c r="H53" s="427"/>
      <c r="I53" s="330" t="str">
        <f t="shared" si="9"/>
        <v/>
      </c>
      <c r="J53" s="344" t="str" cm="1">
        <f t="array" ref="J53">IFERROR(INDEX(_xlfn.ANCHORARRAY($P$6),ROW()-5,3),"")</f>
        <v/>
      </c>
      <c r="K53" s="349"/>
      <c r="L53" s="348"/>
      <c r="M53" s="277"/>
      <c r="N53" s="277"/>
      <c r="O53" s="277"/>
      <c r="T53" s="439"/>
      <c r="U53" s="350"/>
      <c r="W53" s="316" t="str">
        <f t="shared" si="0"/>
        <v/>
      </c>
      <c r="X53" s="273" t="str">
        <f t="shared" si="1"/>
        <v/>
      </c>
      <c r="Y53" s="273" t="str">
        <f t="shared" si="2"/>
        <v/>
      </c>
      <c r="Z53" s="273" t="str">
        <f t="shared" si="3"/>
        <v/>
      </c>
      <c r="AA53" s="316" t="str">
        <f t="shared" si="4"/>
        <v/>
      </c>
      <c r="AC53" t="str" cm="1">
        <f t="array" ref="AC53">IF(INDEX($T$5:$T$54,ROW()-4)="","",INDEX($T$5:$T$54,ROW()-4))</f>
        <v/>
      </c>
      <c r="AD53" t="str">
        <f t="shared" si="5"/>
        <v/>
      </c>
      <c r="AE53" t="str">
        <f t="shared" si="6"/>
        <v/>
      </c>
      <c r="AF53" t="str">
        <f t="shared" si="7"/>
        <v/>
      </c>
      <c r="AG53">
        <f t="shared" si="8"/>
        <v>0</v>
      </c>
      <c r="AH53" t="str" cm="1">
        <f t="array" ref="AH53">IF($AC53="","",IF($AG53=1,SUMPRODUCT(($AG$5:$AG$54=1)*($AC$5:$AC$54&gt;$AC53))+1,SUM($AG$5:$AG$54)+SUMPRODUCT(($AG$5:$AG$54=0)*($AC$5:$AC$54&lt;&gt;"")*($AC$5:$AC$54&gt;$AC53))+1))</f>
        <v/>
      </c>
    </row>
    <row r="54" spans="1:34" ht="23" x14ac:dyDescent="0.25">
      <c r="A54" s="217" t="str" cm="1">
        <f t="array" ref="A54">IFERROR(INDEX(_xlfn.ANCHORARRAY($P$6),ROW()-5,1),"")</f>
        <v/>
      </c>
      <c r="B54" s="344" t="str" cm="1">
        <f t="array" ref="B54">IFERROR(INDEX(_xlfn.ANCHORARRAY($P$6),ROW()-5,2),"")</f>
        <v/>
      </c>
      <c r="C54" s="345" t="str">
        <f>IF($A54="","",IF($J54="DIESEL",SUMIFS(Table1[Quantity],Table1[Customer],$M$3,Table1[Date],$A54,Table1[Bill No.],$B54),IF($J54="PETROL",SUMIFS(Table14[Quantity],Table14[Customer],$M$3,Table14[Date],$A54,Table14[Bill No.],$B54),IF($J54="XtraGreen",SUMIFS(Table146[Quantity],Table146[Company],$M$3,Table146[Date],$A54,Table146[Bill No.],$B54),""))))</f>
        <v/>
      </c>
      <c r="D54" s="346" t="str">
        <f>IF($A54="","",IF($J54="DIESEL",AVERAGEIFS(Table1[RSP],Table1[Customer],$M$3,Table1[Date],$A54,Table1[Bill No.],$B54),IF($J54="PETROL",AVERAGEIFS(Table14[RSP],Table14[Customer],$M$3,Table14[Date],$A54,Table14[Bill No.],$B54),IF($J54="XtraGreen",AVERAGEIFS(Table146[RSP],Table146[Company],$M$3,Table146[Date],$A54,Table146[Bill No.],$B54),IFERROR($E54/$C54,"")))))</f>
        <v/>
      </c>
      <c r="E54" s="347" t="str">
        <f>IF($A54="","",IF($J54="DIESEL",SUMIFS(Table1[Amount],Table1[Customer],$M$3,Table1[Date],$A54,Table1[Bill No.],$B54),IF($J54="PETROL",SUMIFS(Table14[Amount],Table14[Customer],$M$3,Table14[Date],$A54,Table14[Bill No.],$B54),IF($J54="XtraGreen",SUMIFS(Table146[Amount],Table146[Company],$M$3,Table146[Date],$A54,Table146[Bill No.],$B54),SUMIFS('Other Sale'!$D:$D,'Other Sale'!$E:$E,$M$3,'Other Sale'!$C:$C,$J54,'Other Sale'!$A:$A,$A54)))))</f>
        <v/>
      </c>
      <c r="F54" s="347" t="str" cm="1">
        <f t="array" ref="F54">IF($A54="","",IF($J54="Payment",IFERROR(INDEX(_xlfn._xlws.FILTER(MasterPaid[Amount Paid],(MasterPaid[Customer]=$M$3)*(MasterPaid[Date]=$A54)),COUNTIFS($A$6:$A54,$A54,$J$6:$J54,"Payment")),0),0))</f>
        <v/>
      </c>
      <c r="G54" s="331"/>
      <c r="H54" s="427"/>
      <c r="I54" s="330" t="str">
        <f t="shared" si="9"/>
        <v/>
      </c>
      <c r="J54" s="344" t="str" cm="1">
        <f t="array" ref="J54">IFERROR(INDEX(_xlfn.ANCHORARRAY($P$6),ROW()-5,3),"")</f>
        <v/>
      </c>
      <c r="K54" s="349"/>
      <c r="L54" s="348"/>
      <c r="M54" s="277"/>
      <c r="N54" s="277"/>
      <c r="O54" s="277"/>
      <c r="T54" s="439"/>
      <c r="U54" s="350"/>
      <c r="W54" s="316" t="str">
        <f t="shared" si="0"/>
        <v/>
      </c>
      <c r="X54" s="273" t="str">
        <f t="shared" si="1"/>
        <v/>
      </c>
      <c r="Y54" s="273" t="str">
        <f t="shared" si="2"/>
        <v/>
      </c>
      <c r="Z54" s="273" t="str">
        <f t="shared" si="3"/>
        <v/>
      </c>
      <c r="AA54" s="316" t="str">
        <f t="shared" si="4"/>
        <v/>
      </c>
      <c r="AC54" t="str" cm="1">
        <f t="array" ref="AC54">IF(INDEX($T$5:$T$54,ROW()-4)="","",INDEX($T$5:$T$54,ROW()-4))</f>
        <v/>
      </c>
      <c r="AD54" t="str">
        <f t="shared" si="5"/>
        <v/>
      </c>
      <c r="AE54" t="str">
        <f t="shared" si="6"/>
        <v/>
      </c>
      <c r="AF54" t="str">
        <f t="shared" si="7"/>
        <v/>
      </c>
      <c r="AG54">
        <f t="shared" si="8"/>
        <v>0</v>
      </c>
      <c r="AH54" t="str" cm="1">
        <f t="array" ref="AH54">IF($AC54="","",IF($AG54=1,SUMPRODUCT(($AG$5:$AG$54=1)*($AC$5:$AC$54&gt;$AC54))+1,SUM($AG$5:$AG$54)+SUMPRODUCT(($AG$5:$AG$54=0)*($AC$5:$AC$54&lt;&gt;"")*($AC$5:$AC$54&gt;$AC54))+1))</f>
        <v/>
      </c>
    </row>
    <row r="55" spans="1:34" ht="23" x14ac:dyDescent="0.25">
      <c r="A55" s="217" t="str" cm="1">
        <f t="array" ref="A55">IFERROR(INDEX(_xlfn.ANCHORARRAY($P$6),ROW()-5,1),"")</f>
        <v/>
      </c>
      <c r="B55" s="344" t="str" cm="1">
        <f t="array" ref="B55">IFERROR(INDEX(_xlfn.ANCHORARRAY($P$6),ROW()-5,2),"")</f>
        <v/>
      </c>
      <c r="C55" s="345" t="str">
        <f>IF($A55="","",IF($J55="DIESEL",SUMIFS(Table1[Quantity],Table1[Customer],$M$3,Table1[Date],$A55,Table1[Bill No.],$B55),IF($J55="PETROL",SUMIFS(Table14[Quantity],Table14[Customer],$M$3,Table14[Date],$A55,Table14[Bill No.],$B55),IF($J55="XtraGreen",SUMIFS(Table146[Quantity],Table146[Company],$M$3,Table146[Date],$A55,Table146[Bill No.],$B55),""))))</f>
        <v/>
      </c>
      <c r="D55" s="346" t="str">
        <f>IF($A55="","",IF($J55="DIESEL",AVERAGEIFS(Table1[RSP],Table1[Customer],$M$3,Table1[Date],$A55,Table1[Bill No.],$B55),IF($J55="PETROL",AVERAGEIFS(Table14[RSP],Table14[Customer],$M$3,Table14[Date],$A55,Table14[Bill No.],$B55),IF($J55="XtraGreen",AVERAGEIFS(Table146[RSP],Table146[Company],$M$3,Table146[Date],$A55,Table146[Bill No.],$B55),IFERROR($E55/$C55,"")))))</f>
        <v/>
      </c>
      <c r="E55" s="347" t="str">
        <f>IF($A55="","",IF($J55="DIESEL",SUMIFS(Table1[Amount],Table1[Customer],$M$3,Table1[Date],$A55,Table1[Bill No.],$B55),IF($J55="PETROL",SUMIFS(Table14[Amount],Table14[Customer],$M$3,Table14[Date],$A55,Table14[Bill No.],$B55),IF($J55="XtraGreen",SUMIFS(Table146[Amount],Table146[Company],$M$3,Table146[Date],$A55,Table146[Bill No.],$B55),SUMIFS('Other Sale'!$D:$D,'Other Sale'!$E:$E,$M$3,'Other Sale'!$C:$C,$J55,'Other Sale'!$A:$A,$A55)))))</f>
        <v/>
      </c>
      <c r="F55" s="347" t="str" cm="1">
        <f t="array" ref="F55">IF($A55="","",IF($J55="Payment",IFERROR(INDEX(_xlfn._xlws.FILTER(MasterPaid[Amount Paid],(MasterPaid[Customer]=$M$3)*(MasterPaid[Date]=$A55)),COUNTIFS($A$6:$A55,$A55,$J$6:$J55,"Payment")),0),0))</f>
        <v/>
      </c>
      <c r="G55" s="331"/>
      <c r="H55" s="427"/>
      <c r="I55" s="330" t="str">
        <f t="shared" si="9"/>
        <v/>
      </c>
      <c r="J55" s="344" t="str" cm="1">
        <f t="array" ref="J55">IFERROR(INDEX(_xlfn.ANCHORARRAY($P$6),ROW()-5,3),"")</f>
        <v/>
      </c>
      <c r="K55" s="349"/>
      <c r="L55" s="348"/>
      <c r="M55" s="277"/>
      <c r="N55" s="277"/>
      <c r="O55" s="277"/>
    </row>
    <row r="56" spans="1:34" ht="23" x14ac:dyDescent="0.25">
      <c r="A56" s="217" t="str" cm="1">
        <f t="array" ref="A56">IFERROR(INDEX(_xlfn.ANCHORARRAY($P$6),ROW()-5,1),"")</f>
        <v/>
      </c>
      <c r="B56" s="344" t="str" cm="1">
        <f t="array" ref="B56">IFERROR(INDEX(_xlfn.ANCHORARRAY($P$6),ROW()-5,2),"")</f>
        <v/>
      </c>
      <c r="C56" s="345" t="str">
        <f>IF($A56="","",IF($J56="DIESEL",SUMIFS(Table1[Quantity],Table1[Customer],$M$3,Table1[Date],$A56,Table1[Bill No.],$B56),IF($J56="PETROL",SUMIFS(Table14[Quantity],Table14[Customer],$M$3,Table14[Date],$A56,Table14[Bill No.],$B56),IF($J56="XtraGreen",SUMIFS(Table146[Quantity],Table146[Company],$M$3,Table146[Date],$A56,Table146[Bill No.],$B56),""))))</f>
        <v/>
      </c>
      <c r="D56" s="346" t="str">
        <f>IF($A56="","",IF($J56="DIESEL",AVERAGEIFS(Table1[RSP],Table1[Customer],$M$3,Table1[Date],$A56,Table1[Bill No.],$B56),IF($J56="PETROL",AVERAGEIFS(Table14[RSP],Table14[Customer],$M$3,Table14[Date],$A56,Table14[Bill No.],$B56),IF($J56="XtraGreen",AVERAGEIFS(Table146[RSP],Table146[Company],$M$3,Table146[Date],$A56,Table146[Bill No.],$B56),IFERROR($E56/$C56,"")))))</f>
        <v/>
      </c>
      <c r="E56" s="347" t="str">
        <f>IF($A56="","",IF($J56="DIESEL",SUMIFS(Table1[Amount],Table1[Customer],$M$3,Table1[Date],$A56,Table1[Bill No.],$B56),IF($J56="PETROL",SUMIFS(Table14[Amount],Table14[Customer],$M$3,Table14[Date],$A56,Table14[Bill No.],$B56),IF($J56="XtraGreen",SUMIFS(Table146[Amount],Table146[Company],$M$3,Table146[Date],$A56,Table146[Bill No.],$B56),SUMIFS('Other Sale'!$D:$D,'Other Sale'!$E:$E,$M$3,'Other Sale'!$C:$C,$J56,'Other Sale'!$A:$A,$A56)))))</f>
        <v/>
      </c>
      <c r="F56" s="347" t="str" cm="1">
        <f t="array" ref="F56">IF($A56="","",IF($J56="Payment",IFERROR(INDEX(_xlfn._xlws.FILTER(MasterPaid[Amount Paid],(MasterPaid[Customer]=$M$3)*(MasterPaid[Date]=$A56)),COUNTIFS($A$6:$A56,$A56,$J$6:$J56,"Payment")),0),0))</f>
        <v/>
      </c>
      <c r="G56" s="331"/>
      <c r="H56" s="427"/>
      <c r="I56" s="330" t="str">
        <f t="shared" si="9"/>
        <v/>
      </c>
      <c r="J56" s="344" t="str" cm="1">
        <f t="array" ref="J56">IFERROR(INDEX(_xlfn.ANCHORARRAY($P$6),ROW()-5,3),"")</f>
        <v/>
      </c>
      <c r="K56" s="349"/>
      <c r="L56" s="348"/>
      <c r="M56" s="277"/>
      <c r="N56" s="277"/>
      <c r="O56" s="277"/>
    </row>
    <row r="57" spans="1:34" ht="23" x14ac:dyDescent="0.25">
      <c r="A57" s="217" t="str" cm="1">
        <f t="array" ref="A57">IFERROR(INDEX(_xlfn.ANCHORARRAY($P$6),ROW()-5,1),"")</f>
        <v/>
      </c>
      <c r="B57" s="344" t="str" cm="1">
        <f t="array" ref="B57">IFERROR(INDEX(_xlfn.ANCHORARRAY($P$6),ROW()-5,2),"")</f>
        <v/>
      </c>
      <c r="C57" s="345" t="str">
        <f>IF($A57="","",IF($J57="DIESEL",SUMIFS(Table1[Quantity],Table1[Customer],$M$3,Table1[Date],$A57,Table1[Bill No.],$B57),IF($J57="PETROL",SUMIFS(Table14[Quantity],Table14[Customer],$M$3,Table14[Date],$A57,Table14[Bill No.],$B57),IF($J57="XtraGreen",SUMIFS(Table146[Quantity],Table146[Company],$M$3,Table146[Date],$A57,Table146[Bill No.],$B57),""))))</f>
        <v/>
      </c>
      <c r="D57" s="346" t="str">
        <f>IF($A57="","",IF($J57="DIESEL",AVERAGEIFS(Table1[RSP],Table1[Customer],$M$3,Table1[Date],$A57,Table1[Bill No.],$B57),IF($J57="PETROL",AVERAGEIFS(Table14[RSP],Table14[Customer],$M$3,Table14[Date],$A57,Table14[Bill No.],$B57),IF($J57="XtraGreen",AVERAGEIFS(Table146[RSP],Table146[Company],$M$3,Table146[Date],$A57,Table146[Bill No.],$B57),IFERROR($E57/$C57,"")))))</f>
        <v/>
      </c>
      <c r="E57" s="347" t="str">
        <f>IF($A57="","",IF($J57="DIESEL",SUMIFS(Table1[Amount],Table1[Customer],$M$3,Table1[Date],$A57,Table1[Bill No.],$B57),IF($J57="PETROL",SUMIFS(Table14[Amount],Table14[Customer],$M$3,Table14[Date],$A57,Table14[Bill No.],$B57),IF($J57="XtraGreen",SUMIFS(Table146[Amount],Table146[Company],$M$3,Table146[Date],$A57,Table146[Bill No.],$B57),SUMIFS('Other Sale'!$D:$D,'Other Sale'!$E:$E,$M$3,'Other Sale'!$C:$C,$J57,'Other Sale'!$A:$A,$A57)))))</f>
        <v/>
      </c>
      <c r="F57" s="347" t="str" cm="1">
        <f t="array" ref="F57">IF($A57="","",IF($J57="Payment",IFERROR(INDEX(_xlfn._xlws.FILTER(MasterPaid[Amount Paid],(MasterPaid[Customer]=$M$3)*(MasterPaid[Date]=$A57)),COUNTIFS($A$6:$A57,$A57,$J$6:$J57,"Payment")),0),0))</f>
        <v/>
      </c>
      <c r="G57" s="331"/>
      <c r="H57" s="427"/>
      <c r="I57" s="330" t="str">
        <f t="shared" si="9"/>
        <v/>
      </c>
      <c r="J57" s="344" t="str" cm="1">
        <f t="array" ref="J57">IFERROR(INDEX(_xlfn.ANCHORARRAY($P$6),ROW()-5,3),"")</f>
        <v/>
      </c>
      <c r="K57" s="349"/>
      <c r="L57" s="348"/>
      <c r="M57" s="277"/>
      <c r="N57" s="277"/>
      <c r="O57" s="277"/>
    </row>
    <row r="58" spans="1:34" ht="23" x14ac:dyDescent="0.25">
      <c r="A58" s="217" t="str" cm="1">
        <f t="array" ref="A58">IFERROR(INDEX(_xlfn.ANCHORARRAY($P$6),ROW()-5,1),"")</f>
        <v/>
      </c>
      <c r="B58" s="344" t="str" cm="1">
        <f t="array" ref="B58">IFERROR(INDEX(_xlfn.ANCHORARRAY($P$6),ROW()-5,2),"")</f>
        <v/>
      </c>
      <c r="C58" s="345" t="str">
        <f>IF($A58="","",IF($J58="DIESEL",SUMIFS(Table1[Quantity],Table1[Customer],$M$3,Table1[Date],$A58,Table1[Bill No.],$B58),IF($J58="PETROL",SUMIFS(Table14[Quantity],Table14[Customer],$M$3,Table14[Date],$A58,Table14[Bill No.],$B58),IF($J58="XtraGreen",SUMIFS(Table146[Quantity],Table146[Company],$M$3,Table146[Date],$A58,Table146[Bill No.],$B58),""))))</f>
        <v/>
      </c>
      <c r="D58" s="346" t="str">
        <f>IF($A58="","",IF($J58="DIESEL",AVERAGEIFS(Table1[RSP],Table1[Customer],$M$3,Table1[Date],$A58,Table1[Bill No.],$B58),IF($J58="PETROL",AVERAGEIFS(Table14[RSP],Table14[Customer],$M$3,Table14[Date],$A58,Table14[Bill No.],$B58),IF($J58="XtraGreen",AVERAGEIFS(Table146[RSP],Table146[Company],$M$3,Table146[Date],$A58,Table146[Bill No.],$B58),IFERROR($E58/$C58,"")))))</f>
        <v/>
      </c>
      <c r="E58" s="347" t="str">
        <f>IF($A58="","",IF($J58="DIESEL",SUMIFS(Table1[Amount],Table1[Customer],$M$3,Table1[Date],$A58,Table1[Bill No.],$B58),IF($J58="PETROL",SUMIFS(Table14[Amount],Table14[Customer],$M$3,Table14[Date],$A58,Table14[Bill No.],$B58),IF($J58="XtraGreen",SUMIFS(Table146[Amount],Table146[Company],$M$3,Table146[Date],$A58,Table146[Bill No.],$B58),SUMIFS('Other Sale'!$D:$D,'Other Sale'!$E:$E,$M$3,'Other Sale'!$C:$C,$J58,'Other Sale'!$A:$A,$A58)))))</f>
        <v/>
      </c>
      <c r="F58" s="347" t="str" cm="1">
        <f t="array" ref="F58">IF($A58="","",IF($J58="Payment",IFERROR(INDEX(_xlfn._xlws.FILTER(MasterPaid[Amount Paid],(MasterPaid[Customer]=$M$3)*(MasterPaid[Date]=$A58)),COUNTIFS($A$6:$A58,$A58,$J$6:$J58,"Payment")),0),0))</f>
        <v/>
      </c>
      <c r="G58" s="331"/>
      <c r="H58" s="427"/>
      <c r="I58" s="330" t="str">
        <f t="shared" si="9"/>
        <v/>
      </c>
      <c r="J58" s="344" t="str" cm="1">
        <f t="array" ref="J58">IFERROR(INDEX(_xlfn.ANCHORARRAY($P$6),ROW()-5,3),"")</f>
        <v/>
      </c>
      <c r="K58" s="349"/>
      <c r="L58" s="348"/>
      <c r="M58" s="277"/>
      <c r="N58" s="277"/>
      <c r="O58" s="277"/>
    </row>
    <row r="59" spans="1:34" ht="23" x14ac:dyDescent="0.25">
      <c r="A59" s="217" t="str" cm="1">
        <f t="array" ref="A59">IFERROR(INDEX(_xlfn.ANCHORARRAY($P$6),ROW()-5,1),"")</f>
        <v/>
      </c>
      <c r="B59" s="344" t="str" cm="1">
        <f t="array" ref="B59">IFERROR(INDEX(_xlfn.ANCHORARRAY($P$6),ROW()-5,2),"")</f>
        <v/>
      </c>
      <c r="C59" s="345" t="str">
        <f>IF($A59="","",IF($J59="DIESEL",SUMIFS(Table1[Quantity],Table1[Customer],$M$3,Table1[Date],$A59,Table1[Bill No.],$B59),IF($J59="PETROL",SUMIFS(Table14[Quantity],Table14[Customer],$M$3,Table14[Date],$A59,Table14[Bill No.],$B59),IF($J59="XtraGreen",SUMIFS(Table146[Quantity],Table146[Company],$M$3,Table146[Date],$A59,Table146[Bill No.],$B59),""))))</f>
        <v/>
      </c>
      <c r="D59" s="346" t="str">
        <f>IF($A59="","",IF($J59="DIESEL",AVERAGEIFS(Table1[RSP],Table1[Customer],$M$3,Table1[Date],$A59,Table1[Bill No.],$B59),IF($J59="PETROL",AVERAGEIFS(Table14[RSP],Table14[Customer],$M$3,Table14[Date],$A59,Table14[Bill No.],$B59),IF($J59="XtraGreen",AVERAGEIFS(Table146[RSP],Table146[Company],$M$3,Table146[Date],$A59,Table146[Bill No.],$B59),IFERROR($E59/$C59,"")))))</f>
        <v/>
      </c>
      <c r="E59" s="347" t="str">
        <f>IF($A59="","",IF($J59="DIESEL",SUMIFS(Table1[Amount],Table1[Customer],$M$3,Table1[Date],$A59,Table1[Bill No.],$B59),IF($J59="PETROL",SUMIFS(Table14[Amount],Table14[Customer],$M$3,Table14[Date],$A59,Table14[Bill No.],$B59),IF($J59="XtraGreen",SUMIFS(Table146[Amount],Table146[Company],$M$3,Table146[Date],$A59,Table146[Bill No.],$B59),SUMIFS('Other Sale'!$D:$D,'Other Sale'!$E:$E,$M$3,'Other Sale'!$C:$C,$J59,'Other Sale'!$A:$A,$A59)))))</f>
        <v/>
      </c>
      <c r="F59" s="347" t="str" cm="1">
        <f t="array" ref="F59">IF($A59="","",IF($J59="Payment",IFERROR(INDEX(_xlfn._xlws.FILTER(MasterPaid[Amount Paid],(MasterPaid[Customer]=$M$3)*(MasterPaid[Date]=$A59)),COUNTIFS($A$6:$A59,$A59,$J$6:$J59,"Payment")),0),0))</f>
        <v/>
      </c>
      <c r="G59" s="331"/>
      <c r="H59" s="427"/>
      <c r="I59" s="330" t="str">
        <f t="shared" si="9"/>
        <v/>
      </c>
      <c r="J59" s="344" t="str" cm="1">
        <f t="array" ref="J59">IFERROR(INDEX(_xlfn.ANCHORARRAY($P$6),ROW()-5,3),"")</f>
        <v/>
      </c>
      <c r="K59" s="349"/>
      <c r="L59" s="348"/>
      <c r="M59" s="277"/>
      <c r="N59" s="277"/>
      <c r="O59" s="277"/>
    </row>
    <row r="60" spans="1:34" ht="23" x14ac:dyDescent="0.25">
      <c r="A60" s="217" t="str" cm="1">
        <f t="array" ref="A60">IFERROR(INDEX(_xlfn.ANCHORARRAY($P$6),ROW()-5,1),"")</f>
        <v/>
      </c>
      <c r="B60" s="344" t="str" cm="1">
        <f t="array" ref="B60">IFERROR(INDEX(_xlfn.ANCHORARRAY($P$6),ROW()-5,2),"")</f>
        <v/>
      </c>
      <c r="C60" s="345" t="str">
        <f>IF($A60="","",IF($J60="DIESEL",SUMIFS(Table1[Quantity],Table1[Customer],$M$3,Table1[Date],$A60,Table1[Bill No.],$B60),IF($J60="PETROL",SUMIFS(Table14[Quantity],Table14[Customer],$M$3,Table14[Date],$A60,Table14[Bill No.],$B60),IF($J60="XtraGreen",SUMIFS(Table146[Quantity],Table146[Company],$M$3,Table146[Date],$A60,Table146[Bill No.],$B60),""))))</f>
        <v/>
      </c>
      <c r="D60" s="346" t="str">
        <f>IF($A60="","",IF($J60="DIESEL",AVERAGEIFS(Table1[RSP],Table1[Customer],$M$3,Table1[Date],$A60,Table1[Bill No.],$B60),IF($J60="PETROL",AVERAGEIFS(Table14[RSP],Table14[Customer],$M$3,Table14[Date],$A60,Table14[Bill No.],$B60),IF($J60="XtraGreen",AVERAGEIFS(Table146[RSP],Table146[Company],$M$3,Table146[Date],$A60,Table146[Bill No.],$B60),IFERROR($E60/$C60,"")))))</f>
        <v/>
      </c>
      <c r="E60" s="347" t="str">
        <f>IF($A60="","",IF($J60="DIESEL",SUMIFS(Table1[Amount],Table1[Customer],$M$3,Table1[Date],$A60,Table1[Bill No.],$B60),IF($J60="PETROL",SUMIFS(Table14[Amount],Table14[Customer],$M$3,Table14[Date],$A60,Table14[Bill No.],$B60),IF($J60="XtraGreen",SUMIFS(Table146[Amount],Table146[Company],$M$3,Table146[Date],$A60,Table146[Bill No.],$B60),SUMIFS('Other Sale'!$D:$D,'Other Sale'!$E:$E,$M$3,'Other Sale'!$C:$C,$J60,'Other Sale'!$A:$A,$A60)))))</f>
        <v/>
      </c>
      <c r="F60" s="347" t="str" cm="1">
        <f t="array" ref="F60">IF($A60="","",IF($J60="Payment",IFERROR(INDEX(_xlfn._xlws.FILTER(MasterPaid[Amount Paid],(MasterPaid[Customer]=$M$3)*(MasterPaid[Date]=$A60)),COUNTIFS($A$6:$A60,$A60,$J$6:$J60,"Payment")),0),0))</f>
        <v/>
      </c>
      <c r="G60" s="331"/>
      <c r="H60" s="427"/>
      <c r="I60" s="330" t="str">
        <f t="shared" si="9"/>
        <v/>
      </c>
      <c r="J60" s="344" t="str" cm="1">
        <f t="array" ref="J60">IFERROR(INDEX(_xlfn.ANCHORARRAY($P$6),ROW()-5,3),"")</f>
        <v/>
      </c>
      <c r="K60" s="349"/>
      <c r="L60" s="348"/>
      <c r="M60" s="277"/>
      <c r="N60" s="277"/>
      <c r="O60" s="277"/>
    </row>
    <row r="61" spans="1:34" ht="23" x14ac:dyDescent="0.25">
      <c r="A61" s="217" t="str" cm="1">
        <f t="array" ref="A61">IFERROR(INDEX(_xlfn.ANCHORARRAY($P$6),ROW()-5,1),"")</f>
        <v/>
      </c>
      <c r="B61" s="344" t="str" cm="1">
        <f t="array" ref="B61">IFERROR(INDEX(_xlfn.ANCHORARRAY($P$6),ROW()-5,2),"")</f>
        <v/>
      </c>
      <c r="C61" s="345" t="str">
        <f>IF($A61="","",IF($J61="DIESEL",SUMIFS(Table1[Quantity],Table1[Customer],$M$3,Table1[Date],$A61,Table1[Bill No.],$B61),IF($J61="PETROL",SUMIFS(Table14[Quantity],Table14[Customer],$M$3,Table14[Date],$A61,Table14[Bill No.],$B61),IF($J61="XtraGreen",SUMIFS(Table146[Quantity],Table146[Company],$M$3,Table146[Date],$A61,Table146[Bill No.],$B61),""))))</f>
        <v/>
      </c>
      <c r="D61" s="346" t="str">
        <f>IF($A61="","",IF($J61="DIESEL",AVERAGEIFS(Table1[RSP],Table1[Customer],$M$3,Table1[Date],$A61,Table1[Bill No.],$B61),IF($J61="PETROL",AVERAGEIFS(Table14[RSP],Table14[Customer],$M$3,Table14[Date],$A61,Table14[Bill No.],$B61),IF($J61="XtraGreen",AVERAGEIFS(Table146[RSP],Table146[Company],$M$3,Table146[Date],$A61,Table146[Bill No.],$B61),IFERROR($E61/$C61,"")))))</f>
        <v/>
      </c>
      <c r="E61" s="347" t="str">
        <f>IF($A61="","",IF($J61="DIESEL",SUMIFS(Table1[Amount],Table1[Customer],$M$3,Table1[Date],$A61,Table1[Bill No.],$B61),IF($J61="PETROL",SUMIFS(Table14[Amount],Table14[Customer],$M$3,Table14[Date],$A61,Table14[Bill No.],$B61),IF($J61="XtraGreen",SUMIFS(Table146[Amount],Table146[Company],$M$3,Table146[Date],$A61,Table146[Bill No.],$B61),SUMIFS('Other Sale'!$D:$D,'Other Sale'!$E:$E,$M$3,'Other Sale'!$C:$C,$J61,'Other Sale'!$A:$A,$A61)))))</f>
        <v/>
      </c>
      <c r="F61" s="347" t="str" cm="1">
        <f t="array" ref="F61">IF($A61="","",IF($J61="Payment",IFERROR(INDEX(_xlfn._xlws.FILTER(MasterPaid[Amount Paid],(MasterPaid[Customer]=$M$3)*(MasterPaid[Date]=$A61)),COUNTIFS($A$6:$A61,$A61,$J$6:$J61,"Payment")),0),0))</f>
        <v/>
      </c>
      <c r="G61" s="331"/>
      <c r="H61" s="427"/>
      <c r="I61" s="330" t="str">
        <f t="shared" si="9"/>
        <v/>
      </c>
      <c r="J61" s="344" t="str" cm="1">
        <f t="array" ref="J61">IFERROR(INDEX(_xlfn.ANCHORARRAY($P$6),ROW()-5,3),"")</f>
        <v/>
      </c>
      <c r="K61" s="349"/>
      <c r="L61" s="348"/>
      <c r="M61" s="277"/>
      <c r="N61" s="277"/>
      <c r="O61" s="277"/>
    </row>
    <row r="62" spans="1:34" ht="23" x14ac:dyDescent="0.25">
      <c r="A62" s="217" t="str" cm="1">
        <f t="array" ref="A62">IFERROR(INDEX(_xlfn.ANCHORARRAY($P$6),ROW()-5,1),"")</f>
        <v/>
      </c>
      <c r="B62" s="344" t="str" cm="1">
        <f t="array" ref="B62">IFERROR(INDEX(_xlfn.ANCHORARRAY($P$6),ROW()-5,2),"")</f>
        <v/>
      </c>
      <c r="C62" s="345" t="str">
        <f>IF($A62="","",IF($J62="DIESEL",SUMIFS(Table1[Quantity],Table1[Customer],$M$3,Table1[Date],$A62,Table1[Bill No.],$B62),IF($J62="PETROL",SUMIFS(Table14[Quantity],Table14[Customer],$M$3,Table14[Date],$A62,Table14[Bill No.],$B62),IF($J62="XtraGreen",SUMIFS(Table146[Quantity],Table146[Company],$M$3,Table146[Date],$A62,Table146[Bill No.],$B62),""))))</f>
        <v/>
      </c>
      <c r="D62" s="346" t="str">
        <f>IF($A62="","",IF($J62="DIESEL",AVERAGEIFS(Table1[RSP],Table1[Customer],$M$3,Table1[Date],$A62,Table1[Bill No.],$B62),IF($J62="PETROL",AVERAGEIFS(Table14[RSP],Table14[Customer],$M$3,Table14[Date],$A62,Table14[Bill No.],$B62),IF($J62="XtraGreen",AVERAGEIFS(Table146[RSP],Table146[Company],$M$3,Table146[Date],$A62,Table146[Bill No.],$B62),IFERROR($E62/$C62,"")))))</f>
        <v/>
      </c>
      <c r="E62" s="347" t="str">
        <f>IF($A62="","",IF($J62="DIESEL",SUMIFS(Table1[Amount],Table1[Customer],$M$3,Table1[Date],$A62,Table1[Bill No.],$B62),IF($J62="PETROL",SUMIFS(Table14[Amount],Table14[Customer],$M$3,Table14[Date],$A62,Table14[Bill No.],$B62),IF($J62="XtraGreen",SUMIFS(Table146[Amount],Table146[Company],$M$3,Table146[Date],$A62,Table146[Bill No.],$B62),SUMIFS('Other Sale'!$D:$D,'Other Sale'!$E:$E,$M$3,'Other Sale'!$C:$C,$J62,'Other Sale'!$A:$A,$A62)))))</f>
        <v/>
      </c>
      <c r="F62" s="347" t="str" cm="1">
        <f t="array" ref="F62">IF($A62="","",IF($J62="Payment",IFERROR(INDEX(_xlfn._xlws.FILTER(MasterPaid[Amount Paid],(MasterPaid[Customer]=$M$3)*(MasterPaid[Date]=$A62)),COUNTIFS($A$6:$A62,$A62,$J$6:$J62,"Payment")),0),0))</f>
        <v/>
      </c>
      <c r="G62" s="331"/>
      <c r="H62" s="427"/>
      <c r="I62" s="330" t="str">
        <f t="shared" si="9"/>
        <v/>
      </c>
      <c r="J62" s="344" t="str" cm="1">
        <f t="array" ref="J62">IFERROR(INDEX(_xlfn.ANCHORARRAY($P$6),ROW()-5,3),"")</f>
        <v/>
      </c>
      <c r="K62" s="349"/>
      <c r="L62" s="348"/>
      <c r="M62" s="277"/>
      <c r="N62" s="277"/>
      <c r="O62" s="277"/>
    </row>
    <row r="63" spans="1:34" ht="23" x14ac:dyDescent="0.25">
      <c r="A63" s="217" t="str" cm="1">
        <f t="array" ref="A63">IFERROR(INDEX(_xlfn.ANCHORARRAY($P$6),ROW()-5,1),"")</f>
        <v/>
      </c>
      <c r="B63" s="344" t="str" cm="1">
        <f t="array" ref="B63">IFERROR(INDEX(_xlfn.ANCHORARRAY($P$6),ROW()-5,2),"")</f>
        <v/>
      </c>
      <c r="C63" s="345" t="str">
        <f>IF($A63="","",IF($J63="DIESEL",SUMIFS(Table1[Quantity],Table1[Customer],$M$3,Table1[Date],$A63,Table1[Bill No.],$B63),IF($J63="PETROL",SUMIFS(Table14[Quantity],Table14[Customer],$M$3,Table14[Date],$A63,Table14[Bill No.],$B63),IF($J63="XtraGreen",SUMIFS(Table146[Quantity],Table146[Company],$M$3,Table146[Date],$A63,Table146[Bill No.],$B63),""))))</f>
        <v/>
      </c>
      <c r="D63" s="346" t="str">
        <f>IF($A63="","",IF($J63="DIESEL",AVERAGEIFS(Table1[RSP],Table1[Customer],$M$3,Table1[Date],$A63,Table1[Bill No.],$B63),IF($J63="PETROL",AVERAGEIFS(Table14[RSP],Table14[Customer],$M$3,Table14[Date],$A63,Table14[Bill No.],$B63),IF($J63="XtraGreen",AVERAGEIFS(Table146[RSP],Table146[Company],$M$3,Table146[Date],$A63,Table146[Bill No.],$B63),IFERROR($E63/$C63,"")))))</f>
        <v/>
      </c>
      <c r="E63" s="347" t="str">
        <f>IF($A63="","",IF($J63="DIESEL",SUMIFS(Table1[Amount],Table1[Customer],$M$3,Table1[Date],$A63,Table1[Bill No.],$B63),IF($J63="PETROL",SUMIFS(Table14[Amount],Table14[Customer],$M$3,Table14[Date],$A63,Table14[Bill No.],$B63),IF($J63="XtraGreen",SUMIFS(Table146[Amount],Table146[Company],$M$3,Table146[Date],$A63,Table146[Bill No.],$B63),SUMIFS('Other Sale'!$D:$D,'Other Sale'!$E:$E,$M$3,'Other Sale'!$C:$C,$J63,'Other Sale'!$A:$A,$A63)))))</f>
        <v/>
      </c>
      <c r="F63" s="347" t="str" cm="1">
        <f t="array" ref="F63">IF($A63="","",IF($J63="Payment",IFERROR(INDEX(_xlfn._xlws.FILTER(MasterPaid[Amount Paid],(MasterPaid[Customer]=$M$3)*(MasterPaid[Date]=$A63)),COUNTIFS($A$6:$A63,$A63,$J$6:$J63,"Payment")),0),0))</f>
        <v/>
      </c>
      <c r="G63" s="331"/>
      <c r="H63" s="427"/>
      <c r="I63" s="330" t="str">
        <f t="shared" si="9"/>
        <v/>
      </c>
      <c r="J63" s="344" t="str" cm="1">
        <f t="array" ref="J63">IFERROR(INDEX(_xlfn.ANCHORARRAY($P$6),ROW()-5,3),"")</f>
        <v/>
      </c>
      <c r="K63" s="349"/>
      <c r="L63" s="348"/>
      <c r="M63" s="277"/>
      <c r="N63" s="277"/>
      <c r="O63" s="277"/>
    </row>
    <row r="64" spans="1:34" ht="23" x14ac:dyDescent="0.25">
      <c r="A64" s="217" t="str" cm="1">
        <f t="array" ref="A64">IFERROR(INDEX(_xlfn.ANCHORARRAY($P$6),ROW()-5,1),"")</f>
        <v/>
      </c>
      <c r="B64" s="344" t="str" cm="1">
        <f t="array" ref="B64">IFERROR(INDEX(_xlfn.ANCHORARRAY($P$6),ROW()-5,2),"")</f>
        <v/>
      </c>
      <c r="C64" s="345" t="str">
        <f>IF($A64="","",IF($J64="DIESEL",SUMIFS(Table1[Quantity],Table1[Customer],$M$3,Table1[Date],$A64,Table1[Bill No.],$B64),IF($J64="PETROL",SUMIFS(Table14[Quantity],Table14[Customer],$M$3,Table14[Date],$A64,Table14[Bill No.],$B64),IF($J64="XtraGreen",SUMIFS(Table146[Quantity],Table146[Company],$M$3,Table146[Date],$A64,Table146[Bill No.],$B64),""))))</f>
        <v/>
      </c>
      <c r="D64" s="346" t="str">
        <f>IF($A64="","",IF($J64="DIESEL",AVERAGEIFS(Table1[RSP],Table1[Customer],$M$3,Table1[Date],$A64,Table1[Bill No.],$B64),IF($J64="PETROL",AVERAGEIFS(Table14[RSP],Table14[Customer],$M$3,Table14[Date],$A64,Table14[Bill No.],$B64),IF($J64="XtraGreen",AVERAGEIFS(Table146[RSP],Table146[Company],$M$3,Table146[Date],$A64,Table146[Bill No.],$B64),IFERROR($E64/$C64,"")))))</f>
        <v/>
      </c>
      <c r="E64" s="347" t="str">
        <f>IF($A64="","",IF($J64="DIESEL",SUMIFS(Table1[Amount],Table1[Customer],$M$3,Table1[Date],$A64,Table1[Bill No.],$B64),IF($J64="PETROL",SUMIFS(Table14[Amount],Table14[Customer],$M$3,Table14[Date],$A64,Table14[Bill No.],$B64),IF($J64="XtraGreen",SUMIFS(Table146[Amount],Table146[Company],$M$3,Table146[Date],$A64,Table146[Bill No.],$B64),SUMIFS('Other Sale'!$D:$D,'Other Sale'!$E:$E,$M$3,'Other Sale'!$C:$C,$J64,'Other Sale'!$A:$A,$A64)))))</f>
        <v/>
      </c>
      <c r="F64" s="347" t="str" cm="1">
        <f t="array" ref="F64">IF($A64="","",IF($J64="Payment",IFERROR(INDEX(_xlfn._xlws.FILTER(MasterPaid[Amount Paid],(MasterPaid[Customer]=$M$3)*(MasterPaid[Date]=$A64)),COUNTIFS($A$6:$A64,$A64,$J$6:$J64,"Payment")),0),0))</f>
        <v/>
      </c>
      <c r="G64" s="331"/>
      <c r="H64" s="427"/>
      <c r="I64" s="330" t="str">
        <f t="shared" si="9"/>
        <v/>
      </c>
      <c r="J64" s="344" t="str" cm="1">
        <f t="array" ref="J64">IFERROR(INDEX(_xlfn.ANCHORARRAY($P$6),ROW()-5,3),"")</f>
        <v/>
      </c>
      <c r="K64" s="349"/>
      <c r="L64" s="348"/>
      <c r="M64" s="277"/>
      <c r="N64" s="277"/>
      <c r="O64" s="277"/>
    </row>
    <row r="65" spans="1:15" ht="23" x14ac:dyDescent="0.25">
      <c r="A65" s="217" t="str" cm="1">
        <f t="array" ref="A65">IFERROR(INDEX(_xlfn.ANCHORARRAY($P$6),ROW()-5,1),"")</f>
        <v/>
      </c>
      <c r="B65" s="344" t="str" cm="1">
        <f t="array" ref="B65">IFERROR(INDEX(_xlfn.ANCHORARRAY($P$6),ROW()-5,2),"")</f>
        <v/>
      </c>
      <c r="C65" s="345" t="str">
        <f>IF($A65="","",IF($J65="DIESEL",SUMIFS(Table1[Quantity],Table1[Customer],$M$3,Table1[Date],$A65,Table1[Bill No.],$B65),IF($J65="PETROL",SUMIFS(Table14[Quantity],Table14[Customer],$M$3,Table14[Date],$A65,Table14[Bill No.],$B65),IF($J65="XtraGreen",SUMIFS(Table146[Quantity],Table146[Company],$M$3,Table146[Date],$A65,Table146[Bill No.],$B65),""))))</f>
        <v/>
      </c>
      <c r="D65" s="346" t="str">
        <f>IF($A65="","",IF($J65="DIESEL",AVERAGEIFS(Table1[RSP],Table1[Customer],$M$3,Table1[Date],$A65,Table1[Bill No.],$B65),IF($J65="PETROL",AVERAGEIFS(Table14[RSP],Table14[Customer],$M$3,Table14[Date],$A65,Table14[Bill No.],$B65),IF($J65="XtraGreen",AVERAGEIFS(Table146[RSP],Table146[Company],$M$3,Table146[Date],$A65,Table146[Bill No.],$B65),IFERROR($E65/$C65,"")))))</f>
        <v/>
      </c>
      <c r="E65" s="347" t="str">
        <f>IF($A65="","",IF($J65="DIESEL",SUMIFS(Table1[Amount],Table1[Customer],$M$3,Table1[Date],$A65,Table1[Bill No.],$B65),IF($J65="PETROL",SUMIFS(Table14[Amount],Table14[Customer],$M$3,Table14[Date],$A65,Table14[Bill No.],$B65),IF($J65="XtraGreen",SUMIFS(Table146[Amount],Table146[Company],$M$3,Table146[Date],$A65,Table146[Bill No.],$B65),SUMIFS('Other Sale'!$D:$D,'Other Sale'!$E:$E,$M$3,'Other Sale'!$C:$C,$J65,'Other Sale'!$A:$A,$A65)))))</f>
        <v/>
      </c>
      <c r="F65" s="347" t="str" cm="1">
        <f t="array" ref="F65">IF($A65="","",IF($J65="Payment",IFERROR(INDEX(_xlfn._xlws.FILTER(MasterPaid[Amount Paid],(MasterPaid[Customer]=$M$3)*(MasterPaid[Date]=$A65)),COUNTIFS($A$6:$A65,$A65,$J$6:$J65,"Payment")),0),0))</f>
        <v/>
      </c>
      <c r="G65" s="331"/>
      <c r="H65" s="427"/>
      <c r="I65" s="330" t="str">
        <f t="shared" si="9"/>
        <v/>
      </c>
      <c r="J65" s="344" t="str" cm="1">
        <f t="array" ref="J65">IFERROR(INDEX(_xlfn.ANCHORARRAY($P$6),ROW()-5,3),"")</f>
        <v/>
      </c>
      <c r="K65" s="349"/>
      <c r="L65" s="348"/>
      <c r="M65" s="277"/>
      <c r="N65" s="277"/>
      <c r="O65" s="277"/>
    </row>
    <row r="66" spans="1:15" ht="23" x14ac:dyDescent="0.25">
      <c r="A66" s="217" t="str" cm="1">
        <f t="array" ref="A66">IFERROR(INDEX(_xlfn.ANCHORARRAY($P$6),ROW()-5,1),"")</f>
        <v/>
      </c>
      <c r="B66" s="344" t="str" cm="1">
        <f t="array" ref="B66">IFERROR(INDEX(_xlfn.ANCHORARRAY($P$6),ROW()-5,2),"")</f>
        <v/>
      </c>
      <c r="C66" s="345" t="str">
        <f>IF($A66="","",IF($J66="DIESEL",SUMIFS(Table1[Quantity],Table1[Customer],$M$3,Table1[Date],$A66,Table1[Bill No.],$B66),IF($J66="PETROL",SUMIFS(Table14[Quantity],Table14[Customer],$M$3,Table14[Date],$A66,Table14[Bill No.],$B66),IF($J66="XtraGreen",SUMIFS(Table146[Quantity],Table146[Company],$M$3,Table146[Date],$A66,Table146[Bill No.],$B66),""))))</f>
        <v/>
      </c>
      <c r="D66" s="346" t="str">
        <f>IF($A66="","",IF($J66="DIESEL",AVERAGEIFS(Table1[RSP],Table1[Customer],$M$3,Table1[Date],$A66,Table1[Bill No.],$B66),IF($J66="PETROL",AVERAGEIFS(Table14[RSP],Table14[Customer],$M$3,Table14[Date],$A66,Table14[Bill No.],$B66),IF($J66="XtraGreen",AVERAGEIFS(Table146[RSP],Table146[Company],$M$3,Table146[Date],$A66,Table146[Bill No.],$B66),IFERROR($E66/$C66,"")))))</f>
        <v/>
      </c>
      <c r="E66" s="347" t="str">
        <f>IF($A66="","",IF($J66="DIESEL",SUMIFS(Table1[Amount],Table1[Customer],$M$3,Table1[Date],$A66,Table1[Bill No.],$B66),IF($J66="PETROL",SUMIFS(Table14[Amount],Table14[Customer],$M$3,Table14[Date],$A66,Table14[Bill No.],$B66),IF($J66="XtraGreen",SUMIFS(Table146[Amount],Table146[Company],$M$3,Table146[Date],$A66,Table146[Bill No.],$B66),SUMIFS('Other Sale'!$D:$D,'Other Sale'!$E:$E,$M$3,'Other Sale'!$C:$C,$J66,'Other Sale'!$A:$A,$A66)))))</f>
        <v/>
      </c>
      <c r="F66" s="347" t="str" cm="1">
        <f t="array" ref="F66">IF($A66="","",IF($J66="Payment",IFERROR(INDEX(_xlfn._xlws.FILTER(MasterPaid[Amount Paid],(MasterPaid[Customer]=$M$3)*(MasterPaid[Date]=$A66)),COUNTIFS($A$6:$A66,$A66,$J$6:$J66,"Payment")),0),0))</f>
        <v/>
      </c>
      <c r="G66" s="331"/>
      <c r="H66" s="427"/>
      <c r="I66" s="330" t="str">
        <f t="shared" si="9"/>
        <v/>
      </c>
      <c r="J66" s="344" t="str" cm="1">
        <f t="array" ref="J66">IFERROR(INDEX(_xlfn.ANCHORARRAY($P$6),ROW()-5,3),"")</f>
        <v/>
      </c>
      <c r="K66" s="349"/>
      <c r="L66" s="348"/>
      <c r="M66" s="277"/>
      <c r="N66" s="277"/>
      <c r="O66" s="277"/>
    </row>
    <row r="67" spans="1:15" ht="23" x14ac:dyDescent="0.25">
      <c r="A67" s="217" t="str" cm="1">
        <f t="array" ref="A67">IFERROR(INDEX(_xlfn.ANCHORARRAY($P$6),ROW()-5,1),"")</f>
        <v/>
      </c>
      <c r="B67" s="344" t="str" cm="1">
        <f t="array" ref="B67">IFERROR(INDEX(_xlfn.ANCHORARRAY($P$6),ROW()-5,2),"")</f>
        <v/>
      </c>
      <c r="C67" s="345" t="str">
        <f>IF($A67="","",IF($J67="DIESEL",SUMIFS(Table1[Quantity],Table1[Customer],$M$3,Table1[Date],$A67,Table1[Bill No.],$B67),IF($J67="PETROL",SUMIFS(Table14[Quantity],Table14[Customer],$M$3,Table14[Date],$A67,Table14[Bill No.],$B67),IF($J67="XtraGreen",SUMIFS(Table146[Quantity],Table146[Company],$M$3,Table146[Date],$A67,Table146[Bill No.],$B67),""))))</f>
        <v/>
      </c>
      <c r="D67" s="346" t="str">
        <f>IF($A67="","",IF($J67="DIESEL",AVERAGEIFS(Table1[RSP],Table1[Customer],$M$3,Table1[Date],$A67,Table1[Bill No.],$B67),IF($J67="PETROL",AVERAGEIFS(Table14[RSP],Table14[Customer],$M$3,Table14[Date],$A67,Table14[Bill No.],$B67),IF($J67="XtraGreen",AVERAGEIFS(Table146[RSP],Table146[Company],$M$3,Table146[Date],$A67,Table146[Bill No.],$B67),IFERROR($E67/$C67,"")))))</f>
        <v/>
      </c>
      <c r="E67" s="347" t="str">
        <f>IF($A67="","",IF($J67="DIESEL",SUMIFS(Table1[Amount],Table1[Customer],$M$3,Table1[Date],$A67,Table1[Bill No.],$B67),IF($J67="PETROL",SUMIFS(Table14[Amount],Table14[Customer],$M$3,Table14[Date],$A67,Table14[Bill No.],$B67),IF($J67="XtraGreen",SUMIFS(Table146[Amount],Table146[Company],$M$3,Table146[Date],$A67,Table146[Bill No.],$B67),SUMIFS('Other Sale'!$D:$D,'Other Sale'!$E:$E,$M$3,'Other Sale'!$C:$C,$J67,'Other Sale'!$A:$A,$A67)))))</f>
        <v/>
      </c>
      <c r="F67" s="347" t="str" cm="1">
        <f t="array" ref="F67">IF($A67="","",IF($J67="Payment",IFERROR(INDEX(_xlfn._xlws.FILTER(MasterPaid[Amount Paid],(MasterPaid[Customer]=$M$3)*(MasterPaid[Date]=$A67)),COUNTIFS($A$6:$A67,$A67,$J$6:$J67,"Payment")),0),0))</f>
        <v/>
      </c>
      <c r="G67" s="331"/>
      <c r="H67" s="427"/>
      <c r="I67" s="330" t="str">
        <f t="shared" si="9"/>
        <v/>
      </c>
      <c r="J67" s="344" t="str" cm="1">
        <f t="array" ref="J67">IFERROR(INDEX(_xlfn.ANCHORARRAY($P$6),ROW()-5,3),"")</f>
        <v/>
      </c>
      <c r="K67" s="349"/>
      <c r="L67" s="348"/>
      <c r="M67" s="277"/>
      <c r="N67" s="277"/>
      <c r="O67" s="277"/>
    </row>
    <row r="68" spans="1:15" ht="23" x14ac:dyDescent="0.25">
      <c r="A68" s="217" t="str" cm="1">
        <f t="array" ref="A68">IFERROR(INDEX(_xlfn.ANCHORARRAY($P$6),ROW()-5,1),"")</f>
        <v/>
      </c>
      <c r="B68" s="344" t="str" cm="1">
        <f t="array" ref="B68">IFERROR(INDEX(_xlfn.ANCHORARRAY($P$6),ROW()-5,2),"")</f>
        <v/>
      </c>
      <c r="C68" s="345" t="str">
        <f>IF($A68="","",IF($J68="DIESEL",SUMIFS(Table1[Quantity],Table1[Customer],$M$3,Table1[Date],$A68,Table1[Bill No.],$B68),IF($J68="PETROL",SUMIFS(Table14[Quantity],Table14[Customer],$M$3,Table14[Date],$A68,Table14[Bill No.],$B68),IF($J68="XtraGreen",SUMIFS(Table146[Quantity],Table146[Company],$M$3,Table146[Date],$A68,Table146[Bill No.],$B68),""))))</f>
        <v/>
      </c>
      <c r="D68" s="346" t="str">
        <f>IF($A68="","",IF($J68="DIESEL",AVERAGEIFS(Table1[RSP],Table1[Customer],$M$3,Table1[Date],$A68,Table1[Bill No.],$B68),IF($J68="PETROL",AVERAGEIFS(Table14[RSP],Table14[Customer],$M$3,Table14[Date],$A68,Table14[Bill No.],$B68),IF($J68="XtraGreen",AVERAGEIFS(Table146[RSP],Table146[Company],$M$3,Table146[Date],$A68,Table146[Bill No.],$B68),IFERROR($E68/$C68,"")))))</f>
        <v/>
      </c>
      <c r="E68" s="347" t="str">
        <f>IF($A68="","",IF($J68="DIESEL",SUMIFS(Table1[Amount],Table1[Customer],$M$3,Table1[Date],$A68,Table1[Bill No.],$B68),IF($J68="PETROL",SUMIFS(Table14[Amount],Table14[Customer],$M$3,Table14[Date],$A68,Table14[Bill No.],$B68),IF($J68="XtraGreen",SUMIFS(Table146[Amount],Table146[Company],$M$3,Table146[Date],$A68,Table146[Bill No.],$B68),SUMIFS('Other Sale'!$D:$D,'Other Sale'!$E:$E,$M$3,'Other Sale'!$C:$C,$J68,'Other Sale'!$A:$A,$A68)))))</f>
        <v/>
      </c>
      <c r="F68" s="347" t="str" cm="1">
        <f t="array" ref="F68">IF($A68="","",IF($J68="Payment",IFERROR(INDEX(_xlfn._xlws.FILTER(MasterPaid[Amount Paid],(MasterPaid[Customer]=$M$3)*(MasterPaid[Date]=$A68)),COUNTIFS($A$6:$A68,$A68,$J$6:$J68,"Payment")),0),0))</f>
        <v/>
      </c>
      <c r="G68" s="331"/>
      <c r="H68" s="427"/>
      <c r="I68" s="330" t="str">
        <f t="shared" si="9"/>
        <v/>
      </c>
      <c r="J68" s="344" t="str" cm="1">
        <f t="array" ref="J68">IFERROR(INDEX(_xlfn.ANCHORARRAY($P$6),ROW()-5,3),"")</f>
        <v/>
      </c>
      <c r="K68" s="349"/>
      <c r="L68" s="348"/>
      <c r="M68" s="277"/>
      <c r="N68" s="277"/>
      <c r="O68" s="277"/>
    </row>
    <row r="69" spans="1:15" ht="23" x14ac:dyDescent="0.25">
      <c r="A69" s="217" t="str" cm="1">
        <f t="array" ref="A69">IFERROR(INDEX(_xlfn.ANCHORARRAY($P$6),ROW()-5,1),"")</f>
        <v/>
      </c>
      <c r="B69" s="344" t="str" cm="1">
        <f t="array" ref="B69">IFERROR(INDEX(_xlfn.ANCHORARRAY($P$6),ROW()-5,2),"")</f>
        <v/>
      </c>
      <c r="C69" s="345" t="str">
        <f>IF($A69="","",IF($J69="DIESEL",SUMIFS(Table1[Quantity],Table1[Customer],$M$3,Table1[Date],$A69,Table1[Bill No.],$B69),IF($J69="PETROL",SUMIFS(Table14[Quantity],Table14[Customer],$M$3,Table14[Date],$A69,Table14[Bill No.],$B69),IF($J69="XtraGreen",SUMIFS(Table146[Quantity],Table146[Company],$M$3,Table146[Date],$A69,Table146[Bill No.],$B69),""))))</f>
        <v/>
      </c>
      <c r="D69" s="346" t="str">
        <f>IF($A69="","",IF($J69="DIESEL",AVERAGEIFS(Table1[RSP],Table1[Customer],$M$3,Table1[Date],$A69,Table1[Bill No.],$B69),IF($J69="PETROL",AVERAGEIFS(Table14[RSP],Table14[Customer],$M$3,Table14[Date],$A69,Table14[Bill No.],$B69),IF($J69="XtraGreen",AVERAGEIFS(Table146[RSP],Table146[Company],$M$3,Table146[Date],$A69,Table146[Bill No.],$B69),IFERROR($E69/$C69,"")))))</f>
        <v/>
      </c>
      <c r="E69" s="347" t="str">
        <f>IF($A69="","",IF($J69="DIESEL",SUMIFS(Table1[Amount],Table1[Customer],$M$3,Table1[Date],$A69,Table1[Bill No.],$B69),IF($J69="PETROL",SUMIFS(Table14[Amount],Table14[Customer],$M$3,Table14[Date],$A69,Table14[Bill No.],$B69),IF($J69="XtraGreen",SUMIFS(Table146[Amount],Table146[Company],$M$3,Table146[Date],$A69,Table146[Bill No.],$B69),SUMIFS('Other Sale'!$D:$D,'Other Sale'!$E:$E,$M$3,'Other Sale'!$C:$C,$J69,'Other Sale'!$A:$A,$A69)))))</f>
        <v/>
      </c>
      <c r="F69" s="347" t="str" cm="1">
        <f t="array" ref="F69">IF($A69="","",IF($J69="Payment",IFERROR(INDEX(_xlfn._xlws.FILTER(MasterPaid[Amount Paid],(MasterPaid[Customer]=$M$3)*(MasterPaid[Date]=$A69)),COUNTIFS($A$6:$A69,$A69,$J$6:$J69,"Payment")),0),0))</f>
        <v/>
      </c>
      <c r="G69" s="331"/>
      <c r="H69" s="427"/>
      <c r="I69" s="330" t="str">
        <f t="shared" si="9"/>
        <v/>
      </c>
      <c r="J69" s="344" t="str" cm="1">
        <f t="array" ref="J69">IFERROR(INDEX(_xlfn.ANCHORARRAY($P$6),ROW()-5,3),"")</f>
        <v/>
      </c>
      <c r="K69" s="349"/>
      <c r="L69" s="348"/>
      <c r="M69" s="277"/>
      <c r="N69" s="277"/>
      <c r="O69" s="277"/>
    </row>
    <row r="70" spans="1:15" ht="23" x14ac:dyDescent="0.25">
      <c r="A70" s="217" t="str" cm="1">
        <f t="array" ref="A70">IFERROR(INDEX(_xlfn.ANCHORARRAY($P$6),ROW()-5,1),"")</f>
        <v/>
      </c>
      <c r="B70" s="344" t="str" cm="1">
        <f t="array" ref="B70">IFERROR(INDEX(_xlfn.ANCHORARRAY($P$6),ROW()-5,2),"")</f>
        <v/>
      </c>
      <c r="C70" s="345" t="str">
        <f>IF($A70="","",IF($J70="DIESEL",SUMIFS(Table1[Quantity],Table1[Customer],$M$3,Table1[Date],$A70,Table1[Bill No.],$B70),IF($J70="PETROL",SUMIFS(Table14[Quantity],Table14[Customer],$M$3,Table14[Date],$A70,Table14[Bill No.],$B70),IF($J70="XtraGreen",SUMIFS(Table146[Quantity],Table146[Company],$M$3,Table146[Date],$A70,Table146[Bill No.],$B70),""))))</f>
        <v/>
      </c>
      <c r="D70" s="346" t="str">
        <f>IF($A70="","",IF($J70="DIESEL",AVERAGEIFS(Table1[RSP],Table1[Customer],$M$3,Table1[Date],$A70,Table1[Bill No.],$B70),IF($J70="PETROL",AVERAGEIFS(Table14[RSP],Table14[Customer],$M$3,Table14[Date],$A70,Table14[Bill No.],$B70),IF($J70="XtraGreen",AVERAGEIFS(Table146[RSP],Table146[Company],$M$3,Table146[Date],$A70,Table146[Bill No.],$B70),IFERROR($E70/$C70,"")))))</f>
        <v/>
      </c>
      <c r="E70" s="347" t="str">
        <f>IF($A70="","",IF($J70="DIESEL",SUMIFS(Table1[Amount],Table1[Customer],$M$3,Table1[Date],$A70,Table1[Bill No.],$B70),IF($J70="PETROL",SUMIFS(Table14[Amount],Table14[Customer],$M$3,Table14[Date],$A70,Table14[Bill No.],$B70),IF($J70="XtraGreen",SUMIFS(Table146[Amount],Table146[Company],$M$3,Table146[Date],$A70,Table146[Bill No.],$B70),SUMIFS('Other Sale'!$D:$D,'Other Sale'!$E:$E,$M$3,'Other Sale'!$C:$C,$J70,'Other Sale'!$A:$A,$A70)))))</f>
        <v/>
      </c>
      <c r="F70" s="347" t="str" cm="1">
        <f t="array" ref="F70">IF($A70="","",IF($J70="Payment",IFERROR(INDEX(_xlfn._xlws.FILTER(MasterPaid[Amount Paid],(MasterPaid[Customer]=$M$3)*(MasterPaid[Date]=$A70)),COUNTIFS($A$6:$A70,$A70,$J$6:$J70,"Payment")),0),0))</f>
        <v/>
      </c>
      <c r="G70" s="331"/>
      <c r="H70" s="427"/>
      <c r="I70" s="330" t="str">
        <f t="shared" si="9"/>
        <v/>
      </c>
      <c r="J70" s="344" t="str" cm="1">
        <f t="array" ref="J70">IFERROR(INDEX(_xlfn.ANCHORARRAY($P$6),ROW()-5,3),"")</f>
        <v/>
      </c>
      <c r="K70" s="349"/>
      <c r="L70" s="348"/>
      <c r="M70" s="277"/>
      <c r="N70" s="277"/>
      <c r="O70" s="277"/>
    </row>
    <row r="71" spans="1:15" ht="23" x14ac:dyDescent="0.25">
      <c r="A71" s="217" t="str" cm="1">
        <f t="array" ref="A71">IFERROR(INDEX(_xlfn.ANCHORARRAY($P$6),ROW()-5,1),"")</f>
        <v/>
      </c>
      <c r="B71" s="344" t="str" cm="1">
        <f t="array" ref="B71">IFERROR(INDEX(_xlfn.ANCHORARRAY($P$6),ROW()-5,2),"")</f>
        <v/>
      </c>
      <c r="C71" s="345" t="str">
        <f>IF($A71="","",IF($J71="DIESEL",SUMIFS(Table1[Quantity],Table1[Customer],$M$3,Table1[Date],$A71,Table1[Bill No.],$B71),IF($J71="PETROL",SUMIFS(Table14[Quantity],Table14[Customer],$M$3,Table14[Date],$A71,Table14[Bill No.],$B71),IF($J71="XtraGreen",SUMIFS(Table146[Quantity],Table146[Company],$M$3,Table146[Date],$A71,Table146[Bill No.],$B71),""))))</f>
        <v/>
      </c>
      <c r="D71" s="346" t="str">
        <f>IF($A71="","",IF($J71="DIESEL",AVERAGEIFS(Table1[RSP],Table1[Customer],$M$3,Table1[Date],$A71,Table1[Bill No.],$B71),IF($J71="PETROL",AVERAGEIFS(Table14[RSP],Table14[Customer],$M$3,Table14[Date],$A71,Table14[Bill No.],$B71),IF($J71="XtraGreen",AVERAGEIFS(Table146[RSP],Table146[Company],$M$3,Table146[Date],$A71,Table146[Bill No.],$B71),IFERROR($E71/$C71,"")))))</f>
        <v/>
      </c>
      <c r="E71" s="347" t="str">
        <f>IF($A71="","",IF($J71="DIESEL",SUMIFS(Table1[Amount],Table1[Customer],$M$3,Table1[Date],$A71,Table1[Bill No.],$B71),IF($J71="PETROL",SUMIFS(Table14[Amount],Table14[Customer],$M$3,Table14[Date],$A71,Table14[Bill No.],$B71),IF($J71="XtraGreen",SUMIFS(Table146[Amount],Table146[Company],$M$3,Table146[Date],$A71,Table146[Bill No.],$B71),SUMIFS('Other Sale'!$D:$D,'Other Sale'!$E:$E,$M$3,'Other Sale'!$C:$C,$J71,'Other Sale'!$A:$A,$A71)))))</f>
        <v/>
      </c>
      <c r="F71" s="347" t="str" cm="1">
        <f t="array" ref="F71">IF($A71="","",IF($J71="Payment",IFERROR(INDEX(_xlfn._xlws.FILTER(MasterPaid[Amount Paid],(MasterPaid[Customer]=$M$3)*(MasterPaid[Date]=$A71)),COUNTIFS($A$6:$A71,$A71,$J$6:$J71,"Payment")),0),0))</f>
        <v/>
      </c>
      <c r="G71" s="331"/>
      <c r="H71" s="427"/>
      <c r="I71" s="330" t="str">
        <f t="shared" si="9"/>
        <v/>
      </c>
      <c r="J71" s="344" t="str" cm="1">
        <f t="array" ref="J71">IFERROR(INDEX(_xlfn.ANCHORARRAY($P$6),ROW()-5,3),"")</f>
        <v/>
      </c>
      <c r="K71" s="349"/>
      <c r="L71" s="348"/>
      <c r="M71" s="277"/>
      <c r="N71" s="277"/>
      <c r="O71" s="277"/>
    </row>
    <row r="72" spans="1:15" ht="23" x14ac:dyDescent="0.25">
      <c r="A72" s="217" t="str" cm="1">
        <f t="array" ref="A72">IFERROR(INDEX(_xlfn.ANCHORARRAY($P$6),ROW()-5,1),"")</f>
        <v/>
      </c>
      <c r="B72" s="344" t="str" cm="1">
        <f t="array" ref="B72">IFERROR(INDEX(_xlfn.ANCHORARRAY($P$6),ROW()-5,2),"")</f>
        <v/>
      </c>
      <c r="C72" s="345" t="str">
        <f>IF($A72="","",IF($J72="DIESEL",SUMIFS(Table1[Quantity],Table1[Customer],$M$3,Table1[Date],$A72,Table1[Bill No.],$B72),IF($J72="PETROL",SUMIFS(Table14[Quantity],Table14[Customer],$M$3,Table14[Date],$A72,Table14[Bill No.],$B72),IF($J72="XtraGreen",SUMIFS(Table146[Quantity],Table146[Company],$M$3,Table146[Date],$A72,Table146[Bill No.],$B72),""))))</f>
        <v/>
      </c>
      <c r="D72" s="346" t="str">
        <f>IF($A72="","",IF($J72="DIESEL",AVERAGEIFS(Table1[RSP],Table1[Customer],$M$3,Table1[Date],$A72,Table1[Bill No.],$B72),IF($J72="PETROL",AVERAGEIFS(Table14[RSP],Table14[Customer],$M$3,Table14[Date],$A72,Table14[Bill No.],$B72),IF($J72="XtraGreen",AVERAGEIFS(Table146[RSP],Table146[Company],$M$3,Table146[Date],$A72,Table146[Bill No.],$B72),IFERROR($E72/$C72,"")))))</f>
        <v/>
      </c>
      <c r="E72" s="347" t="str">
        <f>IF($A72="","",IF($J72="DIESEL",SUMIFS(Table1[Amount],Table1[Customer],$M$3,Table1[Date],$A72,Table1[Bill No.],$B72),IF($J72="PETROL",SUMIFS(Table14[Amount],Table14[Customer],$M$3,Table14[Date],$A72,Table14[Bill No.],$B72),IF($J72="XtraGreen",SUMIFS(Table146[Amount],Table146[Company],$M$3,Table146[Date],$A72,Table146[Bill No.],$B72),SUMIFS('Other Sale'!$D:$D,'Other Sale'!$E:$E,$M$3,'Other Sale'!$C:$C,$J72,'Other Sale'!$A:$A,$A72)))))</f>
        <v/>
      </c>
      <c r="F72" s="347" t="str" cm="1">
        <f t="array" ref="F72">IF($A72="","",IF($J72="Payment",IFERROR(INDEX(_xlfn._xlws.FILTER(MasterPaid[Amount Paid],(MasterPaid[Customer]=$M$3)*(MasterPaid[Date]=$A72)),COUNTIFS($A$6:$A72,$A72,$J$6:$J72,"Payment")),0),0))</f>
        <v/>
      </c>
      <c r="G72" s="331"/>
      <c r="H72" s="427"/>
      <c r="I72" s="330" t="str">
        <f t="shared" ref="I72:I135" si="10">IF($A72="","",I71+N(E72)-N(F72)-N(G72)-N(H72))</f>
        <v/>
      </c>
      <c r="J72" s="344" t="str" cm="1">
        <f t="array" ref="J72">IFERROR(INDEX(_xlfn.ANCHORARRAY($P$6),ROW()-5,3),"")</f>
        <v/>
      </c>
      <c r="K72" s="349"/>
      <c r="L72" s="348"/>
      <c r="M72" s="277"/>
      <c r="N72" s="277"/>
      <c r="O72" s="277"/>
    </row>
    <row r="73" spans="1:15" ht="23" x14ac:dyDescent="0.25">
      <c r="A73" s="217" t="str" cm="1">
        <f t="array" ref="A73">IFERROR(INDEX(_xlfn.ANCHORARRAY($P$6),ROW()-5,1),"")</f>
        <v/>
      </c>
      <c r="B73" s="344" t="str" cm="1">
        <f t="array" ref="B73">IFERROR(INDEX(_xlfn.ANCHORARRAY($P$6),ROW()-5,2),"")</f>
        <v/>
      </c>
      <c r="C73" s="345" t="str">
        <f>IF($A73="","",IF($J73="DIESEL",SUMIFS(Table1[Quantity],Table1[Customer],$M$3,Table1[Date],$A73,Table1[Bill No.],$B73),IF($J73="PETROL",SUMIFS(Table14[Quantity],Table14[Customer],$M$3,Table14[Date],$A73,Table14[Bill No.],$B73),IF($J73="XtraGreen",SUMIFS(Table146[Quantity],Table146[Company],$M$3,Table146[Date],$A73,Table146[Bill No.],$B73),""))))</f>
        <v/>
      </c>
      <c r="D73" s="346" t="str">
        <f>IF($A73="","",IF($J73="DIESEL",AVERAGEIFS(Table1[RSP],Table1[Customer],$M$3,Table1[Date],$A73,Table1[Bill No.],$B73),IF($J73="PETROL",AVERAGEIFS(Table14[RSP],Table14[Customer],$M$3,Table14[Date],$A73,Table14[Bill No.],$B73),IF($J73="XtraGreen",AVERAGEIFS(Table146[RSP],Table146[Company],$M$3,Table146[Date],$A73,Table146[Bill No.],$B73),IFERROR($E73/$C73,"")))))</f>
        <v/>
      </c>
      <c r="E73" s="347" t="str">
        <f>IF($A73="","",IF($J73="DIESEL",SUMIFS(Table1[Amount],Table1[Customer],$M$3,Table1[Date],$A73,Table1[Bill No.],$B73),IF($J73="PETROL",SUMIFS(Table14[Amount],Table14[Customer],$M$3,Table14[Date],$A73,Table14[Bill No.],$B73),IF($J73="XtraGreen",SUMIFS(Table146[Amount],Table146[Company],$M$3,Table146[Date],$A73,Table146[Bill No.],$B73),SUMIFS('Other Sale'!$D:$D,'Other Sale'!$E:$E,$M$3,'Other Sale'!$C:$C,$J73,'Other Sale'!$A:$A,$A73)))))</f>
        <v/>
      </c>
      <c r="F73" s="347" t="str" cm="1">
        <f t="array" ref="F73">IF($A73="","",IF($J73="Payment",IFERROR(INDEX(_xlfn._xlws.FILTER(MasterPaid[Amount Paid],(MasterPaid[Customer]=$M$3)*(MasterPaid[Date]=$A73)),COUNTIFS($A$6:$A73,$A73,$J$6:$J73,"Payment")),0),0))</f>
        <v/>
      </c>
      <c r="G73" s="331"/>
      <c r="H73" s="427"/>
      <c r="I73" s="330" t="str">
        <f t="shared" si="10"/>
        <v/>
      </c>
      <c r="J73" s="344" t="str" cm="1">
        <f t="array" ref="J73">IFERROR(INDEX(_xlfn.ANCHORARRAY($P$6),ROW()-5,3),"")</f>
        <v/>
      </c>
      <c r="K73" s="349"/>
      <c r="L73" s="348"/>
      <c r="M73" s="277"/>
      <c r="N73" s="277"/>
      <c r="O73" s="277"/>
    </row>
    <row r="74" spans="1:15" ht="23" x14ac:dyDescent="0.25">
      <c r="A74" s="217" t="str" cm="1">
        <f t="array" ref="A74">IFERROR(INDEX(_xlfn.ANCHORARRAY($P$6),ROW()-5,1),"")</f>
        <v/>
      </c>
      <c r="B74" s="344" t="str" cm="1">
        <f t="array" ref="B74">IFERROR(INDEX(_xlfn.ANCHORARRAY($P$6),ROW()-5,2),"")</f>
        <v/>
      </c>
      <c r="C74" s="345" t="str">
        <f>IF($A74="","",IF($J74="DIESEL",SUMIFS(Table1[Quantity],Table1[Customer],$M$3,Table1[Date],$A74,Table1[Bill No.],$B74),IF($J74="PETROL",SUMIFS(Table14[Quantity],Table14[Customer],$M$3,Table14[Date],$A74,Table14[Bill No.],$B74),IF($J74="XtraGreen",SUMIFS(Table146[Quantity],Table146[Company],$M$3,Table146[Date],$A74,Table146[Bill No.],$B74),""))))</f>
        <v/>
      </c>
      <c r="D74" s="346" t="str">
        <f>IF($A74="","",IF($J74="DIESEL",AVERAGEIFS(Table1[RSP],Table1[Customer],$M$3,Table1[Date],$A74,Table1[Bill No.],$B74),IF($J74="PETROL",AVERAGEIFS(Table14[RSP],Table14[Customer],$M$3,Table14[Date],$A74,Table14[Bill No.],$B74),IF($J74="XtraGreen",AVERAGEIFS(Table146[RSP],Table146[Company],$M$3,Table146[Date],$A74,Table146[Bill No.],$B74),IFERROR($E74/$C74,"")))))</f>
        <v/>
      </c>
      <c r="E74" s="347" t="str">
        <f>IF($A74="","",IF($J74="DIESEL",SUMIFS(Table1[Amount],Table1[Customer],$M$3,Table1[Date],$A74,Table1[Bill No.],$B74),IF($J74="PETROL",SUMIFS(Table14[Amount],Table14[Customer],$M$3,Table14[Date],$A74,Table14[Bill No.],$B74),IF($J74="XtraGreen",SUMIFS(Table146[Amount],Table146[Company],$M$3,Table146[Date],$A74,Table146[Bill No.],$B74),SUMIFS('Other Sale'!$D:$D,'Other Sale'!$E:$E,$M$3,'Other Sale'!$C:$C,$J74,'Other Sale'!$A:$A,$A74)))))</f>
        <v/>
      </c>
      <c r="F74" s="347" t="str" cm="1">
        <f t="array" ref="F74">IF($A74="","",IF($J74="Payment",IFERROR(INDEX(_xlfn._xlws.FILTER(MasterPaid[Amount Paid],(MasterPaid[Customer]=$M$3)*(MasterPaid[Date]=$A74)),COUNTIFS($A$6:$A74,$A74,$J$6:$J74,"Payment")),0),0))</f>
        <v/>
      </c>
      <c r="G74" s="331"/>
      <c r="H74" s="427"/>
      <c r="I74" s="330" t="str">
        <f t="shared" si="10"/>
        <v/>
      </c>
      <c r="J74" s="344" t="str" cm="1">
        <f t="array" ref="J74">IFERROR(INDEX(_xlfn.ANCHORARRAY($P$6),ROW()-5,3),"")</f>
        <v/>
      </c>
      <c r="K74" s="349"/>
      <c r="L74" s="348"/>
      <c r="M74" s="277"/>
      <c r="N74" s="277"/>
      <c r="O74" s="277"/>
    </row>
    <row r="75" spans="1:15" ht="23" x14ac:dyDescent="0.25">
      <c r="A75" s="217" t="str" cm="1">
        <f t="array" ref="A75">IFERROR(INDEX(_xlfn.ANCHORARRAY($P$6),ROW()-5,1),"")</f>
        <v/>
      </c>
      <c r="B75" s="344" t="str" cm="1">
        <f t="array" ref="B75">IFERROR(INDEX(_xlfn.ANCHORARRAY($P$6),ROW()-5,2),"")</f>
        <v/>
      </c>
      <c r="C75" s="345" t="str">
        <f>IF($A75="","",IF($J75="DIESEL",SUMIFS(Table1[Quantity],Table1[Customer],$M$3,Table1[Date],$A75,Table1[Bill No.],$B75),IF($J75="PETROL",SUMIFS(Table14[Quantity],Table14[Customer],$M$3,Table14[Date],$A75,Table14[Bill No.],$B75),IF($J75="XtraGreen",SUMIFS(Table146[Quantity],Table146[Company],$M$3,Table146[Date],$A75,Table146[Bill No.],$B75),""))))</f>
        <v/>
      </c>
      <c r="D75" s="346" t="str">
        <f>IF($A75="","",IF($J75="DIESEL",AVERAGEIFS(Table1[RSP],Table1[Customer],$M$3,Table1[Date],$A75,Table1[Bill No.],$B75),IF($J75="PETROL",AVERAGEIFS(Table14[RSP],Table14[Customer],$M$3,Table14[Date],$A75,Table14[Bill No.],$B75),IF($J75="XtraGreen",AVERAGEIFS(Table146[RSP],Table146[Company],$M$3,Table146[Date],$A75,Table146[Bill No.],$B75),IFERROR($E75/$C75,"")))))</f>
        <v/>
      </c>
      <c r="E75" s="347" t="str">
        <f>IF($A75="","",IF($J75="DIESEL",SUMIFS(Table1[Amount],Table1[Customer],$M$3,Table1[Date],$A75,Table1[Bill No.],$B75),IF($J75="PETROL",SUMIFS(Table14[Amount],Table14[Customer],$M$3,Table14[Date],$A75,Table14[Bill No.],$B75),IF($J75="XtraGreen",SUMIFS(Table146[Amount],Table146[Company],$M$3,Table146[Date],$A75,Table146[Bill No.],$B75),SUMIFS('Other Sale'!$D:$D,'Other Sale'!$E:$E,$M$3,'Other Sale'!$C:$C,$J75,'Other Sale'!$A:$A,$A75)))))</f>
        <v/>
      </c>
      <c r="F75" s="347" t="str" cm="1">
        <f t="array" ref="F75">IF($A75="","",IF($J75="Payment",IFERROR(INDEX(_xlfn._xlws.FILTER(MasterPaid[Amount Paid],(MasterPaid[Customer]=$M$3)*(MasterPaid[Date]=$A75)),COUNTIFS($A$6:$A75,$A75,$J$6:$J75,"Payment")),0),0))</f>
        <v/>
      </c>
      <c r="G75" s="331"/>
      <c r="H75" s="427"/>
      <c r="I75" s="330" t="str">
        <f t="shared" si="10"/>
        <v/>
      </c>
      <c r="J75" s="344" t="str" cm="1">
        <f t="array" ref="J75">IFERROR(INDEX(_xlfn.ANCHORARRAY($P$6),ROW()-5,3),"")</f>
        <v/>
      </c>
      <c r="K75" s="349"/>
      <c r="L75" s="348"/>
      <c r="M75" s="277"/>
      <c r="N75" s="277"/>
      <c r="O75" s="277"/>
    </row>
    <row r="76" spans="1:15" ht="23" x14ac:dyDescent="0.25">
      <c r="A76" s="217" t="str" cm="1">
        <f t="array" ref="A76">IFERROR(INDEX(_xlfn.ANCHORARRAY($P$6),ROW()-5,1),"")</f>
        <v/>
      </c>
      <c r="B76" s="344" t="str" cm="1">
        <f t="array" ref="B76">IFERROR(INDEX(_xlfn.ANCHORARRAY($P$6),ROW()-5,2),"")</f>
        <v/>
      </c>
      <c r="C76" s="345" t="str">
        <f>IF($A76="","",IF($J76="DIESEL",SUMIFS(Table1[Quantity],Table1[Customer],$M$3,Table1[Date],$A76,Table1[Bill No.],$B76),IF($J76="PETROL",SUMIFS(Table14[Quantity],Table14[Customer],$M$3,Table14[Date],$A76,Table14[Bill No.],$B76),IF($J76="XtraGreen",SUMIFS(Table146[Quantity],Table146[Company],$M$3,Table146[Date],$A76,Table146[Bill No.],$B76),""))))</f>
        <v/>
      </c>
      <c r="D76" s="346" t="str">
        <f>IF($A76="","",IF($J76="DIESEL",AVERAGEIFS(Table1[RSP],Table1[Customer],$M$3,Table1[Date],$A76,Table1[Bill No.],$B76),IF($J76="PETROL",AVERAGEIFS(Table14[RSP],Table14[Customer],$M$3,Table14[Date],$A76,Table14[Bill No.],$B76),IF($J76="XtraGreen",AVERAGEIFS(Table146[RSP],Table146[Company],$M$3,Table146[Date],$A76,Table146[Bill No.],$B76),IFERROR($E76/$C76,"")))))</f>
        <v/>
      </c>
      <c r="E76" s="347" t="str">
        <f>IF($A76="","",IF($J76="DIESEL",SUMIFS(Table1[Amount],Table1[Customer],$M$3,Table1[Date],$A76,Table1[Bill No.],$B76),IF($J76="PETROL",SUMIFS(Table14[Amount],Table14[Customer],$M$3,Table14[Date],$A76,Table14[Bill No.],$B76),IF($J76="XtraGreen",SUMIFS(Table146[Amount],Table146[Company],$M$3,Table146[Date],$A76,Table146[Bill No.],$B76),SUMIFS('Other Sale'!$D:$D,'Other Sale'!$E:$E,$M$3,'Other Sale'!$C:$C,$J76,'Other Sale'!$A:$A,$A76)))))</f>
        <v/>
      </c>
      <c r="F76" s="347" t="str" cm="1">
        <f t="array" ref="F76">IF($A76="","",IF($J76="Payment",IFERROR(INDEX(_xlfn._xlws.FILTER(MasterPaid[Amount Paid],(MasterPaid[Customer]=$M$3)*(MasterPaid[Date]=$A76)),COUNTIFS($A$6:$A76,$A76,$J$6:$J76,"Payment")),0),0))</f>
        <v/>
      </c>
      <c r="G76" s="331"/>
      <c r="H76" s="427"/>
      <c r="I76" s="330" t="str">
        <f t="shared" si="10"/>
        <v/>
      </c>
      <c r="J76" s="344" t="str" cm="1">
        <f t="array" ref="J76">IFERROR(INDEX(_xlfn.ANCHORARRAY($P$6),ROW()-5,3),"")</f>
        <v/>
      </c>
      <c r="K76" s="349"/>
      <c r="L76" s="348"/>
      <c r="M76" s="277"/>
      <c r="N76" s="277"/>
      <c r="O76" s="277"/>
    </row>
    <row r="77" spans="1:15" ht="23" x14ac:dyDescent="0.25">
      <c r="A77" s="217" t="str" cm="1">
        <f t="array" ref="A77">IFERROR(INDEX(_xlfn.ANCHORARRAY($P$6),ROW()-5,1),"")</f>
        <v/>
      </c>
      <c r="B77" s="344" t="str" cm="1">
        <f t="array" ref="B77">IFERROR(INDEX(_xlfn.ANCHORARRAY($P$6),ROW()-5,2),"")</f>
        <v/>
      </c>
      <c r="C77" s="345" t="str">
        <f>IF($A77="","",IF($J77="DIESEL",SUMIFS(Table1[Quantity],Table1[Customer],$M$3,Table1[Date],$A77,Table1[Bill No.],$B77),IF($J77="PETROL",SUMIFS(Table14[Quantity],Table14[Customer],$M$3,Table14[Date],$A77,Table14[Bill No.],$B77),IF($J77="XtraGreen",SUMIFS(Table146[Quantity],Table146[Company],$M$3,Table146[Date],$A77,Table146[Bill No.],$B77),""))))</f>
        <v/>
      </c>
      <c r="D77" s="346" t="str">
        <f>IF($A77="","",IF($J77="DIESEL",AVERAGEIFS(Table1[RSP],Table1[Customer],$M$3,Table1[Date],$A77,Table1[Bill No.],$B77),IF($J77="PETROL",AVERAGEIFS(Table14[RSP],Table14[Customer],$M$3,Table14[Date],$A77,Table14[Bill No.],$B77),IF($J77="XtraGreen",AVERAGEIFS(Table146[RSP],Table146[Company],$M$3,Table146[Date],$A77,Table146[Bill No.],$B77),IFERROR($E77/$C77,"")))))</f>
        <v/>
      </c>
      <c r="E77" s="347" t="str">
        <f>IF($A77="","",IF($J77="DIESEL",SUMIFS(Table1[Amount],Table1[Customer],$M$3,Table1[Date],$A77,Table1[Bill No.],$B77),IF($J77="PETROL",SUMIFS(Table14[Amount],Table14[Customer],$M$3,Table14[Date],$A77,Table14[Bill No.],$B77),IF($J77="XtraGreen",SUMIFS(Table146[Amount],Table146[Company],$M$3,Table146[Date],$A77,Table146[Bill No.],$B77),SUMIFS('Other Sale'!$D:$D,'Other Sale'!$E:$E,$M$3,'Other Sale'!$C:$C,$J77,'Other Sale'!$A:$A,$A77)))))</f>
        <v/>
      </c>
      <c r="F77" s="347" t="str" cm="1">
        <f t="array" ref="F77">IF($A77="","",IF($J77="Payment",IFERROR(INDEX(_xlfn._xlws.FILTER(MasterPaid[Amount Paid],(MasterPaid[Customer]=$M$3)*(MasterPaid[Date]=$A77)),COUNTIFS($A$6:$A77,$A77,$J$6:$J77,"Payment")),0),0))</f>
        <v/>
      </c>
      <c r="G77" s="331"/>
      <c r="H77" s="427"/>
      <c r="I77" s="330" t="str">
        <f t="shared" si="10"/>
        <v/>
      </c>
      <c r="J77" s="344" t="str" cm="1">
        <f t="array" ref="J77">IFERROR(INDEX(_xlfn.ANCHORARRAY($P$6),ROW()-5,3),"")</f>
        <v/>
      </c>
      <c r="K77" s="349"/>
      <c r="L77" s="348"/>
      <c r="M77" s="277"/>
      <c r="N77" s="277"/>
      <c r="O77" s="277"/>
    </row>
    <row r="78" spans="1:15" ht="23" x14ac:dyDescent="0.25">
      <c r="A78" s="217" t="str" cm="1">
        <f t="array" ref="A78">IFERROR(INDEX(_xlfn.ANCHORARRAY($P$6),ROW()-5,1),"")</f>
        <v/>
      </c>
      <c r="B78" s="344" t="str" cm="1">
        <f t="array" ref="B78">IFERROR(INDEX(_xlfn.ANCHORARRAY($P$6),ROW()-5,2),"")</f>
        <v/>
      </c>
      <c r="C78" s="345" t="str">
        <f>IF($A78="","",IF($J78="DIESEL",SUMIFS(Table1[Quantity],Table1[Customer],$M$3,Table1[Date],$A78,Table1[Bill No.],$B78),IF($J78="PETROL",SUMIFS(Table14[Quantity],Table14[Customer],$M$3,Table14[Date],$A78,Table14[Bill No.],$B78),IF($J78="XtraGreen",SUMIFS(Table146[Quantity],Table146[Company],$M$3,Table146[Date],$A78,Table146[Bill No.],$B78),""))))</f>
        <v/>
      </c>
      <c r="D78" s="346" t="str">
        <f>IF($A78="","",IF($J78="DIESEL",AVERAGEIFS(Table1[RSP],Table1[Customer],$M$3,Table1[Date],$A78,Table1[Bill No.],$B78),IF($J78="PETROL",AVERAGEIFS(Table14[RSP],Table14[Customer],$M$3,Table14[Date],$A78,Table14[Bill No.],$B78),IF($J78="XtraGreen",AVERAGEIFS(Table146[RSP],Table146[Company],$M$3,Table146[Date],$A78,Table146[Bill No.],$B78),IFERROR($E78/$C78,"")))))</f>
        <v/>
      </c>
      <c r="E78" s="347" t="str">
        <f>IF($A78="","",IF($J78="DIESEL",SUMIFS(Table1[Amount],Table1[Customer],$M$3,Table1[Date],$A78,Table1[Bill No.],$B78),IF($J78="PETROL",SUMIFS(Table14[Amount],Table14[Customer],$M$3,Table14[Date],$A78,Table14[Bill No.],$B78),IF($J78="XtraGreen",SUMIFS(Table146[Amount],Table146[Company],$M$3,Table146[Date],$A78,Table146[Bill No.],$B78),SUMIFS('Other Sale'!$D:$D,'Other Sale'!$E:$E,$M$3,'Other Sale'!$C:$C,$J78,'Other Sale'!$A:$A,$A78)))))</f>
        <v/>
      </c>
      <c r="F78" s="347" t="str" cm="1">
        <f t="array" ref="F78">IF($A78="","",IF($J78="Payment",IFERROR(INDEX(_xlfn._xlws.FILTER(MasterPaid[Amount Paid],(MasterPaid[Customer]=$M$3)*(MasterPaid[Date]=$A78)),COUNTIFS($A$6:$A78,$A78,$J$6:$J78,"Payment")),0),0))</f>
        <v/>
      </c>
      <c r="G78" s="331"/>
      <c r="H78" s="427"/>
      <c r="I78" s="330" t="str">
        <f t="shared" si="10"/>
        <v/>
      </c>
      <c r="J78" s="344" t="str" cm="1">
        <f t="array" ref="J78">IFERROR(INDEX(_xlfn.ANCHORARRAY($P$6),ROW()-5,3),"")</f>
        <v/>
      </c>
      <c r="K78" s="349"/>
      <c r="L78" s="348"/>
      <c r="M78" s="277"/>
      <c r="N78" s="277"/>
      <c r="O78" s="277"/>
    </row>
    <row r="79" spans="1:15" ht="23" x14ac:dyDescent="0.25">
      <c r="A79" s="217" t="str" cm="1">
        <f t="array" ref="A79">IFERROR(INDEX(_xlfn.ANCHORARRAY($P$6),ROW()-5,1),"")</f>
        <v/>
      </c>
      <c r="B79" s="344" t="str" cm="1">
        <f t="array" ref="B79">IFERROR(INDEX(_xlfn.ANCHORARRAY($P$6),ROW()-5,2),"")</f>
        <v/>
      </c>
      <c r="C79" s="345" t="str">
        <f>IF($A79="","",IF($J79="DIESEL",SUMIFS(Table1[Quantity],Table1[Customer],$M$3,Table1[Date],$A79,Table1[Bill No.],$B79),IF($J79="PETROL",SUMIFS(Table14[Quantity],Table14[Customer],$M$3,Table14[Date],$A79,Table14[Bill No.],$B79),IF($J79="XtraGreen",SUMIFS(Table146[Quantity],Table146[Company],$M$3,Table146[Date],$A79,Table146[Bill No.],$B79),""))))</f>
        <v/>
      </c>
      <c r="D79" s="346" t="str">
        <f>IF($A79="","",IF($J79="DIESEL",AVERAGEIFS(Table1[RSP],Table1[Customer],$M$3,Table1[Date],$A79,Table1[Bill No.],$B79),IF($J79="PETROL",AVERAGEIFS(Table14[RSP],Table14[Customer],$M$3,Table14[Date],$A79,Table14[Bill No.],$B79),IF($J79="XtraGreen",AVERAGEIFS(Table146[RSP],Table146[Company],$M$3,Table146[Date],$A79,Table146[Bill No.],$B79),IFERROR($E79/$C79,"")))))</f>
        <v/>
      </c>
      <c r="E79" s="347" t="str">
        <f>IF($A79="","",IF($J79="DIESEL",SUMIFS(Table1[Amount],Table1[Customer],$M$3,Table1[Date],$A79,Table1[Bill No.],$B79),IF($J79="PETROL",SUMIFS(Table14[Amount],Table14[Customer],$M$3,Table14[Date],$A79,Table14[Bill No.],$B79),IF($J79="XtraGreen",SUMIFS(Table146[Amount],Table146[Company],$M$3,Table146[Date],$A79,Table146[Bill No.],$B79),SUMIFS('Other Sale'!$D:$D,'Other Sale'!$E:$E,$M$3,'Other Sale'!$C:$C,$J79,'Other Sale'!$A:$A,$A79)))))</f>
        <v/>
      </c>
      <c r="F79" s="347" t="str" cm="1">
        <f t="array" ref="F79">IF($A79="","",IF($J79="Payment",IFERROR(INDEX(_xlfn._xlws.FILTER(MasterPaid[Amount Paid],(MasterPaid[Customer]=$M$3)*(MasterPaid[Date]=$A79)),COUNTIFS($A$6:$A79,$A79,$J$6:$J79,"Payment")),0),0))</f>
        <v/>
      </c>
      <c r="G79" s="331"/>
      <c r="H79" s="427"/>
      <c r="I79" s="330" t="str">
        <f t="shared" si="10"/>
        <v/>
      </c>
      <c r="J79" s="344" t="str" cm="1">
        <f t="array" ref="J79">IFERROR(INDEX(_xlfn.ANCHORARRAY($P$6),ROW()-5,3),"")</f>
        <v/>
      </c>
      <c r="K79" s="349"/>
      <c r="L79" s="348"/>
      <c r="M79" s="277"/>
      <c r="N79" s="277"/>
      <c r="O79" s="277"/>
    </row>
    <row r="80" spans="1:15" ht="23" x14ac:dyDescent="0.25">
      <c r="A80" s="217" t="str" cm="1">
        <f t="array" ref="A80">IFERROR(INDEX(_xlfn.ANCHORARRAY($P$6),ROW()-5,1),"")</f>
        <v/>
      </c>
      <c r="B80" s="344" t="str" cm="1">
        <f t="array" ref="B80">IFERROR(INDEX(_xlfn.ANCHORARRAY($P$6),ROW()-5,2),"")</f>
        <v/>
      </c>
      <c r="C80" s="345" t="str">
        <f>IF($A80="","",IF($J80="DIESEL",SUMIFS(Table1[Quantity],Table1[Customer],$M$3,Table1[Date],$A80,Table1[Bill No.],$B80),IF($J80="PETROL",SUMIFS(Table14[Quantity],Table14[Customer],$M$3,Table14[Date],$A80,Table14[Bill No.],$B80),IF($J80="XtraGreen",SUMIFS(Table146[Quantity],Table146[Company],$M$3,Table146[Date],$A80,Table146[Bill No.],$B80),""))))</f>
        <v/>
      </c>
      <c r="D80" s="346" t="str">
        <f>IF($A80="","",IF($J80="DIESEL",AVERAGEIFS(Table1[RSP],Table1[Customer],$M$3,Table1[Date],$A80,Table1[Bill No.],$B80),IF($J80="PETROL",AVERAGEIFS(Table14[RSP],Table14[Customer],$M$3,Table14[Date],$A80,Table14[Bill No.],$B80),IF($J80="XtraGreen",AVERAGEIFS(Table146[RSP],Table146[Company],$M$3,Table146[Date],$A80,Table146[Bill No.],$B80),IFERROR($E80/$C80,"")))))</f>
        <v/>
      </c>
      <c r="E80" s="347" t="str">
        <f>IF($A80="","",IF($J80="DIESEL",SUMIFS(Table1[Amount],Table1[Customer],$M$3,Table1[Date],$A80,Table1[Bill No.],$B80),IF($J80="PETROL",SUMIFS(Table14[Amount],Table14[Customer],$M$3,Table14[Date],$A80,Table14[Bill No.],$B80),IF($J80="XtraGreen",SUMIFS(Table146[Amount],Table146[Company],$M$3,Table146[Date],$A80,Table146[Bill No.],$B80),SUMIFS('Other Sale'!$D:$D,'Other Sale'!$E:$E,$M$3,'Other Sale'!$C:$C,$J80,'Other Sale'!$A:$A,$A80)))))</f>
        <v/>
      </c>
      <c r="F80" s="347" t="str" cm="1">
        <f t="array" ref="F80">IF($A80="","",IF($J80="Payment",IFERROR(INDEX(_xlfn._xlws.FILTER(MasterPaid[Amount Paid],(MasterPaid[Customer]=$M$3)*(MasterPaid[Date]=$A80)),COUNTIFS($A$6:$A80,$A80,$J$6:$J80,"Payment")),0),0))</f>
        <v/>
      </c>
      <c r="G80" s="331"/>
      <c r="H80" s="427"/>
      <c r="I80" s="330" t="str">
        <f t="shared" si="10"/>
        <v/>
      </c>
      <c r="J80" s="344" t="str" cm="1">
        <f t="array" ref="J80">IFERROR(INDEX(_xlfn.ANCHORARRAY($P$6),ROW()-5,3),"")</f>
        <v/>
      </c>
      <c r="K80" s="349"/>
      <c r="L80" s="348"/>
      <c r="M80" s="277"/>
      <c r="N80" s="277"/>
      <c r="O80" s="277"/>
    </row>
    <row r="81" spans="1:15" ht="23" x14ac:dyDescent="0.25">
      <c r="A81" s="217" t="str" cm="1">
        <f t="array" ref="A81">IFERROR(INDEX(_xlfn.ANCHORARRAY($P$6),ROW()-5,1),"")</f>
        <v/>
      </c>
      <c r="B81" s="344" t="str" cm="1">
        <f t="array" ref="B81">IFERROR(INDEX(_xlfn.ANCHORARRAY($P$6),ROW()-5,2),"")</f>
        <v/>
      </c>
      <c r="C81" s="345" t="str">
        <f>IF($A81="","",IF($J81="DIESEL",SUMIFS(Table1[Quantity],Table1[Customer],$M$3,Table1[Date],$A81,Table1[Bill No.],$B81),IF($J81="PETROL",SUMIFS(Table14[Quantity],Table14[Customer],$M$3,Table14[Date],$A81,Table14[Bill No.],$B81),IF($J81="XtraGreen",SUMIFS(Table146[Quantity],Table146[Company],$M$3,Table146[Date],$A81,Table146[Bill No.],$B81),""))))</f>
        <v/>
      </c>
      <c r="D81" s="346" t="str">
        <f>IF($A81="","",IF($J81="DIESEL",AVERAGEIFS(Table1[RSP],Table1[Customer],$M$3,Table1[Date],$A81,Table1[Bill No.],$B81),IF($J81="PETROL",AVERAGEIFS(Table14[RSP],Table14[Customer],$M$3,Table14[Date],$A81,Table14[Bill No.],$B81),IF($J81="XtraGreen",AVERAGEIFS(Table146[RSP],Table146[Company],$M$3,Table146[Date],$A81,Table146[Bill No.],$B81),IFERROR($E81/$C81,"")))))</f>
        <v/>
      </c>
      <c r="E81" s="347" t="str">
        <f>IF($A81="","",IF($J81="DIESEL",SUMIFS(Table1[Amount],Table1[Customer],$M$3,Table1[Date],$A81,Table1[Bill No.],$B81),IF($J81="PETROL",SUMIFS(Table14[Amount],Table14[Customer],$M$3,Table14[Date],$A81,Table14[Bill No.],$B81),IF($J81="XtraGreen",SUMIFS(Table146[Amount],Table146[Company],$M$3,Table146[Date],$A81,Table146[Bill No.],$B81),SUMIFS('Other Sale'!$D:$D,'Other Sale'!$E:$E,$M$3,'Other Sale'!$C:$C,$J81,'Other Sale'!$A:$A,$A81)))))</f>
        <v/>
      </c>
      <c r="F81" s="347" t="str" cm="1">
        <f t="array" ref="F81">IF($A81="","",IF($J81="Payment",IFERROR(INDEX(_xlfn._xlws.FILTER(MasterPaid[Amount Paid],(MasterPaid[Customer]=$M$3)*(MasterPaid[Date]=$A81)),COUNTIFS($A$6:$A81,$A81,$J$6:$J81,"Payment")),0),0))</f>
        <v/>
      </c>
      <c r="G81" s="331"/>
      <c r="H81" s="427"/>
      <c r="I81" s="330" t="str">
        <f t="shared" si="10"/>
        <v/>
      </c>
      <c r="J81" s="344" t="str" cm="1">
        <f t="array" ref="J81">IFERROR(INDEX(_xlfn.ANCHORARRAY($P$6),ROW()-5,3),"")</f>
        <v/>
      </c>
      <c r="K81" s="349"/>
      <c r="L81" s="348"/>
      <c r="M81" s="277"/>
      <c r="N81" s="277"/>
      <c r="O81" s="277"/>
    </row>
    <row r="82" spans="1:15" ht="23" x14ac:dyDescent="0.25">
      <c r="A82" s="217" t="str" cm="1">
        <f t="array" ref="A82">IFERROR(INDEX(_xlfn.ANCHORARRAY($P$6),ROW()-5,1),"")</f>
        <v/>
      </c>
      <c r="B82" s="344" t="str" cm="1">
        <f t="array" ref="B82">IFERROR(INDEX(_xlfn.ANCHORARRAY($P$6),ROW()-5,2),"")</f>
        <v/>
      </c>
      <c r="C82" s="345" t="str">
        <f>IF($A82="","",IF($J82="DIESEL",SUMIFS(Table1[Quantity],Table1[Customer],$M$3,Table1[Date],$A82,Table1[Bill No.],$B82),IF($J82="PETROL",SUMIFS(Table14[Quantity],Table14[Customer],$M$3,Table14[Date],$A82,Table14[Bill No.],$B82),IF($J82="XtraGreen",SUMIFS(Table146[Quantity],Table146[Company],$M$3,Table146[Date],$A82,Table146[Bill No.],$B82),""))))</f>
        <v/>
      </c>
      <c r="D82" s="346" t="str">
        <f>IF($A82="","",IF($J82="DIESEL",AVERAGEIFS(Table1[RSP],Table1[Customer],$M$3,Table1[Date],$A82,Table1[Bill No.],$B82),IF($J82="PETROL",AVERAGEIFS(Table14[RSP],Table14[Customer],$M$3,Table14[Date],$A82,Table14[Bill No.],$B82),IF($J82="XtraGreen",AVERAGEIFS(Table146[RSP],Table146[Company],$M$3,Table146[Date],$A82,Table146[Bill No.],$B82),IFERROR($E82/$C82,"")))))</f>
        <v/>
      </c>
      <c r="E82" s="347" t="str">
        <f>IF($A82="","",IF($J82="DIESEL",SUMIFS(Table1[Amount],Table1[Customer],$M$3,Table1[Date],$A82,Table1[Bill No.],$B82),IF($J82="PETROL",SUMIFS(Table14[Amount],Table14[Customer],$M$3,Table14[Date],$A82,Table14[Bill No.],$B82),IF($J82="XtraGreen",SUMIFS(Table146[Amount],Table146[Company],$M$3,Table146[Date],$A82,Table146[Bill No.],$B82),SUMIFS('Other Sale'!$D:$D,'Other Sale'!$E:$E,$M$3,'Other Sale'!$C:$C,$J82,'Other Sale'!$A:$A,$A82)))))</f>
        <v/>
      </c>
      <c r="F82" s="347" t="str" cm="1">
        <f t="array" ref="F82">IF($A82="","",IF($J82="Payment",IFERROR(INDEX(_xlfn._xlws.FILTER(MasterPaid[Amount Paid],(MasterPaid[Customer]=$M$3)*(MasterPaid[Date]=$A82)),COUNTIFS($A$6:$A82,$A82,$J$6:$J82,"Payment")),0),0))</f>
        <v/>
      </c>
      <c r="G82" s="331"/>
      <c r="H82" s="427"/>
      <c r="I82" s="330" t="str">
        <f t="shared" si="10"/>
        <v/>
      </c>
      <c r="J82" s="344" t="str" cm="1">
        <f t="array" ref="J82">IFERROR(INDEX(_xlfn.ANCHORARRAY($P$6),ROW()-5,3),"")</f>
        <v/>
      </c>
      <c r="K82" s="349"/>
      <c r="L82" s="348"/>
      <c r="M82" s="277"/>
      <c r="N82" s="277"/>
      <c r="O82" s="277"/>
    </row>
    <row r="83" spans="1:15" ht="23" x14ac:dyDescent="0.25">
      <c r="A83" s="217" t="str" cm="1">
        <f t="array" ref="A83">IFERROR(INDEX(_xlfn.ANCHORARRAY($P$6),ROW()-5,1),"")</f>
        <v/>
      </c>
      <c r="B83" s="344" t="str" cm="1">
        <f t="array" ref="B83">IFERROR(INDEX(_xlfn.ANCHORARRAY($P$6),ROW()-5,2),"")</f>
        <v/>
      </c>
      <c r="C83" s="345" t="str">
        <f>IF($A83="","",IF($J83="DIESEL",SUMIFS(Table1[Quantity],Table1[Customer],$M$3,Table1[Date],$A83,Table1[Bill No.],$B83),IF($J83="PETROL",SUMIFS(Table14[Quantity],Table14[Customer],$M$3,Table14[Date],$A83,Table14[Bill No.],$B83),IF($J83="XtraGreen",SUMIFS(Table146[Quantity],Table146[Company],$M$3,Table146[Date],$A83,Table146[Bill No.],$B83),""))))</f>
        <v/>
      </c>
      <c r="D83" s="346" t="str">
        <f>IF($A83="","",IF($J83="DIESEL",AVERAGEIFS(Table1[RSP],Table1[Customer],$M$3,Table1[Date],$A83,Table1[Bill No.],$B83),IF($J83="PETROL",AVERAGEIFS(Table14[RSP],Table14[Customer],$M$3,Table14[Date],$A83,Table14[Bill No.],$B83),IF($J83="XtraGreen",AVERAGEIFS(Table146[RSP],Table146[Company],$M$3,Table146[Date],$A83,Table146[Bill No.],$B83),IFERROR($E83/$C83,"")))))</f>
        <v/>
      </c>
      <c r="E83" s="347" t="str">
        <f>IF($A83="","",IF($J83="DIESEL",SUMIFS(Table1[Amount],Table1[Customer],$M$3,Table1[Date],$A83,Table1[Bill No.],$B83),IF($J83="PETROL",SUMIFS(Table14[Amount],Table14[Customer],$M$3,Table14[Date],$A83,Table14[Bill No.],$B83),IF($J83="XtraGreen",SUMIFS(Table146[Amount],Table146[Company],$M$3,Table146[Date],$A83,Table146[Bill No.],$B83),SUMIFS('Other Sale'!$D:$D,'Other Sale'!$E:$E,$M$3,'Other Sale'!$C:$C,$J83,'Other Sale'!$A:$A,$A83)))))</f>
        <v/>
      </c>
      <c r="F83" s="347" t="str" cm="1">
        <f t="array" ref="F83">IF($A83="","",IF($J83="Payment",IFERROR(INDEX(_xlfn._xlws.FILTER(MasterPaid[Amount Paid],(MasterPaid[Customer]=$M$3)*(MasterPaid[Date]=$A83)),COUNTIFS($A$6:$A83,$A83,$J$6:$J83,"Payment")),0),0))</f>
        <v/>
      </c>
      <c r="G83" s="331"/>
      <c r="H83" s="427"/>
      <c r="I83" s="330" t="str">
        <f t="shared" si="10"/>
        <v/>
      </c>
      <c r="J83" s="344" t="str" cm="1">
        <f t="array" ref="J83">IFERROR(INDEX(_xlfn.ANCHORARRAY($P$6),ROW()-5,3),"")</f>
        <v/>
      </c>
      <c r="K83" s="349"/>
      <c r="L83" s="348"/>
      <c r="M83" s="277"/>
      <c r="N83" s="277"/>
      <c r="O83" s="277"/>
    </row>
    <row r="84" spans="1:15" ht="23" x14ac:dyDescent="0.25">
      <c r="A84" s="217" t="str" cm="1">
        <f t="array" ref="A84">IFERROR(INDEX(_xlfn.ANCHORARRAY($P$6),ROW()-5,1),"")</f>
        <v/>
      </c>
      <c r="B84" s="344" t="str" cm="1">
        <f t="array" ref="B84">IFERROR(INDEX(_xlfn.ANCHORARRAY($P$6),ROW()-5,2),"")</f>
        <v/>
      </c>
      <c r="C84" s="345" t="str">
        <f>IF($A84="","",IF($J84="DIESEL",SUMIFS(Table1[Quantity],Table1[Customer],$M$3,Table1[Date],$A84,Table1[Bill No.],$B84),IF($J84="PETROL",SUMIFS(Table14[Quantity],Table14[Customer],$M$3,Table14[Date],$A84,Table14[Bill No.],$B84),IF($J84="XtraGreen",SUMIFS(Table146[Quantity],Table146[Company],$M$3,Table146[Date],$A84,Table146[Bill No.],$B84),""))))</f>
        <v/>
      </c>
      <c r="D84" s="346" t="str">
        <f>IF($A84="","",IF($J84="DIESEL",AVERAGEIFS(Table1[RSP],Table1[Customer],$M$3,Table1[Date],$A84,Table1[Bill No.],$B84),IF($J84="PETROL",AVERAGEIFS(Table14[RSP],Table14[Customer],$M$3,Table14[Date],$A84,Table14[Bill No.],$B84),IF($J84="XtraGreen",AVERAGEIFS(Table146[RSP],Table146[Company],$M$3,Table146[Date],$A84,Table146[Bill No.],$B84),IFERROR($E84/$C84,"")))))</f>
        <v/>
      </c>
      <c r="E84" s="347" t="str">
        <f>IF($A84="","",IF($J84="DIESEL",SUMIFS(Table1[Amount],Table1[Customer],$M$3,Table1[Date],$A84,Table1[Bill No.],$B84),IF($J84="PETROL",SUMIFS(Table14[Amount],Table14[Customer],$M$3,Table14[Date],$A84,Table14[Bill No.],$B84),IF($J84="XtraGreen",SUMIFS(Table146[Amount],Table146[Company],$M$3,Table146[Date],$A84,Table146[Bill No.],$B84),SUMIFS('Other Sale'!$D:$D,'Other Sale'!$E:$E,$M$3,'Other Sale'!$C:$C,$J84,'Other Sale'!$A:$A,$A84)))))</f>
        <v/>
      </c>
      <c r="F84" s="347" t="str" cm="1">
        <f t="array" ref="F84">IF($A84="","",IF($J84="Payment",IFERROR(INDEX(_xlfn._xlws.FILTER(MasterPaid[Amount Paid],(MasterPaid[Customer]=$M$3)*(MasterPaid[Date]=$A84)),COUNTIFS($A$6:$A84,$A84,$J$6:$J84,"Payment")),0),0))</f>
        <v/>
      </c>
      <c r="G84" s="331"/>
      <c r="H84" s="427"/>
      <c r="I84" s="330" t="str">
        <f t="shared" si="10"/>
        <v/>
      </c>
      <c r="J84" s="344" t="str" cm="1">
        <f t="array" ref="J84">IFERROR(INDEX(_xlfn.ANCHORARRAY($P$6),ROW()-5,3),"")</f>
        <v/>
      </c>
      <c r="K84" s="349"/>
      <c r="L84" s="426" t="s">
        <v>2666</v>
      </c>
      <c r="M84" s="277"/>
      <c r="N84" s="277"/>
      <c r="O84" s="277"/>
    </row>
    <row r="85" spans="1:15" ht="23" x14ac:dyDescent="0.25">
      <c r="A85" s="217" t="str" cm="1">
        <f t="array" ref="A85">IFERROR(INDEX(_xlfn.ANCHORARRAY($P$6),ROW()-5,1),"")</f>
        <v/>
      </c>
      <c r="B85" s="344" t="str" cm="1">
        <f t="array" ref="B85">IFERROR(INDEX(_xlfn.ANCHORARRAY($P$6),ROW()-5,2),"")</f>
        <v/>
      </c>
      <c r="C85" s="345" t="str">
        <f>IF($A85="","",IF($J85="DIESEL",SUMIFS(Table1[Quantity],Table1[Customer],$M$3,Table1[Date],$A85,Table1[Bill No.],$B85),IF($J85="PETROL",SUMIFS(Table14[Quantity],Table14[Customer],$M$3,Table14[Date],$A85,Table14[Bill No.],$B85),IF($J85="XtraGreen",SUMIFS(Table146[Quantity],Table146[Company],$M$3,Table146[Date],$A85,Table146[Bill No.],$B85),""))))</f>
        <v/>
      </c>
      <c r="D85" s="346" t="str">
        <f>IF($A85="","",IF($J85="DIESEL",AVERAGEIFS(Table1[RSP],Table1[Customer],$M$3,Table1[Date],$A85,Table1[Bill No.],$B85),IF($J85="PETROL",AVERAGEIFS(Table14[RSP],Table14[Customer],$M$3,Table14[Date],$A85,Table14[Bill No.],$B85),IF($J85="XtraGreen",AVERAGEIFS(Table146[RSP],Table146[Company],$M$3,Table146[Date],$A85,Table146[Bill No.],$B85),IFERROR($E85/$C85,"")))))</f>
        <v/>
      </c>
      <c r="E85" s="347" t="str">
        <f>IF($A85="","",IF($J85="DIESEL",SUMIFS(Table1[Amount],Table1[Customer],$M$3,Table1[Date],$A85,Table1[Bill No.],$B85),IF($J85="PETROL",SUMIFS(Table14[Amount],Table14[Customer],$M$3,Table14[Date],$A85,Table14[Bill No.],$B85),IF($J85="XtraGreen",SUMIFS(Table146[Amount],Table146[Company],$M$3,Table146[Date],$A85,Table146[Bill No.],$B85),SUMIFS('Other Sale'!$D:$D,'Other Sale'!$E:$E,$M$3,'Other Sale'!$C:$C,$J85,'Other Sale'!$A:$A,$A85)))))</f>
        <v/>
      </c>
      <c r="F85" s="347" t="str" cm="1">
        <f t="array" ref="F85">IF($A85="","",IF($J85="Payment",IFERROR(INDEX(_xlfn._xlws.FILTER(MasterPaid[Amount Paid],(MasterPaid[Customer]=$M$3)*(MasterPaid[Date]=$A85)),COUNTIFS($A$6:$A85,$A85,$J$6:$J85,"Payment")),0),0))</f>
        <v/>
      </c>
      <c r="G85" s="331"/>
      <c r="H85" s="427"/>
      <c r="I85" s="330" t="str">
        <f t="shared" si="10"/>
        <v/>
      </c>
      <c r="J85" s="344" t="str" cm="1">
        <f t="array" ref="J85">IFERROR(INDEX(_xlfn.ANCHORARRAY($P$6),ROW()-5,3),"")</f>
        <v/>
      </c>
      <c r="K85" s="349"/>
      <c r="L85" s="348"/>
      <c r="M85" s="277"/>
      <c r="N85" s="277"/>
      <c r="O85" s="277"/>
    </row>
    <row r="86" spans="1:15" ht="23" x14ac:dyDescent="0.25">
      <c r="A86" s="217" t="str" cm="1">
        <f t="array" ref="A86">IFERROR(INDEX(_xlfn.ANCHORARRAY($P$6),ROW()-5,1),"")</f>
        <v/>
      </c>
      <c r="B86" s="344" t="str" cm="1">
        <f t="array" ref="B86">IFERROR(INDEX(_xlfn.ANCHORARRAY($P$6),ROW()-5,2),"")</f>
        <v/>
      </c>
      <c r="C86" s="345" t="str">
        <f>IF($A86="","",IF($J86="DIESEL",SUMIFS(Table1[Quantity],Table1[Customer],$M$3,Table1[Date],$A86,Table1[Bill No.],$B86),IF($J86="PETROL",SUMIFS(Table14[Quantity],Table14[Customer],$M$3,Table14[Date],$A86,Table14[Bill No.],$B86),IF($J86="XtraGreen",SUMIFS(Table146[Quantity],Table146[Company],$M$3,Table146[Date],$A86,Table146[Bill No.],$B86),""))))</f>
        <v/>
      </c>
      <c r="D86" s="346" t="str">
        <f>IF($A86="","",IF($J86="DIESEL",AVERAGEIFS(Table1[RSP],Table1[Customer],$M$3,Table1[Date],$A86,Table1[Bill No.],$B86),IF($J86="PETROL",AVERAGEIFS(Table14[RSP],Table14[Customer],$M$3,Table14[Date],$A86,Table14[Bill No.],$B86),IF($J86="XtraGreen",AVERAGEIFS(Table146[RSP],Table146[Company],$M$3,Table146[Date],$A86,Table146[Bill No.],$B86),IFERROR($E86/$C86,"")))))</f>
        <v/>
      </c>
      <c r="E86" s="347" t="str">
        <f>IF($A86="","",IF($J86="DIESEL",SUMIFS(Table1[Amount],Table1[Customer],$M$3,Table1[Date],$A86,Table1[Bill No.],$B86),IF($J86="PETROL",SUMIFS(Table14[Amount],Table14[Customer],$M$3,Table14[Date],$A86,Table14[Bill No.],$B86),IF($J86="XtraGreen",SUMIFS(Table146[Amount],Table146[Company],$M$3,Table146[Date],$A86,Table146[Bill No.],$B86),SUMIFS('Other Sale'!$D:$D,'Other Sale'!$E:$E,$M$3,'Other Sale'!$C:$C,$J86,'Other Sale'!$A:$A,$A86)))))</f>
        <v/>
      </c>
      <c r="F86" s="347" t="str" cm="1">
        <f t="array" ref="F86">IF($A86="","",IF($J86="Payment",IFERROR(INDEX(_xlfn._xlws.FILTER(MasterPaid[Amount Paid],(MasterPaid[Customer]=$M$3)*(MasterPaid[Date]=$A86)),COUNTIFS($A$6:$A86,$A86,$J$6:$J86,"Payment")),0),0))</f>
        <v/>
      </c>
      <c r="G86" s="331"/>
      <c r="H86" s="427"/>
      <c r="I86" s="330" t="str">
        <f t="shared" si="10"/>
        <v/>
      </c>
      <c r="J86" s="344" t="str" cm="1">
        <f t="array" ref="J86">IFERROR(INDEX(_xlfn.ANCHORARRAY($P$6),ROW()-5,3),"")</f>
        <v/>
      </c>
      <c r="K86" s="349"/>
      <c r="L86" s="348"/>
    </row>
    <row r="87" spans="1:15" ht="23" x14ac:dyDescent="0.25">
      <c r="A87" s="217" t="str" cm="1">
        <f t="array" ref="A87">IFERROR(INDEX(_xlfn.ANCHORARRAY($P$6),ROW()-5,1),"")</f>
        <v/>
      </c>
      <c r="B87" s="344" t="str" cm="1">
        <f t="array" ref="B87">IFERROR(INDEX(_xlfn.ANCHORARRAY($P$6),ROW()-5,2),"")</f>
        <v/>
      </c>
      <c r="C87" s="345" t="str">
        <f>IF($A87="","",IF($J87="DIESEL",SUMIFS(Table1[Quantity],Table1[Customer],$M$3,Table1[Date],$A87,Table1[Bill No.],$B87),IF($J87="PETROL",SUMIFS(Table14[Quantity],Table14[Customer],$M$3,Table14[Date],$A87,Table14[Bill No.],$B87),IF($J87="XtraGreen",SUMIFS(Table146[Quantity],Table146[Company],$M$3,Table146[Date],$A87,Table146[Bill No.],$B87),""))))</f>
        <v/>
      </c>
      <c r="D87" s="346" t="str">
        <f>IF($A87="","",IF($J87="DIESEL",AVERAGEIFS(Table1[RSP],Table1[Customer],$M$3,Table1[Date],$A87,Table1[Bill No.],$B87),IF($J87="PETROL",AVERAGEIFS(Table14[RSP],Table14[Customer],$M$3,Table14[Date],$A87,Table14[Bill No.],$B87),IF($J87="XtraGreen",AVERAGEIFS(Table146[RSP],Table146[Company],$M$3,Table146[Date],$A87,Table146[Bill No.],$B87),IFERROR($E87/$C87,"")))))</f>
        <v/>
      </c>
      <c r="E87" s="347" t="str">
        <f>IF($A87="","",IF($J87="DIESEL",SUMIFS(Table1[Amount],Table1[Customer],$M$3,Table1[Date],$A87,Table1[Bill No.],$B87),IF($J87="PETROL",SUMIFS(Table14[Amount],Table14[Customer],$M$3,Table14[Date],$A87,Table14[Bill No.],$B87),IF($J87="XtraGreen",SUMIFS(Table146[Amount],Table146[Company],$M$3,Table146[Date],$A87,Table146[Bill No.],$B87),SUMIFS('Other Sale'!$D:$D,'Other Sale'!$E:$E,$M$3,'Other Sale'!$C:$C,$J87,'Other Sale'!$A:$A,$A87)))))</f>
        <v/>
      </c>
      <c r="F87" s="347" t="str" cm="1">
        <f t="array" ref="F87">IF($A87="","",IF($J87="Payment",IFERROR(INDEX(_xlfn._xlws.FILTER(MasterPaid[Amount Paid],(MasterPaid[Customer]=$M$3)*(MasterPaid[Date]=$A87)),COUNTIFS($A$6:$A87,$A87,$J$6:$J87,"Payment")),0),0))</f>
        <v/>
      </c>
      <c r="G87" s="331"/>
      <c r="H87" s="427"/>
      <c r="I87" s="330" t="str">
        <f t="shared" si="10"/>
        <v/>
      </c>
      <c r="J87" s="344" t="str" cm="1">
        <f t="array" ref="J87">IFERROR(INDEX(_xlfn.ANCHORARRAY($P$6),ROW()-5,3),"")</f>
        <v/>
      </c>
      <c r="K87" s="349"/>
      <c r="L87" s="348"/>
    </row>
    <row r="88" spans="1:15" ht="23" x14ac:dyDescent="0.25">
      <c r="A88" s="217" t="str" cm="1">
        <f t="array" ref="A88">IFERROR(INDEX(_xlfn.ANCHORARRAY($P$6),ROW()-5,1),"")</f>
        <v/>
      </c>
      <c r="B88" s="344" t="str" cm="1">
        <f t="array" ref="B88">IFERROR(INDEX(_xlfn.ANCHORARRAY($P$6),ROW()-5,2),"")</f>
        <v/>
      </c>
      <c r="C88" s="345" t="str">
        <f>IF($A88="","",IF($J88="DIESEL",SUMIFS(Table1[Quantity],Table1[Customer],$M$3,Table1[Date],$A88,Table1[Bill No.],$B88),IF($J88="PETROL",SUMIFS(Table14[Quantity],Table14[Customer],$M$3,Table14[Date],$A88,Table14[Bill No.],$B88),IF($J88="XtraGreen",SUMIFS(Table146[Quantity],Table146[Company],$M$3,Table146[Date],$A88,Table146[Bill No.],$B88),""))))</f>
        <v/>
      </c>
      <c r="D88" s="346" t="str">
        <f>IF($A88="","",IF($J88="DIESEL",AVERAGEIFS(Table1[RSP],Table1[Customer],$M$3,Table1[Date],$A88,Table1[Bill No.],$B88),IF($J88="PETROL",AVERAGEIFS(Table14[RSP],Table14[Customer],$M$3,Table14[Date],$A88,Table14[Bill No.],$B88),IF($J88="XtraGreen",AVERAGEIFS(Table146[RSP],Table146[Company],$M$3,Table146[Date],$A88,Table146[Bill No.],$B88),IFERROR($E88/$C88,"")))))</f>
        <v/>
      </c>
      <c r="E88" s="347" t="str">
        <f>IF($A88="","",IF($J88="DIESEL",SUMIFS(Table1[Amount],Table1[Customer],$M$3,Table1[Date],$A88,Table1[Bill No.],$B88),IF($J88="PETROL",SUMIFS(Table14[Amount],Table14[Customer],$M$3,Table14[Date],$A88,Table14[Bill No.],$B88),IF($J88="XtraGreen",SUMIFS(Table146[Amount],Table146[Company],$M$3,Table146[Date],$A88,Table146[Bill No.],$B88),SUMIFS('Other Sale'!$D:$D,'Other Sale'!$E:$E,$M$3,'Other Sale'!$C:$C,$J88,'Other Sale'!$A:$A,$A88)))))</f>
        <v/>
      </c>
      <c r="F88" s="347" t="str" cm="1">
        <f t="array" ref="F88">IF($A88="","",IF($J88="Payment",IFERROR(INDEX(_xlfn._xlws.FILTER(MasterPaid[Amount Paid],(MasterPaid[Customer]=$M$3)*(MasterPaid[Date]=$A88)),COUNTIFS($A$6:$A88,$A88,$J$6:$J88,"Payment")),0),0))</f>
        <v/>
      </c>
      <c r="G88" s="331"/>
      <c r="H88" s="427"/>
      <c r="I88" s="330" t="str">
        <f t="shared" si="10"/>
        <v/>
      </c>
      <c r="J88" s="344" t="str" cm="1">
        <f t="array" ref="J88">IFERROR(INDEX(_xlfn.ANCHORARRAY($P$6),ROW()-5,3),"")</f>
        <v/>
      </c>
      <c r="K88" s="349"/>
      <c r="L88" s="348"/>
    </row>
    <row r="89" spans="1:15" ht="23" x14ac:dyDescent="0.25">
      <c r="A89" s="217" t="str" cm="1">
        <f t="array" ref="A89">IFERROR(INDEX(_xlfn.ANCHORARRAY($P$6),ROW()-5,1),"")</f>
        <v/>
      </c>
      <c r="B89" s="344" t="str" cm="1">
        <f t="array" ref="B89">IFERROR(INDEX(_xlfn.ANCHORARRAY($P$6),ROW()-5,2),"")</f>
        <v/>
      </c>
      <c r="C89" s="345" t="str">
        <f>IF($A89="","",IF($J89="DIESEL",SUMIFS(Table1[Quantity],Table1[Customer],$M$3,Table1[Date],$A89,Table1[Bill No.],$B89),IF($J89="PETROL",SUMIFS(Table14[Quantity],Table14[Customer],$M$3,Table14[Date],$A89,Table14[Bill No.],$B89),IF($J89="XtraGreen",SUMIFS(Table146[Quantity],Table146[Company],$M$3,Table146[Date],$A89,Table146[Bill No.],$B89),""))))</f>
        <v/>
      </c>
      <c r="D89" s="346" t="str">
        <f>IF($A89="","",IF($J89="DIESEL",AVERAGEIFS(Table1[RSP],Table1[Customer],$M$3,Table1[Date],$A89,Table1[Bill No.],$B89),IF($J89="PETROL",AVERAGEIFS(Table14[RSP],Table14[Customer],$M$3,Table14[Date],$A89,Table14[Bill No.],$B89),IF($J89="XtraGreen",AVERAGEIFS(Table146[RSP],Table146[Company],$M$3,Table146[Date],$A89,Table146[Bill No.],$B89),IFERROR($E89/$C89,"")))))</f>
        <v/>
      </c>
      <c r="E89" s="347" t="str">
        <f>IF($A89="","",IF($J89="DIESEL",SUMIFS(Table1[Amount],Table1[Customer],$M$3,Table1[Date],$A89,Table1[Bill No.],$B89),IF($J89="PETROL",SUMIFS(Table14[Amount],Table14[Customer],$M$3,Table14[Date],$A89,Table14[Bill No.],$B89),IF($J89="XtraGreen",SUMIFS(Table146[Amount],Table146[Company],$M$3,Table146[Date],$A89,Table146[Bill No.],$B89),SUMIFS('Other Sale'!$D:$D,'Other Sale'!$E:$E,$M$3,'Other Sale'!$C:$C,$J89,'Other Sale'!$A:$A,$A89)))))</f>
        <v/>
      </c>
      <c r="F89" s="347" t="str" cm="1">
        <f t="array" ref="F89">IF($A89="","",IF($J89="Payment",IFERROR(INDEX(_xlfn._xlws.FILTER(MasterPaid[Amount Paid],(MasterPaid[Customer]=$M$3)*(MasterPaid[Date]=$A89)),COUNTIFS($A$6:$A89,$A89,$J$6:$J89,"Payment")),0),0))</f>
        <v/>
      </c>
      <c r="G89" s="331"/>
      <c r="H89" s="427"/>
      <c r="I89" s="330" t="str">
        <f t="shared" si="10"/>
        <v/>
      </c>
      <c r="J89" s="344" t="str" cm="1">
        <f t="array" ref="J89">IFERROR(INDEX(_xlfn.ANCHORARRAY($P$6),ROW()-5,3),"")</f>
        <v/>
      </c>
      <c r="K89" s="432"/>
      <c r="L89" s="348"/>
    </row>
    <row r="90" spans="1:15" ht="23" x14ac:dyDescent="0.25">
      <c r="A90" s="217" t="str" cm="1">
        <f t="array" ref="A90">IFERROR(INDEX(_xlfn.ANCHORARRAY($P$6),ROW()-5,1),"")</f>
        <v/>
      </c>
      <c r="B90" s="344" t="str" cm="1">
        <f t="array" ref="B90">IFERROR(INDEX(_xlfn.ANCHORARRAY($P$6),ROW()-5,2),"")</f>
        <v/>
      </c>
      <c r="C90" s="345" t="str">
        <f>IF($A90="","",IF($J90="DIESEL",SUMIFS(Table1[Quantity],Table1[Customer],$M$3,Table1[Date],$A90,Table1[Bill No.],$B90),IF($J90="PETROL",SUMIFS(Table14[Quantity],Table14[Customer],$M$3,Table14[Date],$A90,Table14[Bill No.],$B90),IF($J90="XtraGreen",SUMIFS(Table146[Quantity],Table146[Company],$M$3,Table146[Date],$A90,Table146[Bill No.],$B90),""))))</f>
        <v/>
      </c>
      <c r="D90" s="346" t="str">
        <f>IF($A90="","",IF($J90="DIESEL",AVERAGEIFS(Table1[RSP],Table1[Customer],$M$3,Table1[Date],$A90,Table1[Bill No.],$B90),IF($J90="PETROL",AVERAGEIFS(Table14[RSP],Table14[Customer],$M$3,Table14[Date],$A90,Table14[Bill No.],$B90),IF($J90="XtraGreen",AVERAGEIFS(Table146[RSP],Table146[Company],$M$3,Table146[Date],$A90,Table146[Bill No.],$B90),IFERROR($E90/$C90,"")))))</f>
        <v/>
      </c>
      <c r="E90" s="347" t="str">
        <f>IF($A90="","",IF($J90="DIESEL",SUMIFS(Table1[Amount],Table1[Customer],$M$3,Table1[Date],$A90,Table1[Bill No.],$B90),IF($J90="PETROL",SUMIFS(Table14[Amount],Table14[Customer],$M$3,Table14[Date],$A90,Table14[Bill No.],$B90),IF($J90="XtraGreen",SUMIFS(Table146[Amount],Table146[Company],$M$3,Table146[Date],$A90,Table146[Bill No.],$B90),SUMIFS('Other Sale'!$D:$D,'Other Sale'!$E:$E,$M$3,'Other Sale'!$C:$C,$J90,'Other Sale'!$A:$A,$A90)))))</f>
        <v/>
      </c>
      <c r="F90" s="347" t="str" cm="1">
        <f t="array" ref="F90">IF($A90="","",IF($J90="Payment",IFERROR(INDEX(_xlfn._xlws.FILTER(MasterPaid[Amount Paid],(MasterPaid[Customer]=$M$3)*(MasterPaid[Date]=$A90)),COUNTIFS($A$6:$A90,$A90,$J$6:$J90,"Payment")),0),0))</f>
        <v/>
      </c>
      <c r="G90" s="331"/>
      <c r="H90" s="427"/>
      <c r="I90" s="330" t="str">
        <f t="shared" si="10"/>
        <v/>
      </c>
      <c r="J90" s="344" t="str" cm="1">
        <f t="array" ref="J90">IFERROR(INDEX(_xlfn.ANCHORARRAY($P$6),ROW()-5,3),"")</f>
        <v/>
      </c>
      <c r="K90" s="432"/>
      <c r="L90" s="348"/>
    </row>
    <row r="91" spans="1:15" ht="23" x14ac:dyDescent="0.25">
      <c r="A91" s="217" t="str" cm="1">
        <f t="array" ref="A91">IFERROR(INDEX(_xlfn.ANCHORARRAY($P$6),ROW()-5,1),"")</f>
        <v/>
      </c>
      <c r="B91" s="344" t="str" cm="1">
        <f t="array" ref="B91">IFERROR(INDEX(_xlfn.ANCHORARRAY($P$6),ROW()-5,2),"")</f>
        <v/>
      </c>
      <c r="C91" s="345" t="str">
        <f>IF($A91="","",IF($J91="DIESEL",SUMIFS(Table1[Quantity],Table1[Customer],$M$3,Table1[Date],$A91,Table1[Bill No.],$B91),IF($J91="PETROL",SUMIFS(Table14[Quantity],Table14[Customer],$M$3,Table14[Date],$A91,Table14[Bill No.],$B91),IF($J91="XtraGreen",SUMIFS(Table146[Quantity],Table146[Company],$M$3,Table146[Date],$A91,Table146[Bill No.],$B91),""))))</f>
        <v/>
      </c>
      <c r="D91" s="346" t="str">
        <f>IF($A91="","",IF($J91="DIESEL",AVERAGEIFS(Table1[RSP],Table1[Customer],$M$3,Table1[Date],$A91,Table1[Bill No.],$B91),IF($J91="PETROL",AVERAGEIFS(Table14[RSP],Table14[Customer],$M$3,Table14[Date],$A91,Table14[Bill No.],$B91),IF($J91="XtraGreen",AVERAGEIFS(Table146[RSP],Table146[Company],$M$3,Table146[Date],$A91,Table146[Bill No.],$B91),IFERROR($E91/$C91,"")))))</f>
        <v/>
      </c>
      <c r="E91" s="347" t="str">
        <f>IF($A91="","",IF($J91="DIESEL",SUMIFS(Table1[Amount],Table1[Customer],$M$3,Table1[Date],$A91,Table1[Bill No.],$B91),IF($J91="PETROL",SUMIFS(Table14[Amount],Table14[Customer],$M$3,Table14[Date],$A91,Table14[Bill No.],$B91),IF($J91="XtraGreen",SUMIFS(Table146[Amount],Table146[Company],$M$3,Table146[Date],$A91,Table146[Bill No.],$B91),SUMIFS('Other Sale'!$D:$D,'Other Sale'!$E:$E,$M$3,'Other Sale'!$C:$C,$J91,'Other Sale'!$A:$A,$A91)))))</f>
        <v/>
      </c>
      <c r="F91" s="347" t="str" cm="1">
        <f t="array" ref="F91">IF($A91="","",IF($J91="Payment",IFERROR(INDEX(_xlfn._xlws.FILTER(MasterPaid[Amount Paid],(MasterPaid[Customer]=$M$3)*(MasterPaid[Date]=$A91)),COUNTIFS($A$6:$A91,$A91,$J$6:$J91,"Payment")),0),0))</f>
        <v/>
      </c>
      <c r="G91" s="331"/>
      <c r="H91" s="427"/>
      <c r="I91" s="330" t="str">
        <f t="shared" si="10"/>
        <v/>
      </c>
      <c r="J91" s="344" t="str" cm="1">
        <f t="array" ref="J91">IFERROR(INDEX(_xlfn.ANCHORARRAY($P$6),ROW()-5,3),"")</f>
        <v/>
      </c>
      <c r="K91" s="432"/>
      <c r="L91" s="348"/>
    </row>
    <row r="92" spans="1:15" ht="23" x14ac:dyDescent="0.25">
      <c r="A92" s="217" t="str" cm="1">
        <f t="array" ref="A92">IFERROR(INDEX(_xlfn.ANCHORARRAY($P$6),ROW()-5,1),"")</f>
        <v/>
      </c>
      <c r="B92" s="344" t="str" cm="1">
        <f t="array" ref="B92">IFERROR(INDEX(_xlfn.ANCHORARRAY($P$6),ROW()-5,2),"")</f>
        <v/>
      </c>
      <c r="C92" s="345" t="str">
        <f>IF($A92="","",IF($J92="DIESEL",SUMIFS(Table1[Quantity],Table1[Customer],$M$3,Table1[Date],$A92,Table1[Bill No.],$B92),IF($J92="PETROL",SUMIFS(Table14[Quantity],Table14[Customer],$M$3,Table14[Date],$A92,Table14[Bill No.],$B92),IF($J92="XtraGreen",SUMIFS(Table146[Quantity],Table146[Company],$M$3,Table146[Date],$A92,Table146[Bill No.],$B92),""))))</f>
        <v/>
      </c>
      <c r="D92" s="346" t="str">
        <f>IF($A92="","",IF($J92="DIESEL",AVERAGEIFS(Table1[RSP],Table1[Customer],$M$3,Table1[Date],$A92,Table1[Bill No.],$B92),IF($J92="PETROL",AVERAGEIFS(Table14[RSP],Table14[Customer],$M$3,Table14[Date],$A92,Table14[Bill No.],$B92),IF($J92="XtraGreen",AVERAGEIFS(Table146[RSP],Table146[Company],$M$3,Table146[Date],$A92,Table146[Bill No.],$B92),IFERROR($E92/$C92,"")))))</f>
        <v/>
      </c>
      <c r="E92" s="347" t="str">
        <f>IF($A92="","",IF($J92="DIESEL",SUMIFS(Table1[Amount],Table1[Customer],$M$3,Table1[Date],$A92,Table1[Bill No.],$B92),IF($J92="PETROL",SUMIFS(Table14[Amount],Table14[Customer],$M$3,Table14[Date],$A92,Table14[Bill No.],$B92),IF($J92="XtraGreen",SUMIFS(Table146[Amount],Table146[Company],$M$3,Table146[Date],$A92,Table146[Bill No.],$B92),SUMIFS('Other Sale'!$D:$D,'Other Sale'!$E:$E,$M$3,'Other Sale'!$C:$C,$J92,'Other Sale'!$A:$A,$A92)))))</f>
        <v/>
      </c>
      <c r="F92" s="347" t="str" cm="1">
        <f t="array" ref="F92">IF($A92="","",IF($J92="Payment",IFERROR(INDEX(_xlfn._xlws.FILTER(MasterPaid[Amount Paid],(MasterPaid[Customer]=$M$3)*(MasterPaid[Date]=$A92)),COUNTIFS($A$6:$A92,$A92,$J$6:$J92,"Payment")),0),0))</f>
        <v/>
      </c>
      <c r="G92" s="331"/>
      <c r="H92" s="427"/>
      <c r="I92" s="330" t="str">
        <f t="shared" si="10"/>
        <v/>
      </c>
      <c r="J92" s="344" t="str" cm="1">
        <f t="array" ref="J92">IFERROR(INDEX(_xlfn.ANCHORARRAY($P$6),ROW()-5,3),"")</f>
        <v/>
      </c>
      <c r="K92" s="432"/>
      <c r="L92" s="348"/>
    </row>
    <row r="93" spans="1:15" ht="23" x14ac:dyDescent="0.25">
      <c r="A93" s="217" t="str" cm="1">
        <f t="array" ref="A93">IFERROR(INDEX(_xlfn.ANCHORARRAY($P$6),ROW()-5,1),"")</f>
        <v/>
      </c>
      <c r="B93" s="344" t="str" cm="1">
        <f t="array" ref="B93">IFERROR(INDEX(_xlfn.ANCHORARRAY($P$6),ROW()-5,2),"")</f>
        <v/>
      </c>
      <c r="C93" s="345" t="str">
        <f>IF($A93="","",IF($J93="DIESEL",SUMIFS(Table1[Quantity],Table1[Customer],$M$3,Table1[Date],$A93,Table1[Bill No.],$B93),IF($J93="PETROL",SUMIFS(Table14[Quantity],Table14[Customer],$M$3,Table14[Date],$A93,Table14[Bill No.],$B93),IF($J93="XtraGreen",SUMIFS(Table146[Quantity],Table146[Company],$M$3,Table146[Date],$A93,Table146[Bill No.],$B93),""))))</f>
        <v/>
      </c>
      <c r="D93" s="346" t="str">
        <f>IF($A93="","",IF($J93="DIESEL",AVERAGEIFS(Table1[RSP],Table1[Customer],$M$3,Table1[Date],$A93,Table1[Bill No.],$B93),IF($J93="PETROL",AVERAGEIFS(Table14[RSP],Table14[Customer],$M$3,Table14[Date],$A93,Table14[Bill No.],$B93),IF($J93="XtraGreen",AVERAGEIFS(Table146[RSP],Table146[Company],$M$3,Table146[Date],$A93,Table146[Bill No.],$B93),IFERROR($E93/$C93,"")))))</f>
        <v/>
      </c>
      <c r="E93" s="347" t="str">
        <f>IF($A93="","",IF($J93="DIESEL",SUMIFS(Table1[Amount],Table1[Customer],$M$3,Table1[Date],$A93,Table1[Bill No.],$B93),IF($J93="PETROL",SUMIFS(Table14[Amount],Table14[Customer],$M$3,Table14[Date],$A93,Table14[Bill No.],$B93),IF($J93="XtraGreen",SUMIFS(Table146[Amount],Table146[Company],$M$3,Table146[Date],$A93,Table146[Bill No.],$B93),SUMIFS('Other Sale'!$D:$D,'Other Sale'!$E:$E,$M$3,'Other Sale'!$C:$C,$J93,'Other Sale'!$A:$A,$A93)))))</f>
        <v/>
      </c>
      <c r="F93" s="347" t="str" cm="1">
        <f t="array" ref="F93">IF($A93="","",IF($J93="Payment",IFERROR(INDEX(_xlfn._xlws.FILTER(MasterPaid[Amount Paid],(MasterPaid[Customer]=$M$3)*(MasterPaid[Date]=$A93)),COUNTIFS($A$6:$A93,$A93,$J$6:$J93,"Payment")),0),0))</f>
        <v/>
      </c>
      <c r="G93" s="331"/>
      <c r="H93" s="427"/>
      <c r="I93" s="330" t="str">
        <f t="shared" si="10"/>
        <v/>
      </c>
      <c r="J93" s="344" t="str" cm="1">
        <f t="array" ref="J93">IFERROR(INDEX(_xlfn.ANCHORARRAY($P$6),ROW()-5,3),"")</f>
        <v/>
      </c>
      <c r="K93" s="432"/>
      <c r="L93" s="348"/>
    </row>
    <row r="94" spans="1:15" ht="23" x14ac:dyDescent="0.25">
      <c r="A94" s="217" t="str" cm="1">
        <f t="array" ref="A94">IFERROR(INDEX(_xlfn.ANCHORARRAY($P$6),ROW()-5,1),"")</f>
        <v/>
      </c>
      <c r="B94" s="344" t="str" cm="1">
        <f t="array" ref="B94">IFERROR(INDEX(_xlfn.ANCHORARRAY($P$6),ROW()-5,2),"")</f>
        <v/>
      </c>
      <c r="C94" s="345" t="str">
        <f>IF($A94="","",IF($J94="DIESEL",SUMIFS(Table1[Quantity],Table1[Customer],$M$3,Table1[Date],$A94,Table1[Bill No.],$B94),IF($J94="PETROL",SUMIFS(Table14[Quantity],Table14[Customer],$M$3,Table14[Date],$A94,Table14[Bill No.],$B94),IF($J94="XtraGreen",SUMIFS(Table146[Quantity],Table146[Company],$M$3,Table146[Date],$A94,Table146[Bill No.],$B94),""))))</f>
        <v/>
      </c>
      <c r="D94" s="346" t="str">
        <f>IF($A94="","",IF($J94="DIESEL",AVERAGEIFS(Table1[RSP],Table1[Customer],$M$3,Table1[Date],$A94,Table1[Bill No.],$B94),IF($J94="PETROL",AVERAGEIFS(Table14[RSP],Table14[Customer],$M$3,Table14[Date],$A94,Table14[Bill No.],$B94),IF($J94="XtraGreen",AVERAGEIFS(Table146[RSP],Table146[Company],$M$3,Table146[Date],$A94,Table146[Bill No.],$B94),IFERROR($E94/$C94,"")))))</f>
        <v/>
      </c>
      <c r="E94" s="347" t="str">
        <f>IF($A94="","",IF($J94="DIESEL",SUMIFS(Table1[Amount],Table1[Customer],$M$3,Table1[Date],$A94,Table1[Bill No.],$B94),IF($J94="PETROL",SUMIFS(Table14[Amount],Table14[Customer],$M$3,Table14[Date],$A94,Table14[Bill No.],$B94),IF($J94="XtraGreen",SUMIFS(Table146[Amount],Table146[Company],$M$3,Table146[Date],$A94,Table146[Bill No.],$B94),SUMIFS('Other Sale'!$D:$D,'Other Sale'!$E:$E,$M$3,'Other Sale'!$C:$C,$J94,'Other Sale'!$A:$A,$A94)))))</f>
        <v/>
      </c>
      <c r="F94" s="347" t="str" cm="1">
        <f t="array" ref="F94">IF($A94="","",IF($J94="Payment",IFERROR(INDEX(_xlfn._xlws.FILTER(MasterPaid[Amount Paid],(MasterPaid[Customer]=$M$3)*(MasterPaid[Date]=$A94)),COUNTIFS($A$6:$A94,$A94,$J$6:$J94,"Payment")),0),0))</f>
        <v/>
      </c>
      <c r="G94" s="331"/>
      <c r="H94" s="427"/>
      <c r="I94" s="330" t="str">
        <f t="shared" si="10"/>
        <v/>
      </c>
      <c r="J94" s="344" t="str" cm="1">
        <f t="array" ref="J94">IFERROR(INDEX(_xlfn.ANCHORARRAY($P$6),ROW()-5,3),"")</f>
        <v/>
      </c>
      <c r="K94" s="432"/>
      <c r="L94" s="348"/>
    </row>
    <row r="95" spans="1:15" ht="23" x14ac:dyDescent="0.25">
      <c r="A95" s="217" t="str" cm="1">
        <f t="array" ref="A95">IFERROR(INDEX(_xlfn.ANCHORARRAY($P$6),ROW()-5,1),"")</f>
        <v/>
      </c>
      <c r="B95" s="344" t="str" cm="1">
        <f t="array" ref="B95">IFERROR(INDEX(_xlfn.ANCHORARRAY($P$6),ROW()-5,2),"")</f>
        <v/>
      </c>
      <c r="C95" s="345" t="str">
        <f>IF($A95="","",IF($J95="DIESEL",SUMIFS(Table1[Quantity],Table1[Customer],$M$3,Table1[Date],$A95,Table1[Bill No.],$B95),IF($J95="PETROL",SUMIFS(Table14[Quantity],Table14[Customer],$M$3,Table14[Date],$A95,Table14[Bill No.],$B95),IF($J95="XtraGreen",SUMIFS(Table146[Quantity],Table146[Company],$M$3,Table146[Date],$A95,Table146[Bill No.],$B95),""))))</f>
        <v/>
      </c>
      <c r="D95" s="346" t="str">
        <f>IF($A95="","",IF($J95="DIESEL",AVERAGEIFS(Table1[RSP],Table1[Customer],$M$3,Table1[Date],$A95,Table1[Bill No.],$B95),IF($J95="PETROL",AVERAGEIFS(Table14[RSP],Table14[Customer],$M$3,Table14[Date],$A95,Table14[Bill No.],$B95),IF($J95="XtraGreen",AVERAGEIFS(Table146[RSP],Table146[Company],$M$3,Table146[Date],$A95,Table146[Bill No.],$B95),IFERROR($E95/$C95,"")))))</f>
        <v/>
      </c>
      <c r="E95" s="347" t="str">
        <f>IF($A95="","",IF($J95="DIESEL",SUMIFS(Table1[Amount],Table1[Customer],$M$3,Table1[Date],$A95,Table1[Bill No.],$B95),IF($J95="PETROL",SUMIFS(Table14[Amount],Table14[Customer],$M$3,Table14[Date],$A95,Table14[Bill No.],$B95),IF($J95="XtraGreen",SUMIFS(Table146[Amount],Table146[Company],$M$3,Table146[Date],$A95,Table146[Bill No.],$B95),SUMIFS('Other Sale'!$D:$D,'Other Sale'!$E:$E,$M$3,'Other Sale'!$C:$C,$J95,'Other Sale'!$A:$A,$A95)))))</f>
        <v/>
      </c>
      <c r="F95" s="347" t="str" cm="1">
        <f t="array" ref="F95">IF($A95="","",IF($J95="Payment",IFERROR(INDEX(_xlfn._xlws.FILTER(MasterPaid[Amount Paid],(MasterPaid[Customer]=$M$3)*(MasterPaid[Date]=$A95)),COUNTIFS($A$6:$A95,$A95,$J$6:$J95,"Payment")),0),0))</f>
        <v/>
      </c>
      <c r="G95" s="331"/>
      <c r="H95" s="427"/>
      <c r="I95" s="330" t="str">
        <f t="shared" si="10"/>
        <v/>
      </c>
      <c r="J95" s="344" t="str" cm="1">
        <f t="array" ref="J95">IFERROR(INDEX(_xlfn.ANCHORARRAY($P$6),ROW()-5,3),"")</f>
        <v/>
      </c>
      <c r="K95" s="432"/>
      <c r="L95" s="348"/>
    </row>
    <row r="96" spans="1:15" ht="23" x14ac:dyDescent="0.25">
      <c r="A96" s="217" t="str" cm="1">
        <f t="array" ref="A96">IFERROR(INDEX(_xlfn.ANCHORARRAY($P$6),ROW()-5,1),"")</f>
        <v/>
      </c>
      <c r="B96" s="344" t="str" cm="1">
        <f t="array" ref="B96">IFERROR(INDEX(_xlfn.ANCHORARRAY($P$6),ROW()-5,2),"")</f>
        <v/>
      </c>
      <c r="C96" s="345" t="str">
        <f>IF($A96="","",IF($J96="DIESEL",SUMIFS(Table1[Quantity],Table1[Customer],$M$3,Table1[Date],$A96,Table1[Bill No.],$B96),IF($J96="PETROL",SUMIFS(Table14[Quantity],Table14[Customer],$M$3,Table14[Date],$A96,Table14[Bill No.],$B96),IF($J96="XtraGreen",SUMIFS(Table146[Quantity],Table146[Company],$M$3,Table146[Date],$A96,Table146[Bill No.],$B96),""))))</f>
        <v/>
      </c>
      <c r="D96" s="346" t="str">
        <f>IF($A96="","",IF($J96="DIESEL",AVERAGEIFS(Table1[RSP],Table1[Customer],$M$3,Table1[Date],$A96,Table1[Bill No.],$B96),IF($J96="PETROL",AVERAGEIFS(Table14[RSP],Table14[Customer],$M$3,Table14[Date],$A96,Table14[Bill No.],$B96),IF($J96="XtraGreen",AVERAGEIFS(Table146[RSP],Table146[Company],$M$3,Table146[Date],$A96,Table146[Bill No.],$B96),IFERROR($E96/$C96,"")))))</f>
        <v/>
      </c>
      <c r="E96" s="347" t="str">
        <f>IF($A96="","",IF($J96="DIESEL",SUMIFS(Table1[Amount],Table1[Customer],$M$3,Table1[Date],$A96,Table1[Bill No.],$B96),IF($J96="PETROL",SUMIFS(Table14[Amount],Table14[Customer],$M$3,Table14[Date],$A96,Table14[Bill No.],$B96),IF($J96="XtraGreen",SUMIFS(Table146[Amount],Table146[Company],$M$3,Table146[Date],$A96,Table146[Bill No.],$B96),SUMIFS('Other Sale'!$D:$D,'Other Sale'!$E:$E,$M$3,'Other Sale'!$C:$C,$J96,'Other Sale'!$A:$A,$A96)))))</f>
        <v/>
      </c>
      <c r="F96" s="347" t="str" cm="1">
        <f t="array" ref="F96">IF($A96="","",IF($J96="Payment",IFERROR(INDEX(_xlfn._xlws.FILTER(MasterPaid[Amount Paid],(MasterPaid[Customer]=$M$3)*(MasterPaid[Date]=$A96)),COUNTIFS($A$6:$A96,$A96,$J$6:$J96,"Payment")),0),0))</f>
        <v/>
      </c>
      <c r="G96" s="331"/>
      <c r="H96" s="427"/>
      <c r="I96" s="330" t="str">
        <f t="shared" si="10"/>
        <v/>
      </c>
      <c r="J96" s="344" t="str" cm="1">
        <f t="array" ref="J96">IFERROR(INDEX(_xlfn.ANCHORARRAY($P$6),ROW()-5,3),"")</f>
        <v/>
      </c>
      <c r="K96" s="432"/>
      <c r="L96" s="348"/>
    </row>
    <row r="97" spans="1:12" ht="23" x14ac:dyDescent="0.25">
      <c r="A97" s="217" t="str" cm="1">
        <f t="array" ref="A97">IFERROR(INDEX(_xlfn.ANCHORARRAY($P$6),ROW()-5,1),"")</f>
        <v/>
      </c>
      <c r="B97" s="344" t="str" cm="1">
        <f t="array" ref="B97">IFERROR(INDEX(_xlfn.ANCHORARRAY($P$6),ROW()-5,2),"")</f>
        <v/>
      </c>
      <c r="C97" s="345" t="str">
        <f>IF($A97="","",IF($J97="DIESEL",SUMIFS(Table1[Quantity],Table1[Customer],$M$3,Table1[Date],$A97,Table1[Bill No.],$B97),IF($J97="PETROL",SUMIFS(Table14[Quantity],Table14[Customer],$M$3,Table14[Date],$A97,Table14[Bill No.],$B97),IF($J97="XtraGreen",SUMIFS(Table146[Quantity],Table146[Company],$M$3,Table146[Date],$A97,Table146[Bill No.],$B97),""))))</f>
        <v/>
      </c>
      <c r="D97" s="346" t="str">
        <f>IF($A97="","",IF($J97="DIESEL",AVERAGEIFS(Table1[RSP],Table1[Customer],$M$3,Table1[Date],$A97,Table1[Bill No.],$B97),IF($J97="PETROL",AVERAGEIFS(Table14[RSP],Table14[Customer],$M$3,Table14[Date],$A97,Table14[Bill No.],$B97),IF($J97="XtraGreen",AVERAGEIFS(Table146[RSP],Table146[Company],$M$3,Table146[Date],$A97,Table146[Bill No.],$B97),IFERROR($E97/$C97,"")))))</f>
        <v/>
      </c>
      <c r="E97" s="347" t="str">
        <f>IF($A97="","",IF($J97="DIESEL",SUMIFS(Table1[Amount],Table1[Customer],$M$3,Table1[Date],$A97,Table1[Bill No.],$B97),IF($J97="PETROL",SUMIFS(Table14[Amount],Table14[Customer],$M$3,Table14[Date],$A97,Table14[Bill No.],$B97),IF($J97="XtraGreen",SUMIFS(Table146[Amount],Table146[Company],$M$3,Table146[Date],$A97,Table146[Bill No.],$B97),SUMIFS('Other Sale'!$D:$D,'Other Sale'!$E:$E,$M$3,'Other Sale'!$C:$C,$J97,'Other Sale'!$A:$A,$A97)))))</f>
        <v/>
      </c>
      <c r="F97" s="347" t="str" cm="1">
        <f t="array" ref="F97">IF($A97="","",IF($J97="Payment",IFERROR(INDEX(_xlfn._xlws.FILTER(MasterPaid[Amount Paid],(MasterPaid[Customer]=$M$3)*(MasterPaid[Date]=$A97)),COUNTIFS($A$6:$A97,$A97,$J$6:$J97,"Payment")),0),0))</f>
        <v/>
      </c>
      <c r="G97" s="331"/>
      <c r="H97" s="427"/>
      <c r="I97" s="330" t="str">
        <f t="shared" si="10"/>
        <v/>
      </c>
      <c r="J97" s="344" t="str" cm="1">
        <f t="array" ref="J97">IFERROR(INDEX(_xlfn.ANCHORARRAY($P$6),ROW()-5,3),"")</f>
        <v/>
      </c>
      <c r="K97" s="432"/>
      <c r="L97" s="348"/>
    </row>
    <row r="98" spans="1:12" ht="23" x14ac:dyDescent="0.25">
      <c r="A98" s="217" t="str" cm="1">
        <f t="array" ref="A98">IFERROR(INDEX(_xlfn.ANCHORARRAY($P$6),ROW()-5,1),"")</f>
        <v/>
      </c>
      <c r="B98" s="344" t="str" cm="1">
        <f t="array" ref="B98">IFERROR(INDEX(_xlfn.ANCHORARRAY($P$6),ROW()-5,2),"")</f>
        <v/>
      </c>
      <c r="C98" s="345" t="str">
        <f>IF($A98="","",IF($J98="DIESEL",SUMIFS(Table1[Quantity],Table1[Customer],$M$3,Table1[Date],$A98,Table1[Bill No.],$B98),IF($J98="PETROL",SUMIFS(Table14[Quantity],Table14[Customer],$M$3,Table14[Date],$A98,Table14[Bill No.],$B98),IF($J98="XtraGreen",SUMIFS(Table146[Quantity],Table146[Company],$M$3,Table146[Date],$A98,Table146[Bill No.],$B98),""))))</f>
        <v/>
      </c>
      <c r="D98" s="346" t="str">
        <f>IF($A98="","",IF($J98="DIESEL",AVERAGEIFS(Table1[RSP],Table1[Customer],$M$3,Table1[Date],$A98,Table1[Bill No.],$B98),IF($J98="PETROL",AVERAGEIFS(Table14[RSP],Table14[Customer],$M$3,Table14[Date],$A98,Table14[Bill No.],$B98),IF($J98="XtraGreen",AVERAGEIFS(Table146[RSP],Table146[Company],$M$3,Table146[Date],$A98,Table146[Bill No.],$B98),IFERROR($E98/$C98,"")))))</f>
        <v/>
      </c>
      <c r="E98" s="347" t="str">
        <f>IF($A98="","",IF($J98="DIESEL",SUMIFS(Table1[Amount],Table1[Customer],$M$3,Table1[Date],$A98,Table1[Bill No.],$B98),IF($J98="PETROL",SUMIFS(Table14[Amount],Table14[Customer],$M$3,Table14[Date],$A98,Table14[Bill No.],$B98),IF($J98="XtraGreen",SUMIFS(Table146[Amount],Table146[Company],$M$3,Table146[Date],$A98,Table146[Bill No.],$B98),SUMIFS('Other Sale'!$D:$D,'Other Sale'!$E:$E,$M$3,'Other Sale'!$C:$C,$J98,'Other Sale'!$A:$A,$A98)))))</f>
        <v/>
      </c>
      <c r="F98" s="347" t="str" cm="1">
        <f t="array" ref="F98">IF($A98="","",IF($J98="Payment",IFERROR(INDEX(_xlfn._xlws.FILTER(MasterPaid[Amount Paid],(MasterPaid[Customer]=$M$3)*(MasterPaid[Date]=$A98)),COUNTIFS($A$6:$A98,$A98,$J$6:$J98,"Payment")),0),0))</f>
        <v/>
      </c>
      <c r="G98" s="331"/>
      <c r="H98" s="427"/>
      <c r="I98" s="330" t="str">
        <f t="shared" si="10"/>
        <v/>
      </c>
      <c r="J98" s="344" t="str" cm="1">
        <f t="array" ref="J98">IFERROR(INDEX(_xlfn.ANCHORARRAY($P$6),ROW()-5,3),"")</f>
        <v/>
      </c>
      <c r="K98" s="432"/>
      <c r="L98" s="348"/>
    </row>
    <row r="99" spans="1:12" ht="23" x14ac:dyDescent="0.25">
      <c r="A99" s="217" t="str" cm="1">
        <f t="array" ref="A99">IFERROR(INDEX(_xlfn.ANCHORARRAY($P$6),ROW()-5,1),"")</f>
        <v/>
      </c>
      <c r="B99" s="344" t="str" cm="1">
        <f t="array" ref="B99">IFERROR(INDEX(_xlfn.ANCHORARRAY($P$6),ROW()-5,2),"")</f>
        <v/>
      </c>
      <c r="C99" s="345" t="str">
        <f>IF($A99="","",IF($J99="DIESEL",SUMIFS(Table1[Quantity],Table1[Customer],$M$3,Table1[Date],$A99,Table1[Bill No.],$B99),IF($J99="PETROL",SUMIFS(Table14[Quantity],Table14[Customer],$M$3,Table14[Date],$A99,Table14[Bill No.],$B99),IF($J99="XtraGreen",SUMIFS(Table146[Quantity],Table146[Company],$M$3,Table146[Date],$A99,Table146[Bill No.],$B99),""))))</f>
        <v/>
      </c>
      <c r="D99" s="346" t="str">
        <f>IF($A99="","",IF($J99="DIESEL",AVERAGEIFS(Table1[RSP],Table1[Customer],$M$3,Table1[Date],$A99,Table1[Bill No.],$B99),IF($J99="PETROL",AVERAGEIFS(Table14[RSP],Table14[Customer],$M$3,Table14[Date],$A99,Table14[Bill No.],$B99),IF($J99="XtraGreen",AVERAGEIFS(Table146[RSP],Table146[Company],$M$3,Table146[Date],$A99,Table146[Bill No.],$B99),IFERROR($E99/$C99,"")))))</f>
        <v/>
      </c>
      <c r="E99" s="347" t="str">
        <f>IF($A99="","",IF($J99="DIESEL",SUMIFS(Table1[Amount],Table1[Customer],$M$3,Table1[Date],$A99,Table1[Bill No.],$B99),IF($J99="PETROL",SUMIFS(Table14[Amount],Table14[Customer],$M$3,Table14[Date],$A99,Table14[Bill No.],$B99),IF($J99="XtraGreen",SUMIFS(Table146[Amount],Table146[Company],$M$3,Table146[Date],$A99,Table146[Bill No.],$B99),SUMIFS('Other Sale'!$D:$D,'Other Sale'!$E:$E,$M$3,'Other Sale'!$C:$C,$J99,'Other Sale'!$A:$A,$A99)))))</f>
        <v/>
      </c>
      <c r="F99" s="347" t="str" cm="1">
        <f t="array" ref="F99">IF($A99="","",IF($J99="Payment",IFERROR(INDEX(_xlfn._xlws.FILTER(MasterPaid[Amount Paid],(MasterPaid[Customer]=$M$3)*(MasterPaid[Date]=$A99)),COUNTIFS($A$6:$A99,$A99,$J$6:$J99,"Payment")),0),0))</f>
        <v/>
      </c>
      <c r="G99" s="331"/>
      <c r="H99" s="427"/>
      <c r="I99" s="330" t="str">
        <f t="shared" si="10"/>
        <v/>
      </c>
      <c r="J99" s="344" t="str" cm="1">
        <f t="array" ref="J99">IFERROR(INDEX(_xlfn.ANCHORARRAY($P$6),ROW()-5,3),"")</f>
        <v/>
      </c>
      <c r="K99" s="432"/>
      <c r="L99" s="348"/>
    </row>
    <row r="100" spans="1:12" ht="23" x14ac:dyDescent="0.25">
      <c r="A100" s="217" t="str" cm="1">
        <f t="array" ref="A100">IFERROR(INDEX(_xlfn.ANCHORARRAY($P$6),ROW()-5,1),"")</f>
        <v/>
      </c>
      <c r="B100" s="344" t="str" cm="1">
        <f t="array" ref="B100">IFERROR(INDEX(_xlfn.ANCHORARRAY($P$6),ROW()-5,2),"")</f>
        <v/>
      </c>
      <c r="C100" s="345" t="str">
        <f>IF($A100="","",IF($J100="DIESEL",SUMIFS(Table1[Quantity],Table1[Customer],$M$3,Table1[Date],$A100,Table1[Bill No.],$B100),IF($J100="PETROL",SUMIFS(Table14[Quantity],Table14[Customer],$M$3,Table14[Date],$A100,Table14[Bill No.],$B100),IF($J100="XtraGreen",SUMIFS(Table146[Quantity],Table146[Company],$M$3,Table146[Date],$A100,Table146[Bill No.],$B100),""))))</f>
        <v/>
      </c>
      <c r="D100" s="346" t="str">
        <f>IF($A100="","",IF($J100="DIESEL",AVERAGEIFS(Table1[RSP],Table1[Customer],$M$3,Table1[Date],$A100,Table1[Bill No.],$B100),IF($J100="PETROL",AVERAGEIFS(Table14[RSP],Table14[Customer],$M$3,Table14[Date],$A100,Table14[Bill No.],$B100),IF($J100="XtraGreen",AVERAGEIFS(Table146[RSP],Table146[Company],$M$3,Table146[Date],$A100,Table146[Bill No.],$B100),IFERROR($E100/$C100,"")))))</f>
        <v/>
      </c>
      <c r="E100" s="347" t="str">
        <f>IF($A100="","",IF($J100="DIESEL",SUMIFS(Table1[Amount],Table1[Customer],$M$3,Table1[Date],$A100,Table1[Bill No.],$B100),IF($J100="PETROL",SUMIFS(Table14[Amount],Table14[Customer],$M$3,Table14[Date],$A100,Table14[Bill No.],$B100),IF($J100="XtraGreen",SUMIFS(Table146[Amount],Table146[Company],$M$3,Table146[Date],$A100,Table146[Bill No.],$B100),SUMIFS('Other Sale'!$D:$D,'Other Sale'!$E:$E,$M$3,'Other Sale'!$C:$C,$J100,'Other Sale'!$A:$A,$A100)))))</f>
        <v/>
      </c>
      <c r="F100" s="347" t="str" cm="1">
        <f t="array" ref="F100">IF($A100="","",IF($J100="Payment",IFERROR(INDEX(_xlfn._xlws.FILTER(MasterPaid[Amount Paid],(MasterPaid[Customer]=$M$3)*(MasterPaid[Date]=$A100)),COUNTIFS($A$6:$A100,$A100,$J$6:$J100,"Payment")),0),0))</f>
        <v/>
      </c>
      <c r="G100" s="331"/>
      <c r="H100" s="427"/>
      <c r="I100" s="330" t="str">
        <f t="shared" si="10"/>
        <v/>
      </c>
      <c r="J100" s="344" t="str" cm="1">
        <f t="array" ref="J100">IFERROR(INDEX(_xlfn.ANCHORARRAY($P$6),ROW()-5,3),"")</f>
        <v/>
      </c>
      <c r="K100" s="432"/>
      <c r="L100" s="348"/>
    </row>
    <row r="101" spans="1:12" ht="23" x14ac:dyDescent="0.25">
      <c r="A101" s="217" t="str" cm="1">
        <f t="array" ref="A101">IFERROR(INDEX(_xlfn.ANCHORARRAY($P$6),ROW()-5,1),"")</f>
        <v/>
      </c>
      <c r="B101" s="344" t="str" cm="1">
        <f t="array" ref="B101">IFERROR(INDEX(_xlfn.ANCHORARRAY($P$6),ROW()-5,2),"")</f>
        <v/>
      </c>
      <c r="C101" s="345" t="str">
        <f>IF($A101="","",IF($J101="DIESEL",SUMIFS(Table1[Quantity],Table1[Customer],$M$3,Table1[Date],$A101,Table1[Bill No.],$B101),IF($J101="PETROL",SUMIFS(Table14[Quantity],Table14[Customer],$M$3,Table14[Date],$A101,Table14[Bill No.],$B101),IF($J101="XtraGreen",SUMIFS(Table146[Quantity],Table146[Company],$M$3,Table146[Date],$A101,Table146[Bill No.],$B101),""))))</f>
        <v/>
      </c>
      <c r="D101" s="346" t="str">
        <f>IF($A101="","",IF($J101="DIESEL",AVERAGEIFS(Table1[RSP],Table1[Customer],$M$3,Table1[Date],$A101,Table1[Bill No.],$B101),IF($J101="PETROL",AVERAGEIFS(Table14[RSP],Table14[Customer],$M$3,Table14[Date],$A101,Table14[Bill No.],$B101),IF($J101="XtraGreen",AVERAGEIFS(Table146[RSP],Table146[Company],$M$3,Table146[Date],$A101,Table146[Bill No.],$B101),IFERROR($E101/$C101,"")))))</f>
        <v/>
      </c>
      <c r="E101" s="347" t="str">
        <f>IF($A101="","",IF($J101="DIESEL",SUMIFS(Table1[Amount],Table1[Customer],$M$3,Table1[Date],$A101,Table1[Bill No.],$B101),IF($J101="PETROL",SUMIFS(Table14[Amount],Table14[Customer],$M$3,Table14[Date],$A101,Table14[Bill No.],$B101),IF($J101="XtraGreen",SUMIFS(Table146[Amount],Table146[Company],$M$3,Table146[Date],$A101,Table146[Bill No.],$B101),SUMIFS('Other Sale'!$D:$D,'Other Sale'!$E:$E,$M$3,'Other Sale'!$C:$C,$J101,'Other Sale'!$A:$A,$A101)))))</f>
        <v/>
      </c>
      <c r="F101" s="347" t="str" cm="1">
        <f t="array" ref="F101">IF($A101="","",IF($J101="Payment",IFERROR(INDEX(_xlfn._xlws.FILTER(MasterPaid[Amount Paid],(MasterPaid[Customer]=$M$3)*(MasterPaid[Date]=$A101)),COUNTIFS($A$6:$A101,$A101,$J$6:$J101,"Payment")),0),0))</f>
        <v/>
      </c>
      <c r="G101" s="331"/>
      <c r="H101" s="427"/>
      <c r="I101" s="330" t="str">
        <f t="shared" si="10"/>
        <v/>
      </c>
      <c r="J101" s="344" t="str" cm="1">
        <f t="array" ref="J101">IFERROR(INDEX(_xlfn.ANCHORARRAY($P$6),ROW()-5,3),"")</f>
        <v/>
      </c>
      <c r="K101" s="432"/>
      <c r="L101" s="348"/>
    </row>
    <row r="102" spans="1:12" ht="23" x14ac:dyDescent="0.25">
      <c r="A102" s="217" t="str" cm="1">
        <f t="array" ref="A102">IFERROR(INDEX(_xlfn.ANCHORARRAY($P$6),ROW()-5,1),"")</f>
        <v/>
      </c>
      <c r="B102" s="344" t="str" cm="1">
        <f t="array" ref="B102">IFERROR(INDEX(_xlfn.ANCHORARRAY($P$6),ROW()-5,2),"")</f>
        <v/>
      </c>
      <c r="C102" s="345" t="str">
        <f>IF($A102="","",IF($J102="DIESEL",SUMIFS(Table1[Quantity],Table1[Customer],$M$3,Table1[Date],$A102,Table1[Bill No.],$B102),IF($J102="PETROL",SUMIFS(Table14[Quantity],Table14[Customer],$M$3,Table14[Date],$A102,Table14[Bill No.],$B102),IF($J102="XtraGreen",SUMIFS(Table146[Quantity],Table146[Company],$M$3,Table146[Date],$A102,Table146[Bill No.],$B102),""))))</f>
        <v/>
      </c>
      <c r="D102" s="346" t="str">
        <f>IF($A102="","",IF($J102="DIESEL",AVERAGEIFS(Table1[RSP],Table1[Customer],$M$3,Table1[Date],$A102,Table1[Bill No.],$B102),IF($J102="PETROL",AVERAGEIFS(Table14[RSP],Table14[Customer],$M$3,Table14[Date],$A102,Table14[Bill No.],$B102),IF($J102="XtraGreen",AVERAGEIFS(Table146[RSP],Table146[Company],$M$3,Table146[Date],$A102,Table146[Bill No.],$B102),IFERROR($E102/$C102,"")))))</f>
        <v/>
      </c>
      <c r="E102" s="347" t="str">
        <f>IF($A102="","",IF($J102="DIESEL",SUMIFS(Table1[Amount],Table1[Customer],$M$3,Table1[Date],$A102,Table1[Bill No.],$B102),IF($J102="PETROL",SUMIFS(Table14[Amount],Table14[Customer],$M$3,Table14[Date],$A102,Table14[Bill No.],$B102),IF($J102="XtraGreen",SUMIFS(Table146[Amount],Table146[Company],$M$3,Table146[Date],$A102,Table146[Bill No.],$B102),SUMIFS('Other Sale'!$D:$D,'Other Sale'!$E:$E,$M$3,'Other Sale'!$C:$C,$J102,'Other Sale'!$A:$A,$A102)))))</f>
        <v/>
      </c>
      <c r="F102" s="347" t="str" cm="1">
        <f t="array" ref="F102">IF($A102="","",IF($J102="Payment",IFERROR(INDEX(_xlfn._xlws.FILTER(MasterPaid[Amount Paid],(MasterPaid[Customer]=$M$3)*(MasterPaid[Date]=$A102)),COUNTIFS($A$6:$A102,$A102,$J$6:$J102,"Payment")),0),0))</f>
        <v/>
      </c>
      <c r="G102" s="331"/>
      <c r="H102" s="427"/>
      <c r="I102" s="330" t="str">
        <f t="shared" si="10"/>
        <v/>
      </c>
      <c r="J102" s="344" t="str" cm="1">
        <f t="array" ref="J102">IFERROR(INDEX(_xlfn.ANCHORARRAY($P$6),ROW()-5,3),"")</f>
        <v/>
      </c>
      <c r="K102" s="432"/>
      <c r="L102" s="348"/>
    </row>
    <row r="103" spans="1:12" ht="23" x14ac:dyDescent="0.25">
      <c r="A103" s="217" t="str" cm="1">
        <f t="array" ref="A103">IFERROR(INDEX(_xlfn.ANCHORARRAY($P$6),ROW()-5,1),"")</f>
        <v/>
      </c>
      <c r="B103" s="344" t="str" cm="1">
        <f t="array" ref="B103">IFERROR(INDEX(_xlfn.ANCHORARRAY($P$6),ROW()-5,2),"")</f>
        <v/>
      </c>
      <c r="C103" s="345" t="str">
        <f>IF($A103="","",IF($J103="DIESEL",SUMIFS(Table1[Quantity],Table1[Customer],$M$3,Table1[Date],$A103,Table1[Bill No.],$B103),IF($J103="PETROL",SUMIFS(Table14[Quantity],Table14[Customer],$M$3,Table14[Date],$A103,Table14[Bill No.],$B103),IF($J103="XtraGreen",SUMIFS(Table146[Quantity],Table146[Company],$M$3,Table146[Date],$A103,Table146[Bill No.],$B103),""))))</f>
        <v/>
      </c>
      <c r="D103" s="346" t="str">
        <f>IF($A103="","",IF($J103="DIESEL",AVERAGEIFS(Table1[RSP],Table1[Customer],$M$3,Table1[Date],$A103,Table1[Bill No.],$B103),IF($J103="PETROL",AVERAGEIFS(Table14[RSP],Table14[Customer],$M$3,Table14[Date],$A103,Table14[Bill No.],$B103),IF($J103="XtraGreen",AVERAGEIFS(Table146[RSP],Table146[Company],$M$3,Table146[Date],$A103,Table146[Bill No.],$B103),IFERROR($E103/$C103,"")))))</f>
        <v/>
      </c>
      <c r="E103" s="347" t="str">
        <f>IF($A103="","",IF($J103="DIESEL",SUMIFS(Table1[Amount],Table1[Customer],$M$3,Table1[Date],$A103,Table1[Bill No.],$B103),IF($J103="PETROL",SUMIFS(Table14[Amount],Table14[Customer],$M$3,Table14[Date],$A103,Table14[Bill No.],$B103),IF($J103="XtraGreen",SUMIFS(Table146[Amount],Table146[Company],$M$3,Table146[Date],$A103,Table146[Bill No.],$B103),SUMIFS('Other Sale'!$D:$D,'Other Sale'!$E:$E,$M$3,'Other Sale'!$C:$C,$J103,'Other Sale'!$A:$A,$A103)))))</f>
        <v/>
      </c>
      <c r="F103" s="347" t="str" cm="1">
        <f t="array" ref="F103">IF($A103="","",IF($J103="Payment",IFERROR(INDEX(_xlfn._xlws.FILTER(MasterPaid[Amount Paid],(MasterPaid[Customer]=$M$3)*(MasterPaid[Date]=$A103)),COUNTIFS($A$6:$A103,$A103,$J$6:$J103,"Payment")),0),0))</f>
        <v/>
      </c>
      <c r="G103" s="331"/>
      <c r="H103" s="427"/>
      <c r="I103" s="330" t="str">
        <f t="shared" si="10"/>
        <v/>
      </c>
      <c r="J103" s="344" t="str" cm="1">
        <f t="array" ref="J103">IFERROR(INDEX(_xlfn.ANCHORARRAY($P$6),ROW()-5,3),"")</f>
        <v/>
      </c>
      <c r="K103" s="432"/>
      <c r="L103" s="348"/>
    </row>
    <row r="104" spans="1:12" ht="23" x14ac:dyDescent="0.25">
      <c r="A104" s="217" t="str" cm="1">
        <f t="array" ref="A104">IFERROR(INDEX(_xlfn.ANCHORARRAY($P$6),ROW()-5,1),"")</f>
        <v/>
      </c>
      <c r="B104" s="344" t="str" cm="1">
        <f t="array" ref="B104">IFERROR(INDEX(_xlfn.ANCHORARRAY($P$6),ROW()-5,2),"")</f>
        <v/>
      </c>
      <c r="C104" s="345" t="str">
        <f>IF($A104="","",IF($J104="DIESEL",SUMIFS(Table1[Quantity],Table1[Customer],$M$3,Table1[Date],$A104,Table1[Bill No.],$B104),IF($J104="PETROL",SUMIFS(Table14[Quantity],Table14[Customer],$M$3,Table14[Date],$A104,Table14[Bill No.],$B104),IF($J104="XtraGreen",SUMIFS(Table146[Quantity],Table146[Company],$M$3,Table146[Date],$A104,Table146[Bill No.],$B104),""))))</f>
        <v/>
      </c>
      <c r="D104" s="346" t="str">
        <f>IF($A104="","",IF($J104="DIESEL",AVERAGEIFS(Table1[RSP],Table1[Customer],$M$3,Table1[Date],$A104,Table1[Bill No.],$B104),IF($J104="PETROL",AVERAGEIFS(Table14[RSP],Table14[Customer],$M$3,Table14[Date],$A104,Table14[Bill No.],$B104),IF($J104="XtraGreen",AVERAGEIFS(Table146[RSP],Table146[Company],$M$3,Table146[Date],$A104,Table146[Bill No.],$B104),IFERROR($E104/$C104,"")))))</f>
        <v/>
      </c>
      <c r="E104" s="347" t="str">
        <f>IF($A104="","",IF($J104="DIESEL",SUMIFS(Table1[Amount],Table1[Customer],$M$3,Table1[Date],$A104,Table1[Bill No.],$B104),IF($J104="PETROL",SUMIFS(Table14[Amount],Table14[Customer],$M$3,Table14[Date],$A104,Table14[Bill No.],$B104),IF($J104="XtraGreen",SUMIFS(Table146[Amount],Table146[Company],$M$3,Table146[Date],$A104,Table146[Bill No.],$B104),SUMIFS('Other Sale'!$D:$D,'Other Sale'!$E:$E,$M$3,'Other Sale'!$C:$C,$J104,'Other Sale'!$A:$A,$A104)))))</f>
        <v/>
      </c>
      <c r="F104" s="347" t="str" cm="1">
        <f t="array" ref="F104">IF($A104="","",IF($J104="Payment",IFERROR(INDEX(_xlfn._xlws.FILTER(MasterPaid[Amount Paid],(MasterPaid[Customer]=$M$3)*(MasterPaid[Date]=$A104)),COUNTIFS($A$6:$A104,$A104,$J$6:$J104,"Payment")),0),0))</f>
        <v/>
      </c>
      <c r="G104" s="331"/>
      <c r="H104" s="427"/>
      <c r="I104" s="330" t="str">
        <f t="shared" si="10"/>
        <v/>
      </c>
      <c r="J104" s="344" t="str" cm="1">
        <f t="array" ref="J104">IFERROR(INDEX(_xlfn.ANCHORARRAY($P$6),ROW()-5,3),"")</f>
        <v/>
      </c>
      <c r="K104" s="432"/>
      <c r="L104" s="348"/>
    </row>
    <row r="105" spans="1:12" ht="23" x14ac:dyDescent="0.25">
      <c r="A105" s="217" t="str" cm="1">
        <f t="array" ref="A105">IFERROR(INDEX(_xlfn.ANCHORARRAY($P$6),ROW()-5,1),"")</f>
        <v/>
      </c>
      <c r="B105" s="344" t="str" cm="1">
        <f t="array" ref="B105">IFERROR(INDEX(_xlfn.ANCHORARRAY($P$6),ROW()-5,2),"")</f>
        <v/>
      </c>
      <c r="C105" s="345" t="str">
        <f>IF($A105="","",IF($J105="DIESEL",SUMIFS(Table1[Quantity],Table1[Customer],$M$3,Table1[Date],$A105,Table1[Bill No.],$B105),IF($J105="PETROL",SUMIFS(Table14[Quantity],Table14[Customer],$M$3,Table14[Date],$A105,Table14[Bill No.],$B105),IF($J105="XtraGreen",SUMIFS(Table146[Quantity],Table146[Company],$M$3,Table146[Date],$A105,Table146[Bill No.],$B105),""))))</f>
        <v/>
      </c>
      <c r="D105" s="346" t="str">
        <f>IF($A105="","",IF($J105="DIESEL",AVERAGEIFS(Table1[RSP],Table1[Customer],$M$3,Table1[Date],$A105,Table1[Bill No.],$B105),IF($J105="PETROL",AVERAGEIFS(Table14[RSP],Table14[Customer],$M$3,Table14[Date],$A105,Table14[Bill No.],$B105),IF($J105="XtraGreen",AVERAGEIFS(Table146[RSP],Table146[Company],$M$3,Table146[Date],$A105,Table146[Bill No.],$B105),IFERROR($E105/$C105,"")))))</f>
        <v/>
      </c>
      <c r="E105" s="347" t="str">
        <f>IF($A105="","",IF($J105="DIESEL",SUMIFS(Table1[Amount],Table1[Customer],$M$3,Table1[Date],$A105,Table1[Bill No.],$B105),IF($J105="PETROL",SUMIFS(Table14[Amount],Table14[Customer],$M$3,Table14[Date],$A105,Table14[Bill No.],$B105),IF($J105="XtraGreen",SUMIFS(Table146[Amount],Table146[Company],$M$3,Table146[Date],$A105,Table146[Bill No.],$B105),SUMIFS('Other Sale'!$D:$D,'Other Sale'!$E:$E,$M$3,'Other Sale'!$C:$C,$J105,'Other Sale'!$A:$A,$A105)))))</f>
        <v/>
      </c>
      <c r="F105" s="347" t="str" cm="1">
        <f t="array" ref="F105">IF($A105="","",IF($J105="Payment",IFERROR(INDEX(_xlfn._xlws.FILTER(MasterPaid[Amount Paid],(MasterPaid[Customer]=$M$3)*(MasterPaid[Date]=$A105)),COUNTIFS($A$6:$A105,$A105,$J$6:$J105,"Payment")),0),0))</f>
        <v/>
      </c>
      <c r="G105" s="331"/>
      <c r="H105" s="427"/>
      <c r="I105" s="330" t="str">
        <f t="shared" si="10"/>
        <v/>
      </c>
      <c r="J105" s="344" t="str" cm="1">
        <f t="array" ref="J105">IFERROR(INDEX(_xlfn.ANCHORARRAY($P$6),ROW()-5,3),"")</f>
        <v/>
      </c>
      <c r="K105" s="432"/>
      <c r="L105" s="348"/>
    </row>
    <row r="106" spans="1:12" ht="23" x14ac:dyDescent="0.25">
      <c r="A106" s="217" t="str" cm="1">
        <f t="array" ref="A106">IFERROR(INDEX(_xlfn.ANCHORARRAY($P$6),ROW()-5,1),"")</f>
        <v/>
      </c>
      <c r="B106" s="344" t="str" cm="1">
        <f t="array" ref="B106">IFERROR(INDEX(_xlfn.ANCHORARRAY($P$6),ROW()-5,2),"")</f>
        <v/>
      </c>
      <c r="C106" s="345" t="str">
        <f>IF($A106="","",IF($J106="DIESEL",SUMIFS(Table1[Quantity],Table1[Customer],$M$3,Table1[Date],$A106,Table1[Bill No.],$B106),IF($J106="PETROL",SUMIFS(Table14[Quantity],Table14[Customer],$M$3,Table14[Date],$A106,Table14[Bill No.],$B106),IF($J106="XtraGreen",SUMIFS(Table146[Quantity],Table146[Company],$M$3,Table146[Date],$A106,Table146[Bill No.],$B106),""))))</f>
        <v/>
      </c>
      <c r="D106" s="346" t="str">
        <f>IF($A106="","",IF($J106="DIESEL",AVERAGEIFS(Table1[RSP],Table1[Customer],$M$3,Table1[Date],$A106,Table1[Bill No.],$B106),IF($J106="PETROL",AVERAGEIFS(Table14[RSP],Table14[Customer],$M$3,Table14[Date],$A106,Table14[Bill No.],$B106),IF($J106="XtraGreen",AVERAGEIFS(Table146[RSP],Table146[Company],$M$3,Table146[Date],$A106,Table146[Bill No.],$B106),IFERROR($E106/$C106,"")))))</f>
        <v/>
      </c>
      <c r="E106" s="347" t="str">
        <f>IF($A106="","",IF($J106="DIESEL",SUMIFS(Table1[Amount],Table1[Customer],$M$3,Table1[Date],$A106,Table1[Bill No.],$B106),IF($J106="PETROL",SUMIFS(Table14[Amount],Table14[Customer],$M$3,Table14[Date],$A106,Table14[Bill No.],$B106),IF($J106="XtraGreen",SUMIFS(Table146[Amount],Table146[Company],$M$3,Table146[Date],$A106,Table146[Bill No.],$B106),SUMIFS('Other Sale'!$D:$D,'Other Sale'!$E:$E,$M$3,'Other Sale'!$C:$C,$J106,'Other Sale'!$A:$A,$A106)))))</f>
        <v/>
      </c>
      <c r="F106" s="347" t="str" cm="1">
        <f t="array" ref="F106">IF($A106="","",IF($J106="Payment",IFERROR(INDEX(_xlfn._xlws.FILTER(MasterPaid[Amount Paid],(MasterPaid[Customer]=$M$3)*(MasterPaid[Date]=$A106)),COUNTIFS($A$6:$A106,$A106,$J$6:$J106,"Payment")),0),0))</f>
        <v/>
      </c>
      <c r="G106" s="331"/>
      <c r="H106" s="427"/>
      <c r="I106" s="330" t="str">
        <f t="shared" si="10"/>
        <v/>
      </c>
      <c r="J106" s="344" t="str" cm="1">
        <f t="array" ref="J106">IFERROR(INDEX(_xlfn.ANCHORARRAY($P$6),ROW()-5,3),"")</f>
        <v/>
      </c>
      <c r="K106" s="432"/>
      <c r="L106" s="348"/>
    </row>
    <row r="107" spans="1:12" ht="23" x14ac:dyDescent="0.25">
      <c r="A107" s="217" t="str" cm="1">
        <f t="array" ref="A107">IFERROR(INDEX(_xlfn.ANCHORARRAY($P$6),ROW()-5,1),"")</f>
        <v/>
      </c>
      <c r="B107" s="344" t="str" cm="1">
        <f t="array" ref="B107">IFERROR(INDEX(_xlfn.ANCHORARRAY($P$6),ROW()-5,2),"")</f>
        <v/>
      </c>
      <c r="C107" s="345" t="str">
        <f>IF($A107="","",IF($J107="DIESEL",SUMIFS(Table1[Quantity],Table1[Customer],$M$3,Table1[Date],$A107,Table1[Bill No.],$B107),IF($J107="PETROL",SUMIFS(Table14[Quantity],Table14[Customer],$M$3,Table14[Date],$A107,Table14[Bill No.],$B107),IF($J107="XtraGreen",SUMIFS(Table146[Quantity],Table146[Company],$M$3,Table146[Date],$A107,Table146[Bill No.],$B107),""))))</f>
        <v/>
      </c>
      <c r="D107" s="346" t="str">
        <f>IF($A107="","",IF($J107="DIESEL",AVERAGEIFS(Table1[RSP],Table1[Customer],$M$3,Table1[Date],$A107,Table1[Bill No.],$B107),IF($J107="PETROL",AVERAGEIFS(Table14[RSP],Table14[Customer],$M$3,Table14[Date],$A107,Table14[Bill No.],$B107),IF($J107="XtraGreen",AVERAGEIFS(Table146[RSP],Table146[Company],$M$3,Table146[Date],$A107,Table146[Bill No.],$B107),IFERROR($E107/$C107,"")))))</f>
        <v/>
      </c>
      <c r="E107" s="347" t="str">
        <f>IF($A107="","",IF($J107="DIESEL",SUMIFS(Table1[Amount],Table1[Customer],$M$3,Table1[Date],$A107,Table1[Bill No.],$B107),IF($J107="PETROL",SUMIFS(Table14[Amount],Table14[Customer],$M$3,Table14[Date],$A107,Table14[Bill No.],$B107),IF($J107="XtraGreen",SUMIFS(Table146[Amount],Table146[Company],$M$3,Table146[Date],$A107,Table146[Bill No.],$B107),SUMIFS('Other Sale'!$D:$D,'Other Sale'!$E:$E,$M$3,'Other Sale'!$C:$C,$J107,'Other Sale'!$A:$A,$A107)))))</f>
        <v/>
      </c>
      <c r="F107" s="347" t="str" cm="1">
        <f t="array" ref="F107">IF($A107="","",IF($J107="Payment",IFERROR(INDEX(_xlfn._xlws.FILTER(MasterPaid[Amount Paid],(MasterPaid[Customer]=$M$3)*(MasterPaid[Date]=$A107)),COUNTIFS($A$6:$A107,$A107,$J$6:$J107,"Payment")),0),0))</f>
        <v/>
      </c>
      <c r="G107" s="331"/>
      <c r="H107" s="427"/>
      <c r="I107" s="330" t="str">
        <f t="shared" si="10"/>
        <v/>
      </c>
      <c r="J107" s="344" t="str" cm="1">
        <f t="array" ref="J107">IFERROR(INDEX(_xlfn.ANCHORARRAY($P$6),ROW()-5,3),"")</f>
        <v/>
      </c>
      <c r="K107" s="432"/>
      <c r="L107" s="348"/>
    </row>
    <row r="108" spans="1:12" ht="23" x14ac:dyDescent="0.25">
      <c r="A108" s="217" t="str" cm="1">
        <f t="array" ref="A108">IFERROR(INDEX(_xlfn.ANCHORARRAY($P$6),ROW()-5,1),"")</f>
        <v/>
      </c>
      <c r="B108" s="344" t="str" cm="1">
        <f t="array" ref="B108">IFERROR(INDEX(_xlfn.ANCHORARRAY($P$6),ROW()-5,2),"")</f>
        <v/>
      </c>
      <c r="C108" s="345" t="str">
        <f>IF($A108="","",IF($J108="DIESEL",SUMIFS(Table1[Quantity],Table1[Customer],$M$3,Table1[Date],$A108,Table1[Bill No.],$B108),IF($J108="PETROL",SUMIFS(Table14[Quantity],Table14[Customer],$M$3,Table14[Date],$A108,Table14[Bill No.],$B108),IF($J108="XtraGreen",SUMIFS(Table146[Quantity],Table146[Company],$M$3,Table146[Date],$A108,Table146[Bill No.],$B108),""))))</f>
        <v/>
      </c>
      <c r="D108" s="346" t="str">
        <f>IF($A108="","",IF($J108="DIESEL",AVERAGEIFS(Table1[RSP],Table1[Customer],$M$3,Table1[Date],$A108,Table1[Bill No.],$B108),IF($J108="PETROL",AVERAGEIFS(Table14[RSP],Table14[Customer],$M$3,Table14[Date],$A108,Table14[Bill No.],$B108),IF($J108="XtraGreen",AVERAGEIFS(Table146[RSP],Table146[Company],$M$3,Table146[Date],$A108,Table146[Bill No.],$B108),IFERROR($E108/$C108,"")))))</f>
        <v/>
      </c>
      <c r="E108" s="347" t="str">
        <f>IF($A108="","",IF($J108="DIESEL",SUMIFS(Table1[Amount],Table1[Customer],$M$3,Table1[Date],$A108,Table1[Bill No.],$B108),IF($J108="PETROL",SUMIFS(Table14[Amount],Table14[Customer],$M$3,Table14[Date],$A108,Table14[Bill No.],$B108),IF($J108="XtraGreen",SUMIFS(Table146[Amount],Table146[Company],$M$3,Table146[Date],$A108,Table146[Bill No.],$B108),SUMIFS('Other Sale'!$D:$D,'Other Sale'!$E:$E,$M$3,'Other Sale'!$C:$C,$J108,'Other Sale'!$A:$A,$A108)))))</f>
        <v/>
      </c>
      <c r="F108" s="347" t="str" cm="1">
        <f t="array" ref="F108">IF($A108="","",IF($J108="Payment",IFERROR(INDEX(_xlfn._xlws.FILTER(MasterPaid[Amount Paid],(MasterPaid[Customer]=$M$3)*(MasterPaid[Date]=$A108)),COUNTIFS($A$6:$A108,$A108,$J$6:$J108,"Payment")),0),0))</f>
        <v/>
      </c>
      <c r="G108" s="331"/>
      <c r="H108" s="427"/>
      <c r="I108" s="330" t="str">
        <f t="shared" si="10"/>
        <v/>
      </c>
      <c r="J108" s="344" t="str" cm="1">
        <f t="array" ref="J108">IFERROR(INDEX(_xlfn.ANCHORARRAY($P$6),ROW()-5,3),"")</f>
        <v/>
      </c>
      <c r="K108" s="432"/>
      <c r="L108" s="348"/>
    </row>
    <row r="109" spans="1:12" ht="23" x14ac:dyDescent="0.25">
      <c r="A109" s="217" t="str" cm="1">
        <f t="array" ref="A109">IFERROR(INDEX(_xlfn.ANCHORARRAY($P$6),ROW()-5,1),"")</f>
        <v/>
      </c>
      <c r="B109" s="344" t="str" cm="1">
        <f t="array" ref="B109">IFERROR(INDEX(_xlfn.ANCHORARRAY($P$6),ROW()-5,2),"")</f>
        <v/>
      </c>
      <c r="C109" s="345" t="str">
        <f>IF($A109="","",IF($J109="DIESEL",SUMIFS(Table1[Quantity],Table1[Customer],$M$3,Table1[Date],$A109,Table1[Bill No.],$B109),IF($J109="PETROL",SUMIFS(Table14[Quantity],Table14[Customer],$M$3,Table14[Date],$A109,Table14[Bill No.],$B109),IF($J109="XtraGreen",SUMIFS(Table146[Quantity],Table146[Company],$M$3,Table146[Date],$A109,Table146[Bill No.],$B109),""))))</f>
        <v/>
      </c>
      <c r="D109" s="346" t="str">
        <f>IF($A109="","",IF($J109="DIESEL",AVERAGEIFS(Table1[RSP],Table1[Customer],$M$3,Table1[Date],$A109,Table1[Bill No.],$B109),IF($J109="PETROL",AVERAGEIFS(Table14[RSP],Table14[Customer],$M$3,Table14[Date],$A109,Table14[Bill No.],$B109),IF($J109="XtraGreen",AVERAGEIFS(Table146[RSP],Table146[Company],$M$3,Table146[Date],$A109,Table146[Bill No.],$B109),IFERROR($E109/$C109,"")))))</f>
        <v/>
      </c>
      <c r="E109" s="347" t="str">
        <f>IF($A109="","",IF($J109="DIESEL",SUMIFS(Table1[Amount],Table1[Customer],$M$3,Table1[Date],$A109,Table1[Bill No.],$B109),IF($J109="PETROL",SUMIFS(Table14[Amount],Table14[Customer],$M$3,Table14[Date],$A109,Table14[Bill No.],$B109),IF($J109="XtraGreen",SUMIFS(Table146[Amount],Table146[Company],$M$3,Table146[Date],$A109,Table146[Bill No.],$B109),SUMIFS('Other Sale'!$D:$D,'Other Sale'!$E:$E,$M$3,'Other Sale'!$C:$C,$J109,'Other Sale'!$A:$A,$A109)))))</f>
        <v/>
      </c>
      <c r="F109" s="347" t="str" cm="1">
        <f t="array" ref="F109">IF($A109="","",IF($J109="Payment",IFERROR(INDEX(_xlfn._xlws.FILTER(MasterPaid[Amount Paid],(MasterPaid[Customer]=$M$3)*(MasterPaid[Date]=$A109)),COUNTIFS($A$6:$A109,$A109,$J$6:$J109,"Payment")),0),0))</f>
        <v/>
      </c>
      <c r="G109" s="331"/>
      <c r="H109" s="427"/>
      <c r="I109" s="330" t="str">
        <f t="shared" si="10"/>
        <v/>
      </c>
      <c r="J109" s="344" t="str" cm="1">
        <f t="array" ref="J109">IFERROR(INDEX(_xlfn.ANCHORARRAY($P$6),ROW()-5,3),"")</f>
        <v/>
      </c>
      <c r="K109" s="432"/>
      <c r="L109" s="348"/>
    </row>
    <row r="110" spans="1:12" ht="23" x14ac:dyDescent="0.25">
      <c r="A110" s="217" t="str" cm="1">
        <f t="array" ref="A110">IFERROR(INDEX(_xlfn.ANCHORARRAY($P$6),ROW()-5,1),"")</f>
        <v/>
      </c>
      <c r="B110" s="344" t="str" cm="1">
        <f t="array" ref="B110">IFERROR(INDEX(_xlfn.ANCHORARRAY($P$6),ROW()-5,2),"")</f>
        <v/>
      </c>
      <c r="C110" s="345" t="str">
        <f>IF($A110="","",IF($J110="DIESEL",SUMIFS(Table1[Quantity],Table1[Customer],$M$3,Table1[Date],$A110,Table1[Bill No.],$B110),IF($J110="PETROL",SUMIFS(Table14[Quantity],Table14[Customer],$M$3,Table14[Date],$A110,Table14[Bill No.],$B110),IF($J110="XtraGreen",SUMIFS(Table146[Quantity],Table146[Company],$M$3,Table146[Date],$A110,Table146[Bill No.],$B110),""))))</f>
        <v/>
      </c>
      <c r="D110" s="346" t="str">
        <f>IF($A110="","",IF($J110="DIESEL",AVERAGEIFS(Table1[RSP],Table1[Customer],$M$3,Table1[Date],$A110,Table1[Bill No.],$B110),IF($J110="PETROL",AVERAGEIFS(Table14[RSP],Table14[Customer],$M$3,Table14[Date],$A110,Table14[Bill No.],$B110),IF($J110="XtraGreen",AVERAGEIFS(Table146[RSP],Table146[Company],$M$3,Table146[Date],$A110,Table146[Bill No.],$B110),IFERROR($E110/$C110,"")))))</f>
        <v/>
      </c>
      <c r="E110" s="347" t="str">
        <f>IF($A110="","",IF($J110="DIESEL",SUMIFS(Table1[Amount],Table1[Customer],$M$3,Table1[Date],$A110,Table1[Bill No.],$B110),IF($J110="PETROL",SUMIFS(Table14[Amount],Table14[Customer],$M$3,Table14[Date],$A110,Table14[Bill No.],$B110),IF($J110="XtraGreen",SUMIFS(Table146[Amount],Table146[Company],$M$3,Table146[Date],$A110,Table146[Bill No.],$B110),SUMIFS('Other Sale'!$D:$D,'Other Sale'!$E:$E,$M$3,'Other Sale'!$C:$C,$J110,'Other Sale'!$A:$A,$A110)))))</f>
        <v/>
      </c>
      <c r="F110" s="347" t="str" cm="1">
        <f t="array" ref="F110">IF($A110="","",IF($J110="Payment",IFERROR(INDEX(_xlfn._xlws.FILTER(MasterPaid[Amount Paid],(MasterPaid[Customer]=$M$3)*(MasterPaid[Date]=$A110)),COUNTIFS($A$6:$A110,$A110,$J$6:$J110,"Payment")),0),0))</f>
        <v/>
      </c>
      <c r="G110" s="331"/>
      <c r="H110" s="427"/>
      <c r="I110" s="330" t="str">
        <f t="shared" si="10"/>
        <v/>
      </c>
      <c r="J110" s="344" t="str" cm="1">
        <f t="array" ref="J110">IFERROR(INDEX(_xlfn.ANCHORARRAY($P$6),ROW()-5,3),"")</f>
        <v/>
      </c>
      <c r="K110" s="432"/>
      <c r="L110" s="348"/>
    </row>
    <row r="111" spans="1:12" ht="23" x14ac:dyDescent="0.25">
      <c r="A111" s="217" t="str" cm="1">
        <f t="array" ref="A111">IFERROR(INDEX(_xlfn.ANCHORARRAY($P$6),ROW()-5,1),"")</f>
        <v/>
      </c>
      <c r="B111" s="344" t="str" cm="1">
        <f t="array" ref="B111">IFERROR(INDEX(_xlfn.ANCHORARRAY($P$6),ROW()-5,2),"")</f>
        <v/>
      </c>
      <c r="C111" s="345" t="str">
        <f>IF($A111="","",IF($J111="DIESEL",SUMIFS(Table1[Quantity],Table1[Customer],$M$3,Table1[Date],$A111,Table1[Bill No.],$B111),IF($J111="PETROL",SUMIFS(Table14[Quantity],Table14[Customer],$M$3,Table14[Date],$A111,Table14[Bill No.],$B111),IF($J111="XtraGreen",SUMIFS(Table146[Quantity],Table146[Company],$M$3,Table146[Date],$A111,Table146[Bill No.],$B111),""))))</f>
        <v/>
      </c>
      <c r="D111" s="346" t="str">
        <f>IF($A111="","",IF($J111="DIESEL",AVERAGEIFS(Table1[RSP],Table1[Customer],$M$3,Table1[Date],$A111,Table1[Bill No.],$B111),IF($J111="PETROL",AVERAGEIFS(Table14[RSP],Table14[Customer],$M$3,Table14[Date],$A111,Table14[Bill No.],$B111),IF($J111="XtraGreen",AVERAGEIFS(Table146[RSP],Table146[Company],$M$3,Table146[Date],$A111,Table146[Bill No.],$B111),IFERROR($E111/$C111,"")))))</f>
        <v/>
      </c>
      <c r="E111" s="347" t="str">
        <f>IF($A111="","",IF($J111="DIESEL",SUMIFS(Table1[Amount],Table1[Customer],$M$3,Table1[Date],$A111,Table1[Bill No.],$B111),IF($J111="PETROL",SUMIFS(Table14[Amount],Table14[Customer],$M$3,Table14[Date],$A111,Table14[Bill No.],$B111),IF($J111="XtraGreen",SUMIFS(Table146[Amount],Table146[Company],$M$3,Table146[Date],$A111,Table146[Bill No.],$B111),SUMIFS('Other Sale'!$D:$D,'Other Sale'!$E:$E,$M$3,'Other Sale'!$C:$C,$J111,'Other Sale'!$A:$A,$A111)))))</f>
        <v/>
      </c>
      <c r="F111" s="347" t="str" cm="1">
        <f t="array" ref="F111">IF($A111="","",IF($J111="Payment",IFERROR(INDEX(_xlfn._xlws.FILTER(MasterPaid[Amount Paid],(MasterPaid[Customer]=$M$3)*(MasterPaid[Date]=$A111)),COUNTIFS($A$6:$A111,$A111,$J$6:$J111,"Payment")),0),0))</f>
        <v/>
      </c>
      <c r="G111" s="331"/>
      <c r="H111" s="427"/>
      <c r="I111" s="330" t="str">
        <f t="shared" si="10"/>
        <v/>
      </c>
      <c r="J111" s="344" t="str" cm="1">
        <f t="array" ref="J111">IFERROR(INDEX(_xlfn.ANCHORARRAY($P$6),ROW()-5,3),"")</f>
        <v/>
      </c>
      <c r="K111" s="432"/>
      <c r="L111" s="348" t="s">
        <v>3531</v>
      </c>
    </row>
    <row r="112" spans="1:12" ht="23" x14ac:dyDescent="0.25">
      <c r="A112" s="217" t="str" cm="1">
        <f t="array" ref="A112">IFERROR(INDEX(_xlfn.ANCHORARRAY($P$6),ROW()-5,1),"")</f>
        <v/>
      </c>
      <c r="B112" s="344" t="str" cm="1">
        <f t="array" ref="B112">IFERROR(INDEX(_xlfn.ANCHORARRAY($P$6),ROW()-5,2),"")</f>
        <v/>
      </c>
      <c r="C112" s="345" t="str">
        <f>IF($A112="","",IF($J112="DIESEL",SUMIFS(Table1[Quantity],Table1[Customer],$M$3,Table1[Date],$A112,Table1[Bill No.],$B112),IF($J112="PETROL",SUMIFS(Table14[Quantity],Table14[Customer],$M$3,Table14[Date],$A112,Table14[Bill No.],$B112),IF($J112="XtraGreen",SUMIFS(Table146[Quantity],Table146[Company],$M$3,Table146[Date],$A112,Table146[Bill No.],$B112),""))))</f>
        <v/>
      </c>
      <c r="D112" s="346" t="str">
        <f>IF($A112="","",IF($J112="DIESEL",AVERAGEIFS(Table1[RSP],Table1[Customer],$M$3,Table1[Date],$A112,Table1[Bill No.],$B112),IF($J112="PETROL",AVERAGEIFS(Table14[RSP],Table14[Customer],$M$3,Table14[Date],$A112,Table14[Bill No.],$B112),IF($J112="XtraGreen",AVERAGEIFS(Table146[RSP],Table146[Company],$M$3,Table146[Date],$A112,Table146[Bill No.],$B112),IFERROR($E112/$C112,"")))))</f>
        <v/>
      </c>
      <c r="E112" s="347" t="str">
        <f>IF($A112="","",IF($J112="DIESEL",SUMIFS(Table1[Amount],Table1[Customer],$M$3,Table1[Date],$A112,Table1[Bill No.],$B112),IF($J112="PETROL",SUMIFS(Table14[Amount],Table14[Customer],$M$3,Table14[Date],$A112,Table14[Bill No.],$B112),IF($J112="XtraGreen",SUMIFS(Table146[Amount],Table146[Company],$M$3,Table146[Date],$A112,Table146[Bill No.],$B112),SUMIFS('Other Sale'!$D:$D,'Other Sale'!$E:$E,$M$3,'Other Sale'!$C:$C,$J112,'Other Sale'!$A:$A,$A112)))))</f>
        <v/>
      </c>
      <c r="F112" s="347" t="str" cm="1">
        <f t="array" ref="F112">IF($A112="","",IF($J112="Payment",IFERROR(INDEX(_xlfn._xlws.FILTER(MasterPaid[Amount Paid],(MasterPaid[Customer]=$M$3)*(MasterPaid[Date]=$A112)),COUNTIFS($A$6:$A112,$A112,$J$6:$J112,"Payment")),0),0))</f>
        <v/>
      </c>
      <c r="G112" s="331"/>
      <c r="H112" s="427"/>
      <c r="I112" s="330" t="str">
        <f t="shared" si="10"/>
        <v/>
      </c>
      <c r="J112" s="344" t="str" cm="1">
        <f t="array" ref="J112">IFERROR(INDEX(_xlfn.ANCHORARRAY($P$6),ROW()-5,3),"")</f>
        <v/>
      </c>
      <c r="K112" s="432"/>
      <c r="L112" s="348"/>
    </row>
    <row r="113" spans="1:12" ht="23" x14ac:dyDescent="0.25">
      <c r="A113" s="217" t="str" cm="1">
        <f t="array" ref="A113">IFERROR(INDEX(_xlfn.ANCHORARRAY($P$6),ROW()-5,1),"")</f>
        <v/>
      </c>
      <c r="B113" s="344" t="str" cm="1">
        <f t="array" ref="B113">IFERROR(INDEX(_xlfn.ANCHORARRAY($P$6),ROW()-5,2),"")</f>
        <v/>
      </c>
      <c r="C113" s="345" t="str">
        <f>IF($A113="","",IF($J113="DIESEL",SUMIFS(Table1[Quantity],Table1[Customer],$M$3,Table1[Date],$A113,Table1[Bill No.],$B113),IF($J113="PETROL",SUMIFS(Table14[Quantity],Table14[Customer],$M$3,Table14[Date],$A113,Table14[Bill No.],$B113),IF($J113="XtraGreen",SUMIFS(Table146[Quantity],Table146[Company],$M$3,Table146[Date],$A113,Table146[Bill No.],$B113),""))))</f>
        <v/>
      </c>
      <c r="D113" s="346" t="str">
        <f>IF($A113="","",IF($J113="DIESEL",AVERAGEIFS(Table1[RSP],Table1[Customer],$M$3,Table1[Date],$A113,Table1[Bill No.],$B113),IF($J113="PETROL",AVERAGEIFS(Table14[RSP],Table14[Customer],$M$3,Table14[Date],$A113,Table14[Bill No.],$B113),IF($J113="XtraGreen",AVERAGEIFS(Table146[RSP],Table146[Company],$M$3,Table146[Date],$A113,Table146[Bill No.],$B113),IFERROR($E113/$C113,"")))))</f>
        <v/>
      </c>
      <c r="E113" s="347" t="str">
        <f>IF($A113="","",IF($J113="DIESEL",SUMIFS(Table1[Amount],Table1[Customer],$M$3,Table1[Date],$A113,Table1[Bill No.],$B113),IF($J113="PETROL",SUMIFS(Table14[Amount],Table14[Customer],$M$3,Table14[Date],$A113,Table14[Bill No.],$B113),IF($J113="XtraGreen",SUMIFS(Table146[Amount],Table146[Company],$M$3,Table146[Date],$A113,Table146[Bill No.],$B113),SUMIFS('Other Sale'!$D:$D,'Other Sale'!$E:$E,$M$3,'Other Sale'!$C:$C,$J113,'Other Sale'!$A:$A,$A113)))))</f>
        <v/>
      </c>
      <c r="F113" s="347" t="str" cm="1">
        <f t="array" ref="F113">IF($A113="","",IF($J113="Payment",IFERROR(INDEX(_xlfn._xlws.FILTER(MasterPaid[Amount Paid],(MasterPaid[Customer]=$M$3)*(MasterPaid[Date]=$A113)),COUNTIFS($A$6:$A113,$A113,$J$6:$J113,"Payment")),0),0))</f>
        <v/>
      </c>
      <c r="G113" s="331"/>
      <c r="H113" s="427"/>
      <c r="I113" s="330" t="str">
        <f t="shared" si="10"/>
        <v/>
      </c>
      <c r="J113" s="344" t="str" cm="1">
        <f t="array" ref="J113">IFERROR(INDEX(_xlfn.ANCHORARRAY($P$6),ROW()-5,3),"")</f>
        <v/>
      </c>
      <c r="K113" s="432"/>
      <c r="L113" s="348"/>
    </row>
    <row r="114" spans="1:12" ht="23" x14ac:dyDescent="0.25">
      <c r="A114" s="217" t="str" cm="1">
        <f t="array" ref="A114">IFERROR(INDEX(_xlfn.ANCHORARRAY($P$6),ROW()-5,1),"")</f>
        <v/>
      </c>
      <c r="B114" s="344" t="str" cm="1">
        <f t="array" ref="B114">IFERROR(INDEX(_xlfn.ANCHORARRAY($P$6),ROW()-5,2),"")</f>
        <v/>
      </c>
      <c r="C114" s="345" t="str">
        <f>IF($A114="","",IF($J114="DIESEL",SUMIFS(Table1[Quantity],Table1[Customer],$M$3,Table1[Date],$A114,Table1[Bill No.],$B114),IF($J114="PETROL",SUMIFS(Table14[Quantity],Table14[Customer],$M$3,Table14[Date],$A114,Table14[Bill No.],$B114),IF($J114="XtraGreen",SUMIFS(Table146[Quantity],Table146[Company],$M$3,Table146[Date],$A114,Table146[Bill No.],$B114),""))))</f>
        <v/>
      </c>
      <c r="D114" s="346" t="str">
        <f>IF($A114="","",IF($J114="DIESEL",AVERAGEIFS(Table1[RSP],Table1[Customer],$M$3,Table1[Date],$A114,Table1[Bill No.],$B114),IF($J114="PETROL",AVERAGEIFS(Table14[RSP],Table14[Customer],$M$3,Table14[Date],$A114,Table14[Bill No.],$B114),IF($J114="XtraGreen",AVERAGEIFS(Table146[RSP],Table146[Company],$M$3,Table146[Date],$A114,Table146[Bill No.],$B114),IFERROR($E114/$C114,"")))))</f>
        <v/>
      </c>
      <c r="E114" s="347" t="str">
        <f>IF($A114="","",IF($J114="DIESEL",SUMIFS(Table1[Amount],Table1[Customer],$M$3,Table1[Date],$A114,Table1[Bill No.],$B114),IF($J114="PETROL",SUMIFS(Table14[Amount],Table14[Customer],$M$3,Table14[Date],$A114,Table14[Bill No.],$B114),IF($J114="XtraGreen",SUMIFS(Table146[Amount],Table146[Company],$M$3,Table146[Date],$A114,Table146[Bill No.],$B114),SUMIFS('Other Sale'!$D:$D,'Other Sale'!$E:$E,$M$3,'Other Sale'!$C:$C,$J114,'Other Sale'!$A:$A,$A114)))))</f>
        <v/>
      </c>
      <c r="F114" s="347" t="str" cm="1">
        <f t="array" ref="F114">IF($A114="","",IF($J114="Payment",IFERROR(INDEX(_xlfn._xlws.FILTER(MasterPaid[Amount Paid],(MasterPaid[Customer]=$M$3)*(MasterPaid[Date]=$A114)),COUNTIFS($A$6:$A114,$A114,$J$6:$J114,"Payment")),0),0))</f>
        <v/>
      </c>
      <c r="G114" s="331"/>
      <c r="H114" s="427"/>
      <c r="I114" s="330" t="str">
        <f t="shared" si="10"/>
        <v/>
      </c>
      <c r="J114" s="344" t="str" cm="1">
        <f t="array" ref="J114">IFERROR(INDEX(_xlfn.ANCHORARRAY($P$6),ROW()-5,3),"")</f>
        <v/>
      </c>
      <c r="K114" s="432"/>
      <c r="L114" s="348"/>
    </row>
    <row r="115" spans="1:12" ht="23" x14ac:dyDescent="0.25">
      <c r="A115" s="217" t="str" cm="1">
        <f t="array" ref="A115">IFERROR(INDEX(_xlfn.ANCHORARRAY($P$6),ROW()-5,1),"")</f>
        <v/>
      </c>
      <c r="B115" s="344" t="str" cm="1">
        <f t="array" ref="B115">IFERROR(INDEX(_xlfn.ANCHORARRAY($P$6),ROW()-5,2),"")</f>
        <v/>
      </c>
      <c r="C115" s="345" t="str">
        <f>IF($A115="","",IF($J115="DIESEL",SUMIFS(Table1[Quantity],Table1[Customer],$M$3,Table1[Date],$A115,Table1[Bill No.],$B115),IF($J115="PETROL",SUMIFS(Table14[Quantity],Table14[Customer],$M$3,Table14[Date],$A115,Table14[Bill No.],$B115),IF($J115="XtraGreen",SUMIFS(Table146[Quantity],Table146[Company],$M$3,Table146[Date],$A115,Table146[Bill No.],$B115),""))))</f>
        <v/>
      </c>
      <c r="D115" s="346" t="str">
        <f>IF($A115="","",IF($J115="DIESEL",AVERAGEIFS(Table1[RSP],Table1[Customer],$M$3,Table1[Date],$A115,Table1[Bill No.],$B115),IF($J115="PETROL",AVERAGEIFS(Table14[RSP],Table14[Customer],$M$3,Table14[Date],$A115,Table14[Bill No.],$B115),IF($J115="XtraGreen",AVERAGEIFS(Table146[RSP],Table146[Company],$M$3,Table146[Date],$A115,Table146[Bill No.],$B115),IFERROR($E115/$C115,"")))))</f>
        <v/>
      </c>
      <c r="E115" s="347" t="str">
        <f>IF($A115="","",IF($J115="DIESEL",SUMIFS(Table1[Amount],Table1[Customer],$M$3,Table1[Date],$A115,Table1[Bill No.],$B115),IF($J115="PETROL",SUMIFS(Table14[Amount],Table14[Customer],$M$3,Table14[Date],$A115,Table14[Bill No.],$B115),IF($J115="XtraGreen",SUMIFS(Table146[Amount],Table146[Company],$M$3,Table146[Date],$A115,Table146[Bill No.],$B115),SUMIFS('Other Sale'!$D:$D,'Other Sale'!$E:$E,$M$3,'Other Sale'!$C:$C,$J115,'Other Sale'!$A:$A,$A115)))))</f>
        <v/>
      </c>
      <c r="F115" s="347" t="str" cm="1">
        <f t="array" ref="F115">IF($A115="","",IF($J115="Payment",IFERROR(INDEX(_xlfn._xlws.FILTER(MasterPaid[Amount Paid],(MasterPaid[Customer]=$M$3)*(MasterPaid[Date]=$A115)),COUNTIFS($A$6:$A115,$A115,$J$6:$J115,"Payment")),0),0))</f>
        <v/>
      </c>
      <c r="G115" s="331"/>
      <c r="H115" s="427"/>
      <c r="I115" s="330" t="str">
        <f t="shared" si="10"/>
        <v/>
      </c>
      <c r="J115" s="344" t="str" cm="1">
        <f t="array" ref="J115">IFERROR(INDEX(_xlfn.ANCHORARRAY($P$6),ROW()-5,3),"")</f>
        <v/>
      </c>
      <c r="K115" s="432"/>
      <c r="L115" s="348"/>
    </row>
    <row r="116" spans="1:12" ht="23" x14ac:dyDescent="0.25">
      <c r="A116" s="217" t="str" cm="1">
        <f t="array" ref="A116">IFERROR(INDEX(_xlfn.ANCHORARRAY($P$6),ROW()-5,1),"")</f>
        <v/>
      </c>
      <c r="B116" s="344" t="str" cm="1">
        <f t="array" ref="B116">IFERROR(INDEX(_xlfn.ANCHORARRAY($P$6),ROW()-5,2),"")</f>
        <v/>
      </c>
      <c r="C116" s="345" t="str">
        <f>IF($A116="","",IF($J116="DIESEL",SUMIFS(Table1[Quantity],Table1[Customer],$M$3,Table1[Date],$A116,Table1[Bill No.],$B116),IF($J116="PETROL",SUMIFS(Table14[Quantity],Table14[Customer],$M$3,Table14[Date],$A116,Table14[Bill No.],$B116),IF($J116="XtraGreen",SUMIFS(Table146[Quantity],Table146[Company],$M$3,Table146[Date],$A116,Table146[Bill No.],$B116),""))))</f>
        <v/>
      </c>
      <c r="D116" s="346" t="str">
        <f>IF($A116="","",IF($J116="DIESEL",AVERAGEIFS(Table1[RSP],Table1[Customer],$M$3,Table1[Date],$A116,Table1[Bill No.],$B116),IF($J116="PETROL",AVERAGEIFS(Table14[RSP],Table14[Customer],$M$3,Table14[Date],$A116,Table14[Bill No.],$B116),IF($J116="XtraGreen",AVERAGEIFS(Table146[RSP],Table146[Company],$M$3,Table146[Date],$A116,Table146[Bill No.],$B116),IFERROR($E116/$C116,"")))))</f>
        <v/>
      </c>
      <c r="E116" s="347" t="str">
        <f>IF($A116="","",IF($J116="DIESEL",SUMIFS(Table1[Amount],Table1[Customer],$M$3,Table1[Date],$A116,Table1[Bill No.],$B116),IF($J116="PETROL",SUMIFS(Table14[Amount],Table14[Customer],$M$3,Table14[Date],$A116,Table14[Bill No.],$B116),IF($J116="XtraGreen",SUMIFS(Table146[Amount],Table146[Company],$M$3,Table146[Date],$A116,Table146[Bill No.],$B116),SUMIFS('Other Sale'!$D:$D,'Other Sale'!$E:$E,$M$3,'Other Sale'!$C:$C,$J116,'Other Sale'!$A:$A,$A116)))))</f>
        <v/>
      </c>
      <c r="F116" s="347" t="str" cm="1">
        <f t="array" ref="F116">IF($A116="","",IF($J116="Payment",IFERROR(INDEX(_xlfn._xlws.FILTER(MasterPaid[Amount Paid],(MasterPaid[Customer]=$M$3)*(MasterPaid[Date]=$A116)),COUNTIFS($A$6:$A116,$A116,$J$6:$J116,"Payment")),0),0))</f>
        <v/>
      </c>
      <c r="G116" s="331"/>
      <c r="H116" s="427"/>
      <c r="I116" s="330" t="str">
        <f t="shared" si="10"/>
        <v/>
      </c>
      <c r="J116" s="344" t="str" cm="1">
        <f t="array" ref="J116">IFERROR(INDEX(_xlfn.ANCHORARRAY($P$6),ROW()-5,3),"")</f>
        <v/>
      </c>
      <c r="K116" s="432"/>
      <c r="L116" s="348"/>
    </row>
    <row r="117" spans="1:12" ht="23" x14ac:dyDescent="0.25">
      <c r="A117" s="217" t="str" cm="1">
        <f t="array" ref="A117">IFERROR(INDEX(_xlfn.ANCHORARRAY($P$6),ROW()-5,1),"")</f>
        <v/>
      </c>
      <c r="B117" s="344" t="str" cm="1">
        <f t="array" ref="B117">IFERROR(INDEX(_xlfn.ANCHORARRAY($P$6),ROW()-5,2),"")</f>
        <v/>
      </c>
      <c r="C117" s="345" t="str">
        <f>IF($A117="","",IF($J117="DIESEL",SUMIFS(Table1[Quantity],Table1[Customer],$M$3,Table1[Date],$A117,Table1[Bill No.],$B117),IF($J117="PETROL",SUMIFS(Table14[Quantity],Table14[Customer],$M$3,Table14[Date],$A117,Table14[Bill No.],$B117),IF($J117="XtraGreen",SUMIFS(Table146[Quantity],Table146[Company],$M$3,Table146[Date],$A117,Table146[Bill No.],$B117),""))))</f>
        <v/>
      </c>
      <c r="D117" s="346" t="str">
        <f>IF($A117="","",IF($J117="DIESEL",AVERAGEIFS(Table1[RSP],Table1[Customer],$M$3,Table1[Date],$A117,Table1[Bill No.],$B117),IF($J117="PETROL",AVERAGEIFS(Table14[RSP],Table14[Customer],$M$3,Table14[Date],$A117,Table14[Bill No.],$B117),IF($J117="XtraGreen",AVERAGEIFS(Table146[RSP],Table146[Company],$M$3,Table146[Date],$A117,Table146[Bill No.],$B117),IFERROR($E117/$C117,"")))))</f>
        <v/>
      </c>
      <c r="E117" s="347" t="str">
        <f>IF($A117="","",IF($J117="DIESEL",SUMIFS(Table1[Amount],Table1[Customer],$M$3,Table1[Date],$A117,Table1[Bill No.],$B117),IF($J117="PETROL",SUMIFS(Table14[Amount],Table14[Customer],$M$3,Table14[Date],$A117,Table14[Bill No.],$B117),IF($J117="XtraGreen",SUMIFS(Table146[Amount],Table146[Company],$M$3,Table146[Date],$A117,Table146[Bill No.],$B117),SUMIFS('Other Sale'!$D:$D,'Other Sale'!$E:$E,$M$3,'Other Sale'!$C:$C,$J117,'Other Sale'!$A:$A,$A117)))))</f>
        <v/>
      </c>
      <c r="F117" s="347" t="str" cm="1">
        <f t="array" ref="F117">IF($A117="","",IF($J117="Payment",IFERROR(INDEX(_xlfn._xlws.FILTER(MasterPaid[Amount Paid],(MasterPaid[Customer]=$M$3)*(MasterPaid[Date]=$A117)),COUNTIFS($A$6:$A117,$A117,$J$6:$J117,"Payment")),0),0))</f>
        <v/>
      </c>
      <c r="G117" s="331"/>
      <c r="H117" s="427"/>
      <c r="I117" s="330" t="str">
        <f t="shared" si="10"/>
        <v/>
      </c>
      <c r="J117" s="344" t="str" cm="1">
        <f t="array" ref="J117">IFERROR(INDEX(_xlfn.ANCHORARRAY($P$6),ROW()-5,3),"")</f>
        <v/>
      </c>
      <c r="K117" s="432"/>
      <c r="L117" s="348"/>
    </row>
    <row r="118" spans="1:12" ht="23" x14ac:dyDescent="0.25">
      <c r="A118" s="217" t="str" cm="1">
        <f t="array" ref="A118">IFERROR(INDEX(_xlfn.ANCHORARRAY($P$6),ROW()-5,1),"")</f>
        <v/>
      </c>
      <c r="B118" s="344" t="str" cm="1">
        <f t="array" ref="B118">IFERROR(INDEX(_xlfn.ANCHORARRAY($P$6),ROW()-5,2),"")</f>
        <v/>
      </c>
      <c r="C118" s="345" t="str">
        <f>IF($A118="","",IF($J118="DIESEL",SUMIFS(Table1[Quantity],Table1[Customer],$M$3,Table1[Date],$A118,Table1[Bill No.],$B118),IF($J118="PETROL",SUMIFS(Table14[Quantity],Table14[Customer],$M$3,Table14[Date],$A118,Table14[Bill No.],$B118),IF($J118="XtraGreen",SUMIFS(Table146[Quantity],Table146[Company],$M$3,Table146[Date],$A118,Table146[Bill No.],$B118),""))))</f>
        <v/>
      </c>
      <c r="D118" s="346" t="str">
        <f>IF($A118="","",IF($J118="DIESEL",AVERAGEIFS(Table1[RSP],Table1[Customer],$M$3,Table1[Date],$A118,Table1[Bill No.],$B118),IF($J118="PETROL",AVERAGEIFS(Table14[RSP],Table14[Customer],$M$3,Table14[Date],$A118,Table14[Bill No.],$B118),IF($J118="XtraGreen",AVERAGEIFS(Table146[RSP],Table146[Company],$M$3,Table146[Date],$A118,Table146[Bill No.],$B118),IFERROR($E118/$C118,"")))))</f>
        <v/>
      </c>
      <c r="E118" s="347" t="str">
        <f>IF($A118="","",IF($J118="DIESEL",SUMIFS(Table1[Amount],Table1[Customer],$M$3,Table1[Date],$A118,Table1[Bill No.],$B118),IF($J118="PETROL",SUMIFS(Table14[Amount],Table14[Customer],$M$3,Table14[Date],$A118,Table14[Bill No.],$B118),IF($J118="XtraGreen",SUMIFS(Table146[Amount],Table146[Company],$M$3,Table146[Date],$A118,Table146[Bill No.],$B118),SUMIFS('Other Sale'!$D:$D,'Other Sale'!$E:$E,$M$3,'Other Sale'!$C:$C,$J118,'Other Sale'!$A:$A,$A118)))))</f>
        <v/>
      </c>
      <c r="F118" s="347" t="str" cm="1">
        <f t="array" ref="F118">IF($A118="","",IF($J118="Payment",IFERROR(INDEX(_xlfn._xlws.FILTER(MasterPaid[Amount Paid],(MasterPaid[Customer]=$M$3)*(MasterPaid[Date]=$A118)),COUNTIFS($A$6:$A118,$A118,$J$6:$J118,"Payment")),0),0))</f>
        <v/>
      </c>
      <c r="G118" s="331"/>
      <c r="H118" s="427"/>
      <c r="I118" s="330" t="str">
        <f t="shared" si="10"/>
        <v/>
      </c>
      <c r="J118" s="344" t="str" cm="1">
        <f t="array" ref="J118">IFERROR(INDEX(_xlfn.ANCHORARRAY($P$6),ROW()-5,3),"")</f>
        <v/>
      </c>
      <c r="K118" s="432"/>
      <c r="L118" s="348"/>
    </row>
    <row r="119" spans="1:12" ht="23" x14ac:dyDescent="0.25">
      <c r="A119" s="217" t="str" cm="1">
        <f t="array" ref="A119">IFERROR(INDEX(_xlfn.ANCHORARRAY($P$6),ROW()-5,1),"")</f>
        <v/>
      </c>
      <c r="B119" s="344" t="str" cm="1">
        <f t="array" ref="B119">IFERROR(INDEX(_xlfn.ANCHORARRAY($P$6),ROW()-5,2),"")</f>
        <v/>
      </c>
      <c r="C119" s="345" t="str">
        <f>IF($A119="","",IF($J119="DIESEL",SUMIFS(Table1[Quantity],Table1[Customer],$M$3,Table1[Date],$A119,Table1[Bill No.],$B119),IF($J119="PETROL",SUMIFS(Table14[Quantity],Table14[Customer],$M$3,Table14[Date],$A119,Table14[Bill No.],$B119),IF($J119="XtraGreen",SUMIFS(Table146[Quantity],Table146[Company],$M$3,Table146[Date],$A119,Table146[Bill No.],$B119),""))))</f>
        <v/>
      </c>
      <c r="D119" s="346" t="str">
        <f>IF($A119="","",IF($J119="DIESEL",AVERAGEIFS(Table1[RSP],Table1[Customer],$M$3,Table1[Date],$A119,Table1[Bill No.],$B119),IF($J119="PETROL",AVERAGEIFS(Table14[RSP],Table14[Customer],$M$3,Table14[Date],$A119,Table14[Bill No.],$B119),IF($J119="XtraGreen",AVERAGEIFS(Table146[RSP],Table146[Company],$M$3,Table146[Date],$A119,Table146[Bill No.],$B119),IFERROR($E119/$C119,"")))))</f>
        <v/>
      </c>
      <c r="E119" s="347" t="str">
        <f>IF($A119="","",IF($J119="DIESEL",SUMIFS(Table1[Amount],Table1[Customer],$M$3,Table1[Date],$A119,Table1[Bill No.],$B119),IF($J119="PETROL",SUMIFS(Table14[Amount],Table14[Customer],$M$3,Table14[Date],$A119,Table14[Bill No.],$B119),IF($J119="XtraGreen",SUMIFS(Table146[Amount],Table146[Company],$M$3,Table146[Date],$A119,Table146[Bill No.],$B119),SUMIFS('Other Sale'!$D:$D,'Other Sale'!$E:$E,$M$3,'Other Sale'!$C:$C,$J119,'Other Sale'!$A:$A,$A119)))))</f>
        <v/>
      </c>
      <c r="F119" s="347" t="str" cm="1">
        <f t="array" ref="F119">IF($A119="","",IF($J119="Payment",IFERROR(INDEX(_xlfn._xlws.FILTER(MasterPaid[Amount Paid],(MasterPaid[Customer]=$M$3)*(MasterPaid[Date]=$A119)),COUNTIFS($A$6:$A119,$A119,$J$6:$J119,"Payment")),0),0))</f>
        <v/>
      </c>
      <c r="G119" s="331"/>
      <c r="H119" s="427"/>
      <c r="I119" s="330" t="str">
        <f t="shared" si="10"/>
        <v/>
      </c>
      <c r="J119" s="344" t="str" cm="1">
        <f t="array" ref="J119">IFERROR(INDEX(_xlfn.ANCHORARRAY($P$6),ROW()-5,3),"")</f>
        <v/>
      </c>
      <c r="K119" s="432"/>
      <c r="L119" s="348"/>
    </row>
    <row r="120" spans="1:12" ht="23" x14ac:dyDescent="0.25">
      <c r="A120" s="217" t="str" cm="1">
        <f t="array" ref="A120">IFERROR(INDEX(_xlfn.ANCHORARRAY($P$6),ROW()-5,1),"")</f>
        <v/>
      </c>
      <c r="B120" s="344" t="str" cm="1">
        <f t="array" ref="B120">IFERROR(INDEX(_xlfn.ANCHORARRAY($P$6),ROW()-5,2),"")</f>
        <v/>
      </c>
      <c r="C120" s="345" t="str">
        <f>IF($A120="","",IF($J120="DIESEL",SUMIFS(Table1[Quantity],Table1[Customer],$M$3,Table1[Date],$A120,Table1[Bill No.],$B120),IF($J120="PETROL",SUMIFS(Table14[Quantity],Table14[Customer],$M$3,Table14[Date],$A120,Table14[Bill No.],$B120),IF($J120="XtraGreen",SUMIFS(Table146[Quantity],Table146[Company],$M$3,Table146[Date],$A120,Table146[Bill No.],$B120),""))))</f>
        <v/>
      </c>
      <c r="D120" s="346" t="str">
        <f>IF($A120="","",IF($J120="DIESEL",AVERAGEIFS(Table1[RSP],Table1[Customer],$M$3,Table1[Date],$A120,Table1[Bill No.],$B120),IF($J120="PETROL",AVERAGEIFS(Table14[RSP],Table14[Customer],$M$3,Table14[Date],$A120,Table14[Bill No.],$B120),IF($J120="XtraGreen",AVERAGEIFS(Table146[RSP],Table146[Company],$M$3,Table146[Date],$A120,Table146[Bill No.],$B120),IFERROR($E120/$C120,"")))))</f>
        <v/>
      </c>
      <c r="E120" s="347" t="str">
        <f>IF($A120="","",IF($J120="DIESEL",SUMIFS(Table1[Amount],Table1[Customer],$M$3,Table1[Date],$A120,Table1[Bill No.],$B120),IF($J120="PETROL",SUMIFS(Table14[Amount],Table14[Customer],$M$3,Table14[Date],$A120,Table14[Bill No.],$B120),IF($J120="XtraGreen",SUMIFS(Table146[Amount],Table146[Company],$M$3,Table146[Date],$A120,Table146[Bill No.],$B120),SUMIFS('Other Sale'!$D:$D,'Other Sale'!$E:$E,$M$3,'Other Sale'!$C:$C,$J120,'Other Sale'!$A:$A,$A120)))))</f>
        <v/>
      </c>
      <c r="F120" s="347" t="str" cm="1">
        <f t="array" ref="F120">IF($A120="","",IF($J120="Payment",IFERROR(INDEX(_xlfn._xlws.FILTER(MasterPaid[Amount Paid],(MasterPaid[Customer]=$M$3)*(MasterPaid[Date]=$A120)),COUNTIFS($A$6:$A120,$A120,$J$6:$J120,"Payment")),0),0))</f>
        <v/>
      </c>
      <c r="G120" s="331"/>
      <c r="H120" s="427"/>
      <c r="I120" s="330" t="str">
        <f t="shared" si="10"/>
        <v/>
      </c>
      <c r="J120" s="344" t="str" cm="1">
        <f t="array" ref="J120">IFERROR(INDEX(_xlfn.ANCHORARRAY($P$6),ROW()-5,3),"")</f>
        <v/>
      </c>
      <c r="K120" s="432"/>
      <c r="L120" s="348"/>
    </row>
    <row r="121" spans="1:12" ht="23" x14ac:dyDescent="0.25">
      <c r="A121" s="217" t="str" cm="1">
        <f t="array" ref="A121">IFERROR(INDEX(_xlfn.ANCHORARRAY($P$6),ROW()-5,1),"")</f>
        <v/>
      </c>
      <c r="B121" s="344" t="str" cm="1">
        <f t="array" ref="B121">IFERROR(INDEX(_xlfn.ANCHORARRAY($P$6),ROW()-5,2),"")</f>
        <v/>
      </c>
      <c r="C121" s="345" t="str">
        <f>IF($A121="","",IF($J121="DIESEL",SUMIFS(Table1[Quantity],Table1[Customer],$M$3,Table1[Date],$A121,Table1[Bill No.],$B121),IF($J121="PETROL",SUMIFS(Table14[Quantity],Table14[Customer],$M$3,Table14[Date],$A121,Table14[Bill No.],$B121),IF($J121="XtraGreen",SUMIFS(Table146[Quantity],Table146[Company],$M$3,Table146[Date],$A121,Table146[Bill No.],$B121),""))))</f>
        <v/>
      </c>
      <c r="D121" s="346" t="str">
        <f>IF($A121="","",IF($J121="DIESEL",AVERAGEIFS(Table1[RSP],Table1[Customer],$M$3,Table1[Date],$A121,Table1[Bill No.],$B121),IF($J121="PETROL",AVERAGEIFS(Table14[RSP],Table14[Customer],$M$3,Table14[Date],$A121,Table14[Bill No.],$B121),IF($J121="XtraGreen",AVERAGEIFS(Table146[RSP],Table146[Company],$M$3,Table146[Date],$A121,Table146[Bill No.],$B121),IFERROR($E121/$C121,"")))))</f>
        <v/>
      </c>
      <c r="E121" s="347" t="str">
        <f>IF($A121="","",IF($J121="DIESEL",SUMIFS(Table1[Amount],Table1[Customer],$M$3,Table1[Date],$A121,Table1[Bill No.],$B121),IF($J121="PETROL",SUMIFS(Table14[Amount],Table14[Customer],$M$3,Table14[Date],$A121,Table14[Bill No.],$B121),IF($J121="XtraGreen",SUMIFS(Table146[Amount],Table146[Company],$M$3,Table146[Date],$A121,Table146[Bill No.],$B121),SUMIFS('Other Sale'!$D:$D,'Other Sale'!$E:$E,$M$3,'Other Sale'!$C:$C,$J121,'Other Sale'!$A:$A,$A121)))))</f>
        <v/>
      </c>
      <c r="F121" s="347" t="str" cm="1">
        <f t="array" ref="F121">IF($A121="","",IF($J121="Payment",IFERROR(INDEX(_xlfn._xlws.FILTER(MasterPaid[Amount Paid],(MasterPaid[Customer]=$M$3)*(MasterPaid[Date]=$A121)),COUNTIFS($A$6:$A121,$A121,$J$6:$J121,"Payment")),0),0))</f>
        <v/>
      </c>
      <c r="G121" s="331"/>
      <c r="H121" s="427"/>
      <c r="I121" s="330" t="str">
        <f t="shared" si="10"/>
        <v/>
      </c>
      <c r="J121" s="344" t="str" cm="1">
        <f t="array" ref="J121">IFERROR(INDEX(_xlfn.ANCHORARRAY($P$6),ROW()-5,3),"")</f>
        <v/>
      </c>
      <c r="K121" s="432"/>
      <c r="L121" s="348"/>
    </row>
    <row r="122" spans="1:12" ht="23" x14ac:dyDescent="0.25">
      <c r="A122" s="217" t="str" cm="1">
        <f t="array" ref="A122">IFERROR(INDEX(_xlfn.ANCHORARRAY($P$6),ROW()-5,1),"")</f>
        <v/>
      </c>
      <c r="B122" s="344" t="str" cm="1">
        <f t="array" ref="B122">IFERROR(INDEX(_xlfn.ANCHORARRAY($P$6),ROW()-5,2),"")</f>
        <v/>
      </c>
      <c r="C122" s="345" t="str">
        <f>IF($A122="","",IF($J122="DIESEL",SUMIFS(Table1[Quantity],Table1[Customer],$M$3,Table1[Date],$A122,Table1[Bill No.],$B122),IF($J122="PETROL",SUMIFS(Table14[Quantity],Table14[Customer],$M$3,Table14[Date],$A122,Table14[Bill No.],$B122),IF($J122="XtraGreen",SUMIFS(Table146[Quantity],Table146[Company],$M$3,Table146[Date],$A122,Table146[Bill No.],$B122),""))))</f>
        <v/>
      </c>
      <c r="D122" s="346" t="str">
        <f>IF($A122="","",IF($J122="DIESEL",AVERAGEIFS(Table1[RSP],Table1[Customer],$M$3,Table1[Date],$A122,Table1[Bill No.],$B122),IF($J122="PETROL",AVERAGEIFS(Table14[RSP],Table14[Customer],$M$3,Table14[Date],$A122,Table14[Bill No.],$B122),IF($J122="XtraGreen",AVERAGEIFS(Table146[RSP],Table146[Company],$M$3,Table146[Date],$A122,Table146[Bill No.],$B122),IFERROR($E122/$C122,"")))))</f>
        <v/>
      </c>
      <c r="E122" s="347" t="str">
        <f>IF($A122="","",IF($J122="DIESEL",SUMIFS(Table1[Amount],Table1[Customer],$M$3,Table1[Date],$A122,Table1[Bill No.],$B122),IF($J122="PETROL",SUMIFS(Table14[Amount],Table14[Customer],$M$3,Table14[Date],$A122,Table14[Bill No.],$B122),IF($J122="XtraGreen",SUMIFS(Table146[Amount],Table146[Company],$M$3,Table146[Date],$A122,Table146[Bill No.],$B122),SUMIFS('Other Sale'!$D:$D,'Other Sale'!$E:$E,$M$3,'Other Sale'!$C:$C,$J122,'Other Sale'!$A:$A,$A122)))))</f>
        <v/>
      </c>
      <c r="F122" s="347" t="str" cm="1">
        <f t="array" ref="F122">IF($A122="","",IF($J122="Payment",IFERROR(INDEX(_xlfn._xlws.FILTER(MasterPaid[Amount Paid],(MasterPaid[Customer]=$M$3)*(MasterPaid[Date]=$A122)),COUNTIFS($A$6:$A122,$A122,$J$6:$J122,"Payment")),0),0))</f>
        <v/>
      </c>
      <c r="G122" s="331"/>
      <c r="H122" s="427"/>
      <c r="I122" s="330" t="str">
        <f t="shared" si="10"/>
        <v/>
      </c>
      <c r="J122" s="344" t="str" cm="1">
        <f t="array" ref="J122">IFERROR(INDEX(_xlfn.ANCHORARRAY($P$6),ROW()-5,3),"")</f>
        <v/>
      </c>
      <c r="K122" s="432"/>
      <c r="L122" s="348"/>
    </row>
    <row r="123" spans="1:12" ht="23" x14ac:dyDescent="0.25">
      <c r="A123" s="217" t="str" cm="1">
        <f t="array" ref="A123">IFERROR(INDEX(_xlfn.ANCHORARRAY($P$6),ROW()-5,1),"")</f>
        <v/>
      </c>
      <c r="B123" s="344" t="str" cm="1">
        <f t="array" ref="B123">IFERROR(INDEX(_xlfn.ANCHORARRAY($P$6),ROW()-5,2),"")</f>
        <v/>
      </c>
      <c r="C123" s="345" t="str">
        <f>IF($A123="","",IF($J123="DIESEL",SUMIFS(Table1[Quantity],Table1[Customer],$M$3,Table1[Date],$A123,Table1[Bill No.],$B123),IF($J123="PETROL",SUMIFS(Table14[Quantity],Table14[Customer],$M$3,Table14[Date],$A123,Table14[Bill No.],$B123),IF($J123="XtraGreen",SUMIFS(Table146[Quantity],Table146[Company],$M$3,Table146[Date],$A123,Table146[Bill No.],$B123),""))))</f>
        <v/>
      </c>
      <c r="D123" s="346" t="str">
        <f>IF($A123="","",IF($J123="DIESEL",AVERAGEIFS(Table1[RSP],Table1[Customer],$M$3,Table1[Date],$A123,Table1[Bill No.],$B123),IF($J123="PETROL",AVERAGEIFS(Table14[RSP],Table14[Customer],$M$3,Table14[Date],$A123,Table14[Bill No.],$B123),IF($J123="XtraGreen",AVERAGEIFS(Table146[RSP],Table146[Company],$M$3,Table146[Date],$A123,Table146[Bill No.],$B123),IFERROR($E123/$C123,"")))))</f>
        <v/>
      </c>
      <c r="E123" s="347" t="str">
        <f>IF($A123="","",IF($J123="DIESEL",SUMIFS(Table1[Amount],Table1[Customer],$M$3,Table1[Date],$A123,Table1[Bill No.],$B123),IF($J123="PETROL",SUMIFS(Table14[Amount],Table14[Customer],$M$3,Table14[Date],$A123,Table14[Bill No.],$B123),IF($J123="XtraGreen",SUMIFS(Table146[Amount],Table146[Company],$M$3,Table146[Date],$A123,Table146[Bill No.],$B123),SUMIFS('Other Sale'!$D:$D,'Other Sale'!$E:$E,$M$3,'Other Sale'!$C:$C,$J123,'Other Sale'!$A:$A,$A123)))))</f>
        <v/>
      </c>
      <c r="F123" s="347" t="str" cm="1">
        <f t="array" ref="F123">IF($A123="","",IF($J123="Payment",IFERROR(INDEX(_xlfn._xlws.FILTER(MasterPaid[Amount Paid],(MasterPaid[Customer]=$M$3)*(MasterPaid[Date]=$A123)),COUNTIFS($A$6:$A123,$A123,$J$6:$J123,"Payment")),0),0))</f>
        <v/>
      </c>
      <c r="G123" s="331"/>
      <c r="H123" s="427"/>
      <c r="I123" s="330" t="str">
        <f t="shared" si="10"/>
        <v/>
      </c>
      <c r="J123" s="344" t="str" cm="1">
        <f t="array" ref="J123">IFERROR(INDEX(_xlfn.ANCHORARRAY($P$6),ROW()-5,3),"")</f>
        <v/>
      </c>
      <c r="K123" s="432"/>
      <c r="L123" s="348"/>
    </row>
    <row r="124" spans="1:12" ht="23" x14ac:dyDescent="0.25">
      <c r="A124" s="217" t="str" cm="1">
        <f t="array" ref="A124">IFERROR(INDEX(_xlfn.ANCHORARRAY($P$6),ROW()-5,1),"")</f>
        <v/>
      </c>
      <c r="B124" s="344" t="str" cm="1">
        <f t="array" ref="B124">IFERROR(INDEX(_xlfn.ANCHORARRAY($P$6),ROW()-5,2),"")</f>
        <v/>
      </c>
      <c r="C124" s="345" t="str">
        <f>IF($A124="","",IF($J124="DIESEL",SUMIFS(Table1[Quantity],Table1[Customer],$M$3,Table1[Date],$A124,Table1[Bill No.],$B124),IF($J124="PETROL",SUMIFS(Table14[Quantity],Table14[Customer],$M$3,Table14[Date],$A124,Table14[Bill No.],$B124),IF($J124="XtraGreen",SUMIFS(Table146[Quantity],Table146[Company],$M$3,Table146[Date],$A124,Table146[Bill No.],$B124),""))))</f>
        <v/>
      </c>
      <c r="D124" s="346" t="str">
        <f>IF($A124="","",IF($J124="DIESEL",AVERAGEIFS(Table1[RSP],Table1[Customer],$M$3,Table1[Date],$A124,Table1[Bill No.],$B124),IF($J124="PETROL",AVERAGEIFS(Table14[RSP],Table14[Customer],$M$3,Table14[Date],$A124,Table14[Bill No.],$B124),IF($J124="XtraGreen",AVERAGEIFS(Table146[RSP],Table146[Company],$M$3,Table146[Date],$A124,Table146[Bill No.],$B124),IFERROR($E124/$C124,"")))))</f>
        <v/>
      </c>
      <c r="E124" s="347" t="str">
        <f>IF($A124="","",IF($J124="DIESEL",SUMIFS(Table1[Amount],Table1[Customer],$M$3,Table1[Date],$A124,Table1[Bill No.],$B124),IF($J124="PETROL",SUMIFS(Table14[Amount],Table14[Customer],$M$3,Table14[Date],$A124,Table14[Bill No.],$B124),IF($J124="XtraGreen",SUMIFS(Table146[Amount],Table146[Company],$M$3,Table146[Date],$A124,Table146[Bill No.],$B124),SUMIFS('Other Sale'!$D:$D,'Other Sale'!$E:$E,$M$3,'Other Sale'!$C:$C,$J124,'Other Sale'!$A:$A,$A124)))))</f>
        <v/>
      </c>
      <c r="F124" s="347" t="str" cm="1">
        <f t="array" ref="F124">IF($A124="","",IF($J124="Payment",IFERROR(INDEX(_xlfn._xlws.FILTER(MasterPaid[Amount Paid],(MasterPaid[Customer]=$M$3)*(MasterPaid[Date]=$A124)),COUNTIFS($A$6:$A124,$A124,$J$6:$J124,"Payment")),0),0))</f>
        <v/>
      </c>
      <c r="G124" s="331"/>
      <c r="H124" s="427"/>
      <c r="I124" s="330" t="str">
        <f t="shared" si="10"/>
        <v/>
      </c>
      <c r="J124" s="344" t="str" cm="1">
        <f t="array" ref="J124">IFERROR(INDEX(_xlfn.ANCHORARRAY($P$6),ROW()-5,3),"")</f>
        <v/>
      </c>
      <c r="K124" s="432"/>
      <c r="L124" s="348"/>
    </row>
    <row r="125" spans="1:12" ht="23" x14ac:dyDescent="0.25">
      <c r="A125" s="217" t="str" cm="1">
        <f t="array" ref="A125">IFERROR(INDEX(_xlfn.ANCHORARRAY($P$6),ROW()-5,1),"")</f>
        <v/>
      </c>
      <c r="B125" s="344" t="str" cm="1">
        <f t="array" ref="B125">IFERROR(INDEX(_xlfn.ANCHORARRAY($P$6),ROW()-5,2),"")</f>
        <v/>
      </c>
      <c r="C125" s="345" t="str">
        <f>IF($A125="","",IF($J125="DIESEL",SUMIFS(Table1[Quantity],Table1[Customer],$M$3,Table1[Date],$A125,Table1[Bill No.],$B125),IF($J125="PETROL",SUMIFS(Table14[Quantity],Table14[Customer],$M$3,Table14[Date],$A125,Table14[Bill No.],$B125),IF($J125="XtraGreen",SUMIFS(Table146[Quantity],Table146[Company],$M$3,Table146[Date],$A125,Table146[Bill No.],$B125),""))))</f>
        <v/>
      </c>
      <c r="D125" s="346" t="str">
        <f>IF($A125="","",IF($J125="DIESEL",AVERAGEIFS(Table1[RSP],Table1[Customer],$M$3,Table1[Date],$A125,Table1[Bill No.],$B125),IF($J125="PETROL",AVERAGEIFS(Table14[RSP],Table14[Customer],$M$3,Table14[Date],$A125,Table14[Bill No.],$B125),IF($J125="XtraGreen",AVERAGEIFS(Table146[RSP],Table146[Company],$M$3,Table146[Date],$A125,Table146[Bill No.],$B125),IFERROR($E125/$C125,"")))))</f>
        <v/>
      </c>
      <c r="E125" s="347" t="str">
        <f>IF($A125="","",IF($J125="DIESEL",SUMIFS(Table1[Amount],Table1[Customer],$M$3,Table1[Date],$A125,Table1[Bill No.],$B125),IF($J125="PETROL",SUMIFS(Table14[Amount],Table14[Customer],$M$3,Table14[Date],$A125,Table14[Bill No.],$B125),IF($J125="XtraGreen",SUMIFS(Table146[Amount],Table146[Company],$M$3,Table146[Date],$A125,Table146[Bill No.],$B125),SUMIFS('Other Sale'!$D:$D,'Other Sale'!$E:$E,$M$3,'Other Sale'!$C:$C,$J125,'Other Sale'!$A:$A,$A125)))))</f>
        <v/>
      </c>
      <c r="F125" s="347" t="str" cm="1">
        <f t="array" ref="F125">IF($A125="","",IF($J125="Payment",IFERROR(INDEX(_xlfn._xlws.FILTER(MasterPaid[Amount Paid],(MasterPaid[Customer]=$M$3)*(MasterPaid[Date]=$A125)),COUNTIFS($A$6:$A125,$A125,$J$6:$J125,"Payment")),0),0))</f>
        <v/>
      </c>
      <c r="G125" s="331"/>
      <c r="H125" s="427"/>
      <c r="I125" s="330" t="str">
        <f t="shared" si="10"/>
        <v/>
      </c>
      <c r="J125" s="344" t="str" cm="1">
        <f t="array" ref="J125">IFERROR(INDEX(_xlfn.ANCHORARRAY($P$6),ROW()-5,3),"")</f>
        <v/>
      </c>
      <c r="K125" s="432"/>
      <c r="L125" s="348"/>
    </row>
    <row r="126" spans="1:12" ht="23" x14ac:dyDescent="0.25">
      <c r="A126" s="217" t="str" cm="1">
        <f t="array" ref="A126">IFERROR(INDEX(_xlfn.ANCHORARRAY($P$6),ROW()-5,1),"")</f>
        <v/>
      </c>
      <c r="B126" s="344" t="str" cm="1">
        <f t="array" ref="B126">IFERROR(INDEX(_xlfn.ANCHORARRAY($P$6),ROW()-5,2),"")</f>
        <v/>
      </c>
      <c r="C126" s="345" t="str">
        <f>IF($A126="","",IF($J126="DIESEL",SUMIFS(Table1[Quantity],Table1[Customer],$M$3,Table1[Date],$A126,Table1[Bill No.],$B126),IF($J126="PETROL",SUMIFS(Table14[Quantity],Table14[Customer],$M$3,Table14[Date],$A126,Table14[Bill No.],$B126),IF($J126="XtraGreen",SUMIFS(Table146[Quantity],Table146[Company],$M$3,Table146[Date],$A126,Table146[Bill No.],$B126),""))))</f>
        <v/>
      </c>
      <c r="D126" s="346" t="str">
        <f>IF($A126="","",IF($J126="DIESEL",AVERAGEIFS(Table1[RSP],Table1[Customer],$M$3,Table1[Date],$A126,Table1[Bill No.],$B126),IF($J126="PETROL",AVERAGEIFS(Table14[RSP],Table14[Customer],$M$3,Table14[Date],$A126,Table14[Bill No.],$B126),IF($J126="XtraGreen",AVERAGEIFS(Table146[RSP],Table146[Company],$M$3,Table146[Date],$A126,Table146[Bill No.],$B126),IFERROR($E126/$C126,"")))))</f>
        <v/>
      </c>
      <c r="E126" s="347" t="str">
        <f>IF($A126="","",IF($J126="DIESEL",SUMIFS(Table1[Amount],Table1[Customer],$M$3,Table1[Date],$A126,Table1[Bill No.],$B126),IF($J126="PETROL",SUMIFS(Table14[Amount],Table14[Customer],$M$3,Table14[Date],$A126,Table14[Bill No.],$B126),IF($J126="XtraGreen",SUMIFS(Table146[Amount],Table146[Company],$M$3,Table146[Date],$A126,Table146[Bill No.],$B126),SUMIFS('Other Sale'!$D:$D,'Other Sale'!$E:$E,$M$3,'Other Sale'!$C:$C,$J126,'Other Sale'!$A:$A,$A126)))))</f>
        <v/>
      </c>
      <c r="F126" s="347" t="str" cm="1">
        <f t="array" ref="F126">IF($A126="","",IF($J126="Payment",IFERROR(INDEX(_xlfn._xlws.FILTER(MasterPaid[Amount Paid],(MasterPaid[Customer]=$M$3)*(MasterPaid[Date]=$A126)),COUNTIFS($A$6:$A126,$A126,$J$6:$J126,"Payment")),0),0))</f>
        <v/>
      </c>
      <c r="G126" s="331"/>
      <c r="H126" s="427"/>
      <c r="I126" s="330" t="str">
        <f t="shared" si="10"/>
        <v/>
      </c>
      <c r="J126" s="344" t="str" cm="1">
        <f t="array" ref="J126">IFERROR(INDEX(_xlfn.ANCHORARRAY($P$6),ROW()-5,3),"")</f>
        <v/>
      </c>
      <c r="K126" s="432"/>
      <c r="L126" s="348"/>
    </row>
    <row r="127" spans="1:12" ht="23" x14ac:dyDescent="0.25">
      <c r="A127" s="217" t="str" cm="1">
        <f t="array" ref="A127">IFERROR(INDEX(_xlfn.ANCHORARRAY($P$6),ROW()-5,1),"")</f>
        <v/>
      </c>
      <c r="B127" s="344" t="str" cm="1">
        <f t="array" ref="B127">IFERROR(INDEX(_xlfn.ANCHORARRAY($P$6),ROW()-5,2),"")</f>
        <v/>
      </c>
      <c r="C127" s="345" t="str">
        <f>IF($A127="","",IF($J127="DIESEL",SUMIFS(Table1[Quantity],Table1[Customer],$M$3,Table1[Date],$A127,Table1[Bill No.],$B127),IF($J127="PETROL",SUMIFS(Table14[Quantity],Table14[Customer],$M$3,Table14[Date],$A127,Table14[Bill No.],$B127),IF($J127="XtraGreen",SUMIFS(Table146[Quantity],Table146[Company],$M$3,Table146[Date],$A127,Table146[Bill No.],$B127),""))))</f>
        <v/>
      </c>
      <c r="D127" s="346" t="str">
        <f>IF($A127="","",IF($J127="DIESEL",AVERAGEIFS(Table1[RSP],Table1[Customer],$M$3,Table1[Date],$A127,Table1[Bill No.],$B127),IF($J127="PETROL",AVERAGEIFS(Table14[RSP],Table14[Customer],$M$3,Table14[Date],$A127,Table14[Bill No.],$B127),IF($J127="XtraGreen",AVERAGEIFS(Table146[RSP],Table146[Company],$M$3,Table146[Date],$A127,Table146[Bill No.],$B127),IFERROR($E127/$C127,"")))))</f>
        <v/>
      </c>
      <c r="E127" s="347" t="str">
        <f>IF($A127="","",IF($J127="DIESEL",SUMIFS(Table1[Amount],Table1[Customer],$M$3,Table1[Date],$A127,Table1[Bill No.],$B127),IF($J127="PETROL",SUMIFS(Table14[Amount],Table14[Customer],$M$3,Table14[Date],$A127,Table14[Bill No.],$B127),IF($J127="XtraGreen",SUMIFS(Table146[Amount],Table146[Company],$M$3,Table146[Date],$A127,Table146[Bill No.],$B127),SUMIFS('Other Sale'!$D:$D,'Other Sale'!$E:$E,$M$3,'Other Sale'!$C:$C,$J127,'Other Sale'!$A:$A,$A127)))))</f>
        <v/>
      </c>
      <c r="F127" s="347" t="str" cm="1">
        <f t="array" ref="F127">IF($A127="","",IF($J127="Payment",IFERROR(INDEX(_xlfn._xlws.FILTER(MasterPaid[Amount Paid],(MasterPaid[Customer]=$M$3)*(MasterPaid[Date]=$A127)),COUNTIFS($A$6:$A127,$A127,$J$6:$J127,"Payment")),0),0))</f>
        <v/>
      </c>
      <c r="G127" s="331"/>
      <c r="H127" s="427"/>
      <c r="I127" s="330" t="str">
        <f t="shared" si="10"/>
        <v/>
      </c>
      <c r="J127" s="344" t="str" cm="1">
        <f t="array" ref="J127">IFERROR(INDEX(_xlfn.ANCHORARRAY($P$6),ROW()-5,3),"")</f>
        <v/>
      </c>
      <c r="K127" s="432"/>
      <c r="L127" s="348"/>
    </row>
    <row r="128" spans="1:12" ht="23" x14ac:dyDescent="0.25">
      <c r="A128" s="217" t="str" cm="1">
        <f t="array" ref="A128">IFERROR(INDEX(_xlfn.ANCHORARRAY($P$6),ROW()-5,1),"")</f>
        <v/>
      </c>
      <c r="B128" s="344" t="str" cm="1">
        <f t="array" ref="B128">IFERROR(INDEX(_xlfn.ANCHORARRAY($P$6),ROW()-5,2),"")</f>
        <v/>
      </c>
      <c r="C128" s="345" t="str">
        <f>IF($A128="","",IF($J128="DIESEL",SUMIFS(Table1[Quantity],Table1[Customer],$M$3,Table1[Date],$A128,Table1[Bill No.],$B128),IF($J128="PETROL",SUMIFS(Table14[Quantity],Table14[Customer],$M$3,Table14[Date],$A128,Table14[Bill No.],$B128),IF($J128="XtraGreen",SUMIFS(Table146[Quantity],Table146[Company],$M$3,Table146[Date],$A128,Table146[Bill No.],$B128),""))))</f>
        <v/>
      </c>
      <c r="D128" s="346" t="str">
        <f>IF($A128="","",IF($J128="DIESEL",AVERAGEIFS(Table1[RSP],Table1[Customer],$M$3,Table1[Date],$A128,Table1[Bill No.],$B128),IF($J128="PETROL",AVERAGEIFS(Table14[RSP],Table14[Customer],$M$3,Table14[Date],$A128,Table14[Bill No.],$B128),IF($J128="XtraGreen",AVERAGEIFS(Table146[RSP],Table146[Company],$M$3,Table146[Date],$A128,Table146[Bill No.],$B128),IFERROR($E128/$C128,"")))))</f>
        <v/>
      </c>
      <c r="E128" s="347" t="str">
        <f>IF($A128="","",IF($J128="DIESEL",SUMIFS(Table1[Amount],Table1[Customer],$M$3,Table1[Date],$A128,Table1[Bill No.],$B128),IF($J128="PETROL",SUMIFS(Table14[Amount],Table14[Customer],$M$3,Table14[Date],$A128,Table14[Bill No.],$B128),IF($J128="XtraGreen",SUMIFS(Table146[Amount],Table146[Company],$M$3,Table146[Date],$A128,Table146[Bill No.],$B128),SUMIFS('Other Sale'!$D:$D,'Other Sale'!$E:$E,$M$3,'Other Sale'!$C:$C,$J128,'Other Sale'!$A:$A,$A128)))))</f>
        <v/>
      </c>
      <c r="F128" s="347" t="str" cm="1">
        <f t="array" ref="F128">IF($A128="","",IF($J128="Payment",IFERROR(INDEX(_xlfn._xlws.FILTER(MasterPaid[Amount Paid],(MasterPaid[Customer]=$M$3)*(MasterPaid[Date]=$A128)),COUNTIFS($A$6:$A128,$A128,$J$6:$J128,"Payment")),0),0))</f>
        <v/>
      </c>
      <c r="G128" s="331"/>
      <c r="H128" s="427"/>
      <c r="I128" s="330" t="str">
        <f t="shared" si="10"/>
        <v/>
      </c>
      <c r="J128" s="344" t="str" cm="1">
        <f t="array" ref="J128">IFERROR(INDEX(_xlfn.ANCHORARRAY($P$6),ROW()-5,3),"")</f>
        <v/>
      </c>
      <c r="K128" s="432"/>
      <c r="L128" s="348"/>
    </row>
    <row r="129" spans="1:12" ht="23" x14ac:dyDescent="0.25">
      <c r="A129" s="217" t="str" cm="1">
        <f t="array" ref="A129">IFERROR(INDEX(_xlfn.ANCHORARRAY($P$6),ROW()-5,1),"")</f>
        <v/>
      </c>
      <c r="B129" s="344" t="str" cm="1">
        <f t="array" ref="B129">IFERROR(INDEX(_xlfn.ANCHORARRAY($P$6),ROW()-5,2),"")</f>
        <v/>
      </c>
      <c r="C129" s="345" t="str">
        <f>IF($A129="","",IF($J129="DIESEL",SUMIFS(Table1[Quantity],Table1[Customer],$M$3,Table1[Date],$A129,Table1[Bill No.],$B129),IF($J129="PETROL",SUMIFS(Table14[Quantity],Table14[Customer],$M$3,Table14[Date],$A129,Table14[Bill No.],$B129),IF($J129="XtraGreen",SUMIFS(Table146[Quantity],Table146[Company],$M$3,Table146[Date],$A129,Table146[Bill No.],$B129),""))))</f>
        <v/>
      </c>
      <c r="D129" s="346" t="str">
        <f>IF($A129="","",IF($J129="DIESEL",AVERAGEIFS(Table1[RSP],Table1[Customer],$M$3,Table1[Date],$A129,Table1[Bill No.],$B129),IF($J129="PETROL",AVERAGEIFS(Table14[RSP],Table14[Customer],$M$3,Table14[Date],$A129,Table14[Bill No.],$B129),IF($J129="XtraGreen",AVERAGEIFS(Table146[RSP],Table146[Company],$M$3,Table146[Date],$A129,Table146[Bill No.],$B129),IFERROR($E129/$C129,"")))))</f>
        <v/>
      </c>
      <c r="E129" s="347" t="str">
        <f>IF($A129="","",IF($J129="DIESEL",SUMIFS(Table1[Amount],Table1[Customer],$M$3,Table1[Date],$A129,Table1[Bill No.],$B129),IF($J129="PETROL",SUMIFS(Table14[Amount],Table14[Customer],$M$3,Table14[Date],$A129,Table14[Bill No.],$B129),IF($J129="XtraGreen",SUMIFS(Table146[Amount],Table146[Company],$M$3,Table146[Date],$A129,Table146[Bill No.],$B129),SUMIFS('Other Sale'!$D:$D,'Other Sale'!$E:$E,$M$3,'Other Sale'!$C:$C,$J129,'Other Sale'!$A:$A,$A129)))))</f>
        <v/>
      </c>
      <c r="F129" s="347" t="str" cm="1">
        <f t="array" ref="F129">IF($A129="","",IF($J129="Payment",IFERROR(INDEX(_xlfn._xlws.FILTER(MasterPaid[Amount Paid],(MasterPaid[Customer]=$M$3)*(MasterPaid[Date]=$A129)),COUNTIFS($A$6:$A129,$A129,$J$6:$J129,"Payment")),0),0))</f>
        <v/>
      </c>
      <c r="G129" s="331"/>
      <c r="H129" s="427"/>
      <c r="I129" s="330" t="str">
        <f t="shared" si="10"/>
        <v/>
      </c>
      <c r="J129" s="344" t="str" cm="1">
        <f t="array" ref="J129">IFERROR(INDEX(_xlfn.ANCHORARRAY($P$6),ROW()-5,3),"")</f>
        <v/>
      </c>
      <c r="K129" s="432"/>
      <c r="L129" s="348"/>
    </row>
    <row r="130" spans="1:12" ht="23" x14ac:dyDescent="0.25">
      <c r="A130" s="217" t="str" cm="1">
        <f t="array" ref="A130">IFERROR(INDEX(_xlfn.ANCHORARRAY($P$6),ROW()-5,1),"")</f>
        <v/>
      </c>
      <c r="B130" s="344" t="str" cm="1">
        <f t="array" ref="B130">IFERROR(INDEX(_xlfn.ANCHORARRAY($P$6),ROW()-5,2),"")</f>
        <v/>
      </c>
      <c r="C130" s="345" t="str">
        <f>IF($A130="","",IF($J130="DIESEL",SUMIFS(Table1[Quantity],Table1[Customer],$M$3,Table1[Date],$A130,Table1[Bill No.],$B130),IF($J130="PETROL",SUMIFS(Table14[Quantity],Table14[Customer],$M$3,Table14[Date],$A130,Table14[Bill No.],$B130),IF($J130="XtraGreen",SUMIFS(Table146[Quantity],Table146[Company],$M$3,Table146[Date],$A130,Table146[Bill No.],$B130),""))))</f>
        <v/>
      </c>
      <c r="D130" s="346" t="str">
        <f>IF($A130="","",IF($J130="DIESEL",AVERAGEIFS(Table1[RSP],Table1[Customer],$M$3,Table1[Date],$A130,Table1[Bill No.],$B130),IF($J130="PETROL",AVERAGEIFS(Table14[RSP],Table14[Customer],$M$3,Table14[Date],$A130,Table14[Bill No.],$B130),IF($J130="XtraGreen",AVERAGEIFS(Table146[RSP],Table146[Company],$M$3,Table146[Date],$A130,Table146[Bill No.],$B130),IFERROR($E130/$C130,"")))))</f>
        <v/>
      </c>
      <c r="E130" s="347" t="str">
        <f>IF($A130="","",IF($J130="DIESEL",SUMIFS(Table1[Amount],Table1[Customer],$M$3,Table1[Date],$A130,Table1[Bill No.],$B130),IF($J130="PETROL",SUMIFS(Table14[Amount],Table14[Customer],$M$3,Table14[Date],$A130,Table14[Bill No.],$B130),IF($J130="XtraGreen",SUMIFS(Table146[Amount],Table146[Company],$M$3,Table146[Date],$A130,Table146[Bill No.],$B130),SUMIFS('Other Sale'!$D:$D,'Other Sale'!$E:$E,$M$3,'Other Sale'!$C:$C,$J130,'Other Sale'!$A:$A,$A130)))))</f>
        <v/>
      </c>
      <c r="F130" s="347" t="str" cm="1">
        <f t="array" ref="F130">IF($A130="","",IF($J130="Payment",IFERROR(INDEX(_xlfn._xlws.FILTER(MasterPaid[Amount Paid],(MasterPaid[Customer]=$M$3)*(MasterPaid[Date]=$A130)),COUNTIFS($A$6:$A130,$A130,$J$6:$J130,"Payment")),0),0))</f>
        <v/>
      </c>
      <c r="G130" s="331"/>
      <c r="H130" s="427"/>
      <c r="I130" s="330" t="str">
        <f t="shared" si="10"/>
        <v/>
      </c>
      <c r="J130" s="344" t="str" cm="1">
        <f t="array" ref="J130">IFERROR(INDEX(_xlfn.ANCHORARRAY($P$6),ROW()-5,3),"")</f>
        <v/>
      </c>
      <c r="K130" s="432"/>
      <c r="L130" s="348"/>
    </row>
    <row r="131" spans="1:12" ht="23" x14ac:dyDescent="0.25">
      <c r="A131" s="217" t="str" cm="1">
        <f t="array" ref="A131">IFERROR(INDEX(_xlfn.ANCHORARRAY($P$6),ROW()-5,1),"")</f>
        <v/>
      </c>
      <c r="B131" s="344" t="str" cm="1">
        <f t="array" ref="B131">IFERROR(INDEX(_xlfn.ANCHORARRAY($P$6),ROW()-5,2),"")</f>
        <v/>
      </c>
      <c r="C131" s="345" t="str">
        <f>IF($A131="","",IF($J131="DIESEL",SUMIFS(Table1[Quantity],Table1[Customer],$M$3,Table1[Date],$A131,Table1[Bill No.],$B131),IF($J131="PETROL",SUMIFS(Table14[Quantity],Table14[Customer],$M$3,Table14[Date],$A131,Table14[Bill No.],$B131),IF($J131="XtraGreen",SUMIFS(Table146[Quantity],Table146[Company],$M$3,Table146[Date],$A131,Table146[Bill No.],$B131),""))))</f>
        <v/>
      </c>
      <c r="D131" s="346" t="str">
        <f>IF($A131="","",IF($J131="DIESEL",AVERAGEIFS(Table1[RSP],Table1[Customer],$M$3,Table1[Date],$A131,Table1[Bill No.],$B131),IF($J131="PETROL",AVERAGEIFS(Table14[RSP],Table14[Customer],$M$3,Table14[Date],$A131,Table14[Bill No.],$B131),IF($J131="XtraGreen",AVERAGEIFS(Table146[RSP],Table146[Company],$M$3,Table146[Date],$A131,Table146[Bill No.],$B131),IFERROR($E131/$C131,"")))))</f>
        <v/>
      </c>
      <c r="E131" s="347" t="str">
        <f>IF($A131="","",IF($J131="DIESEL",SUMIFS(Table1[Amount],Table1[Customer],$M$3,Table1[Date],$A131,Table1[Bill No.],$B131),IF($J131="PETROL",SUMIFS(Table14[Amount],Table14[Customer],$M$3,Table14[Date],$A131,Table14[Bill No.],$B131),IF($J131="XtraGreen",SUMIFS(Table146[Amount],Table146[Company],$M$3,Table146[Date],$A131,Table146[Bill No.],$B131),SUMIFS('Other Sale'!$D:$D,'Other Sale'!$E:$E,$M$3,'Other Sale'!$C:$C,$J131,'Other Sale'!$A:$A,$A131)))))</f>
        <v/>
      </c>
      <c r="F131" s="347" t="str" cm="1">
        <f t="array" ref="F131">IF($A131="","",IF($J131="Payment",IFERROR(INDEX(_xlfn._xlws.FILTER(MasterPaid[Amount Paid],(MasterPaid[Customer]=$M$3)*(MasterPaid[Date]=$A131)),COUNTIFS($A$6:$A131,$A131,$J$6:$J131,"Payment")),0),0))</f>
        <v/>
      </c>
      <c r="G131" s="331"/>
      <c r="H131" s="427"/>
      <c r="I131" s="330" t="str">
        <f t="shared" si="10"/>
        <v/>
      </c>
      <c r="J131" s="344" t="str" cm="1">
        <f t="array" ref="J131">IFERROR(INDEX(_xlfn.ANCHORARRAY($P$6),ROW()-5,3),"")</f>
        <v/>
      </c>
      <c r="K131" s="432"/>
      <c r="L131" s="348"/>
    </row>
    <row r="132" spans="1:12" ht="23" x14ac:dyDescent="0.25">
      <c r="A132" s="217" t="str" cm="1">
        <f t="array" ref="A132">IFERROR(INDEX(_xlfn.ANCHORARRAY($P$6),ROW()-5,1),"")</f>
        <v/>
      </c>
      <c r="B132" s="344" t="str" cm="1">
        <f t="array" ref="B132">IFERROR(INDEX(_xlfn.ANCHORARRAY($P$6),ROW()-5,2),"")</f>
        <v/>
      </c>
      <c r="C132" s="345" t="str">
        <f>IF($A132="","",IF($J132="DIESEL",SUMIFS(Table1[Quantity],Table1[Customer],$M$3,Table1[Date],$A132,Table1[Bill No.],$B132),IF($J132="PETROL",SUMIFS(Table14[Quantity],Table14[Customer],$M$3,Table14[Date],$A132,Table14[Bill No.],$B132),IF($J132="XtraGreen",SUMIFS(Table146[Quantity],Table146[Company],$M$3,Table146[Date],$A132,Table146[Bill No.],$B132),""))))</f>
        <v/>
      </c>
      <c r="D132" s="346" t="str">
        <f>IF($A132="","",IF($J132="DIESEL",AVERAGEIFS(Table1[RSP],Table1[Customer],$M$3,Table1[Date],$A132,Table1[Bill No.],$B132),IF($J132="PETROL",AVERAGEIFS(Table14[RSP],Table14[Customer],$M$3,Table14[Date],$A132,Table14[Bill No.],$B132),IF($J132="XtraGreen",AVERAGEIFS(Table146[RSP],Table146[Company],$M$3,Table146[Date],$A132,Table146[Bill No.],$B132),IFERROR($E132/$C132,"")))))</f>
        <v/>
      </c>
      <c r="E132" s="347" t="str">
        <f>IF($A132="","",IF($J132="DIESEL",SUMIFS(Table1[Amount],Table1[Customer],$M$3,Table1[Date],$A132,Table1[Bill No.],$B132),IF($J132="PETROL",SUMIFS(Table14[Amount],Table14[Customer],$M$3,Table14[Date],$A132,Table14[Bill No.],$B132),IF($J132="XtraGreen",SUMIFS(Table146[Amount],Table146[Company],$M$3,Table146[Date],$A132,Table146[Bill No.],$B132),SUMIFS('Other Sale'!$D:$D,'Other Sale'!$E:$E,$M$3,'Other Sale'!$C:$C,$J132,'Other Sale'!$A:$A,$A132)))))</f>
        <v/>
      </c>
      <c r="F132" s="347" t="str" cm="1">
        <f t="array" ref="F132">IF($A132="","",IF($J132="Payment",IFERROR(INDEX(_xlfn._xlws.FILTER(MasterPaid[Amount Paid],(MasterPaid[Customer]=$M$3)*(MasterPaid[Date]=$A132)),COUNTIFS($A$6:$A132,$A132,$J$6:$J132,"Payment")),0),0))</f>
        <v/>
      </c>
      <c r="G132" s="331"/>
      <c r="H132" s="427"/>
      <c r="I132" s="330" t="str">
        <f t="shared" si="10"/>
        <v/>
      </c>
      <c r="J132" s="344" t="str" cm="1">
        <f t="array" ref="J132">IFERROR(INDEX(_xlfn.ANCHORARRAY($P$6),ROW()-5,3),"")</f>
        <v/>
      </c>
      <c r="K132" s="432"/>
      <c r="L132" s="348"/>
    </row>
    <row r="133" spans="1:12" ht="23" x14ac:dyDescent="0.25">
      <c r="A133" s="217" t="str" cm="1">
        <f t="array" ref="A133">IFERROR(INDEX(_xlfn.ANCHORARRAY($P$6),ROW()-5,1),"")</f>
        <v/>
      </c>
      <c r="B133" s="344" t="str" cm="1">
        <f t="array" ref="B133">IFERROR(INDEX(_xlfn.ANCHORARRAY($P$6),ROW()-5,2),"")</f>
        <v/>
      </c>
      <c r="C133" s="345" t="str">
        <f>IF($A133="","",IF($J133="DIESEL",SUMIFS(Table1[Quantity],Table1[Customer],$M$3,Table1[Date],$A133,Table1[Bill No.],$B133),IF($J133="PETROL",SUMIFS(Table14[Quantity],Table14[Customer],$M$3,Table14[Date],$A133,Table14[Bill No.],$B133),IF($J133="XtraGreen",SUMIFS(Table146[Quantity],Table146[Company],$M$3,Table146[Date],$A133,Table146[Bill No.],$B133),""))))</f>
        <v/>
      </c>
      <c r="D133" s="346" t="str">
        <f>IF($A133="","",IF($J133="DIESEL",AVERAGEIFS(Table1[RSP],Table1[Customer],$M$3,Table1[Date],$A133,Table1[Bill No.],$B133),IF($J133="PETROL",AVERAGEIFS(Table14[RSP],Table14[Customer],$M$3,Table14[Date],$A133,Table14[Bill No.],$B133),IF($J133="XtraGreen",AVERAGEIFS(Table146[RSP],Table146[Company],$M$3,Table146[Date],$A133,Table146[Bill No.],$B133),IFERROR($E133/$C133,"")))))</f>
        <v/>
      </c>
      <c r="E133" s="347" t="str">
        <f>IF($A133="","",IF($J133="DIESEL",SUMIFS(Table1[Amount],Table1[Customer],$M$3,Table1[Date],$A133,Table1[Bill No.],$B133),IF($J133="PETROL",SUMIFS(Table14[Amount],Table14[Customer],$M$3,Table14[Date],$A133,Table14[Bill No.],$B133),IF($J133="XtraGreen",SUMIFS(Table146[Amount],Table146[Company],$M$3,Table146[Date],$A133,Table146[Bill No.],$B133),SUMIFS('Other Sale'!$D:$D,'Other Sale'!$E:$E,$M$3,'Other Sale'!$C:$C,$J133,'Other Sale'!$A:$A,$A133)))))</f>
        <v/>
      </c>
      <c r="F133" s="347" t="str" cm="1">
        <f t="array" ref="F133">IF($A133="","",IF($J133="Payment",IFERROR(INDEX(_xlfn._xlws.FILTER(MasterPaid[Amount Paid],(MasterPaid[Customer]=$M$3)*(MasterPaid[Date]=$A133)),COUNTIFS($A$6:$A133,$A133,$J$6:$J133,"Payment")),0),0))</f>
        <v/>
      </c>
      <c r="G133" s="331"/>
      <c r="H133" s="427"/>
      <c r="I133" s="330" t="str">
        <f t="shared" si="10"/>
        <v/>
      </c>
      <c r="J133" s="344" t="str" cm="1">
        <f t="array" ref="J133">IFERROR(INDEX(_xlfn.ANCHORARRAY($P$6),ROW()-5,3),"")</f>
        <v/>
      </c>
      <c r="K133" s="432"/>
      <c r="L133" s="348"/>
    </row>
    <row r="134" spans="1:12" ht="23" x14ac:dyDescent="0.25">
      <c r="A134" s="217" t="str" cm="1">
        <f t="array" ref="A134">IFERROR(INDEX(_xlfn.ANCHORARRAY($P$6),ROW()-5,1),"")</f>
        <v/>
      </c>
      <c r="B134" s="344" t="str" cm="1">
        <f t="array" ref="B134">IFERROR(INDEX(_xlfn.ANCHORARRAY($P$6),ROW()-5,2),"")</f>
        <v/>
      </c>
      <c r="C134" s="345" t="str">
        <f>IF($A134="","",IF($J134="DIESEL",SUMIFS(Table1[Quantity],Table1[Customer],$M$3,Table1[Date],$A134,Table1[Bill No.],$B134),IF($J134="PETROL",SUMIFS(Table14[Quantity],Table14[Customer],$M$3,Table14[Date],$A134,Table14[Bill No.],$B134),IF($J134="XtraGreen",SUMIFS(Table146[Quantity],Table146[Company],$M$3,Table146[Date],$A134,Table146[Bill No.],$B134),""))))</f>
        <v/>
      </c>
      <c r="D134" s="346" t="str">
        <f>IF($A134="","",IF($J134="DIESEL",AVERAGEIFS(Table1[RSP],Table1[Customer],$M$3,Table1[Date],$A134,Table1[Bill No.],$B134),IF($J134="PETROL",AVERAGEIFS(Table14[RSP],Table14[Customer],$M$3,Table14[Date],$A134,Table14[Bill No.],$B134),IF($J134="XtraGreen",AVERAGEIFS(Table146[RSP],Table146[Company],$M$3,Table146[Date],$A134,Table146[Bill No.],$B134),IFERROR($E134/$C134,"")))))</f>
        <v/>
      </c>
      <c r="E134" s="347" t="str">
        <f>IF($A134="","",IF($J134="DIESEL",SUMIFS(Table1[Amount],Table1[Customer],$M$3,Table1[Date],$A134,Table1[Bill No.],$B134),IF($J134="PETROL",SUMIFS(Table14[Amount],Table14[Customer],$M$3,Table14[Date],$A134,Table14[Bill No.],$B134),IF($J134="XtraGreen",SUMIFS(Table146[Amount],Table146[Company],$M$3,Table146[Date],$A134,Table146[Bill No.],$B134),SUMIFS('Other Sale'!$D:$D,'Other Sale'!$E:$E,$M$3,'Other Sale'!$C:$C,$J134,'Other Sale'!$A:$A,$A134)))))</f>
        <v/>
      </c>
      <c r="F134" s="347" t="str" cm="1">
        <f t="array" ref="F134">IF($A134="","",IF($J134="Payment",IFERROR(INDEX(_xlfn._xlws.FILTER(MasterPaid[Amount Paid],(MasterPaid[Customer]=$M$3)*(MasterPaid[Date]=$A134)),COUNTIFS($A$6:$A134,$A134,$J$6:$J134,"Payment")),0),0))</f>
        <v/>
      </c>
      <c r="G134" s="331"/>
      <c r="H134" s="427"/>
      <c r="I134" s="330" t="str">
        <f t="shared" si="10"/>
        <v/>
      </c>
      <c r="J134" s="344" t="str" cm="1">
        <f t="array" ref="J134">IFERROR(INDEX(_xlfn.ANCHORARRAY($P$6),ROW()-5,3),"")</f>
        <v/>
      </c>
      <c r="K134" s="432"/>
      <c r="L134" s="348"/>
    </row>
    <row r="135" spans="1:12" ht="23" x14ac:dyDescent="0.25">
      <c r="A135" s="217" t="str" cm="1">
        <f t="array" ref="A135">IFERROR(INDEX(_xlfn.ANCHORARRAY($P$6),ROW()-5,1),"")</f>
        <v/>
      </c>
      <c r="B135" s="344" t="str" cm="1">
        <f t="array" ref="B135">IFERROR(INDEX(_xlfn.ANCHORARRAY($P$6),ROW()-5,2),"")</f>
        <v/>
      </c>
      <c r="C135" s="345" t="str">
        <f>IF($A135="","",IF($J135="DIESEL",SUMIFS(Table1[Quantity],Table1[Customer],$M$3,Table1[Date],$A135,Table1[Bill No.],$B135),IF($J135="PETROL",SUMIFS(Table14[Quantity],Table14[Customer],$M$3,Table14[Date],$A135,Table14[Bill No.],$B135),IF($J135="XtraGreen",SUMIFS(Table146[Quantity],Table146[Company],$M$3,Table146[Date],$A135,Table146[Bill No.],$B135),""))))</f>
        <v/>
      </c>
      <c r="D135" s="346" t="str">
        <f>IF($A135="","",IF($J135="DIESEL",AVERAGEIFS(Table1[RSP],Table1[Customer],$M$3,Table1[Date],$A135,Table1[Bill No.],$B135),IF($J135="PETROL",AVERAGEIFS(Table14[RSP],Table14[Customer],$M$3,Table14[Date],$A135,Table14[Bill No.],$B135),IF($J135="XtraGreen",AVERAGEIFS(Table146[RSP],Table146[Company],$M$3,Table146[Date],$A135,Table146[Bill No.],$B135),IFERROR($E135/$C135,"")))))</f>
        <v/>
      </c>
      <c r="E135" s="347" t="str">
        <f>IF($A135="","",IF($J135="DIESEL",SUMIFS(Table1[Amount],Table1[Customer],$M$3,Table1[Date],$A135,Table1[Bill No.],$B135),IF($J135="PETROL",SUMIFS(Table14[Amount],Table14[Customer],$M$3,Table14[Date],$A135,Table14[Bill No.],$B135),IF($J135="XtraGreen",SUMIFS(Table146[Amount],Table146[Company],$M$3,Table146[Date],$A135,Table146[Bill No.],$B135),SUMIFS('Other Sale'!$D:$D,'Other Sale'!$E:$E,$M$3,'Other Sale'!$C:$C,$J135,'Other Sale'!$A:$A,$A135)))))</f>
        <v/>
      </c>
      <c r="F135" s="347" t="str" cm="1">
        <f t="array" ref="F135">IF($A135="","",IF($J135="Payment",IFERROR(INDEX(_xlfn._xlws.FILTER(MasterPaid[Amount Paid],(MasterPaid[Customer]=$M$3)*(MasterPaid[Date]=$A135)),COUNTIFS($A$6:$A135,$A135,$J$6:$J135,"Payment")),0),0))</f>
        <v/>
      </c>
      <c r="G135" s="331"/>
      <c r="H135" s="427"/>
      <c r="I135" s="330" t="str">
        <f t="shared" si="10"/>
        <v/>
      </c>
      <c r="J135" s="344" t="str" cm="1">
        <f t="array" ref="J135">IFERROR(INDEX(_xlfn.ANCHORARRAY($P$6),ROW()-5,3),"")</f>
        <v/>
      </c>
      <c r="K135" s="432"/>
      <c r="L135" s="348"/>
    </row>
    <row r="136" spans="1:12" ht="23" x14ac:dyDescent="0.25">
      <c r="A136" s="217" t="str" cm="1">
        <f t="array" ref="A136">IFERROR(INDEX(_xlfn.ANCHORARRAY($P$6),ROW()-5,1),"")</f>
        <v/>
      </c>
      <c r="B136" s="344" t="str" cm="1">
        <f t="array" ref="B136">IFERROR(INDEX(_xlfn.ANCHORARRAY($P$6),ROW()-5,2),"")</f>
        <v/>
      </c>
      <c r="C136" s="345" t="str">
        <f>IF($A136="","",IF($J136="DIESEL",SUMIFS(Table1[Quantity],Table1[Customer],$M$3,Table1[Date],$A136,Table1[Bill No.],$B136),IF($J136="PETROL",SUMIFS(Table14[Quantity],Table14[Customer],$M$3,Table14[Date],$A136,Table14[Bill No.],$B136),IF($J136="XtraGreen",SUMIFS(Table146[Quantity],Table146[Company],$M$3,Table146[Date],$A136,Table146[Bill No.],$B136),""))))</f>
        <v/>
      </c>
      <c r="D136" s="346" t="str">
        <f>IF($A136="","",IF($J136="DIESEL",AVERAGEIFS(Table1[RSP],Table1[Customer],$M$3,Table1[Date],$A136,Table1[Bill No.],$B136),IF($J136="PETROL",AVERAGEIFS(Table14[RSP],Table14[Customer],$M$3,Table14[Date],$A136,Table14[Bill No.],$B136),IF($J136="XtraGreen",AVERAGEIFS(Table146[RSP],Table146[Company],$M$3,Table146[Date],$A136,Table146[Bill No.],$B136),IFERROR($E136/$C136,"")))))</f>
        <v/>
      </c>
      <c r="E136" s="347" t="str">
        <f>IF($A136="","",IF($J136="DIESEL",SUMIFS(Table1[Amount],Table1[Customer],$M$3,Table1[Date],$A136,Table1[Bill No.],$B136),IF($J136="PETROL",SUMIFS(Table14[Amount],Table14[Customer],$M$3,Table14[Date],$A136,Table14[Bill No.],$B136),IF($J136="XtraGreen",SUMIFS(Table146[Amount],Table146[Company],$M$3,Table146[Date],$A136,Table146[Bill No.],$B136),SUMIFS('Other Sale'!$D:$D,'Other Sale'!$E:$E,$M$3,'Other Sale'!$C:$C,$J136,'Other Sale'!$A:$A,$A136)))))</f>
        <v/>
      </c>
      <c r="F136" s="347" t="str" cm="1">
        <f t="array" ref="F136">IF($A136="","",IF($J136="Payment",IFERROR(INDEX(_xlfn._xlws.FILTER(MasterPaid[Amount Paid],(MasterPaid[Customer]=$M$3)*(MasterPaid[Date]=$A136)),COUNTIFS($A$6:$A136,$A136,$J$6:$J136,"Payment")),0),0))</f>
        <v/>
      </c>
      <c r="G136" s="331"/>
      <c r="H136" s="427"/>
      <c r="I136" s="330" t="str">
        <f t="shared" ref="I136:I199" si="11">IF($A136="","",I135+N(E136)-N(F136)-N(G136)-N(H136))</f>
        <v/>
      </c>
      <c r="J136" s="344" t="str" cm="1">
        <f t="array" ref="J136">IFERROR(INDEX(_xlfn.ANCHORARRAY($P$6),ROW()-5,3),"")</f>
        <v/>
      </c>
      <c r="K136" s="432"/>
      <c r="L136" s="348"/>
    </row>
    <row r="137" spans="1:12" ht="23" x14ac:dyDescent="0.25">
      <c r="A137" s="217" t="str" cm="1">
        <f t="array" ref="A137">IFERROR(INDEX(_xlfn.ANCHORARRAY($P$6),ROW()-5,1),"")</f>
        <v/>
      </c>
      <c r="B137" s="344" t="str" cm="1">
        <f t="array" ref="B137">IFERROR(INDEX(_xlfn.ANCHORARRAY($P$6),ROW()-5,2),"")</f>
        <v/>
      </c>
      <c r="C137" s="345" t="str">
        <f>IF($A137="","",IF($J137="DIESEL",SUMIFS(Table1[Quantity],Table1[Customer],$M$3,Table1[Date],$A137,Table1[Bill No.],$B137),IF($J137="PETROL",SUMIFS(Table14[Quantity],Table14[Customer],$M$3,Table14[Date],$A137,Table14[Bill No.],$B137),IF($J137="XtraGreen",SUMIFS(Table146[Quantity],Table146[Company],$M$3,Table146[Date],$A137,Table146[Bill No.],$B137),""))))</f>
        <v/>
      </c>
      <c r="D137" s="346" t="str">
        <f>IF($A137="","",IF($J137="DIESEL",AVERAGEIFS(Table1[RSP],Table1[Customer],$M$3,Table1[Date],$A137,Table1[Bill No.],$B137),IF($J137="PETROL",AVERAGEIFS(Table14[RSP],Table14[Customer],$M$3,Table14[Date],$A137,Table14[Bill No.],$B137),IF($J137="XtraGreen",AVERAGEIFS(Table146[RSP],Table146[Company],$M$3,Table146[Date],$A137,Table146[Bill No.],$B137),IFERROR($E137/$C137,"")))))</f>
        <v/>
      </c>
      <c r="E137" s="347" t="str">
        <f>IF($A137="","",IF($J137="DIESEL",SUMIFS(Table1[Amount],Table1[Customer],$M$3,Table1[Date],$A137,Table1[Bill No.],$B137),IF($J137="PETROL",SUMIFS(Table14[Amount],Table14[Customer],$M$3,Table14[Date],$A137,Table14[Bill No.],$B137),IF($J137="XtraGreen",SUMIFS(Table146[Amount],Table146[Company],$M$3,Table146[Date],$A137,Table146[Bill No.],$B137),SUMIFS('Other Sale'!$D:$D,'Other Sale'!$E:$E,$M$3,'Other Sale'!$C:$C,$J137,'Other Sale'!$A:$A,$A137)))))</f>
        <v/>
      </c>
      <c r="F137" s="347" t="str" cm="1">
        <f t="array" ref="F137">IF($A137="","",IF($J137="Payment",IFERROR(INDEX(_xlfn._xlws.FILTER(MasterPaid[Amount Paid],(MasterPaid[Customer]=$M$3)*(MasterPaid[Date]=$A137)),COUNTIFS($A$6:$A137,$A137,$J$6:$J137,"Payment")),0),0))</f>
        <v/>
      </c>
      <c r="G137" s="331"/>
      <c r="H137" s="427"/>
      <c r="I137" s="330" t="str">
        <f t="shared" si="11"/>
        <v/>
      </c>
      <c r="J137" s="344" t="str" cm="1">
        <f t="array" ref="J137">IFERROR(INDEX(_xlfn.ANCHORARRAY($P$6),ROW()-5,3),"")</f>
        <v/>
      </c>
      <c r="K137" s="432"/>
      <c r="L137" s="348"/>
    </row>
    <row r="138" spans="1:12" ht="23" x14ac:dyDescent="0.25">
      <c r="A138" s="217" t="str" cm="1">
        <f t="array" ref="A138">IFERROR(INDEX(_xlfn.ANCHORARRAY($P$6),ROW()-5,1),"")</f>
        <v/>
      </c>
      <c r="B138" s="344" t="str" cm="1">
        <f t="array" ref="B138">IFERROR(INDEX(_xlfn.ANCHORARRAY($P$6),ROW()-5,2),"")</f>
        <v/>
      </c>
      <c r="C138" s="345" t="str">
        <f>IF($A138="","",IF($J138="DIESEL",SUMIFS(Table1[Quantity],Table1[Customer],$M$3,Table1[Date],$A138,Table1[Bill No.],$B138),IF($J138="PETROL",SUMIFS(Table14[Quantity],Table14[Customer],$M$3,Table14[Date],$A138,Table14[Bill No.],$B138),IF($J138="XtraGreen",SUMIFS(Table146[Quantity],Table146[Company],$M$3,Table146[Date],$A138,Table146[Bill No.],$B138),""))))</f>
        <v/>
      </c>
      <c r="D138" s="346" t="str">
        <f>IF($A138="","",IF($J138="DIESEL",AVERAGEIFS(Table1[RSP],Table1[Customer],$M$3,Table1[Date],$A138,Table1[Bill No.],$B138),IF($J138="PETROL",AVERAGEIFS(Table14[RSP],Table14[Customer],$M$3,Table14[Date],$A138,Table14[Bill No.],$B138),IF($J138="XtraGreen",AVERAGEIFS(Table146[RSP],Table146[Company],$M$3,Table146[Date],$A138,Table146[Bill No.],$B138),IFERROR($E138/$C138,"")))))</f>
        <v/>
      </c>
      <c r="E138" s="347" t="str">
        <f>IF($A138="","",IF($J138="DIESEL",SUMIFS(Table1[Amount],Table1[Customer],$M$3,Table1[Date],$A138,Table1[Bill No.],$B138),IF($J138="PETROL",SUMIFS(Table14[Amount],Table14[Customer],$M$3,Table14[Date],$A138,Table14[Bill No.],$B138),IF($J138="XtraGreen",SUMIFS(Table146[Amount],Table146[Company],$M$3,Table146[Date],$A138,Table146[Bill No.],$B138),SUMIFS('Other Sale'!$D:$D,'Other Sale'!$E:$E,$M$3,'Other Sale'!$C:$C,$J138,'Other Sale'!$A:$A,$A138)))))</f>
        <v/>
      </c>
      <c r="F138" s="347" t="str" cm="1">
        <f t="array" ref="F138">IF($A138="","",IF($J138="Payment",IFERROR(INDEX(_xlfn._xlws.FILTER(MasterPaid[Amount Paid],(MasterPaid[Customer]=$M$3)*(MasterPaid[Date]=$A138)),COUNTIFS($A$6:$A138,$A138,$J$6:$J138,"Payment")),0),0))</f>
        <v/>
      </c>
      <c r="G138" s="331"/>
      <c r="H138" s="427"/>
      <c r="I138" s="330" t="str">
        <f t="shared" si="11"/>
        <v/>
      </c>
      <c r="J138" s="344" t="str" cm="1">
        <f t="array" ref="J138">IFERROR(INDEX(_xlfn.ANCHORARRAY($P$6),ROW()-5,3),"")</f>
        <v/>
      </c>
      <c r="K138" s="432"/>
      <c r="L138" s="348"/>
    </row>
    <row r="139" spans="1:12" ht="23" x14ac:dyDescent="0.25">
      <c r="A139" s="217" t="str" cm="1">
        <f t="array" ref="A139">IFERROR(INDEX(_xlfn.ANCHORARRAY($P$6),ROW()-5,1),"")</f>
        <v/>
      </c>
      <c r="B139" s="344" t="str" cm="1">
        <f t="array" ref="B139">IFERROR(INDEX(_xlfn.ANCHORARRAY($P$6),ROW()-5,2),"")</f>
        <v/>
      </c>
      <c r="C139" s="345" t="str">
        <f>IF($A139="","",IF($J139="DIESEL",SUMIFS(Table1[Quantity],Table1[Customer],$M$3,Table1[Date],$A139,Table1[Bill No.],$B139),IF($J139="PETROL",SUMIFS(Table14[Quantity],Table14[Customer],$M$3,Table14[Date],$A139,Table14[Bill No.],$B139),IF($J139="XtraGreen",SUMIFS(Table146[Quantity],Table146[Company],$M$3,Table146[Date],$A139,Table146[Bill No.],$B139),""))))</f>
        <v/>
      </c>
      <c r="D139" s="346" t="str">
        <f>IF($A139="","",IF($J139="DIESEL",AVERAGEIFS(Table1[RSP],Table1[Customer],$M$3,Table1[Date],$A139,Table1[Bill No.],$B139),IF($J139="PETROL",AVERAGEIFS(Table14[RSP],Table14[Customer],$M$3,Table14[Date],$A139,Table14[Bill No.],$B139),IF($J139="XtraGreen",AVERAGEIFS(Table146[RSP],Table146[Company],$M$3,Table146[Date],$A139,Table146[Bill No.],$B139),IFERROR($E139/$C139,"")))))</f>
        <v/>
      </c>
      <c r="E139" s="347" t="str">
        <f>IF($A139="","",IF($J139="DIESEL",SUMIFS(Table1[Amount],Table1[Customer],$M$3,Table1[Date],$A139,Table1[Bill No.],$B139),IF($J139="PETROL",SUMIFS(Table14[Amount],Table14[Customer],$M$3,Table14[Date],$A139,Table14[Bill No.],$B139),IF($J139="XtraGreen",SUMIFS(Table146[Amount],Table146[Company],$M$3,Table146[Date],$A139,Table146[Bill No.],$B139),SUMIFS('Other Sale'!$D:$D,'Other Sale'!$E:$E,$M$3,'Other Sale'!$C:$C,$J139,'Other Sale'!$A:$A,$A139)))))</f>
        <v/>
      </c>
      <c r="F139" s="347" t="str" cm="1">
        <f t="array" ref="F139">IF($A139="","",IF($J139="Payment",IFERROR(INDEX(_xlfn._xlws.FILTER(MasterPaid[Amount Paid],(MasterPaid[Customer]=$M$3)*(MasterPaid[Date]=$A139)),COUNTIFS($A$6:$A139,$A139,$J$6:$J139,"Payment")),0),0))</f>
        <v/>
      </c>
      <c r="G139" s="331"/>
      <c r="H139" s="427"/>
      <c r="I139" s="330" t="str">
        <f t="shared" si="11"/>
        <v/>
      </c>
      <c r="J139" s="344" t="str" cm="1">
        <f t="array" ref="J139">IFERROR(INDEX(_xlfn.ANCHORARRAY($P$6),ROW()-5,3),"")</f>
        <v/>
      </c>
      <c r="K139" s="432"/>
      <c r="L139" s="348"/>
    </row>
    <row r="140" spans="1:12" ht="23" x14ac:dyDescent="0.25">
      <c r="A140" s="217" t="str" cm="1">
        <f t="array" ref="A140">IFERROR(INDEX(_xlfn.ANCHORARRAY($P$6),ROW()-5,1),"")</f>
        <v/>
      </c>
      <c r="B140" s="344" t="str" cm="1">
        <f t="array" ref="B140">IFERROR(INDEX(_xlfn.ANCHORARRAY($P$6),ROW()-5,2),"")</f>
        <v/>
      </c>
      <c r="C140" s="345" t="str">
        <f>IF($A140="","",IF($J140="DIESEL",SUMIFS(Table1[Quantity],Table1[Customer],$M$3,Table1[Date],$A140,Table1[Bill No.],$B140),IF($J140="PETROL",SUMIFS(Table14[Quantity],Table14[Customer],$M$3,Table14[Date],$A140,Table14[Bill No.],$B140),IF($J140="XtraGreen",SUMIFS(Table146[Quantity],Table146[Company],$M$3,Table146[Date],$A140,Table146[Bill No.],$B140),""))))</f>
        <v/>
      </c>
      <c r="D140" s="346" t="str">
        <f>IF($A140="","",IF($J140="DIESEL",AVERAGEIFS(Table1[RSP],Table1[Customer],$M$3,Table1[Date],$A140,Table1[Bill No.],$B140),IF($J140="PETROL",AVERAGEIFS(Table14[RSP],Table14[Customer],$M$3,Table14[Date],$A140,Table14[Bill No.],$B140),IF($J140="XtraGreen",AVERAGEIFS(Table146[RSP],Table146[Company],$M$3,Table146[Date],$A140,Table146[Bill No.],$B140),IFERROR($E140/$C140,"")))))</f>
        <v/>
      </c>
      <c r="E140" s="347" t="str">
        <f>IF($A140="","",IF($J140="DIESEL",SUMIFS(Table1[Amount],Table1[Customer],$M$3,Table1[Date],$A140,Table1[Bill No.],$B140),IF($J140="PETROL",SUMIFS(Table14[Amount],Table14[Customer],$M$3,Table14[Date],$A140,Table14[Bill No.],$B140),IF($J140="XtraGreen",SUMIFS(Table146[Amount],Table146[Company],$M$3,Table146[Date],$A140,Table146[Bill No.],$B140),SUMIFS('Other Sale'!$D:$D,'Other Sale'!$E:$E,$M$3,'Other Sale'!$C:$C,$J140,'Other Sale'!$A:$A,$A140)))))</f>
        <v/>
      </c>
      <c r="F140" s="347" t="str" cm="1">
        <f t="array" ref="F140">IF($A140="","",IF($J140="Payment",IFERROR(INDEX(_xlfn._xlws.FILTER(MasterPaid[Amount Paid],(MasterPaid[Customer]=$M$3)*(MasterPaid[Date]=$A140)),COUNTIFS($A$6:$A140,$A140,$J$6:$J140,"Payment")),0),0))</f>
        <v/>
      </c>
      <c r="G140" s="331"/>
      <c r="H140" s="427"/>
      <c r="I140" s="330" t="str">
        <f t="shared" si="11"/>
        <v/>
      </c>
      <c r="J140" s="344" t="str" cm="1">
        <f t="array" ref="J140">IFERROR(INDEX(_xlfn.ANCHORARRAY($P$6),ROW()-5,3),"")</f>
        <v/>
      </c>
      <c r="K140" s="432"/>
      <c r="L140" s="348"/>
    </row>
    <row r="141" spans="1:12" ht="23" x14ac:dyDescent="0.25">
      <c r="A141" s="217" t="str" cm="1">
        <f t="array" ref="A141">IFERROR(INDEX(_xlfn.ANCHORARRAY($P$6),ROW()-5,1),"")</f>
        <v/>
      </c>
      <c r="B141" s="344" t="str" cm="1">
        <f t="array" ref="B141">IFERROR(INDEX(_xlfn.ANCHORARRAY($P$6),ROW()-5,2),"")</f>
        <v/>
      </c>
      <c r="C141" s="345" t="str">
        <f>IF($A141="","",IF($J141="DIESEL",SUMIFS(Table1[Quantity],Table1[Customer],$M$3,Table1[Date],$A141,Table1[Bill No.],$B141),IF($J141="PETROL",SUMIFS(Table14[Quantity],Table14[Customer],$M$3,Table14[Date],$A141,Table14[Bill No.],$B141),IF($J141="XtraGreen",SUMIFS(Table146[Quantity],Table146[Company],$M$3,Table146[Date],$A141,Table146[Bill No.],$B141),""))))</f>
        <v/>
      </c>
      <c r="D141" s="346" t="str">
        <f>IF($A141="","",IF($J141="DIESEL",AVERAGEIFS(Table1[RSP],Table1[Customer],$M$3,Table1[Date],$A141,Table1[Bill No.],$B141),IF($J141="PETROL",AVERAGEIFS(Table14[RSP],Table14[Customer],$M$3,Table14[Date],$A141,Table14[Bill No.],$B141),IF($J141="XtraGreen",AVERAGEIFS(Table146[RSP],Table146[Company],$M$3,Table146[Date],$A141,Table146[Bill No.],$B141),IFERROR($E141/$C141,"")))))</f>
        <v/>
      </c>
      <c r="E141" s="347" t="str">
        <f>IF($A141="","",IF($J141="DIESEL",SUMIFS(Table1[Amount],Table1[Customer],$M$3,Table1[Date],$A141,Table1[Bill No.],$B141),IF($J141="PETROL",SUMIFS(Table14[Amount],Table14[Customer],$M$3,Table14[Date],$A141,Table14[Bill No.],$B141),IF($J141="XtraGreen",SUMIFS(Table146[Amount],Table146[Company],$M$3,Table146[Date],$A141,Table146[Bill No.],$B141),SUMIFS('Other Sale'!$D:$D,'Other Sale'!$E:$E,$M$3,'Other Sale'!$C:$C,$J141,'Other Sale'!$A:$A,$A141)))))</f>
        <v/>
      </c>
      <c r="F141" s="347" t="str" cm="1">
        <f t="array" ref="F141">IF($A141="","",IF($J141="Payment",IFERROR(INDEX(_xlfn._xlws.FILTER(MasterPaid[Amount Paid],(MasterPaid[Customer]=$M$3)*(MasterPaid[Date]=$A141)),COUNTIFS($A$6:$A141,$A141,$J$6:$J141,"Payment")),0),0))</f>
        <v/>
      </c>
      <c r="G141" s="331"/>
      <c r="H141" s="427"/>
      <c r="I141" s="330" t="str">
        <f t="shared" si="11"/>
        <v/>
      </c>
      <c r="J141" s="344" t="str" cm="1">
        <f t="array" ref="J141">IFERROR(INDEX(_xlfn.ANCHORARRAY($P$6),ROW()-5,3),"")</f>
        <v/>
      </c>
      <c r="K141" s="432"/>
      <c r="L141" s="348"/>
    </row>
    <row r="142" spans="1:12" ht="23" x14ac:dyDescent="0.25">
      <c r="A142" s="217" t="str" cm="1">
        <f t="array" ref="A142">IFERROR(INDEX(_xlfn.ANCHORARRAY($P$6),ROW()-5,1),"")</f>
        <v/>
      </c>
      <c r="B142" s="344" t="str" cm="1">
        <f t="array" ref="B142">IFERROR(INDEX(_xlfn.ANCHORARRAY($P$6),ROW()-5,2),"")</f>
        <v/>
      </c>
      <c r="C142" s="345" t="str">
        <f>IF($A142="","",IF($J142="DIESEL",SUMIFS(Table1[Quantity],Table1[Customer],$M$3,Table1[Date],$A142,Table1[Bill No.],$B142),IF($J142="PETROL",SUMIFS(Table14[Quantity],Table14[Customer],$M$3,Table14[Date],$A142,Table14[Bill No.],$B142),IF($J142="XtraGreen",SUMIFS(Table146[Quantity],Table146[Company],$M$3,Table146[Date],$A142,Table146[Bill No.],$B142),""))))</f>
        <v/>
      </c>
      <c r="D142" s="346" t="str">
        <f>IF($A142="","",IF($J142="DIESEL",AVERAGEIFS(Table1[RSP],Table1[Customer],$M$3,Table1[Date],$A142,Table1[Bill No.],$B142),IF($J142="PETROL",AVERAGEIFS(Table14[RSP],Table14[Customer],$M$3,Table14[Date],$A142,Table14[Bill No.],$B142),IF($J142="XtraGreen",AVERAGEIFS(Table146[RSP],Table146[Company],$M$3,Table146[Date],$A142,Table146[Bill No.],$B142),IFERROR($E142/$C142,"")))))</f>
        <v/>
      </c>
      <c r="E142" s="347" t="str">
        <f>IF($A142="","",IF($J142="DIESEL",SUMIFS(Table1[Amount],Table1[Customer],$M$3,Table1[Date],$A142,Table1[Bill No.],$B142),IF($J142="PETROL",SUMIFS(Table14[Amount],Table14[Customer],$M$3,Table14[Date],$A142,Table14[Bill No.],$B142),IF($J142="XtraGreen",SUMIFS(Table146[Amount],Table146[Company],$M$3,Table146[Date],$A142,Table146[Bill No.],$B142),SUMIFS('Other Sale'!$D:$D,'Other Sale'!$E:$E,$M$3,'Other Sale'!$C:$C,$J142,'Other Sale'!$A:$A,$A142)))))</f>
        <v/>
      </c>
      <c r="F142" s="347" t="str" cm="1">
        <f t="array" ref="F142">IF($A142="","",IF($J142="Payment",IFERROR(INDEX(_xlfn._xlws.FILTER(MasterPaid[Amount Paid],(MasterPaid[Customer]=$M$3)*(MasterPaid[Date]=$A142)),COUNTIFS($A$6:$A142,$A142,$J$6:$J142,"Payment")),0),0))</f>
        <v/>
      </c>
      <c r="G142" s="331"/>
      <c r="H142" s="427"/>
      <c r="I142" s="330" t="str">
        <f t="shared" si="11"/>
        <v/>
      </c>
      <c r="J142" s="344" t="str" cm="1">
        <f t="array" ref="J142">IFERROR(INDEX(_xlfn.ANCHORARRAY($P$6),ROW()-5,3),"")</f>
        <v/>
      </c>
      <c r="K142" s="432"/>
      <c r="L142" s="348"/>
    </row>
    <row r="143" spans="1:12" ht="23" x14ac:dyDescent="0.25">
      <c r="A143" s="217" t="str" cm="1">
        <f t="array" ref="A143">IFERROR(INDEX(_xlfn.ANCHORARRAY($P$6),ROW()-5,1),"")</f>
        <v/>
      </c>
      <c r="B143" s="344" t="str" cm="1">
        <f t="array" ref="B143">IFERROR(INDEX(_xlfn.ANCHORARRAY($P$6),ROW()-5,2),"")</f>
        <v/>
      </c>
      <c r="C143" s="345" t="str">
        <f>IF($A143="","",IF($J143="DIESEL",SUMIFS(Table1[Quantity],Table1[Customer],$M$3,Table1[Date],$A143,Table1[Bill No.],$B143),IF($J143="PETROL",SUMIFS(Table14[Quantity],Table14[Customer],$M$3,Table14[Date],$A143,Table14[Bill No.],$B143),IF($J143="XtraGreen",SUMIFS(Table146[Quantity],Table146[Company],$M$3,Table146[Date],$A143,Table146[Bill No.],$B143),""))))</f>
        <v/>
      </c>
      <c r="D143" s="346" t="str">
        <f>IF($A143="","",IF($J143="DIESEL",AVERAGEIFS(Table1[RSP],Table1[Customer],$M$3,Table1[Date],$A143,Table1[Bill No.],$B143),IF($J143="PETROL",AVERAGEIFS(Table14[RSP],Table14[Customer],$M$3,Table14[Date],$A143,Table14[Bill No.],$B143),IF($J143="XtraGreen",AVERAGEIFS(Table146[RSP],Table146[Company],$M$3,Table146[Date],$A143,Table146[Bill No.],$B143),IFERROR($E143/$C143,"")))))</f>
        <v/>
      </c>
      <c r="E143" s="347" t="str">
        <f>IF($A143="","",IF($J143="DIESEL",SUMIFS(Table1[Amount],Table1[Customer],$M$3,Table1[Date],$A143,Table1[Bill No.],$B143),IF($J143="PETROL",SUMIFS(Table14[Amount],Table14[Customer],$M$3,Table14[Date],$A143,Table14[Bill No.],$B143),IF($J143="XtraGreen",SUMIFS(Table146[Amount],Table146[Company],$M$3,Table146[Date],$A143,Table146[Bill No.],$B143),SUMIFS('Other Sale'!$D:$D,'Other Sale'!$E:$E,$M$3,'Other Sale'!$C:$C,$J143,'Other Sale'!$A:$A,$A143)))))</f>
        <v/>
      </c>
      <c r="F143" s="347" t="str" cm="1">
        <f t="array" ref="F143">IF($A143="","",IF($J143="Payment",IFERROR(INDEX(_xlfn._xlws.FILTER(MasterPaid[Amount Paid],(MasterPaid[Customer]=$M$3)*(MasterPaid[Date]=$A143)),COUNTIFS($A$6:$A143,$A143,$J$6:$J143,"Payment")),0),0))</f>
        <v/>
      </c>
      <c r="G143" s="331"/>
      <c r="H143" s="427"/>
      <c r="I143" s="330" t="str">
        <f t="shared" si="11"/>
        <v/>
      </c>
      <c r="J143" s="344" t="str" cm="1">
        <f t="array" ref="J143">IFERROR(INDEX(_xlfn.ANCHORARRAY($P$6),ROW()-5,3),"")</f>
        <v/>
      </c>
      <c r="K143" s="432"/>
      <c r="L143" s="348"/>
    </row>
    <row r="144" spans="1:12" ht="23" x14ac:dyDescent="0.25">
      <c r="A144" s="217" t="str" cm="1">
        <f t="array" ref="A144">IFERROR(INDEX(_xlfn.ANCHORARRAY($P$6),ROW()-5,1),"")</f>
        <v/>
      </c>
      <c r="B144" s="344" t="str" cm="1">
        <f t="array" ref="B144">IFERROR(INDEX(_xlfn.ANCHORARRAY($P$6),ROW()-5,2),"")</f>
        <v/>
      </c>
      <c r="C144" s="345" t="str">
        <f>IF($A144="","",IF($J144="DIESEL",SUMIFS(Table1[Quantity],Table1[Customer],$M$3,Table1[Date],$A144,Table1[Bill No.],$B144),IF($J144="PETROL",SUMIFS(Table14[Quantity],Table14[Customer],$M$3,Table14[Date],$A144,Table14[Bill No.],$B144),IF($J144="XtraGreen",SUMIFS(Table146[Quantity],Table146[Company],$M$3,Table146[Date],$A144,Table146[Bill No.],$B144),""))))</f>
        <v/>
      </c>
      <c r="D144" s="346" t="str">
        <f>IF($A144="","",IF($J144="DIESEL",AVERAGEIFS(Table1[RSP],Table1[Customer],$M$3,Table1[Date],$A144,Table1[Bill No.],$B144),IF($J144="PETROL",AVERAGEIFS(Table14[RSP],Table14[Customer],$M$3,Table14[Date],$A144,Table14[Bill No.],$B144),IF($J144="XtraGreen",AVERAGEIFS(Table146[RSP],Table146[Company],$M$3,Table146[Date],$A144,Table146[Bill No.],$B144),IFERROR($E144/$C144,"")))))</f>
        <v/>
      </c>
      <c r="E144" s="347" t="str">
        <f>IF($A144="","",IF($J144="DIESEL",SUMIFS(Table1[Amount],Table1[Customer],$M$3,Table1[Date],$A144,Table1[Bill No.],$B144),IF($J144="PETROL",SUMIFS(Table14[Amount],Table14[Customer],$M$3,Table14[Date],$A144,Table14[Bill No.],$B144),IF($J144="XtraGreen",SUMIFS(Table146[Amount],Table146[Company],$M$3,Table146[Date],$A144,Table146[Bill No.],$B144),SUMIFS('Other Sale'!$D:$D,'Other Sale'!$E:$E,$M$3,'Other Sale'!$C:$C,$J144,'Other Sale'!$A:$A,$A144)))))</f>
        <v/>
      </c>
      <c r="F144" s="347" t="str" cm="1">
        <f t="array" ref="F144">IF($A144="","",IF($J144="Payment",IFERROR(INDEX(_xlfn._xlws.FILTER(MasterPaid[Amount Paid],(MasterPaid[Customer]=$M$3)*(MasterPaid[Date]=$A144)),COUNTIFS($A$6:$A144,$A144,$J$6:$J144,"Payment")),0),0))</f>
        <v/>
      </c>
      <c r="G144" s="331"/>
      <c r="H144" s="427"/>
      <c r="I144" s="330" t="str">
        <f t="shared" si="11"/>
        <v/>
      </c>
      <c r="J144" s="344" t="str" cm="1">
        <f t="array" ref="J144">IFERROR(INDEX(_xlfn.ANCHORARRAY($P$6),ROW()-5,3),"")</f>
        <v/>
      </c>
      <c r="K144" s="432"/>
      <c r="L144" s="348"/>
    </row>
    <row r="145" spans="1:12" ht="23" x14ac:dyDescent="0.25">
      <c r="A145" s="217" t="str" cm="1">
        <f t="array" ref="A145">IFERROR(INDEX(_xlfn.ANCHORARRAY($P$6),ROW()-5,1),"")</f>
        <v/>
      </c>
      <c r="B145" s="344" t="str" cm="1">
        <f t="array" ref="B145">IFERROR(INDEX(_xlfn.ANCHORARRAY($P$6),ROW()-5,2),"")</f>
        <v/>
      </c>
      <c r="C145" s="345" t="str">
        <f>IF($A145="","",IF($J145="DIESEL",SUMIFS(Table1[Quantity],Table1[Customer],$M$3,Table1[Date],$A145,Table1[Bill No.],$B145),IF($J145="PETROL",SUMIFS(Table14[Quantity],Table14[Customer],$M$3,Table14[Date],$A145,Table14[Bill No.],$B145),IF($J145="XtraGreen",SUMIFS(Table146[Quantity],Table146[Company],$M$3,Table146[Date],$A145,Table146[Bill No.],$B145),""))))</f>
        <v/>
      </c>
      <c r="D145" s="346" t="str">
        <f>IF($A145="","",IF($J145="DIESEL",AVERAGEIFS(Table1[RSP],Table1[Customer],$M$3,Table1[Date],$A145,Table1[Bill No.],$B145),IF($J145="PETROL",AVERAGEIFS(Table14[RSP],Table14[Customer],$M$3,Table14[Date],$A145,Table14[Bill No.],$B145),IF($J145="XtraGreen",AVERAGEIFS(Table146[RSP],Table146[Company],$M$3,Table146[Date],$A145,Table146[Bill No.],$B145),IFERROR($E145/$C145,"")))))</f>
        <v/>
      </c>
      <c r="E145" s="347" t="str">
        <f>IF($A145="","",IF($J145="DIESEL",SUMIFS(Table1[Amount],Table1[Customer],$M$3,Table1[Date],$A145,Table1[Bill No.],$B145),IF($J145="PETROL",SUMIFS(Table14[Amount],Table14[Customer],$M$3,Table14[Date],$A145,Table14[Bill No.],$B145),IF($J145="XtraGreen",SUMIFS(Table146[Amount],Table146[Company],$M$3,Table146[Date],$A145,Table146[Bill No.],$B145),SUMIFS('Other Sale'!$D:$D,'Other Sale'!$E:$E,$M$3,'Other Sale'!$C:$C,$J145,'Other Sale'!$A:$A,$A145)))))</f>
        <v/>
      </c>
      <c r="F145" s="347" t="str" cm="1">
        <f t="array" ref="F145">IF($A145="","",IF($J145="Payment",IFERROR(INDEX(_xlfn._xlws.FILTER(MasterPaid[Amount Paid],(MasterPaid[Customer]=$M$3)*(MasterPaid[Date]=$A145)),COUNTIFS($A$6:$A145,$A145,$J$6:$J145,"Payment")),0),0))</f>
        <v/>
      </c>
      <c r="G145" s="331"/>
      <c r="H145" s="427"/>
      <c r="I145" s="330" t="str">
        <f t="shared" si="11"/>
        <v/>
      </c>
      <c r="J145" s="344" t="str" cm="1">
        <f t="array" ref="J145">IFERROR(INDEX(_xlfn.ANCHORARRAY($P$6),ROW()-5,3),"")</f>
        <v/>
      </c>
      <c r="K145" s="432"/>
      <c r="L145" s="348"/>
    </row>
    <row r="146" spans="1:12" ht="23" x14ac:dyDescent="0.25">
      <c r="A146" s="217" t="str" cm="1">
        <f t="array" ref="A146">IFERROR(INDEX(_xlfn.ANCHORARRAY($P$6),ROW()-5,1),"")</f>
        <v/>
      </c>
      <c r="B146" s="344" t="str" cm="1">
        <f t="array" ref="B146">IFERROR(INDEX(_xlfn.ANCHORARRAY($P$6),ROW()-5,2),"")</f>
        <v/>
      </c>
      <c r="C146" s="345" t="str">
        <f>IF($A146="","",IF($J146="DIESEL",SUMIFS(Table1[Quantity],Table1[Customer],$M$3,Table1[Date],$A146,Table1[Bill No.],$B146),IF($J146="PETROL",SUMIFS(Table14[Quantity],Table14[Customer],$M$3,Table14[Date],$A146,Table14[Bill No.],$B146),IF($J146="XtraGreen",SUMIFS(Table146[Quantity],Table146[Company],$M$3,Table146[Date],$A146,Table146[Bill No.],$B146),""))))</f>
        <v/>
      </c>
      <c r="D146" s="346" t="str">
        <f>IF($A146="","",IF($J146="DIESEL",AVERAGEIFS(Table1[RSP],Table1[Customer],$M$3,Table1[Date],$A146,Table1[Bill No.],$B146),IF($J146="PETROL",AVERAGEIFS(Table14[RSP],Table14[Customer],$M$3,Table14[Date],$A146,Table14[Bill No.],$B146),IF($J146="XtraGreen",AVERAGEIFS(Table146[RSP],Table146[Company],$M$3,Table146[Date],$A146,Table146[Bill No.],$B146),IFERROR($E146/$C146,"")))))</f>
        <v/>
      </c>
      <c r="E146" s="347" t="str">
        <f>IF($A146="","",IF($J146="DIESEL",SUMIFS(Table1[Amount],Table1[Customer],$M$3,Table1[Date],$A146,Table1[Bill No.],$B146),IF($J146="PETROL",SUMIFS(Table14[Amount],Table14[Customer],$M$3,Table14[Date],$A146,Table14[Bill No.],$B146),IF($J146="XtraGreen",SUMIFS(Table146[Amount],Table146[Company],$M$3,Table146[Date],$A146,Table146[Bill No.],$B146),SUMIFS('Other Sale'!$D:$D,'Other Sale'!$E:$E,$M$3,'Other Sale'!$C:$C,$J146,'Other Sale'!$A:$A,$A146)))))</f>
        <v/>
      </c>
      <c r="F146" s="347" t="str" cm="1">
        <f t="array" ref="F146">IF($A146="","",IF($J146="Payment",IFERROR(INDEX(_xlfn._xlws.FILTER(MasterPaid[Amount Paid],(MasterPaid[Customer]=$M$3)*(MasterPaid[Date]=$A146)),COUNTIFS($A$6:$A146,$A146,$J$6:$J146,"Payment")),0),0))</f>
        <v/>
      </c>
      <c r="G146" s="331"/>
      <c r="H146" s="427"/>
      <c r="I146" s="330" t="str">
        <f t="shared" si="11"/>
        <v/>
      </c>
      <c r="J146" s="344" t="str" cm="1">
        <f t="array" ref="J146">IFERROR(INDEX(_xlfn.ANCHORARRAY($P$6),ROW()-5,3),"")</f>
        <v/>
      </c>
      <c r="K146" s="432"/>
      <c r="L146" s="348"/>
    </row>
    <row r="147" spans="1:12" ht="23" x14ac:dyDescent="0.25">
      <c r="A147" s="217" t="str" cm="1">
        <f t="array" ref="A147">IFERROR(INDEX(_xlfn.ANCHORARRAY($P$6),ROW()-5,1),"")</f>
        <v/>
      </c>
      <c r="B147" s="344" t="str" cm="1">
        <f t="array" ref="B147">IFERROR(INDEX(_xlfn.ANCHORARRAY($P$6),ROW()-5,2),"")</f>
        <v/>
      </c>
      <c r="C147" s="345" t="str">
        <f>IF($A147="","",IF($J147="DIESEL",SUMIFS(Table1[Quantity],Table1[Customer],$M$3,Table1[Date],$A147,Table1[Bill No.],$B147),IF($J147="PETROL",SUMIFS(Table14[Quantity],Table14[Customer],$M$3,Table14[Date],$A147,Table14[Bill No.],$B147),IF($J147="XtraGreen",SUMIFS(Table146[Quantity],Table146[Company],$M$3,Table146[Date],$A147,Table146[Bill No.],$B147),""))))</f>
        <v/>
      </c>
      <c r="D147" s="346" t="str">
        <f>IF($A147="","",IF($J147="DIESEL",AVERAGEIFS(Table1[RSP],Table1[Customer],$M$3,Table1[Date],$A147,Table1[Bill No.],$B147),IF($J147="PETROL",AVERAGEIFS(Table14[RSP],Table14[Customer],$M$3,Table14[Date],$A147,Table14[Bill No.],$B147),IF($J147="XtraGreen",AVERAGEIFS(Table146[RSP],Table146[Company],$M$3,Table146[Date],$A147,Table146[Bill No.],$B147),IFERROR($E147/$C147,"")))))</f>
        <v/>
      </c>
      <c r="E147" s="347" t="str">
        <f>IF($A147="","",IF($J147="DIESEL",SUMIFS(Table1[Amount],Table1[Customer],$M$3,Table1[Date],$A147,Table1[Bill No.],$B147),IF($J147="PETROL",SUMIFS(Table14[Amount],Table14[Customer],$M$3,Table14[Date],$A147,Table14[Bill No.],$B147),IF($J147="XtraGreen",SUMIFS(Table146[Amount],Table146[Company],$M$3,Table146[Date],$A147,Table146[Bill No.],$B147),SUMIFS('Other Sale'!$D:$D,'Other Sale'!$E:$E,$M$3,'Other Sale'!$C:$C,$J147,'Other Sale'!$A:$A,$A147)))))</f>
        <v/>
      </c>
      <c r="F147" s="347" t="str" cm="1">
        <f t="array" ref="F147">IF($A147="","",IF($J147="Payment",IFERROR(INDEX(_xlfn._xlws.FILTER(MasterPaid[Amount Paid],(MasterPaid[Customer]=$M$3)*(MasterPaid[Date]=$A147)),COUNTIFS($A$6:$A147,$A147,$J$6:$J147,"Payment")),0),0))</f>
        <v/>
      </c>
      <c r="G147" s="331"/>
      <c r="H147" s="427"/>
      <c r="I147" s="330" t="str">
        <f t="shared" si="11"/>
        <v/>
      </c>
      <c r="J147" s="344" t="str" cm="1">
        <f t="array" ref="J147">IFERROR(INDEX(_xlfn.ANCHORARRAY($P$6),ROW()-5,3),"")</f>
        <v/>
      </c>
      <c r="K147" s="432"/>
      <c r="L147" s="348"/>
    </row>
    <row r="148" spans="1:12" ht="23" x14ac:dyDescent="0.25">
      <c r="A148" s="217" t="str" cm="1">
        <f t="array" ref="A148">IFERROR(INDEX(_xlfn.ANCHORARRAY($P$6),ROW()-5,1),"")</f>
        <v/>
      </c>
      <c r="B148" s="344" t="str" cm="1">
        <f t="array" ref="B148">IFERROR(INDEX(_xlfn.ANCHORARRAY($P$6),ROW()-5,2),"")</f>
        <v/>
      </c>
      <c r="C148" s="345" t="str">
        <f>IF($A148="","",IF($J148="DIESEL",SUMIFS(Table1[Quantity],Table1[Customer],$M$3,Table1[Date],$A148,Table1[Bill No.],$B148),IF($J148="PETROL",SUMIFS(Table14[Quantity],Table14[Customer],$M$3,Table14[Date],$A148,Table14[Bill No.],$B148),IF($J148="XtraGreen",SUMIFS(Table146[Quantity],Table146[Company],$M$3,Table146[Date],$A148,Table146[Bill No.],$B148),""))))</f>
        <v/>
      </c>
      <c r="D148" s="346" t="str">
        <f>IF($A148="","",IF($J148="DIESEL",AVERAGEIFS(Table1[RSP],Table1[Customer],$M$3,Table1[Date],$A148,Table1[Bill No.],$B148),IF($J148="PETROL",AVERAGEIFS(Table14[RSP],Table14[Customer],$M$3,Table14[Date],$A148,Table14[Bill No.],$B148),IF($J148="XtraGreen",AVERAGEIFS(Table146[RSP],Table146[Company],$M$3,Table146[Date],$A148,Table146[Bill No.],$B148),IFERROR($E148/$C148,"")))))</f>
        <v/>
      </c>
      <c r="E148" s="347" t="str">
        <f>IF($A148="","",IF($J148="DIESEL",SUMIFS(Table1[Amount],Table1[Customer],$M$3,Table1[Date],$A148,Table1[Bill No.],$B148),IF($J148="PETROL",SUMIFS(Table14[Amount],Table14[Customer],$M$3,Table14[Date],$A148,Table14[Bill No.],$B148),IF($J148="XtraGreen",SUMIFS(Table146[Amount],Table146[Company],$M$3,Table146[Date],$A148,Table146[Bill No.],$B148),SUMIFS('Other Sale'!$D:$D,'Other Sale'!$E:$E,$M$3,'Other Sale'!$C:$C,$J148,'Other Sale'!$A:$A,$A148)))))</f>
        <v/>
      </c>
      <c r="F148" s="347" t="str" cm="1">
        <f t="array" ref="F148">IF($A148="","",IF($J148="Payment",IFERROR(INDEX(_xlfn._xlws.FILTER(MasterPaid[Amount Paid],(MasterPaid[Customer]=$M$3)*(MasterPaid[Date]=$A148)),COUNTIFS($A$6:$A148,$A148,$J$6:$J148,"Payment")),0),0))</f>
        <v/>
      </c>
      <c r="G148" s="331"/>
      <c r="H148" s="427"/>
      <c r="I148" s="330" t="str">
        <f t="shared" si="11"/>
        <v/>
      </c>
      <c r="J148" s="344" t="str" cm="1">
        <f t="array" ref="J148">IFERROR(INDEX(_xlfn.ANCHORARRAY($P$6),ROW()-5,3),"")</f>
        <v/>
      </c>
      <c r="K148" s="432"/>
      <c r="L148" s="348"/>
    </row>
    <row r="149" spans="1:12" ht="23" x14ac:dyDescent="0.25">
      <c r="A149" s="217" t="str" cm="1">
        <f t="array" ref="A149">IFERROR(INDEX(_xlfn.ANCHORARRAY($P$6),ROW()-5,1),"")</f>
        <v/>
      </c>
      <c r="B149" s="344" t="str" cm="1">
        <f t="array" ref="B149">IFERROR(INDEX(_xlfn.ANCHORARRAY($P$6),ROW()-5,2),"")</f>
        <v/>
      </c>
      <c r="C149" s="345" t="str">
        <f>IF($A149="","",IF($J149="DIESEL",SUMIFS(Table1[Quantity],Table1[Customer],$M$3,Table1[Date],$A149,Table1[Bill No.],$B149),IF($J149="PETROL",SUMIFS(Table14[Quantity],Table14[Customer],$M$3,Table14[Date],$A149,Table14[Bill No.],$B149),IF($J149="XtraGreen",SUMIFS(Table146[Quantity],Table146[Company],$M$3,Table146[Date],$A149,Table146[Bill No.],$B149),""))))</f>
        <v/>
      </c>
      <c r="D149" s="346" t="str">
        <f>IF($A149="","",IF($J149="DIESEL",AVERAGEIFS(Table1[RSP],Table1[Customer],$M$3,Table1[Date],$A149,Table1[Bill No.],$B149),IF($J149="PETROL",AVERAGEIFS(Table14[RSP],Table14[Customer],$M$3,Table14[Date],$A149,Table14[Bill No.],$B149),IF($J149="XtraGreen",AVERAGEIFS(Table146[RSP],Table146[Company],$M$3,Table146[Date],$A149,Table146[Bill No.],$B149),IFERROR($E149/$C149,"")))))</f>
        <v/>
      </c>
      <c r="E149" s="347" t="str">
        <f>IF($A149="","",IF($J149="DIESEL",SUMIFS(Table1[Amount],Table1[Customer],$M$3,Table1[Date],$A149,Table1[Bill No.],$B149),IF($J149="PETROL",SUMIFS(Table14[Amount],Table14[Customer],$M$3,Table14[Date],$A149,Table14[Bill No.],$B149),IF($J149="XtraGreen",SUMIFS(Table146[Amount],Table146[Company],$M$3,Table146[Date],$A149,Table146[Bill No.],$B149),SUMIFS('Other Sale'!$D:$D,'Other Sale'!$E:$E,$M$3,'Other Sale'!$C:$C,$J149,'Other Sale'!$A:$A,$A149)))))</f>
        <v/>
      </c>
      <c r="F149" s="347" t="str" cm="1">
        <f t="array" ref="F149">IF($A149="","",IF($J149="Payment",IFERROR(INDEX(_xlfn._xlws.FILTER(MasterPaid[Amount Paid],(MasterPaid[Customer]=$M$3)*(MasterPaid[Date]=$A149)),COUNTIFS($A$6:$A149,$A149,$J$6:$J149,"Payment")),0),0))</f>
        <v/>
      </c>
      <c r="G149" s="331"/>
      <c r="H149" s="427"/>
      <c r="I149" s="330" t="str">
        <f t="shared" si="11"/>
        <v/>
      </c>
      <c r="J149" s="344" t="str" cm="1">
        <f t="array" ref="J149">IFERROR(INDEX(_xlfn.ANCHORARRAY($P$6),ROW()-5,3),"")</f>
        <v/>
      </c>
      <c r="K149" s="432"/>
      <c r="L149" s="348"/>
    </row>
    <row r="150" spans="1:12" ht="23" x14ac:dyDescent="0.25">
      <c r="A150" s="217" t="str" cm="1">
        <f t="array" ref="A150">IFERROR(INDEX(_xlfn.ANCHORARRAY($P$6),ROW()-5,1),"")</f>
        <v/>
      </c>
      <c r="B150" s="344" t="str" cm="1">
        <f t="array" ref="B150">IFERROR(INDEX(_xlfn.ANCHORARRAY($P$6),ROW()-5,2),"")</f>
        <v/>
      </c>
      <c r="C150" s="345" t="str">
        <f>IF($A150="","",IF($J150="DIESEL",SUMIFS(Table1[Quantity],Table1[Customer],$M$3,Table1[Date],$A150,Table1[Bill No.],$B150),IF($J150="PETROL",SUMIFS(Table14[Quantity],Table14[Customer],$M$3,Table14[Date],$A150,Table14[Bill No.],$B150),IF($J150="XtraGreen",SUMIFS(Table146[Quantity],Table146[Company],$M$3,Table146[Date],$A150,Table146[Bill No.],$B150),""))))</f>
        <v/>
      </c>
      <c r="D150" s="346" t="str">
        <f>IF($A150="","",IF($J150="DIESEL",AVERAGEIFS(Table1[RSP],Table1[Customer],$M$3,Table1[Date],$A150,Table1[Bill No.],$B150),IF($J150="PETROL",AVERAGEIFS(Table14[RSP],Table14[Customer],$M$3,Table14[Date],$A150,Table14[Bill No.],$B150),IF($J150="XtraGreen",AVERAGEIFS(Table146[RSP],Table146[Company],$M$3,Table146[Date],$A150,Table146[Bill No.],$B150),IFERROR($E150/$C150,"")))))</f>
        <v/>
      </c>
      <c r="E150" s="347" t="str">
        <f>IF($A150="","",IF($J150="DIESEL",SUMIFS(Table1[Amount],Table1[Customer],$M$3,Table1[Date],$A150,Table1[Bill No.],$B150),IF($J150="PETROL",SUMIFS(Table14[Amount],Table14[Customer],$M$3,Table14[Date],$A150,Table14[Bill No.],$B150),IF($J150="XtraGreen",SUMIFS(Table146[Amount],Table146[Company],$M$3,Table146[Date],$A150,Table146[Bill No.],$B150),SUMIFS('Other Sale'!$D:$D,'Other Sale'!$E:$E,$M$3,'Other Sale'!$C:$C,$J150,'Other Sale'!$A:$A,$A150)))))</f>
        <v/>
      </c>
      <c r="F150" s="347" t="str" cm="1">
        <f t="array" ref="F150">IF($A150="","",IF($J150="Payment",IFERROR(INDEX(_xlfn._xlws.FILTER(MasterPaid[Amount Paid],(MasterPaid[Customer]=$M$3)*(MasterPaid[Date]=$A150)),COUNTIFS($A$6:$A150,$A150,$J$6:$J150,"Payment")),0),0))</f>
        <v/>
      </c>
      <c r="G150" s="331"/>
      <c r="H150" s="427"/>
      <c r="I150" s="330" t="str">
        <f t="shared" si="11"/>
        <v/>
      </c>
      <c r="J150" s="344" t="str" cm="1">
        <f t="array" ref="J150">IFERROR(INDEX(_xlfn.ANCHORARRAY($P$6),ROW()-5,3),"")</f>
        <v/>
      </c>
      <c r="K150" s="432"/>
      <c r="L150" s="348"/>
    </row>
    <row r="151" spans="1:12" ht="23" x14ac:dyDescent="0.25">
      <c r="A151" s="217" t="str" cm="1">
        <f t="array" ref="A151">IFERROR(INDEX(_xlfn.ANCHORARRAY($P$6),ROW()-5,1),"")</f>
        <v/>
      </c>
      <c r="B151" s="344" t="str" cm="1">
        <f t="array" ref="B151">IFERROR(INDEX(_xlfn.ANCHORARRAY($P$6),ROW()-5,2),"")</f>
        <v/>
      </c>
      <c r="C151" s="345" t="str">
        <f>IF($A151="","",IF($J151="DIESEL",SUMIFS(Table1[Quantity],Table1[Customer],$M$3,Table1[Date],$A151,Table1[Bill No.],$B151),IF($J151="PETROL",SUMIFS(Table14[Quantity],Table14[Customer],$M$3,Table14[Date],$A151,Table14[Bill No.],$B151),IF($J151="XtraGreen",SUMIFS(Table146[Quantity],Table146[Company],$M$3,Table146[Date],$A151,Table146[Bill No.],$B151),""))))</f>
        <v/>
      </c>
      <c r="D151" s="346" t="str">
        <f>IF($A151="","",IF($J151="DIESEL",AVERAGEIFS(Table1[RSP],Table1[Customer],$M$3,Table1[Date],$A151,Table1[Bill No.],$B151),IF($J151="PETROL",AVERAGEIFS(Table14[RSP],Table14[Customer],$M$3,Table14[Date],$A151,Table14[Bill No.],$B151),IF($J151="XtraGreen",AVERAGEIFS(Table146[RSP],Table146[Company],$M$3,Table146[Date],$A151,Table146[Bill No.],$B151),IFERROR($E151/$C151,"")))))</f>
        <v/>
      </c>
      <c r="E151" s="347" t="str">
        <f>IF($A151="","",IF($J151="DIESEL",SUMIFS(Table1[Amount],Table1[Customer],$M$3,Table1[Date],$A151,Table1[Bill No.],$B151),IF($J151="PETROL",SUMIFS(Table14[Amount],Table14[Customer],$M$3,Table14[Date],$A151,Table14[Bill No.],$B151),IF($J151="XtraGreen",SUMIFS(Table146[Amount],Table146[Company],$M$3,Table146[Date],$A151,Table146[Bill No.],$B151),SUMIFS('Other Sale'!$D:$D,'Other Sale'!$E:$E,$M$3,'Other Sale'!$C:$C,$J151,'Other Sale'!$A:$A,$A151)))))</f>
        <v/>
      </c>
      <c r="F151" s="347" t="str" cm="1">
        <f t="array" ref="F151">IF($A151="","",IF($J151="Payment",IFERROR(INDEX(_xlfn._xlws.FILTER(MasterPaid[Amount Paid],(MasterPaid[Customer]=$M$3)*(MasterPaid[Date]=$A151)),COUNTIFS($A$6:$A151,$A151,$J$6:$J151,"Payment")),0),0))</f>
        <v/>
      </c>
      <c r="G151" s="331"/>
      <c r="H151" s="427"/>
      <c r="I151" s="330" t="str">
        <f t="shared" si="11"/>
        <v/>
      </c>
      <c r="J151" s="344" t="str" cm="1">
        <f t="array" ref="J151">IFERROR(INDEX(_xlfn.ANCHORARRAY($P$6),ROW()-5,3),"")</f>
        <v/>
      </c>
      <c r="K151" s="432"/>
      <c r="L151" s="348"/>
    </row>
    <row r="152" spans="1:12" ht="23" x14ac:dyDescent="0.25">
      <c r="A152" s="217" t="str" cm="1">
        <f t="array" ref="A152">IFERROR(INDEX(_xlfn.ANCHORARRAY($P$6),ROW()-5,1),"")</f>
        <v/>
      </c>
      <c r="B152" s="344" t="str" cm="1">
        <f t="array" ref="B152">IFERROR(INDEX(_xlfn.ANCHORARRAY($P$6),ROW()-5,2),"")</f>
        <v/>
      </c>
      <c r="C152" s="345" t="str">
        <f>IF($A152="","",IF($J152="DIESEL",SUMIFS(Table1[Quantity],Table1[Customer],$M$3,Table1[Date],$A152,Table1[Bill No.],$B152),IF($J152="PETROL",SUMIFS(Table14[Quantity],Table14[Customer],$M$3,Table14[Date],$A152,Table14[Bill No.],$B152),IF($J152="XtraGreen",SUMIFS(Table146[Quantity],Table146[Company],$M$3,Table146[Date],$A152,Table146[Bill No.],$B152),""))))</f>
        <v/>
      </c>
      <c r="D152" s="346" t="str">
        <f>IF($A152="","",IF($J152="DIESEL",AVERAGEIFS(Table1[RSP],Table1[Customer],$M$3,Table1[Date],$A152,Table1[Bill No.],$B152),IF($J152="PETROL",AVERAGEIFS(Table14[RSP],Table14[Customer],$M$3,Table14[Date],$A152,Table14[Bill No.],$B152),IF($J152="XtraGreen",AVERAGEIFS(Table146[RSP],Table146[Company],$M$3,Table146[Date],$A152,Table146[Bill No.],$B152),IFERROR($E152/$C152,"")))))</f>
        <v/>
      </c>
      <c r="E152" s="347" t="str">
        <f>IF($A152="","",IF($J152="DIESEL",SUMIFS(Table1[Amount],Table1[Customer],$M$3,Table1[Date],$A152,Table1[Bill No.],$B152),IF($J152="PETROL",SUMIFS(Table14[Amount],Table14[Customer],$M$3,Table14[Date],$A152,Table14[Bill No.],$B152),IF($J152="XtraGreen",SUMIFS(Table146[Amount],Table146[Company],$M$3,Table146[Date],$A152,Table146[Bill No.],$B152),SUMIFS('Other Sale'!$D:$D,'Other Sale'!$E:$E,$M$3,'Other Sale'!$C:$C,$J152,'Other Sale'!$A:$A,$A152)))))</f>
        <v/>
      </c>
      <c r="F152" s="347" t="str" cm="1">
        <f t="array" ref="F152">IF($A152="","",IF($J152="Payment",IFERROR(INDEX(_xlfn._xlws.FILTER(MasterPaid[Amount Paid],(MasterPaid[Customer]=$M$3)*(MasterPaid[Date]=$A152)),COUNTIFS($A$6:$A152,$A152,$J$6:$J152,"Payment")),0),0))</f>
        <v/>
      </c>
      <c r="G152" s="331"/>
      <c r="H152" s="427"/>
      <c r="I152" s="330" t="str">
        <f t="shared" si="11"/>
        <v/>
      </c>
      <c r="J152" s="344" t="str" cm="1">
        <f t="array" ref="J152">IFERROR(INDEX(_xlfn.ANCHORARRAY($P$6),ROW()-5,3),"")</f>
        <v/>
      </c>
      <c r="K152" s="432"/>
      <c r="L152" s="348"/>
    </row>
    <row r="153" spans="1:12" ht="23" x14ac:dyDescent="0.25">
      <c r="A153" s="217" t="str" cm="1">
        <f t="array" ref="A153">IFERROR(INDEX(_xlfn.ANCHORARRAY($P$6),ROW()-5,1),"")</f>
        <v/>
      </c>
      <c r="B153" s="344" t="str" cm="1">
        <f t="array" ref="B153">IFERROR(INDEX(_xlfn.ANCHORARRAY($P$6),ROW()-5,2),"")</f>
        <v/>
      </c>
      <c r="C153" s="345" t="str">
        <f>IF($A153="","",IF($J153="DIESEL",SUMIFS(Table1[Quantity],Table1[Customer],$M$3,Table1[Date],$A153,Table1[Bill No.],$B153),IF($J153="PETROL",SUMIFS(Table14[Quantity],Table14[Customer],$M$3,Table14[Date],$A153,Table14[Bill No.],$B153),IF($J153="XtraGreen",SUMIFS(Table146[Quantity],Table146[Company],$M$3,Table146[Date],$A153,Table146[Bill No.],$B153),""))))</f>
        <v/>
      </c>
      <c r="D153" s="346" t="str">
        <f>IF($A153="","",IF($J153="DIESEL",AVERAGEIFS(Table1[RSP],Table1[Customer],$M$3,Table1[Date],$A153,Table1[Bill No.],$B153),IF($J153="PETROL",AVERAGEIFS(Table14[RSP],Table14[Customer],$M$3,Table14[Date],$A153,Table14[Bill No.],$B153),IF($J153="XtraGreen",AVERAGEIFS(Table146[RSP],Table146[Company],$M$3,Table146[Date],$A153,Table146[Bill No.],$B153),IFERROR($E153/$C153,"")))))</f>
        <v/>
      </c>
      <c r="E153" s="347" t="str">
        <f>IF($A153="","",IF($J153="DIESEL",SUMIFS(Table1[Amount],Table1[Customer],$M$3,Table1[Date],$A153,Table1[Bill No.],$B153),IF($J153="PETROL",SUMIFS(Table14[Amount],Table14[Customer],$M$3,Table14[Date],$A153,Table14[Bill No.],$B153),IF($J153="XtraGreen",SUMIFS(Table146[Amount],Table146[Company],$M$3,Table146[Date],$A153,Table146[Bill No.],$B153),SUMIFS('Other Sale'!$D:$D,'Other Sale'!$E:$E,$M$3,'Other Sale'!$C:$C,$J153,'Other Sale'!$A:$A,$A153)))))</f>
        <v/>
      </c>
      <c r="F153" s="347" t="str" cm="1">
        <f t="array" ref="F153">IF($A153="","",IF($J153="Payment",IFERROR(INDEX(_xlfn._xlws.FILTER(MasterPaid[Amount Paid],(MasterPaid[Customer]=$M$3)*(MasterPaid[Date]=$A153)),COUNTIFS($A$6:$A153,$A153,$J$6:$J153,"Payment")),0),0))</f>
        <v/>
      </c>
      <c r="G153" s="331"/>
      <c r="H153" s="427"/>
      <c r="I153" s="330" t="str">
        <f t="shared" si="11"/>
        <v/>
      </c>
      <c r="J153" s="344" t="str" cm="1">
        <f t="array" ref="J153">IFERROR(INDEX(_xlfn.ANCHORARRAY($P$6),ROW()-5,3),"")</f>
        <v/>
      </c>
      <c r="K153" s="432"/>
      <c r="L153" s="348"/>
    </row>
    <row r="154" spans="1:12" ht="23" x14ac:dyDescent="0.25">
      <c r="A154" s="217" t="str" cm="1">
        <f t="array" ref="A154">IFERROR(INDEX(_xlfn.ANCHORARRAY($P$6),ROW()-5,1),"")</f>
        <v/>
      </c>
      <c r="B154" s="344" t="str" cm="1">
        <f t="array" ref="B154">IFERROR(INDEX(_xlfn.ANCHORARRAY($P$6),ROW()-5,2),"")</f>
        <v/>
      </c>
      <c r="C154" s="345" t="str">
        <f>IF($A154="","",IF($J154="DIESEL",SUMIFS(Table1[Quantity],Table1[Customer],$M$3,Table1[Date],$A154,Table1[Bill No.],$B154),IF($J154="PETROL",SUMIFS(Table14[Quantity],Table14[Customer],$M$3,Table14[Date],$A154,Table14[Bill No.],$B154),IF($J154="XtraGreen",SUMIFS(Table146[Quantity],Table146[Company],$M$3,Table146[Date],$A154,Table146[Bill No.],$B154),""))))</f>
        <v/>
      </c>
      <c r="D154" s="346" t="str">
        <f>IF($A154="","",IF($J154="DIESEL",AVERAGEIFS(Table1[RSP],Table1[Customer],$M$3,Table1[Date],$A154,Table1[Bill No.],$B154),IF($J154="PETROL",AVERAGEIFS(Table14[RSP],Table14[Customer],$M$3,Table14[Date],$A154,Table14[Bill No.],$B154),IF($J154="XtraGreen",AVERAGEIFS(Table146[RSP],Table146[Company],$M$3,Table146[Date],$A154,Table146[Bill No.],$B154),IFERROR($E154/$C154,"")))))</f>
        <v/>
      </c>
      <c r="E154" s="347" t="str">
        <f>IF($A154="","",IF($J154="DIESEL",SUMIFS(Table1[Amount],Table1[Customer],$M$3,Table1[Date],$A154,Table1[Bill No.],$B154),IF($J154="PETROL",SUMIFS(Table14[Amount],Table14[Customer],$M$3,Table14[Date],$A154,Table14[Bill No.],$B154),IF($J154="XtraGreen",SUMIFS(Table146[Amount],Table146[Company],$M$3,Table146[Date],$A154,Table146[Bill No.],$B154),SUMIFS('Other Sale'!$D:$D,'Other Sale'!$E:$E,$M$3,'Other Sale'!$C:$C,$J154,'Other Sale'!$A:$A,$A154)))))</f>
        <v/>
      </c>
      <c r="F154" s="347" t="str" cm="1">
        <f t="array" ref="F154">IF($A154="","",IF($J154="Payment",IFERROR(INDEX(_xlfn._xlws.FILTER(MasterPaid[Amount Paid],(MasterPaid[Customer]=$M$3)*(MasterPaid[Date]=$A154)),COUNTIFS($A$6:$A154,$A154,$J$6:$J154,"Payment")),0),0))</f>
        <v/>
      </c>
      <c r="G154" s="331"/>
      <c r="H154" s="427"/>
      <c r="I154" s="330" t="str">
        <f t="shared" si="11"/>
        <v/>
      </c>
      <c r="J154" s="344" t="str" cm="1">
        <f t="array" ref="J154">IFERROR(INDEX(_xlfn.ANCHORARRAY($P$6),ROW()-5,3),"")</f>
        <v/>
      </c>
      <c r="K154" s="432"/>
      <c r="L154" s="348"/>
    </row>
    <row r="155" spans="1:12" ht="23" x14ac:dyDescent="0.25">
      <c r="A155" s="217" t="str" cm="1">
        <f t="array" ref="A155">IFERROR(INDEX(_xlfn.ANCHORARRAY($P$6),ROW()-5,1),"")</f>
        <v/>
      </c>
      <c r="B155" s="344" t="str" cm="1">
        <f t="array" ref="B155">IFERROR(INDEX(_xlfn.ANCHORARRAY($P$6),ROW()-5,2),"")</f>
        <v/>
      </c>
      <c r="C155" s="345" t="str">
        <f>IF($A155="","",IF($J155="DIESEL",SUMIFS(Table1[Quantity],Table1[Customer],$M$3,Table1[Date],$A155,Table1[Bill No.],$B155),IF($J155="PETROL",SUMIFS(Table14[Quantity],Table14[Customer],$M$3,Table14[Date],$A155,Table14[Bill No.],$B155),IF($J155="XtraGreen",SUMIFS(Table146[Quantity],Table146[Company],$M$3,Table146[Date],$A155,Table146[Bill No.],$B155),""))))</f>
        <v/>
      </c>
      <c r="D155" s="346" t="str">
        <f>IF($A155="","",IF($J155="DIESEL",AVERAGEIFS(Table1[RSP],Table1[Customer],$M$3,Table1[Date],$A155,Table1[Bill No.],$B155),IF($J155="PETROL",AVERAGEIFS(Table14[RSP],Table14[Customer],$M$3,Table14[Date],$A155,Table14[Bill No.],$B155),IF($J155="XtraGreen",AVERAGEIFS(Table146[RSP],Table146[Company],$M$3,Table146[Date],$A155,Table146[Bill No.],$B155),IFERROR($E155/$C155,"")))))</f>
        <v/>
      </c>
      <c r="E155" s="347" t="str">
        <f>IF($A155="","",IF($J155="DIESEL",SUMIFS(Table1[Amount],Table1[Customer],$M$3,Table1[Date],$A155,Table1[Bill No.],$B155),IF($J155="PETROL",SUMIFS(Table14[Amount],Table14[Customer],$M$3,Table14[Date],$A155,Table14[Bill No.],$B155),IF($J155="XtraGreen",SUMIFS(Table146[Amount],Table146[Company],$M$3,Table146[Date],$A155,Table146[Bill No.],$B155),SUMIFS('Other Sale'!$D:$D,'Other Sale'!$E:$E,$M$3,'Other Sale'!$C:$C,$J155,'Other Sale'!$A:$A,$A155)))))</f>
        <v/>
      </c>
      <c r="F155" s="347" t="str" cm="1">
        <f t="array" ref="F155">IF($A155="","",IF($J155="Payment",IFERROR(INDEX(_xlfn._xlws.FILTER(MasterPaid[Amount Paid],(MasterPaid[Customer]=$M$3)*(MasterPaid[Date]=$A155)),COUNTIFS($A$6:$A155,$A155,$J$6:$J155,"Payment")),0),0))</f>
        <v/>
      </c>
      <c r="G155" s="331"/>
      <c r="H155" s="427"/>
      <c r="I155" s="330" t="str">
        <f t="shared" si="11"/>
        <v/>
      </c>
      <c r="J155" s="344" t="str" cm="1">
        <f t="array" ref="J155">IFERROR(INDEX(_xlfn.ANCHORARRAY($P$6),ROW()-5,3),"")</f>
        <v/>
      </c>
      <c r="K155" s="432"/>
      <c r="L155" s="348"/>
    </row>
    <row r="156" spans="1:12" ht="23" x14ac:dyDescent="0.25">
      <c r="A156" s="217" t="str" cm="1">
        <f t="array" ref="A156">IFERROR(INDEX(_xlfn.ANCHORARRAY($P$6),ROW()-5,1),"")</f>
        <v/>
      </c>
      <c r="B156" s="344" t="str" cm="1">
        <f t="array" ref="B156">IFERROR(INDEX(_xlfn.ANCHORARRAY($P$6),ROW()-5,2),"")</f>
        <v/>
      </c>
      <c r="C156" s="345" t="str">
        <f>IF($A156="","",IF($J156="DIESEL",SUMIFS(Table1[Quantity],Table1[Customer],$M$3,Table1[Date],$A156,Table1[Bill No.],$B156),IF($J156="PETROL",SUMIFS(Table14[Quantity],Table14[Customer],$M$3,Table14[Date],$A156,Table14[Bill No.],$B156),IF($J156="XtraGreen",SUMIFS(Table146[Quantity],Table146[Company],$M$3,Table146[Date],$A156,Table146[Bill No.],$B156),""))))</f>
        <v/>
      </c>
      <c r="D156" s="346" t="str">
        <f>IF($A156="","",IF($J156="DIESEL",AVERAGEIFS(Table1[RSP],Table1[Customer],$M$3,Table1[Date],$A156,Table1[Bill No.],$B156),IF($J156="PETROL",AVERAGEIFS(Table14[RSP],Table14[Customer],$M$3,Table14[Date],$A156,Table14[Bill No.],$B156),IF($J156="XtraGreen",AVERAGEIFS(Table146[RSP],Table146[Company],$M$3,Table146[Date],$A156,Table146[Bill No.],$B156),IFERROR($E156/$C156,"")))))</f>
        <v/>
      </c>
      <c r="E156" s="347" t="str">
        <f>IF($A156="","",IF($J156="DIESEL",SUMIFS(Table1[Amount],Table1[Customer],$M$3,Table1[Date],$A156,Table1[Bill No.],$B156),IF($J156="PETROL",SUMIFS(Table14[Amount],Table14[Customer],$M$3,Table14[Date],$A156,Table14[Bill No.],$B156),IF($J156="XtraGreen",SUMIFS(Table146[Amount],Table146[Company],$M$3,Table146[Date],$A156,Table146[Bill No.],$B156),SUMIFS('Other Sale'!$D:$D,'Other Sale'!$E:$E,$M$3,'Other Sale'!$C:$C,$J156,'Other Sale'!$A:$A,$A156)))))</f>
        <v/>
      </c>
      <c r="F156" s="347" t="str" cm="1">
        <f t="array" ref="F156">IF($A156="","",IF($J156="Payment",IFERROR(INDEX(_xlfn._xlws.FILTER(MasterPaid[Amount Paid],(MasterPaid[Customer]=$M$3)*(MasterPaid[Date]=$A156)),COUNTIFS($A$6:$A156,$A156,$J$6:$J156,"Payment")),0),0))</f>
        <v/>
      </c>
      <c r="G156" s="331"/>
      <c r="H156" s="427"/>
      <c r="I156" s="330" t="str">
        <f t="shared" si="11"/>
        <v/>
      </c>
      <c r="J156" s="344" t="str" cm="1">
        <f t="array" ref="J156">IFERROR(INDEX(_xlfn.ANCHORARRAY($P$6),ROW()-5,3),"")</f>
        <v/>
      </c>
      <c r="K156" s="432"/>
      <c r="L156" s="348"/>
    </row>
    <row r="157" spans="1:12" ht="23" x14ac:dyDescent="0.25">
      <c r="A157" s="217" t="str" cm="1">
        <f t="array" ref="A157">IFERROR(INDEX(_xlfn.ANCHORARRAY($P$6),ROW()-5,1),"")</f>
        <v/>
      </c>
      <c r="B157" s="344" t="str" cm="1">
        <f t="array" ref="B157">IFERROR(INDEX(_xlfn.ANCHORARRAY($P$6),ROW()-5,2),"")</f>
        <v/>
      </c>
      <c r="C157" s="345" t="str">
        <f>IF($A157="","",IF($J157="DIESEL",SUMIFS(Table1[Quantity],Table1[Customer],$M$3,Table1[Date],$A157,Table1[Bill No.],$B157),IF($J157="PETROL",SUMIFS(Table14[Quantity],Table14[Customer],$M$3,Table14[Date],$A157,Table14[Bill No.],$B157),IF($J157="XtraGreen",SUMIFS(Table146[Quantity],Table146[Company],$M$3,Table146[Date],$A157,Table146[Bill No.],$B157),""))))</f>
        <v/>
      </c>
      <c r="D157" s="346" t="str">
        <f>IF($A157="","",IF($J157="DIESEL",AVERAGEIFS(Table1[RSP],Table1[Customer],$M$3,Table1[Date],$A157,Table1[Bill No.],$B157),IF($J157="PETROL",AVERAGEIFS(Table14[RSP],Table14[Customer],$M$3,Table14[Date],$A157,Table14[Bill No.],$B157),IF($J157="XtraGreen",AVERAGEIFS(Table146[RSP],Table146[Company],$M$3,Table146[Date],$A157,Table146[Bill No.],$B157),IFERROR($E157/$C157,"")))))</f>
        <v/>
      </c>
      <c r="E157" s="347" t="str">
        <f>IF($A157="","",IF($J157="DIESEL",SUMIFS(Table1[Amount],Table1[Customer],$M$3,Table1[Date],$A157,Table1[Bill No.],$B157),IF($J157="PETROL",SUMIFS(Table14[Amount],Table14[Customer],$M$3,Table14[Date],$A157,Table14[Bill No.],$B157),IF($J157="XtraGreen",SUMIFS(Table146[Amount],Table146[Company],$M$3,Table146[Date],$A157,Table146[Bill No.],$B157),SUMIFS('Other Sale'!$D:$D,'Other Sale'!$E:$E,$M$3,'Other Sale'!$C:$C,$J157,'Other Sale'!$A:$A,$A157)))))</f>
        <v/>
      </c>
      <c r="F157" s="347" t="str" cm="1">
        <f t="array" ref="F157">IF($A157="","",IF($J157="Payment",IFERROR(INDEX(_xlfn._xlws.FILTER(MasterPaid[Amount Paid],(MasterPaid[Customer]=$M$3)*(MasterPaid[Date]=$A157)),COUNTIFS($A$6:$A157,$A157,$J$6:$J157,"Payment")),0),0))</f>
        <v/>
      </c>
      <c r="G157" s="331"/>
      <c r="H157" s="427"/>
      <c r="I157" s="330" t="str">
        <f t="shared" si="11"/>
        <v/>
      </c>
      <c r="J157" s="344" t="str" cm="1">
        <f t="array" ref="J157">IFERROR(INDEX(_xlfn.ANCHORARRAY($P$6),ROW()-5,3),"")</f>
        <v/>
      </c>
      <c r="K157" s="432"/>
      <c r="L157" s="348"/>
    </row>
    <row r="158" spans="1:12" ht="23" x14ac:dyDescent="0.25">
      <c r="A158" s="217" t="str" cm="1">
        <f t="array" ref="A158">IFERROR(INDEX(_xlfn.ANCHORARRAY($P$6),ROW()-5,1),"")</f>
        <v/>
      </c>
      <c r="B158" s="344" t="str" cm="1">
        <f t="array" ref="B158">IFERROR(INDEX(_xlfn.ANCHORARRAY($P$6),ROW()-5,2),"")</f>
        <v/>
      </c>
      <c r="C158" s="345" t="str">
        <f>IF($A158="","",IF($J158="DIESEL",SUMIFS(Table1[Quantity],Table1[Customer],$M$3,Table1[Date],$A158,Table1[Bill No.],$B158),IF($J158="PETROL",SUMIFS(Table14[Quantity],Table14[Customer],$M$3,Table14[Date],$A158,Table14[Bill No.],$B158),IF($J158="XtraGreen",SUMIFS(Table146[Quantity],Table146[Company],$M$3,Table146[Date],$A158,Table146[Bill No.],$B158),""))))</f>
        <v/>
      </c>
      <c r="D158" s="346" t="str">
        <f>IF($A158="","",IF($J158="DIESEL",AVERAGEIFS(Table1[RSP],Table1[Customer],$M$3,Table1[Date],$A158,Table1[Bill No.],$B158),IF($J158="PETROL",AVERAGEIFS(Table14[RSP],Table14[Customer],$M$3,Table14[Date],$A158,Table14[Bill No.],$B158),IF($J158="XtraGreen",AVERAGEIFS(Table146[RSP],Table146[Company],$M$3,Table146[Date],$A158,Table146[Bill No.],$B158),IFERROR($E158/$C158,"")))))</f>
        <v/>
      </c>
      <c r="E158" s="347" t="str">
        <f>IF($A158="","",IF($J158="DIESEL",SUMIFS(Table1[Amount],Table1[Customer],$M$3,Table1[Date],$A158,Table1[Bill No.],$B158),IF($J158="PETROL",SUMIFS(Table14[Amount],Table14[Customer],$M$3,Table14[Date],$A158,Table14[Bill No.],$B158),IF($J158="XtraGreen",SUMIFS(Table146[Amount],Table146[Company],$M$3,Table146[Date],$A158,Table146[Bill No.],$B158),SUMIFS('Other Sale'!$D:$D,'Other Sale'!$E:$E,$M$3,'Other Sale'!$C:$C,$J158,'Other Sale'!$A:$A,$A158)))))</f>
        <v/>
      </c>
      <c r="F158" s="347" t="str" cm="1">
        <f t="array" ref="F158">IF($A158="","",IF($J158="Payment",IFERROR(INDEX(_xlfn._xlws.FILTER(MasterPaid[Amount Paid],(MasterPaid[Customer]=$M$3)*(MasterPaid[Date]=$A158)),COUNTIFS($A$6:$A158,$A158,$J$6:$J158,"Payment")),0),0))</f>
        <v/>
      </c>
      <c r="G158" s="331"/>
      <c r="H158" s="427"/>
      <c r="I158" s="330" t="str">
        <f t="shared" si="11"/>
        <v/>
      </c>
      <c r="J158" s="344" t="str" cm="1">
        <f t="array" ref="J158">IFERROR(INDEX(_xlfn.ANCHORARRAY($P$6),ROW()-5,3),"")</f>
        <v/>
      </c>
      <c r="K158" s="432"/>
      <c r="L158" s="348"/>
    </row>
    <row r="159" spans="1:12" ht="23" x14ac:dyDescent="0.25">
      <c r="A159" s="217" t="str" cm="1">
        <f t="array" ref="A159">IFERROR(INDEX(_xlfn.ANCHORARRAY($P$6),ROW()-5,1),"")</f>
        <v/>
      </c>
      <c r="B159" s="344" t="str" cm="1">
        <f t="array" ref="B159">IFERROR(INDEX(_xlfn.ANCHORARRAY($P$6),ROW()-5,2),"")</f>
        <v/>
      </c>
      <c r="C159" s="345" t="str">
        <f>IF($A159="","",IF($J159="DIESEL",SUMIFS(Table1[Quantity],Table1[Customer],$M$3,Table1[Date],$A159,Table1[Bill No.],$B159),IF($J159="PETROL",SUMIFS(Table14[Quantity],Table14[Customer],$M$3,Table14[Date],$A159,Table14[Bill No.],$B159),IF($J159="XtraGreen",SUMIFS(Table146[Quantity],Table146[Company],$M$3,Table146[Date],$A159,Table146[Bill No.],$B159),""))))</f>
        <v/>
      </c>
      <c r="D159" s="346" t="str">
        <f>IF($A159="","",IF($J159="DIESEL",AVERAGEIFS(Table1[RSP],Table1[Customer],$M$3,Table1[Date],$A159,Table1[Bill No.],$B159),IF($J159="PETROL",AVERAGEIFS(Table14[RSP],Table14[Customer],$M$3,Table14[Date],$A159,Table14[Bill No.],$B159),IF($J159="XtraGreen",AVERAGEIFS(Table146[RSP],Table146[Company],$M$3,Table146[Date],$A159,Table146[Bill No.],$B159),IFERROR($E159/$C159,"")))))</f>
        <v/>
      </c>
      <c r="E159" s="347" t="str">
        <f>IF($A159="","",IF($J159="DIESEL",SUMIFS(Table1[Amount],Table1[Customer],$M$3,Table1[Date],$A159,Table1[Bill No.],$B159),IF($J159="PETROL",SUMIFS(Table14[Amount],Table14[Customer],$M$3,Table14[Date],$A159,Table14[Bill No.],$B159),IF($J159="XtraGreen",SUMIFS(Table146[Amount],Table146[Company],$M$3,Table146[Date],$A159,Table146[Bill No.],$B159),SUMIFS('Other Sale'!$D:$D,'Other Sale'!$E:$E,$M$3,'Other Sale'!$C:$C,$J159,'Other Sale'!$A:$A,$A159)))))</f>
        <v/>
      </c>
      <c r="F159" s="347" t="str" cm="1">
        <f t="array" ref="F159">IF($A159="","",IF($J159="Payment",IFERROR(INDEX(_xlfn._xlws.FILTER(MasterPaid[Amount Paid],(MasterPaid[Customer]=$M$3)*(MasterPaid[Date]=$A159)),COUNTIFS($A$6:$A159,$A159,$J$6:$J159,"Payment")),0),0))</f>
        <v/>
      </c>
      <c r="G159" s="331"/>
      <c r="H159" s="427"/>
      <c r="I159" s="330" t="str">
        <f t="shared" si="11"/>
        <v/>
      </c>
      <c r="J159" s="344" t="str" cm="1">
        <f t="array" ref="J159">IFERROR(INDEX(_xlfn.ANCHORARRAY($P$6),ROW()-5,3),"")</f>
        <v/>
      </c>
      <c r="K159" s="432"/>
      <c r="L159" s="348"/>
    </row>
    <row r="160" spans="1:12" ht="23" x14ac:dyDescent="0.25">
      <c r="A160" s="217" t="str" cm="1">
        <f t="array" ref="A160">IFERROR(INDEX(_xlfn.ANCHORARRAY($P$6),ROW()-5,1),"")</f>
        <v/>
      </c>
      <c r="B160" s="344" t="str" cm="1">
        <f t="array" ref="B160">IFERROR(INDEX(_xlfn.ANCHORARRAY($P$6),ROW()-5,2),"")</f>
        <v/>
      </c>
      <c r="C160" s="345" t="str">
        <f>IF($A160="","",IF($J160="DIESEL",SUMIFS(Table1[Quantity],Table1[Customer],$M$3,Table1[Date],$A160,Table1[Bill No.],$B160),IF($J160="PETROL",SUMIFS(Table14[Quantity],Table14[Customer],$M$3,Table14[Date],$A160,Table14[Bill No.],$B160),IF($J160="XtraGreen",SUMIFS(Table146[Quantity],Table146[Company],$M$3,Table146[Date],$A160,Table146[Bill No.],$B160),""))))</f>
        <v/>
      </c>
      <c r="D160" s="346" t="str">
        <f>IF($A160="","",IF($J160="DIESEL",AVERAGEIFS(Table1[RSP],Table1[Customer],$M$3,Table1[Date],$A160,Table1[Bill No.],$B160),IF($J160="PETROL",AVERAGEIFS(Table14[RSP],Table14[Customer],$M$3,Table14[Date],$A160,Table14[Bill No.],$B160),IF($J160="XtraGreen",AVERAGEIFS(Table146[RSP],Table146[Company],$M$3,Table146[Date],$A160,Table146[Bill No.],$B160),IFERROR($E160/$C160,"")))))</f>
        <v/>
      </c>
      <c r="E160" s="347" t="str">
        <f>IF($A160="","",IF($J160="DIESEL",SUMIFS(Table1[Amount],Table1[Customer],$M$3,Table1[Date],$A160,Table1[Bill No.],$B160),IF($J160="PETROL",SUMIFS(Table14[Amount],Table14[Customer],$M$3,Table14[Date],$A160,Table14[Bill No.],$B160),IF($J160="XtraGreen",SUMIFS(Table146[Amount],Table146[Company],$M$3,Table146[Date],$A160,Table146[Bill No.],$B160),SUMIFS('Other Sale'!$D:$D,'Other Sale'!$E:$E,$M$3,'Other Sale'!$C:$C,$J160,'Other Sale'!$A:$A,$A160)))))</f>
        <v/>
      </c>
      <c r="F160" s="347" t="str" cm="1">
        <f t="array" ref="F160">IF($A160="","",IF($J160="Payment",IFERROR(INDEX(_xlfn._xlws.FILTER(MasterPaid[Amount Paid],(MasterPaid[Customer]=$M$3)*(MasterPaid[Date]=$A160)),COUNTIFS($A$6:$A160,$A160,$J$6:$J160,"Payment")),0),0))</f>
        <v/>
      </c>
      <c r="G160" s="331"/>
      <c r="H160" s="427"/>
      <c r="I160" s="330" t="str">
        <f t="shared" si="11"/>
        <v/>
      </c>
      <c r="J160" s="344" t="str" cm="1">
        <f t="array" ref="J160">IFERROR(INDEX(_xlfn.ANCHORARRAY($P$6),ROW()-5,3),"")</f>
        <v/>
      </c>
      <c r="K160" s="432"/>
      <c r="L160" s="348"/>
    </row>
    <row r="161" spans="1:12" ht="23" x14ac:dyDescent="0.25">
      <c r="A161" s="217" t="str" cm="1">
        <f t="array" ref="A161">IFERROR(INDEX(_xlfn.ANCHORARRAY($P$6),ROW()-5,1),"")</f>
        <v/>
      </c>
      <c r="B161" s="344" t="str" cm="1">
        <f t="array" ref="B161">IFERROR(INDEX(_xlfn.ANCHORARRAY($P$6),ROW()-5,2),"")</f>
        <v/>
      </c>
      <c r="C161" s="345" t="str">
        <f>IF($A161="","",IF($J161="DIESEL",SUMIFS(Table1[Quantity],Table1[Customer],$M$3,Table1[Date],$A161,Table1[Bill No.],$B161),IF($J161="PETROL",SUMIFS(Table14[Quantity],Table14[Customer],$M$3,Table14[Date],$A161,Table14[Bill No.],$B161),IF($J161="XtraGreen",SUMIFS(Table146[Quantity],Table146[Company],$M$3,Table146[Date],$A161,Table146[Bill No.],$B161),""))))</f>
        <v/>
      </c>
      <c r="D161" s="346" t="str">
        <f>IF($A161="","",IF($J161="DIESEL",AVERAGEIFS(Table1[RSP],Table1[Customer],$M$3,Table1[Date],$A161,Table1[Bill No.],$B161),IF($J161="PETROL",AVERAGEIFS(Table14[RSP],Table14[Customer],$M$3,Table14[Date],$A161,Table14[Bill No.],$B161),IF($J161="XtraGreen",AVERAGEIFS(Table146[RSP],Table146[Company],$M$3,Table146[Date],$A161,Table146[Bill No.],$B161),IFERROR($E161/$C161,"")))))</f>
        <v/>
      </c>
      <c r="E161" s="347" t="str">
        <f>IF($A161="","",IF($J161="DIESEL",SUMIFS(Table1[Amount],Table1[Customer],$M$3,Table1[Date],$A161,Table1[Bill No.],$B161),IF($J161="PETROL",SUMIFS(Table14[Amount],Table14[Customer],$M$3,Table14[Date],$A161,Table14[Bill No.],$B161),IF($J161="XtraGreen",SUMIFS(Table146[Amount],Table146[Company],$M$3,Table146[Date],$A161,Table146[Bill No.],$B161),SUMIFS('Other Sale'!$D:$D,'Other Sale'!$E:$E,$M$3,'Other Sale'!$C:$C,$J161,'Other Sale'!$A:$A,$A161)))))</f>
        <v/>
      </c>
      <c r="F161" s="347" t="str" cm="1">
        <f t="array" ref="F161">IF($A161="","",IF($J161="Payment",IFERROR(INDEX(_xlfn._xlws.FILTER(MasterPaid[Amount Paid],(MasterPaid[Customer]=$M$3)*(MasterPaid[Date]=$A161)),COUNTIFS($A$6:$A161,$A161,$J$6:$J161,"Payment")),0),0))</f>
        <v/>
      </c>
      <c r="G161" s="331"/>
      <c r="H161" s="427"/>
      <c r="I161" s="330" t="str">
        <f t="shared" si="11"/>
        <v/>
      </c>
      <c r="J161" s="344" t="str" cm="1">
        <f t="array" ref="J161">IFERROR(INDEX(_xlfn.ANCHORARRAY($P$6),ROW()-5,3),"")</f>
        <v/>
      </c>
      <c r="K161" s="432"/>
      <c r="L161" s="348"/>
    </row>
    <row r="162" spans="1:12" ht="23" x14ac:dyDescent="0.25">
      <c r="A162" s="217" t="str" cm="1">
        <f t="array" ref="A162">IFERROR(INDEX(_xlfn.ANCHORARRAY($P$6),ROW()-5,1),"")</f>
        <v/>
      </c>
      <c r="B162" s="344" t="str" cm="1">
        <f t="array" ref="B162">IFERROR(INDEX(_xlfn.ANCHORARRAY($P$6),ROW()-5,2),"")</f>
        <v/>
      </c>
      <c r="C162" s="345" t="str">
        <f>IF($A162="","",IF($J162="DIESEL",SUMIFS(Table1[Quantity],Table1[Customer],$M$3,Table1[Date],$A162,Table1[Bill No.],$B162),IF($J162="PETROL",SUMIFS(Table14[Quantity],Table14[Customer],$M$3,Table14[Date],$A162,Table14[Bill No.],$B162),IF($J162="XtraGreen",SUMIFS(Table146[Quantity],Table146[Company],$M$3,Table146[Date],$A162,Table146[Bill No.],$B162),""))))</f>
        <v/>
      </c>
      <c r="D162" s="346" t="str">
        <f>IF($A162="","",IF($J162="DIESEL",AVERAGEIFS(Table1[RSP],Table1[Customer],$M$3,Table1[Date],$A162,Table1[Bill No.],$B162),IF($J162="PETROL",AVERAGEIFS(Table14[RSP],Table14[Customer],$M$3,Table14[Date],$A162,Table14[Bill No.],$B162),IF($J162="XtraGreen",AVERAGEIFS(Table146[RSP],Table146[Company],$M$3,Table146[Date],$A162,Table146[Bill No.],$B162),IFERROR($E162/$C162,"")))))</f>
        <v/>
      </c>
      <c r="E162" s="347" t="str">
        <f>IF($A162="","",IF($J162="DIESEL",SUMIFS(Table1[Amount],Table1[Customer],$M$3,Table1[Date],$A162,Table1[Bill No.],$B162),IF($J162="PETROL",SUMIFS(Table14[Amount],Table14[Customer],$M$3,Table14[Date],$A162,Table14[Bill No.],$B162),IF($J162="XtraGreen",SUMIFS(Table146[Amount],Table146[Company],$M$3,Table146[Date],$A162,Table146[Bill No.],$B162),SUMIFS('Other Sale'!$D:$D,'Other Sale'!$E:$E,$M$3,'Other Sale'!$C:$C,$J162,'Other Sale'!$A:$A,$A162)))))</f>
        <v/>
      </c>
      <c r="F162" s="347" t="str" cm="1">
        <f t="array" ref="F162">IF($A162="","",IF($J162="Payment",IFERROR(INDEX(_xlfn._xlws.FILTER(MasterPaid[Amount Paid],(MasterPaid[Customer]=$M$3)*(MasterPaid[Date]=$A162)),COUNTIFS($A$6:$A162,$A162,$J$6:$J162,"Payment")),0),0))</f>
        <v/>
      </c>
      <c r="G162" s="331"/>
      <c r="H162" s="427"/>
      <c r="I162" s="330" t="str">
        <f t="shared" si="11"/>
        <v/>
      </c>
      <c r="J162" s="344" t="str" cm="1">
        <f t="array" ref="J162">IFERROR(INDEX(_xlfn.ANCHORARRAY($P$6),ROW()-5,3),"")</f>
        <v/>
      </c>
      <c r="K162" s="432"/>
      <c r="L162" s="348"/>
    </row>
    <row r="163" spans="1:12" ht="23" x14ac:dyDescent="0.25">
      <c r="A163" s="217" t="str" cm="1">
        <f t="array" ref="A163">IFERROR(INDEX(_xlfn.ANCHORARRAY($P$6),ROW()-5,1),"")</f>
        <v/>
      </c>
      <c r="B163" s="344" t="str" cm="1">
        <f t="array" ref="B163">IFERROR(INDEX(_xlfn.ANCHORARRAY($P$6),ROW()-5,2),"")</f>
        <v/>
      </c>
      <c r="C163" s="345" t="str">
        <f>IF($A163="","",IF($J163="DIESEL",SUMIFS(Table1[Quantity],Table1[Customer],$M$3,Table1[Date],$A163,Table1[Bill No.],$B163),IF($J163="PETROL",SUMIFS(Table14[Quantity],Table14[Customer],$M$3,Table14[Date],$A163,Table14[Bill No.],$B163),IF($J163="XtraGreen",SUMIFS(Table146[Quantity],Table146[Company],$M$3,Table146[Date],$A163,Table146[Bill No.],$B163),""))))</f>
        <v/>
      </c>
      <c r="D163" s="346" t="str">
        <f>IF($A163="","",IF($J163="DIESEL",AVERAGEIFS(Table1[RSP],Table1[Customer],$M$3,Table1[Date],$A163,Table1[Bill No.],$B163),IF($J163="PETROL",AVERAGEIFS(Table14[RSP],Table14[Customer],$M$3,Table14[Date],$A163,Table14[Bill No.],$B163),IF($J163="XtraGreen",AVERAGEIFS(Table146[RSP],Table146[Company],$M$3,Table146[Date],$A163,Table146[Bill No.],$B163),IFERROR($E163/$C163,"")))))</f>
        <v/>
      </c>
      <c r="E163" s="347" t="str">
        <f>IF($A163="","",IF($J163="DIESEL",SUMIFS(Table1[Amount],Table1[Customer],$M$3,Table1[Date],$A163,Table1[Bill No.],$B163),IF($J163="PETROL",SUMIFS(Table14[Amount],Table14[Customer],$M$3,Table14[Date],$A163,Table14[Bill No.],$B163),IF($J163="XtraGreen",SUMIFS(Table146[Amount],Table146[Company],$M$3,Table146[Date],$A163,Table146[Bill No.],$B163),SUMIFS('Other Sale'!$D:$D,'Other Sale'!$E:$E,$M$3,'Other Sale'!$C:$C,$J163,'Other Sale'!$A:$A,$A163)))))</f>
        <v/>
      </c>
      <c r="F163" s="347" t="str" cm="1">
        <f t="array" ref="F163">IF($A163="","",IF($J163="Payment",IFERROR(INDEX(_xlfn._xlws.FILTER(MasterPaid[Amount Paid],(MasterPaid[Customer]=$M$3)*(MasterPaid[Date]=$A163)),COUNTIFS($A$6:$A163,$A163,$J$6:$J163,"Payment")),0),0))</f>
        <v/>
      </c>
      <c r="G163" s="331"/>
      <c r="H163" s="427"/>
      <c r="I163" s="330" t="str">
        <f t="shared" si="11"/>
        <v/>
      </c>
      <c r="J163" s="344" t="str" cm="1">
        <f t="array" ref="J163">IFERROR(INDEX(_xlfn.ANCHORARRAY($P$6),ROW()-5,3),"")</f>
        <v/>
      </c>
      <c r="K163" s="432"/>
      <c r="L163" s="348"/>
    </row>
    <row r="164" spans="1:12" ht="23" x14ac:dyDescent="0.25">
      <c r="A164" s="217" t="str" cm="1">
        <f t="array" ref="A164">IFERROR(INDEX(_xlfn.ANCHORARRAY($P$6),ROW()-5,1),"")</f>
        <v/>
      </c>
      <c r="B164" s="344" t="str" cm="1">
        <f t="array" ref="B164">IFERROR(INDEX(_xlfn.ANCHORARRAY($P$6),ROW()-5,2),"")</f>
        <v/>
      </c>
      <c r="C164" s="345" t="str">
        <f>IF($A164="","",IF($J164="DIESEL",SUMIFS(Table1[Quantity],Table1[Customer],$M$3,Table1[Date],$A164,Table1[Bill No.],$B164),IF($J164="PETROL",SUMIFS(Table14[Quantity],Table14[Customer],$M$3,Table14[Date],$A164,Table14[Bill No.],$B164),IF($J164="XtraGreen",SUMIFS(Table146[Quantity],Table146[Company],$M$3,Table146[Date],$A164,Table146[Bill No.],$B164),""))))</f>
        <v/>
      </c>
      <c r="D164" s="346" t="str">
        <f>IF($A164="","",IF($J164="DIESEL",AVERAGEIFS(Table1[RSP],Table1[Customer],$M$3,Table1[Date],$A164,Table1[Bill No.],$B164),IF($J164="PETROL",AVERAGEIFS(Table14[RSP],Table14[Customer],$M$3,Table14[Date],$A164,Table14[Bill No.],$B164),IF($J164="XtraGreen",AVERAGEIFS(Table146[RSP],Table146[Company],$M$3,Table146[Date],$A164,Table146[Bill No.],$B164),IFERROR($E164/$C164,"")))))</f>
        <v/>
      </c>
      <c r="E164" s="347" t="str">
        <f>IF($A164="","",IF($J164="DIESEL",SUMIFS(Table1[Amount],Table1[Customer],$M$3,Table1[Date],$A164,Table1[Bill No.],$B164),IF($J164="PETROL",SUMIFS(Table14[Amount],Table14[Customer],$M$3,Table14[Date],$A164,Table14[Bill No.],$B164),IF($J164="XtraGreen",SUMIFS(Table146[Amount],Table146[Company],$M$3,Table146[Date],$A164,Table146[Bill No.],$B164),SUMIFS('Other Sale'!$D:$D,'Other Sale'!$E:$E,$M$3,'Other Sale'!$C:$C,$J164,'Other Sale'!$A:$A,$A164)))))</f>
        <v/>
      </c>
      <c r="F164" s="347" t="str" cm="1">
        <f t="array" ref="F164">IF($A164="","",IF($J164="Payment",IFERROR(INDEX(_xlfn._xlws.FILTER(MasterPaid[Amount Paid],(MasterPaid[Customer]=$M$3)*(MasterPaid[Date]=$A164)),COUNTIFS($A$6:$A164,$A164,$J$6:$J164,"Payment")),0),0))</f>
        <v/>
      </c>
      <c r="G164" s="331"/>
      <c r="H164" s="427"/>
      <c r="I164" s="330" t="str">
        <f t="shared" si="11"/>
        <v/>
      </c>
      <c r="J164" s="344" t="str" cm="1">
        <f t="array" ref="J164">IFERROR(INDEX(_xlfn.ANCHORARRAY($P$6),ROW()-5,3),"")</f>
        <v/>
      </c>
      <c r="K164" s="432"/>
      <c r="L164" s="348"/>
    </row>
    <row r="165" spans="1:12" ht="23" x14ac:dyDescent="0.25">
      <c r="A165" s="217" t="str" cm="1">
        <f t="array" ref="A165">IFERROR(INDEX(_xlfn.ANCHORARRAY($P$6),ROW()-5,1),"")</f>
        <v/>
      </c>
      <c r="B165" s="344" t="str" cm="1">
        <f t="array" ref="B165">IFERROR(INDEX(_xlfn.ANCHORARRAY($P$6),ROW()-5,2),"")</f>
        <v/>
      </c>
      <c r="C165" s="345" t="str">
        <f>IF($A165="","",IF($J165="DIESEL",SUMIFS(Table1[Quantity],Table1[Customer],$M$3,Table1[Date],$A165,Table1[Bill No.],$B165),IF($J165="PETROL",SUMIFS(Table14[Quantity],Table14[Customer],$M$3,Table14[Date],$A165,Table14[Bill No.],$B165),IF($J165="XtraGreen",SUMIFS(Table146[Quantity],Table146[Company],$M$3,Table146[Date],$A165,Table146[Bill No.],$B165),""))))</f>
        <v/>
      </c>
      <c r="D165" s="346" t="str">
        <f>IF($A165="","",IF($J165="DIESEL",AVERAGEIFS(Table1[RSP],Table1[Customer],$M$3,Table1[Date],$A165,Table1[Bill No.],$B165),IF($J165="PETROL",AVERAGEIFS(Table14[RSP],Table14[Customer],$M$3,Table14[Date],$A165,Table14[Bill No.],$B165),IF($J165="XtraGreen",AVERAGEIFS(Table146[RSP],Table146[Company],$M$3,Table146[Date],$A165,Table146[Bill No.],$B165),IFERROR($E165/$C165,"")))))</f>
        <v/>
      </c>
      <c r="E165" s="347" t="str">
        <f>IF($A165="","",IF($J165="DIESEL",SUMIFS(Table1[Amount],Table1[Customer],$M$3,Table1[Date],$A165,Table1[Bill No.],$B165),IF($J165="PETROL",SUMIFS(Table14[Amount],Table14[Customer],$M$3,Table14[Date],$A165,Table14[Bill No.],$B165),IF($J165="XtraGreen",SUMIFS(Table146[Amount],Table146[Company],$M$3,Table146[Date],$A165,Table146[Bill No.],$B165),SUMIFS('Other Sale'!$D:$D,'Other Sale'!$E:$E,$M$3,'Other Sale'!$C:$C,$J165,'Other Sale'!$A:$A,$A165)))))</f>
        <v/>
      </c>
      <c r="F165" s="347" t="str" cm="1">
        <f t="array" ref="F165">IF($A165="","",IF($J165="Payment",IFERROR(INDEX(_xlfn._xlws.FILTER(MasterPaid[Amount Paid],(MasterPaid[Customer]=$M$3)*(MasterPaid[Date]=$A165)),COUNTIFS($A$6:$A165,$A165,$J$6:$J165,"Payment")),0),0))</f>
        <v/>
      </c>
      <c r="G165" s="331"/>
      <c r="H165" s="427"/>
      <c r="I165" s="330" t="str">
        <f t="shared" si="11"/>
        <v/>
      </c>
      <c r="J165" s="344" t="str" cm="1">
        <f t="array" ref="J165">IFERROR(INDEX(_xlfn.ANCHORARRAY($P$6),ROW()-5,3),"")</f>
        <v/>
      </c>
      <c r="K165" s="432"/>
      <c r="L165" s="348"/>
    </row>
    <row r="166" spans="1:12" ht="23" x14ac:dyDescent="0.25">
      <c r="A166" s="217" t="str" cm="1">
        <f t="array" ref="A166">IFERROR(INDEX(_xlfn.ANCHORARRAY($P$6),ROW()-5,1),"")</f>
        <v/>
      </c>
      <c r="B166" s="344" t="str" cm="1">
        <f t="array" ref="B166">IFERROR(INDEX(_xlfn.ANCHORARRAY($P$6),ROW()-5,2),"")</f>
        <v/>
      </c>
      <c r="C166" s="345" t="str">
        <f>IF($A166="","",IF($J166="DIESEL",SUMIFS(Table1[Quantity],Table1[Customer],$M$3,Table1[Date],$A166,Table1[Bill No.],$B166),IF($J166="PETROL",SUMIFS(Table14[Quantity],Table14[Customer],$M$3,Table14[Date],$A166,Table14[Bill No.],$B166),IF($J166="XtraGreen",SUMIFS(Table146[Quantity],Table146[Company],$M$3,Table146[Date],$A166,Table146[Bill No.],$B166),""))))</f>
        <v/>
      </c>
      <c r="D166" s="346" t="str">
        <f>IF($A166="","",IF($J166="DIESEL",AVERAGEIFS(Table1[RSP],Table1[Customer],$M$3,Table1[Date],$A166,Table1[Bill No.],$B166),IF($J166="PETROL",AVERAGEIFS(Table14[RSP],Table14[Customer],$M$3,Table14[Date],$A166,Table14[Bill No.],$B166),IF($J166="XtraGreen",AVERAGEIFS(Table146[RSP],Table146[Company],$M$3,Table146[Date],$A166,Table146[Bill No.],$B166),IFERROR($E166/$C166,"")))))</f>
        <v/>
      </c>
      <c r="E166" s="347" t="str">
        <f>IF($A166="","",IF($J166="DIESEL",SUMIFS(Table1[Amount],Table1[Customer],$M$3,Table1[Date],$A166,Table1[Bill No.],$B166),IF($J166="PETROL",SUMIFS(Table14[Amount],Table14[Customer],$M$3,Table14[Date],$A166,Table14[Bill No.],$B166),IF($J166="XtraGreen",SUMIFS(Table146[Amount],Table146[Company],$M$3,Table146[Date],$A166,Table146[Bill No.],$B166),SUMIFS('Other Sale'!$D:$D,'Other Sale'!$E:$E,$M$3,'Other Sale'!$C:$C,$J166,'Other Sale'!$A:$A,$A166)))))</f>
        <v/>
      </c>
      <c r="F166" s="347" t="str" cm="1">
        <f t="array" ref="F166">IF($A166="","",IF($J166="Payment",IFERROR(INDEX(_xlfn._xlws.FILTER(MasterPaid[Amount Paid],(MasterPaid[Customer]=$M$3)*(MasterPaid[Date]=$A166)),COUNTIFS($A$6:$A166,$A166,$J$6:$J166,"Payment")),0),0))</f>
        <v/>
      </c>
      <c r="G166" s="331"/>
      <c r="H166" s="427"/>
      <c r="I166" s="330" t="str">
        <f t="shared" si="11"/>
        <v/>
      </c>
      <c r="J166" s="344" t="str" cm="1">
        <f t="array" ref="J166">IFERROR(INDEX(_xlfn.ANCHORARRAY($P$6),ROW()-5,3),"")</f>
        <v/>
      </c>
      <c r="K166" s="432"/>
      <c r="L166" s="348"/>
    </row>
    <row r="167" spans="1:12" ht="23" x14ac:dyDescent="0.25">
      <c r="A167" s="217" t="str" cm="1">
        <f t="array" ref="A167">IFERROR(INDEX(_xlfn.ANCHORARRAY($P$6),ROW()-5,1),"")</f>
        <v/>
      </c>
      <c r="B167" s="344" t="str" cm="1">
        <f t="array" ref="B167">IFERROR(INDEX(_xlfn.ANCHORARRAY($P$6),ROW()-5,2),"")</f>
        <v/>
      </c>
      <c r="C167" s="345" t="str">
        <f>IF($A167="","",IF($J167="DIESEL",SUMIFS(Table1[Quantity],Table1[Customer],$M$3,Table1[Date],$A167,Table1[Bill No.],$B167),IF($J167="PETROL",SUMIFS(Table14[Quantity],Table14[Customer],$M$3,Table14[Date],$A167,Table14[Bill No.],$B167),IF($J167="XtraGreen",SUMIFS(Table146[Quantity],Table146[Company],$M$3,Table146[Date],$A167,Table146[Bill No.],$B167),""))))</f>
        <v/>
      </c>
      <c r="D167" s="346" t="str">
        <f>IF($A167="","",IF($J167="DIESEL",AVERAGEIFS(Table1[RSP],Table1[Customer],$M$3,Table1[Date],$A167,Table1[Bill No.],$B167),IF($J167="PETROL",AVERAGEIFS(Table14[RSP],Table14[Customer],$M$3,Table14[Date],$A167,Table14[Bill No.],$B167),IF($J167="XtraGreen",AVERAGEIFS(Table146[RSP],Table146[Company],$M$3,Table146[Date],$A167,Table146[Bill No.],$B167),IFERROR($E167/$C167,"")))))</f>
        <v/>
      </c>
      <c r="E167" s="347" t="str">
        <f>IF($A167="","",IF($J167="DIESEL",SUMIFS(Table1[Amount],Table1[Customer],$M$3,Table1[Date],$A167,Table1[Bill No.],$B167),IF($J167="PETROL",SUMIFS(Table14[Amount],Table14[Customer],$M$3,Table14[Date],$A167,Table14[Bill No.],$B167),IF($J167="XtraGreen",SUMIFS(Table146[Amount],Table146[Company],$M$3,Table146[Date],$A167,Table146[Bill No.],$B167),SUMIFS('Other Sale'!$D:$D,'Other Sale'!$E:$E,$M$3,'Other Sale'!$C:$C,$J167,'Other Sale'!$A:$A,$A167)))))</f>
        <v/>
      </c>
      <c r="F167" s="347" t="str" cm="1">
        <f t="array" ref="F167">IF($A167="","",IF($J167="Payment",IFERROR(INDEX(_xlfn._xlws.FILTER(MasterPaid[Amount Paid],(MasterPaid[Customer]=$M$3)*(MasterPaid[Date]=$A167)),COUNTIFS($A$6:$A167,$A167,$J$6:$J167,"Payment")),0),0))</f>
        <v/>
      </c>
      <c r="G167" s="331"/>
      <c r="H167" s="427"/>
      <c r="I167" s="330" t="str">
        <f t="shared" si="11"/>
        <v/>
      </c>
      <c r="J167" s="344" t="str" cm="1">
        <f t="array" ref="J167">IFERROR(INDEX(_xlfn.ANCHORARRAY($P$6),ROW()-5,3),"")</f>
        <v/>
      </c>
      <c r="K167" s="432"/>
      <c r="L167" s="348"/>
    </row>
    <row r="168" spans="1:12" ht="23" x14ac:dyDescent="0.25">
      <c r="A168" s="217" t="str" cm="1">
        <f t="array" ref="A168">IFERROR(INDEX(_xlfn.ANCHORARRAY($P$6),ROW()-5,1),"")</f>
        <v/>
      </c>
      <c r="B168" s="344" t="str" cm="1">
        <f t="array" ref="B168">IFERROR(INDEX(_xlfn.ANCHORARRAY($P$6),ROW()-5,2),"")</f>
        <v/>
      </c>
      <c r="C168" s="345" t="str">
        <f>IF($A168="","",IF($J168="DIESEL",SUMIFS(Table1[Quantity],Table1[Customer],$M$3,Table1[Date],$A168,Table1[Bill No.],$B168),IF($J168="PETROL",SUMIFS(Table14[Quantity],Table14[Customer],$M$3,Table14[Date],$A168,Table14[Bill No.],$B168),IF($J168="XtraGreen",SUMIFS(Table146[Quantity],Table146[Company],$M$3,Table146[Date],$A168,Table146[Bill No.],$B168),""))))</f>
        <v/>
      </c>
      <c r="D168" s="346" t="str">
        <f>IF($A168="","",IF($J168="DIESEL",AVERAGEIFS(Table1[RSP],Table1[Customer],$M$3,Table1[Date],$A168,Table1[Bill No.],$B168),IF($J168="PETROL",AVERAGEIFS(Table14[RSP],Table14[Customer],$M$3,Table14[Date],$A168,Table14[Bill No.],$B168),IF($J168="XtraGreen",AVERAGEIFS(Table146[RSP],Table146[Company],$M$3,Table146[Date],$A168,Table146[Bill No.],$B168),IFERROR($E168/$C168,"")))))</f>
        <v/>
      </c>
      <c r="E168" s="347" t="str">
        <f>IF($A168="","",IF($J168="DIESEL",SUMIFS(Table1[Amount],Table1[Customer],$M$3,Table1[Date],$A168,Table1[Bill No.],$B168),IF($J168="PETROL",SUMIFS(Table14[Amount],Table14[Customer],$M$3,Table14[Date],$A168,Table14[Bill No.],$B168),IF($J168="XtraGreen",SUMIFS(Table146[Amount],Table146[Company],$M$3,Table146[Date],$A168,Table146[Bill No.],$B168),SUMIFS('Other Sale'!$D:$D,'Other Sale'!$E:$E,$M$3,'Other Sale'!$C:$C,$J168,'Other Sale'!$A:$A,$A168)))))</f>
        <v/>
      </c>
      <c r="F168" s="347" t="str" cm="1">
        <f t="array" ref="F168">IF($A168="","",IF($J168="Payment",IFERROR(INDEX(_xlfn._xlws.FILTER(MasterPaid[Amount Paid],(MasterPaid[Customer]=$M$3)*(MasterPaid[Date]=$A168)),COUNTIFS($A$6:$A168,$A168,$J$6:$J168,"Payment")),0),0))</f>
        <v/>
      </c>
      <c r="G168" s="331"/>
      <c r="H168" s="427"/>
      <c r="I168" s="330" t="str">
        <f t="shared" si="11"/>
        <v/>
      </c>
      <c r="J168" s="344" t="str" cm="1">
        <f t="array" ref="J168">IFERROR(INDEX(_xlfn.ANCHORARRAY($P$6),ROW()-5,3),"")</f>
        <v/>
      </c>
      <c r="K168" s="432"/>
      <c r="L168" s="348"/>
    </row>
    <row r="169" spans="1:12" ht="23" x14ac:dyDescent="0.25">
      <c r="A169" s="217" t="str" cm="1">
        <f t="array" ref="A169">IFERROR(INDEX(_xlfn.ANCHORARRAY($P$6),ROW()-5,1),"")</f>
        <v/>
      </c>
      <c r="B169" s="344" t="str" cm="1">
        <f t="array" ref="B169">IFERROR(INDEX(_xlfn.ANCHORARRAY($P$6),ROW()-5,2),"")</f>
        <v/>
      </c>
      <c r="C169" s="345" t="str">
        <f>IF($A169="","",IF($J169="DIESEL",SUMIFS(Table1[Quantity],Table1[Customer],$M$3,Table1[Date],$A169,Table1[Bill No.],$B169),IF($J169="PETROL",SUMIFS(Table14[Quantity],Table14[Customer],$M$3,Table14[Date],$A169,Table14[Bill No.],$B169),IF($J169="XtraGreen",SUMIFS(Table146[Quantity],Table146[Company],$M$3,Table146[Date],$A169,Table146[Bill No.],$B169),""))))</f>
        <v/>
      </c>
      <c r="D169" s="346" t="str">
        <f>IF($A169="","",IF($J169="DIESEL",AVERAGEIFS(Table1[RSP],Table1[Customer],$M$3,Table1[Date],$A169,Table1[Bill No.],$B169),IF($J169="PETROL",AVERAGEIFS(Table14[RSP],Table14[Customer],$M$3,Table14[Date],$A169,Table14[Bill No.],$B169),IF($J169="XtraGreen",AVERAGEIFS(Table146[RSP],Table146[Company],$M$3,Table146[Date],$A169,Table146[Bill No.],$B169),IFERROR($E169/$C169,"")))))</f>
        <v/>
      </c>
      <c r="E169" s="347" t="str">
        <f>IF($A169="","",IF($J169="DIESEL",SUMIFS(Table1[Amount],Table1[Customer],$M$3,Table1[Date],$A169,Table1[Bill No.],$B169),IF($J169="PETROL",SUMIFS(Table14[Amount],Table14[Customer],$M$3,Table14[Date],$A169,Table14[Bill No.],$B169),IF($J169="XtraGreen",SUMIFS(Table146[Amount],Table146[Company],$M$3,Table146[Date],$A169,Table146[Bill No.],$B169),SUMIFS('Other Sale'!$D:$D,'Other Sale'!$E:$E,$M$3,'Other Sale'!$C:$C,$J169,'Other Sale'!$A:$A,$A169)))))</f>
        <v/>
      </c>
      <c r="F169" s="347" t="str" cm="1">
        <f t="array" ref="F169">IF($A169="","",IF($J169="Payment",IFERROR(INDEX(_xlfn._xlws.FILTER(MasterPaid[Amount Paid],(MasterPaid[Customer]=$M$3)*(MasterPaid[Date]=$A169)),COUNTIFS($A$6:$A169,$A169,$J$6:$J169,"Payment")),0),0))</f>
        <v/>
      </c>
      <c r="G169" s="331"/>
      <c r="H169" s="427"/>
      <c r="I169" s="330" t="str">
        <f t="shared" si="11"/>
        <v/>
      </c>
      <c r="J169" s="344" t="str" cm="1">
        <f t="array" ref="J169">IFERROR(INDEX(_xlfn.ANCHORARRAY($P$6),ROW()-5,3),"")</f>
        <v/>
      </c>
      <c r="K169" s="432"/>
      <c r="L169" s="348"/>
    </row>
    <row r="170" spans="1:12" ht="23" x14ac:dyDescent="0.25">
      <c r="A170" s="217" t="str" cm="1">
        <f t="array" ref="A170">IFERROR(INDEX(_xlfn.ANCHORARRAY($P$6),ROW()-5,1),"")</f>
        <v/>
      </c>
      <c r="B170" s="344" t="str" cm="1">
        <f t="array" ref="B170">IFERROR(INDEX(_xlfn.ANCHORARRAY($P$6),ROW()-5,2),"")</f>
        <v/>
      </c>
      <c r="C170" s="345" t="str">
        <f>IF($A170="","",IF($J170="DIESEL",SUMIFS(Table1[Quantity],Table1[Customer],$M$3,Table1[Date],$A170,Table1[Bill No.],$B170),IF($J170="PETROL",SUMIFS(Table14[Quantity],Table14[Customer],$M$3,Table14[Date],$A170,Table14[Bill No.],$B170),IF($J170="XtraGreen",SUMIFS(Table146[Quantity],Table146[Company],$M$3,Table146[Date],$A170,Table146[Bill No.],$B170),""))))</f>
        <v/>
      </c>
      <c r="D170" s="346" t="str">
        <f>IF($A170="","",IF($J170="DIESEL",AVERAGEIFS(Table1[RSP],Table1[Customer],$M$3,Table1[Date],$A170,Table1[Bill No.],$B170),IF($J170="PETROL",AVERAGEIFS(Table14[RSP],Table14[Customer],$M$3,Table14[Date],$A170,Table14[Bill No.],$B170),IF($J170="XtraGreen",AVERAGEIFS(Table146[RSP],Table146[Company],$M$3,Table146[Date],$A170,Table146[Bill No.],$B170),IFERROR($E170/$C170,"")))))</f>
        <v/>
      </c>
      <c r="E170" s="347" t="str">
        <f>IF($A170="","",IF($J170="DIESEL",SUMIFS(Table1[Amount],Table1[Customer],$M$3,Table1[Date],$A170,Table1[Bill No.],$B170),IF($J170="PETROL",SUMIFS(Table14[Amount],Table14[Customer],$M$3,Table14[Date],$A170,Table14[Bill No.],$B170),IF($J170="XtraGreen",SUMIFS(Table146[Amount],Table146[Company],$M$3,Table146[Date],$A170,Table146[Bill No.],$B170),SUMIFS('Other Sale'!$D:$D,'Other Sale'!$E:$E,$M$3,'Other Sale'!$C:$C,$J170,'Other Sale'!$A:$A,$A170)))))</f>
        <v/>
      </c>
      <c r="F170" s="347" t="str" cm="1">
        <f t="array" ref="F170">IF($A170="","",IF($J170="Payment",IFERROR(INDEX(_xlfn._xlws.FILTER(MasterPaid[Amount Paid],(MasterPaid[Customer]=$M$3)*(MasterPaid[Date]=$A170)),COUNTIFS($A$6:$A170,$A170,$J$6:$J170,"Payment")),0),0))</f>
        <v/>
      </c>
      <c r="G170" s="331"/>
      <c r="H170" s="427"/>
      <c r="I170" s="330" t="str">
        <f t="shared" si="11"/>
        <v/>
      </c>
      <c r="J170" s="344" t="str" cm="1">
        <f t="array" ref="J170">IFERROR(INDEX(_xlfn.ANCHORARRAY($P$6),ROW()-5,3),"")</f>
        <v/>
      </c>
      <c r="K170" s="432"/>
      <c r="L170" s="348"/>
    </row>
    <row r="171" spans="1:12" ht="23" x14ac:dyDescent="0.25">
      <c r="A171" s="217" t="str" cm="1">
        <f t="array" ref="A171">IFERROR(INDEX(_xlfn.ANCHORARRAY($P$6),ROW()-5,1),"")</f>
        <v/>
      </c>
      <c r="B171" s="344" t="str" cm="1">
        <f t="array" ref="B171">IFERROR(INDEX(_xlfn.ANCHORARRAY($P$6),ROW()-5,2),"")</f>
        <v/>
      </c>
      <c r="C171" s="345" t="str">
        <f>IF($A171="","",IF($J171="DIESEL",SUMIFS(Table1[Quantity],Table1[Customer],$M$3,Table1[Date],$A171,Table1[Bill No.],$B171),IF($J171="PETROL",SUMIFS(Table14[Quantity],Table14[Customer],$M$3,Table14[Date],$A171,Table14[Bill No.],$B171),IF($J171="XtraGreen",SUMIFS(Table146[Quantity],Table146[Company],$M$3,Table146[Date],$A171,Table146[Bill No.],$B171),""))))</f>
        <v/>
      </c>
      <c r="D171" s="346" t="str">
        <f>IF($A171="","",IF($J171="DIESEL",AVERAGEIFS(Table1[RSP],Table1[Customer],$M$3,Table1[Date],$A171,Table1[Bill No.],$B171),IF($J171="PETROL",AVERAGEIFS(Table14[RSP],Table14[Customer],$M$3,Table14[Date],$A171,Table14[Bill No.],$B171),IF($J171="XtraGreen",AVERAGEIFS(Table146[RSP],Table146[Company],$M$3,Table146[Date],$A171,Table146[Bill No.],$B171),IFERROR($E171/$C171,"")))))</f>
        <v/>
      </c>
      <c r="E171" s="347" t="str">
        <f>IF($A171="","",IF($J171="DIESEL",SUMIFS(Table1[Amount],Table1[Customer],$M$3,Table1[Date],$A171,Table1[Bill No.],$B171),IF($J171="PETROL",SUMIFS(Table14[Amount],Table14[Customer],$M$3,Table14[Date],$A171,Table14[Bill No.],$B171),IF($J171="XtraGreen",SUMIFS(Table146[Amount],Table146[Company],$M$3,Table146[Date],$A171,Table146[Bill No.],$B171),SUMIFS('Other Sale'!$D:$D,'Other Sale'!$E:$E,$M$3,'Other Sale'!$C:$C,$J171,'Other Sale'!$A:$A,$A171)))))</f>
        <v/>
      </c>
      <c r="F171" s="347" t="str" cm="1">
        <f t="array" ref="F171">IF($A171="","",IF($J171="Payment",IFERROR(INDEX(_xlfn._xlws.FILTER(MasterPaid[Amount Paid],(MasterPaid[Customer]=$M$3)*(MasterPaid[Date]=$A171)),COUNTIFS($A$6:$A171,$A171,$J$6:$J171,"Payment")),0),0))</f>
        <v/>
      </c>
      <c r="G171" s="331"/>
      <c r="H171" s="427"/>
      <c r="I171" s="330" t="str">
        <f t="shared" si="11"/>
        <v/>
      </c>
      <c r="J171" s="344" t="str" cm="1">
        <f t="array" ref="J171">IFERROR(INDEX(_xlfn.ANCHORARRAY($P$6),ROW()-5,3),"")</f>
        <v/>
      </c>
      <c r="K171" s="432"/>
      <c r="L171" s="348"/>
    </row>
    <row r="172" spans="1:12" ht="23" x14ac:dyDescent="0.25">
      <c r="A172" s="217" t="str" cm="1">
        <f t="array" ref="A172">IFERROR(INDEX(_xlfn.ANCHORARRAY($P$6),ROW()-5,1),"")</f>
        <v/>
      </c>
      <c r="B172" s="344" t="str" cm="1">
        <f t="array" ref="B172">IFERROR(INDEX(_xlfn.ANCHORARRAY($P$6),ROW()-5,2),"")</f>
        <v/>
      </c>
      <c r="C172" s="345" t="str">
        <f>IF($A172="","",IF($J172="DIESEL",SUMIFS(Table1[Quantity],Table1[Customer],$M$3,Table1[Date],$A172,Table1[Bill No.],$B172),IF($J172="PETROL",SUMIFS(Table14[Quantity],Table14[Customer],$M$3,Table14[Date],$A172,Table14[Bill No.],$B172),IF($J172="XtraGreen",SUMIFS(Table146[Quantity],Table146[Company],$M$3,Table146[Date],$A172,Table146[Bill No.],$B172),""))))</f>
        <v/>
      </c>
      <c r="D172" s="346" t="str">
        <f>IF($A172="","",IF($J172="DIESEL",AVERAGEIFS(Table1[RSP],Table1[Customer],$M$3,Table1[Date],$A172,Table1[Bill No.],$B172),IF($J172="PETROL",AVERAGEIFS(Table14[RSP],Table14[Customer],$M$3,Table14[Date],$A172,Table14[Bill No.],$B172),IF($J172="XtraGreen",AVERAGEIFS(Table146[RSP],Table146[Company],$M$3,Table146[Date],$A172,Table146[Bill No.],$B172),IFERROR($E172/$C172,"")))))</f>
        <v/>
      </c>
      <c r="E172" s="347" t="str">
        <f>IF($A172="","",IF($J172="DIESEL",SUMIFS(Table1[Amount],Table1[Customer],$M$3,Table1[Date],$A172,Table1[Bill No.],$B172),IF($J172="PETROL",SUMIFS(Table14[Amount],Table14[Customer],$M$3,Table14[Date],$A172,Table14[Bill No.],$B172),IF($J172="XtraGreen",SUMIFS(Table146[Amount],Table146[Company],$M$3,Table146[Date],$A172,Table146[Bill No.],$B172),SUMIFS('Other Sale'!$D:$D,'Other Sale'!$E:$E,$M$3,'Other Sale'!$C:$C,$J172,'Other Sale'!$A:$A,$A172)))))</f>
        <v/>
      </c>
      <c r="F172" s="347" t="str" cm="1">
        <f t="array" ref="F172">IF($A172="","",IF($J172="Payment",IFERROR(INDEX(_xlfn._xlws.FILTER(MasterPaid[Amount Paid],(MasterPaid[Customer]=$M$3)*(MasterPaid[Date]=$A172)),COUNTIFS($A$6:$A172,$A172,$J$6:$J172,"Payment")),0),0))</f>
        <v/>
      </c>
      <c r="G172" s="331"/>
      <c r="H172" s="427"/>
      <c r="I172" s="330" t="str">
        <f t="shared" si="11"/>
        <v/>
      </c>
      <c r="J172" s="344" t="str" cm="1">
        <f t="array" ref="J172">IFERROR(INDEX(_xlfn.ANCHORARRAY($P$6),ROW()-5,3),"")</f>
        <v/>
      </c>
      <c r="K172" s="432"/>
      <c r="L172" s="348"/>
    </row>
    <row r="173" spans="1:12" ht="23" x14ac:dyDescent="0.25">
      <c r="A173" s="217" t="str" cm="1">
        <f t="array" ref="A173">IFERROR(INDEX(_xlfn.ANCHORARRAY($P$6),ROW()-5,1),"")</f>
        <v/>
      </c>
      <c r="B173" s="344" t="str" cm="1">
        <f t="array" ref="B173">IFERROR(INDEX(_xlfn.ANCHORARRAY($P$6),ROW()-5,2),"")</f>
        <v/>
      </c>
      <c r="C173" s="345" t="str">
        <f>IF($A173="","",IF($J173="DIESEL",SUMIFS(Table1[Quantity],Table1[Customer],$M$3,Table1[Date],$A173,Table1[Bill No.],$B173),IF($J173="PETROL",SUMIFS(Table14[Quantity],Table14[Customer],$M$3,Table14[Date],$A173,Table14[Bill No.],$B173),IF($J173="XtraGreen",SUMIFS(Table146[Quantity],Table146[Company],$M$3,Table146[Date],$A173,Table146[Bill No.],$B173),""))))</f>
        <v/>
      </c>
      <c r="D173" s="346" t="str">
        <f>IF($A173="","",IF($J173="DIESEL",AVERAGEIFS(Table1[RSP],Table1[Customer],$M$3,Table1[Date],$A173,Table1[Bill No.],$B173),IF($J173="PETROL",AVERAGEIFS(Table14[RSP],Table14[Customer],$M$3,Table14[Date],$A173,Table14[Bill No.],$B173),IF($J173="XtraGreen",AVERAGEIFS(Table146[RSP],Table146[Company],$M$3,Table146[Date],$A173,Table146[Bill No.],$B173),IFERROR($E173/$C173,"")))))</f>
        <v/>
      </c>
      <c r="E173" s="347" t="str">
        <f>IF($A173="","",IF($J173="DIESEL",SUMIFS(Table1[Amount],Table1[Customer],$M$3,Table1[Date],$A173,Table1[Bill No.],$B173),IF($J173="PETROL",SUMIFS(Table14[Amount],Table14[Customer],$M$3,Table14[Date],$A173,Table14[Bill No.],$B173),IF($J173="XtraGreen",SUMIFS(Table146[Amount],Table146[Company],$M$3,Table146[Date],$A173,Table146[Bill No.],$B173),SUMIFS('Other Sale'!$D:$D,'Other Sale'!$E:$E,$M$3,'Other Sale'!$C:$C,$J173,'Other Sale'!$A:$A,$A173)))))</f>
        <v/>
      </c>
      <c r="F173" s="347" t="str" cm="1">
        <f t="array" ref="F173">IF($A173="","",IF($J173="Payment",IFERROR(INDEX(_xlfn._xlws.FILTER(MasterPaid[Amount Paid],(MasterPaid[Customer]=$M$3)*(MasterPaid[Date]=$A173)),COUNTIFS($A$6:$A173,$A173,$J$6:$J173,"Payment")),0),0))</f>
        <v/>
      </c>
      <c r="G173" s="331"/>
      <c r="H173" s="427"/>
      <c r="I173" s="330" t="str">
        <f t="shared" si="11"/>
        <v/>
      </c>
      <c r="J173" s="344" t="str" cm="1">
        <f t="array" ref="J173">IFERROR(INDEX(_xlfn.ANCHORARRAY($P$6),ROW()-5,3),"")</f>
        <v/>
      </c>
      <c r="K173" s="432"/>
      <c r="L173" s="348"/>
    </row>
    <row r="174" spans="1:12" ht="23" x14ac:dyDescent="0.25">
      <c r="A174" s="217" t="str" cm="1">
        <f t="array" ref="A174">IFERROR(INDEX(_xlfn.ANCHORARRAY($P$6),ROW()-5,1),"")</f>
        <v/>
      </c>
      <c r="B174" s="344" t="str" cm="1">
        <f t="array" ref="B174">IFERROR(INDEX(_xlfn.ANCHORARRAY($P$6),ROW()-5,2),"")</f>
        <v/>
      </c>
      <c r="C174" s="345" t="str">
        <f>IF($A174="","",IF($J174="DIESEL",SUMIFS(Table1[Quantity],Table1[Customer],$M$3,Table1[Date],$A174,Table1[Bill No.],$B174),IF($J174="PETROL",SUMIFS(Table14[Quantity],Table14[Customer],$M$3,Table14[Date],$A174,Table14[Bill No.],$B174),IF($J174="XtraGreen",SUMIFS(Table146[Quantity],Table146[Company],$M$3,Table146[Date],$A174,Table146[Bill No.],$B174),""))))</f>
        <v/>
      </c>
      <c r="D174" s="346" t="str">
        <f>IF($A174="","",IF($J174="DIESEL",AVERAGEIFS(Table1[RSP],Table1[Customer],$M$3,Table1[Date],$A174,Table1[Bill No.],$B174),IF($J174="PETROL",AVERAGEIFS(Table14[RSP],Table14[Customer],$M$3,Table14[Date],$A174,Table14[Bill No.],$B174),IF($J174="XtraGreen",AVERAGEIFS(Table146[RSP],Table146[Company],$M$3,Table146[Date],$A174,Table146[Bill No.],$B174),IFERROR($E174/$C174,"")))))</f>
        <v/>
      </c>
      <c r="E174" s="347" t="str">
        <f>IF($A174="","",IF($J174="DIESEL",SUMIFS(Table1[Amount],Table1[Customer],$M$3,Table1[Date],$A174,Table1[Bill No.],$B174),IF($J174="PETROL",SUMIFS(Table14[Amount],Table14[Customer],$M$3,Table14[Date],$A174,Table14[Bill No.],$B174),IF($J174="XtraGreen",SUMIFS(Table146[Amount],Table146[Company],$M$3,Table146[Date],$A174,Table146[Bill No.],$B174),SUMIFS('Other Sale'!$D:$D,'Other Sale'!$E:$E,$M$3,'Other Sale'!$C:$C,$J174,'Other Sale'!$A:$A,$A174)))))</f>
        <v/>
      </c>
      <c r="F174" s="347" t="str" cm="1">
        <f t="array" ref="F174">IF($A174="","",IF($J174="Payment",IFERROR(INDEX(_xlfn._xlws.FILTER(MasterPaid[Amount Paid],(MasterPaid[Customer]=$M$3)*(MasterPaid[Date]=$A174)),COUNTIFS($A$6:$A174,$A174,$J$6:$J174,"Payment")),0),0))</f>
        <v/>
      </c>
      <c r="G174" s="331"/>
      <c r="H174" s="427"/>
      <c r="I174" s="330" t="str">
        <f t="shared" si="11"/>
        <v/>
      </c>
      <c r="J174" s="344" t="str" cm="1">
        <f t="array" ref="J174">IFERROR(INDEX(_xlfn.ANCHORARRAY($P$6),ROW()-5,3),"")</f>
        <v/>
      </c>
      <c r="K174" s="432"/>
      <c r="L174" s="348"/>
    </row>
    <row r="175" spans="1:12" ht="23" x14ac:dyDescent="0.25">
      <c r="A175" s="217" t="str" cm="1">
        <f t="array" ref="A175">IFERROR(INDEX(_xlfn.ANCHORARRAY($P$6),ROW()-5,1),"")</f>
        <v/>
      </c>
      <c r="B175" s="344" t="str" cm="1">
        <f t="array" ref="B175">IFERROR(INDEX(_xlfn.ANCHORARRAY($P$6),ROW()-5,2),"")</f>
        <v/>
      </c>
      <c r="C175" s="345" t="str">
        <f>IF($A175="","",IF($J175="DIESEL",SUMIFS(Table1[Quantity],Table1[Customer],$M$3,Table1[Date],$A175,Table1[Bill No.],$B175),IF($J175="PETROL",SUMIFS(Table14[Quantity],Table14[Customer],$M$3,Table14[Date],$A175,Table14[Bill No.],$B175),IF($J175="XtraGreen",SUMIFS(Table146[Quantity],Table146[Company],$M$3,Table146[Date],$A175,Table146[Bill No.],$B175),""))))</f>
        <v/>
      </c>
      <c r="D175" s="346" t="str">
        <f>IF($A175="","",IF($J175="DIESEL",AVERAGEIFS(Table1[RSP],Table1[Customer],$M$3,Table1[Date],$A175,Table1[Bill No.],$B175),IF($J175="PETROL",AVERAGEIFS(Table14[RSP],Table14[Customer],$M$3,Table14[Date],$A175,Table14[Bill No.],$B175),IF($J175="XtraGreen",AVERAGEIFS(Table146[RSP],Table146[Company],$M$3,Table146[Date],$A175,Table146[Bill No.],$B175),IFERROR($E175/$C175,"")))))</f>
        <v/>
      </c>
      <c r="E175" s="347" t="str">
        <f>IF($A175="","",IF($J175="DIESEL",SUMIFS(Table1[Amount],Table1[Customer],$M$3,Table1[Date],$A175,Table1[Bill No.],$B175),IF($J175="PETROL",SUMIFS(Table14[Amount],Table14[Customer],$M$3,Table14[Date],$A175,Table14[Bill No.],$B175),IF($J175="XtraGreen",SUMIFS(Table146[Amount],Table146[Company],$M$3,Table146[Date],$A175,Table146[Bill No.],$B175),SUMIFS('Other Sale'!$D:$D,'Other Sale'!$E:$E,$M$3,'Other Sale'!$C:$C,$J175,'Other Sale'!$A:$A,$A175)))))</f>
        <v/>
      </c>
      <c r="F175" s="347" t="str" cm="1">
        <f t="array" ref="F175">IF($A175="","",IF($J175="Payment",IFERROR(INDEX(_xlfn._xlws.FILTER(MasterPaid[Amount Paid],(MasterPaid[Customer]=$M$3)*(MasterPaid[Date]=$A175)),COUNTIFS($A$6:$A175,$A175,$J$6:$J175,"Payment")),0),0))</f>
        <v/>
      </c>
      <c r="G175" s="331"/>
      <c r="H175" s="427"/>
      <c r="I175" s="330" t="str">
        <f t="shared" si="11"/>
        <v/>
      </c>
      <c r="J175" s="344" t="str" cm="1">
        <f t="array" ref="J175">IFERROR(INDEX(_xlfn.ANCHORARRAY($P$6),ROW()-5,3),"")</f>
        <v/>
      </c>
      <c r="K175" s="432"/>
      <c r="L175" s="348"/>
    </row>
    <row r="176" spans="1:12" ht="23" x14ac:dyDescent="0.25">
      <c r="A176" s="217" t="str" cm="1">
        <f t="array" ref="A176">IFERROR(INDEX(_xlfn.ANCHORARRAY($P$6),ROW()-5,1),"")</f>
        <v/>
      </c>
      <c r="B176" s="344" t="str" cm="1">
        <f t="array" ref="B176">IFERROR(INDEX(_xlfn.ANCHORARRAY($P$6),ROW()-5,2),"")</f>
        <v/>
      </c>
      <c r="C176" s="345" t="str">
        <f>IF($A176="","",IF($J176="DIESEL",SUMIFS(Table1[Quantity],Table1[Customer],$M$3,Table1[Date],$A176,Table1[Bill No.],$B176),IF($J176="PETROL",SUMIFS(Table14[Quantity],Table14[Customer],$M$3,Table14[Date],$A176,Table14[Bill No.],$B176),IF($J176="XtraGreen",SUMIFS(Table146[Quantity],Table146[Company],$M$3,Table146[Date],$A176,Table146[Bill No.],$B176),""))))</f>
        <v/>
      </c>
      <c r="D176" s="346" t="str">
        <f>IF($A176="","",IF($J176="DIESEL",AVERAGEIFS(Table1[RSP],Table1[Customer],$M$3,Table1[Date],$A176,Table1[Bill No.],$B176),IF($J176="PETROL",AVERAGEIFS(Table14[RSP],Table14[Customer],$M$3,Table14[Date],$A176,Table14[Bill No.],$B176),IF($J176="XtraGreen",AVERAGEIFS(Table146[RSP],Table146[Company],$M$3,Table146[Date],$A176,Table146[Bill No.],$B176),IFERROR($E176/$C176,"")))))</f>
        <v/>
      </c>
      <c r="E176" s="347" t="str">
        <f>IF($A176="","",IF($J176="DIESEL",SUMIFS(Table1[Amount],Table1[Customer],$M$3,Table1[Date],$A176,Table1[Bill No.],$B176),IF($J176="PETROL",SUMIFS(Table14[Amount],Table14[Customer],$M$3,Table14[Date],$A176,Table14[Bill No.],$B176),IF($J176="XtraGreen",SUMIFS(Table146[Amount],Table146[Company],$M$3,Table146[Date],$A176,Table146[Bill No.],$B176),SUMIFS('Other Sale'!$D:$D,'Other Sale'!$E:$E,$M$3,'Other Sale'!$C:$C,$J176,'Other Sale'!$A:$A,$A176)))))</f>
        <v/>
      </c>
      <c r="F176" s="347" t="str" cm="1">
        <f t="array" ref="F176">IF($A176="","",IF($J176="Payment",IFERROR(INDEX(_xlfn._xlws.FILTER(MasterPaid[Amount Paid],(MasterPaid[Customer]=$M$3)*(MasterPaid[Date]=$A176)),COUNTIFS($A$6:$A176,$A176,$J$6:$J176,"Payment")),0),0))</f>
        <v/>
      </c>
      <c r="G176" s="331"/>
      <c r="H176" s="427"/>
      <c r="I176" s="330" t="str">
        <f t="shared" si="11"/>
        <v/>
      </c>
      <c r="J176" s="344" t="str" cm="1">
        <f t="array" ref="J176">IFERROR(INDEX(_xlfn.ANCHORARRAY($P$6),ROW()-5,3),"")</f>
        <v/>
      </c>
      <c r="K176" s="432"/>
      <c r="L176" s="348"/>
    </row>
    <row r="177" spans="1:12" ht="23" x14ac:dyDescent="0.25">
      <c r="A177" s="217" t="str" cm="1">
        <f t="array" ref="A177">IFERROR(INDEX(_xlfn.ANCHORARRAY($P$6),ROW()-5,1),"")</f>
        <v/>
      </c>
      <c r="B177" s="344" t="str" cm="1">
        <f t="array" ref="B177">IFERROR(INDEX(_xlfn.ANCHORARRAY($P$6),ROW()-5,2),"")</f>
        <v/>
      </c>
      <c r="C177" s="345" t="str">
        <f>IF($A177="","",IF($J177="DIESEL",SUMIFS(Table1[Quantity],Table1[Customer],$M$3,Table1[Date],$A177,Table1[Bill No.],$B177),IF($J177="PETROL",SUMIFS(Table14[Quantity],Table14[Customer],$M$3,Table14[Date],$A177,Table14[Bill No.],$B177),IF($J177="XtraGreen",SUMIFS(Table146[Quantity],Table146[Company],$M$3,Table146[Date],$A177,Table146[Bill No.],$B177),""))))</f>
        <v/>
      </c>
      <c r="D177" s="346" t="str">
        <f>IF($A177="","",IF($J177="DIESEL",AVERAGEIFS(Table1[RSP],Table1[Customer],$M$3,Table1[Date],$A177,Table1[Bill No.],$B177),IF($J177="PETROL",AVERAGEIFS(Table14[RSP],Table14[Customer],$M$3,Table14[Date],$A177,Table14[Bill No.],$B177),IF($J177="XtraGreen",AVERAGEIFS(Table146[RSP],Table146[Company],$M$3,Table146[Date],$A177,Table146[Bill No.],$B177),IFERROR($E177/$C177,"")))))</f>
        <v/>
      </c>
      <c r="E177" s="347" t="str">
        <f>IF($A177="","",IF($J177="DIESEL",SUMIFS(Table1[Amount],Table1[Customer],$M$3,Table1[Date],$A177,Table1[Bill No.],$B177),IF($J177="PETROL",SUMIFS(Table14[Amount],Table14[Customer],$M$3,Table14[Date],$A177,Table14[Bill No.],$B177),IF($J177="XtraGreen",SUMIFS(Table146[Amount],Table146[Company],$M$3,Table146[Date],$A177,Table146[Bill No.],$B177),SUMIFS('Other Sale'!$D:$D,'Other Sale'!$E:$E,$M$3,'Other Sale'!$C:$C,$J177,'Other Sale'!$A:$A,$A177)))))</f>
        <v/>
      </c>
      <c r="F177" s="347" t="str" cm="1">
        <f t="array" ref="F177">IF($A177="","",IF($J177="Payment",IFERROR(INDEX(_xlfn._xlws.FILTER(MasterPaid[Amount Paid],(MasterPaid[Customer]=$M$3)*(MasterPaid[Date]=$A177)),COUNTIFS($A$6:$A177,$A177,$J$6:$J177,"Payment")),0),0))</f>
        <v/>
      </c>
      <c r="G177" s="331"/>
      <c r="H177" s="427"/>
      <c r="I177" s="330" t="str">
        <f t="shared" si="11"/>
        <v/>
      </c>
      <c r="J177" s="344" t="str" cm="1">
        <f t="array" ref="J177">IFERROR(INDEX(_xlfn.ANCHORARRAY($P$6),ROW()-5,3),"")</f>
        <v/>
      </c>
      <c r="K177" s="432"/>
      <c r="L177" s="348"/>
    </row>
    <row r="178" spans="1:12" ht="23" x14ac:dyDescent="0.25">
      <c r="A178" s="217" t="str" cm="1">
        <f t="array" ref="A178">IFERROR(INDEX(_xlfn.ANCHORARRAY($P$6),ROW()-5,1),"")</f>
        <v/>
      </c>
      <c r="B178" s="344" t="str" cm="1">
        <f t="array" ref="B178">IFERROR(INDEX(_xlfn.ANCHORARRAY($P$6),ROW()-5,2),"")</f>
        <v/>
      </c>
      <c r="C178" s="345" t="str">
        <f>IF($A178="","",IF($J178="DIESEL",SUMIFS(Table1[Quantity],Table1[Customer],$M$3,Table1[Date],$A178,Table1[Bill No.],$B178),IF($J178="PETROL",SUMIFS(Table14[Quantity],Table14[Customer],$M$3,Table14[Date],$A178,Table14[Bill No.],$B178),IF($J178="XtraGreen",SUMIFS(Table146[Quantity],Table146[Company],$M$3,Table146[Date],$A178,Table146[Bill No.],$B178),""))))</f>
        <v/>
      </c>
      <c r="D178" s="346" t="str">
        <f>IF($A178="","",IF($J178="DIESEL",AVERAGEIFS(Table1[RSP],Table1[Customer],$M$3,Table1[Date],$A178,Table1[Bill No.],$B178),IF($J178="PETROL",AVERAGEIFS(Table14[RSP],Table14[Customer],$M$3,Table14[Date],$A178,Table14[Bill No.],$B178),IF($J178="XtraGreen",AVERAGEIFS(Table146[RSP],Table146[Company],$M$3,Table146[Date],$A178,Table146[Bill No.],$B178),IFERROR($E178/$C178,"")))))</f>
        <v/>
      </c>
      <c r="E178" s="347" t="str">
        <f>IF($A178="","",IF($J178="DIESEL",SUMIFS(Table1[Amount],Table1[Customer],$M$3,Table1[Date],$A178,Table1[Bill No.],$B178),IF($J178="PETROL",SUMIFS(Table14[Amount],Table14[Customer],$M$3,Table14[Date],$A178,Table14[Bill No.],$B178),IF($J178="XtraGreen",SUMIFS(Table146[Amount],Table146[Company],$M$3,Table146[Date],$A178,Table146[Bill No.],$B178),SUMIFS('Other Sale'!$D:$D,'Other Sale'!$E:$E,$M$3,'Other Sale'!$C:$C,$J178,'Other Sale'!$A:$A,$A178)))))</f>
        <v/>
      </c>
      <c r="F178" s="347" t="str" cm="1">
        <f t="array" ref="F178">IF($A178="","",IF($J178="Payment",IFERROR(INDEX(_xlfn._xlws.FILTER(MasterPaid[Amount Paid],(MasterPaid[Customer]=$M$3)*(MasterPaid[Date]=$A178)),COUNTIFS($A$6:$A178,$A178,$J$6:$J178,"Payment")),0),0))</f>
        <v/>
      </c>
      <c r="G178" s="331"/>
      <c r="H178" s="427"/>
      <c r="I178" s="330" t="str">
        <f t="shared" si="11"/>
        <v/>
      </c>
      <c r="J178" s="344" t="str" cm="1">
        <f t="array" ref="J178">IFERROR(INDEX(_xlfn.ANCHORARRAY($P$6),ROW()-5,3),"")</f>
        <v/>
      </c>
      <c r="K178" s="432"/>
      <c r="L178" s="348"/>
    </row>
    <row r="179" spans="1:12" ht="23" x14ac:dyDescent="0.25">
      <c r="A179" s="217" t="str" cm="1">
        <f t="array" ref="A179">IFERROR(INDEX(_xlfn.ANCHORARRAY($P$6),ROW()-5,1),"")</f>
        <v/>
      </c>
      <c r="B179" s="344" t="str" cm="1">
        <f t="array" ref="B179">IFERROR(INDEX(_xlfn.ANCHORARRAY($P$6),ROW()-5,2),"")</f>
        <v/>
      </c>
      <c r="C179" s="345" t="str">
        <f>IF($A179="","",IF($J179="DIESEL",SUMIFS(Table1[Quantity],Table1[Customer],$M$3,Table1[Date],$A179,Table1[Bill No.],$B179),IF($J179="PETROL",SUMIFS(Table14[Quantity],Table14[Customer],$M$3,Table14[Date],$A179,Table14[Bill No.],$B179),IF($J179="XtraGreen",SUMIFS(Table146[Quantity],Table146[Company],$M$3,Table146[Date],$A179,Table146[Bill No.],$B179),""))))</f>
        <v/>
      </c>
      <c r="D179" s="346" t="str">
        <f>IF($A179="","",IF($J179="DIESEL",AVERAGEIFS(Table1[RSP],Table1[Customer],$M$3,Table1[Date],$A179,Table1[Bill No.],$B179),IF($J179="PETROL",AVERAGEIFS(Table14[RSP],Table14[Customer],$M$3,Table14[Date],$A179,Table14[Bill No.],$B179),IF($J179="XtraGreen",AVERAGEIFS(Table146[RSP],Table146[Company],$M$3,Table146[Date],$A179,Table146[Bill No.],$B179),IFERROR($E179/$C179,"")))))</f>
        <v/>
      </c>
      <c r="E179" s="347" t="str">
        <f>IF($A179="","",IF($J179="DIESEL",SUMIFS(Table1[Amount],Table1[Customer],$M$3,Table1[Date],$A179,Table1[Bill No.],$B179),IF($J179="PETROL",SUMIFS(Table14[Amount],Table14[Customer],$M$3,Table14[Date],$A179,Table14[Bill No.],$B179),IF($J179="XtraGreen",SUMIFS(Table146[Amount],Table146[Company],$M$3,Table146[Date],$A179,Table146[Bill No.],$B179),SUMIFS('Other Sale'!$D:$D,'Other Sale'!$E:$E,$M$3,'Other Sale'!$C:$C,$J179,'Other Sale'!$A:$A,$A179)))))</f>
        <v/>
      </c>
      <c r="F179" s="347" t="str" cm="1">
        <f t="array" ref="F179">IF($A179="","",IF($J179="Payment",IFERROR(INDEX(_xlfn._xlws.FILTER(MasterPaid[Amount Paid],(MasterPaid[Customer]=$M$3)*(MasterPaid[Date]=$A179)),COUNTIFS($A$6:$A179,$A179,$J$6:$J179,"Payment")),0),0))</f>
        <v/>
      </c>
      <c r="G179" s="331"/>
      <c r="H179" s="427"/>
      <c r="I179" s="330" t="str">
        <f t="shared" si="11"/>
        <v/>
      </c>
      <c r="J179" s="344" t="str" cm="1">
        <f t="array" ref="J179">IFERROR(INDEX(_xlfn.ANCHORARRAY($P$6),ROW()-5,3),"")</f>
        <v/>
      </c>
      <c r="K179" s="432"/>
      <c r="L179" s="348"/>
    </row>
    <row r="180" spans="1:12" ht="23" x14ac:dyDescent="0.25">
      <c r="A180" s="217" t="str" cm="1">
        <f t="array" ref="A180">IFERROR(INDEX(_xlfn.ANCHORARRAY($P$6),ROW()-5,1),"")</f>
        <v/>
      </c>
      <c r="B180" s="344" t="str" cm="1">
        <f t="array" ref="B180">IFERROR(INDEX(_xlfn.ANCHORARRAY($P$6),ROW()-5,2),"")</f>
        <v/>
      </c>
      <c r="C180" s="345" t="str">
        <f>IF($A180="","",IF($J180="DIESEL",SUMIFS(Table1[Quantity],Table1[Customer],$M$3,Table1[Date],$A180,Table1[Bill No.],$B180),IF($J180="PETROL",SUMIFS(Table14[Quantity],Table14[Customer],$M$3,Table14[Date],$A180,Table14[Bill No.],$B180),IF($J180="XtraGreen",SUMIFS(Table146[Quantity],Table146[Company],$M$3,Table146[Date],$A180,Table146[Bill No.],$B180),""))))</f>
        <v/>
      </c>
      <c r="D180" s="346" t="str">
        <f>IF($A180="","",IF($J180="DIESEL",AVERAGEIFS(Table1[RSP],Table1[Customer],$M$3,Table1[Date],$A180,Table1[Bill No.],$B180),IF($J180="PETROL",AVERAGEIFS(Table14[RSP],Table14[Customer],$M$3,Table14[Date],$A180,Table14[Bill No.],$B180),IF($J180="XtraGreen",AVERAGEIFS(Table146[RSP],Table146[Company],$M$3,Table146[Date],$A180,Table146[Bill No.],$B180),IFERROR($E180/$C180,"")))))</f>
        <v/>
      </c>
      <c r="E180" s="347" t="str">
        <f>IF($A180="","",IF($J180="DIESEL",SUMIFS(Table1[Amount],Table1[Customer],$M$3,Table1[Date],$A180,Table1[Bill No.],$B180),IF($J180="PETROL",SUMIFS(Table14[Amount],Table14[Customer],$M$3,Table14[Date],$A180,Table14[Bill No.],$B180),IF($J180="XtraGreen",SUMIFS(Table146[Amount],Table146[Company],$M$3,Table146[Date],$A180,Table146[Bill No.],$B180),SUMIFS('Other Sale'!$D:$D,'Other Sale'!$E:$E,$M$3,'Other Sale'!$C:$C,$J180,'Other Sale'!$A:$A,$A180)))))</f>
        <v/>
      </c>
      <c r="F180" s="347" t="str" cm="1">
        <f t="array" ref="F180">IF($A180="","",IF($J180="Payment",IFERROR(INDEX(_xlfn._xlws.FILTER(MasterPaid[Amount Paid],(MasterPaid[Customer]=$M$3)*(MasterPaid[Date]=$A180)),COUNTIFS($A$6:$A180,$A180,$J$6:$J180,"Payment")),0),0))</f>
        <v/>
      </c>
      <c r="G180" s="331"/>
      <c r="H180" s="427"/>
      <c r="I180" s="330" t="str">
        <f t="shared" si="11"/>
        <v/>
      </c>
      <c r="J180" s="344" t="str" cm="1">
        <f t="array" ref="J180">IFERROR(INDEX(_xlfn.ANCHORARRAY($P$6),ROW()-5,3),"")</f>
        <v/>
      </c>
      <c r="K180" s="432"/>
      <c r="L180" s="348"/>
    </row>
    <row r="181" spans="1:12" ht="23" x14ac:dyDescent="0.25">
      <c r="A181" s="217" t="str" cm="1">
        <f t="array" ref="A181">IFERROR(INDEX(_xlfn.ANCHORARRAY($P$6),ROW()-5,1),"")</f>
        <v/>
      </c>
      <c r="B181" s="344" t="str" cm="1">
        <f t="array" ref="B181">IFERROR(INDEX(_xlfn.ANCHORARRAY($P$6),ROW()-5,2),"")</f>
        <v/>
      </c>
      <c r="C181" s="345" t="str">
        <f>IF($A181="","",IF($J181="DIESEL",SUMIFS(Table1[Quantity],Table1[Customer],$M$3,Table1[Date],$A181,Table1[Bill No.],$B181),IF($J181="PETROL",SUMIFS(Table14[Quantity],Table14[Customer],$M$3,Table14[Date],$A181,Table14[Bill No.],$B181),IF($J181="XtraGreen",SUMIFS(Table146[Quantity],Table146[Company],$M$3,Table146[Date],$A181,Table146[Bill No.],$B181),""))))</f>
        <v/>
      </c>
      <c r="D181" s="346" t="str">
        <f>IF($A181="","",IF($J181="DIESEL",AVERAGEIFS(Table1[RSP],Table1[Customer],$M$3,Table1[Date],$A181,Table1[Bill No.],$B181),IF($J181="PETROL",AVERAGEIFS(Table14[RSP],Table14[Customer],$M$3,Table14[Date],$A181,Table14[Bill No.],$B181),IF($J181="XtraGreen",AVERAGEIFS(Table146[RSP],Table146[Company],$M$3,Table146[Date],$A181,Table146[Bill No.],$B181),IFERROR($E181/$C181,"")))))</f>
        <v/>
      </c>
      <c r="E181" s="347" t="str">
        <f>IF($A181="","",IF($J181="DIESEL",SUMIFS(Table1[Amount],Table1[Customer],$M$3,Table1[Date],$A181,Table1[Bill No.],$B181),IF($J181="PETROL",SUMIFS(Table14[Amount],Table14[Customer],$M$3,Table14[Date],$A181,Table14[Bill No.],$B181),IF($J181="XtraGreen",SUMIFS(Table146[Amount],Table146[Company],$M$3,Table146[Date],$A181,Table146[Bill No.],$B181),SUMIFS('Other Sale'!$D:$D,'Other Sale'!$E:$E,$M$3,'Other Sale'!$C:$C,$J181,'Other Sale'!$A:$A,$A181)))))</f>
        <v/>
      </c>
      <c r="F181" s="347" t="str" cm="1">
        <f t="array" ref="F181">IF($A181="","",IF($J181="Payment",IFERROR(INDEX(_xlfn._xlws.FILTER(MasterPaid[Amount Paid],(MasterPaid[Customer]=$M$3)*(MasterPaid[Date]=$A181)),COUNTIFS($A$6:$A181,$A181,$J$6:$J181,"Payment")),0),0))</f>
        <v/>
      </c>
      <c r="G181" s="331"/>
      <c r="H181" s="427"/>
      <c r="I181" s="330" t="str">
        <f t="shared" si="11"/>
        <v/>
      </c>
      <c r="J181" s="344" t="str" cm="1">
        <f t="array" ref="J181">IFERROR(INDEX(_xlfn.ANCHORARRAY($P$6),ROW()-5,3),"")</f>
        <v/>
      </c>
      <c r="K181" s="432"/>
      <c r="L181" s="348"/>
    </row>
    <row r="182" spans="1:12" ht="23" x14ac:dyDescent="0.25">
      <c r="A182" s="217" t="str" cm="1">
        <f t="array" ref="A182">IFERROR(INDEX(_xlfn.ANCHORARRAY($P$6),ROW()-5,1),"")</f>
        <v/>
      </c>
      <c r="B182" s="344" t="str" cm="1">
        <f t="array" ref="B182">IFERROR(INDEX(_xlfn.ANCHORARRAY($P$6),ROW()-5,2),"")</f>
        <v/>
      </c>
      <c r="C182" s="345" t="str">
        <f>IF($A182="","",IF($J182="DIESEL",SUMIFS(Table1[Quantity],Table1[Customer],$M$3,Table1[Date],$A182,Table1[Bill No.],$B182),IF($J182="PETROL",SUMIFS(Table14[Quantity],Table14[Customer],$M$3,Table14[Date],$A182,Table14[Bill No.],$B182),IF($J182="XtraGreen",SUMIFS(Table146[Quantity],Table146[Company],$M$3,Table146[Date],$A182,Table146[Bill No.],$B182),""))))</f>
        <v/>
      </c>
      <c r="D182" s="346" t="str">
        <f>IF($A182="","",IF($J182="DIESEL",AVERAGEIFS(Table1[RSP],Table1[Customer],$M$3,Table1[Date],$A182,Table1[Bill No.],$B182),IF($J182="PETROL",AVERAGEIFS(Table14[RSP],Table14[Customer],$M$3,Table14[Date],$A182,Table14[Bill No.],$B182),IF($J182="XtraGreen",AVERAGEIFS(Table146[RSP],Table146[Company],$M$3,Table146[Date],$A182,Table146[Bill No.],$B182),IFERROR($E182/$C182,"")))))</f>
        <v/>
      </c>
      <c r="E182" s="347" t="str">
        <f>IF($A182="","",IF($J182="DIESEL",SUMIFS(Table1[Amount],Table1[Customer],$M$3,Table1[Date],$A182,Table1[Bill No.],$B182),IF($J182="PETROL",SUMIFS(Table14[Amount],Table14[Customer],$M$3,Table14[Date],$A182,Table14[Bill No.],$B182),IF($J182="XtraGreen",SUMIFS(Table146[Amount],Table146[Company],$M$3,Table146[Date],$A182,Table146[Bill No.],$B182),SUMIFS('Other Sale'!$D:$D,'Other Sale'!$E:$E,$M$3,'Other Sale'!$C:$C,$J182,'Other Sale'!$A:$A,$A182)))))</f>
        <v/>
      </c>
      <c r="F182" s="347" t="str" cm="1">
        <f t="array" ref="F182">IF($A182="","",IF($J182="Payment",IFERROR(INDEX(_xlfn._xlws.FILTER(MasterPaid[Amount Paid],(MasterPaid[Customer]=$M$3)*(MasterPaid[Date]=$A182)),COUNTIFS($A$6:$A182,$A182,$J$6:$J182,"Payment")),0),0))</f>
        <v/>
      </c>
      <c r="G182" s="331"/>
      <c r="H182" s="427"/>
      <c r="I182" s="330" t="str">
        <f t="shared" si="11"/>
        <v/>
      </c>
      <c r="J182" s="344" t="str" cm="1">
        <f t="array" ref="J182">IFERROR(INDEX(_xlfn.ANCHORARRAY($P$6),ROW()-5,3),"")</f>
        <v/>
      </c>
      <c r="K182" s="432"/>
      <c r="L182" s="348"/>
    </row>
    <row r="183" spans="1:12" ht="23" x14ac:dyDescent="0.25">
      <c r="A183" s="217" t="str" cm="1">
        <f t="array" ref="A183">IFERROR(INDEX(_xlfn.ANCHORARRAY($P$6),ROW()-5,1),"")</f>
        <v/>
      </c>
      <c r="B183" s="344" t="str" cm="1">
        <f t="array" ref="B183">IFERROR(INDEX(_xlfn.ANCHORARRAY($P$6),ROW()-5,2),"")</f>
        <v/>
      </c>
      <c r="C183" s="345" t="str">
        <f>IF($A183="","",IF($J183="DIESEL",SUMIFS(Table1[Quantity],Table1[Customer],$M$3,Table1[Date],$A183,Table1[Bill No.],$B183),IF($J183="PETROL",SUMIFS(Table14[Quantity],Table14[Customer],$M$3,Table14[Date],$A183,Table14[Bill No.],$B183),IF($J183="XtraGreen",SUMIFS(Table146[Quantity],Table146[Company],$M$3,Table146[Date],$A183,Table146[Bill No.],$B183),""))))</f>
        <v/>
      </c>
      <c r="D183" s="346" t="str">
        <f>IF($A183="","",IF($J183="DIESEL",AVERAGEIFS(Table1[RSP],Table1[Customer],$M$3,Table1[Date],$A183,Table1[Bill No.],$B183),IF($J183="PETROL",AVERAGEIFS(Table14[RSP],Table14[Customer],$M$3,Table14[Date],$A183,Table14[Bill No.],$B183),IF($J183="XtraGreen",AVERAGEIFS(Table146[RSP],Table146[Company],$M$3,Table146[Date],$A183,Table146[Bill No.],$B183),IFERROR($E183/$C183,"")))))</f>
        <v/>
      </c>
      <c r="E183" s="347" t="str">
        <f>IF($A183="","",IF($J183="DIESEL",SUMIFS(Table1[Amount],Table1[Customer],$M$3,Table1[Date],$A183,Table1[Bill No.],$B183),IF($J183="PETROL",SUMIFS(Table14[Amount],Table14[Customer],$M$3,Table14[Date],$A183,Table14[Bill No.],$B183),IF($J183="XtraGreen",SUMIFS(Table146[Amount],Table146[Company],$M$3,Table146[Date],$A183,Table146[Bill No.],$B183),SUMIFS('Other Sale'!$D:$D,'Other Sale'!$E:$E,$M$3,'Other Sale'!$C:$C,$J183,'Other Sale'!$A:$A,$A183)))))</f>
        <v/>
      </c>
      <c r="F183" s="347" t="str" cm="1">
        <f t="array" ref="F183">IF($A183="","",IF($J183="Payment",IFERROR(INDEX(_xlfn._xlws.FILTER(MasterPaid[Amount Paid],(MasterPaid[Customer]=$M$3)*(MasterPaid[Date]=$A183)),COUNTIFS($A$6:$A183,$A183,$J$6:$J183,"Payment")),0),0))</f>
        <v/>
      </c>
      <c r="G183" s="331"/>
      <c r="H183" s="427"/>
      <c r="I183" s="330" t="str">
        <f t="shared" si="11"/>
        <v/>
      </c>
      <c r="J183" s="344" t="str" cm="1">
        <f t="array" ref="J183">IFERROR(INDEX(_xlfn.ANCHORARRAY($P$6),ROW()-5,3),"")</f>
        <v/>
      </c>
      <c r="K183" s="432"/>
      <c r="L183" s="348"/>
    </row>
    <row r="184" spans="1:12" ht="23" x14ac:dyDescent="0.25">
      <c r="A184" s="217" t="str" cm="1">
        <f t="array" ref="A184">IFERROR(INDEX(_xlfn.ANCHORARRAY($P$6),ROW()-5,1),"")</f>
        <v/>
      </c>
      <c r="B184" s="344" t="str" cm="1">
        <f t="array" ref="B184">IFERROR(INDEX(_xlfn.ANCHORARRAY($P$6),ROW()-5,2),"")</f>
        <v/>
      </c>
      <c r="C184" s="345" t="str">
        <f>IF($A184="","",IF($J184="DIESEL",SUMIFS(Table1[Quantity],Table1[Customer],$M$3,Table1[Date],$A184,Table1[Bill No.],$B184),IF($J184="PETROL",SUMIFS(Table14[Quantity],Table14[Customer],$M$3,Table14[Date],$A184,Table14[Bill No.],$B184),IF($J184="XtraGreen",SUMIFS(Table146[Quantity],Table146[Company],$M$3,Table146[Date],$A184,Table146[Bill No.],$B184),""))))</f>
        <v/>
      </c>
      <c r="D184" s="346" t="str">
        <f>IF($A184="","",IF($J184="DIESEL",AVERAGEIFS(Table1[RSP],Table1[Customer],$M$3,Table1[Date],$A184,Table1[Bill No.],$B184),IF($J184="PETROL",AVERAGEIFS(Table14[RSP],Table14[Customer],$M$3,Table14[Date],$A184,Table14[Bill No.],$B184),IF($J184="XtraGreen",AVERAGEIFS(Table146[RSP],Table146[Company],$M$3,Table146[Date],$A184,Table146[Bill No.],$B184),IFERROR($E184/$C184,"")))))</f>
        <v/>
      </c>
      <c r="E184" s="347" t="str">
        <f>IF($A184="","",IF($J184="DIESEL",SUMIFS(Table1[Amount],Table1[Customer],$M$3,Table1[Date],$A184,Table1[Bill No.],$B184),IF($J184="PETROL",SUMIFS(Table14[Amount],Table14[Customer],$M$3,Table14[Date],$A184,Table14[Bill No.],$B184),IF($J184="XtraGreen",SUMIFS(Table146[Amount],Table146[Company],$M$3,Table146[Date],$A184,Table146[Bill No.],$B184),SUMIFS('Other Sale'!$D:$D,'Other Sale'!$E:$E,$M$3,'Other Sale'!$C:$C,$J184,'Other Sale'!$A:$A,$A184)))))</f>
        <v/>
      </c>
      <c r="F184" s="347" t="str" cm="1">
        <f t="array" ref="F184">IF($A184="","",IF($J184="Payment",IFERROR(INDEX(_xlfn._xlws.FILTER(MasterPaid[Amount Paid],(MasterPaid[Customer]=$M$3)*(MasterPaid[Date]=$A184)),COUNTIFS($A$6:$A184,$A184,$J$6:$J184,"Payment")),0),0))</f>
        <v/>
      </c>
      <c r="G184" s="331"/>
      <c r="H184" s="427"/>
      <c r="I184" s="330" t="str">
        <f t="shared" si="11"/>
        <v/>
      </c>
      <c r="J184" s="344" t="str" cm="1">
        <f t="array" ref="J184">IFERROR(INDEX(_xlfn.ANCHORARRAY($P$6),ROW()-5,3),"")</f>
        <v/>
      </c>
      <c r="K184" s="432"/>
      <c r="L184" s="348"/>
    </row>
    <row r="185" spans="1:12" ht="23" x14ac:dyDescent="0.25">
      <c r="A185" s="217" t="str" cm="1">
        <f t="array" ref="A185">IFERROR(INDEX(_xlfn.ANCHORARRAY($P$6),ROW()-5,1),"")</f>
        <v/>
      </c>
      <c r="B185" s="344" t="str" cm="1">
        <f t="array" ref="B185">IFERROR(INDEX(_xlfn.ANCHORARRAY($P$6),ROW()-5,2),"")</f>
        <v/>
      </c>
      <c r="C185" s="345" t="str">
        <f>IF($A185="","",IF($J185="DIESEL",SUMIFS(Table1[Quantity],Table1[Customer],$M$3,Table1[Date],$A185,Table1[Bill No.],$B185),IF($J185="PETROL",SUMIFS(Table14[Quantity],Table14[Customer],$M$3,Table14[Date],$A185,Table14[Bill No.],$B185),IF($J185="XtraGreen",SUMIFS(Table146[Quantity],Table146[Company],$M$3,Table146[Date],$A185,Table146[Bill No.],$B185),""))))</f>
        <v/>
      </c>
      <c r="D185" s="346" t="str">
        <f>IF($A185="","",IF($J185="DIESEL",AVERAGEIFS(Table1[RSP],Table1[Customer],$M$3,Table1[Date],$A185,Table1[Bill No.],$B185),IF($J185="PETROL",AVERAGEIFS(Table14[RSP],Table14[Customer],$M$3,Table14[Date],$A185,Table14[Bill No.],$B185),IF($J185="XtraGreen",AVERAGEIFS(Table146[RSP],Table146[Company],$M$3,Table146[Date],$A185,Table146[Bill No.],$B185),IFERROR($E185/$C185,"")))))</f>
        <v/>
      </c>
      <c r="E185" s="347" t="str">
        <f>IF($A185="","",IF($J185="DIESEL",SUMIFS(Table1[Amount],Table1[Customer],$M$3,Table1[Date],$A185,Table1[Bill No.],$B185),IF($J185="PETROL",SUMIFS(Table14[Amount],Table14[Customer],$M$3,Table14[Date],$A185,Table14[Bill No.],$B185),IF($J185="XtraGreen",SUMIFS(Table146[Amount],Table146[Company],$M$3,Table146[Date],$A185,Table146[Bill No.],$B185),SUMIFS('Other Sale'!$D:$D,'Other Sale'!$E:$E,$M$3,'Other Sale'!$C:$C,$J185,'Other Sale'!$A:$A,$A185)))))</f>
        <v/>
      </c>
      <c r="F185" s="347" t="str" cm="1">
        <f t="array" ref="F185">IF($A185="","",IF($J185="Payment",IFERROR(INDEX(_xlfn._xlws.FILTER(MasterPaid[Amount Paid],(MasterPaid[Customer]=$M$3)*(MasterPaid[Date]=$A185)),COUNTIFS($A$6:$A185,$A185,$J$6:$J185,"Payment")),0),0))</f>
        <v/>
      </c>
      <c r="G185" s="331"/>
      <c r="H185" s="427"/>
      <c r="I185" s="330" t="str">
        <f t="shared" si="11"/>
        <v/>
      </c>
      <c r="J185" s="344" t="str" cm="1">
        <f t="array" ref="J185">IFERROR(INDEX(_xlfn.ANCHORARRAY($P$6),ROW()-5,3),"")</f>
        <v/>
      </c>
      <c r="K185" s="432"/>
      <c r="L185" s="348"/>
    </row>
    <row r="186" spans="1:12" ht="23" x14ac:dyDescent="0.25">
      <c r="A186" s="217" t="str" cm="1">
        <f t="array" ref="A186">IFERROR(INDEX(_xlfn.ANCHORARRAY($P$6),ROW()-5,1),"")</f>
        <v/>
      </c>
      <c r="B186" s="344" t="str" cm="1">
        <f t="array" ref="B186">IFERROR(INDEX(_xlfn.ANCHORARRAY($P$6),ROW()-5,2),"")</f>
        <v/>
      </c>
      <c r="C186" s="345" t="str">
        <f>IF($A186="","",IF($J186="DIESEL",SUMIFS(Table1[Quantity],Table1[Customer],$M$3,Table1[Date],$A186,Table1[Bill No.],$B186),IF($J186="PETROL",SUMIFS(Table14[Quantity],Table14[Customer],$M$3,Table14[Date],$A186,Table14[Bill No.],$B186),IF($J186="XtraGreen",SUMIFS(Table146[Quantity],Table146[Company],$M$3,Table146[Date],$A186,Table146[Bill No.],$B186),""))))</f>
        <v/>
      </c>
      <c r="D186" s="346" t="str">
        <f>IF($A186="","",IF($J186="DIESEL",AVERAGEIFS(Table1[RSP],Table1[Customer],$M$3,Table1[Date],$A186,Table1[Bill No.],$B186),IF($J186="PETROL",AVERAGEIFS(Table14[RSP],Table14[Customer],$M$3,Table14[Date],$A186,Table14[Bill No.],$B186),IF($J186="XtraGreen",AVERAGEIFS(Table146[RSP],Table146[Company],$M$3,Table146[Date],$A186,Table146[Bill No.],$B186),IFERROR($E186/$C186,"")))))</f>
        <v/>
      </c>
      <c r="E186" s="347" t="str">
        <f>IF($A186="","",IF($J186="DIESEL",SUMIFS(Table1[Amount],Table1[Customer],$M$3,Table1[Date],$A186,Table1[Bill No.],$B186),IF($J186="PETROL",SUMIFS(Table14[Amount],Table14[Customer],$M$3,Table14[Date],$A186,Table14[Bill No.],$B186),IF($J186="XtraGreen",SUMIFS(Table146[Amount],Table146[Company],$M$3,Table146[Date],$A186,Table146[Bill No.],$B186),SUMIFS('Other Sale'!$D:$D,'Other Sale'!$E:$E,$M$3,'Other Sale'!$C:$C,$J186,'Other Sale'!$A:$A,$A186)))))</f>
        <v/>
      </c>
      <c r="F186" s="347" t="str" cm="1">
        <f t="array" ref="F186">IF($A186="","",IF($J186="Payment",IFERROR(INDEX(_xlfn._xlws.FILTER(MasterPaid[Amount Paid],(MasterPaid[Customer]=$M$3)*(MasterPaid[Date]=$A186)),COUNTIFS($A$6:$A186,$A186,$J$6:$J186,"Payment")),0),0))</f>
        <v/>
      </c>
      <c r="G186" s="331"/>
      <c r="H186" s="427"/>
      <c r="I186" s="330" t="str">
        <f t="shared" si="11"/>
        <v/>
      </c>
      <c r="J186" s="344" t="str" cm="1">
        <f t="array" ref="J186">IFERROR(INDEX(_xlfn.ANCHORARRAY($P$6),ROW()-5,3),"")</f>
        <v/>
      </c>
      <c r="K186" s="432"/>
      <c r="L186" s="348"/>
    </row>
    <row r="187" spans="1:12" ht="23" x14ac:dyDescent="0.25">
      <c r="A187" s="217" t="str" cm="1">
        <f t="array" ref="A187">IFERROR(INDEX(_xlfn.ANCHORARRAY($P$6),ROW()-5,1),"")</f>
        <v/>
      </c>
      <c r="B187" s="344" t="str" cm="1">
        <f t="array" ref="B187">IFERROR(INDEX(_xlfn.ANCHORARRAY($P$6),ROW()-5,2),"")</f>
        <v/>
      </c>
      <c r="C187" s="345" t="str">
        <f>IF($A187="","",IF($J187="DIESEL",SUMIFS(Table1[Quantity],Table1[Customer],$M$3,Table1[Date],$A187,Table1[Bill No.],$B187),IF($J187="PETROL",SUMIFS(Table14[Quantity],Table14[Customer],$M$3,Table14[Date],$A187,Table14[Bill No.],$B187),IF($J187="XtraGreen",SUMIFS(Table146[Quantity],Table146[Company],$M$3,Table146[Date],$A187,Table146[Bill No.],$B187),""))))</f>
        <v/>
      </c>
      <c r="D187" s="346" t="str">
        <f>IF($A187="","",IF($J187="DIESEL",AVERAGEIFS(Table1[RSP],Table1[Customer],$M$3,Table1[Date],$A187,Table1[Bill No.],$B187),IF($J187="PETROL",AVERAGEIFS(Table14[RSP],Table14[Customer],$M$3,Table14[Date],$A187,Table14[Bill No.],$B187),IF($J187="XtraGreen",AVERAGEIFS(Table146[RSP],Table146[Company],$M$3,Table146[Date],$A187,Table146[Bill No.],$B187),IFERROR($E187/$C187,"")))))</f>
        <v/>
      </c>
      <c r="E187" s="347" t="str">
        <f>IF($A187="","",IF($J187="DIESEL",SUMIFS(Table1[Amount],Table1[Customer],$M$3,Table1[Date],$A187,Table1[Bill No.],$B187),IF($J187="PETROL",SUMIFS(Table14[Amount],Table14[Customer],$M$3,Table14[Date],$A187,Table14[Bill No.],$B187),IF($J187="XtraGreen",SUMIFS(Table146[Amount],Table146[Company],$M$3,Table146[Date],$A187,Table146[Bill No.],$B187),SUMIFS('Other Sale'!$D:$D,'Other Sale'!$E:$E,$M$3,'Other Sale'!$C:$C,$J187,'Other Sale'!$A:$A,$A187)))))</f>
        <v/>
      </c>
      <c r="F187" s="347" t="str" cm="1">
        <f t="array" ref="F187">IF($A187="","",IF($J187="Payment",IFERROR(INDEX(_xlfn._xlws.FILTER(MasterPaid[Amount Paid],(MasterPaid[Customer]=$M$3)*(MasterPaid[Date]=$A187)),COUNTIFS($A$6:$A187,$A187,$J$6:$J187,"Payment")),0),0))</f>
        <v/>
      </c>
      <c r="G187" s="331"/>
      <c r="H187" s="427"/>
      <c r="I187" s="330" t="str">
        <f t="shared" si="11"/>
        <v/>
      </c>
      <c r="J187" s="344" t="str" cm="1">
        <f t="array" ref="J187">IFERROR(INDEX(_xlfn.ANCHORARRAY($P$6),ROW()-5,3),"")</f>
        <v/>
      </c>
      <c r="K187" s="432"/>
      <c r="L187" s="348"/>
    </row>
    <row r="188" spans="1:12" ht="23" x14ac:dyDescent="0.25">
      <c r="A188" s="217" t="str" cm="1">
        <f t="array" ref="A188">IFERROR(INDEX(_xlfn.ANCHORARRAY($P$6),ROW()-5,1),"")</f>
        <v/>
      </c>
      <c r="B188" s="344" t="str" cm="1">
        <f t="array" ref="B188">IFERROR(INDEX(_xlfn.ANCHORARRAY($P$6),ROW()-5,2),"")</f>
        <v/>
      </c>
      <c r="C188" s="345" t="str">
        <f>IF($A188="","",IF($J188="DIESEL",SUMIFS(Table1[Quantity],Table1[Customer],$M$3,Table1[Date],$A188,Table1[Bill No.],$B188),IF($J188="PETROL",SUMIFS(Table14[Quantity],Table14[Customer],$M$3,Table14[Date],$A188,Table14[Bill No.],$B188),IF($J188="XtraGreen",SUMIFS(Table146[Quantity],Table146[Company],$M$3,Table146[Date],$A188,Table146[Bill No.],$B188),""))))</f>
        <v/>
      </c>
      <c r="D188" s="346" t="str">
        <f>IF($A188="","",IF($J188="DIESEL",AVERAGEIFS(Table1[RSP],Table1[Customer],$M$3,Table1[Date],$A188,Table1[Bill No.],$B188),IF($J188="PETROL",AVERAGEIFS(Table14[RSP],Table14[Customer],$M$3,Table14[Date],$A188,Table14[Bill No.],$B188),IF($J188="XtraGreen",AVERAGEIFS(Table146[RSP],Table146[Company],$M$3,Table146[Date],$A188,Table146[Bill No.],$B188),IFERROR($E188/$C188,"")))))</f>
        <v/>
      </c>
      <c r="E188" s="347" t="str">
        <f>IF($A188="","",IF($J188="DIESEL",SUMIFS(Table1[Amount],Table1[Customer],$M$3,Table1[Date],$A188,Table1[Bill No.],$B188),IF($J188="PETROL",SUMIFS(Table14[Amount],Table14[Customer],$M$3,Table14[Date],$A188,Table14[Bill No.],$B188),IF($J188="XtraGreen",SUMIFS(Table146[Amount],Table146[Company],$M$3,Table146[Date],$A188,Table146[Bill No.],$B188),SUMIFS('Other Sale'!$D:$D,'Other Sale'!$E:$E,$M$3,'Other Sale'!$C:$C,$J188,'Other Sale'!$A:$A,$A188)))))</f>
        <v/>
      </c>
      <c r="F188" s="347" t="str" cm="1">
        <f t="array" ref="F188">IF($A188="","",IF($J188="Payment",IFERROR(INDEX(_xlfn._xlws.FILTER(MasterPaid[Amount Paid],(MasterPaid[Customer]=$M$3)*(MasterPaid[Date]=$A188)),COUNTIFS($A$6:$A188,$A188,$J$6:$J188,"Payment")),0),0))</f>
        <v/>
      </c>
      <c r="G188" s="331"/>
      <c r="H188" s="427"/>
      <c r="I188" s="330" t="str">
        <f t="shared" si="11"/>
        <v/>
      </c>
      <c r="J188" s="344" t="str" cm="1">
        <f t="array" ref="J188">IFERROR(INDEX(_xlfn.ANCHORARRAY($P$6),ROW()-5,3),"")</f>
        <v/>
      </c>
      <c r="K188" s="432"/>
      <c r="L188" s="348"/>
    </row>
    <row r="189" spans="1:12" ht="23" x14ac:dyDescent="0.25">
      <c r="A189" s="217" t="str" cm="1">
        <f t="array" ref="A189">IFERROR(INDEX(_xlfn.ANCHORARRAY($P$6),ROW()-5,1),"")</f>
        <v/>
      </c>
      <c r="B189" s="344" t="str" cm="1">
        <f t="array" ref="B189">IFERROR(INDEX(_xlfn.ANCHORARRAY($P$6),ROW()-5,2),"")</f>
        <v/>
      </c>
      <c r="C189" s="345" t="str">
        <f>IF($A189="","",IF($J189="DIESEL",SUMIFS(Table1[Quantity],Table1[Customer],$M$3,Table1[Date],$A189,Table1[Bill No.],$B189),IF($J189="PETROL",SUMIFS(Table14[Quantity],Table14[Customer],$M$3,Table14[Date],$A189,Table14[Bill No.],$B189),IF($J189="XtraGreen",SUMIFS(Table146[Quantity],Table146[Company],$M$3,Table146[Date],$A189,Table146[Bill No.],$B189),""))))</f>
        <v/>
      </c>
      <c r="D189" s="346" t="str">
        <f>IF($A189="","",IF($J189="DIESEL",AVERAGEIFS(Table1[RSP],Table1[Customer],$M$3,Table1[Date],$A189,Table1[Bill No.],$B189),IF($J189="PETROL",AVERAGEIFS(Table14[RSP],Table14[Customer],$M$3,Table14[Date],$A189,Table14[Bill No.],$B189),IF($J189="XtraGreen",AVERAGEIFS(Table146[RSP],Table146[Company],$M$3,Table146[Date],$A189,Table146[Bill No.],$B189),IFERROR($E189/$C189,"")))))</f>
        <v/>
      </c>
      <c r="E189" s="347" t="str">
        <f>IF($A189="","",IF($J189="DIESEL",SUMIFS(Table1[Amount],Table1[Customer],$M$3,Table1[Date],$A189,Table1[Bill No.],$B189),IF($J189="PETROL",SUMIFS(Table14[Amount],Table14[Customer],$M$3,Table14[Date],$A189,Table14[Bill No.],$B189),IF($J189="XtraGreen",SUMIFS(Table146[Amount],Table146[Company],$M$3,Table146[Date],$A189,Table146[Bill No.],$B189),SUMIFS('Other Sale'!$D:$D,'Other Sale'!$E:$E,$M$3,'Other Sale'!$C:$C,$J189,'Other Sale'!$A:$A,$A189)))))</f>
        <v/>
      </c>
      <c r="F189" s="347" t="str" cm="1">
        <f t="array" ref="F189">IF($A189="","",IF($J189="Payment",IFERROR(INDEX(_xlfn._xlws.FILTER(MasterPaid[Amount Paid],(MasterPaid[Customer]=$M$3)*(MasterPaid[Date]=$A189)),COUNTIFS($A$6:$A189,$A189,$J$6:$J189,"Payment")),0),0))</f>
        <v/>
      </c>
      <c r="G189" s="331"/>
      <c r="H189" s="427"/>
      <c r="I189" s="330" t="str">
        <f t="shared" si="11"/>
        <v/>
      </c>
      <c r="J189" s="344" t="str" cm="1">
        <f t="array" ref="J189">IFERROR(INDEX(_xlfn.ANCHORARRAY($P$6),ROW()-5,3),"")</f>
        <v/>
      </c>
      <c r="K189" s="432"/>
      <c r="L189" s="348"/>
    </row>
    <row r="190" spans="1:12" ht="23" x14ac:dyDescent="0.25">
      <c r="A190" s="217" t="str" cm="1">
        <f t="array" ref="A190">IFERROR(INDEX(_xlfn.ANCHORARRAY($P$6),ROW()-5,1),"")</f>
        <v/>
      </c>
      <c r="B190" s="344" t="str" cm="1">
        <f t="array" ref="B190">IFERROR(INDEX(_xlfn.ANCHORARRAY($P$6),ROW()-5,2),"")</f>
        <v/>
      </c>
      <c r="C190" s="345" t="str">
        <f>IF($A190="","",IF($J190="DIESEL",SUMIFS(Table1[Quantity],Table1[Customer],$M$3,Table1[Date],$A190,Table1[Bill No.],$B190),IF($J190="PETROL",SUMIFS(Table14[Quantity],Table14[Customer],$M$3,Table14[Date],$A190,Table14[Bill No.],$B190),IF($J190="XtraGreen",SUMIFS(Table146[Quantity],Table146[Company],$M$3,Table146[Date],$A190,Table146[Bill No.],$B190),""))))</f>
        <v/>
      </c>
      <c r="D190" s="346" t="str">
        <f>IF($A190="","",IF($J190="DIESEL",AVERAGEIFS(Table1[RSP],Table1[Customer],$M$3,Table1[Date],$A190,Table1[Bill No.],$B190),IF($J190="PETROL",AVERAGEIFS(Table14[RSP],Table14[Customer],$M$3,Table14[Date],$A190,Table14[Bill No.],$B190),IF($J190="XtraGreen",AVERAGEIFS(Table146[RSP],Table146[Company],$M$3,Table146[Date],$A190,Table146[Bill No.],$B190),IFERROR($E190/$C190,"")))))</f>
        <v/>
      </c>
      <c r="E190" s="347" t="str">
        <f>IF($A190="","",IF($J190="DIESEL",SUMIFS(Table1[Amount],Table1[Customer],$M$3,Table1[Date],$A190,Table1[Bill No.],$B190),IF($J190="PETROL",SUMIFS(Table14[Amount],Table14[Customer],$M$3,Table14[Date],$A190,Table14[Bill No.],$B190),IF($J190="XtraGreen",SUMIFS(Table146[Amount],Table146[Company],$M$3,Table146[Date],$A190,Table146[Bill No.],$B190),SUMIFS('Other Sale'!$D:$D,'Other Sale'!$E:$E,$M$3,'Other Sale'!$C:$C,$J190,'Other Sale'!$A:$A,$A190)))))</f>
        <v/>
      </c>
      <c r="F190" s="347" t="str" cm="1">
        <f t="array" ref="F190">IF($A190="","",IF($J190="Payment",IFERROR(INDEX(_xlfn._xlws.FILTER(MasterPaid[Amount Paid],(MasterPaid[Customer]=$M$3)*(MasterPaid[Date]=$A190)),COUNTIFS($A$6:$A190,$A190,$J$6:$J190,"Payment")),0),0))</f>
        <v/>
      </c>
      <c r="G190" s="331"/>
      <c r="H190" s="427"/>
      <c r="I190" s="330" t="str">
        <f t="shared" si="11"/>
        <v/>
      </c>
      <c r="J190" s="344" t="str" cm="1">
        <f t="array" ref="J190">IFERROR(INDEX(_xlfn.ANCHORARRAY($P$6),ROW()-5,3),"")</f>
        <v/>
      </c>
      <c r="K190" s="432"/>
      <c r="L190" s="348"/>
    </row>
    <row r="191" spans="1:12" ht="23" x14ac:dyDescent="0.25">
      <c r="A191" s="217" t="str" cm="1">
        <f t="array" ref="A191">IFERROR(INDEX(_xlfn.ANCHORARRAY($P$6),ROW()-5,1),"")</f>
        <v/>
      </c>
      <c r="B191" s="344" t="str" cm="1">
        <f t="array" ref="B191">IFERROR(INDEX(_xlfn.ANCHORARRAY($P$6),ROW()-5,2),"")</f>
        <v/>
      </c>
      <c r="C191" s="345" t="str">
        <f>IF($A191="","",IF($J191="DIESEL",SUMIFS(Table1[Quantity],Table1[Customer],$M$3,Table1[Date],$A191,Table1[Bill No.],$B191),IF($J191="PETROL",SUMIFS(Table14[Quantity],Table14[Customer],$M$3,Table14[Date],$A191,Table14[Bill No.],$B191),IF($J191="XtraGreen",SUMIFS(Table146[Quantity],Table146[Company],$M$3,Table146[Date],$A191,Table146[Bill No.],$B191),""))))</f>
        <v/>
      </c>
      <c r="D191" s="346" t="str">
        <f>IF($A191="","",IF($J191="DIESEL",AVERAGEIFS(Table1[RSP],Table1[Customer],$M$3,Table1[Date],$A191,Table1[Bill No.],$B191),IF($J191="PETROL",AVERAGEIFS(Table14[RSP],Table14[Customer],$M$3,Table14[Date],$A191,Table14[Bill No.],$B191),IF($J191="XtraGreen",AVERAGEIFS(Table146[RSP],Table146[Company],$M$3,Table146[Date],$A191,Table146[Bill No.],$B191),IFERROR($E191/$C191,"")))))</f>
        <v/>
      </c>
      <c r="E191" s="347" t="str">
        <f>IF($A191="","",IF($J191="DIESEL",SUMIFS(Table1[Amount],Table1[Customer],$M$3,Table1[Date],$A191,Table1[Bill No.],$B191),IF($J191="PETROL",SUMIFS(Table14[Amount],Table14[Customer],$M$3,Table14[Date],$A191,Table14[Bill No.],$B191),IF($J191="XtraGreen",SUMIFS(Table146[Amount],Table146[Company],$M$3,Table146[Date],$A191,Table146[Bill No.],$B191),SUMIFS('Other Sale'!$D:$D,'Other Sale'!$E:$E,$M$3,'Other Sale'!$C:$C,$J191,'Other Sale'!$A:$A,$A191)))))</f>
        <v/>
      </c>
      <c r="F191" s="347" t="str" cm="1">
        <f t="array" ref="F191">IF($A191="","",IF($J191="Payment",IFERROR(INDEX(_xlfn._xlws.FILTER(MasterPaid[Amount Paid],(MasterPaid[Customer]=$M$3)*(MasterPaid[Date]=$A191)),COUNTIFS($A$6:$A191,$A191,$J$6:$J191,"Payment")),0),0))</f>
        <v/>
      </c>
      <c r="G191" s="331"/>
      <c r="H191" s="427"/>
      <c r="I191" s="330" t="str">
        <f t="shared" si="11"/>
        <v/>
      </c>
      <c r="J191" s="344" t="str" cm="1">
        <f t="array" ref="J191">IFERROR(INDEX(_xlfn.ANCHORARRAY($P$6),ROW()-5,3),"")</f>
        <v/>
      </c>
      <c r="K191" s="432"/>
      <c r="L191" s="348"/>
    </row>
    <row r="192" spans="1:12" ht="23" x14ac:dyDescent="0.25">
      <c r="A192" s="217" t="str" cm="1">
        <f t="array" ref="A192">IFERROR(INDEX(_xlfn.ANCHORARRAY($P$6),ROW()-5,1),"")</f>
        <v/>
      </c>
      <c r="B192" s="344" t="str" cm="1">
        <f t="array" ref="B192">IFERROR(INDEX(_xlfn.ANCHORARRAY($P$6),ROW()-5,2),"")</f>
        <v/>
      </c>
      <c r="C192" s="345" t="str">
        <f>IF($A192="","",IF($J192="DIESEL",SUMIFS(Table1[Quantity],Table1[Customer],$M$3,Table1[Date],$A192,Table1[Bill No.],$B192),IF($J192="PETROL",SUMIFS(Table14[Quantity],Table14[Customer],$M$3,Table14[Date],$A192,Table14[Bill No.],$B192),IF($J192="XtraGreen",SUMIFS(Table146[Quantity],Table146[Company],$M$3,Table146[Date],$A192,Table146[Bill No.],$B192),""))))</f>
        <v/>
      </c>
      <c r="D192" s="346" t="str">
        <f>IF($A192="","",IF($J192="DIESEL",AVERAGEIFS(Table1[RSP],Table1[Customer],$M$3,Table1[Date],$A192,Table1[Bill No.],$B192),IF($J192="PETROL",AVERAGEIFS(Table14[RSP],Table14[Customer],$M$3,Table14[Date],$A192,Table14[Bill No.],$B192),IF($J192="XtraGreen",AVERAGEIFS(Table146[RSP],Table146[Company],$M$3,Table146[Date],$A192,Table146[Bill No.],$B192),IFERROR($E192/$C192,"")))))</f>
        <v/>
      </c>
      <c r="E192" s="347" t="str">
        <f>IF($A192="","",IF($J192="DIESEL",SUMIFS(Table1[Amount],Table1[Customer],$M$3,Table1[Date],$A192,Table1[Bill No.],$B192),IF($J192="PETROL",SUMIFS(Table14[Amount],Table14[Customer],$M$3,Table14[Date],$A192,Table14[Bill No.],$B192),IF($J192="XtraGreen",SUMIFS(Table146[Amount],Table146[Company],$M$3,Table146[Date],$A192,Table146[Bill No.],$B192),SUMIFS('Other Sale'!$D:$D,'Other Sale'!$E:$E,$M$3,'Other Sale'!$C:$C,$J192,'Other Sale'!$A:$A,$A192)))))</f>
        <v/>
      </c>
      <c r="F192" s="347" t="str" cm="1">
        <f t="array" ref="F192">IF($A192="","",IF($J192="Payment",IFERROR(INDEX(_xlfn._xlws.FILTER(MasterPaid[Amount Paid],(MasterPaid[Customer]=$M$3)*(MasterPaid[Date]=$A192)),COUNTIFS($A$6:$A192,$A192,$J$6:$J192,"Payment")),0),0))</f>
        <v/>
      </c>
      <c r="G192" s="331"/>
      <c r="H192" s="427"/>
      <c r="I192" s="330" t="str">
        <f t="shared" si="11"/>
        <v/>
      </c>
      <c r="J192" s="344" t="str" cm="1">
        <f t="array" ref="J192">IFERROR(INDEX(_xlfn.ANCHORARRAY($P$6),ROW()-5,3),"")</f>
        <v/>
      </c>
      <c r="K192" s="432"/>
      <c r="L192" s="348"/>
    </row>
    <row r="193" spans="1:12" ht="23" x14ac:dyDescent="0.25">
      <c r="A193" s="217" t="str" cm="1">
        <f t="array" ref="A193">IFERROR(INDEX(_xlfn.ANCHORARRAY($P$6),ROW()-5,1),"")</f>
        <v/>
      </c>
      <c r="B193" s="344" t="str" cm="1">
        <f t="array" ref="B193">IFERROR(INDEX(_xlfn.ANCHORARRAY($P$6),ROW()-5,2),"")</f>
        <v/>
      </c>
      <c r="C193" s="345" t="str">
        <f>IF($A193="","",IF($J193="DIESEL",SUMIFS(Table1[Quantity],Table1[Customer],$M$3,Table1[Date],$A193,Table1[Bill No.],$B193),IF($J193="PETROL",SUMIFS(Table14[Quantity],Table14[Customer],$M$3,Table14[Date],$A193,Table14[Bill No.],$B193),IF($J193="XtraGreen",SUMIFS(Table146[Quantity],Table146[Company],$M$3,Table146[Date],$A193,Table146[Bill No.],$B193),""))))</f>
        <v/>
      </c>
      <c r="D193" s="346" t="str">
        <f>IF($A193="","",IF($J193="DIESEL",AVERAGEIFS(Table1[RSP],Table1[Customer],$M$3,Table1[Date],$A193,Table1[Bill No.],$B193),IF($J193="PETROL",AVERAGEIFS(Table14[RSP],Table14[Customer],$M$3,Table14[Date],$A193,Table14[Bill No.],$B193),IF($J193="XtraGreen",AVERAGEIFS(Table146[RSP],Table146[Company],$M$3,Table146[Date],$A193,Table146[Bill No.],$B193),IFERROR($E193/$C193,"")))))</f>
        <v/>
      </c>
      <c r="E193" s="347" t="str">
        <f>IF($A193="","",IF($J193="DIESEL",SUMIFS(Table1[Amount],Table1[Customer],$M$3,Table1[Date],$A193,Table1[Bill No.],$B193),IF($J193="PETROL",SUMIFS(Table14[Amount],Table14[Customer],$M$3,Table14[Date],$A193,Table14[Bill No.],$B193),IF($J193="XtraGreen",SUMIFS(Table146[Amount],Table146[Company],$M$3,Table146[Date],$A193,Table146[Bill No.],$B193),SUMIFS('Other Sale'!$D:$D,'Other Sale'!$E:$E,$M$3,'Other Sale'!$C:$C,$J193,'Other Sale'!$A:$A,$A193)))))</f>
        <v/>
      </c>
      <c r="F193" s="347" t="str" cm="1">
        <f t="array" ref="F193">IF($A193="","",IF($J193="Payment",IFERROR(INDEX(_xlfn._xlws.FILTER(MasterPaid[Amount Paid],(MasterPaid[Customer]=$M$3)*(MasterPaid[Date]=$A193)),COUNTIFS($A$6:$A193,$A193,$J$6:$J193,"Payment")),0),0))</f>
        <v/>
      </c>
      <c r="G193" s="331"/>
      <c r="H193" s="427"/>
      <c r="I193" s="330" t="str">
        <f t="shared" si="11"/>
        <v/>
      </c>
      <c r="J193" s="344" t="str" cm="1">
        <f t="array" ref="J193">IFERROR(INDEX(_xlfn.ANCHORARRAY($P$6),ROW()-5,3),"")</f>
        <v/>
      </c>
      <c r="K193" s="432"/>
      <c r="L193" s="348"/>
    </row>
    <row r="194" spans="1:12" ht="23" x14ac:dyDescent="0.25">
      <c r="A194" s="217" t="str" cm="1">
        <f t="array" ref="A194">IFERROR(INDEX(_xlfn.ANCHORARRAY($P$6),ROW()-5,1),"")</f>
        <v/>
      </c>
      <c r="B194" s="344" t="str" cm="1">
        <f t="array" ref="B194">IFERROR(INDEX(_xlfn.ANCHORARRAY($P$6),ROW()-5,2),"")</f>
        <v/>
      </c>
      <c r="C194" s="345" t="str">
        <f>IF($A194="","",IF($J194="DIESEL",SUMIFS(Table1[Quantity],Table1[Customer],$M$3,Table1[Date],$A194,Table1[Bill No.],$B194),IF($J194="PETROL",SUMIFS(Table14[Quantity],Table14[Customer],$M$3,Table14[Date],$A194,Table14[Bill No.],$B194),IF($J194="XtraGreen",SUMIFS(Table146[Quantity],Table146[Company],$M$3,Table146[Date],$A194,Table146[Bill No.],$B194),""))))</f>
        <v/>
      </c>
      <c r="D194" s="346" t="str">
        <f>IF($A194="","",IF($J194="DIESEL",AVERAGEIFS(Table1[RSP],Table1[Customer],$M$3,Table1[Date],$A194,Table1[Bill No.],$B194),IF($J194="PETROL",AVERAGEIFS(Table14[RSP],Table14[Customer],$M$3,Table14[Date],$A194,Table14[Bill No.],$B194),IF($J194="XtraGreen",AVERAGEIFS(Table146[RSP],Table146[Company],$M$3,Table146[Date],$A194,Table146[Bill No.],$B194),IFERROR($E194/$C194,"")))))</f>
        <v/>
      </c>
      <c r="E194" s="347" t="str">
        <f>IF($A194="","",IF($J194="DIESEL",SUMIFS(Table1[Amount],Table1[Customer],$M$3,Table1[Date],$A194,Table1[Bill No.],$B194),IF($J194="PETROL",SUMIFS(Table14[Amount],Table14[Customer],$M$3,Table14[Date],$A194,Table14[Bill No.],$B194),IF($J194="XtraGreen",SUMIFS(Table146[Amount],Table146[Company],$M$3,Table146[Date],$A194,Table146[Bill No.],$B194),SUMIFS('Other Sale'!$D:$D,'Other Sale'!$E:$E,$M$3,'Other Sale'!$C:$C,$J194,'Other Sale'!$A:$A,$A194)))))</f>
        <v/>
      </c>
      <c r="F194" s="347" t="str" cm="1">
        <f t="array" ref="F194">IF($A194="","",IF($J194="Payment",IFERROR(INDEX(_xlfn._xlws.FILTER(MasterPaid[Amount Paid],(MasterPaid[Customer]=$M$3)*(MasterPaid[Date]=$A194)),COUNTIFS($A$6:$A194,$A194,$J$6:$J194,"Payment")),0),0))</f>
        <v/>
      </c>
      <c r="G194" s="331"/>
      <c r="H194" s="427"/>
      <c r="I194" s="330" t="str">
        <f t="shared" si="11"/>
        <v/>
      </c>
      <c r="J194" s="344" t="str" cm="1">
        <f t="array" ref="J194">IFERROR(INDEX(_xlfn.ANCHORARRAY($P$6),ROW()-5,3),"")</f>
        <v/>
      </c>
      <c r="K194" s="432"/>
      <c r="L194" s="348"/>
    </row>
    <row r="195" spans="1:12" ht="23" x14ac:dyDescent="0.25">
      <c r="A195" s="217" t="str" cm="1">
        <f t="array" ref="A195">IFERROR(INDEX(_xlfn.ANCHORARRAY($P$6),ROW()-5,1),"")</f>
        <v/>
      </c>
      <c r="B195" s="344" t="str" cm="1">
        <f t="array" ref="B195">IFERROR(INDEX(_xlfn.ANCHORARRAY($P$6),ROW()-5,2),"")</f>
        <v/>
      </c>
      <c r="C195" s="345" t="str">
        <f>IF($A195="","",IF($J195="DIESEL",SUMIFS(Table1[Quantity],Table1[Customer],$M$3,Table1[Date],$A195,Table1[Bill No.],$B195),IF($J195="PETROL",SUMIFS(Table14[Quantity],Table14[Customer],$M$3,Table14[Date],$A195,Table14[Bill No.],$B195),IF($J195="XtraGreen",SUMIFS(Table146[Quantity],Table146[Company],$M$3,Table146[Date],$A195,Table146[Bill No.],$B195),""))))</f>
        <v/>
      </c>
      <c r="D195" s="346" t="str">
        <f>IF($A195="","",IF($J195="DIESEL",AVERAGEIFS(Table1[RSP],Table1[Customer],$M$3,Table1[Date],$A195,Table1[Bill No.],$B195),IF($J195="PETROL",AVERAGEIFS(Table14[RSP],Table14[Customer],$M$3,Table14[Date],$A195,Table14[Bill No.],$B195),IF($J195="XtraGreen",AVERAGEIFS(Table146[RSP],Table146[Company],$M$3,Table146[Date],$A195,Table146[Bill No.],$B195),IFERROR($E195/$C195,"")))))</f>
        <v/>
      </c>
      <c r="E195" s="347" t="str">
        <f>IF($A195="","",IF($J195="DIESEL",SUMIFS(Table1[Amount],Table1[Customer],$M$3,Table1[Date],$A195,Table1[Bill No.],$B195),IF($J195="PETROL",SUMIFS(Table14[Amount],Table14[Customer],$M$3,Table14[Date],$A195,Table14[Bill No.],$B195),IF($J195="XtraGreen",SUMIFS(Table146[Amount],Table146[Company],$M$3,Table146[Date],$A195,Table146[Bill No.],$B195),SUMIFS('Other Sale'!$D:$D,'Other Sale'!$E:$E,$M$3,'Other Sale'!$C:$C,$J195,'Other Sale'!$A:$A,$A195)))))</f>
        <v/>
      </c>
      <c r="F195" s="347" t="str" cm="1">
        <f t="array" ref="F195">IF($A195="","",IF($J195="Payment",IFERROR(INDEX(_xlfn._xlws.FILTER(MasterPaid[Amount Paid],(MasterPaid[Customer]=$M$3)*(MasterPaid[Date]=$A195)),COUNTIFS($A$6:$A195,$A195,$J$6:$J195,"Payment")),0),0))</f>
        <v/>
      </c>
      <c r="G195" s="331"/>
      <c r="H195" s="427"/>
      <c r="I195" s="330" t="str">
        <f t="shared" si="11"/>
        <v/>
      </c>
      <c r="J195" s="344" t="str" cm="1">
        <f t="array" ref="J195">IFERROR(INDEX(_xlfn.ANCHORARRAY($P$6),ROW()-5,3),"")</f>
        <v/>
      </c>
      <c r="K195" s="432"/>
      <c r="L195" s="348"/>
    </row>
    <row r="196" spans="1:12" ht="23" x14ac:dyDescent="0.25">
      <c r="A196" s="217" t="str" cm="1">
        <f t="array" ref="A196">IFERROR(INDEX(_xlfn.ANCHORARRAY($P$6),ROW()-5,1),"")</f>
        <v/>
      </c>
      <c r="B196" s="344" t="str" cm="1">
        <f t="array" ref="B196">IFERROR(INDEX(_xlfn.ANCHORARRAY($P$6),ROW()-5,2),"")</f>
        <v/>
      </c>
      <c r="C196" s="345" t="str">
        <f>IF($A196="","",IF($J196="DIESEL",SUMIFS(Table1[Quantity],Table1[Customer],$M$3,Table1[Date],$A196,Table1[Bill No.],$B196),IF($J196="PETROL",SUMIFS(Table14[Quantity],Table14[Customer],$M$3,Table14[Date],$A196,Table14[Bill No.],$B196),IF($J196="XtraGreen",SUMIFS(Table146[Quantity],Table146[Company],$M$3,Table146[Date],$A196,Table146[Bill No.],$B196),""))))</f>
        <v/>
      </c>
      <c r="D196" s="346" t="str">
        <f>IF($A196="","",IF($J196="DIESEL",AVERAGEIFS(Table1[RSP],Table1[Customer],$M$3,Table1[Date],$A196,Table1[Bill No.],$B196),IF($J196="PETROL",AVERAGEIFS(Table14[RSP],Table14[Customer],$M$3,Table14[Date],$A196,Table14[Bill No.],$B196),IF($J196="XtraGreen",AVERAGEIFS(Table146[RSP],Table146[Company],$M$3,Table146[Date],$A196,Table146[Bill No.],$B196),IFERROR($E196/$C196,"")))))</f>
        <v/>
      </c>
      <c r="E196" s="347" t="str">
        <f>IF($A196="","",IF($J196="DIESEL",SUMIFS(Table1[Amount],Table1[Customer],$M$3,Table1[Date],$A196,Table1[Bill No.],$B196),IF($J196="PETROL",SUMIFS(Table14[Amount],Table14[Customer],$M$3,Table14[Date],$A196,Table14[Bill No.],$B196),IF($J196="XtraGreen",SUMIFS(Table146[Amount],Table146[Company],$M$3,Table146[Date],$A196,Table146[Bill No.],$B196),SUMIFS('Other Sale'!$D:$D,'Other Sale'!$E:$E,$M$3,'Other Sale'!$C:$C,$J196,'Other Sale'!$A:$A,$A196)))))</f>
        <v/>
      </c>
      <c r="F196" s="347" t="str" cm="1">
        <f t="array" ref="F196">IF($A196="","",IF($J196="Payment",IFERROR(INDEX(_xlfn._xlws.FILTER(MasterPaid[Amount Paid],(MasterPaid[Customer]=$M$3)*(MasterPaid[Date]=$A196)),COUNTIFS($A$6:$A196,$A196,$J$6:$J196,"Payment")),0),0))</f>
        <v/>
      </c>
      <c r="G196" s="331"/>
      <c r="H196" s="427"/>
      <c r="I196" s="330" t="str">
        <f t="shared" si="11"/>
        <v/>
      </c>
      <c r="J196" s="344" t="str" cm="1">
        <f t="array" ref="J196">IFERROR(INDEX(_xlfn.ANCHORARRAY($P$6),ROW()-5,3),"")</f>
        <v/>
      </c>
      <c r="K196" s="432"/>
      <c r="L196" s="348"/>
    </row>
    <row r="197" spans="1:12" ht="23" x14ac:dyDescent="0.25">
      <c r="A197" s="217" t="str" cm="1">
        <f t="array" ref="A197">IFERROR(INDEX(_xlfn.ANCHORARRAY($P$6),ROW()-5,1),"")</f>
        <v/>
      </c>
      <c r="B197" s="344" t="str" cm="1">
        <f t="array" ref="B197">IFERROR(INDEX(_xlfn.ANCHORARRAY($P$6),ROW()-5,2),"")</f>
        <v/>
      </c>
      <c r="C197" s="345" t="str">
        <f>IF($A197="","",IF($J197="DIESEL",SUMIFS(Table1[Quantity],Table1[Customer],$M$3,Table1[Date],$A197,Table1[Bill No.],$B197),IF($J197="PETROL",SUMIFS(Table14[Quantity],Table14[Customer],$M$3,Table14[Date],$A197,Table14[Bill No.],$B197),IF($J197="XtraGreen",SUMIFS(Table146[Quantity],Table146[Company],$M$3,Table146[Date],$A197,Table146[Bill No.],$B197),""))))</f>
        <v/>
      </c>
      <c r="D197" s="346" t="str">
        <f>IF($A197="","",IF($J197="DIESEL",AVERAGEIFS(Table1[RSP],Table1[Customer],$M$3,Table1[Date],$A197,Table1[Bill No.],$B197),IF($J197="PETROL",AVERAGEIFS(Table14[RSP],Table14[Customer],$M$3,Table14[Date],$A197,Table14[Bill No.],$B197),IF($J197="XtraGreen",AVERAGEIFS(Table146[RSP],Table146[Company],$M$3,Table146[Date],$A197,Table146[Bill No.],$B197),IFERROR($E197/$C197,"")))))</f>
        <v/>
      </c>
      <c r="E197" s="347" t="str">
        <f>IF($A197="","",IF($J197="DIESEL",SUMIFS(Table1[Amount],Table1[Customer],$M$3,Table1[Date],$A197,Table1[Bill No.],$B197),IF($J197="PETROL",SUMIFS(Table14[Amount],Table14[Customer],$M$3,Table14[Date],$A197,Table14[Bill No.],$B197),IF($J197="XtraGreen",SUMIFS(Table146[Amount],Table146[Company],$M$3,Table146[Date],$A197,Table146[Bill No.],$B197),SUMIFS('Other Sale'!$D:$D,'Other Sale'!$E:$E,$M$3,'Other Sale'!$C:$C,$J197,'Other Sale'!$A:$A,$A197)))))</f>
        <v/>
      </c>
      <c r="F197" s="347" t="str" cm="1">
        <f t="array" ref="F197">IF($A197="","",IF($J197="Payment",IFERROR(INDEX(_xlfn._xlws.FILTER(MasterPaid[Amount Paid],(MasterPaid[Customer]=$M$3)*(MasterPaid[Date]=$A197)),COUNTIFS($A$6:$A197,$A197,$J$6:$J197,"Payment")),0),0))</f>
        <v/>
      </c>
      <c r="G197" s="331"/>
      <c r="H197" s="427"/>
      <c r="I197" s="330" t="str">
        <f t="shared" si="11"/>
        <v/>
      </c>
      <c r="J197" s="344" t="str" cm="1">
        <f t="array" ref="J197">IFERROR(INDEX(_xlfn.ANCHORARRAY($P$6),ROW()-5,3),"")</f>
        <v/>
      </c>
      <c r="K197" s="432"/>
      <c r="L197" s="348"/>
    </row>
    <row r="198" spans="1:12" ht="23" x14ac:dyDescent="0.25">
      <c r="A198" s="217" t="str" cm="1">
        <f t="array" ref="A198">IFERROR(INDEX(_xlfn.ANCHORARRAY($P$6),ROW()-5,1),"")</f>
        <v/>
      </c>
      <c r="B198" s="344" t="str" cm="1">
        <f t="array" ref="B198">IFERROR(INDEX(_xlfn.ANCHORARRAY($P$6),ROW()-5,2),"")</f>
        <v/>
      </c>
      <c r="C198" s="345" t="str">
        <f>IF($A198="","",IF($J198="DIESEL",SUMIFS(Table1[Quantity],Table1[Customer],$M$3,Table1[Date],$A198,Table1[Bill No.],$B198),IF($J198="PETROL",SUMIFS(Table14[Quantity],Table14[Customer],$M$3,Table14[Date],$A198,Table14[Bill No.],$B198),IF($J198="XtraGreen",SUMIFS(Table146[Quantity],Table146[Company],$M$3,Table146[Date],$A198,Table146[Bill No.],$B198),""))))</f>
        <v/>
      </c>
      <c r="D198" s="346" t="str">
        <f>IF($A198="","",IF($J198="DIESEL",AVERAGEIFS(Table1[RSP],Table1[Customer],$M$3,Table1[Date],$A198,Table1[Bill No.],$B198),IF($J198="PETROL",AVERAGEIFS(Table14[RSP],Table14[Customer],$M$3,Table14[Date],$A198,Table14[Bill No.],$B198),IF($J198="XtraGreen",AVERAGEIFS(Table146[RSP],Table146[Company],$M$3,Table146[Date],$A198,Table146[Bill No.],$B198),IFERROR($E198/$C198,"")))))</f>
        <v/>
      </c>
      <c r="E198" s="347" t="str">
        <f>IF($A198="","",IF($J198="DIESEL",SUMIFS(Table1[Amount],Table1[Customer],$M$3,Table1[Date],$A198,Table1[Bill No.],$B198),IF($J198="PETROL",SUMIFS(Table14[Amount],Table14[Customer],$M$3,Table14[Date],$A198,Table14[Bill No.],$B198),IF($J198="XtraGreen",SUMIFS(Table146[Amount],Table146[Company],$M$3,Table146[Date],$A198,Table146[Bill No.],$B198),SUMIFS('Other Sale'!$D:$D,'Other Sale'!$E:$E,$M$3,'Other Sale'!$C:$C,$J198,'Other Sale'!$A:$A,$A198)))))</f>
        <v/>
      </c>
      <c r="F198" s="347" t="str" cm="1">
        <f t="array" ref="F198">IF($A198="","",IF($J198="Payment",IFERROR(INDEX(_xlfn._xlws.FILTER(MasterPaid[Amount Paid],(MasterPaid[Customer]=$M$3)*(MasterPaid[Date]=$A198)),COUNTIFS($A$6:$A198,$A198,$J$6:$J198,"Payment")),0),0))</f>
        <v/>
      </c>
      <c r="G198" s="331"/>
      <c r="H198" s="427"/>
      <c r="I198" s="330" t="str">
        <f t="shared" si="11"/>
        <v/>
      </c>
      <c r="J198" s="344" t="str" cm="1">
        <f t="array" ref="J198">IFERROR(INDEX(_xlfn.ANCHORARRAY($P$6),ROW()-5,3),"")</f>
        <v/>
      </c>
      <c r="K198" s="432"/>
      <c r="L198" s="348"/>
    </row>
    <row r="199" spans="1:12" ht="23" x14ac:dyDescent="0.25">
      <c r="A199" s="217" t="str" cm="1">
        <f t="array" ref="A199">IFERROR(INDEX(_xlfn.ANCHORARRAY($P$6),ROW()-5,1),"")</f>
        <v/>
      </c>
      <c r="B199" s="344" t="str" cm="1">
        <f t="array" ref="B199">IFERROR(INDEX(_xlfn.ANCHORARRAY($P$6),ROW()-5,2),"")</f>
        <v/>
      </c>
      <c r="C199" s="345" t="str">
        <f>IF($A199="","",IF($J199="DIESEL",SUMIFS(Table1[Quantity],Table1[Customer],$M$3,Table1[Date],$A199,Table1[Bill No.],$B199),IF($J199="PETROL",SUMIFS(Table14[Quantity],Table14[Customer],$M$3,Table14[Date],$A199,Table14[Bill No.],$B199),IF($J199="XtraGreen",SUMIFS(Table146[Quantity],Table146[Company],$M$3,Table146[Date],$A199,Table146[Bill No.],$B199),""))))</f>
        <v/>
      </c>
      <c r="D199" s="346" t="str">
        <f>IF($A199="","",IF($J199="DIESEL",AVERAGEIFS(Table1[RSP],Table1[Customer],$M$3,Table1[Date],$A199,Table1[Bill No.],$B199),IF($J199="PETROL",AVERAGEIFS(Table14[RSP],Table14[Customer],$M$3,Table14[Date],$A199,Table14[Bill No.],$B199),IF($J199="XtraGreen",AVERAGEIFS(Table146[RSP],Table146[Company],$M$3,Table146[Date],$A199,Table146[Bill No.],$B199),IFERROR($E199/$C199,"")))))</f>
        <v/>
      </c>
      <c r="E199" s="347" t="str">
        <f>IF($A199="","",IF($J199="DIESEL",SUMIFS(Table1[Amount],Table1[Customer],$M$3,Table1[Date],$A199,Table1[Bill No.],$B199),IF($J199="PETROL",SUMIFS(Table14[Amount],Table14[Customer],$M$3,Table14[Date],$A199,Table14[Bill No.],$B199),IF($J199="XtraGreen",SUMIFS(Table146[Amount],Table146[Company],$M$3,Table146[Date],$A199,Table146[Bill No.],$B199),SUMIFS('Other Sale'!$D:$D,'Other Sale'!$E:$E,$M$3,'Other Sale'!$C:$C,$J199,'Other Sale'!$A:$A,$A199)))))</f>
        <v/>
      </c>
      <c r="F199" s="347" t="str" cm="1">
        <f t="array" ref="F199">IF($A199="","",IF($J199="Payment",IFERROR(INDEX(_xlfn._xlws.FILTER(MasterPaid[Amount Paid],(MasterPaid[Customer]=$M$3)*(MasterPaid[Date]=$A199)),COUNTIFS($A$6:$A199,$A199,$J$6:$J199,"Payment")),0),0))</f>
        <v/>
      </c>
      <c r="G199" s="331"/>
      <c r="H199" s="427"/>
      <c r="I199" s="330" t="str">
        <f t="shared" si="11"/>
        <v/>
      </c>
      <c r="J199" s="344" t="str" cm="1">
        <f t="array" ref="J199">IFERROR(INDEX(_xlfn.ANCHORARRAY($P$6),ROW()-5,3),"")</f>
        <v/>
      </c>
      <c r="K199" s="432"/>
      <c r="L199" s="348"/>
    </row>
    <row r="200" spans="1:12" ht="23" x14ac:dyDescent="0.25">
      <c r="A200" s="217" t="str" cm="1">
        <f t="array" ref="A200">IFERROR(INDEX(_xlfn.ANCHORARRAY($P$6),ROW()-5,1),"")</f>
        <v/>
      </c>
      <c r="B200" s="344" t="str" cm="1">
        <f t="array" ref="B200">IFERROR(INDEX(_xlfn.ANCHORARRAY($P$6),ROW()-5,2),"")</f>
        <v/>
      </c>
      <c r="C200" s="345" t="str">
        <f>IF($A200="","",IF($J200="DIESEL",SUMIFS(Table1[Quantity],Table1[Customer],$M$3,Table1[Date],$A200,Table1[Bill No.],$B200),IF($J200="PETROL",SUMIFS(Table14[Quantity],Table14[Customer],$M$3,Table14[Date],$A200,Table14[Bill No.],$B200),IF($J200="XtraGreen",SUMIFS(Table146[Quantity],Table146[Company],$M$3,Table146[Date],$A200,Table146[Bill No.],$B200),""))))</f>
        <v/>
      </c>
      <c r="D200" s="346" t="str">
        <f>IF($A200="","",IF($J200="DIESEL",AVERAGEIFS(Table1[RSP],Table1[Customer],$M$3,Table1[Date],$A200,Table1[Bill No.],$B200),IF($J200="PETROL",AVERAGEIFS(Table14[RSP],Table14[Customer],$M$3,Table14[Date],$A200,Table14[Bill No.],$B200),IF($J200="XtraGreen",AVERAGEIFS(Table146[RSP],Table146[Company],$M$3,Table146[Date],$A200,Table146[Bill No.],$B200),IFERROR($E200/$C200,"")))))</f>
        <v/>
      </c>
      <c r="E200" s="347" t="str">
        <f>IF($A200="","",IF($J200="DIESEL",SUMIFS(Table1[Amount],Table1[Customer],$M$3,Table1[Date],$A200,Table1[Bill No.],$B200),IF($J200="PETROL",SUMIFS(Table14[Amount],Table14[Customer],$M$3,Table14[Date],$A200,Table14[Bill No.],$B200),IF($J200="XtraGreen",SUMIFS(Table146[Amount],Table146[Company],$M$3,Table146[Date],$A200,Table146[Bill No.],$B200),SUMIFS('Other Sale'!$D:$D,'Other Sale'!$E:$E,$M$3,'Other Sale'!$C:$C,$J200,'Other Sale'!$A:$A,$A200)))))</f>
        <v/>
      </c>
      <c r="F200" s="347" t="str" cm="1">
        <f t="array" ref="F200">IF($A200="","",IF($J200="Payment",IFERROR(INDEX(_xlfn._xlws.FILTER(MasterPaid[Amount Paid],(MasterPaid[Customer]=$M$3)*(MasterPaid[Date]=$A200)),COUNTIFS($A$6:$A200,$A200,$J$6:$J200,"Payment")),0),0))</f>
        <v/>
      </c>
      <c r="G200" s="331"/>
      <c r="H200" s="427"/>
      <c r="I200" s="330" t="str">
        <f t="shared" ref="I200:I263" si="12">IF($A200="","",I199+N(E200)-N(F200)-N(G200)-N(H200))</f>
        <v/>
      </c>
      <c r="J200" s="344" t="str" cm="1">
        <f t="array" ref="J200">IFERROR(INDEX(_xlfn.ANCHORARRAY($P$6),ROW()-5,3),"")</f>
        <v/>
      </c>
      <c r="K200" s="432"/>
      <c r="L200" s="348"/>
    </row>
    <row r="201" spans="1:12" ht="23" x14ac:dyDescent="0.25">
      <c r="A201" s="217" t="str" cm="1">
        <f t="array" ref="A201">IFERROR(INDEX(_xlfn.ANCHORARRAY($P$6),ROW()-5,1),"")</f>
        <v/>
      </c>
      <c r="B201" s="344" t="str" cm="1">
        <f t="array" ref="B201">IFERROR(INDEX(_xlfn.ANCHORARRAY($P$6),ROW()-5,2),"")</f>
        <v/>
      </c>
      <c r="C201" s="345" t="str">
        <f>IF($A201="","",IF($J201="DIESEL",SUMIFS(Table1[Quantity],Table1[Customer],$M$3,Table1[Date],$A201,Table1[Bill No.],$B201),IF($J201="PETROL",SUMIFS(Table14[Quantity],Table14[Customer],$M$3,Table14[Date],$A201,Table14[Bill No.],$B201),IF($J201="XtraGreen",SUMIFS(Table146[Quantity],Table146[Company],$M$3,Table146[Date],$A201,Table146[Bill No.],$B201),""))))</f>
        <v/>
      </c>
      <c r="D201" s="346" t="str">
        <f>IF($A201="","",IF($J201="DIESEL",AVERAGEIFS(Table1[RSP],Table1[Customer],$M$3,Table1[Date],$A201,Table1[Bill No.],$B201),IF($J201="PETROL",AVERAGEIFS(Table14[RSP],Table14[Customer],$M$3,Table14[Date],$A201,Table14[Bill No.],$B201),IF($J201="XtraGreen",AVERAGEIFS(Table146[RSP],Table146[Company],$M$3,Table146[Date],$A201,Table146[Bill No.],$B201),IFERROR($E201/$C201,"")))))</f>
        <v/>
      </c>
      <c r="E201" s="347" t="str">
        <f>IF($A201="","",IF($J201="DIESEL",SUMIFS(Table1[Amount],Table1[Customer],$M$3,Table1[Date],$A201,Table1[Bill No.],$B201),IF($J201="PETROL",SUMIFS(Table14[Amount],Table14[Customer],$M$3,Table14[Date],$A201,Table14[Bill No.],$B201),IF($J201="XtraGreen",SUMIFS(Table146[Amount],Table146[Company],$M$3,Table146[Date],$A201,Table146[Bill No.],$B201),SUMIFS('Other Sale'!$D:$D,'Other Sale'!$E:$E,$M$3,'Other Sale'!$C:$C,$J201,'Other Sale'!$A:$A,$A201)))))</f>
        <v/>
      </c>
      <c r="F201" s="347" t="str" cm="1">
        <f t="array" ref="F201">IF($A201="","",IF($J201="Payment",IFERROR(INDEX(_xlfn._xlws.FILTER(MasterPaid[Amount Paid],(MasterPaid[Customer]=$M$3)*(MasterPaid[Date]=$A201)),COUNTIFS($A$6:$A201,$A201,$J$6:$J201,"Payment")),0),0))</f>
        <v/>
      </c>
      <c r="G201" s="331"/>
      <c r="H201" s="427"/>
      <c r="I201" s="330" t="str">
        <f t="shared" si="12"/>
        <v/>
      </c>
      <c r="J201" s="344" t="str" cm="1">
        <f t="array" ref="J201">IFERROR(INDEX(_xlfn.ANCHORARRAY($P$6),ROW()-5,3),"")</f>
        <v/>
      </c>
      <c r="K201" s="432"/>
      <c r="L201" s="348"/>
    </row>
    <row r="202" spans="1:12" ht="23" x14ac:dyDescent="0.25">
      <c r="A202" s="217" t="str" cm="1">
        <f t="array" ref="A202">IFERROR(INDEX(_xlfn.ANCHORARRAY($P$6),ROW()-5,1),"")</f>
        <v/>
      </c>
      <c r="B202" s="344" t="str" cm="1">
        <f t="array" ref="B202">IFERROR(INDEX(_xlfn.ANCHORARRAY($P$6),ROW()-5,2),"")</f>
        <v/>
      </c>
      <c r="C202" s="345" t="str">
        <f>IF($A202="","",IF($J202="DIESEL",SUMIFS(Table1[Quantity],Table1[Customer],$M$3,Table1[Date],$A202,Table1[Bill No.],$B202),IF($J202="PETROL",SUMIFS(Table14[Quantity],Table14[Customer],$M$3,Table14[Date],$A202,Table14[Bill No.],$B202),IF($J202="XtraGreen",SUMIFS(Table146[Quantity],Table146[Company],$M$3,Table146[Date],$A202,Table146[Bill No.],$B202),""))))</f>
        <v/>
      </c>
      <c r="D202" s="346" t="str">
        <f>IF($A202="","",IF($J202="DIESEL",AVERAGEIFS(Table1[RSP],Table1[Customer],$M$3,Table1[Date],$A202,Table1[Bill No.],$B202),IF($J202="PETROL",AVERAGEIFS(Table14[RSP],Table14[Customer],$M$3,Table14[Date],$A202,Table14[Bill No.],$B202),IF($J202="XtraGreen",AVERAGEIFS(Table146[RSP],Table146[Company],$M$3,Table146[Date],$A202,Table146[Bill No.],$B202),IFERROR($E202/$C202,"")))))</f>
        <v/>
      </c>
      <c r="E202" s="347" t="str">
        <f>IF($A202="","",IF($J202="DIESEL",SUMIFS(Table1[Amount],Table1[Customer],$M$3,Table1[Date],$A202,Table1[Bill No.],$B202),IF($J202="PETROL",SUMIFS(Table14[Amount],Table14[Customer],$M$3,Table14[Date],$A202,Table14[Bill No.],$B202),IF($J202="XtraGreen",SUMIFS(Table146[Amount],Table146[Company],$M$3,Table146[Date],$A202,Table146[Bill No.],$B202),SUMIFS('Other Sale'!$D:$D,'Other Sale'!$E:$E,$M$3,'Other Sale'!$C:$C,$J202,'Other Sale'!$A:$A,$A202)))))</f>
        <v/>
      </c>
      <c r="F202" s="347" t="str" cm="1">
        <f t="array" ref="F202">IF($A202="","",IF($J202="Payment",IFERROR(INDEX(_xlfn._xlws.FILTER(MasterPaid[Amount Paid],(MasterPaid[Customer]=$M$3)*(MasterPaid[Date]=$A202)),COUNTIFS($A$6:$A202,$A202,$J$6:$J202,"Payment")),0),0))</f>
        <v/>
      </c>
      <c r="G202" s="331"/>
      <c r="H202" s="427"/>
      <c r="I202" s="330" t="str">
        <f t="shared" si="12"/>
        <v/>
      </c>
      <c r="J202" s="344" t="str" cm="1">
        <f t="array" ref="J202">IFERROR(INDEX(_xlfn.ANCHORARRAY($P$6),ROW()-5,3),"")</f>
        <v/>
      </c>
      <c r="K202" s="432"/>
      <c r="L202" s="348"/>
    </row>
    <row r="203" spans="1:12" ht="23" x14ac:dyDescent="0.25">
      <c r="A203" s="217" t="str" cm="1">
        <f t="array" ref="A203">IFERROR(INDEX(_xlfn.ANCHORARRAY($P$6),ROW()-5,1),"")</f>
        <v/>
      </c>
      <c r="B203" s="344" t="str" cm="1">
        <f t="array" ref="B203">IFERROR(INDEX(_xlfn.ANCHORARRAY($P$6),ROW()-5,2),"")</f>
        <v/>
      </c>
      <c r="C203" s="345" t="str">
        <f>IF($A203="","",IF($J203="DIESEL",SUMIFS(Table1[Quantity],Table1[Customer],$M$3,Table1[Date],$A203,Table1[Bill No.],$B203),IF($J203="PETROL",SUMIFS(Table14[Quantity],Table14[Customer],$M$3,Table14[Date],$A203,Table14[Bill No.],$B203),IF($J203="XtraGreen",SUMIFS(Table146[Quantity],Table146[Company],$M$3,Table146[Date],$A203,Table146[Bill No.],$B203),""))))</f>
        <v/>
      </c>
      <c r="D203" s="346" t="str">
        <f>IF($A203="","",IF($J203="DIESEL",AVERAGEIFS(Table1[RSP],Table1[Customer],$M$3,Table1[Date],$A203,Table1[Bill No.],$B203),IF($J203="PETROL",AVERAGEIFS(Table14[RSP],Table14[Customer],$M$3,Table14[Date],$A203,Table14[Bill No.],$B203),IF($J203="XtraGreen",AVERAGEIFS(Table146[RSP],Table146[Company],$M$3,Table146[Date],$A203,Table146[Bill No.],$B203),IFERROR($E203/$C203,"")))))</f>
        <v/>
      </c>
      <c r="E203" s="347" t="str">
        <f>IF($A203="","",IF($J203="DIESEL",SUMIFS(Table1[Amount],Table1[Customer],$M$3,Table1[Date],$A203,Table1[Bill No.],$B203),IF($J203="PETROL",SUMIFS(Table14[Amount],Table14[Customer],$M$3,Table14[Date],$A203,Table14[Bill No.],$B203),IF($J203="XtraGreen",SUMIFS(Table146[Amount],Table146[Company],$M$3,Table146[Date],$A203,Table146[Bill No.],$B203),SUMIFS('Other Sale'!$D:$D,'Other Sale'!$E:$E,$M$3,'Other Sale'!$C:$C,$J203,'Other Sale'!$A:$A,$A203)))))</f>
        <v/>
      </c>
      <c r="F203" s="347" t="str" cm="1">
        <f t="array" ref="F203">IF($A203="","",IF($J203="Payment",IFERROR(INDEX(_xlfn._xlws.FILTER(MasterPaid[Amount Paid],(MasterPaid[Customer]=$M$3)*(MasterPaid[Date]=$A203)),COUNTIFS($A$6:$A203,$A203,$J$6:$J203,"Payment")),0),0))</f>
        <v/>
      </c>
      <c r="G203" s="331"/>
      <c r="H203" s="427"/>
      <c r="I203" s="330" t="str">
        <f t="shared" si="12"/>
        <v/>
      </c>
      <c r="J203" s="344" t="str" cm="1">
        <f t="array" ref="J203">IFERROR(INDEX(_xlfn.ANCHORARRAY($P$6),ROW()-5,3),"")</f>
        <v/>
      </c>
      <c r="K203" s="432"/>
      <c r="L203" s="348"/>
    </row>
    <row r="204" spans="1:12" ht="23" x14ac:dyDescent="0.25">
      <c r="A204" s="217" t="str" cm="1">
        <f t="array" ref="A204">IFERROR(INDEX(_xlfn.ANCHORARRAY($P$6),ROW()-5,1),"")</f>
        <v/>
      </c>
      <c r="B204" s="344" t="str" cm="1">
        <f t="array" ref="B204">IFERROR(INDEX(_xlfn.ANCHORARRAY($P$6),ROW()-5,2),"")</f>
        <v/>
      </c>
      <c r="C204" s="345" t="str">
        <f>IF($A204="","",IF($J204="DIESEL",SUMIFS(Table1[Quantity],Table1[Customer],$M$3,Table1[Date],$A204,Table1[Bill No.],$B204),IF($J204="PETROL",SUMIFS(Table14[Quantity],Table14[Customer],$M$3,Table14[Date],$A204,Table14[Bill No.],$B204),IF($J204="XtraGreen",SUMIFS(Table146[Quantity],Table146[Company],$M$3,Table146[Date],$A204,Table146[Bill No.],$B204),""))))</f>
        <v/>
      </c>
      <c r="D204" s="346" t="str">
        <f>IF($A204="","",IF($J204="DIESEL",AVERAGEIFS(Table1[RSP],Table1[Customer],$M$3,Table1[Date],$A204,Table1[Bill No.],$B204),IF($J204="PETROL",AVERAGEIFS(Table14[RSP],Table14[Customer],$M$3,Table14[Date],$A204,Table14[Bill No.],$B204),IF($J204="XtraGreen",AVERAGEIFS(Table146[RSP],Table146[Company],$M$3,Table146[Date],$A204,Table146[Bill No.],$B204),IFERROR($E204/$C204,"")))))</f>
        <v/>
      </c>
      <c r="E204" s="347" t="str">
        <f>IF($A204="","",IF($J204="DIESEL",SUMIFS(Table1[Amount],Table1[Customer],$M$3,Table1[Date],$A204,Table1[Bill No.],$B204),IF($J204="PETROL",SUMIFS(Table14[Amount],Table14[Customer],$M$3,Table14[Date],$A204,Table14[Bill No.],$B204),IF($J204="XtraGreen",SUMIFS(Table146[Amount],Table146[Company],$M$3,Table146[Date],$A204,Table146[Bill No.],$B204),SUMIFS('Other Sale'!$D:$D,'Other Sale'!$E:$E,$M$3,'Other Sale'!$C:$C,$J204,'Other Sale'!$A:$A,$A204)))))</f>
        <v/>
      </c>
      <c r="F204" s="347" t="str" cm="1">
        <f t="array" ref="F204">IF($A204="","",IF($J204="Payment",IFERROR(INDEX(_xlfn._xlws.FILTER(MasterPaid[Amount Paid],(MasterPaid[Customer]=$M$3)*(MasterPaid[Date]=$A204)),COUNTIFS($A$6:$A204,$A204,$J$6:$J204,"Payment")),0),0))</f>
        <v/>
      </c>
      <c r="G204" s="331"/>
      <c r="H204" s="427"/>
      <c r="I204" s="330" t="str">
        <f t="shared" si="12"/>
        <v/>
      </c>
      <c r="J204" s="344" t="str" cm="1">
        <f t="array" ref="J204">IFERROR(INDEX(_xlfn.ANCHORARRAY($P$6),ROW()-5,3),"")</f>
        <v/>
      </c>
      <c r="K204" s="432"/>
      <c r="L204" s="348"/>
    </row>
    <row r="205" spans="1:12" ht="23" x14ac:dyDescent="0.25">
      <c r="A205" s="217" t="str" cm="1">
        <f t="array" ref="A205">IFERROR(INDEX(_xlfn.ANCHORARRAY($P$6),ROW()-5,1),"")</f>
        <v/>
      </c>
      <c r="B205" s="344" t="str" cm="1">
        <f t="array" ref="B205">IFERROR(INDEX(_xlfn.ANCHORARRAY($P$6),ROW()-5,2),"")</f>
        <v/>
      </c>
      <c r="C205" s="345" t="str">
        <f>IF($A205="","",IF($J205="DIESEL",SUMIFS(Table1[Quantity],Table1[Customer],$M$3,Table1[Date],$A205,Table1[Bill No.],$B205),IF($J205="PETROL",SUMIFS(Table14[Quantity],Table14[Customer],$M$3,Table14[Date],$A205,Table14[Bill No.],$B205),IF($J205="XtraGreen",SUMIFS(Table146[Quantity],Table146[Company],$M$3,Table146[Date],$A205,Table146[Bill No.],$B205),""))))</f>
        <v/>
      </c>
      <c r="D205" s="346" t="str">
        <f>IF($A205="","",IF($J205="DIESEL",AVERAGEIFS(Table1[RSP],Table1[Customer],$M$3,Table1[Date],$A205,Table1[Bill No.],$B205),IF($J205="PETROL",AVERAGEIFS(Table14[RSP],Table14[Customer],$M$3,Table14[Date],$A205,Table14[Bill No.],$B205),IF($J205="XtraGreen",AVERAGEIFS(Table146[RSP],Table146[Company],$M$3,Table146[Date],$A205,Table146[Bill No.],$B205),IFERROR($E205/$C205,"")))))</f>
        <v/>
      </c>
      <c r="E205" s="347" t="str">
        <f>IF($A205="","",IF($J205="DIESEL",SUMIFS(Table1[Amount],Table1[Customer],$M$3,Table1[Date],$A205,Table1[Bill No.],$B205),IF($J205="PETROL",SUMIFS(Table14[Amount],Table14[Customer],$M$3,Table14[Date],$A205,Table14[Bill No.],$B205),IF($J205="XtraGreen",SUMIFS(Table146[Amount],Table146[Company],$M$3,Table146[Date],$A205,Table146[Bill No.],$B205),SUMIFS('Other Sale'!$D:$D,'Other Sale'!$E:$E,$M$3,'Other Sale'!$C:$C,$J205,'Other Sale'!$A:$A,$A205)))))</f>
        <v/>
      </c>
      <c r="F205" s="347" t="str" cm="1">
        <f t="array" ref="F205">IF($A205="","",IF($J205="Payment",IFERROR(INDEX(_xlfn._xlws.FILTER(MasterPaid[Amount Paid],(MasterPaid[Customer]=$M$3)*(MasterPaid[Date]=$A205)),COUNTIFS($A$6:$A205,$A205,$J$6:$J205,"Payment")),0),0))</f>
        <v/>
      </c>
      <c r="G205" s="331"/>
      <c r="H205" s="427"/>
      <c r="I205" s="330" t="str">
        <f t="shared" si="12"/>
        <v/>
      </c>
      <c r="J205" s="344" t="str" cm="1">
        <f t="array" ref="J205">IFERROR(INDEX(_xlfn.ANCHORARRAY($P$6),ROW()-5,3),"")</f>
        <v/>
      </c>
      <c r="K205" s="432"/>
      <c r="L205" s="348"/>
    </row>
    <row r="206" spans="1:12" ht="23" x14ac:dyDescent="0.25">
      <c r="A206" s="217" t="str" cm="1">
        <f t="array" ref="A206">IFERROR(INDEX(_xlfn.ANCHORARRAY($P$6),ROW()-5,1),"")</f>
        <v/>
      </c>
      <c r="B206" s="344" t="str" cm="1">
        <f t="array" ref="B206">IFERROR(INDEX(_xlfn.ANCHORARRAY($P$6),ROW()-5,2),"")</f>
        <v/>
      </c>
      <c r="C206" s="345" t="str">
        <f>IF($A206="","",IF($J206="DIESEL",SUMIFS(Table1[Quantity],Table1[Customer],$M$3,Table1[Date],$A206,Table1[Bill No.],$B206),IF($J206="PETROL",SUMIFS(Table14[Quantity],Table14[Customer],$M$3,Table14[Date],$A206,Table14[Bill No.],$B206),IF($J206="XtraGreen",SUMIFS(Table146[Quantity],Table146[Company],$M$3,Table146[Date],$A206,Table146[Bill No.],$B206),""))))</f>
        <v/>
      </c>
      <c r="D206" s="346" t="str">
        <f>IF($A206="","",IF($J206="DIESEL",AVERAGEIFS(Table1[RSP],Table1[Customer],$M$3,Table1[Date],$A206,Table1[Bill No.],$B206),IF($J206="PETROL",AVERAGEIFS(Table14[RSP],Table14[Customer],$M$3,Table14[Date],$A206,Table14[Bill No.],$B206),IF($J206="XtraGreen",AVERAGEIFS(Table146[RSP],Table146[Company],$M$3,Table146[Date],$A206,Table146[Bill No.],$B206),IFERROR($E206/$C206,"")))))</f>
        <v/>
      </c>
      <c r="E206" s="347" t="str">
        <f>IF($A206="","",IF($J206="DIESEL",SUMIFS(Table1[Amount],Table1[Customer],$M$3,Table1[Date],$A206,Table1[Bill No.],$B206),IF($J206="PETROL",SUMIFS(Table14[Amount],Table14[Customer],$M$3,Table14[Date],$A206,Table14[Bill No.],$B206),IF($J206="XtraGreen",SUMIFS(Table146[Amount],Table146[Company],$M$3,Table146[Date],$A206,Table146[Bill No.],$B206),SUMIFS('Other Sale'!$D:$D,'Other Sale'!$E:$E,$M$3,'Other Sale'!$C:$C,$J206,'Other Sale'!$A:$A,$A206)))))</f>
        <v/>
      </c>
      <c r="F206" s="347" t="str" cm="1">
        <f t="array" ref="F206">IF($A206="","",IF($J206="Payment",IFERROR(INDEX(_xlfn._xlws.FILTER(MasterPaid[Amount Paid],(MasterPaid[Customer]=$M$3)*(MasterPaid[Date]=$A206)),COUNTIFS($A$6:$A206,$A206,$J$6:$J206,"Payment")),0),0))</f>
        <v/>
      </c>
      <c r="G206" s="331"/>
      <c r="H206" s="427"/>
      <c r="I206" s="330" t="str">
        <f t="shared" si="12"/>
        <v/>
      </c>
      <c r="J206" s="344" t="str" cm="1">
        <f t="array" ref="J206">IFERROR(INDEX(_xlfn.ANCHORARRAY($P$6),ROW()-5,3),"")</f>
        <v/>
      </c>
      <c r="K206" s="432"/>
      <c r="L206" s="348"/>
    </row>
    <row r="207" spans="1:12" ht="23" x14ac:dyDescent="0.25">
      <c r="A207" s="217" t="str" cm="1">
        <f t="array" ref="A207">IFERROR(INDEX(_xlfn.ANCHORARRAY($P$6),ROW()-5,1),"")</f>
        <v/>
      </c>
      <c r="B207" s="344" t="str" cm="1">
        <f t="array" ref="B207">IFERROR(INDEX(_xlfn.ANCHORARRAY($P$6),ROW()-5,2),"")</f>
        <v/>
      </c>
      <c r="C207" s="345" t="str">
        <f>IF($A207="","",IF($J207="DIESEL",SUMIFS(Table1[Quantity],Table1[Customer],$M$3,Table1[Date],$A207,Table1[Bill No.],$B207),IF($J207="PETROL",SUMIFS(Table14[Quantity],Table14[Customer],$M$3,Table14[Date],$A207,Table14[Bill No.],$B207),IF($J207="XtraGreen",SUMIFS(Table146[Quantity],Table146[Company],$M$3,Table146[Date],$A207,Table146[Bill No.],$B207),""))))</f>
        <v/>
      </c>
      <c r="D207" s="346" t="str">
        <f>IF($A207="","",IF($J207="DIESEL",AVERAGEIFS(Table1[RSP],Table1[Customer],$M$3,Table1[Date],$A207,Table1[Bill No.],$B207),IF($J207="PETROL",AVERAGEIFS(Table14[RSP],Table14[Customer],$M$3,Table14[Date],$A207,Table14[Bill No.],$B207),IF($J207="XtraGreen",AVERAGEIFS(Table146[RSP],Table146[Company],$M$3,Table146[Date],$A207,Table146[Bill No.],$B207),IFERROR($E207/$C207,"")))))</f>
        <v/>
      </c>
      <c r="E207" s="347" t="str">
        <f>IF($A207="","",IF($J207="DIESEL",SUMIFS(Table1[Amount],Table1[Customer],$M$3,Table1[Date],$A207,Table1[Bill No.],$B207),IF($J207="PETROL",SUMIFS(Table14[Amount],Table14[Customer],$M$3,Table14[Date],$A207,Table14[Bill No.],$B207),IF($J207="XtraGreen",SUMIFS(Table146[Amount],Table146[Company],$M$3,Table146[Date],$A207,Table146[Bill No.],$B207),SUMIFS('Other Sale'!$D:$D,'Other Sale'!$E:$E,$M$3,'Other Sale'!$C:$C,$J207,'Other Sale'!$A:$A,$A207)))))</f>
        <v/>
      </c>
      <c r="F207" s="347" t="str" cm="1">
        <f t="array" ref="F207">IF($A207="","",IF($J207="Payment",IFERROR(INDEX(_xlfn._xlws.FILTER(MasterPaid[Amount Paid],(MasterPaid[Customer]=$M$3)*(MasterPaid[Date]=$A207)),COUNTIFS($A$6:$A207,$A207,$J$6:$J207,"Payment")),0),0))</f>
        <v/>
      </c>
      <c r="G207" s="331"/>
      <c r="H207" s="427"/>
      <c r="I207" s="330" t="str">
        <f t="shared" si="12"/>
        <v/>
      </c>
      <c r="J207" s="344" t="str" cm="1">
        <f t="array" ref="J207">IFERROR(INDEX(_xlfn.ANCHORARRAY($P$6),ROW()-5,3),"")</f>
        <v/>
      </c>
      <c r="K207" s="432"/>
      <c r="L207" s="348"/>
    </row>
    <row r="208" spans="1:12" ht="23" x14ac:dyDescent="0.25">
      <c r="A208" s="217" t="str" cm="1">
        <f t="array" ref="A208">IFERROR(INDEX(_xlfn.ANCHORARRAY($P$6),ROW()-5,1),"")</f>
        <v/>
      </c>
      <c r="B208" s="344" t="str" cm="1">
        <f t="array" ref="B208">IFERROR(INDEX(_xlfn.ANCHORARRAY($P$6),ROW()-5,2),"")</f>
        <v/>
      </c>
      <c r="C208" s="345" t="str">
        <f>IF($A208="","",IF($J208="DIESEL",SUMIFS(Table1[Quantity],Table1[Customer],$M$3,Table1[Date],$A208,Table1[Bill No.],$B208),IF($J208="PETROL",SUMIFS(Table14[Quantity],Table14[Customer],$M$3,Table14[Date],$A208,Table14[Bill No.],$B208),IF($J208="XtraGreen",SUMIFS(Table146[Quantity],Table146[Company],$M$3,Table146[Date],$A208,Table146[Bill No.],$B208),""))))</f>
        <v/>
      </c>
      <c r="D208" s="346" t="str">
        <f>IF($A208="","",IF($J208="DIESEL",AVERAGEIFS(Table1[RSP],Table1[Customer],$M$3,Table1[Date],$A208,Table1[Bill No.],$B208),IF($J208="PETROL",AVERAGEIFS(Table14[RSP],Table14[Customer],$M$3,Table14[Date],$A208,Table14[Bill No.],$B208),IF($J208="XtraGreen",AVERAGEIFS(Table146[RSP],Table146[Company],$M$3,Table146[Date],$A208,Table146[Bill No.],$B208),IFERROR($E208/$C208,"")))))</f>
        <v/>
      </c>
      <c r="E208" s="347" t="str">
        <f>IF($A208="","",IF($J208="DIESEL",SUMIFS(Table1[Amount],Table1[Customer],$M$3,Table1[Date],$A208,Table1[Bill No.],$B208),IF($J208="PETROL",SUMIFS(Table14[Amount],Table14[Customer],$M$3,Table14[Date],$A208,Table14[Bill No.],$B208),IF($J208="XtraGreen",SUMIFS(Table146[Amount],Table146[Company],$M$3,Table146[Date],$A208,Table146[Bill No.],$B208),SUMIFS('Other Sale'!$D:$D,'Other Sale'!$E:$E,$M$3,'Other Sale'!$C:$C,$J208,'Other Sale'!$A:$A,$A208)))))</f>
        <v/>
      </c>
      <c r="F208" s="347" t="str" cm="1">
        <f t="array" ref="F208">IF($A208="","",IF($J208="Payment",IFERROR(INDEX(_xlfn._xlws.FILTER(MasterPaid[Amount Paid],(MasterPaid[Customer]=$M$3)*(MasterPaid[Date]=$A208)),COUNTIFS($A$6:$A208,$A208,$J$6:$J208,"Payment")),0),0))</f>
        <v/>
      </c>
      <c r="G208" s="331"/>
      <c r="H208" s="427"/>
      <c r="I208" s="330" t="str">
        <f t="shared" si="12"/>
        <v/>
      </c>
      <c r="J208" s="344" t="str" cm="1">
        <f t="array" ref="J208">IFERROR(INDEX(_xlfn.ANCHORARRAY($P$6),ROW()-5,3),"")</f>
        <v/>
      </c>
      <c r="K208" s="432"/>
      <c r="L208" s="348"/>
    </row>
    <row r="209" spans="1:12" ht="23" x14ac:dyDescent="0.25">
      <c r="A209" s="217" t="str" cm="1">
        <f t="array" ref="A209">IFERROR(INDEX(_xlfn.ANCHORARRAY($P$6),ROW()-5,1),"")</f>
        <v/>
      </c>
      <c r="B209" s="344" t="str" cm="1">
        <f t="array" ref="B209">IFERROR(INDEX(_xlfn.ANCHORARRAY($P$6),ROW()-5,2),"")</f>
        <v/>
      </c>
      <c r="C209" s="345" t="str">
        <f>IF($A209="","",IF($J209="DIESEL",SUMIFS(Table1[Quantity],Table1[Customer],$M$3,Table1[Date],$A209,Table1[Bill No.],$B209),IF($J209="PETROL",SUMIFS(Table14[Quantity],Table14[Customer],$M$3,Table14[Date],$A209,Table14[Bill No.],$B209),IF($J209="XtraGreen",SUMIFS(Table146[Quantity],Table146[Company],$M$3,Table146[Date],$A209,Table146[Bill No.],$B209),""))))</f>
        <v/>
      </c>
      <c r="D209" s="346" t="str">
        <f>IF($A209="","",IF($J209="DIESEL",AVERAGEIFS(Table1[RSP],Table1[Customer],$M$3,Table1[Date],$A209,Table1[Bill No.],$B209),IF($J209="PETROL",AVERAGEIFS(Table14[RSP],Table14[Customer],$M$3,Table14[Date],$A209,Table14[Bill No.],$B209),IF($J209="XtraGreen",AVERAGEIFS(Table146[RSP],Table146[Company],$M$3,Table146[Date],$A209,Table146[Bill No.],$B209),IFERROR($E209/$C209,"")))))</f>
        <v/>
      </c>
      <c r="E209" s="347" t="str">
        <f>IF($A209="","",IF($J209="DIESEL",SUMIFS(Table1[Amount],Table1[Customer],$M$3,Table1[Date],$A209,Table1[Bill No.],$B209),IF($J209="PETROL",SUMIFS(Table14[Amount],Table14[Customer],$M$3,Table14[Date],$A209,Table14[Bill No.],$B209),IF($J209="XtraGreen",SUMIFS(Table146[Amount],Table146[Company],$M$3,Table146[Date],$A209,Table146[Bill No.],$B209),SUMIFS('Other Sale'!$D:$D,'Other Sale'!$E:$E,$M$3,'Other Sale'!$C:$C,$J209,'Other Sale'!$A:$A,$A209)))))</f>
        <v/>
      </c>
      <c r="F209" s="347" t="str" cm="1">
        <f t="array" ref="F209">IF($A209="","",IF($J209="Payment",IFERROR(INDEX(_xlfn._xlws.FILTER(MasterPaid[Amount Paid],(MasterPaid[Customer]=$M$3)*(MasterPaid[Date]=$A209)),COUNTIFS($A$6:$A209,$A209,$J$6:$J209,"Payment")),0),0))</f>
        <v/>
      </c>
      <c r="G209" s="331"/>
      <c r="H209" s="427"/>
      <c r="I209" s="330" t="str">
        <f t="shared" si="12"/>
        <v/>
      </c>
      <c r="J209" s="344" t="str" cm="1">
        <f t="array" ref="J209">IFERROR(INDEX(_xlfn.ANCHORARRAY($P$6),ROW()-5,3),"")</f>
        <v/>
      </c>
      <c r="K209" s="432"/>
      <c r="L209" s="348"/>
    </row>
    <row r="210" spans="1:12" ht="23" x14ac:dyDescent="0.25">
      <c r="A210" s="217" t="str" cm="1">
        <f t="array" ref="A210">IFERROR(INDEX(_xlfn.ANCHORARRAY($P$6),ROW()-5,1),"")</f>
        <v/>
      </c>
      <c r="B210" s="344" t="str" cm="1">
        <f t="array" ref="B210">IFERROR(INDEX(_xlfn.ANCHORARRAY($P$6),ROW()-5,2),"")</f>
        <v/>
      </c>
      <c r="C210" s="345" t="str">
        <f>IF($A210="","",IF($J210="DIESEL",SUMIFS(Table1[Quantity],Table1[Customer],$M$3,Table1[Date],$A210,Table1[Bill No.],$B210),IF($J210="PETROL",SUMIFS(Table14[Quantity],Table14[Customer],$M$3,Table14[Date],$A210,Table14[Bill No.],$B210),IF($J210="XtraGreen",SUMIFS(Table146[Quantity],Table146[Company],$M$3,Table146[Date],$A210,Table146[Bill No.],$B210),""))))</f>
        <v/>
      </c>
      <c r="D210" s="346" t="str">
        <f>IF($A210="","",IF($J210="DIESEL",AVERAGEIFS(Table1[RSP],Table1[Customer],$M$3,Table1[Date],$A210,Table1[Bill No.],$B210),IF($J210="PETROL",AVERAGEIFS(Table14[RSP],Table14[Customer],$M$3,Table14[Date],$A210,Table14[Bill No.],$B210),IF($J210="XtraGreen",AVERAGEIFS(Table146[RSP],Table146[Company],$M$3,Table146[Date],$A210,Table146[Bill No.],$B210),IFERROR($E210/$C210,"")))))</f>
        <v/>
      </c>
      <c r="E210" s="347" t="str">
        <f>IF($A210="","",IF($J210="DIESEL",SUMIFS(Table1[Amount],Table1[Customer],$M$3,Table1[Date],$A210,Table1[Bill No.],$B210),IF($J210="PETROL",SUMIFS(Table14[Amount],Table14[Customer],$M$3,Table14[Date],$A210,Table14[Bill No.],$B210),IF($J210="XtraGreen",SUMIFS(Table146[Amount],Table146[Company],$M$3,Table146[Date],$A210,Table146[Bill No.],$B210),SUMIFS('Other Sale'!$D:$D,'Other Sale'!$E:$E,$M$3,'Other Sale'!$C:$C,$J210,'Other Sale'!$A:$A,$A210)))))</f>
        <v/>
      </c>
      <c r="F210" s="347" t="str" cm="1">
        <f t="array" ref="F210">IF($A210="","",IF($J210="Payment",IFERROR(INDEX(_xlfn._xlws.FILTER(MasterPaid[Amount Paid],(MasterPaid[Customer]=$M$3)*(MasterPaid[Date]=$A210)),COUNTIFS($A$6:$A210,$A210,$J$6:$J210,"Payment")),0),0))</f>
        <v/>
      </c>
      <c r="G210" s="331"/>
      <c r="H210" s="427"/>
      <c r="I210" s="330" t="str">
        <f t="shared" si="12"/>
        <v/>
      </c>
      <c r="J210" s="344" t="str" cm="1">
        <f t="array" ref="J210">IFERROR(INDEX(_xlfn.ANCHORARRAY($P$6),ROW()-5,3),"")</f>
        <v/>
      </c>
      <c r="K210" s="432"/>
      <c r="L210" s="348"/>
    </row>
    <row r="211" spans="1:12" ht="23" x14ac:dyDescent="0.25">
      <c r="A211" s="217" t="str" cm="1">
        <f t="array" ref="A211">IFERROR(INDEX(_xlfn.ANCHORARRAY($P$6),ROW()-5,1),"")</f>
        <v/>
      </c>
      <c r="B211" s="344" t="str" cm="1">
        <f t="array" ref="B211">IFERROR(INDEX(_xlfn.ANCHORARRAY($P$6),ROW()-5,2),"")</f>
        <v/>
      </c>
      <c r="C211" s="345" t="str">
        <f>IF($A211="","",IF($J211="DIESEL",SUMIFS(Table1[Quantity],Table1[Customer],$M$3,Table1[Date],$A211,Table1[Bill No.],$B211),IF($J211="PETROL",SUMIFS(Table14[Quantity],Table14[Customer],$M$3,Table14[Date],$A211,Table14[Bill No.],$B211),IF($J211="XtraGreen",SUMIFS(Table146[Quantity],Table146[Company],$M$3,Table146[Date],$A211,Table146[Bill No.],$B211),""))))</f>
        <v/>
      </c>
      <c r="D211" s="346" t="str">
        <f>IF($A211="","",IF($J211="DIESEL",AVERAGEIFS(Table1[RSP],Table1[Customer],$M$3,Table1[Date],$A211,Table1[Bill No.],$B211),IF($J211="PETROL",AVERAGEIFS(Table14[RSP],Table14[Customer],$M$3,Table14[Date],$A211,Table14[Bill No.],$B211),IF($J211="XtraGreen",AVERAGEIFS(Table146[RSP],Table146[Company],$M$3,Table146[Date],$A211,Table146[Bill No.],$B211),IFERROR($E211/$C211,"")))))</f>
        <v/>
      </c>
      <c r="E211" s="347" t="str">
        <f>IF($A211="","",IF($J211="DIESEL",SUMIFS(Table1[Amount],Table1[Customer],$M$3,Table1[Date],$A211,Table1[Bill No.],$B211),IF($J211="PETROL",SUMIFS(Table14[Amount],Table14[Customer],$M$3,Table14[Date],$A211,Table14[Bill No.],$B211),IF($J211="XtraGreen",SUMIFS(Table146[Amount],Table146[Company],$M$3,Table146[Date],$A211,Table146[Bill No.],$B211),SUMIFS('Other Sale'!$D:$D,'Other Sale'!$E:$E,$M$3,'Other Sale'!$C:$C,$J211,'Other Sale'!$A:$A,$A211)))))</f>
        <v/>
      </c>
      <c r="F211" s="347" t="str" cm="1">
        <f t="array" ref="F211">IF($A211="","",IF($J211="Payment",IFERROR(INDEX(_xlfn._xlws.FILTER(MasterPaid[Amount Paid],(MasterPaid[Customer]=$M$3)*(MasterPaid[Date]=$A211)),COUNTIFS($A$6:$A211,$A211,$J$6:$J211,"Payment")),0),0))</f>
        <v/>
      </c>
      <c r="G211" s="331"/>
      <c r="H211" s="427"/>
      <c r="I211" s="330" t="str">
        <f t="shared" si="12"/>
        <v/>
      </c>
      <c r="J211" s="344" t="str" cm="1">
        <f t="array" ref="J211">IFERROR(INDEX(_xlfn.ANCHORARRAY($P$6),ROW()-5,3),"")</f>
        <v/>
      </c>
      <c r="K211" s="432"/>
      <c r="L211" s="348"/>
    </row>
    <row r="212" spans="1:12" ht="23" x14ac:dyDescent="0.25">
      <c r="A212" s="217" t="str" cm="1">
        <f t="array" ref="A212">IFERROR(INDEX(_xlfn.ANCHORARRAY($P$6),ROW()-5,1),"")</f>
        <v/>
      </c>
      <c r="B212" s="344" t="str" cm="1">
        <f t="array" ref="B212">IFERROR(INDEX(_xlfn.ANCHORARRAY($P$6),ROW()-5,2),"")</f>
        <v/>
      </c>
      <c r="C212" s="345" t="str">
        <f>IF($A212="","",IF($J212="DIESEL",SUMIFS(Table1[Quantity],Table1[Customer],$M$3,Table1[Date],$A212,Table1[Bill No.],$B212),IF($J212="PETROL",SUMIFS(Table14[Quantity],Table14[Customer],$M$3,Table14[Date],$A212,Table14[Bill No.],$B212),IF($J212="XtraGreen",SUMIFS(Table146[Quantity],Table146[Company],$M$3,Table146[Date],$A212,Table146[Bill No.],$B212),""))))</f>
        <v/>
      </c>
      <c r="D212" s="346" t="str">
        <f>IF($A212="","",IF($J212="DIESEL",AVERAGEIFS(Table1[RSP],Table1[Customer],$M$3,Table1[Date],$A212,Table1[Bill No.],$B212),IF($J212="PETROL",AVERAGEIFS(Table14[RSP],Table14[Customer],$M$3,Table14[Date],$A212,Table14[Bill No.],$B212),IF($J212="XtraGreen",AVERAGEIFS(Table146[RSP],Table146[Company],$M$3,Table146[Date],$A212,Table146[Bill No.],$B212),IFERROR($E212/$C212,"")))))</f>
        <v/>
      </c>
      <c r="E212" s="347" t="str">
        <f>IF($A212="","",IF($J212="DIESEL",SUMIFS(Table1[Amount],Table1[Customer],$M$3,Table1[Date],$A212,Table1[Bill No.],$B212),IF($J212="PETROL",SUMIFS(Table14[Amount],Table14[Customer],$M$3,Table14[Date],$A212,Table14[Bill No.],$B212),IF($J212="XtraGreen",SUMIFS(Table146[Amount],Table146[Company],$M$3,Table146[Date],$A212,Table146[Bill No.],$B212),SUMIFS('Other Sale'!$D:$D,'Other Sale'!$E:$E,$M$3,'Other Sale'!$C:$C,$J212,'Other Sale'!$A:$A,$A212)))))</f>
        <v/>
      </c>
      <c r="F212" s="347" t="str" cm="1">
        <f t="array" ref="F212">IF($A212="","",IF($J212="Payment",IFERROR(INDEX(_xlfn._xlws.FILTER(MasterPaid[Amount Paid],(MasterPaid[Customer]=$M$3)*(MasterPaid[Date]=$A212)),COUNTIFS($A$6:$A212,$A212,$J$6:$J212,"Payment")),0),0))</f>
        <v/>
      </c>
      <c r="G212" s="331"/>
      <c r="H212" s="427"/>
      <c r="I212" s="330" t="str">
        <f t="shared" si="12"/>
        <v/>
      </c>
      <c r="J212" s="344" t="str" cm="1">
        <f t="array" ref="J212">IFERROR(INDEX(_xlfn.ANCHORARRAY($P$6),ROW()-5,3),"")</f>
        <v/>
      </c>
      <c r="K212" s="432"/>
      <c r="L212" s="348"/>
    </row>
    <row r="213" spans="1:12" ht="23" x14ac:dyDescent="0.25">
      <c r="A213" s="217" t="str" cm="1">
        <f t="array" ref="A213">IFERROR(INDEX(_xlfn.ANCHORARRAY($P$6),ROW()-5,1),"")</f>
        <v/>
      </c>
      <c r="B213" s="344" t="str" cm="1">
        <f t="array" ref="B213">IFERROR(INDEX(_xlfn.ANCHORARRAY($P$6),ROW()-5,2),"")</f>
        <v/>
      </c>
      <c r="C213" s="345" t="str">
        <f>IF($A213="","",IF($J213="DIESEL",SUMIFS(Table1[Quantity],Table1[Customer],$M$3,Table1[Date],$A213,Table1[Bill No.],$B213),IF($J213="PETROL",SUMIFS(Table14[Quantity],Table14[Customer],$M$3,Table14[Date],$A213,Table14[Bill No.],$B213),IF($J213="XtraGreen",SUMIFS(Table146[Quantity],Table146[Company],$M$3,Table146[Date],$A213,Table146[Bill No.],$B213),""))))</f>
        <v/>
      </c>
      <c r="D213" s="346" t="str">
        <f>IF($A213="","",IF($J213="DIESEL",AVERAGEIFS(Table1[RSP],Table1[Customer],$M$3,Table1[Date],$A213,Table1[Bill No.],$B213),IF($J213="PETROL",AVERAGEIFS(Table14[RSP],Table14[Customer],$M$3,Table14[Date],$A213,Table14[Bill No.],$B213),IF($J213="XtraGreen",AVERAGEIFS(Table146[RSP],Table146[Company],$M$3,Table146[Date],$A213,Table146[Bill No.],$B213),IFERROR($E213/$C213,"")))))</f>
        <v/>
      </c>
      <c r="E213" s="347" t="str">
        <f>IF($A213="","",IF($J213="DIESEL",SUMIFS(Table1[Amount],Table1[Customer],$M$3,Table1[Date],$A213,Table1[Bill No.],$B213),IF($J213="PETROL",SUMIFS(Table14[Amount],Table14[Customer],$M$3,Table14[Date],$A213,Table14[Bill No.],$B213),IF($J213="XtraGreen",SUMIFS(Table146[Amount],Table146[Company],$M$3,Table146[Date],$A213,Table146[Bill No.],$B213),SUMIFS('Other Sale'!$D:$D,'Other Sale'!$E:$E,$M$3,'Other Sale'!$C:$C,$J213,'Other Sale'!$A:$A,$A213)))))</f>
        <v/>
      </c>
      <c r="F213" s="347" t="str" cm="1">
        <f t="array" ref="F213">IF($A213="","",IF($J213="Payment",IFERROR(INDEX(_xlfn._xlws.FILTER(MasterPaid[Amount Paid],(MasterPaid[Customer]=$M$3)*(MasterPaid[Date]=$A213)),COUNTIFS($A$6:$A213,$A213,$J$6:$J213,"Payment")),0),0))</f>
        <v/>
      </c>
      <c r="G213" s="331"/>
      <c r="H213" s="427"/>
      <c r="I213" s="330" t="str">
        <f t="shared" si="12"/>
        <v/>
      </c>
      <c r="J213" s="344" t="str" cm="1">
        <f t="array" ref="J213">IFERROR(INDEX(_xlfn.ANCHORARRAY($P$6),ROW()-5,3),"")</f>
        <v/>
      </c>
      <c r="K213" s="432"/>
      <c r="L213" s="348"/>
    </row>
    <row r="214" spans="1:12" ht="23" x14ac:dyDescent="0.25">
      <c r="A214" s="217" t="str" cm="1">
        <f t="array" ref="A214">IFERROR(INDEX(_xlfn.ANCHORARRAY($P$6),ROW()-5,1),"")</f>
        <v/>
      </c>
      <c r="B214" s="344" t="str" cm="1">
        <f t="array" ref="B214">IFERROR(INDEX(_xlfn.ANCHORARRAY($P$6),ROW()-5,2),"")</f>
        <v/>
      </c>
      <c r="C214" s="345" t="str">
        <f>IF($A214="","",IF($J214="DIESEL",SUMIFS(Table1[Quantity],Table1[Customer],$M$3,Table1[Date],$A214,Table1[Bill No.],$B214),IF($J214="PETROL",SUMIFS(Table14[Quantity],Table14[Customer],$M$3,Table14[Date],$A214,Table14[Bill No.],$B214),IF($J214="XtraGreen",SUMIFS(Table146[Quantity],Table146[Company],$M$3,Table146[Date],$A214,Table146[Bill No.],$B214),""))))</f>
        <v/>
      </c>
      <c r="D214" s="346" t="str">
        <f>IF($A214="","",IF($J214="DIESEL",AVERAGEIFS(Table1[RSP],Table1[Customer],$M$3,Table1[Date],$A214,Table1[Bill No.],$B214),IF($J214="PETROL",AVERAGEIFS(Table14[RSP],Table14[Customer],$M$3,Table14[Date],$A214,Table14[Bill No.],$B214),IF($J214="XtraGreen",AVERAGEIFS(Table146[RSP],Table146[Company],$M$3,Table146[Date],$A214,Table146[Bill No.],$B214),IFERROR($E214/$C214,"")))))</f>
        <v/>
      </c>
      <c r="E214" s="347" t="str">
        <f>IF($A214="","",IF($J214="DIESEL",SUMIFS(Table1[Amount],Table1[Customer],$M$3,Table1[Date],$A214,Table1[Bill No.],$B214),IF($J214="PETROL",SUMIFS(Table14[Amount],Table14[Customer],$M$3,Table14[Date],$A214,Table14[Bill No.],$B214),IF($J214="XtraGreen",SUMIFS(Table146[Amount],Table146[Company],$M$3,Table146[Date],$A214,Table146[Bill No.],$B214),SUMIFS('Other Sale'!$D:$D,'Other Sale'!$E:$E,$M$3,'Other Sale'!$C:$C,$J214,'Other Sale'!$A:$A,$A214)))))</f>
        <v/>
      </c>
      <c r="F214" s="347" t="str" cm="1">
        <f t="array" ref="F214">IF($A214="","",IF($J214="Payment",IFERROR(INDEX(_xlfn._xlws.FILTER(MasterPaid[Amount Paid],(MasterPaid[Customer]=$M$3)*(MasterPaid[Date]=$A214)),COUNTIFS($A$6:$A214,$A214,$J$6:$J214,"Payment")),0),0))</f>
        <v/>
      </c>
      <c r="G214" s="331"/>
      <c r="H214" s="427"/>
      <c r="I214" s="330" t="str">
        <f t="shared" si="12"/>
        <v/>
      </c>
      <c r="J214" s="344" t="str" cm="1">
        <f t="array" ref="J214">IFERROR(INDEX(_xlfn.ANCHORARRAY($P$6),ROW()-5,3),"")</f>
        <v/>
      </c>
      <c r="K214" s="432"/>
      <c r="L214" s="348"/>
    </row>
    <row r="215" spans="1:12" ht="23" x14ac:dyDescent="0.25">
      <c r="A215" s="217" t="str" cm="1">
        <f t="array" ref="A215">IFERROR(INDEX(_xlfn.ANCHORARRAY($P$6),ROW()-5,1),"")</f>
        <v/>
      </c>
      <c r="B215" s="344" t="str" cm="1">
        <f t="array" ref="B215">IFERROR(INDEX(_xlfn.ANCHORARRAY($P$6),ROW()-5,2),"")</f>
        <v/>
      </c>
      <c r="C215" s="345" t="str">
        <f>IF($A215="","",IF($J215="DIESEL",SUMIFS(Table1[Quantity],Table1[Customer],$M$3,Table1[Date],$A215,Table1[Bill No.],$B215),IF($J215="PETROL",SUMIFS(Table14[Quantity],Table14[Customer],$M$3,Table14[Date],$A215,Table14[Bill No.],$B215),IF($J215="XtraGreen",SUMIFS(Table146[Quantity],Table146[Company],$M$3,Table146[Date],$A215,Table146[Bill No.],$B215),""))))</f>
        <v/>
      </c>
      <c r="D215" s="346" t="str">
        <f>IF($A215="","",IF($J215="DIESEL",AVERAGEIFS(Table1[RSP],Table1[Customer],$M$3,Table1[Date],$A215,Table1[Bill No.],$B215),IF($J215="PETROL",AVERAGEIFS(Table14[RSP],Table14[Customer],$M$3,Table14[Date],$A215,Table14[Bill No.],$B215),IF($J215="XtraGreen",AVERAGEIFS(Table146[RSP],Table146[Company],$M$3,Table146[Date],$A215,Table146[Bill No.],$B215),IFERROR($E215/$C215,"")))))</f>
        <v/>
      </c>
      <c r="E215" s="347" t="str">
        <f>IF($A215="","",IF($J215="DIESEL",SUMIFS(Table1[Amount],Table1[Customer],$M$3,Table1[Date],$A215,Table1[Bill No.],$B215),IF($J215="PETROL",SUMIFS(Table14[Amount],Table14[Customer],$M$3,Table14[Date],$A215,Table14[Bill No.],$B215),IF($J215="XtraGreen",SUMIFS(Table146[Amount],Table146[Company],$M$3,Table146[Date],$A215,Table146[Bill No.],$B215),SUMIFS('Other Sale'!$D:$D,'Other Sale'!$E:$E,$M$3,'Other Sale'!$C:$C,$J215,'Other Sale'!$A:$A,$A215)))))</f>
        <v/>
      </c>
      <c r="F215" s="347" t="str" cm="1">
        <f t="array" ref="F215">IF($A215="","",IF($J215="Payment",IFERROR(INDEX(_xlfn._xlws.FILTER(MasterPaid[Amount Paid],(MasterPaid[Customer]=$M$3)*(MasterPaid[Date]=$A215)),COUNTIFS($A$6:$A215,$A215,$J$6:$J215,"Payment")),0),0))</f>
        <v/>
      </c>
      <c r="G215" s="331"/>
      <c r="H215" s="427"/>
      <c r="I215" s="330" t="str">
        <f t="shared" si="12"/>
        <v/>
      </c>
      <c r="J215" s="344" t="str" cm="1">
        <f t="array" ref="J215">IFERROR(INDEX(_xlfn.ANCHORARRAY($P$6),ROW()-5,3),"")</f>
        <v/>
      </c>
      <c r="K215" s="432"/>
      <c r="L215" s="348"/>
    </row>
    <row r="216" spans="1:12" ht="23" x14ac:dyDescent="0.25">
      <c r="A216" s="217" t="str" cm="1">
        <f t="array" ref="A216">IFERROR(INDEX(_xlfn.ANCHORARRAY($P$6),ROW()-5,1),"")</f>
        <v/>
      </c>
      <c r="B216" s="344" t="str" cm="1">
        <f t="array" ref="B216">IFERROR(INDEX(_xlfn.ANCHORARRAY($P$6),ROW()-5,2),"")</f>
        <v/>
      </c>
      <c r="C216" s="345" t="str">
        <f>IF($A216="","",IF($J216="DIESEL",SUMIFS(Table1[Quantity],Table1[Customer],$M$3,Table1[Date],$A216,Table1[Bill No.],$B216),IF($J216="PETROL",SUMIFS(Table14[Quantity],Table14[Customer],$M$3,Table14[Date],$A216,Table14[Bill No.],$B216),IF($J216="XtraGreen",SUMIFS(Table146[Quantity],Table146[Company],$M$3,Table146[Date],$A216,Table146[Bill No.],$B216),""))))</f>
        <v/>
      </c>
      <c r="D216" s="346" t="str">
        <f>IF($A216="","",IF($J216="DIESEL",AVERAGEIFS(Table1[RSP],Table1[Customer],$M$3,Table1[Date],$A216,Table1[Bill No.],$B216),IF($J216="PETROL",AVERAGEIFS(Table14[RSP],Table14[Customer],$M$3,Table14[Date],$A216,Table14[Bill No.],$B216),IF($J216="XtraGreen",AVERAGEIFS(Table146[RSP],Table146[Company],$M$3,Table146[Date],$A216,Table146[Bill No.],$B216),IFERROR($E216/$C216,"")))))</f>
        <v/>
      </c>
      <c r="E216" s="347" t="str">
        <f>IF($A216="","",IF($J216="DIESEL",SUMIFS(Table1[Amount],Table1[Customer],$M$3,Table1[Date],$A216,Table1[Bill No.],$B216),IF($J216="PETROL",SUMIFS(Table14[Amount],Table14[Customer],$M$3,Table14[Date],$A216,Table14[Bill No.],$B216),IF($J216="XtraGreen",SUMIFS(Table146[Amount],Table146[Company],$M$3,Table146[Date],$A216,Table146[Bill No.],$B216),SUMIFS('Other Sale'!$D:$D,'Other Sale'!$E:$E,$M$3,'Other Sale'!$C:$C,$J216,'Other Sale'!$A:$A,$A216)))))</f>
        <v/>
      </c>
      <c r="F216" s="347" t="str" cm="1">
        <f t="array" ref="F216">IF($A216="","",IF($J216="Payment",IFERROR(INDEX(_xlfn._xlws.FILTER(MasterPaid[Amount Paid],(MasterPaid[Customer]=$M$3)*(MasterPaid[Date]=$A216)),COUNTIFS($A$6:$A216,$A216,$J$6:$J216,"Payment")),0),0))</f>
        <v/>
      </c>
      <c r="G216" s="331"/>
      <c r="H216" s="427"/>
      <c r="I216" s="330" t="str">
        <f t="shared" si="12"/>
        <v/>
      </c>
      <c r="J216" s="344" t="str" cm="1">
        <f t="array" ref="J216">IFERROR(INDEX(_xlfn.ANCHORARRAY($P$6),ROW()-5,3),"")</f>
        <v/>
      </c>
      <c r="K216" s="432"/>
      <c r="L216" s="348"/>
    </row>
    <row r="217" spans="1:12" ht="23" x14ac:dyDescent="0.25">
      <c r="A217" s="217" t="str" cm="1">
        <f t="array" ref="A217">IFERROR(INDEX(_xlfn.ANCHORARRAY($P$6),ROW()-5,1),"")</f>
        <v/>
      </c>
      <c r="B217" s="344" t="str" cm="1">
        <f t="array" ref="B217">IFERROR(INDEX(_xlfn.ANCHORARRAY($P$6),ROW()-5,2),"")</f>
        <v/>
      </c>
      <c r="C217" s="345" t="str">
        <f>IF($A217="","",IF($J217="DIESEL",SUMIFS(Table1[Quantity],Table1[Customer],$M$3,Table1[Date],$A217,Table1[Bill No.],$B217),IF($J217="PETROL",SUMIFS(Table14[Quantity],Table14[Customer],$M$3,Table14[Date],$A217,Table14[Bill No.],$B217),IF($J217="XtraGreen",SUMIFS(Table146[Quantity],Table146[Company],$M$3,Table146[Date],$A217,Table146[Bill No.],$B217),""))))</f>
        <v/>
      </c>
      <c r="D217" s="346" t="str">
        <f>IF($A217="","",IF($J217="DIESEL",AVERAGEIFS(Table1[RSP],Table1[Customer],$M$3,Table1[Date],$A217,Table1[Bill No.],$B217),IF($J217="PETROL",AVERAGEIFS(Table14[RSP],Table14[Customer],$M$3,Table14[Date],$A217,Table14[Bill No.],$B217),IF($J217="XtraGreen",AVERAGEIFS(Table146[RSP],Table146[Company],$M$3,Table146[Date],$A217,Table146[Bill No.],$B217),IFERROR($E217/$C217,"")))))</f>
        <v/>
      </c>
      <c r="E217" s="347" t="str">
        <f>IF($A217="","",IF($J217="DIESEL",SUMIFS(Table1[Amount],Table1[Customer],$M$3,Table1[Date],$A217,Table1[Bill No.],$B217),IF($J217="PETROL",SUMIFS(Table14[Amount],Table14[Customer],$M$3,Table14[Date],$A217,Table14[Bill No.],$B217),IF($J217="XtraGreen",SUMIFS(Table146[Amount],Table146[Company],$M$3,Table146[Date],$A217,Table146[Bill No.],$B217),SUMIFS('Other Sale'!$D:$D,'Other Sale'!$E:$E,$M$3,'Other Sale'!$C:$C,$J217,'Other Sale'!$A:$A,$A217)))))</f>
        <v/>
      </c>
      <c r="F217" s="347" t="str" cm="1">
        <f t="array" ref="F217">IF($A217="","",IF($J217="Payment",IFERROR(INDEX(_xlfn._xlws.FILTER(MasterPaid[Amount Paid],(MasterPaid[Customer]=$M$3)*(MasterPaid[Date]=$A217)),COUNTIFS($A$6:$A217,$A217,$J$6:$J217,"Payment")),0),0))</f>
        <v/>
      </c>
      <c r="G217" s="331"/>
      <c r="H217" s="427"/>
      <c r="I217" s="330" t="str">
        <f t="shared" si="12"/>
        <v/>
      </c>
      <c r="J217" s="344" t="str" cm="1">
        <f t="array" ref="J217">IFERROR(INDEX(_xlfn.ANCHORARRAY($P$6),ROW()-5,3),"")</f>
        <v/>
      </c>
      <c r="K217" s="432"/>
      <c r="L217" s="348"/>
    </row>
    <row r="218" spans="1:12" ht="23" x14ac:dyDescent="0.25">
      <c r="A218" s="217" t="str" cm="1">
        <f t="array" ref="A218">IFERROR(INDEX(_xlfn.ANCHORARRAY($P$6),ROW()-5,1),"")</f>
        <v/>
      </c>
      <c r="B218" s="344" t="str" cm="1">
        <f t="array" ref="B218">IFERROR(INDEX(_xlfn.ANCHORARRAY($P$6),ROW()-5,2),"")</f>
        <v/>
      </c>
      <c r="C218" s="345" t="str">
        <f>IF($A218="","",IF($J218="DIESEL",SUMIFS(Table1[Quantity],Table1[Customer],$M$3,Table1[Date],$A218,Table1[Bill No.],$B218),IF($J218="PETROL",SUMIFS(Table14[Quantity],Table14[Customer],$M$3,Table14[Date],$A218,Table14[Bill No.],$B218),IF($J218="XtraGreen",SUMIFS(Table146[Quantity],Table146[Company],$M$3,Table146[Date],$A218,Table146[Bill No.],$B218),""))))</f>
        <v/>
      </c>
      <c r="D218" s="346" t="str">
        <f>IF($A218="","",IF($J218="DIESEL",AVERAGEIFS(Table1[RSP],Table1[Customer],$M$3,Table1[Date],$A218,Table1[Bill No.],$B218),IF($J218="PETROL",AVERAGEIFS(Table14[RSP],Table14[Customer],$M$3,Table14[Date],$A218,Table14[Bill No.],$B218),IF($J218="XtraGreen",AVERAGEIFS(Table146[RSP],Table146[Company],$M$3,Table146[Date],$A218,Table146[Bill No.],$B218),IFERROR($E218/$C218,"")))))</f>
        <v/>
      </c>
      <c r="E218" s="347" t="str">
        <f>IF($A218="","",IF($J218="DIESEL",SUMIFS(Table1[Amount],Table1[Customer],$M$3,Table1[Date],$A218,Table1[Bill No.],$B218),IF($J218="PETROL",SUMIFS(Table14[Amount],Table14[Customer],$M$3,Table14[Date],$A218,Table14[Bill No.],$B218),IF($J218="XtraGreen",SUMIFS(Table146[Amount],Table146[Company],$M$3,Table146[Date],$A218,Table146[Bill No.],$B218),SUMIFS('Other Sale'!$D:$D,'Other Sale'!$E:$E,$M$3,'Other Sale'!$C:$C,$J218,'Other Sale'!$A:$A,$A218)))))</f>
        <v/>
      </c>
      <c r="F218" s="347" t="str" cm="1">
        <f t="array" ref="F218">IF($A218="","",IF($J218="Payment",IFERROR(INDEX(_xlfn._xlws.FILTER(MasterPaid[Amount Paid],(MasterPaid[Customer]=$M$3)*(MasterPaid[Date]=$A218)),COUNTIFS($A$6:$A218,$A218,$J$6:$J218,"Payment")),0),0))</f>
        <v/>
      </c>
      <c r="G218" s="331"/>
      <c r="H218" s="427"/>
      <c r="I218" s="330" t="str">
        <f t="shared" si="12"/>
        <v/>
      </c>
      <c r="J218" s="344" t="str" cm="1">
        <f t="array" ref="J218">IFERROR(INDEX(_xlfn.ANCHORARRAY($P$6),ROW()-5,3),"")</f>
        <v/>
      </c>
      <c r="K218" s="432"/>
      <c r="L218" s="348"/>
    </row>
    <row r="219" spans="1:12" ht="23" x14ac:dyDescent="0.25">
      <c r="A219" s="217" t="str" cm="1">
        <f t="array" ref="A219">IFERROR(INDEX(_xlfn.ANCHORARRAY($P$6),ROW()-5,1),"")</f>
        <v/>
      </c>
      <c r="B219" s="344" t="str" cm="1">
        <f t="array" ref="B219">IFERROR(INDEX(_xlfn.ANCHORARRAY($P$6),ROW()-5,2),"")</f>
        <v/>
      </c>
      <c r="C219" s="345" t="str">
        <f>IF($A219="","",IF($J219="DIESEL",SUMIFS(Table1[Quantity],Table1[Customer],$M$3,Table1[Date],$A219,Table1[Bill No.],$B219),IF($J219="PETROL",SUMIFS(Table14[Quantity],Table14[Customer],$M$3,Table14[Date],$A219,Table14[Bill No.],$B219),IF($J219="XtraGreen",SUMIFS(Table146[Quantity],Table146[Company],$M$3,Table146[Date],$A219,Table146[Bill No.],$B219),""))))</f>
        <v/>
      </c>
      <c r="D219" s="346" t="str">
        <f>IF($A219="","",IF($J219="DIESEL",AVERAGEIFS(Table1[RSP],Table1[Customer],$M$3,Table1[Date],$A219,Table1[Bill No.],$B219),IF($J219="PETROL",AVERAGEIFS(Table14[RSP],Table14[Customer],$M$3,Table14[Date],$A219,Table14[Bill No.],$B219),IF($J219="XtraGreen",AVERAGEIFS(Table146[RSP],Table146[Company],$M$3,Table146[Date],$A219,Table146[Bill No.],$B219),IFERROR($E219/$C219,"")))))</f>
        <v/>
      </c>
      <c r="E219" s="347" t="str">
        <f>IF($A219="","",IF($J219="DIESEL",SUMIFS(Table1[Amount],Table1[Customer],$M$3,Table1[Date],$A219,Table1[Bill No.],$B219),IF($J219="PETROL",SUMIFS(Table14[Amount],Table14[Customer],$M$3,Table14[Date],$A219,Table14[Bill No.],$B219),IF($J219="XtraGreen",SUMIFS(Table146[Amount],Table146[Company],$M$3,Table146[Date],$A219,Table146[Bill No.],$B219),SUMIFS('Other Sale'!$D:$D,'Other Sale'!$E:$E,$M$3,'Other Sale'!$C:$C,$J219,'Other Sale'!$A:$A,$A219)))))</f>
        <v/>
      </c>
      <c r="F219" s="347" t="str" cm="1">
        <f t="array" ref="F219">IF($A219="","",IF($J219="Payment",IFERROR(INDEX(_xlfn._xlws.FILTER(MasterPaid[Amount Paid],(MasterPaid[Customer]=$M$3)*(MasterPaid[Date]=$A219)),COUNTIFS($A$6:$A219,$A219,$J$6:$J219,"Payment")),0),0))</f>
        <v/>
      </c>
      <c r="G219" s="331"/>
      <c r="H219" s="427"/>
      <c r="I219" s="330" t="str">
        <f t="shared" si="12"/>
        <v/>
      </c>
      <c r="J219" s="344" t="str" cm="1">
        <f t="array" ref="J219">IFERROR(INDEX(_xlfn.ANCHORARRAY($P$6),ROW()-5,3),"")</f>
        <v/>
      </c>
      <c r="K219" s="432"/>
      <c r="L219" s="348"/>
    </row>
    <row r="220" spans="1:12" ht="23" x14ac:dyDescent="0.25">
      <c r="A220" s="217" t="str" cm="1">
        <f t="array" ref="A220">IFERROR(INDEX(_xlfn.ANCHORARRAY($P$6),ROW()-5,1),"")</f>
        <v/>
      </c>
      <c r="B220" s="344" t="str" cm="1">
        <f t="array" ref="B220">IFERROR(INDEX(_xlfn.ANCHORARRAY($P$6),ROW()-5,2),"")</f>
        <v/>
      </c>
      <c r="C220" s="345" t="str">
        <f>IF($A220="","",IF($J220="DIESEL",SUMIFS(Table1[Quantity],Table1[Customer],$M$3,Table1[Date],$A220,Table1[Bill No.],$B220),IF($J220="PETROL",SUMIFS(Table14[Quantity],Table14[Customer],$M$3,Table14[Date],$A220,Table14[Bill No.],$B220),IF($J220="XtraGreen",SUMIFS(Table146[Quantity],Table146[Company],$M$3,Table146[Date],$A220,Table146[Bill No.],$B220),""))))</f>
        <v/>
      </c>
      <c r="D220" s="346" t="str">
        <f>IF($A220="","",IF($J220="DIESEL",AVERAGEIFS(Table1[RSP],Table1[Customer],$M$3,Table1[Date],$A220,Table1[Bill No.],$B220),IF($J220="PETROL",AVERAGEIFS(Table14[RSP],Table14[Customer],$M$3,Table14[Date],$A220,Table14[Bill No.],$B220),IF($J220="XtraGreen",AVERAGEIFS(Table146[RSP],Table146[Company],$M$3,Table146[Date],$A220,Table146[Bill No.],$B220),IFERROR($E220/$C220,"")))))</f>
        <v/>
      </c>
      <c r="E220" s="347" t="str">
        <f>IF($A220="","",IF($J220="DIESEL",SUMIFS(Table1[Amount],Table1[Customer],$M$3,Table1[Date],$A220,Table1[Bill No.],$B220),IF($J220="PETROL",SUMIFS(Table14[Amount],Table14[Customer],$M$3,Table14[Date],$A220,Table14[Bill No.],$B220),IF($J220="XtraGreen",SUMIFS(Table146[Amount],Table146[Company],$M$3,Table146[Date],$A220,Table146[Bill No.],$B220),SUMIFS('Other Sale'!$D:$D,'Other Sale'!$E:$E,$M$3,'Other Sale'!$C:$C,$J220,'Other Sale'!$A:$A,$A220)))))</f>
        <v/>
      </c>
      <c r="F220" s="347" t="str" cm="1">
        <f t="array" ref="F220">IF($A220="","",IF($J220="Payment",IFERROR(INDEX(_xlfn._xlws.FILTER(MasterPaid[Amount Paid],(MasterPaid[Customer]=$M$3)*(MasterPaid[Date]=$A220)),COUNTIFS($A$6:$A220,$A220,$J$6:$J220,"Payment")),0),0))</f>
        <v/>
      </c>
      <c r="G220" s="331"/>
      <c r="H220" s="427"/>
      <c r="I220" s="330" t="str">
        <f t="shared" si="12"/>
        <v/>
      </c>
      <c r="J220" s="344" t="str" cm="1">
        <f t="array" ref="J220">IFERROR(INDEX(_xlfn.ANCHORARRAY($P$6),ROW()-5,3),"")</f>
        <v/>
      </c>
      <c r="K220" s="432"/>
      <c r="L220" s="348"/>
    </row>
    <row r="221" spans="1:12" ht="23" x14ac:dyDescent="0.25">
      <c r="A221" s="217" t="str" cm="1">
        <f t="array" ref="A221">IFERROR(INDEX(_xlfn.ANCHORARRAY($P$6),ROW()-5,1),"")</f>
        <v/>
      </c>
      <c r="B221" s="344" t="str" cm="1">
        <f t="array" ref="B221">IFERROR(INDEX(_xlfn.ANCHORARRAY($P$6),ROW()-5,2),"")</f>
        <v/>
      </c>
      <c r="C221" s="345" t="str">
        <f>IF($A221="","",IF($J221="DIESEL",SUMIFS(Table1[Quantity],Table1[Customer],$M$3,Table1[Date],$A221,Table1[Bill No.],$B221),IF($J221="PETROL",SUMIFS(Table14[Quantity],Table14[Customer],$M$3,Table14[Date],$A221,Table14[Bill No.],$B221),IF($J221="XtraGreen",SUMIFS(Table146[Quantity],Table146[Company],$M$3,Table146[Date],$A221,Table146[Bill No.],$B221),""))))</f>
        <v/>
      </c>
      <c r="D221" s="346" t="str">
        <f>IF($A221="","",IF($J221="DIESEL",AVERAGEIFS(Table1[RSP],Table1[Customer],$M$3,Table1[Date],$A221,Table1[Bill No.],$B221),IF($J221="PETROL",AVERAGEIFS(Table14[RSP],Table14[Customer],$M$3,Table14[Date],$A221,Table14[Bill No.],$B221),IF($J221="XtraGreen",AVERAGEIFS(Table146[RSP],Table146[Company],$M$3,Table146[Date],$A221,Table146[Bill No.],$B221),IFERROR($E221/$C221,"")))))</f>
        <v/>
      </c>
      <c r="E221" s="347" t="str">
        <f>IF($A221="","",IF($J221="DIESEL",SUMIFS(Table1[Amount],Table1[Customer],$M$3,Table1[Date],$A221,Table1[Bill No.],$B221),IF($J221="PETROL",SUMIFS(Table14[Amount],Table14[Customer],$M$3,Table14[Date],$A221,Table14[Bill No.],$B221),IF($J221="XtraGreen",SUMIFS(Table146[Amount],Table146[Company],$M$3,Table146[Date],$A221,Table146[Bill No.],$B221),SUMIFS('Other Sale'!$D:$D,'Other Sale'!$E:$E,$M$3,'Other Sale'!$C:$C,$J221,'Other Sale'!$A:$A,$A221)))))</f>
        <v/>
      </c>
      <c r="F221" s="347" t="str" cm="1">
        <f t="array" ref="F221">IF($A221="","",IF($J221="Payment",IFERROR(INDEX(_xlfn._xlws.FILTER(MasterPaid[Amount Paid],(MasterPaid[Customer]=$M$3)*(MasterPaid[Date]=$A221)),COUNTIFS($A$6:$A221,$A221,$J$6:$J221,"Payment")),0),0))</f>
        <v/>
      </c>
      <c r="G221" s="331"/>
      <c r="H221" s="427"/>
      <c r="I221" s="330" t="str">
        <f t="shared" si="12"/>
        <v/>
      </c>
      <c r="J221" s="344" t="str" cm="1">
        <f t="array" ref="J221">IFERROR(INDEX(_xlfn.ANCHORARRAY($P$6),ROW()-5,3),"")</f>
        <v/>
      </c>
      <c r="K221" s="432"/>
      <c r="L221" s="348"/>
    </row>
    <row r="222" spans="1:12" ht="23" x14ac:dyDescent="0.25">
      <c r="A222" s="217" t="str" cm="1">
        <f t="array" ref="A222">IFERROR(INDEX(_xlfn.ANCHORARRAY($P$6),ROW()-5,1),"")</f>
        <v/>
      </c>
      <c r="B222" s="344" t="str" cm="1">
        <f t="array" ref="B222">IFERROR(INDEX(_xlfn.ANCHORARRAY($P$6),ROW()-5,2),"")</f>
        <v/>
      </c>
      <c r="C222" s="345" t="str">
        <f>IF($A222="","",IF($J222="DIESEL",SUMIFS(Table1[Quantity],Table1[Customer],$M$3,Table1[Date],$A222,Table1[Bill No.],$B222),IF($J222="PETROL",SUMIFS(Table14[Quantity],Table14[Customer],$M$3,Table14[Date],$A222,Table14[Bill No.],$B222),IF($J222="XtraGreen",SUMIFS(Table146[Quantity],Table146[Company],$M$3,Table146[Date],$A222,Table146[Bill No.],$B222),""))))</f>
        <v/>
      </c>
      <c r="D222" s="346" t="str">
        <f>IF($A222="","",IF($J222="DIESEL",AVERAGEIFS(Table1[RSP],Table1[Customer],$M$3,Table1[Date],$A222,Table1[Bill No.],$B222),IF($J222="PETROL",AVERAGEIFS(Table14[RSP],Table14[Customer],$M$3,Table14[Date],$A222,Table14[Bill No.],$B222),IF($J222="XtraGreen",AVERAGEIFS(Table146[RSP],Table146[Company],$M$3,Table146[Date],$A222,Table146[Bill No.],$B222),IFERROR($E222/$C222,"")))))</f>
        <v/>
      </c>
      <c r="E222" s="347" t="str">
        <f>IF($A222="","",IF($J222="DIESEL",SUMIFS(Table1[Amount],Table1[Customer],$M$3,Table1[Date],$A222,Table1[Bill No.],$B222),IF($J222="PETROL",SUMIFS(Table14[Amount],Table14[Customer],$M$3,Table14[Date],$A222,Table14[Bill No.],$B222),IF($J222="XtraGreen",SUMIFS(Table146[Amount],Table146[Company],$M$3,Table146[Date],$A222,Table146[Bill No.],$B222),SUMIFS('Other Sale'!$D:$D,'Other Sale'!$E:$E,$M$3,'Other Sale'!$C:$C,$J222,'Other Sale'!$A:$A,$A222)))))</f>
        <v/>
      </c>
      <c r="F222" s="347" t="str" cm="1">
        <f t="array" ref="F222">IF($A222="","",IF($J222="Payment",IFERROR(INDEX(_xlfn._xlws.FILTER(MasterPaid[Amount Paid],(MasterPaid[Customer]=$M$3)*(MasterPaid[Date]=$A222)),COUNTIFS($A$6:$A222,$A222,$J$6:$J222,"Payment")),0),0))</f>
        <v/>
      </c>
      <c r="G222" s="331"/>
      <c r="H222" s="427"/>
      <c r="I222" s="330" t="str">
        <f t="shared" si="12"/>
        <v/>
      </c>
      <c r="J222" s="344" t="str" cm="1">
        <f t="array" ref="J222">IFERROR(INDEX(_xlfn.ANCHORARRAY($P$6),ROW()-5,3),"")</f>
        <v/>
      </c>
      <c r="K222" s="432"/>
      <c r="L222" s="348"/>
    </row>
    <row r="223" spans="1:12" ht="23" x14ac:dyDescent="0.25">
      <c r="A223" s="217" t="str" cm="1">
        <f t="array" ref="A223">IFERROR(INDEX(_xlfn.ANCHORARRAY($P$6),ROW()-5,1),"")</f>
        <v/>
      </c>
      <c r="B223" s="344" t="str" cm="1">
        <f t="array" ref="B223">IFERROR(INDEX(_xlfn.ANCHORARRAY($P$6),ROW()-5,2),"")</f>
        <v/>
      </c>
      <c r="C223" s="345" t="str">
        <f>IF($A223="","",IF($J223="DIESEL",SUMIFS(Table1[Quantity],Table1[Customer],$M$3,Table1[Date],$A223,Table1[Bill No.],$B223),IF($J223="PETROL",SUMIFS(Table14[Quantity],Table14[Customer],$M$3,Table14[Date],$A223,Table14[Bill No.],$B223),IF($J223="XtraGreen",SUMIFS(Table146[Quantity],Table146[Company],$M$3,Table146[Date],$A223,Table146[Bill No.],$B223),""))))</f>
        <v/>
      </c>
      <c r="D223" s="346" t="str">
        <f>IF($A223="","",IF($J223="DIESEL",AVERAGEIFS(Table1[RSP],Table1[Customer],$M$3,Table1[Date],$A223,Table1[Bill No.],$B223),IF($J223="PETROL",AVERAGEIFS(Table14[RSP],Table14[Customer],$M$3,Table14[Date],$A223,Table14[Bill No.],$B223),IF($J223="XtraGreen",AVERAGEIFS(Table146[RSP],Table146[Company],$M$3,Table146[Date],$A223,Table146[Bill No.],$B223),IFERROR($E223/$C223,"")))))</f>
        <v/>
      </c>
      <c r="E223" s="347" t="str">
        <f>IF($A223="","",IF($J223="DIESEL",SUMIFS(Table1[Amount],Table1[Customer],$M$3,Table1[Date],$A223,Table1[Bill No.],$B223),IF($J223="PETROL",SUMIFS(Table14[Amount],Table14[Customer],$M$3,Table14[Date],$A223,Table14[Bill No.],$B223),IF($J223="XtraGreen",SUMIFS(Table146[Amount],Table146[Company],$M$3,Table146[Date],$A223,Table146[Bill No.],$B223),SUMIFS('Other Sale'!$D:$D,'Other Sale'!$E:$E,$M$3,'Other Sale'!$C:$C,$J223,'Other Sale'!$A:$A,$A223)))))</f>
        <v/>
      </c>
      <c r="F223" s="347" t="str" cm="1">
        <f t="array" ref="F223">IF($A223="","",IF($J223="Payment",IFERROR(INDEX(_xlfn._xlws.FILTER(MasterPaid[Amount Paid],(MasterPaid[Customer]=$M$3)*(MasterPaid[Date]=$A223)),COUNTIFS($A$6:$A223,$A223,$J$6:$J223,"Payment")),0),0))</f>
        <v/>
      </c>
      <c r="G223" s="331"/>
      <c r="H223" s="427"/>
      <c r="I223" s="330" t="str">
        <f t="shared" si="12"/>
        <v/>
      </c>
      <c r="J223" s="344" t="str" cm="1">
        <f t="array" ref="J223">IFERROR(INDEX(_xlfn.ANCHORARRAY($P$6),ROW()-5,3),"")</f>
        <v/>
      </c>
      <c r="K223" s="432"/>
      <c r="L223" s="348"/>
    </row>
    <row r="224" spans="1:12" ht="23" x14ac:dyDescent="0.25">
      <c r="A224" s="217" t="str" cm="1">
        <f t="array" ref="A224">IFERROR(INDEX(_xlfn.ANCHORARRAY($P$6),ROW()-5,1),"")</f>
        <v/>
      </c>
      <c r="B224" s="344" t="str" cm="1">
        <f t="array" ref="B224">IFERROR(INDEX(_xlfn.ANCHORARRAY($P$6),ROW()-5,2),"")</f>
        <v/>
      </c>
      <c r="C224" s="345" t="str">
        <f>IF($A224="","",IF($J224="DIESEL",SUMIFS(Table1[Quantity],Table1[Customer],$M$3,Table1[Date],$A224,Table1[Bill No.],$B224),IF($J224="PETROL",SUMIFS(Table14[Quantity],Table14[Customer],$M$3,Table14[Date],$A224,Table14[Bill No.],$B224),IF($J224="XtraGreen",SUMIFS(Table146[Quantity],Table146[Company],$M$3,Table146[Date],$A224,Table146[Bill No.],$B224),""))))</f>
        <v/>
      </c>
      <c r="D224" s="346" t="str">
        <f>IF($A224="","",IF($J224="DIESEL",AVERAGEIFS(Table1[RSP],Table1[Customer],$M$3,Table1[Date],$A224,Table1[Bill No.],$B224),IF($J224="PETROL",AVERAGEIFS(Table14[RSP],Table14[Customer],$M$3,Table14[Date],$A224,Table14[Bill No.],$B224),IF($J224="XtraGreen",AVERAGEIFS(Table146[RSP],Table146[Company],$M$3,Table146[Date],$A224,Table146[Bill No.],$B224),IFERROR($E224/$C224,"")))))</f>
        <v/>
      </c>
      <c r="E224" s="347" t="str">
        <f>IF($A224="","",IF($J224="DIESEL",SUMIFS(Table1[Amount],Table1[Customer],$M$3,Table1[Date],$A224,Table1[Bill No.],$B224),IF($J224="PETROL",SUMIFS(Table14[Amount],Table14[Customer],$M$3,Table14[Date],$A224,Table14[Bill No.],$B224),IF($J224="XtraGreen",SUMIFS(Table146[Amount],Table146[Company],$M$3,Table146[Date],$A224,Table146[Bill No.],$B224),SUMIFS('Other Sale'!$D:$D,'Other Sale'!$E:$E,$M$3,'Other Sale'!$C:$C,$J224,'Other Sale'!$A:$A,$A224)))))</f>
        <v/>
      </c>
      <c r="F224" s="347" t="str" cm="1">
        <f t="array" ref="F224">IF($A224="","",IF($J224="Payment",IFERROR(INDEX(_xlfn._xlws.FILTER(MasterPaid[Amount Paid],(MasterPaid[Customer]=$M$3)*(MasterPaid[Date]=$A224)),COUNTIFS($A$6:$A224,$A224,$J$6:$J224,"Payment")),0),0))</f>
        <v/>
      </c>
      <c r="G224" s="331"/>
      <c r="H224" s="427"/>
      <c r="I224" s="330" t="str">
        <f t="shared" si="12"/>
        <v/>
      </c>
      <c r="J224" s="344" t="str" cm="1">
        <f t="array" ref="J224">IFERROR(INDEX(_xlfn.ANCHORARRAY($P$6),ROW()-5,3),"")</f>
        <v/>
      </c>
      <c r="K224" s="432"/>
      <c r="L224" s="348"/>
    </row>
    <row r="225" spans="1:12" ht="23" x14ac:dyDescent="0.25">
      <c r="A225" s="217" t="str" cm="1">
        <f t="array" ref="A225">IFERROR(INDEX(_xlfn.ANCHORARRAY($P$6),ROW()-5,1),"")</f>
        <v/>
      </c>
      <c r="B225" s="344" t="str" cm="1">
        <f t="array" ref="B225">IFERROR(INDEX(_xlfn.ANCHORARRAY($P$6),ROW()-5,2),"")</f>
        <v/>
      </c>
      <c r="C225" s="345" t="str">
        <f>IF($A225="","",IF($J225="DIESEL",SUMIFS(Table1[Quantity],Table1[Customer],$M$3,Table1[Date],$A225,Table1[Bill No.],$B225),IF($J225="PETROL",SUMIFS(Table14[Quantity],Table14[Customer],$M$3,Table14[Date],$A225,Table14[Bill No.],$B225),IF($J225="XtraGreen",SUMIFS(Table146[Quantity],Table146[Company],$M$3,Table146[Date],$A225,Table146[Bill No.],$B225),""))))</f>
        <v/>
      </c>
      <c r="D225" s="346" t="str">
        <f>IF($A225="","",IF($J225="DIESEL",AVERAGEIFS(Table1[RSP],Table1[Customer],$M$3,Table1[Date],$A225,Table1[Bill No.],$B225),IF($J225="PETROL",AVERAGEIFS(Table14[RSP],Table14[Customer],$M$3,Table14[Date],$A225,Table14[Bill No.],$B225),IF($J225="XtraGreen",AVERAGEIFS(Table146[RSP],Table146[Company],$M$3,Table146[Date],$A225,Table146[Bill No.],$B225),IFERROR($E225/$C225,"")))))</f>
        <v/>
      </c>
      <c r="E225" s="347" t="str">
        <f>IF($A225="","",IF($J225="DIESEL",SUMIFS(Table1[Amount],Table1[Customer],$M$3,Table1[Date],$A225,Table1[Bill No.],$B225),IF($J225="PETROL",SUMIFS(Table14[Amount],Table14[Customer],$M$3,Table14[Date],$A225,Table14[Bill No.],$B225),IF($J225="XtraGreen",SUMIFS(Table146[Amount],Table146[Company],$M$3,Table146[Date],$A225,Table146[Bill No.],$B225),SUMIFS('Other Sale'!$D:$D,'Other Sale'!$E:$E,$M$3,'Other Sale'!$C:$C,$J225,'Other Sale'!$A:$A,$A225)))))</f>
        <v/>
      </c>
      <c r="F225" s="347" t="str" cm="1">
        <f t="array" ref="F225">IF($A225="","",IF($J225="Payment",IFERROR(INDEX(_xlfn._xlws.FILTER(MasterPaid[Amount Paid],(MasterPaid[Customer]=$M$3)*(MasterPaid[Date]=$A225)),COUNTIFS($A$6:$A225,$A225,$J$6:$J225,"Payment")),0),0))</f>
        <v/>
      </c>
      <c r="G225" s="331"/>
      <c r="H225" s="427"/>
      <c r="I225" s="330" t="str">
        <f t="shared" si="12"/>
        <v/>
      </c>
      <c r="J225" s="344" t="str" cm="1">
        <f t="array" ref="J225">IFERROR(INDEX(_xlfn.ANCHORARRAY($P$6),ROW()-5,3),"")</f>
        <v/>
      </c>
      <c r="K225" s="432"/>
      <c r="L225" s="348"/>
    </row>
    <row r="226" spans="1:12" ht="23" x14ac:dyDescent="0.25">
      <c r="A226" s="217" t="str" cm="1">
        <f t="array" ref="A226">IFERROR(INDEX(_xlfn.ANCHORARRAY($P$6),ROW()-5,1),"")</f>
        <v/>
      </c>
      <c r="B226" s="344" t="str" cm="1">
        <f t="array" ref="B226">IFERROR(INDEX(_xlfn.ANCHORARRAY($P$6),ROW()-5,2),"")</f>
        <v/>
      </c>
      <c r="C226" s="345" t="str">
        <f>IF($A226="","",IF($J226="DIESEL",SUMIFS(Table1[Quantity],Table1[Customer],$M$3,Table1[Date],$A226,Table1[Bill No.],$B226),IF($J226="PETROL",SUMIFS(Table14[Quantity],Table14[Customer],$M$3,Table14[Date],$A226,Table14[Bill No.],$B226),IF($J226="XtraGreen",SUMIFS(Table146[Quantity],Table146[Company],$M$3,Table146[Date],$A226,Table146[Bill No.],$B226),""))))</f>
        <v/>
      </c>
      <c r="D226" s="346" t="str">
        <f>IF($A226="","",IF($J226="DIESEL",AVERAGEIFS(Table1[RSP],Table1[Customer],$M$3,Table1[Date],$A226,Table1[Bill No.],$B226),IF($J226="PETROL",AVERAGEIFS(Table14[RSP],Table14[Customer],$M$3,Table14[Date],$A226,Table14[Bill No.],$B226),IF($J226="XtraGreen",AVERAGEIFS(Table146[RSP],Table146[Company],$M$3,Table146[Date],$A226,Table146[Bill No.],$B226),IFERROR($E226/$C226,"")))))</f>
        <v/>
      </c>
      <c r="E226" s="347" t="str">
        <f>IF($A226="","",IF($J226="DIESEL",SUMIFS(Table1[Amount],Table1[Customer],$M$3,Table1[Date],$A226,Table1[Bill No.],$B226),IF($J226="PETROL",SUMIFS(Table14[Amount],Table14[Customer],$M$3,Table14[Date],$A226,Table14[Bill No.],$B226),IF($J226="XtraGreen",SUMIFS(Table146[Amount],Table146[Company],$M$3,Table146[Date],$A226,Table146[Bill No.],$B226),SUMIFS('Other Sale'!$D:$D,'Other Sale'!$E:$E,$M$3,'Other Sale'!$C:$C,$J226,'Other Sale'!$A:$A,$A226)))))</f>
        <v/>
      </c>
      <c r="F226" s="347" t="str" cm="1">
        <f t="array" ref="F226">IF($A226="","",IF($J226="Payment",IFERROR(INDEX(_xlfn._xlws.FILTER(MasterPaid[Amount Paid],(MasterPaid[Customer]=$M$3)*(MasterPaid[Date]=$A226)),COUNTIFS($A$6:$A226,$A226,$J$6:$J226,"Payment")),0),0))</f>
        <v/>
      </c>
      <c r="G226" s="331"/>
      <c r="H226" s="427"/>
      <c r="I226" s="330" t="str">
        <f t="shared" si="12"/>
        <v/>
      </c>
      <c r="J226" s="344" t="str" cm="1">
        <f t="array" ref="J226">IFERROR(INDEX(_xlfn.ANCHORARRAY($P$6),ROW()-5,3),"")</f>
        <v/>
      </c>
      <c r="K226" s="432"/>
      <c r="L226" s="348"/>
    </row>
    <row r="227" spans="1:12" ht="23" x14ac:dyDescent="0.25">
      <c r="A227" s="217" t="str" cm="1">
        <f t="array" ref="A227">IFERROR(INDEX(_xlfn.ANCHORARRAY($P$6),ROW()-5,1),"")</f>
        <v/>
      </c>
      <c r="B227" s="344" t="str" cm="1">
        <f t="array" ref="B227">IFERROR(INDEX(_xlfn.ANCHORARRAY($P$6),ROW()-5,2),"")</f>
        <v/>
      </c>
      <c r="C227" s="345" t="str">
        <f>IF($A227="","",IF($J227="DIESEL",SUMIFS(Table1[Quantity],Table1[Customer],$M$3,Table1[Date],$A227,Table1[Bill No.],$B227),IF($J227="PETROL",SUMIFS(Table14[Quantity],Table14[Customer],$M$3,Table14[Date],$A227,Table14[Bill No.],$B227),IF($J227="XtraGreen",SUMIFS(Table146[Quantity],Table146[Company],$M$3,Table146[Date],$A227,Table146[Bill No.],$B227),""))))</f>
        <v/>
      </c>
      <c r="D227" s="346" t="str">
        <f>IF($A227="","",IF($J227="DIESEL",AVERAGEIFS(Table1[RSP],Table1[Customer],$M$3,Table1[Date],$A227,Table1[Bill No.],$B227),IF($J227="PETROL",AVERAGEIFS(Table14[RSP],Table14[Customer],$M$3,Table14[Date],$A227,Table14[Bill No.],$B227),IF($J227="XtraGreen",AVERAGEIFS(Table146[RSP],Table146[Company],$M$3,Table146[Date],$A227,Table146[Bill No.],$B227),IFERROR($E227/$C227,"")))))</f>
        <v/>
      </c>
      <c r="E227" s="347" t="str">
        <f>IF($A227="","",IF($J227="DIESEL",SUMIFS(Table1[Amount],Table1[Customer],$M$3,Table1[Date],$A227,Table1[Bill No.],$B227),IF($J227="PETROL",SUMIFS(Table14[Amount],Table14[Customer],$M$3,Table14[Date],$A227,Table14[Bill No.],$B227),IF($J227="XtraGreen",SUMIFS(Table146[Amount],Table146[Company],$M$3,Table146[Date],$A227,Table146[Bill No.],$B227),SUMIFS('Other Sale'!$D:$D,'Other Sale'!$E:$E,$M$3,'Other Sale'!$C:$C,$J227,'Other Sale'!$A:$A,$A227)))))</f>
        <v/>
      </c>
      <c r="F227" s="347" t="str" cm="1">
        <f t="array" ref="F227">IF($A227="","",IF($J227="Payment",IFERROR(INDEX(_xlfn._xlws.FILTER(MasterPaid[Amount Paid],(MasterPaid[Customer]=$M$3)*(MasterPaid[Date]=$A227)),COUNTIFS($A$6:$A227,$A227,$J$6:$J227,"Payment")),0),0))</f>
        <v/>
      </c>
      <c r="G227" s="331"/>
      <c r="H227" s="427"/>
      <c r="I227" s="330" t="str">
        <f t="shared" si="12"/>
        <v/>
      </c>
      <c r="J227" s="344" t="str" cm="1">
        <f t="array" ref="J227">IFERROR(INDEX(_xlfn.ANCHORARRAY($P$6),ROW()-5,3),"")</f>
        <v/>
      </c>
      <c r="K227" s="432"/>
      <c r="L227" s="348"/>
    </row>
    <row r="228" spans="1:12" ht="23" x14ac:dyDescent="0.25">
      <c r="A228" s="217" t="str" cm="1">
        <f t="array" ref="A228">IFERROR(INDEX(_xlfn.ANCHORARRAY($P$6),ROW()-5,1),"")</f>
        <v/>
      </c>
      <c r="B228" s="344" t="str" cm="1">
        <f t="array" ref="B228">IFERROR(INDEX(_xlfn.ANCHORARRAY($P$6),ROW()-5,2),"")</f>
        <v/>
      </c>
      <c r="C228" s="345" t="str">
        <f>IF($A228="","",IF($J228="DIESEL",SUMIFS(Table1[Quantity],Table1[Customer],$M$3,Table1[Date],$A228,Table1[Bill No.],$B228),IF($J228="PETROL",SUMIFS(Table14[Quantity],Table14[Customer],$M$3,Table14[Date],$A228,Table14[Bill No.],$B228),IF($J228="XtraGreen",SUMIFS(Table146[Quantity],Table146[Company],$M$3,Table146[Date],$A228,Table146[Bill No.],$B228),""))))</f>
        <v/>
      </c>
      <c r="D228" s="346" t="str">
        <f>IF($A228="","",IF($J228="DIESEL",AVERAGEIFS(Table1[RSP],Table1[Customer],$M$3,Table1[Date],$A228,Table1[Bill No.],$B228),IF($J228="PETROL",AVERAGEIFS(Table14[RSP],Table14[Customer],$M$3,Table14[Date],$A228,Table14[Bill No.],$B228),IF($J228="XtraGreen",AVERAGEIFS(Table146[RSP],Table146[Company],$M$3,Table146[Date],$A228,Table146[Bill No.],$B228),IFERROR($E228/$C228,"")))))</f>
        <v/>
      </c>
      <c r="E228" s="347" t="str">
        <f>IF($A228="","",IF($J228="DIESEL",SUMIFS(Table1[Amount],Table1[Customer],$M$3,Table1[Date],$A228,Table1[Bill No.],$B228),IF($J228="PETROL",SUMIFS(Table14[Amount],Table14[Customer],$M$3,Table14[Date],$A228,Table14[Bill No.],$B228),IF($J228="XtraGreen",SUMIFS(Table146[Amount],Table146[Company],$M$3,Table146[Date],$A228,Table146[Bill No.],$B228),SUMIFS('Other Sale'!$D:$D,'Other Sale'!$E:$E,$M$3,'Other Sale'!$C:$C,$J228,'Other Sale'!$A:$A,$A228)))))</f>
        <v/>
      </c>
      <c r="F228" s="347" t="str" cm="1">
        <f t="array" ref="F228">IF($A228="","",IF($J228="Payment",IFERROR(INDEX(_xlfn._xlws.FILTER(MasterPaid[Amount Paid],(MasterPaid[Customer]=$M$3)*(MasterPaid[Date]=$A228)),COUNTIFS($A$6:$A228,$A228,$J$6:$J228,"Payment")),0),0))</f>
        <v/>
      </c>
      <c r="G228" s="331"/>
      <c r="H228" s="427"/>
      <c r="I228" s="330" t="str">
        <f t="shared" si="12"/>
        <v/>
      </c>
      <c r="J228" s="344" t="str" cm="1">
        <f t="array" ref="J228">IFERROR(INDEX(_xlfn.ANCHORARRAY($P$6),ROW()-5,3),"")</f>
        <v/>
      </c>
      <c r="K228" s="432"/>
      <c r="L228" s="348"/>
    </row>
    <row r="229" spans="1:12" ht="23" x14ac:dyDescent="0.25">
      <c r="A229" s="217" t="str" cm="1">
        <f t="array" ref="A229">IFERROR(INDEX(_xlfn.ANCHORARRAY($P$6),ROW()-5,1),"")</f>
        <v/>
      </c>
      <c r="B229" s="344" t="str" cm="1">
        <f t="array" ref="B229">IFERROR(INDEX(_xlfn.ANCHORARRAY($P$6),ROW()-5,2),"")</f>
        <v/>
      </c>
      <c r="C229" s="345" t="str">
        <f>IF($A229="","",IF($J229="DIESEL",SUMIFS(Table1[Quantity],Table1[Customer],$M$3,Table1[Date],$A229,Table1[Bill No.],$B229),IF($J229="PETROL",SUMIFS(Table14[Quantity],Table14[Customer],$M$3,Table14[Date],$A229,Table14[Bill No.],$B229),IF($J229="XtraGreen",SUMIFS(Table146[Quantity],Table146[Company],$M$3,Table146[Date],$A229,Table146[Bill No.],$B229),""))))</f>
        <v/>
      </c>
      <c r="D229" s="346" t="str">
        <f>IF($A229="","",IF($J229="DIESEL",AVERAGEIFS(Table1[RSP],Table1[Customer],$M$3,Table1[Date],$A229,Table1[Bill No.],$B229),IF($J229="PETROL",AVERAGEIFS(Table14[RSP],Table14[Customer],$M$3,Table14[Date],$A229,Table14[Bill No.],$B229),IF($J229="XtraGreen",AVERAGEIFS(Table146[RSP],Table146[Company],$M$3,Table146[Date],$A229,Table146[Bill No.],$B229),IFERROR($E229/$C229,"")))))</f>
        <v/>
      </c>
      <c r="E229" s="347" t="str">
        <f>IF($A229="","",IF($J229="DIESEL",SUMIFS(Table1[Amount],Table1[Customer],$M$3,Table1[Date],$A229,Table1[Bill No.],$B229),IF($J229="PETROL",SUMIFS(Table14[Amount],Table14[Customer],$M$3,Table14[Date],$A229,Table14[Bill No.],$B229),IF($J229="XtraGreen",SUMIFS(Table146[Amount],Table146[Company],$M$3,Table146[Date],$A229,Table146[Bill No.],$B229),SUMIFS('Other Sale'!$D:$D,'Other Sale'!$E:$E,$M$3,'Other Sale'!$C:$C,$J229,'Other Sale'!$A:$A,$A229)))))</f>
        <v/>
      </c>
      <c r="F229" s="347" t="str" cm="1">
        <f t="array" ref="F229">IF($A229="","",IF($J229="Payment",IFERROR(INDEX(_xlfn._xlws.FILTER(MasterPaid[Amount Paid],(MasterPaid[Customer]=$M$3)*(MasterPaid[Date]=$A229)),COUNTIFS($A$6:$A229,$A229,$J$6:$J229,"Payment")),0),0))</f>
        <v/>
      </c>
      <c r="G229" s="331"/>
      <c r="H229" s="427"/>
      <c r="I229" s="330" t="str">
        <f t="shared" si="12"/>
        <v/>
      </c>
      <c r="J229" s="344" t="str" cm="1">
        <f t="array" ref="J229">IFERROR(INDEX(_xlfn.ANCHORARRAY($P$6),ROW()-5,3),"")</f>
        <v/>
      </c>
      <c r="K229" s="432"/>
      <c r="L229" s="348"/>
    </row>
    <row r="230" spans="1:12" ht="23" x14ac:dyDescent="0.25">
      <c r="A230" s="217" t="str" cm="1">
        <f t="array" ref="A230">IFERROR(INDEX(_xlfn.ANCHORARRAY($P$6),ROW()-5,1),"")</f>
        <v/>
      </c>
      <c r="B230" s="344" t="str" cm="1">
        <f t="array" ref="B230">IFERROR(INDEX(_xlfn.ANCHORARRAY($P$6),ROW()-5,2),"")</f>
        <v/>
      </c>
      <c r="C230" s="345" t="str">
        <f>IF($A230="","",IF($J230="DIESEL",SUMIFS(Table1[Quantity],Table1[Customer],$M$3,Table1[Date],$A230,Table1[Bill No.],$B230),IF($J230="PETROL",SUMIFS(Table14[Quantity],Table14[Customer],$M$3,Table14[Date],$A230,Table14[Bill No.],$B230),IF($J230="XtraGreen",SUMIFS(Table146[Quantity],Table146[Company],$M$3,Table146[Date],$A230,Table146[Bill No.],$B230),""))))</f>
        <v/>
      </c>
      <c r="D230" s="346" t="str">
        <f>IF($A230="","",IF($J230="DIESEL",AVERAGEIFS(Table1[RSP],Table1[Customer],$M$3,Table1[Date],$A230,Table1[Bill No.],$B230),IF($J230="PETROL",AVERAGEIFS(Table14[RSP],Table14[Customer],$M$3,Table14[Date],$A230,Table14[Bill No.],$B230),IF($J230="XtraGreen",AVERAGEIFS(Table146[RSP],Table146[Company],$M$3,Table146[Date],$A230,Table146[Bill No.],$B230),IFERROR($E230/$C230,"")))))</f>
        <v/>
      </c>
      <c r="E230" s="347" t="str">
        <f>IF($A230="","",IF($J230="DIESEL",SUMIFS(Table1[Amount],Table1[Customer],$M$3,Table1[Date],$A230,Table1[Bill No.],$B230),IF($J230="PETROL",SUMIFS(Table14[Amount],Table14[Customer],$M$3,Table14[Date],$A230,Table14[Bill No.],$B230),IF($J230="XtraGreen",SUMIFS(Table146[Amount],Table146[Company],$M$3,Table146[Date],$A230,Table146[Bill No.],$B230),SUMIFS('Other Sale'!$D:$D,'Other Sale'!$E:$E,$M$3,'Other Sale'!$C:$C,$J230,'Other Sale'!$A:$A,$A230)))))</f>
        <v/>
      </c>
      <c r="F230" s="347" t="str" cm="1">
        <f t="array" ref="F230">IF($A230="","",IF($J230="Payment",IFERROR(INDEX(_xlfn._xlws.FILTER(MasterPaid[Amount Paid],(MasterPaid[Customer]=$M$3)*(MasterPaid[Date]=$A230)),COUNTIFS($A$6:$A230,$A230,$J$6:$J230,"Payment")),0),0))</f>
        <v/>
      </c>
      <c r="G230" s="331"/>
      <c r="H230" s="427"/>
      <c r="I230" s="330" t="str">
        <f t="shared" si="12"/>
        <v/>
      </c>
      <c r="J230" s="344" t="str" cm="1">
        <f t="array" ref="J230">IFERROR(INDEX(_xlfn.ANCHORARRAY($P$6),ROW()-5,3),"")</f>
        <v/>
      </c>
      <c r="K230" s="432"/>
      <c r="L230" s="348"/>
    </row>
    <row r="231" spans="1:12" ht="23" x14ac:dyDescent="0.25">
      <c r="A231" s="217" t="str" cm="1">
        <f t="array" ref="A231">IFERROR(INDEX(_xlfn.ANCHORARRAY($P$6),ROW()-5,1),"")</f>
        <v/>
      </c>
      <c r="B231" s="344" t="str" cm="1">
        <f t="array" ref="B231">IFERROR(INDEX(_xlfn.ANCHORARRAY($P$6),ROW()-5,2),"")</f>
        <v/>
      </c>
      <c r="C231" s="345" t="str">
        <f>IF($A231="","",IF($J231="DIESEL",SUMIFS(Table1[Quantity],Table1[Customer],$M$3,Table1[Date],$A231,Table1[Bill No.],$B231),IF($J231="PETROL",SUMIFS(Table14[Quantity],Table14[Customer],$M$3,Table14[Date],$A231,Table14[Bill No.],$B231),IF($J231="XtraGreen",SUMIFS(Table146[Quantity],Table146[Company],$M$3,Table146[Date],$A231,Table146[Bill No.],$B231),""))))</f>
        <v/>
      </c>
      <c r="D231" s="346" t="str">
        <f>IF($A231="","",IF($J231="DIESEL",AVERAGEIFS(Table1[RSP],Table1[Customer],$M$3,Table1[Date],$A231,Table1[Bill No.],$B231),IF($J231="PETROL",AVERAGEIFS(Table14[RSP],Table14[Customer],$M$3,Table14[Date],$A231,Table14[Bill No.],$B231),IF($J231="XtraGreen",AVERAGEIFS(Table146[RSP],Table146[Company],$M$3,Table146[Date],$A231,Table146[Bill No.],$B231),IFERROR($E231/$C231,"")))))</f>
        <v/>
      </c>
      <c r="E231" s="347" t="str">
        <f>IF($A231="","",IF($J231="DIESEL",SUMIFS(Table1[Amount],Table1[Customer],$M$3,Table1[Date],$A231,Table1[Bill No.],$B231),IF($J231="PETROL",SUMIFS(Table14[Amount],Table14[Customer],$M$3,Table14[Date],$A231,Table14[Bill No.],$B231),IF($J231="XtraGreen",SUMIFS(Table146[Amount],Table146[Company],$M$3,Table146[Date],$A231,Table146[Bill No.],$B231),SUMIFS('Other Sale'!$D:$D,'Other Sale'!$E:$E,$M$3,'Other Sale'!$C:$C,$J231,'Other Sale'!$A:$A,$A231)))))</f>
        <v/>
      </c>
      <c r="F231" s="347" t="str" cm="1">
        <f t="array" ref="F231">IF($A231="","",IF($J231="Payment",IFERROR(INDEX(_xlfn._xlws.FILTER(MasterPaid[Amount Paid],(MasterPaid[Customer]=$M$3)*(MasterPaid[Date]=$A231)),COUNTIFS($A$6:$A231,$A231,$J$6:$J231,"Payment")),0),0))</f>
        <v/>
      </c>
      <c r="G231" s="331"/>
      <c r="H231" s="427"/>
      <c r="I231" s="330" t="str">
        <f t="shared" si="12"/>
        <v/>
      </c>
      <c r="J231" s="344" t="str" cm="1">
        <f t="array" ref="J231">IFERROR(INDEX(_xlfn.ANCHORARRAY($P$6),ROW()-5,3),"")</f>
        <v/>
      </c>
      <c r="K231" s="432"/>
      <c r="L231" s="348"/>
    </row>
    <row r="232" spans="1:12" ht="23" x14ac:dyDescent="0.25">
      <c r="A232" s="217" t="str" cm="1">
        <f t="array" ref="A232">IFERROR(INDEX(_xlfn.ANCHORARRAY($P$6),ROW()-5,1),"")</f>
        <v/>
      </c>
      <c r="B232" s="344" t="str" cm="1">
        <f t="array" ref="B232">IFERROR(INDEX(_xlfn.ANCHORARRAY($P$6),ROW()-5,2),"")</f>
        <v/>
      </c>
      <c r="C232" s="345" t="str">
        <f>IF($A232="","",IF($J232="DIESEL",SUMIFS(Table1[Quantity],Table1[Customer],$M$3,Table1[Date],$A232,Table1[Bill No.],$B232),IF($J232="PETROL",SUMIFS(Table14[Quantity],Table14[Customer],$M$3,Table14[Date],$A232,Table14[Bill No.],$B232),IF($J232="XtraGreen",SUMIFS(Table146[Quantity],Table146[Company],$M$3,Table146[Date],$A232,Table146[Bill No.],$B232),""))))</f>
        <v/>
      </c>
      <c r="D232" s="346" t="str">
        <f>IF($A232="","",IF($J232="DIESEL",AVERAGEIFS(Table1[RSP],Table1[Customer],$M$3,Table1[Date],$A232,Table1[Bill No.],$B232),IF($J232="PETROL",AVERAGEIFS(Table14[RSP],Table14[Customer],$M$3,Table14[Date],$A232,Table14[Bill No.],$B232),IF($J232="XtraGreen",AVERAGEIFS(Table146[RSP],Table146[Company],$M$3,Table146[Date],$A232,Table146[Bill No.],$B232),IFERROR($E232/$C232,"")))))</f>
        <v/>
      </c>
      <c r="E232" s="347" t="str">
        <f>IF($A232="","",IF($J232="DIESEL",SUMIFS(Table1[Amount],Table1[Customer],$M$3,Table1[Date],$A232,Table1[Bill No.],$B232),IF($J232="PETROL",SUMIFS(Table14[Amount],Table14[Customer],$M$3,Table14[Date],$A232,Table14[Bill No.],$B232),IF($J232="XtraGreen",SUMIFS(Table146[Amount],Table146[Company],$M$3,Table146[Date],$A232,Table146[Bill No.],$B232),SUMIFS('Other Sale'!$D:$D,'Other Sale'!$E:$E,$M$3,'Other Sale'!$C:$C,$J232,'Other Sale'!$A:$A,$A232)))))</f>
        <v/>
      </c>
      <c r="F232" s="347" t="str" cm="1">
        <f t="array" ref="F232">IF($A232="","",IF($J232="Payment",IFERROR(INDEX(_xlfn._xlws.FILTER(MasterPaid[Amount Paid],(MasterPaid[Customer]=$M$3)*(MasterPaid[Date]=$A232)),COUNTIFS($A$6:$A232,$A232,$J$6:$J232,"Payment")),0),0))</f>
        <v/>
      </c>
      <c r="G232" s="331"/>
      <c r="H232" s="427"/>
      <c r="I232" s="330" t="str">
        <f t="shared" si="12"/>
        <v/>
      </c>
      <c r="J232" s="344" t="str" cm="1">
        <f t="array" ref="J232">IFERROR(INDEX(_xlfn.ANCHORARRAY($P$6),ROW()-5,3),"")</f>
        <v/>
      </c>
      <c r="K232" s="432"/>
      <c r="L232" s="348"/>
    </row>
    <row r="233" spans="1:12" ht="23" x14ac:dyDescent="0.25">
      <c r="A233" s="217" t="str" cm="1">
        <f t="array" ref="A233">IFERROR(INDEX(_xlfn.ANCHORARRAY($P$6),ROW()-5,1),"")</f>
        <v/>
      </c>
      <c r="B233" s="344" t="str" cm="1">
        <f t="array" ref="B233">IFERROR(INDEX(_xlfn.ANCHORARRAY($P$6),ROW()-5,2),"")</f>
        <v/>
      </c>
      <c r="C233" s="345" t="str">
        <f>IF($A233="","",IF($J233="DIESEL",SUMIFS(Table1[Quantity],Table1[Customer],$M$3,Table1[Date],$A233,Table1[Bill No.],$B233),IF($J233="PETROL",SUMIFS(Table14[Quantity],Table14[Customer],$M$3,Table14[Date],$A233,Table14[Bill No.],$B233),IF($J233="XtraGreen",SUMIFS(Table146[Quantity],Table146[Company],$M$3,Table146[Date],$A233,Table146[Bill No.],$B233),""))))</f>
        <v/>
      </c>
      <c r="D233" s="346" t="str">
        <f>IF($A233="","",IF($J233="DIESEL",AVERAGEIFS(Table1[RSP],Table1[Customer],$M$3,Table1[Date],$A233,Table1[Bill No.],$B233),IF($J233="PETROL",AVERAGEIFS(Table14[RSP],Table14[Customer],$M$3,Table14[Date],$A233,Table14[Bill No.],$B233),IF($J233="XtraGreen",AVERAGEIFS(Table146[RSP],Table146[Company],$M$3,Table146[Date],$A233,Table146[Bill No.],$B233),IFERROR($E233/$C233,"")))))</f>
        <v/>
      </c>
      <c r="E233" s="347" t="str">
        <f>IF($A233="","",IF($J233="DIESEL",SUMIFS(Table1[Amount],Table1[Customer],$M$3,Table1[Date],$A233,Table1[Bill No.],$B233),IF($J233="PETROL",SUMIFS(Table14[Amount],Table14[Customer],$M$3,Table14[Date],$A233,Table14[Bill No.],$B233),IF($J233="XtraGreen",SUMIFS(Table146[Amount],Table146[Company],$M$3,Table146[Date],$A233,Table146[Bill No.],$B233),SUMIFS('Other Sale'!$D:$D,'Other Sale'!$E:$E,$M$3,'Other Sale'!$C:$C,$J233,'Other Sale'!$A:$A,$A233)))))</f>
        <v/>
      </c>
      <c r="F233" s="347" t="str" cm="1">
        <f t="array" ref="F233">IF($A233="","",IF($J233="Payment",IFERROR(INDEX(_xlfn._xlws.FILTER(MasterPaid[Amount Paid],(MasterPaid[Customer]=$M$3)*(MasterPaid[Date]=$A233)),COUNTIFS($A$6:$A233,$A233,$J$6:$J233,"Payment")),0),0))</f>
        <v/>
      </c>
      <c r="G233" s="331"/>
      <c r="H233" s="427"/>
      <c r="I233" s="330" t="str">
        <f t="shared" si="12"/>
        <v/>
      </c>
      <c r="J233" s="344" t="str" cm="1">
        <f t="array" ref="J233">IFERROR(INDEX(_xlfn.ANCHORARRAY($P$6),ROW()-5,3),"")</f>
        <v/>
      </c>
      <c r="K233" s="432"/>
      <c r="L233" s="348"/>
    </row>
    <row r="234" spans="1:12" ht="23" x14ac:dyDescent="0.25">
      <c r="A234" s="217" t="str" cm="1">
        <f t="array" ref="A234">IFERROR(INDEX(_xlfn.ANCHORARRAY($P$6),ROW()-5,1),"")</f>
        <v/>
      </c>
      <c r="B234" s="344" t="str" cm="1">
        <f t="array" ref="B234">IFERROR(INDEX(_xlfn.ANCHORARRAY($P$6),ROW()-5,2),"")</f>
        <v/>
      </c>
      <c r="C234" s="345" t="str">
        <f>IF($A234="","",IF($J234="DIESEL",SUMIFS(Table1[Quantity],Table1[Customer],$M$3,Table1[Date],$A234,Table1[Bill No.],$B234),IF($J234="PETROL",SUMIFS(Table14[Quantity],Table14[Customer],$M$3,Table14[Date],$A234,Table14[Bill No.],$B234),IF($J234="XtraGreen",SUMIFS(Table146[Quantity],Table146[Company],$M$3,Table146[Date],$A234,Table146[Bill No.],$B234),""))))</f>
        <v/>
      </c>
      <c r="D234" s="346" t="str">
        <f>IF($A234="","",IF($J234="DIESEL",AVERAGEIFS(Table1[RSP],Table1[Customer],$M$3,Table1[Date],$A234,Table1[Bill No.],$B234),IF($J234="PETROL",AVERAGEIFS(Table14[RSP],Table14[Customer],$M$3,Table14[Date],$A234,Table14[Bill No.],$B234),IF($J234="XtraGreen",AVERAGEIFS(Table146[RSP],Table146[Company],$M$3,Table146[Date],$A234,Table146[Bill No.],$B234),IFERROR($E234/$C234,"")))))</f>
        <v/>
      </c>
      <c r="E234" s="347" t="str">
        <f>IF($A234="","",IF($J234="DIESEL",SUMIFS(Table1[Amount],Table1[Customer],$M$3,Table1[Date],$A234,Table1[Bill No.],$B234),IF($J234="PETROL",SUMIFS(Table14[Amount],Table14[Customer],$M$3,Table14[Date],$A234,Table14[Bill No.],$B234),IF($J234="XtraGreen",SUMIFS(Table146[Amount],Table146[Company],$M$3,Table146[Date],$A234,Table146[Bill No.],$B234),SUMIFS('Other Sale'!$D:$D,'Other Sale'!$E:$E,$M$3,'Other Sale'!$C:$C,$J234,'Other Sale'!$A:$A,$A234)))))</f>
        <v/>
      </c>
      <c r="F234" s="347" t="str" cm="1">
        <f t="array" ref="F234">IF($A234="","",IF($J234="Payment",IFERROR(INDEX(_xlfn._xlws.FILTER(MasterPaid[Amount Paid],(MasterPaid[Customer]=$M$3)*(MasterPaid[Date]=$A234)),COUNTIFS($A$6:$A234,$A234,$J$6:$J234,"Payment")),0),0))</f>
        <v/>
      </c>
      <c r="G234" s="331"/>
      <c r="H234" s="427"/>
      <c r="I234" s="330" t="str">
        <f t="shared" si="12"/>
        <v/>
      </c>
      <c r="J234" s="344" t="str" cm="1">
        <f t="array" ref="J234">IFERROR(INDEX(_xlfn.ANCHORARRAY($P$6),ROW()-5,3),"")</f>
        <v/>
      </c>
      <c r="K234" s="432"/>
      <c r="L234" s="348"/>
    </row>
    <row r="235" spans="1:12" ht="23" x14ac:dyDescent="0.25">
      <c r="A235" s="217" t="str" cm="1">
        <f t="array" ref="A235">IFERROR(INDEX(_xlfn.ANCHORARRAY($P$6),ROW()-5,1),"")</f>
        <v/>
      </c>
      <c r="B235" s="344" t="str" cm="1">
        <f t="array" ref="B235">IFERROR(INDEX(_xlfn.ANCHORARRAY($P$6),ROW()-5,2),"")</f>
        <v/>
      </c>
      <c r="C235" s="345" t="str">
        <f>IF($A235="","",IF($J235="DIESEL",SUMIFS(Table1[Quantity],Table1[Customer],$M$3,Table1[Date],$A235,Table1[Bill No.],$B235),IF($J235="PETROL",SUMIFS(Table14[Quantity],Table14[Customer],$M$3,Table14[Date],$A235,Table14[Bill No.],$B235),IF($J235="XtraGreen",SUMIFS(Table146[Quantity],Table146[Company],$M$3,Table146[Date],$A235,Table146[Bill No.],$B235),""))))</f>
        <v/>
      </c>
      <c r="D235" s="346" t="str">
        <f>IF($A235="","",IF($J235="DIESEL",AVERAGEIFS(Table1[RSP],Table1[Customer],$M$3,Table1[Date],$A235,Table1[Bill No.],$B235),IF($J235="PETROL",AVERAGEIFS(Table14[RSP],Table14[Customer],$M$3,Table14[Date],$A235,Table14[Bill No.],$B235),IF($J235="XtraGreen",AVERAGEIFS(Table146[RSP],Table146[Company],$M$3,Table146[Date],$A235,Table146[Bill No.],$B235),IFERROR($E235/$C235,"")))))</f>
        <v/>
      </c>
      <c r="E235" s="347" t="str">
        <f>IF($A235="","",IF($J235="DIESEL",SUMIFS(Table1[Amount],Table1[Customer],$M$3,Table1[Date],$A235,Table1[Bill No.],$B235),IF($J235="PETROL",SUMIFS(Table14[Amount],Table14[Customer],$M$3,Table14[Date],$A235,Table14[Bill No.],$B235),IF($J235="XtraGreen",SUMIFS(Table146[Amount],Table146[Company],$M$3,Table146[Date],$A235,Table146[Bill No.],$B235),SUMIFS('Other Sale'!$D:$D,'Other Sale'!$E:$E,$M$3,'Other Sale'!$C:$C,$J235,'Other Sale'!$A:$A,$A235)))))</f>
        <v/>
      </c>
      <c r="F235" s="347" t="str" cm="1">
        <f t="array" ref="F235">IF($A235="","",IF($J235="Payment",IFERROR(INDEX(_xlfn._xlws.FILTER(MasterPaid[Amount Paid],(MasterPaid[Customer]=$M$3)*(MasterPaid[Date]=$A235)),COUNTIFS($A$6:$A235,$A235,$J$6:$J235,"Payment")),0),0))</f>
        <v/>
      </c>
      <c r="G235" s="331"/>
      <c r="H235" s="427"/>
      <c r="I235" s="330" t="str">
        <f t="shared" si="12"/>
        <v/>
      </c>
      <c r="J235" s="344" t="str" cm="1">
        <f t="array" ref="J235">IFERROR(INDEX(_xlfn.ANCHORARRAY($P$6),ROW()-5,3),"")</f>
        <v/>
      </c>
      <c r="K235" s="432"/>
      <c r="L235" s="348"/>
    </row>
    <row r="236" spans="1:12" ht="23" x14ac:dyDescent="0.25">
      <c r="A236" s="217" t="str" cm="1">
        <f t="array" ref="A236">IFERROR(INDEX(_xlfn.ANCHORARRAY($P$6),ROW()-5,1),"")</f>
        <v/>
      </c>
      <c r="B236" s="344" t="str" cm="1">
        <f t="array" ref="B236">IFERROR(INDEX(_xlfn.ANCHORARRAY($P$6),ROW()-5,2),"")</f>
        <v/>
      </c>
      <c r="C236" s="345" t="str">
        <f>IF($A236="","",IF($J236="DIESEL",SUMIFS(Table1[Quantity],Table1[Customer],$M$3,Table1[Date],$A236,Table1[Bill No.],$B236),IF($J236="PETROL",SUMIFS(Table14[Quantity],Table14[Customer],$M$3,Table14[Date],$A236,Table14[Bill No.],$B236),IF($J236="XtraGreen",SUMIFS(Table146[Quantity],Table146[Company],$M$3,Table146[Date],$A236,Table146[Bill No.],$B236),""))))</f>
        <v/>
      </c>
      <c r="D236" s="346" t="str">
        <f>IF($A236="","",IF($J236="DIESEL",AVERAGEIFS(Table1[RSP],Table1[Customer],$M$3,Table1[Date],$A236,Table1[Bill No.],$B236),IF($J236="PETROL",AVERAGEIFS(Table14[RSP],Table14[Customer],$M$3,Table14[Date],$A236,Table14[Bill No.],$B236),IF($J236="XtraGreen",AVERAGEIFS(Table146[RSP],Table146[Company],$M$3,Table146[Date],$A236,Table146[Bill No.],$B236),IFERROR($E236/$C236,"")))))</f>
        <v/>
      </c>
      <c r="E236" s="347" t="str">
        <f>IF($A236="","",IF($J236="DIESEL",SUMIFS(Table1[Amount],Table1[Customer],$M$3,Table1[Date],$A236,Table1[Bill No.],$B236),IF($J236="PETROL",SUMIFS(Table14[Amount],Table14[Customer],$M$3,Table14[Date],$A236,Table14[Bill No.],$B236),IF($J236="XtraGreen",SUMIFS(Table146[Amount],Table146[Company],$M$3,Table146[Date],$A236,Table146[Bill No.],$B236),SUMIFS('Other Sale'!$D:$D,'Other Sale'!$E:$E,$M$3,'Other Sale'!$C:$C,$J236,'Other Sale'!$A:$A,$A236)))))</f>
        <v/>
      </c>
      <c r="F236" s="347" t="str" cm="1">
        <f t="array" ref="F236">IF($A236="","",IF($J236="Payment",IFERROR(INDEX(_xlfn._xlws.FILTER(MasterPaid[Amount Paid],(MasterPaid[Customer]=$M$3)*(MasterPaid[Date]=$A236)),COUNTIFS($A$6:$A236,$A236,$J$6:$J236,"Payment")),0),0))</f>
        <v/>
      </c>
      <c r="G236" s="331"/>
      <c r="H236" s="427"/>
      <c r="I236" s="330" t="str">
        <f t="shared" si="12"/>
        <v/>
      </c>
      <c r="J236" s="344" t="str" cm="1">
        <f t="array" ref="J236">IFERROR(INDEX(_xlfn.ANCHORARRAY($P$6),ROW()-5,3),"")</f>
        <v/>
      </c>
      <c r="K236" s="432"/>
      <c r="L236" s="348"/>
    </row>
    <row r="237" spans="1:12" ht="23" x14ac:dyDescent="0.25">
      <c r="A237" s="217" t="str" cm="1">
        <f t="array" ref="A237">IFERROR(INDEX(_xlfn.ANCHORARRAY($P$6),ROW()-5,1),"")</f>
        <v/>
      </c>
      <c r="B237" s="344" t="str" cm="1">
        <f t="array" ref="B237">IFERROR(INDEX(_xlfn.ANCHORARRAY($P$6),ROW()-5,2),"")</f>
        <v/>
      </c>
      <c r="C237" s="345" t="str">
        <f>IF($A237="","",IF($J237="DIESEL",SUMIFS(Table1[Quantity],Table1[Customer],$M$3,Table1[Date],$A237,Table1[Bill No.],$B237),IF($J237="PETROL",SUMIFS(Table14[Quantity],Table14[Customer],$M$3,Table14[Date],$A237,Table14[Bill No.],$B237),IF($J237="XtraGreen",SUMIFS(Table146[Quantity],Table146[Company],$M$3,Table146[Date],$A237,Table146[Bill No.],$B237),""))))</f>
        <v/>
      </c>
      <c r="D237" s="346" t="str">
        <f>IF($A237="","",IF($J237="DIESEL",AVERAGEIFS(Table1[RSP],Table1[Customer],$M$3,Table1[Date],$A237,Table1[Bill No.],$B237),IF($J237="PETROL",AVERAGEIFS(Table14[RSP],Table14[Customer],$M$3,Table14[Date],$A237,Table14[Bill No.],$B237),IF($J237="XtraGreen",AVERAGEIFS(Table146[RSP],Table146[Company],$M$3,Table146[Date],$A237,Table146[Bill No.],$B237),IFERROR($E237/$C237,"")))))</f>
        <v/>
      </c>
      <c r="E237" s="347" t="str">
        <f>IF($A237="","",IF($J237="DIESEL",SUMIFS(Table1[Amount],Table1[Customer],$M$3,Table1[Date],$A237,Table1[Bill No.],$B237),IF($J237="PETROL",SUMIFS(Table14[Amount],Table14[Customer],$M$3,Table14[Date],$A237,Table14[Bill No.],$B237),IF($J237="XtraGreen",SUMIFS(Table146[Amount],Table146[Company],$M$3,Table146[Date],$A237,Table146[Bill No.],$B237),SUMIFS('Other Sale'!$D:$D,'Other Sale'!$E:$E,$M$3,'Other Sale'!$C:$C,$J237,'Other Sale'!$A:$A,$A237)))))</f>
        <v/>
      </c>
      <c r="F237" s="347" t="str" cm="1">
        <f t="array" ref="F237">IF($A237="","",IF($J237="Payment",IFERROR(INDEX(_xlfn._xlws.FILTER(MasterPaid[Amount Paid],(MasterPaid[Customer]=$M$3)*(MasterPaid[Date]=$A237)),COUNTIFS($A$6:$A237,$A237,$J$6:$J237,"Payment")),0),0))</f>
        <v/>
      </c>
      <c r="G237" s="331"/>
      <c r="H237" s="427"/>
      <c r="I237" s="330" t="str">
        <f t="shared" si="12"/>
        <v/>
      </c>
      <c r="J237" s="344" t="str" cm="1">
        <f t="array" ref="J237">IFERROR(INDEX(_xlfn.ANCHORARRAY($P$6),ROW()-5,3),"")</f>
        <v/>
      </c>
      <c r="K237" s="432"/>
      <c r="L237" s="348"/>
    </row>
    <row r="238" spans="1:12" ht="23" x14ac:dyDescent="0.25">
      <c r="A238" s="217" t="str" cm="1">
        <f t="array" ref="A238">IFERROR(INDEX(_xlfn.ANCHORARRAY($P$6),ROW()-5,1),"")</f>
        <v/>
      </c>
      <c r="B238" s="344" t="str" cm="1">
        <f t="array" ref="B238">IFERROR(INDEX(_xlfn.ANCHORARRAY($P$6),ROW()-5,2),"")</f>
        <v/>
      </c>
      <c r="C238" s="345" t="str">
        <f>IF($A238="","",IF($J238="DIESEL",SUMIFS(Table1[Quantity],Table1[Customer],$M$3,Table1[Date],$A238,Table1[Bill No.],$B238),IF($J238="PETROL",SUMIFS(Table14[Quantity],Table14[Customer],$M$3,Table14[Date],$A238,Table14[Bill No.],$B238),IF($J238="XtraGreen",SUMIFS(Table146[Quantity],Table146[Company],$M$3,Table146[Date],$A238,Table146[Bill No.],$B238),""))))</f>
        <v/>
      </c>
      <c r="D238" s="346" t="str">
        <f>IF($A238="","",IF($J238="DIESEL",AVERAGEIFS(Table1[RSP],Table1[Customer],$M$3,Table1[Date],$A238,Table1[Bill No.],$B238),IF($J238="PETROL",AVERAGEIFS(Table14[RSP],Table14[Customer],$M$3,Table14[Date],$A238,Table14[Bill No.],$B238),IF($J238="XtraGreen",AVERAGEIFS(Table146[RSP],Table146[Company],$M$3,Table146[Date],$A238,Table146[Bill No.],$B238),IFERROR($E238/$C238,"")))))</f>
        <v/>
      </c>
      <c r="E238" s="347" t="str">
        <f>IF($A238="","",IF($J238="DIESEL",SUMIFS(Table1[Amount],Table1[Customer],$M$3,Table1[Date],$A238,Table1[Bill No.],$B238),IF($J238="PETROL",SUMIFS(Table14[Amount],Table14[Customer],$M$3,Table14[Date],$A238,Table14[Bill No.],$B238),IF($J238="XtraGreen",SUMIFS(Table146[Amount],Table146[Company],$M$3,Table146[Date],$A238,Table146[Bill No.],$B238),SUMIFS('Other Sale'!$D:$D,'Other Sale'!$E:$E,$M$3,'Other Sale'!$C:$C,$J238,'Other Sale'!$A:$A,$A238)))))</f>
        <v/>
      </c>
      <c r="F238" s="347" t="str" cm="1">
        <f t="array" ref="F238">IF($A238="","",IF($J238="Payment",IFERROR(INDEX(_xlfn._xlws.FILTER(MasterPaid[Amount Paid],(MasterPaid[Customer]=$M$3)*(MasterPaid[Date]=$A238)),COUNTIFS($A$6:$A238,$A238,$J$6:$J238,"Payment")),0),0))</f>
        <v/>
      </c>
      <c r="G238" s="331"/>
      <c r="H238" s="427"/>
      <c r="I238" s="330" t="str">
        <f t="shared" si="12"/>
        <v/>
      </c>
      <c r="J238" s="344" t="str" cm="1">
        <f t="array" ref="J238">IFERROR(INDEX(_xlfn.ANCHORARRAY($P$6),ROW()-5,3),"")</f>
        <v/>
      </c>
      <c r="K238" s="432"/>
      <c r="L238" s="348"/>
    </row>
    <row r="239" spans="1:12" ht="23" x14ac:dyDescent="0.25">
      <c r="A239" s="217" t="str" cm="1">
        <f t="array" ref="A239">IFERROR(INDEX(_xlfn.ANCHORARRAY($P$6),ROW()-5,1),"")</f>
        <v/>
      </c>
      <c r="B239" s="344" t="str" cm="1">
        <f t="array" ref="B239">IFERROR(INDEX(_xlfn.ANCHORARRAY($P$6),ROW()-5,2),"")</f>
        <v/>
      </c>
      <c r="C239" s="345" t="str">
        <f>IF($A239="","",IF($J239="DIESEL",SUMIFS(Table1[Quantity],Table1[Customer],$M$3,Table1[Date],$A239,Table1[Bill No.],$B239),IF($J239="PETROL",SUMIFS(Table14[Quantity],Table14[Customer],$M$3,Table14[Date],$A239,Table14[Bill No.],$B239),IF($J239="XtraGreen",SUMIFS(Table146[Quantity],Table146[Company],$M$3,Table146[Date],$A239,Table146[Bill No.],$B239),""))))</f>
        <v/>
      </c>
      <c r="D239" s="346" t="str">
        <f>IF($A239="","",IF($J239="DIESEL",AVERAGEIFS(Table1[RSP],Table1[Customer],$M$3,Table1[Date],$A239,Table1[Bill No.],$B239),IF($J239="PETROL",AVERAGEIFS(Table14[RSP],Table14[Customer],$M$3,Table14[Date],$A239,Table14[Bill No.],$B239),IF($J239="XtraGreen",AVERAGEIFS(Table146[RSP],Table146[Company],$M$3,Table146[Date],$A239,Table146[Bill No.],$B239),IFERROR($E239/$C239,"")))))</f>
        <v/>
      </c>
      <c r="E239" s="347" t="str">
        <f>IF($A239="","",IF($J239="DIESEL",SUMIFS(Table1[Amount],Table1[Customer],$M$3,Table1[Date],$A239,Table1[Bill No.],$B239),IF($J239="PETROL",SUMIFS(Table14[Amount],Table14[Customer],$M$3,Table14[Date],$A239,Table14[Bill No.],$B239),IF($J239="XtraGreen",SUMIFS(Table146[Amount],Table146[Company],$M$3,Table146[Date],$A239,Table146[Bill No.],$B239),SUMIFS('Other Sale'!$D:$D,'Other Sale'!$E:$E,$M$3,'Other Sale'!$C:$C,$J239,'Other Sale'!$A:$A,$A239)))))</f>
        <v/>
      </c>
      <c r="F239" s="347" t="str" cm="1">
        <f t="array" ref="F239">IF($A239="","",IF($J239="Payment",IFERROR(INDEX(_xlfn._xlws.FILTER(MasterPaid[Amount Paid],(MasterPaid[Customer]=$M$3)*(MasterPaid[Date]=$A239)),COUNTIFS($A$6:$A239,$A239,$J$6:$J239,"Payment")),0),0))</f>
        <v/>
      </c>
      <c r="G239" s="331"/>
      <c r="H239" s="427"/>
      <c r="I239" s="330" t="str">
        <f t="shared" si="12"/>
        <v/>
      </c>
      <c r="J239" s="344" t="str" cm="1">
        <f t="array" ref="J239">IFERROR(INDEX(_xlfn.ANCHORARRAY($P$6),ROW()-5,3),"")</f>
        <v/>
      </c>
      <c r="K239" s="432"/>
      <c r="L239" s="348"/>
    </row>
    <row r="240" spans="1:12" ht="23" x14ac:dyDescent="0.25">
      <c r="A240" s="217" t="str" cm="1">
        <f t="array" ref="A240">IFERROR(INDEX(_xlfn.ANCHORARRAY($P$6),ROW()-5,1),"")</f>
        <v/>
      </c>
      <c r="B240" s="344" t="str" cm="1">
        <f t="array" ref="B240">IFERROR(INDEX(_xlfn.ANCHORARRAY($P$6),ROW()-5,2),"")</f>
        <v/>
      </c>
      <c r="C240" s="345" t="str">
        <f>IF($A240="","",IF($J240="DIESEL",SUMIFS(Table1[Quantity],Table1[Customer],$M$3,Table1[Date],$A240,Table1[Bill No.],$B240),IF($J240="PETROL",SUMIFS(Table14[Quantity],Table14[Customer],$M$3,Table14[Date],$A240,Table14[Bill No.],$B240),IF($J240="XtraGreen",SUMIFS(Table146[Quantity],Table146[Company],$M$3,Table146[Date],$A240,Table146[Bill No.],$B240),""))))</f>
        <v/>
      </c>
      <c r="D240" s="346" t="str">
        <f>IF($A240="","",IF($J240="DIESEL",AVERAGEIFS(Table1[RSP],Table1[Customer],$M$3,Table1[Date],$A240,Table1[Bill No.],$B240),IF($J240="PETROL",AVERAGEIFS(Table14[RSP],Table14[Customer],$M$3,Table14[Date],$A240,Table14[Bill No.],$B240),IF($J240="XtraGreen",AVERAGEIFS(Table146[RSP],Table146[Company],$M$3,Table146[Date],$A240,Table146[Bill No.],$B240),IFERROR($E240/$C240,"")))))</f>
        <v/>
      </c>
      <c r="E240" s="347" t="str">
        <f>IF($A240="","",IF($J240="DIESEL",SUMIFS(Table1[Amount],Table1[Customer],$M$3,Table1[Date],$A240,Table1[Bill No.],$B240),IF($J240="PETROL",SUMIFS(Table14[Amount],Table14[Customer],$M$3,Table14[Date],$A240,Table14[Bill No.],$B240),IF($J240="XtraGreen",SUMIFS(Table146[Amount],Table146[Company],$M$3,Table146[Date],$A240,Table146[Bill No.],$B240),SUMIFS('Other Sale'!$D:$D,'Other Sale'!$E:$E,$M$3,'Other Sale'!$C:$C,$J240,'Other Sale'!$A:$A,$A240)))))</f>
        <v/>
      </c>
      <c r="F240" s="347" t="str" cm="1">
        <f t="array" ref="F240">IF($A240="","",IF($J240="Payment",IFERROR(INDEX(_xlfn._xlws.FILTER(MasterPaid[Amount Paid],(MasterPaid[Customer]=$M$3)*(MasterPaid[Date]=$A240)),COUNTIFS($A$6:$A240,$A240,$J$6:$J240,"Payment")),0),0))</f>
        <v/>
      </c>
      <c r="G240" s="331"/>
      <c r="H240" s="427"/>
      <c r="I240" s="330" t="str">
        <f t="shared" si="12"/>
        <v/>
      </c>
      <c r="J240" s="344" t="str" cm="1">
        <f t="array" ref="J240">IFERROR(INDEX(_xlfn.ANCHORARRAY($P$6),ROW()-5,3),"")</f>
        <v/>
      </c>
      <c r="K240" s="432"/>
      <c r="L240" s="348"/>
    </row>
    <row r="241" spans="1:12" ht="23" x14ac:dyDescent="0.25">
      <c r="A241" s="217" t="str" cm="1">
        <f t="array" ref="A241">IFERROR(INDEX(_xlfn.ANCHORARRAY($P$6),ROW()-5,1),"")</f>
        <v/>
      </c>
      <c r="B241" s="344" t="str" cm="1">
        <f t="array" ref="B241">IFERROR(INDEX(_xlfn.ANCHORARRAY($P$6),ROW()-5,2),"")</f>
        <v/>
      </c>
      <c r="C241" s="345" t="str">
        <f>IF($A241="","",IF($J241="DIESEL",SUMIFS(Table1[Quantity],Table1[Customer],$M$3,Table1[Date],$A241,Table1[Bill No.],$B241),IF($J241="PETROL",SUMIFS(Table14[Quantity],Table14[Customer],$M$3,Table14[Date],$A241,Table14[Bill No.],$B241),IF($J241="XtraGreen",SUMIFS(Table146[Quantity],Table146[Company],$M$3,Table146[Date],$A241,Table146[Bill No.],$B241),""))))</f>
        <v/>
      </c>
      <c r="D241" s="346" t="str">
        <f>IF($A241="","",IF($J241="DIESEL",AVERAGEIFS(Table1[RSP],Table1[Customer],$M$3,Table1[Date],$A241,Table1[Bill No.],$B241),IF($J241="PETROL",AVERAGEIFS(Table14[RSP],Table14[Customer],$M$3,Table14[Date],$A241,Table14[Bill No.],$B241),IF($J241="XtraGreen",AVERAGEIFS(Table146[RSP],Table146[Company],$M$3,Table146[Date],$A241,Table146[Bill No.],$B241),IFERROR($E241/$C241,"")))))</f>
        <v/>
      </c>
      <c r="E241" s="347" t="str">
        <f>IF($A241="","",IF($J241="DIESEL",SUMIFS(Table1[Amount],Table1[Customer],$M$3,Table1[Date],$A241,Table1[Bill No.],$B241),IF($J241="PETROL",SUMIFS(Table14[Amount],Table14[Customer],$M$3,Table14[Date],$A241,Table14[Bill No.],$B241),IF($J241="XtraGreen",SUMIFS(Table146[Amount],Table146[Company],$M$3,Table146[Date],$A241,Table146[Bill No.],$B241),SUMIFS('Other Sale'!$D:$D,'Other Sale'!$E:$E,$M$3,'Other Sale'!$C:$C,$J241,'Other Sale'!$A:$A,$A241)))))</f>
        <v/>
      </c>
      <c r="F241" s="347" t="str" cm="1">
        <f t="array" ref="F241">IF($A241="","",IF($J241="Payment",IFERROR(INDEX(_xlfn._xlws.FILTER(MasterPaid[Amount Paid],(MasterPaid[Customer]=$M$3)*(MasterPaid[Date]=$A241)),COUNTIFS($A$6:$A241,$A241,$J$6:$J241,"Payment")),0),0))</f>
        <v/>
      </c>
      <c r="G241" s="331"/>
      <c r="H241" s="427"/>
      <c r="I241" s="330" t="str">
        <f t="shared" si="12"/>
        <v/>
      </c>
      <c r="J241" s="344" t="str" cm="1">
        <f t="array" ref="J241">IFERROR(INDEX(_xlfn.ANCHORARRAY($P$6),ROW()-5,3),"")</f>
        <v/>
      </c>
      <c r="K241" s="432"/>
      <c r="L241" s="348"/>
    </row>
    <row r="242" spans="1:12" ht="23" x14ac:dyDescent="0.25">
      <c r="A242" s="217" t="str" cm="1">
        <f t="array" ref="A242">IFERROR(INDEX(_xlfn.ANCHORARRAY($P$6),ROW()-5,1),"")</f>
        <v/>
      </c>
      <c r="B242" s="344" t="str" cm="1">
        <f t="array" ref="B242">IFERROR(INDEX(_xlfn.ANCHORARRAY($P$6),ROW()-5,2),"")</f>
        <v/>
      </c>
      <c r="C242" s="345" t="str">
        <f>IF($A242="","",IF($J242="DIESEL",SUMIFS(Table1[Quantity],Table1[Customer],$M$3,Table1[Date],$A242,Table1[Bill No.],$B242),IF($J242="PETROL",SUMIFS(Table14[Quantity],Table14[Customer],$M$3,Table14[Date],$A242,Table14[Bill No.],$B242),IF($J242="XtraGreen",SUMIFS(Table146[Quantity],Table146[Company],$M$3,Table146[Date],$A242,Table146[Bill No.],$B242),""))))</f>
        <v/>
      </c>
      <c r="D242" s="346" t="str">
        <f>IF($A242="","",IF($J242="DIESEL",AVERAGEIFS(Table1[RSP],Table1[Customer],$M$3,Table1[Date],$A242,Table1[Bill No.],$B242),IF($J242="PETROL",AVERAGEIFS(Table14[RSP],Table14[Customer],$M$3,Table14[Date],$A242,Table14[Bill No.],$B242),IF($J242="XtraGreen",AVERAGEIFS(Table146[RSP],Table146[Company],$M$3,Table146[Date],$A242,Table146[Bill No.],$B242),IFERROR($E242/$C242,"")))))</f>
        <v/>
      </c>
      <c r="E242" s="347" t="str">
        <f>IF($A242="","",IF($J242="DIESEL",SUMIFS(Table1[Amount],Table1[Customer],$M$3,Table1[Date],$A242,Table1[Bill No.],$B242),IF($J242="PETROL",SUMIFS(Table14[Amount],Table14[Customer],$M$3,Table14[Date],$A242,Table14[Bill No.],$B242),IF($J242="XtraGreen",SUMIFS(Table146[Amount],Table146[Company],$M$3,Table146[Date],$A242,Table146[Bill No.],$B242),SUMIFS('Other Sale'!$D:$D,'Other Sale'!$E:$E,$M$3,'Other Sale'!$C:$C,$J242,'Other Sale'!$A:$A,$A242)))))</f>
        <v/>
      </c>
      <c r="F242" s="347" t="str" cm="1">
        <f t="array" ref="F242">IF($A242="","",IF($J242="Payment",IFERROR(INDEX(_xlfn._xlws.FILTER(MasterPaid[Amount Paid],(MasterPaid[Customer]=$M$3)*(MasterPaid[Date]=$A242)),COUNTIFS($A$6:$A242,$A242,$J$6:$J242,"Payment")),0),0))</f>
        <v/>
      </c>
      <c r="G242" s="331"/>
      <c r="H242" s="427"/>
      <c r="I242" s="330" t="str">
        <f t="shared" si="12"/>
        <v/>
      </c>
      <c r="J242" s="344" t="str" cm="1">
        <f t="array" ref="J242">IFERROR(INDEX(_xlfn.ANCHORARRAY($P$6),ROW()-5,3),"")</f>
        <v/>
      </c>
      <c r="K242" s="432"/>
      <c r="L242" s="348"/>
    </row>
    <row r="243" spans="1:12" ht="23" x14ac:dyDescent="0.25">
      <c r="A243" s="217" t="str" cm="1">
        <f t="array" ref="A243">IFERROR(INDEX(_xlfn.ANCHORARRAY($P$6),ROW()-5,1),"")</f>
        <v/>
      </c>
      <c r="B243" s="344" t="str" cm="1">
        <f t="array" ref="B243">IFERROR(INDEX(_xlfn.ANCHORARRAY($P$6),ROW()-5,2),"")</f>
        <v/>
      </c>
      <c r="C243" s="345" t="str">
        <f>IF($A243="","",IF($J243="DIESEL",SUMIFS(Table1[Quantity],Table1[Customer],$M$3,Table1[Date],$A243,Table1[Bill No.],$B243),IF($J243="PETROL",SUMIFS(Table14[Quantity],Table14[Customer],$M$3,Table14[Date],$A243,Table14[Bill No.],$B243),IF($J243="XtraGreen",SUMIFS(Table146[Quantity],Table146[Company],$M$3,Table146[Date],$A243,Table146[Bill No.],$B243),""))))</f>
        <v/>
      </c>
      <c r="D243" s="346" t="str">
        <f>IF($A243="","",IF($J243="DIESEL",AVERAGEIFS(Table1[RSP],Table1[Customer],$M$3,Table1[Date],$A243,Table1[Bill No.],$B243),IF($J243="PETROL",AVERAGEIFS(Table14[RSP],Table14[Customer],$M$3,Table14[Date],$A243,Table14[Bill No.],$B243),IF($J243="XtraGreen",AVERAGEIFS(Table146[RSP],Table146[Company],$M$3,Table146[Date],$A243,Table146[Bill No.],$B243),IFERROR($E243/$C243,"")))))</f>
        <v/>
      </c>
      <c r="E243" s="347" t="str">
        <f>IF($A243="","",IF($J243="DIESEL",SUMIFS(Table1[Amount],Table1[Customer],$M$3,Table1[Date],$A243,Table1[Bill No.],$B243),IF($J243="PETROL",SUMIFS(Table14[Amount],Table14[Customer],$M$3,Table14[Date],$A243,Table14[Bill No.],$B243),IF($J243="XtraGreen",SUMIFS(Table146[Amount],Table146[Company],$M$3,Table146[Date],$A243,Table146[Bill No.],$B243),SUMIFS('Other Sale'!$D:$D,'Other Sale'!$E:$E,$M$3,'Other Sale'!$C:$C,$J243,'Other Sale'!$A:$A,$A243)))))</f>
        <v/>
      </c>
      <c r="F243" s="347" t="str" cm="1">
        <f t="array" ref="F243">IF($A243="","",IF($J243="Payment",IFERROR(INDEX(_xlfn._xlws.FILTER(MasterPaid[Amount Paid],(MasterPaid[Customer]=$M$3)*(MasterPaid[Date]=$A243)),COUNTIFS($A$6:$A243,$A243,$J$6:$J243,"Payment")),0),0))</f>
        <v/>
      </c>
      <c r="G243" s="331"/>
      <c r="H243" s="427"/>
      <c r="I243" s="330" t="str">
        <f t="shared" si="12"/>
        <v/>
      </c>
      <c r="J243" s="344" t="str" cm="1">
        <f t="array" ref="J243">IFERROR(INDEX(_xlfn.ANCHORARRAY($P$6),ROW()-5,3),"")</f>
        <v/>
      </c>
      <c r="K243" s="432"/>
      <c r="L243" s="348"/>
    </row>
    <row r="244" spans="1:12" ht="23" x14ac:dyDescent="0.25">
      <c r="A244" s="217" t="str" cm="1">
        <f t="array" ref="A244">IFERROR(INDEX(_xlfn.ANCHORARRAY($P$6),ROW()-5,1),"")</f>
        <v/>
      </c>
      <c r="B244" s="344" t="str" cm="1">
        <f t="array" ref="B244">IFERROR(INDEX(_xlfn.ANCHORARRAY($P$6),ROW()-5,2),"")</f>
        <v/>
      </c>
      <c r="C244" s="345" t="str">
        <f>IF($A244="","",IF($J244="DIESEL",SUMIFS(Table1[Quantity],Table1[Customer],$M$3,Table1[Date],$A244,Table1[Bill No.],$B244),IF($J244="PETROL",SUMIFS(Table14[Quantity],Table14[Customer],$M$3,Table14[Date],$A244,Table14[Bill No.],$B244),IF($J244="XtraGreen",SUMIFS(Table146[Quantity],Table146[Company],$M$3,Table146[Date],$A244,Table146[Bill No.],$B244),""))))</f>
        <v/>
      </c>
      <c r="D244" s="346" t="str">
        <f>IF($A244="","",IF($J244="DIESEL",AVERAGEIFS(Table1[RSP],Table1[Customer],$M$3,Table1[Date],$A244,Table1[Bill No.],$B244),IF($J244="PETROL",AVERAGEIFS(Table14[RSP],Table14[Customer],$M$3,Table14[Date],$A244,Table14[Bill No.],$B244),IF($J244="XtraGreen",AVERAGEIFS(Table146[RSP],Table146[Company],$M$3,Table146[Date],$A244,Table146[Bill No.],$B244),IFERROR($E244/$C244,"")))))</f>
        <v/>
      </c>
      <c r="E244" s="347" t="str">
        <f>IF($A244="","",IF($J244="DIESEL",SUMIFS(Table1[Amount],Table1[Customer],$M$3,Table1[Date],$A244,Table1[Bill No.],$B244),IF($J244="PETROL",SUMIFS(Table14[Amount],Table14[Customer],$M$3,Table14[Date],$A244,Table14[Bill No.],$B244),IF($J244="XtraGreen",SUMIFS(Table146[Amount],Table146[Company],$M$3,Table146[Date],$A244,Table146[Bill No.],$B244),SUMIFS('Other Sale'!$D:$D,'Other Sale'!$E:$E,$M$3,'Other Sale'!$C:$C,$J244,'Other Sale'!$A:$A,$A244)))))</f>
        <v/>
      </c>
      <c r="F244" s="347" t="str" cm="1">
        <f t="array" ref="F244">IF($A244="","",IF($J244="Payment",IFERROR(INDEX(_xlfn._xlws.FILTER(MasterPaid[Amount Paid],(MasterPaid[Customer]=$M$3)*(MasterPaid[Date]=$A244)),COUNTIFS($A$6:$A244,$A244,$J$6:$J244,"Payment")),0),0))</f>
        <v/>
      </c>
      <c r="G244" s="331"/>
      <c r="H244" s="427"/>
      <c r="I244" s="330" t="str">
        <f t="shared" si="12"/>
        <v/>
      </c>
      <c r="J244" s="344" t="str" cm="1">
        <f t="array" ref="J244">IFERROR(INDEX(_xlfn.ANCHORARRAY($P$6),ROW()-5,3),"")</f>
        <v/>
      </c>
      <c r="K244" s="432"/>
      <c r="L244" s="348"/>
    </row>
    <row r="245" spans="1:12" ht="23" x14ac:dyDescent="0.25">
      <c r="A245" s="217" t="str" cm="1">
        <f t="array" ref="A245">IFERROR(INDEX(_xlfn.ANCHORARRAY($P$6),ROW()-5,1),"")</f>
        <v/>
      </c>
      <c r="B245" s="344" t="str" cm="1">
        <f t="array" ref="B245">IFERROR(INDEX(_xlfn.ANCHORARRAY($P$6),ROW()-5,2),"")</f>
        <v/>
      </c>
      <c r="C245" s="345" t="str">
        <f>IF($A245="","",IF($J245="DIESEL",SUMIFS(Table1[Quantity],Table1[Customer],$M$3,Table1[Date],$A245,Table1[Bill No.],$B245),IF($J245="PETROL",SUMIFS(Table14[Quantity],Table14[Customer],$M$3,Table14[Date],$A245,Table14[Bill No.],$B245),IF($J245="XtraGreen",SUMIFS(Table146[Quantity],Table146[Company],$M$3,Table146[Date],$A245,Table146[Bill No.],$B245),""))))</f>
        <v/>
      </c>
      <c r="D245" s="346" t="str">
        <f>IF($A245="","",IF($J245="DIESEL",AVERAGEIFS(Table1[RSP],Table1[Customer],$M$3,Table1[Date],$A245,Table1[Bill No.],$B245),IF($J245="PETROL",AVERAGEIFS(Table14[RSP],Table14[Customer],$M$3,Table14[Date],$A245,Table14[Bill No.],$B245),IF($J245="XtraGreen",AVERAGEIFS(Table146[RSP],Table146[Company],$M$3,Table146[Date],$A245,Table146[Bill No.],$B245),IFERROR($E245/$C245,"")))))</f>
        <v/>
      </c>
      <c r="E245" s="347" t="str">
        <f>IF($A245="","",IF($J245="DIESEL",SUMIFS(Table1[Amount],Table1[Customer],$M$3,Table1[Date],$A245,Table1[Bill No.],$B245),IF($J245="PETROL",SUMIFS(Table14[Amount],Table14[Customer],$M$3,Table14[Date],$A245,Table14[Bill No.],$B245),IF($J245="XtraGreen",SUMIFS(Table146[Amount],Table146[Company],$M$3,Table146[Date],$A245,Table146[Bill No.],$B245),SUMIFS('Other Sale'!$D:$D,'Other Sale'!$E:$E,$M$3,'Other Sale'!$C:$C,$J245,'Other Sale'!$A:$A,$A245)))))</f>
        <v/>
      </c>
      <c r="F245" s="347" t="str" cm="1">
        <f t="array" ref="F245">IF($A245="","",IF($J245="Payment",IFERROR(INDEX(_xlfn._xlws.FILTER(MasterPaid[Amount Paid],(MasterPaid[Customer]=$M$3)*(MasterPaid[Date]=$A245)),COUNTIFS($A$6:$A245,$A245,$J$6:$J245,"Payment")),0),0))</f>
        <v/>
      </c>
      <c r="G245" s="331"/>
      <c r="H245" s="427"/>
      <c r="I245" s="330" t="str">
        <f t="shared" si="12"/>
        <v/>
      </c>
      <c r="J245" s="344" t="str" cm="1">
        <f t="array" ref="J245">IFERROR(INDEX(_xlfn.ANCHORARRAY($P$6),ROW()-5,3),"")</f>
        <v/>
      </c>
      <c r="K245" s="432"/>
      <c r="L245" s="348"/>
    </row>
    <row r="246" spans="1:12" ht="23" x14ac:dyDescent="0.25">
      <c r="A246" s="217" t="str" cm="1">
        <f t="array" ref="A246">IFERROR(INDEX(_xlfn.ANCHORARRAY($P$6),ROW()-5,1),"")</f>
        <v/>
      </c>
      <c r="B246" s="344" t="str" cm="1">
        <f t="array" ref="B246">IFERROR(INDEX(_xlfn.ANCHORARRAY($P$6),ROW()-5,2),"")</f>
        <v/>
      </c>
      <c r="C246" s="345" t="str">
        <f>IF($A246="","",IF($J246="DIESEL",SUMIFS(Table1[Quantity],Table1[Customer],$M$3,Table1[Date],$A246,Table1[Bill No.],$B246),IF($J246="PETROL",SUMIFS(Table14[Quantity],Table14[Customer],$M$3,Table14[Date],$A246,Table14[Bill No.],$B246),IF($J246="XtraGreen",SUMIFS(Table146[Quantity],Table146[Company],$M$3,Table146[Date],$A246,Table146[Bill No.],$B246),""))))</f>
        <v/>
      </c>
      <c r="D246" s="346" t="str">
        <f>IF($A246="","",IF($J246="DIESEL",AVERAGEIFS(Table1[RSP],Table1[Customer],$M$3,Table1[Date],$A246,Table1[Bill No.],$B246),IF($J246="PETROL",AVERAGEIFS(Table14[RSP],Table14[Customer],$M$3,Table14[Date],$A246,Table14[Bill No.],$B246),IF($J246="XtraGreen",AVERAGEIFS(Table146[RSP],Table146[Company],$M$3,Table146[Date],$A246,Table146[Bill No.],$B246),IFERROR($E246/$C246,"")))))</f>
        <v/>
      </c>
      <c r="E246" s="347" t="str">
        <f>IF($A246="","",IF($J246="DIESEL",SUMIFS(Table1[Amount],Table1[Customer],$M$3,Table1[Date],$A246,Table1[Bill No.],$B246),IF($J246="PETROL",SUMIFS(Table14[Amount],Table14[Customer],$M$3,Table14[Date],$A246,Table14[Bill No.],$B246),IF($J246="XtraGreen",SUMIFS(Table146[Amount],Table146[Company],$M$3,Table146[Date],$A246,Table146[Bill No.],$B246),SUMIFS('Other Sale'!$D:$D,'Other Sale'!$E:$E,$M$3,'Other Sale'!$C:$C,$J246,'Other Sale'!$A:$A,$A246)))))</f>
        <v/>
      </c>
      <c r="F246" s="347" t="str" cm="1">
        <f t="array" ref="F246">IF($A246="","",IF($J246="Payment",IFERROR(INDEX(_xlfn._xlws.FILTER(MasterPaid[Amount Paid],(MasterPaid[Customer]=$M$3)*(MasterPaid[Date]=$A246)),COUNTIFS($A$6:$A246,$A246,$J$6:$J246,"Payment")),0),0))</f>
        <v/>
      </c>
      <c r="G246" s="331"/>
      <c r="H246" s="427"/>
      <c r="I246" s="330" t="str">
        <f t="shared" si="12"/>
        <v/>
      </c>
      <c r="J246" s="344" t="str" cm="1">
        <f t="array" ref="J246">IFERROR(INDEX(_xlfn.ANCHORARRAY($P$6),ROW()-5,3),"")</f>
        <v/>
      </c>
      <c r="K246" s="432"/>
      <c r="L246" s="348"/>
    </row>
    <row r="247" spans="1:12" ht="23" x14ac:dyDescent="0.25">
      <c r="A247" s="217" t="str" cm="1">
        <f t="array" ref="A247">IFERROR(INDEX(_xlfn.ANCHORARRAY($P$6),ROW()-5,1),"")</f>
        <v/>
      </c>
      <c r="B247" s="344" t="str" cm="1">
        <f t="array" ref="B247">IFERROR(INDEX(_xlfn.ANCHORARRAY($P$6),ROW()-5,2),"")</f>
        <v/>
      </c>
      <c r="C247" s="345" t="str">
        <f>IF($A247="","",IF($J247="DIESEL",SUMIFS(Table1[Quantity],Table1[Customer],$M$3,Table1[Date],$A247,Table1[Bill No.],$B247),IF($J247="PETROL",SUMIFS(Table14[Quantity],Table14[Customer],$M$3,Table14[Date],$A247,Table14[Bill No.],$B247),IF($J247="XtraGreen",SUMIFS(Table146[Quantity],Table146[Company],$M$3,Table146[Date],$A247,Table146[Bill No.],$B247),""))))</f>
        <v/>
      </c>
      <c r="D247" s="346" t="str">
        <f>IF($A247="","",IF($J247="DIESEL",AVERAGEIFS(Table1[RSP],Table1[Customer],$M$3,Table1[Date],$A247,Table1[Bill No.],$B247),IF($J247="PETROL",AVERAGEIFS(Table14[RSP],Table14[Customer],$M$3,Table14[Date],$A247,Table14[Bill No.],$B247),IF($J247="XtraGreen",AVERAGEIFS(Table146[RSP],Table146[Company],$M$3,Table146[Date],$A247,Table146[Bill No.],$B247),IFERROR($E247/$C247,"")))))</f>
        <v/>
      </c>
      <c r="E247" s="347" t="str">
        <f>IF($A247="","",IF($J247="DIESEL",SUMIFS(Table1[Amount],Table1[Customer],$M$3,Table1[Date],$A247,Table1[Bill No.],$B247),IF($J247="PETROL",SUMIFS(Table14[Amount],Table14[Customer],$M$3,Table14[Date],$A247,Table14[Bill No.],$B247),IF($J247="XtraGreen",SUMIFS(Table146[Amount],Table146[Company],$M$3,Table146[Date],$A247,Table146[Bill No.],$B247),SUMIFS('Other Sale'!$D:$D,'Other Sale'!$E:$E,$M$3,'Other Sale'!$C:$C,$J247,'Other Sale'!$A:$A,$A247)))))</f>
        <v/>
      </c>
      <c r="F247" s="347" t="str" cm="1">
        <f t="array" ref="F247">IF($A247="","",IF($J247="Payment",IFERROR(INDEX(_xlfn._xlws.FILTER(MasterPaid[Amount Paid],(MasterPaid[Customer]=$M$3)*(MasterPaid[Date]=$A247)),COUNTIFS($A$6:$A247,$A247,$J$6:$J247,"Payment")),0),0))</f>
        <v/>
      </c>
      <c r="G247" s="331"/>
      <c r="H247" s="427"/>
      <c r="I247" s="330" t="str">
        <f t="shared" si="12"/>
        <v/>
      </c>
      <c r="J247" s="344" t="str" cm="1">
        <f t="array" ref="J247">IFERROR(INDEX(_xlfn.ANCHORARRAY($P$6),ROW()-5,3),"")</f>
        <v/>
      </c>
      <c r="K247" s="432"/>
      <c r="L247" s="348"/>
    </row>
    <row r="248" spans="1:12" ht="23" x14ac:dyDescent="0.25">
      <c r="A248" s="217" t="str" cm="1">
        <f t="array" ref="A248">IFERROR(INDEX(_xlfn.ANCHORARRAY($P$6),ROW()-5,1),"")</f>
        <v/>
      </c>
      <c r="B248" s="344" t="str" cm="1">
        <f t="array" ref="B248">IFERROR(INDEX(_xlfn.ANCHORARRAY($P$6),ROW()-5,2),"")</f>
        <v/>
      </c>
      <c r="C248" s="345" t="str">
        <f>IF($A248="","",IF($J248="DIESEL",SUMIFS(Table1[Quantity],Table1[Customer],$M$3,Table1[Date],$A248,Table1[Bill No.],$B248),IF($J248="PETROL",SUMIFS(Table14[Quantity],Table14[Customer],$M$3,Table14[Date],$A248,Table14[Bill No.],$B248),IF($J248="XtraGreen",SUMIFS(Table146[Quantity],Table146[Company],$M$3,Table146[Date],$A248,Table146[Bill No.],$B248),""))))</f>
        <v/>
      </c>
      <c r="D248" s="346" t="str">
        <f>IF($A248="","",IF($J248="DIESEL",AVERAGEIFS(Table1[RSP],Table1[Customer],$M$3,Table1[Date],$A248,Table1[Bill No.],$B248),IF($J248="PETROL",AVERAGEIFS(Table14[RSP],Table14[Customer],$M$3,Table14[Date],$A248,Table14[Bill No.],$B248),IF($J248="XtraGreen",AVERAGEIFS(Table146[RSP],Table146[Company],$M$3,Table146[Date],$A248,Table146[Bill No.],$B248),IFERROR($E248/$C248,"")))))</f>
        <v/>
      </c>
      <c r="E248" s="347" t="str">
        <f>IF($A248="","",IF($J248="DIESEL",SUMIFS(Table1[Amount],Table1[Customer],$M$3,Table1[Date],$A248,Table1[Bill No.],$B248),IF($J248="PETROL",SUMIFS(Table14[Amount],Table14[Customer],$M$3,Table14[Date],$A248,Table14[Bill No.],$B248),IF($J248="XtraGreen",SUMIFS(Table146[Amount],Table146[Company],$M$3,Table146[Date],$A248,Table146[Bill No.],$B248),SUMIFS('Other Sale'!$D:$D,'Other Sale'!$E:$E,$M$3,'Other Sale'!$C:$C,$J248,'Other Sale'!$A:$A,$A248)))))</f>
        <v/>
      </c>
      <c r="F248" s="347" t="str" cm="1">
        <f t="array" ref="F248">IF($A248="","",IF($J248="Payment",IFERROR(INDEX(_xlfn._xlws.FILTER(MasterPaid[Amount Paid],(MasterPaid[Customer]=$M$3)*(MasterPaid[Date]=$A248)),COUNTIFS($A$6:$A248,$A248,$J$6:$J248,"Payment")),0),0))</f>
        <v/>
      </c>
      <c r="G248" s="331"/>
      <c r="H248" s="427"/>
      <c r="I248" s="330" t="str">
        <f t="shared" si="12"/>
        <v/>
      </c>
      <c r="J248" s="344" t="str" cm="1">
        <f t="array" ref="J248">IFERROR(INDEX(_xlfn.ANCHORARRAY($P$6),ROW()-5,3),"")</f>
        <v/>
      </c>
      <c r="K248" s="432"/>
      <c r="L248" s="348"/>
    </row>
    <row r="249" spans="1:12" ht="23" x14ac:dyDescent="0.25">
      <c r="A249" s="217" t="str" cm="1">
        <f t="array" ref="A249">IFERROR(INDEX(_xlfn.ANCHORARRAY($P$6),ROW()-5,1),"")</f>
        <v/>
      </c>
      <c r="B249" s="344" t="str" cm="1">
        <f t="array" ref="B249">IFERROR(INDEX(_xlfn.ANCHORARRAY($P$6),ROW()-5,2),"")</f>
        <v/>
      </c>
      <c r="C249" s="345" t="str">
        <f>IF($A249="","",IF($J249="DIESEL",SUMIFS(Table1[Quantity],Table1[Customer],$M$3,Table1[Date],$A249,Table1[Bill No.],$B249),IF($J249="PETROL",SUMIFS(Table14[Quantity],Table14[Customer],$M$3,Table14[Date],$A249,Table14[Bill No.],$B249),IF($J249="XtraGreen",SUMIFS(Table146[Quantity],Table146[Company],$M$3,Table146[Date],$A249,Table146[Bill No.],$B249),""))))</f>
        <v/>
      </c>
      <c r="D249" s="346" t="str">
        <f>IF($A249="","",IF($J249="DIESEL",AVERAGEIFS(Table1[RSP],Table1[Customer],$M$3,Table1[Date],$A249,Table1[Bill No.],$B249),IF($J249="PETROL",AVERAGEIFS(Table14[RSP],Table14[Customer],$M$3,Table14[Date],$A249,Table14[Bill No.],$B249),IF($J249="XtraGreen",AVERAGEIFS(Table146[RSP],Table146[Company],$M$3,Table146[Date],$A249,Table146[Bill No.],$B249),IFERROR($E249/$C249,"")))))</f>
        <v/>
      </c>
      <c r="E249" s="347" t="str">
        <f>IF($A249="","",IF($J249="DIESEL",SUMIFS(Table1[Amount],Table1[Customer],$M$3,Table1[Date],$A249,Table1[Bill No.],$B249),IF($J249="PETROL",SUMIFS(Table14[Amount],Table14[Customer],$M$3,Table14[Date],$A249,Table14[Bill No.],$B249),IF($J249="XtraGreen",SUMIFS(Table146[Amount],Table146[Company],$M$3,Table146[Date],$A249,Table146[Bill No.],$B249),SUMIFS('Other Sale'!$D:$D,'Other Sale'!$E:$E,$M$3,'Other Sale'!$C:$C,$J249,'Other Sale'!$A:$A,$A249)))))</f>
        <v/>
      </c>
      <c r="F249" s="347" t="str" cm="1">
        <f t="array" ref="F249">IF($A249="","",IF($J249="Payment",IFERROR(INDEX(_xlfn._xlws.FILTER(MasterPaid[Amount Paid],(MasterPaid[Customer]=$M$3)*(MasterPaid[Date]=$A249)),COUNTIFS($A$6:$A249,$A249,$J$6:$J249,"Payment")),0),0))</f>
        <v/>
      </c>
      <c r="G249" s="331"/>
      <c r="H249" s="427"/>
      <c r="I249" s="330" t="str">
        <f t="shared" si="12"/>
        <v/>
      </c>
      <c r="J249" s="344" t="str" cm="1">
        <f t="array" ref="J249">IFERROR(INDEX(_xlfn.ANCHORARRAY($P$6),ROW()-5,3),"")</f>
        <v/>
      </c>
      <c r="K249" s="432"/>
      <c r="L249" s="348"/>
    </row>
    <row r="250" spans="1:12" ht="23" x14ac:dyDescent="0.25">
      <c r="A250" s="217" t="str" cm="1">
        <f t="array" ref="A250">IFERROR(INDEX(_xlfn.ANCHORARRAY($P$6),ROW()-5,1),"")</f>
        <v/>
      </c>
      <c r="B250" s="344" t="str" cm="1">
        <f t="array" ref="B250">IFERROR(INDEX(_xlfn.ANCHORARRAY($P$6),ROW()-5,2),"")</f>
        <v/>
      </c>
      <c r="C250" s="345" t="str">
        <f>IF($A250="","",IF($J250="DIESEL",SUMIFS(Table1[Quantity],Table1[Customer],$M$3,Table1[Date],$A250,Table1[Bill No.],$B250),IF($J250="PETROL",SUMIFS(Table14[Quantity],Table14[Customer],$M$3,Table14[Date],$A250,Table14[Bill No.],$B250),IF($J250="XtraGreen",SUMIFS(Table146[Quantity],Table146[Company],$M$3,Table146[Date],$A250,Table146[Bill No.],$B250),""))))</f>
        <v/>
      </c>
      <c r="D250" s="346" t="str">
        <f>IF($A250="","",IF($J250="DIESEL",AVERAGEIFS(Table1[RSP],Table1[Customer],$M$3,Table1[Date],$A250,Table1[Bill No.],$B250),IF($J250="PETROL",AVERAGEIFS(Table14[RSP],Table14[Customer],$M$3,Table14[Date],$A250,Table14[Bill No.],$B250),IF($J250="XtraGreen",AVERAGEIFS(Table146[RSP],Table146[Company],$M$3,Table146[Date],$A250,Table146[Bill No.],$B250),IFERROR($E250/$C250,"")))))</f>
        <v/>
      </c>
      <c r="E250" s="347" t="str">
        <f>IF($A250="","",IF($J250="DIESEL",SUMIFS(Table1[Amount],Table1[Customer],$M$3,Table1[Date],$A250,Table1[Bill No.],$B250),IF($J250="PETROL",SUMIFS(Table14[Amount],Table14[Customer],$M$3,Table14[Date],$A250,Table14[Bill No.],$B250),IF($J250="XtraGreen",SUMIFS(Table146[Amount],Table146[Company],$M$3,Table146[Date],$A250,Table146[Bill No.],$B250),SUMIFS('Other Sale'!$D:$D,'Other Sale'!$E:$E,$M$3,'Other Sale'!$C:$C,$J250,'Other Sale'!$A:$A,$A250)))))</f>
        <v/>
      </c>
      <c r="F250" s="347" t="str" cm="1">
        <f t="array" ref="F250">IF($A250="","",IF($J250="Payment",IFERROR(INDEX(_xlfn._xlws.FILTER(MasterPaid[Amount Paid],(MasterPaid[Customer]=$M$3)*(MasterPaid[Date]=$A250)),COUNTIFS($A$6:$A250,$A250,$J$6:$J250,"Payment")),0),0))</f>
        <v/>
      </c>
      <c r="G250" s="331"/>
      <c r="H250" s="427"/>
      <c r="I250" s="330" t="str">
        <f t="shared" si="12"/>
        <v/>
      </c>
      <c r="J250" s="344" t="str" cm="1">
        <f t="array" ref="J250">IFERROR(INDEX(_xlfn.ANCHORARRAY($P$6),ROW()-5,3),"")</f>
        <v/>
      </c>
      <c r="K250" s="432"/>
      <c r="L250" s="348"/>
    </row>
    <row r="251" spans="1:12" ht="23" x14ac:dyDescent="0.25">
      <c r="A251" s="217" t="str" cm="1">
        <f t="array" ref="A251">IFERROR(INDEX(_xlfn.ANCHORARRAY($P$6),ROW()-5,1),"")</f>
        <v/>
      </c>
      <c r="B251" s="344" t="str" cm="1">
        <f t="array" ref="B251">IFERROR(INDEX(_xlfn.ANCHORARRAY($P$6),ROW()-5,2),"")</f>
        <v/>
      </c>
      <c r="C251" s="345" t="str">
        <f>IF($A251="","",IF($J251="DIESEL",SUMIFS(Table1[Quantity],Table1[Customer],$M$3,Table1[Date],$A251,Table1[Bill No.],$B251),IF($J251="PETROL",SUMIFS(Table14[Quantity],Table14[Customer],$M$3,Table14[Date],$A251,Table14[Bill No.],$B251),IF($J251="XtraGreen",SUMIFS(Table146[Quantity],Table146[Company],$M$3,Table146[Date],$A251,Table146[Bill No.],$B251),""))))</f>
        <v/>
      </c>
      <c r="D251" s="346" t="str">
        <f>IF($A251="","",IF($J251="DIESEL",AVERAGEIFS(Table1[RSP],Table1[Customer],$M$3,Table1[Date],$A251,Table1[Bill No.],$B251),IF($J251="PETROL",AVERAGEIFS(Table14[RSP],Table14[Customer],$M$3,Table14[Date],$A251,Table14[Bill No.],$B251),IF($J251="XtraGreen",AVERAGEIFS(Table146[RSP],Table146[Company],$M$3,Table146[Date],$A251,Table146[Bill No.],$B251),IFERROR($E251/$C251,"")))))</f>
        <v/>
      </c>
      <c r="E251" s="347" t="str">
        <f>IF($A251="","",IF($J251="DIESEL",SUMIFS(Table1[Amount],Table1[Customer],$M$3,Table1[Date],$A251,Table1[Bill No.],$B251),IF($J251="PETROL",SUMIFS(Table14[Amount],Table14[Customer],$M$3,Table14[Date],$A251,Table14[Bill No.],$B251),IF($J251="XtraGreen",SUMIFS(Table146[Amount],Table146[Company],$M$3,Table146[Date],$A251,Table146[Bill No.],$B251),SUMIFS('Other Sale'!$D:$D,'Other Sale'!$E:$E,$M$3,'Other Sale'!$C:$C,$J251,'Other Sale'!$A:$A,$A251)))))</f>
        <v/>
      </c>
      <c r="F251" s="347" t="str" cm="1">
        <f t="array" ref="F251">IF($A251="","",IF($J251="Payment",IFERROR(INDEX(_xlfn._xlws.FILTER(MasterPaid[Amount Paid],(MasterPaid[Customer]=$M$3)*(MasterPaid[Date]=$A251)),COUNTIFS($A$6:$A251,$A251,$J$6:$J251,"Payment")),0),0))</f>
        <v/>
      </c>
      <c r="G251" s="331"/>
      <c r="H251" s="427"/>
      <c r="I251" s="330" t="str">
        <f t="shared" si="12"/>
        <v/>
      </c>
      <c r="J251" s="344" t="str" cm="1">
        <f t="array" ref="J251">IFERROR(INDEX(_xlfn.ANCHORARRAY($P$6),ROW()-5,3),"")</f>
        <v/>
      </c>
      <c r="K251" s="432"/>
      <c r="L251" s="348"/>
    </row>
    <row r="252" spans="1:12" ht="23" x14ac:dyDescent="0.25">
      <c r="A252" s="217" t="str" cm="1">
        <f t="array" ref="A252">IFERROR(INDEX(_xlfn.ANCHORARRAY($P$6),ROW()-5,1),"")</f>
        <v/>
      </c>
      <c r="B252" s="344" t="str" cm="1">
        <f t="array" ref="B252">IFERROR(INDEX(_xlfn.ANCHORARRAY($P$6),ROW()-5,2),"")</f>
        <v/>
      </c>
      <c r="C252" s="345" t="str">
        <f>IF($A252="","",IF($J252="DIESEL",SUMIFS(Table1[Quantity],Table1[Customer],$M$3,Table1[Date],$A252,Table1[Bill No.],$B252),IF($J252="PETROL",SUMIFS(Table14[Quantity],Table14[Customer],$M$3,Table14[Date],$A252,Table14[Bill No.],$B252),IF($J252="XtraGreen",SUMIFS(Table146[Quantity],Table146[Company],$M$3,Table146[Date],$A252,Table146[Bill No.],$B252),""))))</f>
        <v/>
      </c>
      <c r="D252" s="346" t="str">
        <f>IF($A252="","",IF($J252="DIESEL",AVERAGEIFS(Table1[RSP],Table1[Customer],$M$3,Table1[Date],$A252,Table1[Bill No.],$B252),IF($J252="PETROL",AVERAGEIFS(Table14[RSP],Table14[Customer],$M$3,Table14[Date],$A252,Table14[Bill No.],$B252),IF($J252="XtraGreen",AVERAGEIFS(Table146[RSP],Table146[Company],$M$3,Table146[Date],$A252,Table146[Bill No.],$B252),IFERROR($E252/$C252,"")))))</f>
        <v/>
      </c>
      <c r="E252" s="347" t="str">
        <f>IF($A252="","",IF($J252="DIESEL",SUMIFS(Table1[Amount],Table1[Customer],$M$3,Table1[Date],$A252,Table1[Bill No.],$B252),IF($J252="PETROL",SUMIFS(Table14[Amount],Table14[Customer],$M$3,Table14[Date],$A252,Table14[Bill No.],$B252),IF($J252="XtraGreen",SUMIFS(Table146[Amount],Table146[Company],$M$3,Table146[Date],$A252,Table146[Bill No.],$B252),SUMIFS('Other Sale'!$D:$D,'Other Sale'!$E:$E,$M$3,'Other Sale'!$C:$C,$J252,'Other Sale'!$A:$A,$A252)))))</f>
        <v/>
      </c>
      <c r="F252" s="347" t="str" cm="1">
        <f t="array" ref="F252">IF($A252="","",IF($J252="Payment",IFERROR(INDEX(_xlfn._xlws.FILTER(MasterPaid[Amount Paid],(MasterPaid[Customer]=$M$3)*(MasterPaid[Date]=$A252)),COUNTIFS($A$6:$A252,$A252,$J$6:$J252,"Payment")),0),0))</f>
        <v/>
      </c>
      <c r="G252" s="331"/>
      <c r="H252" s="427"/>
      <c r="I252" s="330" t="str">
        <f t="shared" si="12"/>
        <v/>
      </c>
      <c r="J252" s="344" t="str" cm="1">
        <f t="array" ref="J252">IFERROR(INDEX(_xlfn.ANCHORARRAY($P$6),ROW()-5,3),"")</f>
        <v/>
      </c>
      <c r="K252" s="432"/>
      <c r="L252" s="348"/>
    </row>
    <row r="253" spans="1:12" ht="23" x14ac:dyDescent="0.25">
      <c r="A253" s="217" t="str" cm="1">
        <f t="array" ref="A253">IFERROR(INDEX(_xlfn.ANCHORARRAY($P$6),ROW()-5,1),"")</f>
        <v/>
      </c>
      <c r="B253" s="344" t="str" cm="1">
        <f t="array" ref="B253">IFERROR(INDEX(_xlfn.ANCHORARRAY($P$6),ROW()-5,2),"")</f>
        <v/>
      </c>
      <c r="C253" s="345" t="str">
        <f>IF($A253="","",IF($J253="DIESEL",SUMIFS(Table1[Quantity],Table1[Customer],$M$3,Table1[Date],$A253,Table1[Bill No.],$B253),IF($J253="PETROL",SUMIFS(Table14[Quantity],Table14[Customer],$M$3,Table14[Date],$A253,Table14[Bill No.],$B253),IF($J253="XtraGreen",SUMIFS(Table146[Quantity],Table146[Company],$M$3,Table146[Date],$A253,Table146[Bill No.],$B253),""))))</f>
        <v/>
      </c>
      <c r="D253" s="346" t="str">
        <f>IF($A253="","",IF($J253="DIESEL",AVERAGEIFS(Table1[RSP],Table1[Customer],$M$3,Table1[Date],$A253,Table1[Bill No.],$B253),IF($J253="PETROL",AVERAGEIFS(Table14[RSP],Table14[Customer],$M$3,Table14[Date],$A253,Table14[Bill No.],$B253),IF($J253="XtraGreen",AVERAGEIFS(Table146[RSP],Table146[Company],$M$3,Table146[Date],$A253,Table146[Bill No.],$B253),IFERROR($E253/$C253,"")))))</f>
        <v/>
      </c>
      <c r="E253" s="347" t="str">
        <f>IF($A253="","",IF($J253="DIESEL",SUMIFS(Table1[Amount],Table1[Customer],$M$3,Table1[Date],$A253,Table1[Bill No.],$B253),IF($J253="PETROL",SUMIFS(Table14[Amount],Table14[Customer],$M$3,Table14[Date],$A253,Table14[Bill No.],$B253),IF($J253="XtraGreen",SUMIFS(Table146[Amount],Table146[Company],$M$3,Table146[Date],$A253,Table146[Bill No.],$B253),SUMIFS('Other Sale'!$D:$D,'Other Sale'!$E:$E,$M$3,'Other Sale'!$C:$C,$J253,'Other Sale'!$A:$A,$A253)))))</f>
        <v/>
      </c>
      <c r="F253" s="347" t="str" cm="1">
        <f t="array" ref="F253">IF($A253="","",IF($J253="Payment",IFERROR(INDEX(_xlfn._xlws.FILTER(MasterPaid[Amount Paid],(MasterPaid[Customer]=$M$3)*(MasterPaid[Date]=$A253)),COUNTIFS($A$6:$A253,$A253,$J$6:$J253,"Payment")),0),0))</f>
        <v/>
      </c>
      <c r="G253" s="331"/>
      <c r="H253" s="427"/>
      <c r="I253" s="330" t="str">
        <f t="shared" si="12"/>
        <v/>
      </c>
      <c r="J253" s="344" t="str" cm="1">
        <f t="array" ref="J253">IFERROR(INDEX(_xlfn.ANCHORARRAY($P$6),ROW()-5,3),"")</f>
        <v/>
      </c>
      <c r="K253" s="432"/>
      <c r="L253" s="348"/>
    </row>
    <row r="254" spans="1:12" ht="23" x14ac:dyDescent="0.25">
      <c r="A254" s="217" t="str" cm="1">
        <f t="array" ref="A254">IFERROR(INDEX(_xlfn.ANCHORARRAY($P$6),ROW()-5,1),"")</f>
        <v/>
      </c>
      <c r="B254" s="344" t="str" cm="1">
        <f t="array" ref="B254">IFERROR(INDEX(_xlfn.ANCHORARRAY($P$6),ROW()-5,2),"")</f>
        <v/>
      </c>
      <c r="C254" s="345" t="str">
        <f>IF($A254="","",IF($J254="DIESEL",SUMIFS(Table1[Quantity],Table1[Customer],$M$3,Table1[Date],$A254,Table1[Bill No.],$B254),IF($J254="PETROL",SUMIFS(Table14[Quantity],Table14[Customer],$M$3,Table14[Date],$A254,Table14[Bill No.],$B254),IF($J254="XtraGreen",SUMIFS(Table146[Quantity],Table146[Company],$M$3,Table146[Date],$A254,Table146[Bill No.],$B254),""))))</f>
        <v/>
      </c>
      <c r="D254" s="346" t="str">
        <f>IF($A254="","",IF($J254="DIESEL",AVERAGEIFS(Table1[RSP],Table1[Customer],$M$3,Table1[Date],$A254,Table1[Bill No.],$B254),IF($J254="PETROL",AVERAGEIFS(Table14[RSP],Table14[Customer],$M$3,Table14[Date],$A254,Table14[Bill No.],$B254),IF($J254="XtraGreen",AVERAGEIFS(Table146[RSP],Table146[Company],$M$3,Table146[Date],$A254,Table146[Bill No.],$B254),IFERROR($E254/$C254,"")))))</f>
        <v/>
      </c>
      <c r="E254" s="347" t="str">
        <f>IF($A254="","",IF($J254="DIESEL",SUMIFS(Table1[Amount],Table1[Customer],$M$3,Table1[Date],$A254,Table1[Bill No.],$B254),IF($J254="PETROL",SUMIFS(Table14[Amount],Table14[Customer],$M$3,Table14[Date],$A254,Table14[Bill No.],$B254),IF($J254="XtraGreen",SUMIFS(Table146[Amount],Table146[Company],$M$3,Table146[Date],$A254,Table146[Bill No.],$B254),SUMIFS('Other Sale'!$D:$D,'Other Sale'!$E:$E,$M$3,'Other Sale'!$C:$C,$J254,'Other Sale'!$A:$A,$A254)))))</f>
        <v/>
      </c>
      <c r="F254" s="347" t="str" cm="1">
        <f t="array" ref="F254">IF($A254="","",IF($J254="Payment",IFERROR(INDEX(_xlfn._xlws.FILTER(MasterPaid[Amount Paid],(MasterPaid[Customer]=$M$3)*(MasterPaid[Date]=$A254)),COUNTIFS($A$6:$A254,$A254,$J$6:$J254,"Payment")),0),0))</f>
        <v/>
      </c>
      <c r="G254" s="331"/>
      <c r="H254" s="427"/>
      <c r="I254" s="330" t="str">
        <f t="shared" si="12"/>
        <v/>
      </c>
      <c r="J254" s="344" t="str" cm="1">
        <f t="array" ref="J254">IFERROR(INDEX(_xlfn.ANCHORARRAY($P$6),ROW()-5,3),"")</f>
        <v/>
      </c>
      <c r="K254" s="432"/>
      <c r="L254" s="348"/>
    </row>
    <row r="255" spans="1:12" ht="23" x14ac:dyDescent="0.25">
      <c r="A255" s="217" t="str" cm="1">
        <f t="array" ref="A255">IFERROR(INDEX(_xlfn.ANCHORARRAY($P$6),ROW()-5,1),"")</f>
        <v/>
      </c>
      <c r="B255" s="344" t="str" cm="1">
        <f t="array" ref="B255">IFERROR(INDEX(_xlfn.ANCHORARRAY($P$6),ROW()-5,2),"")</f>
        <v/>
      </c>
      <c r="C255" s="345" t="str">
        <f>IF($A255="","",IF($J255="DIESEL",SUMIFS(Table1[Quantity],Table1[Customer],$M$3,Table1[Date],$A255,Table1[Bill No.],$B255),IF($J255="PETROL",SUMIFS(Table14[Quantity],Table14[Customer],$M$3,Table14[Date],$A255,Table14[Bill No.],$B255),IF($J255="XtraGreen",SUMIFS(Table146[Quantity],Table146[Company],$M$3,Table146[Date],$A255,Table146[Bill No.],$B255),""))))</f>
        <v/>
      </c>
      <c r="D255" s="346" t="str">
        <f>IF($A255="","",IF($J255="DIESEL",AVERAGEIFS(Table1[RSP],Table1[Customer],$M$3,Table1[Date],$A255,Table1[Bill No.],$B255),IF($J255="PETROL",AVERAGEIFS(Table14[RSP],Table14[Customer],$M$3,Table14[Date],$A255,Table14[Bill No.],$B255),IF($J255="XtraGreen",AVERAGEIFS(Table146[RSP],Table146[Company],$M$3,Table146[Date],$A255,Table146[Bill No.],$B255),IFERROR($E255/$C255,"")))))</f>
        <v/>
      </c>
      <c r="E255" s="347" t="str">
        <f>IF($A255="","",IF($J255="DIESEL",SUMIFS(Table1[Amount],Table1[Customer],$M$3,Table1[Date],$A255,Table1[Bill No.],$B255),IF($J255="PETROL",SUMIFS(Table14[Amount],Table14[Customer],$M$3,Table14[Date],$A255,Table14[Bill No.],$B255),IF($J255="XtraGreen",SUMIFS(Table146[Amount],Table146[Company],$M$3,Table146[Date],$A255,Table146[Bill No.],$B255),SUMIFS('Other Sale'!$D:$D,'Other Sale'!$E:$E,$M$3,'Other Sale'!$C:$C,$J255,'Other Sale'!$A:$A,$A255)))))</f>
        <v/>
      </c>
      <c r="F255" s="347" t="str" cm="1">
        <f t="array" ref="F255">IF($A255="","",IF($J255="Payment",IFERROR(INDEX(_xlfn._xlws.FILTER(MasterPaid[Amount Paid],(MasterPaid[Customer]=$M$3)*(MasterPaid[Date]=$A255)),COUNTIFS($A$6:$A255,$A255,$J$6:$J255,"Payment")),0),0))</f>
        <v/>
      </c>
      <c r="G255" s="331"/>
      <c r="H255" s="427"/>
      <c r="I255" s="330" t="str">
        <f t="shared" si="12"/>
        <v/>
      </c>
      <c r="J255" s="344" t="str" cm="1">
        <f t="array" ref="J255">IFERROR(INDEX(_xlfn.ANCHORARRAY($P$6),ROW()-5,3),"")</f>
        <v/>
      </c>
      <c r="K255" s="432"/>
      <c r="L255" s="348"/>
    </row>
    <row r="256" spans="1:12" ht="23" x14ac:dyDescent="0.25">
      <c r="A256" s="217" t="str" cm="1">
        <f t="array" ref="A256">IFERROR(INDEX(_xlfn.ANCHORARRAY($P$6),ROW()-5,1),"")</f>
        <v/>
      </c>
      <c r="B256" s="344" t="str" cm="1">
        <f t="array" ref="B256">IFERROR(INDEX(_xlfn.ANCHORARRAY($P$6),ROW()-5,2),"")</f>
        <v/>
      </c>
      <c r="C256" s="345" t="str">
        <f>IF($A256="","",IF($J256="DIESEL",SUMIFS(Table1[Quantity],Table1[Customer],$M$3,Table1[Date],$A256,Table1[Bill No.],$B256),IF($J256="PETROL",SUMIFS(Table14[Quantity],Table14[Customer],$M$3,Table14[Date],$A256,Table14[Bill No.],$B256),IF($J256="XtraGreen",SUMIFS(Table146[Quantity],Table146[Company],$M$3,Table146[Date],$A256,Table146[Bill No.],$B256),""))))</f>
        <v/>
      </c>
      <c r="D256" s="346" t="str">
        <f>IF($A256="","",IF($J256="DIESEL",AVERAGEIFS(Table1[RSP],Table1[Customer],$M$3,Table1[Date],$A256,Table1[Bill No.],$B256),IF($J256="PETROL",AVERAGEIFS(Table14[RSP],Table14[Customer],$M$3,Table14[Date],$A256,Table14[Bill No.],$B256),IF($J256="XtraGreen",AVERAGEIFS(Table146[RSP],Table146[Company],$M$3,Table146[Date],$A256,Table146[Bill No.],$B256),IFERROR($E256/$C256,"")))))</f>
        <v/>
      </c>
      <c r="E256" s="347" t="str">
        <f>IF($A256="","",IF($J256="DIESEL",SUMIFS(Table1[Amount],Table1[Customer],$M$3,Table1[Date],$A256,Table1[Bill No.],$B256),IF($J256="PETROL",SUMIFS(Table14[Amount],Table14[Customer],$M$3,Table14[Date],$A256,Table14[Bill No.],$B256),IF($J256="XtraGreen",SUMIFS(Table146[Amount],Table146[Company],$M$3,Table146[Date],$A256,Table146[Bill No.],$B256),SUMIFS('Other Sale'!$D:$D,'Other Sale'!$E:$E,$M$3,'Other Sale'!$C:$C,$J256,'Other Sale'!$A:$A,$A256)))))</f>
        <v/>
      </c>
      <c r="F256" s="347" t="str" cm="1">
        <f t="array" ref="F256">IF($A256="","",IF($J256="Payment",IFERROR(INDEX(_xlfn._xlws.FILTER(MasterPaid[Amount Paid],(MasterPaid[Customer]=$M$3)*(MasterPaid[Date]=$A256)),COUNTIFS($A$6:$A256,$A256,$J$6:$J256,"Payment")),0),0))</f>
        <v/>
      </c>
      <c r="G256" s="331"/>
      <c r="H256" s="427"/>
      <c r="I256" s="330" t="str">
        <f t="shared" si="12"/>
        <v/>
      </c>
      <c r="J256" s="344" t="str" cm="1">
        <f t="array" ref="J256">IFERROR(INDEX(_xlfn.ANCHORARRAY($P$6),ROW()-5,3),"")</f>
        <v/>
      </c>
      <c r="K256" s="432"/>
      <c r="L256" s="348"/>
    </row>
    <row r="257" spans="1:12" ht="23" x14ac:dyDescent="0.25">
      <c r="A257" s="217" t="str" cm="1">
        <f t="array" ref="A257">IFERROR(INDEX(_xlfn.ANCHORARRAY($P$6),ROW()-5,1),"")</f>
        <v/>
      </c>
      <c r="B257" s="344" t="str" cm="1">
        <f t="array" ref="B257">IFERROR(INDEX(_xlfn.ANCHORARRAY($P$6),ROW()-5,2),"")</f>
        <v/>
      </c>
      <c r="C257" s="345" t="str">
        <f>IF($A257="","",IF($J257="DIESEL",SUMIFS(Table1[Quantity],Table1[Customer],$M$3,Table1[Date],$A257,Table1[Bill No.],$B257),IF($J257="PETROL",SUMIFS(Table14[Quantity],Table14[Customer],$M$3,Table14[Date],$A257,Table14[Bill No.],$B257),IF($J257="XtraGreen",SUMIFS(Table146[Quantity],Table146[Company],$M$3,Table146[Date],$A257,Table146[Bill No.],$B257),""))))</f>
        <v/>
      </c>
      <c r="D257" s="346" t="str">
        <f>IF($A257="","",IF($J257="DIESEL",AVERAGEIFS(Table1[RSP],Table1[Customer],$M$3,Table1[Date],$A257,Table1[Bill No.],$B257),IF($J257="PETROL",AVERAGEIFS(Table14[RSP],Table14[Customer],$M$3,Table14[Date],$A257,Table14[Bill No.],$B257),IF($J257="XtraGreen",AVERAGEIFS(Table146[RSP],Table146[Company],$M$3,Table146[Date],$A257,Table146[Bill No.],$B257),IFERROR($E257/$C257,"")))))</f>
        <v/>
      </c>
      <c r="E257" s="347" t="str">
        <f>IF($A257="","",IF($J257="DIESEL",SUMIFS(Table1[Amount],Table1[Customer],$M$3,Table1[Date],$A257,Table1[Bill No.],$B257),IF($J257="PETROL",SUMIFS(Table14[Amount],Table14[Customer],$M$3,Table14[Date],$A257,Table14[Bill No.],$B257),IF($J257="XtraGreen",SUMIFS(Table146[Amount],Table146[Company],$M$3,Table146[Date],$A257,Table146[Bill No.],$B257),SUMIFS('Other Sale'!$D:$D,'Other Sale'!$E:$E,$M$3,'Other Sale'!$C:$C,$J257,'Other Sale'!$A:$A,$A257)))))</f>
        <v/>
      </c>
      <c r="F257" s="347" t="str" cm="1">
        <f t="array" ref="F257">IF($A257="","",IF($J257="Payment",IFERROR(INDEX(_xlfn._xlws.FILTER(MasterPaid[Amount Paid],(MasterPaid[Customer]=$M$3)*(MasterPaid[Date]=$A257)),COUNTIFS($A$6:$A257,$A257,$J$6:$J257,"Payment")),0),0))</f>
        <v/>
      </c>
      <c r="G257" s="331"/>
      <c r="H257" s="427"/>
      <c r="I257" s="330" t="str">
        <f t="shared" si="12"/>
        <v/>
      </c>
      <c r="J257" s="344" t="str" cm="1">
        <f t="array" ref="J257">IFERROR(INDEX(_xlfn.ANCHORARRAY($P$6),ROW()-5,3),"")</f>
        <v/>
      </c>
      <c r="K257" s="432"/>
      <c r="L257" s="348"/>
    </row>
    <row r="258" spans="1:12" ht="23" x14ac:dyDescent="0.25">
      <c r="A258" s="217" t="str" cm="1">
        <f t="array" ref="A258">IFERROR(INDEX(_xlfn.ANCHORARRAY($P$6),ROW()-5,1),"")</f>
        <v/>
      </c>
      <c r="B258" s="344" t="str" cm="1">
        <f t="array" ref="B258">IFERROR(INDEX(_xlfn.ANCHORARRAY($P$6),ROW()-5,2),"")</f>
        <v/>
      </c>
      <c r="C258" s="345" t="str">
        <f>IF($A258="","",IF($J258="DIESEL",SUMIFS(Table1[Quantity],Table1[Customer],$M$3,Table1[Date],$A258,Table1[Bill No.],$B258),IF($J258="PETROL",SUMIFS(Table14[Quantity],Table14[Customer],$M$3,Table14[Date],$A258,Table14[Bill No.],$B258),IF($J258="XtraGreen",SUMIFS(Table146[Quantity],Table146[Company],$M$3,Table146[Date],$A258,Table146[Bill No.],$B258),""))))</f>
        <v/>
      </c>
      <c r="D258" s="346" t="str">
        <f>IF($A258="","",IF($J258="DIESEL",AVERAGEIFS(Table1[RSP],Table1[Customer],$M$3,Table1[Date],$A258,Table1[Bill No.],$B258),IF($J258="PETROL",AVERAGEIFS(Table14[RSP],Table14[Customer],$M$3,Table14[Date],$A258,Table14[Bill No.],$B258),IF($J258="XtraGreen",AVERAGEIFS(Table146[RSP],Table146[Company],$M$3,Table146[Date],$A258,Table146[Bill No.],$B258),IFERROR($E258/$C258,"")))))</f>
        <v/>
      </c>
      <c r="E258" s="347" t="str">
        <f>IF($A258="","",IF($J258="DIESEL",SUMIFS(Table1[Amount],Table1[Customer],$M$3,Table1[Date],$A258,Table1[Bill No.],$B258),IF($J258="PETROL",SUMIFS(Table14[Amount],Table14[Customer],$M$3,Table14[Date],$A258,Table14[Bill No.],$B258),IF($J258="XtraGreen",SUMIFS(Table146[Amount],Table146[Company],$M$3,Table146[Date],$A258,Table146[Bill No.],$B258),SUMIFS('Other Sale'!$D:$D,'Other Sale'!$E:$E,$M$3,'Other Sale'!$C:$C,$J258,'Other Sale'!$A:$A,$A258)))))</f>
        <v/>
      </c>
      <c r="F258" s="347" t="str" cm="1">
        <f t="array" ref="F258">IF($A258="","",IF($J258="Payment",IFERROR(INDEX(_xlfn._xlws.FILTER(MasterPaid[Amount Paid],(MasterPaid[Customer]=$M$3)*(MasterPaid[Date]=$A258)),COUNTIFS($A$6:$A258,$A258,$J$6:$J258,"Payment")),0),0))</f>
        <v/>
      </c>
      <c r="G258" s="331"/>
      <c r="H258" s="427"/>
      <c r="I258" s="330" t="str">
        <f t="shared" si="12"/>
        <v/>
      </c>
      <c r="J258" s="344" t="str" cm="1">
        <f t="array" ref="J258">IFERROR(INDEX(_xlfn.ANCHORARRAY($P$6),ROW()-5,3),"")</f>
        <v/>
      </c>
      <c r="K258" s="432"/>
      <c r="L258" s="348"/>
    </row>
    <row r="259" spans="1:12" ht="23" x14ac:dyDescent="0.25">
      <c r="A259" s="217" t="str" cm="1">
        <f t="array" ref="A259">IFERROR(INDEX(_xlfn.ANCHORARRAY($P$6),ROW()-5,1),"")</f>
        <v/>
      </c>
      <c r="B259" s="344" t="str" cm="1">
        <f t="array" ref="B259">IFERROR(INDEX(_xlfn.ANCHORARRAY($P$6),ROW()-5,2),"")</f>
        <v/>
      </c>
      <c r="C259" s="345" t="str">
        <f>IF($A259="","",IF($J259="DIESEL",SUMIFS(Table1[Quantity],Table1[Customer],$M$3,Table1[Date],$A259,Table1[Bill No.],$B259),IF($J259="PETROL",SUMIFS(Table14[Quantity],Table14[Customer],$M$3,Table14[Date],$A259,Table14[Bill No.],$B259),IF($J259="XtraGreen",SUMIFS(Table146[Quantity],Table146[Company],$M$3,Table146[Date],$A259,Table146[Bill No.],$B259),""))))</f>
        <v/>
      </c>
      <c r="D259" s="346" t="str">
        <f>IF($A259="","",IF($J259="DIESEL",AVERAGEIFS(Table1[RSP],Table1[Customer],$M$3,Table1[Date],$A259,Table1[Bill No.],$B259),IF($J259="PETROL",AVERAGEIFS(Table14[RSP],Table14[Customer],$M$3,Table14[Date],$A259,Table14[Bill No.],$B259),IF($J259="XtraGreen",AVERAGEIFS(Table146[RSP],Table146[Company],$M$3,Table146[Date],$A259,Table146[Bill No.],$B259),IFERROR($E259/$C259,"")))))</f>
        <v/>
      </c>
      <c r="E259" s="347" t="str">
        <f>IF($A259="","",IF($J259="DIESEL",SUMIFS(Table1[Amount],Table1[Customer],$M$3,Table1[Date],$A259,Table1[Bill No.],$B259),IF($J259="PETROL",SUMIFS(Table14[Amount],Table14[Customer],$M$3,Table14[Date],$A259,Table14[Bill No.],$B259),IF($J259="XtraGreen",SUMIFS(Table146[Amount],Table146[Company],$M$3,Table146[Date],$A259,Table146[Bill No.],$B259),SUMIFS('Other Sale'!$D:$D,'Other Sale'!$E:$E,$M$3,'Other Sale'!$C:$C,$J259,'Other Sale'!$A:$A,$A259)))))</f>
        <v/>
      </c>
      <c r="F259" s="347" t="str" cm="1">
        <f t="array" ref="F259">IF($A259="","",IF($J259="Payment",IFERROR(INDEX(_xlfn._xlws.FILTER(MasterPaid[Amount Paid],(MasterPaid[Customer]=$M$3)*(MasterPaid[Date]=$A259)),COUNTIFS($A$6:$A259,$A259,$J$6:$J259,"Payment")),0),0))</f>
        <v/>
      </c>
      <c r="G259" s="331"/>
      <c r="H259" s="427"/>
      <c r="I259" s="330" t="str">
        <f t="shared" si="12"/>
        <v/>
      </c>
      <c r="J259" s="344" t="str" cm="1">
        <f t="array" ref="J259">IFERROR(INDEX(_xlfn.ANCHORARRAY($P$6),ROW()-5,3),"")</f>
        <v/>
      </c>
      <c r="K259" s="432"/>
      <c r="L259" s="348"/>
    </row>
    <row r="260" spans="1:12" ht="23" x14ac:dyDescent="0.25">
      <c r="A260" s="217" t="str" cm="1">
        <f t="array" ref="A260">IFERROR(INDEX(_xlfn.ANCHORARRAY($P$6),ROW()-5,1),"")</f>
        <v/>
      </c>
      <c r="B260" s="344" t="str" cm="1">
        <f t="array" ref="B260">IFERROR(INDEX(_xlfn.ANCHORARRAY($P$6),ROW()-5,2),"")</f>
        <v/>
      </c>
      <c r="C260" s="345" t="str">
        <f>IF($A260="","",IF($J260="DIESEL",SUMIFS(Table1[Quantity],Table1[Customer],$M$3,Table1[Date],$A260,Table1[Bill No.],$B260),IF($J260="PETROL",SUMIFS(Table14[Quantity],Table14[Customer],$M$3,Table14[Date],$A260,Table14[Bill No.],$B260),IF($J260="XtraGreen",SUMIFS(Table146[Quantity],Table146[Company],$M$3,Table146[Date],$A260,Table146[Bill No.],$B260),""))))</f>
        <v/>
      </c>
      <c r="D260" s="346" t="str">
        <f>IF($A260="","",IF($J260="DIESEL",AVERAGEIFS(Table1[RSP],Table1[Customer],$M$3,Table1[Date],$A260,Table1[Bill No.],$B260),IF($J260="PETROL",AVERAGEIFS(Table14[RSP],Table14[Customer],$M$3,Table14[Date],$A260,Table14[Bill No.],$B260),IF($J260="XtraGreen",AVERAGEIFS(Table146[RSP],Table146[Company],$M$3,Table146[Date],$A260,Table146[Bill No.],$B260),IFERROR($E260/$C260,"")))))</f>
        <v/>
      </c>
      <c r="E260" s="347" t="str">
        <f>IF($A260="","",IF($J260="DIESEL",SUMIFS(Table1[Amount],Table1[Customer],$M$3,Table1[Date],$A260,Table1[Bill No.],$B260),IF($J260="PETROL",SUMIFS(Table14[Amount],Table14[Customer],$M$3,Table14[Date],$A260,Table14[Bill No.],$B260),IF($J260="XtraGreen",SUMIFS(Table146[Amount],Table146[Company],$M$3,Table146[Date],$A260,Table146[Bill No.],$B260),SUMIFS('Other Sale'!$D:$D,'Other Sale'!$E:$E,$M$3,'Other Sale'!$C:$C,$J260,'Other Sale'!$A:$A,$A260)))))</f>
        <v/>
      </c>
      <c r="F260" s="347" t="str" cm="1">
        <f t="array" ref="F260">IF($A260="","",IF($J260="Payment",IFERROR(INDEX(_xlfn._xlws.FILTER(MasterPaid[Amount Paid],(MasterPaid[Customer]=$M$3)*(MasterPaid[Date]=$A260)),COUNTIFS($A$6:$A260,$A260,$J$6:$J260,"Payment")),0),0))</f>
        <v/>
      </c>
      <c r="G260" s="331"/>
      <c r="H260" s="427"/>
      <c r="I260" s="330" t="str">
        <f t="shared" si="12"/>
        <v/>
      </c>
      <c r="J260" s="344" t="str" cm="1">
        <f t="array" ref="J260">IFERROR(INDEX(_xlfn.ANCHORARRAY($P$6),ROW()-5,3),"")</f>
        <v/>
      </c>
      <c r="K260" s="432"/>
      <c r="L260" s="348"/>
    </row>
    <row r="261" spans="1:12" ht="23" x14ac:dyDescent="0.25">
      <c r="A261" s="217" t="str" cm="1">
        <f t="array" ref="A261">IFERROR(INDEX(_xlfn.ANCHORARRAY($P$6),ROW()-5,1),"")</f>
        <v/>
      </c>
      <c r="B261" s="344" t="str" cm="1">
        <f t="array" ref="B261">IFERROR(INDEX(_xlfn.ANCHORARRAY($P$6),ROW()-5,2),"")</f>
        <v/>
      </c>
      <c r="C261" s="345" t="str">
        <f>IF($A261="","",IF($J261="DIESEL",SUMIFS(Table1[Quantity],Table1[Customer],$M$3,Table1[Date],$A261,Table1[Bill No.],$B261),IF($J261="PETROL",SUMIFS(Table14[Quantity],Table14[Customer],$M$3,Table14[Date],$A261,Table14[Bill No.],$B261),IF($J261="XtraGreen",SUMIFS(Table146[Quantity],Table146[Company],$M$3,Table146[Date],$A261,Table146[Bill No.],$B261),""))))</f>
        <v/>
      </c>
      <c r="D261" s="346" t="str">
        <f>IF($A261="","",IF($J261="DIESEL",AVERAGEIFS(Table1[RSP],Table1[Customer],$M$3,Table1[Date],$A261,Table1[Bill No.],$B261),IF($J261="PETROL",AVERAGEIFS(Table14[RSP],Table14[Customer],$M$3,Table14[Date],$A261,Table14[Bill No.],$B261),IF($J261="XtraGreen",AVERAGEIFS(Table146[RSP],Table146[Company],$M$3,Table146[Date],$A261,Table146[Bill No.],$B261),IFERROR($E261/$C261,"")))))</f>
        <v/>
      </c>
      <c r="E261" s="347" t="str">
        <f>IF($A261="","",IF($J261="DIESEL",SUMIFS(Table1[Amount],Table1[Customer],$M$3,Table1[Date],$A261,Table1[Bill No.],$B261),IF($J261="PETROL",SUMIFS(Table14[Amount],Table14[Customer],$M$3,Table14[Date],$A261,Table14[Bill No.],$B261),IF($J261="XtraGreen",SUMIFS(Table146[Amount],Table146[Company],$M$3,Table146[Date],$A261,Table146[Bill No.],$B261),SUMIFS('Other Sale'!$D:$D,'Other Sale'!$E:$E,$M$3,'Other Sale'!$C:$C,$J261,'Other Sale'!$A:$A,$A261)))))</f>
        <v/>
      </c>
      <c r="F261" s="347" t="str" cm="1">
        <f t="array" ref="F261">IF($A261="","",IF($J261="Payment",IFERROR(INDEX(_xlfn._xlws.FILTER(MasterPaid[Amount Paid],(MasterPaid[Customer]=$M$3)*(MasterPaid[Date]=$A261)),COUNTIFS($A$6:$A261,$A261,$J$6:$J261,"Payment")),0),0))</f>
        <v/>
      </c>
      <c r="G261" s="331"/>
      <c r="H261" s="427"/>
      <c r="I261" s="330" t="str">
        <f t="shared" si="12"/>
        <v/>
      </c>
      <c r="J261" s="344" t="str" cm="1">
        <f t="array" ref="J261">IFERROR(INDEX(_xlfn.ANCHORARRAY($P$6),ROW()-5,3),"")</f>
        <v/>
      </c>
      <c r="K261" s="432"/>
      <c r="L261" s="348"/>
    </row>
    <row r="262" spans="1:12" ht="23" x14ac:dyDescent="0.25">
      <c r="A262" s="217" t="str" cm="1">
        <f t="array" ref="A262">IFERROR(INDEX(_xlfn.ANCHORARRAY($P$6),ROW()-5,1),"")</f>
        <v/>
      </c>
      <c r="B262" s="344" t="str" cm="1">
        <f t="array" ref="B262">IFERROR(INDEX(_xlfn.ANCHORARRAY($P$6),ROW()-5,2),"")</f>
        <v/>
      </c>
      <c r="C262" s="345" t="str">
        <f>IF($A262="","",IF($J262="DIESEL",SUMIFS(Table1[Quantity],Table1[Customer],$M$3,Table1[Date],$A262,Table1[Bill No.],$B262),IF($J262="PETROL",SUMIFS(Table14[Quantity],Table14[Customer],$M$3,Table14[Date],$A262,Table14[Bill No.],$B262),IF($J262="XtraGreen",SUMIFS(Table146[Quantity],Table146[Company],$M$3,Table146[Date],$A262,Table146[Bill No.],$B262),""))))</f>
        <v/>
      </c>
      <c r="D262" s="346" t="str">
        <f>IF($A262="","",IF($J262="DIESEL",AVERAGEIFS(Table1[RSP],Table1[Customer],$M$3,Table1[Date],$A262,Table1[Bill No.],$B262),IF($J262="PETROL",AVERAGEIFS(Table14[RSP],Table14[Customer],$M$3,Table14[Date],$A262,Table14[Bill No.],$B262),IF($J262="XtraGreen",AVERAGEIFS(Table146[RSP],Table146[Company],$M$3,Table146[Date],$A262,Table146[Bill No.],$B262),IFERROR($E262/$C262,"")))))</f>
        <v/>
      </c>
      <c r="E262" s="347" t="str">
        <f>IF($A262="","",IF($J262="DIESEL",SUMIFS(Table1[Amount],Table1[Customer],$M$3,Table1[Date],$A262,Table1[Bill No.],$B262),IF($J262="PETROL",SUMIFS(Table14[Amount],Table14[Customer],$M$3,Table14[Date],$A262,Table14[Bill No.],$B262),IF($J262="XtraGreen",SUMIFS(Table146[Amount],Table146[Company],$M$3,Table146[Date],$A262,Table146[Bill No.],$B262),SUMIFS('Other Sale'!$D:$D,'Other Sale'!$E:$E,$M$3,'Other Sale'!$C:$C,$J262,'Other Sale'!$A:$A,$A262)))))</f>
        <v/>
      </c>
      <c r="F262" s="347" t="str" cm="1">
        <f t="array" ref="F262">IF($A262="","",IF($J262="Payment",IFERROR(INDEX(_xlfn._xlws.FILTER(MasterPaid[Amount Paid],(MasterPaid[Customer]=$M$3)*(MasterPaid[Date]=$A262)),COUNTIFS($A$6:$A262,$A262,$J$6:$J262,"Payment")),0),0))</f>
        <v/>
      </c>
      <c r="G262" s="331"/>
      <c r="H262" s="427"/>
      <c r="I262" s="330" t="str">
        <f t="shared" si="12"/>
        <v/>
      </c>
      <c r="J262" s="344" t="str" cm="1">
        <f t="array" ref="J262">IFERROR(INDEX(_xlfn.ANCHORARRAY($P$6),ROW()-5,3),"")</f>
        <v/>
      </c>
      <c r="K262" s="432"/>
      <c r="L262" s="348"/>
    </row>
    <row r="263" spans="1:12" ht="23" x14ac:dyDescent="0.25">
      <c r="A263" s="217" t="str" cm="1">
        <f t="array" ref="A263">IFERROR(INDEX(_xlfn.ANCHORARRAY($P$6),ROW()-5,1),"")</f>
        <v/>
      </c>
      <c r="B263" s="344" t="str" cm="1">
        <f t="array" ref="B263">IFERROR(INDEX(_xlfn.ANCHORARRAY($P$6),ROW()-5,2),"")</f>
        <v/>
      </c>
      <c r="C263" s="345" t="str">
        <f>IF($A263="","",IF($J263="DIESEL",SUMIFS(Table1[Quantity],Table1[Customer],$M$3,Table1[Date],$A263,Table1[Bill No.],$B263),IF($J263="PETROL",SUMIFS(Table14[Quantity],Table14[Customer],$M$3,Table14[Date],$A263,Table14[Bill No.],$B263),IF($J263="XtraGreen",SUMIFS(Table146[Quantity],Table146[Company],$M$3,Table146[Date],$A263,Table146[Bill No.],$B263),""))))</f>
        <v/>
      </c>
      <c r="D263" s="346" t="str">
        <f>IF($A263="","",IF($J263="DIESEL",AVERAGEIFS(Table1[RSP],Table1[Customer],$M$3,Table1[Date],$A263,Table1[Bill No.],$B263),IF($J263="PETROL",AVERAGEIFS(Table14[RSP],Table14[Customer],$M$3,Table14[Date],$A263,Table14[Bill No.],$B263),IF($J263="XtraGreen",AVERAGEIFS(Table146[RSP],Table146[Company],$M$3,Table146[Date],$A263,Table146[Bill No.],$B263),IFERROR($E263/$C263,"")))))</f>
        <v/>
      </c>
      <c r="E263" s="347" t="str">
        <f>IF($A263="","",IF($J263="DIESEL",SUMIFS(Table1[Amount],Table1[Customer],$M$3,Table1[Date],$A263,Table1[Bill No.],$B263),IF($J263="PETROL",SUMIFS(Table14[Amount],Table14[Customer],$M$3,Table14[Date],$A263,Table14[Bill No.],$B263),IF($J263="XtraGreen",SUMIFS(Table146[Amount],Table146[Company],$M$3,Table146[Date],$A263,Table146[Bill No.],$B263),SUMIFS('Other Sale'!$D:$D,'Other Sale'!$E:$E,$M$3,'Other Sale'!$C:$C,$J263,'Other Sale'!$A:$A,$A263)))))</f>
        <v/>
      </c>
      <c r="F263" s="347" t="str" cm="1">
        <f t="array" ref="F263">IF($A263="","",IF($J263="Payment",IFERROR(INDEX(_xlfn._xlws.FILTER(MasterPaid[Amount Paid],(MasterPaid[Customer]=$M$3)*(MasterPaid[Date]=$A263)),COUNTIFS($A$6:$A263,$A263,$J$6:$J263,"Payment")),0),0))</f>
        <v/>
      </c>
      <c r="G263" s="331"/>
      <c r="H263" s="427"/>
      <c r="I263" s="330" t="str">
        <f t="shared" si="12"/>
        <v/>
      </c>
      <c r="J263" s="344" t="str" cm="1">
        <f t="array" ref="J263">IFERROR(INDEX(_xlfn.ANCHORARRAY($P$6),ROW()-5,3),"")</f>
        <v/>
      </c>
      <c r="K263" s="432"/>
      <c r="L263" s="348"/>
    </row>
    <row r="264" spans="1:12" ht="23" x14ac:dyDescent="0.25">
      <c r="A264" s="217" t="str" cm="1">
        <f t="array" ref="A264">IFERROR(INDEX(_xlfn.ANCHORARRAY($P$6),ROW()-5,1),"")</f>
        <v/>
      </c>
      <c r="B264" s="344" t="str" cm="1">
        <f t="array" ref="B264">IFERROR(INDEX(_xlfn.ANCHORARRAY($P$6),ROW()-5,2),"")</f>
        <v/>
      </c>
      <c r="C264" s="345" t="str">
        <f>IF($A264="","",IF($J264="DIESEL",SUMIFS(Table1[Quantity],Table1[Customer],$M$3,Table1[Date],$A264,Table1[Bill No.],$B264),IF($J264="PETROL",SUMIFS(Table14[Quantity],Table14[Customer],$M$3,Table14[Date],$A264,Table14[Bill No.],$B264),IF($J264="XtraGreen",SUMIFS(Table146[Quantity],Table146[Company],$M$3,Table146[Date],$A264,Table146[Bill No.],$B264),""))))</f>
        <v/>
      </c>
      <c r="D264" s="346" t="str">
        <f>IF($A264="","",IF($J264="DIESEL",AVERAGEIFS(Table1[RSP],Table1[Customer],$M$3,Table1[Date],$A264,Table1[Bill No.],$B264),IF($J264="PETROL",AVERAGEIFS(Table14[RSP],Table14[Customer],$M$3,Table14[Date],$A264,Table14[Bill No.],$B264),IF($J264="XtraGreen",AVERAGEIFS(Table146[RSP],Table146[Company],$M$3,Table146[Date],$A264,Table146[Bill No.],$B264),IFERROR($E264/$C264,"")))))</f>
        <v/>
      </c>
      <c r="E264" s="347" t="str">
        <f>IF($A264="","",IF($J264="DIESEL",SUMIFS(Table1[Amount],Table1[Customer],$M$3,Table1[Date],$A264,Table1[Bill No.],$B264),IF($J264="PETROL",SUMIFS(Table14[Amount],Table14[Customer],$M$3,Table14[Date],$A264,Table14[Bill No.],$B264),IF($J264="XtraGreen",SUMIFS(Table146[Amount],Table146[Company],$M$3,Table146[Date],$A264,Table146[Bill No.],$B264),SUMIFS('Other Sale'!$D:$D,'Other Sale'!$E:$E,$M$3,'Other Sale'!$C:$C,$J264,'Other Sale'!$A:$A,$A264)))))</f>
        <v/>
      </c>
      <c r="F264" s="347" t="str" cm="1">
        <f t="array" ref="F264">IF($A264="","",IF($J264="Payment",IFERROR(INDEX(_xlfn._xlws.FILTER(MasterPaid[Amount Paid],(MasterPaid[Customer]=$M$3)*(MasterPaid[Date]=$A264)),COUNTIFS($A$6:$A264,$A264,$J$6:$J264,"Payment")),0),0))</f>
        <v/>
      </c>
      <c r="G264" s="331"/>
      <c r="H264" s="427"/>
      <c r="I264" s="330" t="str">
        <f t="shared" ref="I264:I327" si="13">IF($A264="","",I263+N(E264)-N(F264)-N(G264)-N(H264))</f>
        <v/>
      </c>
      <c r="J264" s="344" t="str" cm="1">
        <f t="array" ref="J264">IFERROR(INDEX(_xlfn.ANCHORARRAY($P$6),ROW()-5,3),"")</f>
        <v/>
      </c>
      <c r="K264" s="432"/>
      <c r="L264" s="348"/>
    </row>
    <row r="265" spans="1:12" ht="23" x14ac:dyDescent="0.25">
      <c r="A265" s="217" t="str" cm="1">
        <f t="array" ref="A265">IFERROR(INDEX(_xlfn.ANCHORARRAY($P$6),ROW()-5,1),"")</f>
        <v/>
      </c>
      <c r="B265" s="344" t="str" cm="1">
        <f t="array" ref="B265">IFERROR(INDEX(_xlfn.ANCHORARRAY($P$6),ROW()-5,2),"")</f>
        <v/>
      </c>
      <c r="C265" s="345" t="str">
        <f>IF($A265="","",IF($J265="DIESEL",SUMIFS(Table1[Quantity],Table1[Customer],$M$3,Table1[Date],$A265,Table1[Bill No.],$B265),IF($J265="PETROL",SUMIFS(Table14[Quantity],Table14[Customer],$M$3,Table14[Date],$A265,Table14[Bill No.],$B265),IF($J265="XtraGreen",SUMIFS(Table146[Quantity],Table146[Company],$M$3,Table146[Date],$A265,Table146[Bill No.],$B265),""))))</f>
        <v/>
      </c>
      <c r="D265" s="346" t="str">
        <f>IF($A265="","",IF($J265="DIESEL",AVERAGEIFS(Table1[RSP],Table1[Customer],$M$3,Table1[Date],$A265,Table1[Bill No.],$B265),IF($J265="PETROL",AVERAGEIFS(Table14[RSP],Table14[Customer],$M$3,Table14[Date],$A265,Table14[Bill No.],$B265),IF($J265="XtraGreen",AVERAGEIFS(Table146[RSP],Table146[Company],$M$3,Table146[Date],$A265,Table146[Bill No.],$B265),IFERROR($E265/$C265,"")))))</f>
        <v/>
      </c>
      <c r="E265" s="347" t="str">
        <f>IF($A265="","",IF($J265="DIESEL",SUMIFS(Table1[Amount],Table1[Customer],$M$3,Table1[Date],$A265,Table1[Bill No.],$B265),IF($J265="PETROL",SUMIFS(Table14[Amount],Table14[Customer],$M$3,Table14[Date],$A265,Table14[Bill No.],$B265),IF($J265="XtraGreen",SUMIFS(Table146[Amount],Table146[Company],$M$3,Table146[Date],$A265,Table146[Bill No.],$B265),SUMIFS('Other Sale'!$D:$D,'Other Sale'!$E:$E,$M$3,'Other Sale'!$C:$C,$J265,'Other Sale'!$A:$A,$A265)))))</f>
        <v/>
      </c>
      <c r="F265" s="347" t="str" cm="1">
        <f t="array" ref="F265">IF($A265="","",IF($J265="Payment",IFERROR(INDEX(_xlfn._xlws.FILTER(MasterPaid[Amount Paid],(MasterPaid[Customer]=$M$3)*(MasterPaid[Date]=$A265)),COUNTIFS($A$6:$A265,$A265,$J$6:$J265,"Payment")),0),0))</f>
        <v/>
      </c>
      <c r="G265" s="331"/>
      <c r="H265" s="427"/>
      <c r="I265" s="330" t="str">
        <f t="shared" si="13"/>
        <v/>
      </c>
      <c r="J265" s="344" t="str" cm="1">
        <f t="array" ref="J265">IFERROR(INDEX(_xlfn.ANCHORARRAY($P$6),ROW()-5,3),"")</f>
        <v/>
      </c>
      <c r="K265" s="432"/>
      <c r="L265" s="348"/>
    </row>
    <row r="266" spans="1:12" ht="23" x14ac:dyDescent="0.25">
      <c r="A266" s="217" t="str" cm="1">
        <f t="array" ref="A266">IFERROR(INDEX(_xlfn.ANCHORARRAY($P$6),ROW()-5,1),"")</f>
        <v/>
      </c>
      <c r="B266" s="344" t="str" cm="1">
        <f t="array" ref="B266">IFERROR(INDEX(_xlfn.ANCHORARRAY($P$6),ROW()-5,2),"")</f>
        <v/>
      </c>
      <c r="C266" s="345" t="str">
        <f>IF($A266="","",IF($J266="DIESEL",SUMIFS(Table1[Quantity],Table1[Customer],$M$3,Table1[Date],$A266,Table1[Bill No.],$B266),IF($J266="PETROL",SUMIFS(Table14[Quantity],Table14[Customer],$M$3,Table14[Date],$A266,Table14[Bill No.],$B266),IF($J266="XtraGreen",SUMIFS(Table146[Quantity],Table146[Company],$M$3,Table146[Date],$A266,Table146[Bill No.],$B266),""))))</f>
        <v/>
      </c>
      <c r="D266" s="346" t="str">
        <f>IF($A266="","",IF($J266="DIESEL",AVERAGEIFS(Table1[RSP],Table1[Customer],$M$3,Table1[Date],$A266,Table1[Bill No.],$B266),IF($J266="PETROL",AVERAGEIFS(Table14[RSP],Table14[Customer],$M$3,Table14[Date],$A266,Table14[Bill No.],$B266),IF($J266="XtraGreen",AVERAGEIFS(Table146[RSP],Table146[Company],$M$3,Table146[Date],$A266,Table146[Bill No.],$B266),IFERROR($E266/$C266,"")))))</f>
        <v/>
      </c>
      <c r="E266" s="347" t="str">
        <f>IF($A266="","",IF($J266="DIESEL",SUMIFS(Table1[Amount],Table1[Customer],$M$3,Table1[Date],$A266,Table1[Bill No.],$B266),IF($J266="PETROL",SUMIFS(Table14[Amount],Table14[Customer],$M$3,Table14[Date],$A266,Table14[Bill No.],$B266),IF($J266="XtraGreen",SUMIFS(Table146[Amount],Table146[Company],$M$3,Table146[Date],$A266,Table146[Bill No.],$B266),SUMIFS('Other Sale'!$D:$D,'Other Sale'!$E:$E,$M$3,'Other Sale'!$C:$C,$J266,'Other Sale'!$A:$A,$A266)))))</f>
        <v/>
      </c>
      <c r="F266" s="347" t="str" cm="1">
        <f t="array" ref="F266">IF($A266="","",IF($J266="Payment",IFERROR(INDEX(_xlfn._xlws.FILTER(MasterPaid[Amount Paid],(MasterPaid[Customer]=$M$3)*(MasterPaid[Date]=$A266)),COUNTIFS($A$6:$A266,$A266,$J$6:$J266,"Payment")),0),0))</f>
        <v/>
      </c>
      <c r="G266" s="331"/>
      <c r="H266" s="427"/>
      <c r="I266" s="330" t="str">
        <f t="shared" si="13"/>
        <v/>
      </c>
      <c r="J266" s="344" t="str" cm="1">
        <f t="array" ref="J266">IFERROR(INDEX(_xlfn.ANCHORARRAY($P$6),ROW()-5,3),"")</f>
        <v/>
      </c>
      <c r="K266" s="432"/>
      <c r="L266" s="348"/>
    </row>
    <row r="267" spans="1:12" ht="23" x14ac:dyDescent="0.25">
      <c r="A267" s="217" t="str" cm="1">
        <f t="array" ref="A267">IFERROR(INDEX(_xlfn.ANCHORARRAY($P$6),ROW()-5,1),"")</f>
        <v/>
      </c>
      <c r="B267" s="344" t="str" cm="1">
        <f t="array" ref="B267">IFERROR(INDEX(_xlfn.ANCHORARRAY($P$6),ROW()-5,2),"")</f>
        <v/>
      </c>
      <c r="C267" s="345" t="str">
        <f>IF($A267="","",IF($J267="DIESEL",SUMIFS(Table1[Quantity],Table1[Customer],$M$3,Table1[Date],$A267,Table1[Bill No.],$B267),IF($J267="PETROL",SUMIFS(Table14[Quantity],Table14[Customer],$M$3,Table14[Date],$A267,Table14[Bill No.],$B267),IF($J267="XtraGreen",SUMIFS(Table146[Quantity],Table146[Company],$M$3,Table146[Date],$A267,Table146[Bill No.],$B267),""))))</f>
        <v/>
      </c>
      <c r="D267" s="346" t="str">
        <f>IF($A267="","",IF($J267="DIESEL",AVERAGEIFS(Table1[RSP],Table1[Customer],$M$3,Table1[Date],$A267,Table1[Bill No.],$B267),IF($J267="PETROL",AVERAGEIFS(Table14[RSP],Table14[Customer],$M$3,Table14[Date],$A267,Table14[Bill No.],$B267),IF($J267="XtraGreen",AVERAGEIFS(Table146[RSP],Table146[Company],$M$3,Table146[Date],$A267,Table146[Bill No.],$B267),IFERROR($E267/$C267,"")))))</f>
        <v/>
      </c>
      <c r="E267" s="347" t="str">
        <f>IF($A267="","",IF($J267="DIESEL",SUMIFS(Table1[Amount],Table1[Customer],$M$3,Table1[Date],$A267,Table1[Bill No.],$B267),IF($J267="PETROL",SUMIFS(Table14[Amount],Table14[Customer],$M$3,Table14[Date],$A267,Table14[Bill No.],$B267),IF($J267="XtraGreen",SUMIFS(Table146[Amount],Table146[Company],$M$3,Table146[Date],$A267,Table146[Bill No.],$B267),SUMIFS('Other Sale'!$D:$D,'Other Sale'!$E:$E,$M$3,'Other Sale'!$C:$C,$J267,'Other Sale'!$A:$A,$A267)))))</f>
        <v/>
      </c>
      <c r="F267" s="347" t="str" cm="1">
        <f t="array" ref="F267">IF($A267="","",IF($J267="Payment",IFERROR(INDEX(_xlfn._xlws.FILTER(MasterPaid[Amount Paid],(MasterPaid[Customer]=$M$3)*(MasterPaid[Date]=$A267)),COUNTIFS($A$6:$A267,$A267,$J$6:$J267,"Payment")),0),0))</f>
        <v/>
      </c>
      <c r="G267" s="331"/>
      <c r="H267" s="427"/>
      <c r="I267" s="330" t="str">
        <f t="shared" si="13"/>
        <v/>
      </c>
      <c r="J267" s="344" t="str" cm="1">
        <f t="array" ref="J267">IFERROR(INDEX(_xlfn.ANCHORARRAY($P$6),ROW()-5,3),"")</f>
        <v/>
      </c>
      <c r="K267" s="432"/>
      <c r="L267" s="348"/>
    </row>
    <row r="268" spans="1:12" ht="23" x14ac:dyDescent="0.25">
      <c r="A268" s="217" t="str" cm="1">
        <f t="array" ref="A268">IFERROR(INDEX(_xlfn.ANCHORARRAY($P$6),ROW()-5,1),"")</f>
        <v/>
      </c>
      <c r="B268" s="344" t="str" cm="1">
        <f t="array" ref="B268">IFERROR(INDEX(_xlfn.ANCHORARRAY($P$6),ROW()-5,2),"")</f>
        <v/>
      </c>
      <c r="C268" s="345" t="str">
        <f>IF($A268="","",IF($J268="DIESEL",SUMIFS(Table1[Quantity],Table1[Customer],$M$3,Table1[Date],$A268,Table1[Bill No.],$B268),IF($J268="PETROL",SUMIFS(Table14[Quantity],Table14[Customer],$M$3,Table14[Date],$A268,Table14[Bill No.],$B268),IF($J268="XtraGreen",SUMIFS(Table146[Quantity],Table146[Company],$M$3,Table146[Date],$A268,Table146[Bill No.],$B268),""))))</f>
        <v/>
      </c>
      <c r="D268" s="346" t="str">
        <f>IF($A268="","",IF($J268="DIESEL",AVERAGEIFS(Table1[RSP],Table1[Customer],$M$3,Table1[Date],$A268,Table1[Bill No.],$B268),IF($J268="PETROL",AVERAGEIFS(Table14[RSP],Table14[Customer],$M$3,Table14[Date],$A268,Table14[Bill No.],$B268),IF($J268="XtraGreen",AVERAGEIFS(Table146[RSP],Table146[Company],$M$3,Table146[Date],$A268,Table146[Bill No.],$B268),IFERROR($E268/$C268,"")))))</f>
        <v/>
      </c>
      <c r="E268" s="347" t="str">
        <f>IF($A268="","",IF($J268="DIESEL",SUMIFS(Table1[Amount],Table1[Customer],$M$3,Table1[Date],$A268,Table1[Bill No.],$B268),IF($J268="PETROL",SUMIFS(Table14[Amount],Table14[Customer],$M$3,Table14[Date],$A268,Table14[Bill No.],$B268),IF($J268="XtraGreen",SUMIFS(Table146[Amount],Table146[Company],$M$3,Table146[Date],$A268,Table146[Bill No.],$B268),SUMIFS('Other Sale'!$D:$D,'Other Sale'!$E:$E,$M$3,'Other Sale'!$C:$C,$J268,'Other Sale'!$A:$A,$A268)))))</f>
        <v/>
      </c>
      <c r="F268" s="347" t="str" cm="1">
        <f t="array" ref="F268">IF($A268="","",IF($J268="Payment",IFERROR(INDEX(_xlfn._xlws.FILTER(MasterPaid[Amount Paid],(MasterPaid[Customer]=$M$3)*(MasterPaid[Date]=$A268)),COUNTIFS($A$6:$A268,$A268,$J$6:$J268,"Payment")),0),0))</f>
        <v/>
      </c>
      <c r="G268" s="331"/>
      <c r="H268" s="427"/>
      <c r="I268" s="330" t="str">
        <f t="shared" si="13"/>
        <v/>
      </c>
      <c r="J268" s="344" t="str" cm="1">
        <f t="array" ref="J268">IFERROR(INDEX(_xlfn.ANCHORARRAY($P$6),ROW()-5,3),"")</f>
        <v/>
      </c>
      <c r="K268" s="432"/>
      <c r="L268" s="348"/>
    </row>
    <row r="269" spans="1:12" ht="23" x14ac:dyDescent="0.25">
      <c r="A269" s="217" t="str" cm="1">
        <f t="array" ref="A269">IFERROR(INDEX(_xlfn.ANCHORARRAY($P$6),ROW()-5,1),"")</f>
        <v/>
      </c>
      <c r="B269" s="344" t="str" cm="1">
        <f t="array" ref="B269">IFERROR(INDEX(_xlfn.ANCHORARRAY($P$6),ROW()-5,2),"")</f>
        <v/>
      </c>
      <c r="C269" s="345" t="str">
        <f>IF($A269="","",IF($J269="DIESEL",SUMIFS(Table1[Quantity],Table1[Customer],$M$3,Table1[Date],$A269,Table1[Bill No.],$B269),IF($J269="PETROL",SUMIFS(Table14[Quantity],Table14[Customer],$M$3,Table14[Date],$A269,Table14[Bill No.],$B269),IF($J269="XtraGreen",SUMIFS(Table146[Quantity],Table146[Company],$M$3,Table146[Date],$A269,Table146[Bill No.],$B269),""))))</f>
        <v/>
      </c>
      <c r="D269" s="346" t="str">
        <f>IF($A269="","",IF($J269="DIESEL",AVERAGEIFS(Table1[RSP],Table1[Customer],$M$3,Table1[Date],$A269,Table1[Bill No.],$B269),IF($J269="PETROL",AVERAGEIFS(Table14[RSP],Table14[Customer],$M$3,Table14[Date],$A269,Table14[Bill No.],$B269),IF($J269="XtraGreen",AVERAGEIFS(Table146[RSP],Table146[Company],$M$3,Table146[Date],$A269,Table146[Bill No.],$B269),IFERROR($E269/$C269,"")))))</f>
        <v/>
      </c>
      <c r="E269" s="347" t="str">
        <f>IF($A269="","",IF($J269="DIESEL",SUMIFS(Table1[Amount],Table1[Customer],$M$3,Table1[Date],$A269,Table1[Bill No.],$B269),IF($J269="PETROL",SUMIFS(Table14[Amount],Table14[Customer],$M$3,Table14[Date],$A269,Table14[Bill No.],$B269),IF($J269="XtraGreen",SUMIFS(Table146[Amount],Table146[Company],$M$3,Table146[Date],$A269,Table146[Bill No.],$B269),SUMIFS('Other Sale'!$D:$D,'Other Sale'!$E:$E,$M$3,'Other Sale'!$C:$C,$J269,'Other Sale'!$A:$A,$A269)))))</f>
        <v/>
      </c>
      <c r="F269" s="347" t="str" cm="1">
        <f t="array" ref="F269">IF($A269="","",IF($J269="Payment",IFERROR(INDEX(_xlfn._xlws.FILTER(MasterPaid[Amount Paid],(MasterPaid[Customer]=$M$3)*(MasterPaid[Date]=$A269)),COUNTIFS($A$6:$A269,$A269,$J$6:$J269,"Payment")),0),0))</f>
        <v/>
      </c>
      <c r="G269" s="331"/>
      <c r="H269" s="427"/>
      <c r="I269" s="330" t="str">
        <f t="shared" si="13"/>
        <v/>
      </c>
      <c r="J269" s="344" t="str" cm="1">
        <f t="array" ref="J269">IFERROR(INDEX(_xlfn.ANCHORARRAY($P$6),ROW()-5,3),"")</f>
        <v/>
      </c>
      <c r="K269" s="432"/>
      <c r="L269" s="348"/>
    </row>
    <row r="270" spans="1:12" ht="23" x14ac:dyDescent="0.25">
      <c r="A270" s="217" t="str" cm="1">
        <f t="array" ref="A270">IFERROR(INDEX(_xlfn.ANCHORARRAY($P$6),ROW()-5,1),"")</f>
        <v/>
      </c>
      <c r="B270" s="344" t="str" cm="1">
        <f t="array" ref="B270">IFERROR(INDEX(_xlfn.ANCHORARRAY($P$6),ROW()-5,2),"")</f>
        <v/>
      </c>
      <c r="C270" s="345" t="str">
        <f>IF($A270="","",IF($J270="DIESEL",SUMIFS(Table1[Quantity],Table1[Customer],$M$3,Table1[Date],$A270,Table1[Bill No.],$B270),IF($J270="PETROL",SUMIFS(Table14[Quantity],Table14[Customer],$M$3,Table14[Date],$A270,Table14[Bill No.],$B270),IF($J270="XtraGreen",SUMIFS(Table146[Quantity],Table146[Company],$M$3,Table146[Date],$A270,Table146[Bill No.],$B270),""))))</f>
        <v/>
      </c>
      <c r="D270" s="346" t="str">
        <f>IF($A270="","",IF($J270="DIESEL",AVERAGEIFS(Table1[RSP],Table1[Customer],$M$3,Table1[Date],$A270,Table1[Bill No.],$B270),IF($J270="PETROL",AVERAGEIFS(Table14[RSP],Table14[Customer],$M$3,Table14[Date],$A270,Table14[Bill No.],$B270),IF($J270="XtraGreen",AVERAGEIFS(Table146[RSP],Table146[Company],$M$3,Table146[Date],$A270,Table146[Bill No.],$B270),IFERROR($E270/$C270,"")))))</f>
        <v/>
      </c>
      <c r="E270" s="347" t="str">
        <f>IF($A270="","",IF($J270="DIESEL",SUMIFS(Table1[Amount],Table1[Customer],$M$3,Table1[Date],$A270,Table1[Bill No.],$B270),IF($J270="PETROL",SUMIFS(Table14[Amount],Table14[Customer],$M$3,Table14[Date],$A270,Table14[Bill No.],$B270),IF($J270="XtraGreen",SUMIFS(Table146[Amount],Table146[Company],$M$3,Table146[Date],$A270,Table146[Bill No.],$B270),SUMIFS('Other Sale'!$D:$D,'Other Sale'!$E:$E,$M$3,'Other Sale'!$C:$C,$J270,'Other Sale'!$A:$A,$A270)))))</f>
        <v/>
      </c>
      <c r="F270" s="347" t="str" cm="1">
        <f t="array" ref="F270">IF($A270="","",IF($J270="Payment",IFERROR(INDEX(_xlfn._xlws.FILTER(MasterPaid[Amount Paid],(MasterPaid[Customer]=$M$3)*(MasterPaid[Date]=$A270)),COUNTIFS($A$6:$A270,$A270,$J$6:$J270,"Payment")),0),0))</f>
        <v/>
      </c>
      <c r="G270" s="331"/>
      <c r="H270" s="427"/>
      <c r="I270" s="330" t="str">
        <f t="shared" si="13"/>
        <v/>
      </c>
      <c r="J270" s="344" t="str" cm="1">
        <f t="array" ref="J270">IFERROR(INDEX(_xlfn.ANCHORARRAY($P$6),ROW()-5,3),"")</f>
        <v/>
      </c>
      <c r="K270" s="432"/>
      <c r="L270" s="348"/>
    </row>
    <row r="271" spans="1:12" ht="23" x14ac:dyDescent="0.25">
      <c r="A271" s="217" t="str" cm="1">
        <f t="array" ref="A271">IFERROR(INDEX(_xlfn.ANCHORARRAY($P$6),ROW()-5,1),"")</f>
        <v/>
      </c>
      <c r="B271" s="344" t="str" cm="1">
        <f t="array" ref="B271">IFERROR(INDEX(_xlfn.ANCHORARRAY($P$6),ROW()-5,2),"")</f>
        <v/>
      </c>
      <c r="C271" s="345" t="str">
        <f>IF($A271="","",IF($J271="DIESEL",SUMIFS(Table1[Quantity],Table1[Customer],$M$3,Table1[Date],$A271,Table1[Bill No.],$B271),IF($J271="PETROL",SUMIFS(Table14[Quantity],Table14[Customer],$M$3,Table14[Date],$A271,Table14[Bill No.],$B271),IF($J271="XtraGreen",SUMIFS(Table146[Quantity],Table146[Company],$M$3,Table146[Date],$A271,Table146[Bill No.],$B271),""))))</f>
        <v/>
      </c>
      <c r="D271" s="346" t="str">
        <f>IF($A271="","",IF($J271="DIESEL",AVERAGEIFS(Table1[RSP],Table1[Customer],$M$3,Table1[Date],$A271,Table1[Bill No.],$B271),IF($J271="PETROL",AVERAGEIFS(Table14[RSP],Table14[Customer],$M$3,Table14[Date],$A271,Table14[Bill No.],$B271),IF($J271="XtraGreen",AVERAGEIFS(Table146[RSP],Table146[Company],$M$3,Table146[Date],$A271,Table146[Bill No.],$B271),IFERROR($E271/$C271,"")))))</f>
        <v/>
      </c>
      <c r="E271" s="347" t="str">
        <f>IF($A271="","",IF($J271="DIESEL",SUMIFS(Table1[Amount],Table1[Customer],$M$3,Table1[Date],$A271,Table1[Bill No.],$B271),IF($J271="PETROL",SUMIFS(Table14[Amount],Table14[Customer],$M$3,Table14[Date],$A271,Table14[Bill No.],$B271),IF($J271="XtraGreen",SUMIFS(Table146[Amount],Table146[Company],$M$3,Table146[Date],$A271,Table146[Bill No.],$B271),SUMIFS('Other Sale'!$D:$D,'Other Sale'!$E:$E,$M$3,'Other Sale'!$C:$C,$J271,'Other Sale'!$A:$A,$A271)))))</f>
        <v/>
      </c>
      <c r="F271" s="347" t="str" cm="1">
        <f t="array" ref="F271">IF($A271="","",IF($J271="Payment",IFERROR(INDEX(_xlfn._xlws.FILTER(MasterPaid[Amount Paid],(MasterPaid[Customer]=$M$3)*(MasterPaid[Date]=$A271)),COUNTIFS($A$6:$A271,$A271,$J$6:$J271,"Payment")),0),0))</f>
        <v/>
      </c>
      <c r="G271" s="331"/>
      <c r="H271" s="427"/>
      <c r="I271" s="330" t="str">
        <f t="shared" si="13"/>
        <v/>
      </c>
      <c r="J271" s="344" t="str" cm="1">
        <f t="array" ref="J271">IFERROR(INDEX(_xlfn.ANCHORARRAY($P$6),ROW()-5,3),"")</f>
        <v/>
      </c>
      <c r="K271" s="432"/>
      <c r="L271" s="348"/>
    </row>
    <row r="272" spans="1:12" ht="23" x14ac:dyDescent="0.25">
      <c r="A272" s="217" t="str" cm="1">
        <f t="array" ref="A272">IFERROR(INDEX(_xlfn.ANCHORARRAY($P$6),ROW()-5,1),"")</f>
        <v/>
      </c>
      <c r="B272" s="344" t="str" cm="1">
        <f t="array" ref="B272">IFERROR(INDEX(_xlfn.ANCHORARRAY($P$6),ROW()-5,2),"")</f>
        <v/>
      </c>
      <c r="C272" s="345" t="str">
        <f>IF($A272="","",IF($J272="DIESEL",SUMIFS(Table1[Quantity],Table1[Customer],$M$3,Table1[Date],$A272,Table1[Bill No.],$B272),IF($J272="PETROL",SUMIFS(Table14[Quantity],Table14[Customer],$M$3,Table14[Date],$A272,Table14[Bill No.],$B272),IF($J272="XtraGreen",SUMIFS(Table146[Quantity],Table146[Company],$M$3,Table146[Date],$A272,Table146[Bill No.],$B272),""))))</f>
        <v/>
      </c>
      <c r="D272" s="346" t="str">
        <f>IF($A272="","",IF($J272="DIESEL",AVERAGEIFS(Table1[RSP],Table1[Customer],$M$3,Table1[Date],$A272,Table1[Bill No.],$B272),IF($J272="PETROL",AVERAGEIFS(Table14[RSP],Table14[Customer],$M$3,Table14[Date],$A272,Table14[Bill No.],$B272),IF($J272="XtraGreen",AVERAGEIFS(Table146[RSP],Table146[Company],$M$3,Table146[Date],$A272,Table146[Bill No.],$B272),IFERROR($E272/$C272,"")))))</f>
        <v/>
      </c>
      <c r="E272" s="347" t="str">
        <f>IF($A272="","",IF($J272="DIESEL",SUMIFS(Table1[Amount],Table1[Customer],$M$3,Table1[Date],$A272,Table1[Bill No.],$B272),IF($J272="PETROL",SUMIFS(Table14[Amount],Table14[Customer],$M$3,Table14[Date],$A272,Table14[Bill No.],$B272),IF($J272="XtraGreen",SUMIFS(Table146[Amount],Table146[Company],$M$3,Table146[Date],$A272,Table146[Bill No.],$B272),SUMIFS('Other Sale'!$D:$D,'Other Sale'!$E:$E,$M$3,'Other Sale'!$C:$C,$J272,'Other Sale'!$A:$A,$A272)))))</f>
        <v/>
      </c>
      <c r="F272" s="347" t="str" cm="1">
        <f t="array" ref="F272">IF($A272="","",IF($J272="Payment",IFERROR(INDEX(_xlfn._xlws.FILTER(MasterPaid[Amount Paid],(MasterPaid[Customer]=$M$3)*(MasterPaid[Date]=$A272)),COUNTIFS($A$6:$A272,$A272,$J$6:$J272,"Payment")),0),0))</f>
        <v/>
      </c>
      <c r="G272" s="331"/>
      <c r="H272" s="427"/>
      <c r="I272" s="330" t="str">
        <f t="shared" si="13"/>
        <v/>
      </c>
      <c r="J272" s="344" t="str" cm="1">
        <f t="array" ref="J272">IFERROR(INDEX(_xlfn.ANCHORARRAY($P$6),ROW()-5,3),"")</f>
        <v/>
      </c>
      <c r="K272" s="432"/>
      <c r="L272" s="348"/>
    </row>
    <row r="273" spans="1:12" ht="23" x14ac:dyDescent="0.25">
      <c r="A273" s="217" t="str" cm="1">
        <f t="array" ref="A273">IFERROR(INDEX(_xlfn.ANCHORARRAY($P$6),ROW()-5,1),"")</f>
        <v/>
      </c>
      <c r="B273" s="344" t="str" cm="1">
        <f t="array" ref="B273">IFERROR(INDEX(_xlfn.ANCHORARRAY($P$6),ROW()-5,2),"")</f>
        <v/>
      </c>
      <c r="C273" s="345" t="str">
        <f>IF($A273="","",IF($J273="DIESEL",SUMIFS(Table1[Quantity],Table1[Customer],$M$3,Table1[Date],$A273,Table1[Bill No.],$B273),IF($J273="PETROL",SUMIFS(Table14[Quantity],Table14[Customer],$M$3,Table14[Date],$A273,Table14[Bill No.],$B273),IF($J273="XtraGreen",SUMIFS(Table146[Quantity],Table146[Company],$M$3,Table146[Date],$A273,Table146[Bill No.],$B273),""))))</f>
        <v/>
      </c>
      <c r="D273" s="346" t="str">
        <f>IF($A273="","",IF($J273="DIESEL",AVERAGEIFS(Table1[RSP],Table1[Customer],$M$3,Table1[Date],$A273,Table1[Bill No.],$B273),IF($J273="PETROL",AVERAGEIFS(Table14[RSP],Table14[Customer],$M$3,Table14[Date],$A273,Table14[Bill No.],$B273),IF($J273="XtraGreen",AVERAGEIFS(Table146[RSP],Table146[Company],$M$3,Table146[Date],$A273,Table146[Bill No.],$B273),IFERROR($E273/$C273,"")))))</f>
        <v/>
      </c>
      <c r="E273" s="347" t="str">
        <f>IF($A273="","",IF($J273="DIESEL",SUMIFS(Table1[Amount],Table1[Customer],$M$3,Table1[Date],$A273,Table1[Bill No.],$B273),IF($J273="PETROL",SUMIFS(Table14[Amount],Table14[Customer],$M$3,Table14[Date],$A273,Table14[Bill No.],$B273),IF($J273="XtraGreen",SUMIFS(Table146[Amount],Table146[Company],$M$3,Table146[Date],$A273,Table146[Bill No.],$B273),SUMIFS('Other Sale'!$D:$D,'Other Sale'!$E:$E,$M$3,'Other Sale'!$C:$C,$J273,'Other Sale'!$A:$A,$A273)))))</f>
        <v/>
      </c>
      <c r="F273" s="347" t="str" cm="1">
        <f t="array" ref="F273">IF($A273="","",IF($J273="Payment",IFERROR(INDEX(_xlfn._xlws.FILTER(MasterPaid[Amount Paid],(MasterPaid[Customer]=$M$3)*(MasterPaid[Date]=$A273)),COUNTIFS($A$6:$A273,$A273,$J$6:$J273,"Payment")),0),0))</f>
        <v/>
      </c>
      <c r="G273" s="331"/>
      <c r="H273" s="427"/>
      <c r="I273" s="330" t="str">
        <f t="shared" si="13"/>
        <v/>
      </c>
      <c r="J273" s="344" t="str" cm="1">
        <f t="array" ref="J273">IFERROR(INDEX(_xlfn.ANCHORARRAY($P$6),ROW()-5,3),"")</f>
        <v/>
      </c>
      <c r="K273" s="432"/>
      <c r="L273" s="348"/>
    </row>
    <row r="274" spans="1:12" ht="23" x14ac:dyDescent="0.25">
      <c r="A274" s="217" t="str" cm="1">
        <f t="array" ref="A274">IFERROR(INDEX(_xlfn.ANCHORARRAY($P$6),ROW()-5,1),"")</f>
        <v/>
      </c>
      <c r="B274" s="344" t="str" cm="1">
        <f t="array" ref="B274">IFERROR(INDEX(_xlfn.ANCHORARRAY($P$6),ROW()-5,2),"")</f>
        <v/>
      </c>
      <c r="C274" s="345" t="str">
        <f>IF($A274="","",IF($J274="DIESEL",SUMIFS(Table1[Quantity],Table1[Customer],$M$3,Table1[Date],$A274,Table1[Bill No.],$B274),IF($J274="PETROL",SUMIFS(Table14[Quantity],Table14[Customer],$M$3,Table14[Date],$A274,Table14[Bill No.],$B274),IF($J274="XtraGreen",SUMIFS(Table146[Quantity],Table146[Company],$M$3,Table146[Date],$A274,Table146[Bill No.],$B274),""))))</f>
        <v/>
      </c>
      <c r="D274" s="346" t="str">
        <f>IF($A274="","",IF($J274="DIESEL",AVERAGEIFS(Table1[RSP],Table1[Customer],$M$3,Table1[Date],$A274,Table1[Bill No.],$B274),IF($J274="PETROL",AVERAGEIFS(Table14[RSP],Table14[Customer],$M$3,Table14[Date],$A274,Table14[Bill No.],$B274),IF($J274="XtraGreen",AVERAGEIFS(Table146[RSP],Table146[Company],$M$3,Table146[Date],$A274,Table146[Bill No.],$B274),IFERROR($E274/$C274,"")))))</f>
        <v/>
      </c>
      <c r="E274" s="347" t="str">
        <f>IF($A274="","",IF($J274="DIESEL",SUMIFS(Table1[Amount],Table1[Customer],$M$3,Table1[Date],$A274,Table1[Bill No.],$B274),IF($J274="PETROL",SUMIFS(Table14[Amount],Table14[Customer],$M$3,Table14[Date],$A274,Table14[Bill No.],$B274),IF($J274="XtraGreen",SUMIFS(Table146[Amount],Table146[Company],$M$3,Table146[Date],$A274,Table146[Bill No.],$B274),SUMIFS('Other Sale'!$D:$D,'Other Sale'!$E:$E,$M$3,'Other Sale'!$C:$C,$J274,'Other Sale'!$A:$A,$A274)))))</f>
        <v/>
      </c>
      <c r="F274" s="347" t="str" cm="1">
        <f t="array" ref="F274">IF($A274="","",IF($J274="Payment",IFERROR(INDEX(_xlfn._xlws.FILTER(MasterPaid[Amount Paid],(MasterPaid[Customer]=$M$3)*(MasterPaid[Date]=$A274)),COUNTIFS($A$6:$A274,$A274,$J$6:$J274,"Payment")),0),0))</f>
        <v/>
      </c>
      <c r="G274" s="331"/>
      <c r="H274" s="427"/>
      <c r="I274" s="330" t="str">
        <f t="shared" si="13"/>
        <v/>
      </c>
      <c r="J274" s="344" t="str" cm="1">
        <f t="array" ref="J274">IFERROR(INDEX(_xlfn.ANCHORARRAY($P$6),ROW()-5,3),"")</f>
        <v/>
      </c>
      <c r="K274" s="432"/>
      <c r="L274" s="348"/>
    </row>
    <row r="275" spans="1:12" ht="23" x14ac:dyDescent="0.25">
      <c r="A275" s="217" t="str" cm="1">
        <f t="array" ref="A275">IFERROR(INDEX(_xlfn.ANCHORARRAY($P$6),ROW()-5,1),"")</f>
        <v/>
      </c>
      <c r="B275" s="344" t="str" cm="1">
        <f t="array" ref="B275">IFERROR(INDEX(_xlfn.ANCHORARRAY($P$6),ROW()-5,2),"")</f>
        <v/>
      </c>
      <c r="C275" s="345" t="str">
        <f>IF($A275="","",IF($J275="DIESEL",SUMIFS(Table1[Quantity],Table1[Customer],$M$3,Table1[Date],$A275,Table1[Bill No.],$B275),IF($J275="PETROL",SUMIFS(Table14[Quantity],Table14[Customer],$M$3,Table14[Date],$A275,Table14[Bill No.],$B275),IF($J275="XtraGreen",SUMIFS(Table146[Quantity],Table146[Company],$M$3,Table146[Date],$A275,Table146[Bill No.],$B275),""))))</f>
        <v/>
      </c>
      <c r="D275" s="346" t="str">
        <f>IF($A275="","",IF($J275="DIESEL",AVERAGEIFS(Table1[RSP],Table1[Customer],$M$3,Table1[Date],$A275,Table1[Bill No.],$B275),IF($J275="PETROL",AVERAGEIFS(Table14[RSP],Table14[Customer],$M$3,Table14[Date],$A275,Table14[Bill No.],$B275),IF($J275="XtraGreen",AVERAGEIFS(Table146[RSP],Table146[Company],$M$3,Table146[Date],$A275,Table146[Bill No.],$B275),IFERROR($E275/$C275,"")))))</f>
        <v/>
      </c>
      <c r="E275" s="347" t="str">
        <f>IF($A275="","",IF($J275="DIESEL",SUMIFS(Table1[Amount],Table1[Customer],$M$3,Table1[Date],$A275,Table1[Bill No.],$B275),IF($J275="PETROL",SUMIFS(Table14[Amount],Table14[Customer],$M$3,Table14[Date],$A275,Table14[Bill No.],$B275),IF($J275="XtraGreen",SUMIFS(Table146[Amount],Table146[Company],$M$3,Table146[Date],$A275,Table146[Bill No.],$B275),SUMIFS('Other Sale'!$D:$D,'Other Sale'!$E:$E,$M$3,'Other Sale'!$C:$C,$J275,'Other Sale'!$A:$A,$A275)))))</f>
        <v/>
      </c>
      <c r="F275" s="347" t="str" cm="1">
        <f t="array" ref="F275">IF($A275="","",IF($J275="Payment",IFERROR(INDEX(_xlfn._xlws.FILTER(MasterPaid[Amount Paid],(MasterPaid[Customer]=$M$3)*(MasterPaid[Date]=$A275)),COUNTIFS($A$6:$A275,$A275,$J$6:$J275,"Payment")),0),0))</f>
        <v/>
      </c>
      <c r="G275" s="331"/>
      <c r="H275" s="427"/>
      <c r="I275" s="330" t="str">
        <f t="shared" si="13"/>
        <v/>
      </c>
      <c r="J275" s="344" t="str" cm="1">
        <f t="array" ref="J275">IFERROR(INDEX(_xlfn.ANCHORARRAY($P$6),ROW()-5,3),"")</f>
        <v/>
      </c>
      <c r="K275" s="432"/>
      <c r="L275" s="348"/>
    </row>
    <row r="276" spans="1:12" ht="23" x14ac:dyDescent="0.25">
      <c r="A276" s="217" t="str" cm="1">
        <f t="array" ref="A276">IFERROR(INDEX(_xlfn.ANCHORARRAY($P$6),ROW()-5,1),"")</f>
        <v/>
      </c>
      <c r="B276" s="344" t="str" cm="1">
        <f t="array" ref="B276">IFERROR(INDEX(_xlfn.ANCHORARRAY($P$6),ROW()-5,2),"")</f>
        <v/>
      </c>
      <c r="C276" s="345" t="str">
        <f>IF($A276="","",IF($J276="DIESEL",SUMIFS(Table1[Quantity],Table1[Customer],$M$3,Table1[Date],$A276,Table1[Bill No.],$B276),IF($J276="PETROL",SUMIFS(Table14[Quantity],Table14[Customer],$M$3,Table14[Date],$A276,Table14[Bill No.],$B276),IF($J276="XtraGreen",SUMIFS(Table146[Quantity],Table146[Company],$M$3,Table146[Date],$A276,Table146[Bill No.],$B276),""))))</f>
        <v/>
      </c>
      <c r="D276" s="346" t="str">
        <f>IF($A276="","",IF($J276="DIESEL",AVERAGEIFS(Table1[RSP],Table1[Customer],$M$3,Table1[Date],$A276,Table1[Bill No.],$B276),IF($J276="PETROL",AVERAGEIFS(Table14[RSP],Table14[Customer],$M$3,Table14[Date],$A276,Table14[Bill No.],$B276),IF($J276="XtraGreen",AVERAGEIFS(Table146[RSP],Table146[Company],$M$3,Table146[Date],$A276,Table146[Bill No.],$B276),IFERROR($E276/$C276,"")))))</f>
        <v/>
      </c>
      <c r="E276" s="347" t="str">
        <f>IF($A276="","",IF($J276="DIESEL",SUMIFS(Table1[Amount],Table1[Customer],$M$3,Table1[Date],$A276,Table1[Bill No.],$B276),IF($J276="PETROL",SUMIFS(Table14[Amount],Table14[Customer],$M$3,Table14[Date],$A276,Table14[Bill No.],$B276),IF($J276="XtraGreen",SUMIFS(Table146[Amount],Table146[Company],$M$3,Table146[Date],$A276,Table146[Bill No.],$B276),SUMIFS('Other Sale'!$D:$D,'Other Sale'!$E:$E,$M$3,'Other Sale'!$C:$C,$J276,'Other Sale'!$A:$A,$A276)))))</f>
        <v/>
      </c>
      <c r="F276" s="347" t="str" cm="1">
        <f t="array" ref="F276">IF($A276="","",IF($J276="Payment",IFERROR(INDEX(_xlfn._xlws.FILTER(MasterPaid[Amount Paid],(MasterPaid[Customer]=$M$3)*(MasterPaid[Date]=$A276)),COUNTIFS($A$6:$A276,$A276,$J$6:$J276,"Payment")),0),0))</f>
        <v/>
      </c>
      <c r="G276" s="331"/>
      <c r="H276" s="427"/>
      <c r="I276" s="330" t="str">
        <f t="shared" si="13"/>
        <v/>
      </c>
      <c r="J276" s="344" t="str" cm="1">
        <f t="array" ref="J276">IFERROR(INDEX(_xlfn.ANCHORARRAY($P$6),ROW()-5,3),"")</f>
        <v/>
      </c>
      <c r="K276" s="432"/>
      <c r="L276" s="348"/>
    </row>
    <row r="277" spans="1:12" ht="23" x14ac:dyDescent="0.25">
      <c r="A277" s="217" t="str" cm="1">
        <f t="array" ref="A277">IFERROR(INDEX(_xlfn.ANCHORARRAY($P$6),ROW()-5,1),"")</f>
        <v/>
      </c>
      <c r="B277" s="344" t="str" cm="1">
        <f t="array" ref="B277">IFERROR(INDEX(_xlfn.ANCHORARRAY($P$6),ROW()-5,2),"")</f>
        <v/>
      </c>
      <c r="C277" s="345" t="str">
        <f>IF($A277="","",IF($J277="DIESEL",SUMIFS(Table1[Quantity],Table1[Customer],$M$3,Table1[Date],$A277,Table1[Bill No.],$B277),IF($J277="PETROL",SUMIFS(Table14[Quantity],Table14[Customer],$M$3,Table14[Date],$A277,Table14[Bill No.],$B277),IF($J277="XtraGreen",SUMIFS(Table146[Quantity],Table146[Company],$M$3,Table146[Date],$A277,Table146[Bill No.],$B277),""))))</f>
        <v/>
      </c>
      <c r="D277" s="346" t="str">
        <f>IF($A277="","",IF($J277="DIESEL",AVERAGEIFS(Table1[RSP],Table1[Customer],$M$3,Table1[Date],$A277,Table1[Bill No.],$B277),IF($J277="PETROL",AVERAGEIFS(Table14[RSP],Table14[Customer],$M$3,Table14[Date],$A277,Table14[Bill No.],$B277),IF($J277="XtraGreen",AVERAGEIFS(Table146[RSP],Table146[Company],$M$3,Table146[Date],$A277,Table146[Bill No.],$B277),IFERROR($E277/$C277,"")))))</f>
        <v/>
      </c>
      <c r="E277" s="347" t="str">
        <f>IF($A277="","",IF($J277="DIESEL",SUMIFS(Table1[Amount],Table1[Customer],$M$3,Table1[Date],$A277,Table1[Bill No.],$B277),IF($J277="PETROL",SUMIFS(Table14[Amount],Table14[Customer],$M$3,Table14[Date],$A277,Table14[Bill No.],$B277),IF($J277="XtraGreen",SUMIFS(Table146[Amount],Table146[Company],$M$3,Table146[Date],$A277,Table146[Bill No.],$B277),SUMIFS('Other Sale'!$D:$D,'Other Sale'!$E:$E,$M$3,'Other Sale'!$C:$C,$J277,'Other Sale'!$A:$A,$A277)))))</f>
        <v/>
      </c>
      <c r="F277" s="347" t="str" cm="1">
        <f t="array" ref="F277">IF($A277="","",IF($J277="Payment",IFERROR(INDEX(_xlfn._xlws.FILTER(MasterPaid[Amount Paid],(MasterPaid[Customer]=$M$3)*(MasterPaid[Date]=$A277)),COUNTIFS($A$6:$A277,$A277,$J$6:$J277,"Payment")),0),0))</f>
        <v/>
      </c>
      <c r="G277" s="331"/>
      <c r="H277" s="427"/>
      <c r="I277" s="330" t="str">
        <f t="shared" si="13"/>
        <v/>
      </c>
      <c r="J277" s="344" t="str" cm="1">
        <f t="array" ref="J277">IFERROR(INDEX(_xlfn.ANCHORARRAY($P$6),ROW()-5,3),"")</f>
        <v/>
      </c>
      <c r="K277" s="432"/>
      <c r="L277" s="348"/>
    </row>
    <row r="278" spans="1:12" ht="23" x14ac:dyDescent="0.25">
      <c r="A278" s="217" t="str" cm="1">
        <f t="array" ref="A278">IFERROR(INDEX(_xlfn.ANCHORARRAY($P$6),ROW()-5,1),"")</f>
        <v/>
      </c>
      <c r="B278" s="344" t="str" cm="1">
        <f t="array" ref="B278">IFERROR(INDEX(_xlfn.ANCHORARRAY($P$6),ROW()-5,2),"")</f>
        <v/>
      </c>
      <c r="C278" s="345" t="str">
        <f>IF($A278="","",IF($J278="DIESEL",SUMIFS(Table1[Quantity],Table1[Customer],$M$3,Table1[Date],$A278,Table1[Bill No.],$B278),IF($J278="PETROL",SUMIFS(Table14[Quantity],Table14[Customer],$M$3,Table14[Date],$A278,Table14[Bill No.],$B278),IF($J278="XtraGreen",SUMIFS(Table146[Quantity],Table146[Company],$M$3,Table146[Date],$A278,Table146[Bill No.],$B278),""))))</f>
        <v/>
      </c>
      <c r="D278" s="346" t="str">
        <f>IF($A278="","",IF($J278="DIESEL",AVERAGEIFS(Table1[RSP],Table1[Customer],$M$3,Table1[Date],$A278,Table1[Bill No.],$B278),IF($J278="PETROL",AVERAGEIFS(Table14[RSP],Table14[Customer],$M$3,Table14[Date],$A278,Table14[Bill No.],$B278),IF($J278="XtraGreen",AVERAGEIFS(Table146[RSP],Table146[Company],$M$3,Table146[Date],$A278,Table146[Bill No.],$B278),IFERROR($E278/$C278,"")))))</f>
        <v/>
      </c>
      <c r="E278" s="347" t="str">
        <f>IF($A278="","",IF($J278="DIESEL",SUMIFS(Table1[Amount],Table1[Customer],$M$3,Table1[Date],$A278,Table1[Bill No.],$B278),IF($J278="PETROL",SUMIFS(Table14[Amount],Table14[Customer],$M$3,Table14[Date],$A278,Table14[Bill No.],$B278),IF($J278="XtraGreen",SUMIFS(Table146[Amount],Table146[Company],$M$3,Table146[Date],$A278,Table146[Bill No.],$B278),SUMIFS('Other Sale'!$D:$D,'Other Sale'!$E:$E,$M$3,'Other Sale'!$C:$C,$J278,'Other Sale'!$A:$A,$A278)))))</f>
        <v/>
      </c>
      <c r="F278" s="347" t="str" cm="1">
        <f t="array" ref="F278">IF($A278="","",IF($J278="Payment",IFERROR(INDEX(_xlfn._xlws.FILTER(MasterPaid[Amount Paid],(MasterPaid[Customer]=$M$3)*(MasterPaid[Date]=$A278)),COUNTIFS($A$6:$A278,$A278,$J$6:$J278,"Payment")),0),0))</f>
        <v/>
      </c>
      <c r="G278" s="331"/>
      <c r="H278" s="427"/>
      <c r="I278" s="330" t="str">
        <f t="shared" si="13"/>
        <v/>
      </c>
      <c r="J278" s="344" t="str" cm="1">
        <f t="array" ref="J278">IFERROR(INDEX(_xlfn.ANCHORARRAY($P$6),ROW()-5,3),"")</f>
        <v/>
      </c>
      <c r="K278" s="432"/>
      <c r="L278" s="348"/>
    </row>
    <row r="279" spans="1:12" ht="23" x14ac:dyDescent="0.25">
      <c r="A279" s="217" t="str" cm="1">
        <f t="array" ref="A279">IFERROR(INDEX(_xlfn.ANCHORARRAY($P$6),ROW()-5,1),"")</f>
        <v/>
      </c>
      <c r="B279" s="344" t="str" cm="1">
        <f t="array" ref="B279">IFERROR(INDEX(_xlfn.ANCHORARRAY($P$6),ROW()-5,2),"")</f>
        <v/>
      </c>
      <c r="C279" s="345" t="str">
        <f>IF($A279="","",IF($J279="DIESEL",SUMIFS(Table1[Quantity],Table1[Customer],$M$3,Table1[Date],$A279,Table1[Bill No.],$B279),IF($J279="PETROL",SUMIFS(Table14[Quantity],Table14[Customer],$M$3,Table14[Date],$A279,Table14[Bill No.],$B279),IF($J279="XtraGreen",SUMIFS(Table146[Quantity],Table146[Company],$M$3,Table146[Date],$A279,Table146[Bill No.],$B279),""))))</f>
        <v/>
      </c>
      <c r="D279" s="346" t="str">
        <f>IF($A279="","",IF($J279="DIESEL",AVERAGEIFS(Table1[RSP],Table1[Customer],$M$3,Table1[Date],$A279,Table1[Bill No.],$B279),IF($J279="PETROL",AVERAGEIFS(Table14[RSP],Table14[Customer],$M$3,Table14[Date],$A279,Table14[Bill No.],$B279),IF($J279="XtraGreen",AVERAGEIFS(Table146[RSP],Table146[Company],$M$3,Table146[Date],$A279,Table146[Bill No.],$B279),IFERROR($E279/$C279,"")))))</f>
        <v/>
      </c>
      <c r="E279" s="347" t="str">
        <f>IF($A279="","",IF($J279="DIESEL",SUMIFS(Table1[Amount],Table1[Customer],$M$3,Table1[Date],$A279,Table1[Bill No.],$B279),IF($J279="PETROL",SUMIFS(Table14[Amount],Table14[Customer],$M$3,Table14[Date],$A279,Table14[Bill No.],$B279),IF($J279="XtraGreen",SUMIFS(Table146[Amount],Table146[Company],$M$3,Table146[Date],$A279,Table146[Bill No.],$B279),SUMIFS('Other Sale'!$D:$D,'Other Sale'!$E:$E,$M$3,'Other Sale'!$C:$C,$J279,'Other Sale'!$A:$A,$A279)))))</f>
        <v/>
      </c>
      <c r="F279" s="347" t="str" cm="1">
        <f t="array" ref="F279">IF($A279="","",IF($J279="Payment",IFERROR(INDEX(_xlfn._xlws.FILTER(MasterPaid[Amount Paid],(MasterPaid[Customer]=$M$3)*(MasterPaid[Date]=$A279)),COUNTIFS($A$6:$A279,$A279,$J$6:$J279,"Payment")),0),0))</f>
        <v/>
      </c>
      <c r="G279" s="331"/>
      <c r="H279" s="427"/>
      <c r="I279" s="330" t="str">
        <f t="shared" si="13"/>
        <v/>
      </c>
      <c r="J279" s="344" t="str" cm="1">
        <f t="array" ref="J279">IFERROR(INDEX(_xlfn.ANCHORARRAY($P$6),ROW()-5,3),"")</f>
        <v/>
      </c>
      <c r="K279" s="432"/>
      <c r="L279" s="348"/>
    </row>
    <row r="280" spans="1:12" ht="23" x14ac:dyDescent="0.25">
      <c r="A280" s="217" t="str" cm="1">
        <f t="array" ref="A280">IFERROR(INDEX(_xlfn.ANCHORARRAY($P$6),ROW()-5,1),"")</f>
        <v/>
      </c>
      <c r="B280" s="344" t="str" cm="1">
        <f t="array" ref="B280">IFERROR(INDEX(_xlfn.ANCHORARRAY($P$6),ROW()-5,2),"")</f>
        <v/>
      </c>
      <c r="C280" s="345" t="str">
        <f>IF($A280="","",IF($J280="DIESEL",SUMIFS(Table1[Quantity],Table1[Customer],$M$3,Table1[Date],$A280,Table1[Bill No.],$B280),IF($J280="PETROL",SUMIFS(Table14[Quantity],Table14[Customer],$M$3,Table14[Date],$A280,Table14[Bill No.],$B280),IF($J280="XtraGreen",SUMIFS(Table146[Quantity],Table146[Company],$M$3,Table146[Date],$A280,Table146[Bill No.],$B280),""))))</f>
        <v/>
      </c>
      <c r="D280" s="346" t="str">
        <f>IF($A280="","",IF($J280="DIESEL",AVERAGEIFS(Table1[RSP],Table1[Customer],$M$3,Table1[Date],$A280,Table1[Bill No.],$B280),IF($J280="PETROL",AVERAGEIFS(Table14[RSP],Table14[Customer],$M$3,Table14[Date],$A280,Table14[Bill No.],$B280),IF($J280="XtraGreen",AVERAGEIFS(Table146[RSP],Table146[Company],$M$3,Table146[Date],$A280,Table146[Bill No.],$B280),IFERROR($E280/$C280,"")))))</f>
        <v/>
      </c>
      <c r="E280" s="347" t="str">
        <f>IF($A280="","",IF($J280="DIESEL",SUMIFS(Table1[Amount],Table1[Customer],$M$3,Table1[Date],$A280,Table1[Bill No.],$B280),IF($J280="PETROL",SUMIFS(Table14[Amount],Table14[Customer],$M$3,Table14[Date],$A280,Table14[Bill No.],$B280),IF($J280="XtraGreen",SUMIFS(Table146[Amount],Table146[Company],$M$3,Table146[Date],$A280,Table146[Bill No.],$B280),SUMIFS('Other Sale'!$D:$D,'Other Sale'!$E:$E,$M$3,'Other Sale'!$C:$C,$J280,'Other Sale'!$A:$A,$A280)))))</f>
        <v/>
      </c>
      <c r="F280" s="347" t="str" cm="1">
        <f t="array" ref="F280">IF($A280="","",IF($J280="Payment",IFERROR(INDEX(_xlfn._xlws.FILTER(MasterPaid[Amount Paid],(MasterPaid[Customer]=$M$3)*(MasterPaid[Date]=$A280)),COUNTIFS($A$6:$A280,$A280,$J$6:$J280,"Payment")),0),0))</f>
        <v/>
      </c>
      <c r="G280" s="331"/>
      <c r="H280" s="427"/>
      <c r="I280" s="330" t="str">
        <f t="shared" si="13"/>
        <v/>
      </c>
      <c r="J280" s="344" t="str" cm="1">
        <f t="array" ref="J280">IFERROR(INDEX(_xlfn.ANCHORARRAY($P$6),ROW()-5,3),"")</f>
        <v/>
      </c>
      <c r="K280" s="432"/>
      <c r="L280" s="348"/>
    </row>
    <row r="281" spans="1:12" ht="23" x14ac:dyDescent="0.25">
      <c r="A281" s="217" t="str" cm="1">
        <f t="array" ref="A281">IFERROR(INDEX(_xlfn.ANCHORARRAY($P$6),ROW()-5,1),"")</f>
        <v/>
      </c>
      <c r="B281" s="344" t="str" cm="1">
        <f t="array" ref="B281">IFERROR(INDEX(_xlfn.ANCHORARRAY($P$6),ROW()-5,2),"")</f>
        <v/>
      </c>
      <c r="C281" s="345" t="str">
        <f>IF($A281="","",IF($J281="DIESEL",SUMIFS(Table1[Quantity],Table1[Customer],$M$3,Table1[Date],$A281,Table1[Bill No.],$B281),IF($J281="PETROL",SUMIFS(Table14[Quantity],Table14[Customer],$M$3,Table14[Date],$A281,Table14[Bill No.],$B281),IF($J281="XtraGreen",SUMIFS(Table146[Quantity],Table146[Company],$M$3,Table146[Date],$A281,Table146[Bill No.],$B281),""))))</f>
        <v/>
      </c>
      <c r="D281" s="346" t="str">
        <f>IF($A281="","",IF($J281="DIESEL",AVERAGEIFS(Table1[RSP],Table1[Customer],$M$3,Table1[Date],$A281,Table1[Bill No.],$B281),IF($J281="PETROL",AVERAGEIFS(Table14[RSP],Table14[Customer],$M$3,Table14[Date],$A281,Table14[Bill No.],$B281),IF($J281="XtraGreen",AVERAGEIFS(Table146[RSP],Table146[Company],$M$3,Table146[Date],$A281,Table146[Bill No.],$B281),IFERROR($E281/$C281,"")))))</f>
        <v/>
      </c>
      <c r="E281" s="347" t="str">
        <f>IF($A281="","",IF($J281="DIESEL",SUMIFS(Table1[Amount],Table1[Customer],$M$3,Table1[Date],$A281,Table1[Bill No.],$B281),IF($J281="PETROL",SUMIFS(Table14[Amount],Table14[Customer],$M$3,Table14[Date],$A281,Table14[Bill No.],$B281),IF($J281="XtraGreen",SUMIFS(Table146[Amount],Table146[Company],$M$3,Table146[Date],$A281,Table146[Bill No.],$B281),SUMIFS('Other Sale'!$D:$D,'Other Sale'!$E:$E,$M$3,'Other Sale'!$C:$C,$J281,'Other Sale'!$A:$A,$A281)))))</f>
        <v/>
      </c>
      <c r="F281" s="347" t="str" cm="1">
        <f t="array" ref="F281">IF($A281="","",IF($J281="Payment",IFERROR(INDEX(_xlfn._xlws.FILTER(MasterPaid[Amount Paid],(MasterPaid[Customer]=$M$3)*(MasterPaid[Date]=$A281)),COUNTIFS($A$6:$A281,$A281,$J$6:$J281,"Payment")),0),0))</f>
        <v/>
      </c>
      <c r="G281" s="331"/>
      <c r="H281" s="427"/>
      <c r="I281" s="330" t="str">
        <f t="shared" si="13"/>
        <v/>
      </c>
      <c r="J281" s="344" t="str" cm="1">
        <f t="array" ref="J281">IFERROR(INDEX(_xlfn.ANCHORARRAY($P$6),ROW()-5,3),"")</f>
        <v/>
      </c>
      <c r="K281" s="432"/>
      <c r="L281" s="348"/>
    </row>
    <row r="282" spans="1:12" ht="23" x14ac:dyDescent="0.25">
      <c r="A282" s="217" t="str" cm="1">
        <f t="array" ref="A282">IFERROR(INDEX(_xlfn.ANCHORARRAY($P$6),ROW()-5,1),"")</f>
        <v/>
      </c>
      <c r="B282" s="344" t="str" cm="1">
        <f t="array" ref="B282">IFERROR(INDEX(_xlfn.ANCHORARRAY($P$6),ROW()-5,2),"")</f>
        <v/>
      </c>
      <c r="C282" s="345" t="str">
        <f>IF($A282="","",IF($J282="DIESEL",SUMIFS(Table1[Quantity],Table1[Customer],$M$3,Table1[Date],$A282,Table1[Bill No.],$B282),IF($J282="PETROL",SUMIFS(Table14[Quantity],Table14[Customer],$M$3,Table14[Date],$A282,Table14[Bill No.],$B282),IF($J282="XtraGreen",SUMIFS(Table146[Quantity],Table146[Company],$M$3,Table146[Date],$A282,Table146[Bill No.],$B282),""))))</f>
        <v/>
      </c>
      <c r="D282" s="346" t="str">
        <f>IF($A282="","",IF($J282="DIESEL",AVERAGEIFS(Table1[RSP],Table1[Customer],$M$3,Table1[Date],$A282,Table1[Bill No.],$B282),IF($J282="PETROL",AVERAGEIFS(Table14[RSP],Table14[Customer],$M$3,Table14[Date],$A282,Table14[Bill No.],$B282),IF($J282="XtraGreen",AVERAGEIFS(Table146[RSP],Table146[Company],$M$3,Table146[Date],$A282,Table146[Bill No.],$B282),IFERROR($E282/$C282,"")))))</f>
        <v/>
      </c>
      <c r="E282" s="347" t="str">
        <f>IF($A282="","",IF($J282="DIESEL",SUMIFS(Table1[Amount],Table1[Customer],$M$3,Table1[Date],$A282,Table1[Bill No.],$B282),IF($J282="PETROL",SUMIFS(Table14[Amount],Table14[Customer],$M$3,Table14[Date],$A282,Table14[Bill No.],$B282),IF($J282="XtraGreen",SUMIFS(Table146[Amount],Table146[Company],$M$3,Table146[Date],$A282,Table146[Bill No.],$B282),SUMIFS('Other Sale'!$D:$D,'Other Sale'!$E:$E,$M$3,'Other Sale'!$C:$C,$J282,'Other Sale'!$A:$A,$A282)))))</f>
        <v/>
      </c>
      <c r="F282" s="347" t="str" cm="1">
        <f t="array" ref="F282">IF($A282="","",IF($J282="Payment",IFERROR(INDEX(_xlfn._xlws.FILTER(MasterPaid[Amount Paid],(MasterPaid[Customer]=$M$3)*(MasterPaid[Date]=$A282)),COUNTIFS($A$6:$A282,$A282,$J$6:$J282,"Payment")),0),0))</f>
        <v/>
      </c>
      <c r="G282" s="331"/>
      <c r="H282" s="427"/>
      <c r="I282" s="330" t="str">
        <f t="shared" si="13"/>
        <v/>
      </c>
      <c r="J282" s="344" t="str" cm="1">
        <f t="array" ref="J282">IFERROR(INDEX(_xlfn.ANCHORARRAY($P$6),ROW()-5,3),"")</f>
        <v/>
      </c>
      <c r="K282" s="432"/>
      <c r="L282" s="348"/>
    </row>
    <row r="283" spans="1:12" ht="23" x14ac:dyDescent="0.25">
      <c r="A283" s="217" t="str" cm="1">
        <f t="array" ref="A283">IFERROR(INDEX(_xlfn.ANCHORARRAY($P$6),ROW()-5,1),"")</f>
        <v/>
      </c>
      <c r="B283" s="344" t="str" cm="1">
        <f t="array" ref="B283">IFERROR(INDEX(_xlfn.ANCHORARRAY($P$6),ROW()-5,2),"")</f>
        <v/>
      </c>
      <c r="C283" s="345" t="str">
        <f>IF($A283="","",IF($J283="DIESEL",SUMIFS(Table1[Quantity],Table1[Customer],$M$3,Table1[Date],$A283,Table1[Bill No.],$B283),IF($J283="PETROL",SUMIFS(Table14[Quantity],Table14[Customer],$M$3,Table14[Date],$A283,Table14[Bill No.],$B283),IF($J283="XtraGreen",SUMIFS(Table146[Quantity],Table146[Company],$M$3,Table146[Date],$A283,Table146[Bill No.],$B283),""))))</f>
        <v/>
      </c>
      <c r="D283" s="346" t="str">
        <f>IF($A283="","",IF($J283="DIESEL",AVERAGEIFS(Table1[RSP],Table1[Customer],$M$3,Table1[Date],$A283,Table1[Bill No.],$B283),IF($J283="PETROL",AVERAGEIFS(Table14[RSP],Table14[Customer],$M$3,Table14[Date],$A283,Table14[Bill No.],$B283),IF($J283="XtraGreen",AVERAGEIFS(Table146[RSP],Table146[Company],$M$3,Table146[Date],$A283,Table146[Bill No.],$B283),IFERROR($E283/$C283,"")))))</f>
        <v/>
      </c>
      <c r="E283" s="347" t="str">
        <f>IF($A283="","",IF($J283="DIESEL",SUMIFS(Table1[Amount],Table1[Customer],$M$3,Table1[Date],$A283,Table1[Bill No.],$B283),IF($J283="PETROL",SUMIFS(Table14[Amount],Table14[Customer],$M$3,Table14[Date],$A283,Table14[Bill No.],$B283),IF($J283="XtraGreen",SUMIFS(Table146[Amount],Table146[Company],$M$3,Table146[Date],$A283,Table146[Bill No.],$B283),SUMIFS('Other Sale'!$D:$D,'Other Sale'!$E:$E,$M$3,'Other Sale'!$C:$C,$J283,'Other Sale'!$A:$A,$A283)))))</f>
        <v/>
      </c>
      <c r="F283" s="347" t="str" cm="1">
        <f t="array" ref="F283">IF($A283="","",IF($J283="Payment",IFERROR(INDEX(_xlfn._xlws.FILTER(MasterPaid[Amount Paid],(MasterPaid[Customer]=$M$3)*(MasterPaid[Date]=$A283)),COUNTIFS($A$6:$A283,$A283,$J$6:$J283,"Payment")),0),0))</f>
        <v/>
      </c>
      <c r="G283" s="331"/>
      <c r="H283" s="427"/>
      <c r="I283" s="330" t="str">
        <f t="shared" si="13"/>
        <v/>
      </c>
      <c r="J283" s="344" t="str" cm="1">
        <f t="array" ref="J283">IFERROR(INDEX(_xlfn.ANCHORARRAY($P$6),ROW()-5,3),"")</f>
        <v/>
      </c>
      <c r="K283" s="432"/>
      <c r="L283" s="348"/>
    </row>
    <row r="284" spans="1:12" ht="23" x14ac:dyDescent="0.25">
      <c r="A284" s="217" t="str" cm="1">
        <f t="array" ref="A284">IFERROR(INDEX(_xlfn.ANCHORARRAY($P$6),ROW()-5,1),"")</f>
        <v/>
      </c>
      <c r="B284" s="344" t="str" cm="1">
        <f t="array" ref="B284">IFERROR(INDEX(_xlfn.ANCHORARRAY($P$6),ROW()-5,2),"")</f>
        <v/>
      </c>
      <c r="C284" s="345" t="str">
        <f>IF($A284="","",IF($J284="DIESEL",SUMIFS(Table1[Quantity],Table1[Customer],$M$3,Table1[Date],$A284,Table1[Bill No.],$B284),IF($J284="PETROL",SUMIFS(Table14[Quantity],Table14[Customer],$M$3,Table14[Date],$A284,Table14[Bill No.],$B284),IF($J284="XtraGreen",SUMIFS(Table146[Quantity],Table146[Company],$M$3,Table146[Date],$A284,Table146[Bill No.],$B284),""))))</f>
        <v/>
      </c>
      <c r="D284" s="346" t="str">
        <f>IF($A284="","",IF($J284="DIESEL",AVERAGEIFS(Table1[RSP],Table1[Customer],$M$3,Table1[Date],$A284,Table1[Bill No.],$B284),IF($J284="PETROL",AVERAGEIFS(Table14[RSP],Table14[Customer],$M$3,Table14[Date],$A284,Table14[Bill No.],$B284),IF($J284="XtraGreen",AVERAGEIFS(Table146[RSP],Table146[Company],$M$3,Table146[Date],$A284,Table146[Bill No.],$B284),IFERROR($E284/$C284,"")))))</f>
        <v/>
      </c>
      <c r="E284" s="347" t="str">
        <f>IF($A284="","",IF($J284="DIESEL",SUMIFS(Table1[Amount],Table1[Customer],$M$3,Table1[Date],$A284,Table1[Bill No.],$B284),IF($J284="PETROL",SUMIFS(Table14[Amount],Table14[Customer],$M$3,Table14[Date],$A284,Table14[Bill No.],$B284),IF($J284="XtraGreen",SUMIFS(Table146[Amount],Table146[Company],$M$3,Table146[Date],$A284,Table146[Bill No.],$B284),SUMIFS('Other Sale'!$D:$D,'Other Sale'!$E:$E,$M$3,'Other Sale'!$C:$C,$J284,'Other Sale'!$A:$A,$A284)))))</f>
        <v/>
      </c>
      <c r="F284" s="347" t="str" cm="1">
        <f t="array" ref="F284">IF($A284="","",IF($J284="Payment",IFERROR(INDEX(_xlfn._xlws.FILTER(MasterPaid[Amount Paid],(MasterPaid[Customer]=$M$3)*(MasterPaid[Date]=$A284)),COUNTIFS($A$6:$A284,$A284,$J$6:$J284,"Payment")),0),0))</f>
        <v/>
      </c>
      <c r="G284" s="331"/>
      <c r="H284" s="427"/>
      <c r="I284" s="330" t="str">
        <f t="shared" si="13"/>
        <v/>
      </c>
      <c r="J284" s="344" t="str" cm="1">
        <f t="array" ref="J284">IFERROR(INDEX(_xlfn.ANCHORARRAY($P$6),ROW()-5,3),"")</f>
        <v/>
      </c>
      <c r="K284" s="432"/>
      <c r="L284" s="348"/>
    </row>
    <row r="285" spans="1:12" ht="23" x14ac:dyDescent="0.25">
      <c r="A285" s="217" t="str" cm="1">
        <f t="array" ref="A285">IFERROR(INDEX(_xlfn.ANCHORARRAY($P$6),ROW()-5,1),"")</f>
        <v/>
      </c>
      <c r="B285" s="344" t="str" cm="1">
        <f t="array" ref="B285">IFERROR(INDEX(_xlfn.ANCHORARRAY($P$6),ROW()-5,2),"")</f>
        <v/>
      </c>
      <c r="C285" s="345" t="str">
        <f>IF($A285="","",IF($J285="DIESEL",SUMIFS(Table1[Quantity],Table1[Customer],$M$3,Table1[Date],$A285,Table1[Bill No.],$B285),IF($J285="PETROL",SUMIFS(Table14[Quantity],Table14[Customer],$M$3,Table14[Date],$A285,Table14[Bill No.],$B285),IF($J285="XtraGreen",SUMIFS(Table146[Quantity],Table146[Company],$M$3,Table146[Date],$A285,Table146[Bill No.],$B285),""))))</f>
        <v/>
      </c>
      <c r="D285" s="346" t="str">
        <f>IF($A285="","",IF($J285="DIESEL",AVERAGEIFS(Table1[RSP],Table1[Customer],$M$3,Table1[Date],$A285,Table1[Bill No.],$B285),IF($J285="PETROL",AVERAGEIFS(Table14[RSP],Table14[Customer],$M$3,Table14[Date],$A285,Table14[Bill No.],$B285),IF($J285="XtraGreen",AVERAGEIFS(Table146[RSP],Table146[Company],$M$3,Table146[Date],$A285,Table146[Bill No.],$B285),IFERROR($E285/$C285,"")))))</f>
        <v/>
      </c>
      <c r="E285" s="347" t="str">
        <f>IF($A285="","",IF($J285="DIESEL",SUMIFS(Table1[Amount],Table1[Customer],$M$3,Table1[Date],$A285,Table1[Bill No.],$B285),IF($J285="PETROL",SUMIFS(Table14[Amount],Table14[Customer],$M$3,Table14[Date],$A285,Table14[Bill No.],$B285),IF($J285="XtraGreen",SUMIFS(Table146[Amount],Table146[Company],$M$3,Table146[Date],$A285,Table146[Bill No.],$B285),SUMIFS('Other Sale'!$D:$D,'Other Sale'!$E:$E,$M$3,'Other Sale'!$C:$C,$J285,'Other Sale'!$A:$A,$A285)))))</f>
        <v/>
      </c>
      <c r="F285" s="347" t="str" cm="1">
        <f t="array" ref="F285">IF($A285="","",IF($J285="Payment",IFERROR(INDEX(_xlfn._xlws.FILTER(MasterPaid[Amount Paid],(MasterPaid[Customer]=$M$3)*(MasterPaid[Date]=$A285)),COUNTIFS($A$6:$A285,$A285,$J$6:$J285,"Payment")),0),0))</f>
        <v/>
      </c>
      <c r="G285" s="331"/>
      <c r="H285" s="427"/>
      <c r="I285" s="330" t="str">
        <f t="shared" si="13"/>
        <v/>
      </c>
      <c r="J285" s="344" t="str" cm="1">
        <f t="array" ref="J285">IFERROR(INDEX(_xlfn.ANCHORARRAY($P$6),ROW()-5,3),"")</f>
        <v/>
      </c>
      <c r="K285" s="432"/>
      <c r="L285" s="348"/>
    </row>
    <row r="286" spans="1:12" ht="23" x14ac:dyDescent="0.25">
      <c r="A286" s="217" t="str" cm="1">
        <f t="array" ref="A286">IFERROR(INDEX(_xlfn.ANCHORARRAY($P$6),ROW()-5,1),"")</f>
        <v/>
      </c>
      <c r="B286" s="344" t="str" cm="1">
        <f t="array" ref="B286">IFERROR(INDEX(_xlfn.ANCHORARRAY($P$6),ROW()-5,2),"")</f>
        <v/>
      </c>
      <c r="C286" s="345" t="str">
        <f>IF($A286="","",IF($J286="DIESEL",SUMIFS(Table1[Quantity],Table1[Customer],$M$3,Table1[Date],$A286,Table1[Bill No.],$B286),IF($J286="PETROL",SUMIFS(Table14[Quantity],Table14[Customer],$M$3,Table14[Date],$A286,Table14[Bill No.],$B286),IF($J286="XtraGreen",SUMIFS(Table146[Quantity],Table146[Company],$M$3,Table146[Date],$A286,Table146[Bill No.],$B286),""))))</f>
        <v/>
      </c>
      <c r="D286" s="346" t="str">
        <f>IF($A286="","",IF($J286="DIESEL",AVERAGEIFS(Table1[RSP],Table1[Customer],$M$3,Table1[Date],$A286,Table1[Bill No.],$B286),IF($J286="PETROL",AVERAGEIFS(Table14[RSP],Table14[Customer],$M$3,Table14[Date],$A286,Table14[Bill No.],$B286),IF($J286="XtraGreen",AVERAGEIFS(Table146[RSP],Table146[Company],$M$3,Table146[Date],$A286,Table146[Bill No.],$B286),IFERROR($E286/$C286,"")))))</f>
        <v/>
      </c>
      <c r="E286" s="347" t="str">
        <f>IF($A286="","",IF($J286="DIESEL",SUMIFS(Table1[Amount],Table1[Customer],$M$3,Table1[Date],$A286,Table1[Bill No.],$B286),IF($J286="PETROL",SUMIFS(Table14[Amount],Table14[Customer],$M$3,Table14[Date],$A286,Table14[Bill No.],$B286),IF($J286="XtraGreen",SUMIFS(Table146[Amount],Table146[Company],$M$3,Table146[Date],$A286,Table146[Bill No.],$B286),SUMIFS('Other Sale'!$D:$D,'Other Sale'!$E:$E,$M$3,'Other Sale'!$C:$C,$J286,'Other Sale'!$A:$A,$A286)))))</f>
        <v/>
      </c>
      <c r="F286" s="347" t="str" cm="1">
        <f t="array" ref="F286">IF($A286="","",IF($J286="Payment",IFERROR(INDEX(_xlfn._xlws.FILTER(MasterPaid[Amount Paid],(MasterPaid[Customer]=$M$3)*(MasterPaid[Date]=$A286)),COUNTIFS($A$6:$A286,$A286,$J$6:$J286,"Payment")),0),0))</f>
        <v/>
      </c>
      <c r="G286" s="331"/>
      <c r="H286" s="427"/>
      <c r="I286" s="330" t="str">
        <f t="shared" si="13"/>
        <v/>
      </c>
      <c r="J286" s="344" t="str" cm="1">
        <f t="array" ref="J286">IFERROR(INDEX(_xlfn.ANCHORARRAY($P$6),ROW()-5,3),"")</f>
        <v/>
      </c>
      <c r="K286" s="432"/>
      <c r="L286" s="348"/>
    </row>
    <row r="287" spans="1:12" ht="23" x14ac:dyDescent="0.25">
      <c r="A287" s="217" t="str" cm="1">
        <f t="array" ref="A287">IFERROR(INDEX(_xlfn.ANCHORARRAY($P$6),ROW()-5,1),"")</f>
        <v/>
      </c>
      <c r="B287" s="344" t="str" cm="1">
        <f t="array" ref="B287">IFERROR(INDEX(_xlfn.ANCHORARRAY($P$6),ROW()-5,2),"")</f>
        <v/>
      </c>
      <c r="C287" s="345" t="str">
        <f>IF($A287="","",IF($J287="DIESEL",SUMIFS(Table1[Quantity],Table1[Customer],$M$3,Table1[Date],$A287,Table1[Bill No.],$B287),IF($J287="PETROL",SUMIFS(Table14[Quantity],Table14[Customer],$M$3,Table14[Date],$A287,Table14[Bill No.],$B287),IF($J287="XtraGreen",SUMIFS(Table146[Quantity],Table146[Company],$M$3,Table146[Date],$A287,Table146[Bill No.],$B287),""))))</f>
        <v/>
      </c>
      <c r="D287" s="346" t="str">
        <f>IF($A287="","",IF($J287="DIESEL",AVERAGEIFS(Table1[RSP],Table1[Customer],$M$3,Table1[Date],$A287,Table1[Bill No.],$B287),IF($J287="PETROL",AVERAGEIFS(Table14[RSP],Table14[Customer],$M$3,Table14[Date],$A287,Table14[Bill No.],$B287),IF($J287="XtraGreen",AVERAGEIFS(Table146[RSP],Table146[Company],$M$3,Table146[Date],$A287,Table146[Bill No.],$B287),IFERROR($E287/$C287,"")))))</f>
        <v/>
      </c>
      <c r="E287" s="347" t="str">
        <f>IF($A287="","",IF($J287="DIESEL",SUMIFS(Table1[Amount],Table1[Customer],$M$3,Table1[Date],$A287,Table1[Bill No.],$B287),IF($J287="PETROL",SUMIFS(Table14[Amount],Table14[Customer],$M$3,Table14[Date],$A287,Table14[Bill No.],$B287),IF($J287="XtraGreen",SUMIFS(Table146[Amount],Table146[Company],$M$3,Table146[Date],$A287,Table146[Bill No.],$B287),SUMIFS('Other Sale'!$D:$D,'Other Sale'!$E:$E,$M$3,'Other Sale'!$C:$C,$J287,'Other Sale'!$A:$A,$A287)))))</f>
        <v/>
      </c>
      <c r="F287" s="347" t="str" cm="1">
        <f t="array" ref="F287">IF($A287="","",IF($J287="Payment",IFERROR(INDEX(_xlfn._xlws.FILTER(MasterPaid[Amount Paid],(MasterPaid[Customer]=$M$3)*(MasterPaid[Date]=$A287)),COUNTIFS($A$6:$A287,$A287,$J$6:$J287,"Payment")),0),0))</f>
        <v/>
      </c>
      <c r="G287" s="331"/>
      <c r="H287" s="427"/>
      <c r="I287" s="330" t="str">
        <f t="shared" si="13"/>
        <v/>
      </c>
      <c r="J287" s="344" t="str" cm="1">
        <f t="array" ref="J287">IFERROR(INDEX(_xlfn.ANCHORARRAY($P$6),ROW()-5,3),"")</f>
        <v/>
      </c>
      <c r="K287" s="432"/>
      <c r="L287" s="348"/>
    </row>
    <row r="288" spans="1:12" ht="23" x14ac:dyDescent="0.25">
      <c r="A288" s="217" t="str" cm="1">
        <f t="array" ref="A288">IFERROR(INDEX(_xlfn.ANCHORARRAY($P$6),ROW()-5,1),"")</f>
        <v/>
      </c>
      <c r="B288" s="344" t="str" cm="1">
        <f t="array" ref="B288">IFERROR(INDEX(_xlfn.ANCHORARRAY($P$6),ROW()-5,2),"")</f>
        <v/>
      </c>
      <c r="C288" s="345" t="str">
        <f>IF($A288="","",IF($J288="DIESEL",SUMIFS(Table1[Quantity],Table1[Customer],$M$3,Table1[Date],$A288,Table1[Bill No.],$B288),IF($J288="PETROL",SUMIFS(Table14[Quantity],Table14[Customer],$M$3,Table14[Date],$A288,Table14[Bill No.],$B288),IF($J288="XtraGreen",SUMIFS(Table146[Quantity],Table146[Company],$M$3,Table146[Date],$A288,Table146[Bill No.],$B288),""))))</f>
        <v/>
      </c>
      <c r="D288" s="346" t="str">
        <f>IF($A288="","",IF($J288="DIESEL",AVERAGEIFS(Table1[RSP],Table1[Customer],$M$3,Table1[Date],$A288,Table1[Bill No.],$B288),IF($J288="PETROL",AVERAGEIFS(Table14[RSP],Table14[Customer],$M$3,Table14[Date],$A288,Table14[Bill No.],$B288),IF($J288="XtraGreen",AVERAGEIFS(Table146[RSP],Table146[Company],$M$3,Table146[Date],$A288,Table146[Bill No.],$B288),IFERROR($E288/$C288,"")))))</f>
        <v/>
      </c>
      <c r="E288" s="347" t="str">
        <f>IF($A288="","",IF($J288="DIESEL",SUMIFS(Table1[Amount],Table1[Customer],$M$3,Table1[Date],$A288,Table1[Bill No.],$B288),IF($J288="PETROL",SUMIFS(Table14[Amount],Table14[Customer],$M$3,Table14[Date],$A288,Table14[Bill No.],$B288),IF($J288="XtraGreen",SUMIFS(Table146[Amount],Table146[Company],$M$3,Table146[Date],$A288,Table146[Bill No.],$B288),SUMIFS('Other Sale'!$D:$D,'Other Sale'!$E:$E,$M$3,'Other Sale'!$C:$C,$J288,'Other Sale'!$A:$A,$A288)))))</f>
        <v/>
      </c>
      <c r="F288" s="347" t="str" cm="1">
        <f t="array" ref="F288">IF($A288="","",IF($J288="Payment",IFERROR(INDEX(_xlfn._xlws.FILTER(MasterPaid[Amount Paid],(MasterPaid[Customer]=$M$3)*(MasterPaid[Date]=$A288)),COUNTIFS($A$6:$A288,$A288,$J$6:$J288,"Payment")),0),0))</f>
        <v/>
      </c>
      <c r="G288" s="331"/>
      <c r="H288" s="427"/>
      <c r="I288" s="330" t="str">
        <f t="shared" si="13"/>
        <v/>
      </c>
      <c r="J288" s="344" t="str" cm="1">
        <f t="array" ref="J288">IFERROR(INDEX(_xlfn.ANCHORARRAY($P$6),ROW()-5,3),"")</f>
        <v/>
      </c>
      <c r="K288" s="432"/>
      <c r="L288" s="348"/>
    </row>
    <row r="289" spans="1:12" ht="23" x14ac:dyDescent="0.25">
      <c r="A289" s="217" t="str" cm="1">
        <f t="array" ref="A289">IFERROR(INDEX(_xlfn.ANCHORARRAY($P$6),ROW()-5,1),"")</f>
        <v/>
      </c>
      <c r="B289" s="344" t="str" cm="1">
        <f t="array" ref="B289">IFERROR(INDEX(_xlfn.ANCHORARRAY($P$6),ROW()-5,2),"")</f>
        <v/>
      </c>
      <c r="C289" s="345" t="str">
        <f>IF($A289="","",IF($J289="DIESEL",SUMIFS(Table1[Quantity],Table1[Customer],$M$3,Table1[Date],$A289,Table1[Bill No.],$B289),IF($J289="PETROL",SUMIFS(Table14[Quantity],Table14[Customer],$M$3,Table14[Date],$A289,Table14[Bill No.],$B289),IF($J289="XtraGreen",SUMIFS(Table146[Quantity],Table146[Company],$M$3,Table146[Date],$A289,Table146[Bill No.],$B289),""))))</f>
        <v/>
      </c>
      <c r="D289" s="346" t="str">
        <f>IF($A289="","",IF($J289="DIESEL",AVERAGEIFS(Table1[RSP],Table1[Customer],$M$3,Table1[Date],$A289,Table1[Bill No.],$B289),IF($J289="PETROL",AVERAGEIFS(Table14[RSP],Table14[Customer],$M$3,Table14[Date],$A289,Table14[Bill No.],$B289),IF($J289="XtraGreen",AVERAGEIFS(Table146[RSP],Table146[Company],$M$3,Table146[Date],$A289,Table146[Bill No.],$B289),IFERROR($E289/$C289,"")))))</f>
        <v/>
      </c>
      <c r="E289" s="347" t="str">
        <f>IF($A289="","",IF($J289="DIESEL",SUMIFS(Table1[Amount],Table1[Customer],$M$3,Table1[Date],$A289,Table1[Bill No.],$B289),IF($J289="PETROL",SUMIFS(Table14[Amount],Table14[Customer],$M$3,Table14[Date],$A289,Table14[Bill No.],$B289),IF($J289="XtraGreen",SUMIFS(Table146[Amount],Table146[Company],$M$3,Table146[Date],$A289,Table146[Bill No.],$B289),SUMIFS('Other Sale'!$D:$D,'Other Sale'!$E:$E,$M$3,'Other Sale'!$C:$C,$J289,'Other Sale'!$A:$A,$A289)))))</f>
        <v/>
      </c>
      <c r="F289" s="347" t="str" cm="1">
        <f t="array" ref="F289">IF($A289="","",IF($J289="Payment",IFERROR(INDEX(_xlfn._xlws.FILTER(MasterPaid[Amount Paid],(MasterPaid[Customer]=$M$3)*(MasterPaid[Date]=$A289)),COUNTIFS($A$6:$A289,$A289,$J$6:$J289,"Payment")),0),0))</f>
        <v/>
      </c>
      <c r="G289" s="331"/>
      <c r="H289" s="427"/>
      <c r="I289" s="330" t="str">
        <f t="shared" si="13"/>
        <v/>
      </c>
      <c r="J289" s="344" t="str" cm="1">
        <f t="array" ref="J289">IFERROR(INDEX(_xlfn.ANCHORARRAY($P$6),ROW()-5,3),"")</f>
        <v/>
      </c>
      <c r="K289" s="432"/>
      <c r="L289" s="348"/>
    </row>
    <row r="290" spans="1:12" ht="23" x14ac:dyDescent="0.25">
      <c r="A290" s="217" t="str" cm="1">
        <f t="array" ref="A290">IFERROR(INDEX(_xlfn.ANCHORARRAY($P$6),ROW()-5,1),"")</f>
        <v/>
      </c>
      <c r="B290" s="344" t="str" cm="1">
        <f t="array" ref="B290">IFERROR(INDEX(_xlfn.ANCHORARRAY($P$6),ROW()-5,2),"")</f>
        <v/>
      </c>
      <c r="C290" s="345" t="str">
        <f>IF($A290="","",IF($J290="DIESEL",SUMIFS(Table1[Quantity],Table1[Customer],$M$3,Table1[Date],$A290,Table1[Bill No.],$B290),IF($J290="PETROL",SUMIFS(Table14[Quantity],Table14[Customer],$M$3,Table14[Date],$A290,Table14[Bill No.],$B290),IF($J290="XtraGreen",SUMIFS(Table146[Quantity],Table146[Company],$M$3,Table146[Date],$A290,Table146[Bill No.],$B290),""))))</f>
        <v/>
      </c>
      <c r="D290" s="346" t="str">
        <f>IF($A290="","",IF($J290="DIESEL",AVERAGEIFS(Table1[RSP],Table1[Customer],$M$3,Table1[Date],$A290,Table1[Bill No.],$B290),IF($J290="PETROL",AVERAGEIFS(Table14[RSP],Table14[Customer],$M$3,Table14[Date],$A290,Table14[Bill No.],$B290),IF($J290="XtraGreen",AVERAGEIFS(Table146[RSP],Table146[Company],$M$3,Table146[Date],$A290,Table146[Bill No.],$B290),IFERROR($E290/$C290,"")))))</f>
        <v/>
      </c>
      <c r="E290" s="347" t="str">
        <f>IF($A290="","",IF($J290="DIESEL",SUMIFS(Table1[Amount],Table1[Customer],$M$3,Table1[Date],$A290,Table1[Bill No.],$B290),IF($J290="PETROL",SUMIFS(Table14[Amount],Table14[Customer],$M$3,Table14[Date],$A290,Table14[Bill No.],$B290),IF($J290="XtraGreen",SUMIFS(Table146[Amount],Table146[Company],$M$3,Table146[Date],$A290,Table146[Bill No.],$B290),SUMIFS('Other Sale'!$D:$D,'Other Sale'!$E:$E,$M$3,'Other Sale'!$C:$C,$J290,'Other Sale'!$A:$A,$A290)))))</f>
        <v/>
      </c>
      <c r="F290" s="347" t="str" cm="1">
        <f t="array" ref="F290">IF($A290="","",IF($J290="Payment",IFERROR(INDEX(_xlfn._xlws.FILTER(MasterPaid[Amount Paid],(MasterPaid[Customer]=$M$3)*(MasterPaid[Date]=$A290)),COUNTIFS($A$6:$A290,$A290,$J$6:$J290,"Payment")),0),0))</f>
        <v/>
      </c>
      <c r="G290" s="331"/>
      <c r="H290" s="427"/>
      <c r="I290" s="330" t="str">
        <f t="shared" si="13"/>
        <v/>
      </c>
      <c r="J290" s="344" t="str" cm="1">
        <f t="array" ref="J290">IFERROR(INDEX(_xlfn.ANCHORARRAY($P$6),ROW()-5,3),"")</f>
        <v/>
      </c>
      <c r="K290" s="432"/>
      <c r="L290" s="348"/>
    </row>
    <row r="291" spans="1:12" ht="23" x14ac:dyDescent="0.25">
      <c r="A291" s="217" t="str" cm="1">
        <f t="array" ref="A291">IFERROR(INDEX(_xlfn.ANCHORARRAY($P$6),ROW()-5,1),"")</f>
        <v/>
      </c>
      <c r="B291" s="344" t="str" cm="1">
        <f t="array" ref="B291">IFERROR(INDEX(_xlfn.ANCHORARRAY($P$6),ROW()-5,2),"")</f>
        <v/>
      </c>
      <c r="C291" s="345" t="str">
        <f>IF($A291="","",IF($J291="DIESEL",SUMIFS(Table1[Quantity],Table1[Customer],$M$3,Table1[Date],$A291,Table1[Bill No.],$B291),IF($J291="PETROL",SUMIFS(Table14[Quantity],Table14[Customer],$M$3,Table14[Date],$A291,Table14[Bill No.],$B291),IF($J291="XtraGreen",SUMIFS(Table146[Quantity],Table146[Company],$M$3,Table146[Date],$A291,Table146[Bill No.],$B291),""))))</f>
        <v/>
      </c>
      <c r="D291" s="346" t="str">
        <f>IF($A291="","",IF($J291="DIESEL",AVERAGEIFS(Table1[RSP],Table1[Customer],$M$3,Table1[Date],$A291,Table1[Bill No.],$B291),IF($J291="PETROL",AVERAGEIFS(Table14[RSP],Table14[Customer],$M$3,Table14[Date],$A291,Table14[Bill No.],$B291),IF($J291="XtraGreen",AVERAGEIFS(Table146[RSP],Table146[Company],$M$3,Table146[Date],$A291,Table146[Bill No.],$B291),IFERROR($E291/$C291,"")))))</f>
        <v/>
      </c>
      <c r="E291" s="347" t="str">
        <f>IF($A291="","",IF($J291="DIESEL",SUMIFS(Table1[Amount],Table1[Customer],$M$3,Table1[Date],$A291,Table1[Bill No.],$B291),IF($J291="PETROL",SUMIFS(Table14[Amount],Table14[Customer],$M$3,Table14[Date],$A291,Table14[Bill No.],$B291),IF($J291="XtraGreen",SUMIFS(Table146[Amount],Table146[Company],$M$3,Table146[Date],$A291,Table146[Bill No.],$B291),SUMIFS('Other Sale'!$D:$D,'Other Sale'!$E:$E,$M$3,'Other Sale'!$C:$C,$J291,'Other Sale'!$A:$A,$A291)))))</f>
        <v/>
      </c>
      <c r="F291" s="347" t="str" cm="1">
        <f t="array" ref="F291">IF($A291="","",IF($J291="Payment",IFERROR(INDEX(_xlfn._xlws.FILTER(MasterPaid[Amount Paid],(MasterPaid[Customer]=$M$3)*(MasterPaid[Date]=$A291)),COUNTIFS($A$6:$A291,$A291,$J$6:$J291,"Payment")),0),0))</f>
        <v/>
      </c>
      <c r="G291" s="331"/>
      <c r="H291" s="427"/>
      <c r="I291" s="330" t="str">
        <f t="shared" si="13"/>
        <v/>
      </c>
      <c r="J291" s="344" t="str" cm="1">
        <f t="array" ref="J291">IFERROR(INDEX(_xlfn.ANCHORARRAY($P$6),ROW()-5,3),"")</f>
        <v/>
      </c>
      <c r="K291" s="432"/>
      <c r="L291" s="348"/>
    </row>
    <row r="292" spans="1:12" ht="23" x14ac:dyDescent="0.25">
      <c r="A292" s="217" t="str" cm="1">
        <f t="array" ref="A292">IFERROR(INDEX(_xlfn.ANCHORARRAY($P$6),ROW()-5,1),"")</f>
        <v/>
      </c>
      <c r="B292" s="344" t="str" cm="1">
        <f t="array" ref="B292">IFERROR(INDEX(_xlfn.ANCHORARRAY($P$6),ROW()-5,2),"")</f>
        <v/>
      </c>
      <c r="C292" s="345" t="str">
        <f>IF($A292="","",IF($J292="DIESEL",SUMIFS(Table1[Quantity],Table1[Customer],$M$3,Table1[Date],$A292,Table1[Bill No.],$B292),IF($J292="PETROL",SUMIFS(Table14[Quantity],Table14[Customer],$M$3,Table14[Date],$A292,Table14[Bill No.],$B292),IF($J292="XtraGreen",SUMIFS(Table146[Quantity],Table146[Company],$M$3,Table146[Date],$A292,Table146[Bill No.],$B292),""))))</f>
        <v/>
      </c>
      <c r="D292" s="346" t="str">
        <f>IF($A292="","",IF($J292="DIESEL",AVERAGEIFS(Table1[RSP],Table1[Customer],$M$3,Table1[Date],$A292,Table1[Bill No.],$B292),IF($J292="PETROL",AVERAGEIFS(Table14[RSP],Table14[Customer],$M$3,Table14[Date],$A292,Table14[Bill No.],$B292),IF($J292="XtraGreen",AVERAGEIFS(Table146[RSP],Table146[Company],$M$3,Table146[Date],$A292,Table146[Bill No.],$B292),IFERROR($E292/$C292,"")))))</f>
        <v/>
      </c>
      <c r="E292" s="347" t="str">
        <f>IF($A292="","",IF($J292="DIESEL",SUMIFS(Table1[Amount],Table1[Customer],$M$3,Table1[Date],$A292,Table1[Bill No.],$B292),IF($J292="PETROL",SUMIFS(Table14[Amount],Table14[Customer],$M$3,Table14[Date],$A292,Table14[Bill No.],$B292),IF($J292="XtraGreen",SUMIFS(Table146[Amount],Table146[Company],$M$3,Table146[Date],$A292,Table146[Bill No.],$B292),SUMIFS('Other Sale'!$D:$D,'Other Sale'!$E:$E,$M$3,'Other Sale'!$C:$C,$J292,'Other Sale'!$A:$A,$A292)))))</f>
        <v/>
      </c>
      <c r="F292" s="347" t="str" cm="1">
        <f t="array" ref="F292">IF($A292="","",IF($J292="Payment",IFERROR(INDEX(_xlfn._xlws.FILTER(MasterPaid[Amount Paid],(MasterPaid[Customer]=$M$3)*(MasterPaid[Date]=$A292)),COUNTIFS($A$6:$A292,$A292,$J$6:$J292,"Payment")),0),0))</f>
        <v/>
      </c>
      <c r="G292" s="331"/>
      <c r="H292" s="427"/>
      <c r="I292" s="330" t="str">
        <f t="shared" si="13"/>
        <v/>
      </c>
      <c r="J292" s="344" t="str" cm="1">
        <f t="array" ref="J292">IFERROR(INDEX(_xlfn.ANCHORARRAY($P$6),ROW()-5,3),"")</f>
        <v/>
      </c>
      <c r="K292" s="432"/>
      <c r="L292" s="348"/>
    </row>
    <row r="293" spans="1:12" ht="23" x14ac:dyDescent="0.25">
      <c r="A293" s="217" t="str" cm="1">
        <f t="array" ref="A293">IFERROR(INDEX(_xlfn.ANCHORARRAY($P$6),ROW()-5,1),"")</f>
        <v/>
      </c>
      <c r="B293" s="344" t="str" cm="1">
        <f t="array" ref="B293">IFERROR(INDEX(_xlfn.ANCHORARRAY($P$6),ROW()-5,2),"")</f>
        <v/>
      </c>
      <c r="C293" s="345" t="str">
        <f>IF($A293="","",IF($J293="DIESEL",SUMIFS(Table1[Quantity],Table1[Customer],$M$3,Table1[Date],$A293,Table1[Bill No.],$B293),IF($J293="PETROL",SUMIFS(Table14[Quantity],Table14[Customer],$M$3,Table14[Date],$A293,Table14[Bill No.],$B293),IF($J293="XtraGreen",SUMIFS(Table146[Quantity],Table146[Company],$M$3,Table146[Date],$A293,Table146[Bill No.],$B293),""))))</f>
        <v/>
      </c>
      <c r="D293" s="346" t="str">
        <f>IF($A293="","",IF($J293="DIESEL",AVERAGEIFS(Table1[RSP],Table1[Customer],$M$3,Table1[Date],$A293,Table1[Bill No.],$B293),IF($J293="PETROL",AVERAGEIFS(Table14[RSP],Table14[Customer],$M$3,Table14[Date],$A293,Table14[Bill No.],$B293),IF($J293="XtraGreen",AVERAGEIFS(Table146[RSP],Table146[Company],$M$3,Table146[Date],$A293,Table146[Bill No.],$B293),IFERROR($E293/$C293,"")))))</f>
        <v/>
      </c>
      <c r="E293" s="347" t="str">
        <f>IF($A293="","",IF($J293="DIESEL",SUMIFS(Table1[Amount],Table1[Customer],$M$3,Table1[Date],$A293,Table1[Bill No.],$B293),IF($J293="PETROL",SUMIFS(Table14[Amount],Table14[Customer],$M$3,Table14[Date],$A293,Table14[Bill No.],$B293),IF($J293="XtraGreen",SUMIFS(Table146[Amount],Table146[Company],$M$3,Table146[Date],$A293,Table146[Bill No.],$B293),SUMIFS('Other Sale'!$D:$D,'Other Sale'!$E:$E,$M$3,'Other Sale'!$C:$C,$J293,'Other Sale'!$A:$A,$A293)))))</f>
        <v/>
      </c>
      <c r="F293" s="347" t="str" cm="1">
        <f t="array" ref="F293">IF($A293="","",IF($J293="Payment",IFERROR(INDEX(_xlfn._xlws.FILTER(MasterPaid[Amount Paid],(MasterPaid[Customer]=$M$3)*(MasterPaid[Date]=$A293)),COUNTIFS($A$6:$A293,$A293,$J$6:$J293,"Payment")),0),0))</f>
        <v/>
      </c>
      <c r="G293" s="331"/>
      <c r="H293" s="427"/>
      <c r="I293" s="330" t="str">
        <f t="shared" si="13"/>
        <v/>
      </c>
      <c r="J293" s="344" t="str" cm="1">
        <f t="array" ref="J293">IFERROR(INDEX(_xlfn.ANCHORARRAY($P$6),ROW()-5,3),"")</f>
        <v/>
      </c>
      <c r="K293" s="432"/>
      <c r="L293" s="348"/>
    </row>
    <row r="294" spans="1:12" ht="23" x14ac:dyDescent="0.25">
      <c r="A294" s="217" t="str" cm="1">
        <f t="array" ref="A294">IFERROR(INDEX(_xlfn.ANCHORARRAY($P$6),ROW()-5,1),"")</f>
        <v/>
      </c>
      <c r="B294" s="344" t="str" cm="1">
        <f t="array" ref="B294">IFERROR(INDEX(_xlfn.ANCHORARRAY($P$6),ROW()-5,2),"")</f>
        <v/>
      </c>
      <c r="C294" s="345" t="str">
        <f>IF($A294="","",IF($J294="DIESEL",SUMIFS(Table1[Quantity],Table1[Customer],$M$3,Table1[Date],$A294,Table1[Bill No.],$B294),IF($J294="PETROL",SUMIFS(Table14[Quantity],Table14[Customer],$M$3,Table14[Date],$A294,Table14[Bill No.],$B294),IF($J294="XtraGreen",SUMIFS(Table146[Quantity],Table146[Company],$M$3,Table146[Date],$A294,Table146[Bill No.],$B294),""))))</f>
        <v/>
      </c>
      <c r="D294" s="346" t="str">
        <f>IF($A294="","",IF($J294="DIESEL",AVERAGEIFS(Table1[RSP],Table1[Customer],$M$3,Table1[Date],$A294,Table1[Bill No.],$B294),IF($J294="PETROL",AVERAGEIFS(Table14[RSP],Table14[Customer],$M$3,Table14[Date],$A294,Table14[Bill No.],$B294),IF($J294="XtraGreen",AVERAGEIFS(Table146[RSP],Table146[Company],$M$3,Table146[Date],$A294,Table146[Bill No.],$B294),IFERROR($E294/$C294,"")))))</f>
        <v/>
      </c>
      <c r="E294" s="347" t="str">
        <f>IF($A294="","",IF($J294="DIESEL",SUMIFS(Table1[Amount],Table1[Customer],$M$3,Table1[Date],$A294,Table1[Bill No.],$B294),IF($J294="PETROL",SUMIFS(Table14[Amount],Table14[Customer],$M$3,Table14[Date],$A294,Table14[Bill No.],$B294),IF($J294="XtraGreen",SUMIFS(Table146[Amount],Table146[Company],$M$3,Table146[Date],$A294,Table146[Bill No.],$B294),SUMIFS('Other Sale'!$D:$D,'Other Sale'!$E:$E,$M$3,'Other Sale'!$C:$C,$J294,'Other Sale'!$A:$A,$A294)))))</f>
        <v/>
      </c>
      <c r="F294" s="347" t="str" cm="1">
        <f t="array" ref="F294">IF($A294="","",IF($J294="Payment",IFERROR(INDEX(_xlfn._xlws.FILTER(MasterPaid[Amount Paid],(MasterPaid[Customer]=$M$3)*(MasterPaid[Date]=$A294)),COUNTIFS($A$6:$A294,$A294,$J$6:$J294,"Payment")),0),0))</f>
        <v/>
      </c>
      <c r="G294" s="331"/>
      <c r="H294" s="427"/>
      <c r="I294" s="330" t="str">
        <f t="shared" si="13"/>
        <v/>
      </c>
      <c r="J294" s="344" t="str" cm="1">
        <f t="array" ref="J294">IFERROR(INDEX(_xlfn.ANCHORARRAY($P$6),ROW()-5,3),"")</f>
        <v/>
      </c>
      <c r="K294" s="432"/>
      <c r="L294" s="348"/>
    </row>
    <row r="295" spans="1:12" ht="23" x14ac:dyDescent="0.25">
      <c r="A295" s="217" t="str" cm="1">
        <f t="array" ref="A295">IFERROR(INDEX(_xlfn.ANCHORARRAY($P$6),ROW()-5,1),"")</f>
        <v/>
      </c>
      <c r="B295" s="344" t="str" cm="1">
        <f t="array" ref="B295">IFERROR(INDEX(_xlfn.ANCHORARRAY($P$6),ROW()-5,2),"")</f>
        <v/>
      </c>
      <c r="C295" s="345" t="str">
        <f>IF($A295="","",IF($J295="DIESEL",SUMIFS(Table1[Quantity],Table1[Customer],$M$3,Table1[Date],$A295,Table1[Bill No.],$B295),IF($J295="PETROL",SUMIFS(Table14[Quantity],Table14[Customer],$M$3,Table14[Date],$A295,Table14[Bill No.],$B295),IF($J295="XtraGreen",SUMIFS(Table146[Quantity],Table146[Company],$M$3,Table146[Date],$A295,Table146[Bill No.],$B295),""))))</f>
        <v/>
      </c>
      <c r="D295" s="346" t="str">
        <f>IF($A295="","",IF($J295="DIESEL",AVERAGEIFS(Table1[RSP],Table1[Customer],$M$3,Table1[Date],$A295,Table1[Bill No.],$B295),IF($J295="PETROL",AVERAGEIFS(Table14[RSP],Table14[Customer],$M$3,Table14[Date],$A295,Table14[Bill No.],$B295),IF($J295="XtraGreen",AVERAGEIFS(Table146[RSP],Table146[Company],$M$3,Table146[Date],$A295,Table146[Bill No.],$B295),IFERROR($E295/$C295,"")))))</f>
        <v/>
      </c>
      <c r="E295" s="347" t="str">
        <f>IF($A295="","",IF($J295="DIESEL",SUMIFS(Table1[Amount],Table1[Customer],$M$3,Table1[Date],$A295,Table1[Bill No.],$B295),IF($J295="PETROL",SUMIFS(Table14[Amount],Table14[Customer],$M$3,Table14[Date],$A295,Table14[Bill No.],$B295),IF($J295="XtraGreen",SUMIFS(Table146[Amount],Table146[Company],$M$3,Table146[Date],$A295,Table146[Bill No.],$B295),SUMIFS('Other Sale'!$D:$D,'Other Sale'!$E:$E,$M$3,'Other Sale'!$C:$C,$J295,'Other Sale'!$A:$A,$A295)))))</f>
        <v/>
      </c>
      <c r="F295" s="347" t="str" cm="1">
        <f t="array" ref="F295">IF($A295="","",IF($J295="Payment",IFERROR(INDEX(_xlfn._xlws.FILTER(MasterPaid[Amount Paid],(MasterPaid[Customer]=$M$3)*(MasterPaid[Date]=$A295)),COUNTIFS($A$6:$A295,$A295,$J$6:$J295,"Payment")),0),0))</f>
        <v/>
      </c>
      <c r="G295" s="331"/>
      <c r="H295" s="427"/>
      <c r="I295" s="330" t="str">
        <f t="shared" si="13"/>
        <v/>
      </c>
      <c r="J295" s="344" t="str" cm="1">
        <f t="array" ref="J295">IFERROR(INDEX(_xlfn.ANCHORARRAY($P$6),ROW()-5,3),"")</f>
        <v/>
      </c>
      <c r="K295" s="432"/>
      <c r="L295" s="348"/>
    </row>
    <row r="296" spans="1:12" ht="23" x14ac:dyDescent="0.25">
      <c r="A296" s="217" t="str" cm="1">
        <f t="array" ref="A296">IFERROR(INDEX(_xlfn.ANCHORARRAY($P$6),ROW()-5,1),"")</f>
        <v/>
      </c>
      <c r="B296" s="344" t="str" cm="1">
        <f t="array" ref="B296">IFERROR(INDEX(_xlfn.ANCHORARRAY($P$6),ROW()-5,2),"")</f>
        <v/>
      </c>
      <c r="C296" s="345" t="str">
        <f>IF($A296="","",IF($J296="DIESEL",SUMIFS(Table1[Quantity],Table1[Customer],$M$3,Table1[Date],$A296,Table1[Bill No.],$B296),IF($J296="PETROL",SUMIFS(Table14[Quantity],Table14[Customer],$M$3,Table14[Date],$A296,Table14[Bill No.],$B296),IF($J296="XtraGreen",SUMIFS(Table146[Quantity],Table146[Company],$M$3,Table146[Date],$A296,Table146[Bill No.],$B296),""))))</f>
        <v/>
      </c>
      <c r="D296" s="346" t="str">
        <f>IF($A296="","",IF($J296="DIESEL",AVERAGEIFS(Table1[RSP],Table1[Customer],$M$3,Table1[Date],$A296,Table1[Bill No.],$B296),IF($J296="PETROL",AVERAGEIFS(Table14[RSP],Table14[Customer],$M$3,Table14[Date],$A296,Table14[Bill No.],$B296),IF($J296="XtraGreen",AVERAGEIFS(Table146[RSP],Table146[Company],$M$3,Table146[Date],$A296,Table146[Bill No.],$B296),IFERROR($E296/$C296,"")))))</f>
        <v/>
      </c>
      <c r="E296" s="347" t="str">
        <f>IF($A296="","",IF($J296="DIESEL",SUMIFS(Table1[Amount],Table1[Customer],$M$3,Table1[Date],$A296,Table1[Bill No.],$B296),IF($J296="PETROL",SUMIFS(Table14[Amount],Table14[Customer],$M$3,Table14[Date],$A296,Table14[Bill No.],$B296),IF($J296="XtraGreen",SUMIFS(Table146[Amount],Table146[Company],$M$3,Table146[Date],$A296,Table146[Bill No.],$B296),SUMIFS('Other Sale'!$D:$D,'Other Sale'!$E:$E,$M$3,'Other Sale'!$C:$C,$J296,'Other Sale'!$A:$A,$A296)))))</f>
        <v/>
      </c>
      <c r="F296" s="347" t="str" cm="1">
        <f t="array" ref="F296">IF($A296="","",IF($J296="Payment",IFERROR(INDEX(_xlfn._xlws.FILTER(MasterPaid[Amount Paid],(MasterPaid[Customer]=$M$3)*(MasterPaid[Date]=$A296)),COUNTIFS($A$6:$A296,$A296,$J$6:$J296,"Payment")),0),0))</f>
        <v/>
      </c>
      <c r="G296" s="331"/>
      <c r="H296" s="427"/>
      <c r="I296" s="330" t="str">
        <f t="shared" si="13"/>
        <v/>
      </c>
      <c r="J296" s="344" t="str" cm="1">
        <f t="array" ref="J296">IFERROR(INDEX(_xlfn.ANCHORARRAY($P$6),ROW()-5,3),"")</f>
        <v/>
      </c>
      <c r="K296" s="432"/>
      <c r="L296" s="348"/>
    </row>
    <row r="297" spans="1:12" ht="23" x14ac:dyDescent="0.25">
      <c r="A297" s="217" t="str" cm="1">
        <f t="array" ref="A297">IFERROR(INDEX(_xlfn.ANCHORARRAY($P$6),ROW()-5,1),"")</f>
        <v/>
      </c>
      <c r="B297" s="344" t="str" cm="1">
        <f t="array" ref="B297">IFERROR(INDEX(_xlfn.ANCHORARRAY($P$6),ROW()-5,2),"")</f>
        <v/>
      </c>
      <c r="C297" s="345" t="str">
        <f>IF($A297="","",IF($J297="DIESEL",SUMIFS(Table1[Quantity],Table1[Customer],$M$3,Table1[Date],$A297,Table1[Bill No.],$B297),IF($J297="PETROL",SUMIFS(Table14[Quantity],Table14[Customer],$M$3,Table14[Date],$A297,Table14[Bill No.],$B297),IF($J297="XtraGreen",SUMIFS(Table146[Quantity],Table146[Company],$M$3,Table146[Date],$A297,Table146[Bill No.],$B297),""))))</f>
        <v/>
      </c>
      <c r="D297" s="346" t="str">
        <f>IF($A297="","",IF($J297="DIESEL",AVERAGEIFS(Table1[RSP],Table1[Customer],$M$3,Table1[Date],$A297,Table1[Bill No.],$B297),IF($J297="PETROL",AVERAGEIFS(Table14[RSP],Table14[Customer],$M$3,Table14[Date],$A297,Table14[Bill No.],$B297),IF($J297="XtraGreen",AVERAGEIFS(Table146[RSP],Table146[Company],$M$3,Table146[Date],$A297,Table146[Bill No.],$B297),IFERROR($E297/$C297,"")))))</f>
        <v/>
      </c>
      <c r="E297" s="347" t="str">
        <f>IF($A297="","",IF($J297="DIESEL",SUMIFS(Table1[Amount],Table1[Customer],$M$3,Table1[Date],$A297,Table1[Bill No.],$B297),IF($J297="PETROL",SUMIFS(Table14[Amount],Table14[Customer],$M$3,Table14[Date],$A297,Table14[Bill No.],$B297),IF($J297="XtraGreen",SUMIFS(Table146[Amount],Table146[Company],$M$3,Table146[Date],$A297,Table146[Bill No.],$B297),SUMIFS('Other Sale'!$D:$D,'Other Sale'!$E:$E,$M$3,'Other Sale'!$C:$C,$J297,'Other Sale'!$A:$A,$A297)))))</f>
        <v/>
      </c>
      <c r="F297" s="347" t="str" cm="1">
        <f t="array" ref="F297">IF($A297="","",IF($J297="Payment",IFERROR(INDEX(_xlfn._xlws.FILTER(MasterPaid[Amount Paid],(MasterPaid[Customer]=$M$3)*(MasterPaid[Date]=$A297)),COUNTIFS($A$6:$A297,$A297,$J$6:$J297,"Payment")),0),0))</f>
        <v/>
      </c>
      <c r="G297" s="331"/>
      <c r="H297" s="427"/>
      <c r="I297" s="330" t="str">
        <f t="shared" si="13"/>
        <v/>
      </c>
      <c r="J297" s="344" t="str" cm="1">
        <f t="array" ref="J297">IFERROR(INDEX(_xlfn.ANCHORARRAY($P$6),ROW()-5,3),"")</f>
        <v/>
      </c>
      <c r="K297" s="432"/>
      <c r="L297" s="348"/>
    </row>
    <row r="298" spans="1:12" ht="23" x14ac:dyDescent="0.25">
      <c r="A298" s="217" t="str" cm="1">
        <f t="array" ref="A298">IFERROR(INDEX(_xlfn.ANCHORARRAY($P$6),ROW()-5,1),"")</f>
        <v/>
      </c>
      <c r="B298" s="344" t="str" cm="1">
        <f t="array" ref="B298">IFERROR(INDEX(_xlfn.ANCHORARRAY($P$6),ROW()-5,2),"")</f>
        <v/>
      </c>
      <c r="C298" s="345" t="str">
        <f>IF($A298="","",IF($J298="DIESEL",SUMIFS(Table1[Quantity],Table1[Customer],$M$3,Table1[Date],$A298,Table1[Bill No.],$B298),IF($J298="PETROL",SUMIFS(Table14[Quantity],Table14[Customer],$M$3,Table14[Date],$A298,Table14[Bill No.],$B298),IF($J298="XtraGreen",SUMIFS(Table146[Quantity],Table146[Company],$M$3,Table146[Date],$A298,Table146[Bill No.],$B298),""))))</f>
        <v/>
      </c>
      <c r="D298" s="346" t="str">
        <f>IF($A298="","",IF($J298="DIESEL",AVERAGEIFS(Table1[RSP],Table1[Customer],$M$3,Table1[Date],$A298,Table1[Bill No.],$B298),IF($J298="PETROL",AVERAGEIFS(Table14[RSP],Table14[Customer],$M$3,Table14[Date],$A298,Table14[Bill No.],$B298),IF($J298="XtraGreen",AVERAGEIFS(Table146[RSP],Table146[Company],$M$3,Table146[Date],$A298,Table146[Bill No.],$B298),IFERROR($E298/$C298,"")))))</f>
        <v/>
      </c>
      <c r="E298" s="347" t="str">
        <f>IF($A298="","",IF($J298="DIESEL",SUMIFS(Table1[Amount],Table1[Customer],$M$3,Table1[Date],$A298,Table1[Bill No.],$B298),IF($J298="PETROL",SUMIFS(Table14[Amount],Table14[Customer],$M$3,Table14[Date],$A298,Table14[Bill No.],$B298),IF($J298="XtraGreen",SUMIFS(Table146[Amount],Table146[Company],$M$3,Table146[Date],$A298,Table146[Bill No.],$B298),SUMIFS('Other Sale'!$D:$D,'Other Sale'!$E:$E,$M$3,'Other Sale'!$C:$C,$J298,'Other Sale'!$A:$A,$A298)))))</f>
        <v/>
      </c>
      <c r="F298" s="347" t="str" cm="1">
        <f t="array" ref="F298">IF($A298="","",IF($J298="Payment",IFERROR(INDEX(_xlfn._xlws.FILTER(MasterPaid[Amount Paid],(MasterPaid[Customer]=$M$3)*(MasterPaid[Date]=$A298)),COUNTIFS($A$6:$A298,$A298,$J$6:$J298,"Payment")),0),0))</f>
        <v/>
      </c>
      <c r="G298" s="331"/>
      <c r="H298" s="427"/>
      <c r="I298" s="330" t="str">
        <f t="shared" si="13"/>
        <v/>
      </c>
      <c r="J298" s="344" t="str" cm="1">
        <f t="array" ref="J298">IFERROR(INDEX(_xlfn.ANCHORARRAY($P$6),ROW()-5,3),"")</f>
        <v/>
      </c>
      <c r="K298" s="432"/>
      <c r="L298" s="348"/>
    </row>
    <row r="299" spans="1:12" ht="23" x14ac:dyDescent="0.25">
      <c r="A299" s="217" t="str" cm="1">
        <f t="array" ref="A299">IFERROR(INDEX(_xlfn.ANCHORARRAY($P$6),ROW()-5,1),"")</f>
        <v/>
      </c>
      <c r="B299" s="344" t="str" cm="1">
        <f t="array" ref="B299">IFERROR(INDEX(_xlfn.ANCHORARRAY($P$6),ROW()-5,2),"")</f>
        <v/>
      </c>
      <c r="C299" s="345" t="str">
        <f>IF($A299="","",IF($J299="DIESEL",SUMIFS(Table1[Quantity],Table1[Customer],$M$3,Table1[Date],$A299,Table1[Bill No.],$B299),IF($J299="PETROL",SUMIFS(Table14[Quantity],Table14[Customer],$M$3,Table14[Date],$A299,Table14[Bill No.],$B299),IF($J299="XtraGreen",SUMIFS(Table146[Quantity],Table146[Company],$M$3,Table146[Date],$A299,Table146[Bill No.],$B299),""))))</f>
        <v/>
      </c>
      <c r="D299" s="346" t="str">
        <f>IF($A299="","",IF($J299="DIESEL",AVERAGEIFS(Table1[RSP],Table1[Customer],$M$3,Table1[Date],$A299,Table1[Bill No.],$B299),IF($J299="PETROL",AVERAGEIFS(Table14[RSP],Table14[Customer],$M$3,Table14[Date],$A299,Table14[Bill No.],$B299),IF($J299="XtraGreen",AVERAGEIFS(Table146[RSP],Table146[Company],$M$3,Table146[Date],$A299,Table146[Bill No.],$B299),IFERROR($E299/$C299,"")))))</f>
        <v/>
      </c>
      <c r="E299" s="347" t="str">
        <f>IF($A299="","",IF($J299="DIESEL",SUMIFS(Table1[Amount],Table1[Customer],$M$3,Table1[Date],$A299,Table1[Bill No.],$B299),IF($J299="PETROL",SUMIFS(Table14[Amount],Table14[Customer],$M$3,Table14[Date],$A299,Table14[Bill No.],$B299),IF($J299="XtraGreen",SUMIFS(Table146[Amount],Table146[Company],$M$3,Table146[Date],$A299,Table146[Bill No.],$B299),SUMIFS('Other Sale'!$D:$D,'Other Sale'!$E:$E,$M$3,'Other Sale'!$C:$C,$J299,'Other Sale'!$A:$A,$A299)))))</f>
        <v/>
      </c>
      <c r="F299" s="347" t="str" cm="1">
        <f t="array" ref="F299">IF($A299="","",IF($J299="Payment",IFERROR(INDEX(_xlfn._xlws.FILTER(MasterPaid[Amount Paid],(MasterPaid[Customer]=$M$3)*(MasterPaid[Date]=$A299)),COUNTIFS($A$6:$A299,$A299,$J$6:$J299,"Payment")),0),0))</f>
        <v/>
      </c>
      <c r="G299" s="331"/>
      <c r="H299" s="427"/>
      <c r="I299" s="330" t="str">
        <f t="shared" si="13"/>
        <v/>
      </c>
      <c r="J299" s="344" t="str" cm="1">
        <f t="array" ref="J299">IFERROR(INDEX(_xlfn.ANCHORARRAY($P$6),ROW()-5,3),"")</f>
        <v/>
      </c>
      <c r="K299" s="432"/>
      <c r="L299" s="348"/>
    </row>
    <row r="300" spans="1:12" ht="23" x14ac:dyDescent="0.25">
      <c r="A300" s="217" t="str" cm="1">
        <f t="array" ref="A300">IFERROR(INDEX(_xlfn.ANCHORARRAY($P$6),ROW()-5,1),"")</f>
        <v/>
      </c>
      <c r="B300" s="344" t="str" cm="1">
        <f t="array" ref="B300">IFERROR(INDEX(_xlfn.ANCHORARRAY($P$6),ROW()-5,2),"")</f>
        <v/>
      </c>
      <c r="C300" s="345" t="str">
        <f>IF($A300="","",IF($J300="DIESEL",SUMIFS(Table1[Quantity],Table1[Customer],$M$3,Table1[Date],$A300,Table1[Bill No.],$B300),IF($J300="PETROL",SUMIFS(Table14[Quantity],Table14[Customer],$M$3,Table14[Date],$A300,Table14[Bill No.],$B300),IF($J300="XtraGreen",SUMIFS(Table146[Quantity],Table146[Company],$M$3,Table146[Date],$A300,Table146[Bill No.],$B300),""))))</f>
        <v/>
      </c>
      <c r="D300" s="346" t="str">
        <f>IF($A300="","",IF($J300="DIESEL",AVERAGEIFS(Table1[RSP],Table1[Customer],$M$3,Table1[Date],$A300,Table1[Bill No.],$B300),IF($J300="PETROL",AVERAGEIFS(Table14[RSP],Table14[Customer],$M$3,Table14[Date],$A300,Table14[Bill No.],$B300),IF($J300="XtraGreen",AVERAGEIFS(Table146[RSP],Table146[Company],$M$3,Table146[Date],$A300,Table146[Bill No.],$B300),IFERROR($E300/$C300,"")))))</f>
        <v/>
      </c>
      <c r="E300" s="347" t="str">
        <f>IF($A300="","",IF($J300="DIESEL",SUMIFS(Table1[Amount],Table1[Customer],$M$3,Table1[Date],$A300,Table1[Bill No.],$B300),IF($J300="PETROL",SUMIFS(Table14[Amount],Table14[Customer],$M$3,Table14[Date],$A300,Table14[Bill No.],$B300),IF($J300="XtraGreen",SUMIFS(Table146[Amount],Table146[Company],$M$3,Table146[Date],$A300,Table146[Bill No.],$B300),SUMIFS('Other Sale'!$D:$D,'Other Sale'!$E:$E,$M$3,'Other Sale'!$C:$C,$J300,'Other Sale'!$A:$A,$A300)))))</f>
        <v/>
      </c>
      <c r="F300" s="347" t="str" cm="1">
        <f t="array" ref="F300">IF($A300="","",IF($J300="Payment",IFERROR(INDEX(_xlfn._xlws.FILTER(MasterPaid[Amount Paid],(MasterPaid[Customer]=$M$3)*(MasterPaid[Date]=$A300)),COUNTIFS($A$6:$A300,$A300,$J$6:$J300,"Payment")),0),0))</f>
        <v/>
      </c>
      <c r="G300" s="331"/>
      <c r="H300" s="427"/>
      <c r="I300" s="330" t="str">
        <f t="shared" si="13"/>
        <v/>
      </c>
      <c r="J300" s="344" t="str" cm="1">
        <f t="array" ref="J300">IFERROR(INDEX(_xlfn.ANCHORARRAY($P$6),ROW()-5,3),"")</f>
        <v/>
      </c>
      <c r="K300" s="432"/>
      <c r="L300" s="348"/>
    </row>
    <row r="301" spans="1:12" ht="23" x14ac:dyDescent="0.25">
      <c r="A301" s="217" t="str" cm="1">
        <f t="array" ref="A301">IFERROR(INDEX(_xlfn.ANCHORARRAY($P$6),ROW()-5,1),"")</f>
        <v/>
      </c>
      <c r="B301" s="344" t="str" cm="1">
        <f t="array" ref="B301">IFERROR(INDEX(_xlfn.ANCHORARRAY($P$6),ROW()-5,2),"")</f>
        <v/>
      </c>
      <c r="C301" s="345" t="str">
        <f>IF($A301="","",IF($J301="DIESEL",SUMIFS(Table1[Quantity],Table1[Customer],$M$3,Table1[Date],$A301,Table1[Bill No.],$B301),IF($J301="PETROL",SUMIFS(Table14[Quantity],Table14[Customer],$M$3,Table14[Date],$A301,Table14[Bill No.],$B301),IF($J301="XtraGreen",SUMIFS(Table146[Quantity],Table146[Company],$M$3,Table146[Date],$A301,Table146[Bill No.],$B301),""))))</f>
        <v/>
      </c>
      <c r="D301" s="346" t="str">
        <f>IF($A301="","",IF($J301="DIESEL",AVERAGEIFS(Table1[RSP],Table1[Customer],$M$3,Table1[Date],$A301,Table1[Bill No.],$B301),IF($J301="PETROL",AVERAGEIFS(Table14[RSP],Table14[Customer],$M$3,Table14[Date],$A301,Table14[Bill No.],$B301),IF($J301="XtraGreen",AVERAGEIFS(Table146[RSP],Table146[Company],$M$3,Table146[Date],$A301,Table146[Bill No.],$B301),IFERROR($E301/$C301,"")))))</f>
        <v/>
      </c>
      <c r="E301" s="347" t="str">
        <f>IF($A301="","",IF($J301="DIESEL",SUMIFS(Table1[Amount],Table1[Customer],$M$3,Table1[Date],$A301,Table1[Bill No.],$B301),IF($J301="PETROL",SUMIFS(Table14[Amount],Table14[Customer],$M$3,Table14[Date],$A301,Table14[Bill No.],$B301),IF($J301="XtraGreen",SUMIFS(Table146[Amount],Table146[Company],$M$3,Table146[Date],$A301,Table146[Bill No.],$B301),SUMIFS('Other Sale'!$D:$D,'Other Sale'!$E:$E,$M$3,'Other Sale'!$C:$C,$J301,'Other Sale'!$A:$A,$A301)))))</f>
        <v/>
      </c>
      <c r="F301" s="347" t="str" cm="1">
        <f t="array" ref="F301">IF($A301="","",IF($J301="Payment",IFERROR(INDEX(_xlfn._xlws.FILTER(MasterPaid[Amount Paid],(MasterPaid[Customer]=$M$3)*(MasterPaid[Date]=$A301)),COUNTIFS($A$6:$A301,$A301,$J$6:$J301,"Payment")),0),0))</f>
        <v/>
      </c>
      <c r="G301" s="331"/>
      <c r="H301" s="427"/>
      <c r="I301" s="330" t="str">
        <f t="shared" si="13"/>
        <v/>
      </c>
      <c r="J301" s="344" t="str" cm="1">
        <f t="array" ref="J301">IFERROR(INDEX(_xlfn.ANCHORARRAY($P$6),ROW()-5,3),"")</f>
        <v/>
      </c>
      <c r="K301" s="432"/>
      <c r="L301" s="348"/>
    </row>
    <row r="302" spans="1:12" ht="23" x14ac:dyDescent="0.25">
      <c r="A302" s="217" t="str" cm="1">
        <f t="array" ref="A302">IFERROR(INDEX(_xlfn.ANCHORARRAY($P$6),ROW()-5,1),"")</f>
        <v/>
      </c>
      <c r="B302" s="344" t="str" cm="1">
        <f t="array" ref="B302">IFERROR(INDEX(_xlfn.ANCHORARRAY($P$6),ROW()-5,2),"")</f>
        <v/>
      </c>
      <c r="C302" s="345" t="str">
        <f>IF($A302="","",IF($J302="DIESEL",SUMIFS(Table1[Quantity],Table1[Customer],$M$3,Table1[Date],$A302,Table1[Bill No.],$B302),IF($J302="PETROL",SUMIFS(Table14[Quantity],Table14[Customer],$M$3,Table14[Date],$A302,Table14[Bill No.],$B302),IF($J302="XtraGreen",SUMIFS(Table146[Quantity],Table146[Company],$M$3,Table146[Date],$A302,Table146[Bill No.],$B302),""))))</f>
        <v/>
      </c>
      <c r="D302" s="346" t="str">
        <f>IF($A302="","",IF($J302="DIESEL",AVERAGEIFS(Table1[RSP],Table1[Customer],$M$3,Table1[Date],$A302,Table1[Bill No.],$B302),IF($J302="PETROL",AVERAGEIFS(Table14[RSP],Table14[Customer],$M$3,Table14[Date],$A302,Table14[Bill No.],$B302),IF($J302="XtraGreen",AVERAGEIFS(Table146[RSP],Table146[Company],$M$3,Table146[Date],$A302,Table146[Bill No.],$B302),IFERROR($E302/$C302,"")))))</f>
        <v/>
      </c>
      <c r="E302" s="347" t="str">
        <f>IF($A302="","",IF($J302="DIESEL",SUMIFS(Table1[Amount],Table1[Customer],$M$3,Table1[Date],$A302,Table1[Bill No.],$B302),IF($J302="PETROL",SUMIFS(Table14[Amount],Table14[Customer],$M$3,Table14[Date],$A302,Table14[Bill No.],$B302),IF($J302="XtraGreen",SUMIFS(Table146[Amount],Table146[Company],$M$3,Table146[Date],$A302,Table146[Bill No.],$B302),SUMIFS('Other Sale'!$D:$D,'Other Sale'!$E:$E,$M$3,'Other Sale'!$C:$C,$J302,'Other Sale'!$A:$A,$A302)))))</f>
        <v/>
      </c>
      <c r="F302" s="347" t="str" cm="1">
        <f t="array" ref="F302">IF($A302="","",IF($J302="Payment",IFERROR(INDEX(_xlfn._xlws.FILTER(MasterPaid[Amount Paid],(MasterPaid[Customer]=$M$3)*(MasterPaid[Date]=$A302)),COUNTIFS($A$6:$A302,$A302,$J$6:$J302,"Payment")),0),0))</f>
        <v/>
      </c>
      <c r="G302" s="331"/>
      <c r="H302" s="427"/>
      <c r="I302" s="330" t="str">
        <f t="shared" si="13"/>
        <v/>
      </c>
      <c r="J302" s="344" t="str" cm="1">
        <f t="array" ref="J302">IFERROR(INDEX(_xlfn.ANCHORARRAY($P$6),ROW()-5,3),"")</f>
        <v/>
      </c>
      <c r="K302" s="432"/>
      <c r="L302" s="348"/>
    </row>
    <row r="303" spans="1:12" ht="23" x14ac:dyDescent="0.25">
      <c r="A303" s="217" t="str" cm="1">
        <f t="array" ref="A303">IFERROR(INDEX(_xlfn.ANCHORARRAY($P$6),ROW()-5,1),"")</f>
        <v/>
      </c>
      <c r="B303" s="344" t="str" cm="1">
        <f t="array" ref="B303">IFERROR(INDEX(_xlfn.ANCHORARRAY($P$6),ROW()-5,2),"")</f>
        <v/>
      </c>
      <c r="C303" s="345" t="str">
        <f>IF($A303="","",IF($J303="DIESEL",SUMIFS(Table1[Quantity],Table1[Customer],$M$3,Table1[Date],$A303,Table1[Bill No.],$B303),IF($J303="PETROL",SUMIFS(Table14[Quantity],Table14[Customer],$M$3,Table14[Date],$A303,Table14[Bill No.],$B303),IF($J303="XtraGreen",SUMIFS(Table146[Quantity],Table146[Company],$M$3,Table146[Date],$A303,Table146[Bill No.],$B303),""))))</f>
        <v/>
      </c>
      <c r="D303" s="346" t="str">
        <f>IF($A303="","",IF($J303="DIESEL",AVERAGEIFS(Table1[RSP],Table1[Customer],$M$3,Table1[Date],$A303,Table1[Bill No.],$B303),IF($J303="PETROL",AVERAGEIFS(Table14[RSP],Table14[Customer],$M$3,Table14[Date],$A303,Table14[Bill No.],$B303),IF($J303="XtraGreen",AVERAGEIFS(Table146[RSP],Table146[Company],$M$3,Table146[Date],$A303,Table146[Bill No.],$B303),IFERROR($E303/$C303,"")))))</f>
        <v/>
      </c>
      <c r="E303" s="347" t="str">
        <f>IF($A303="","",IF($J303="DIESEL",SUMIFS(Table1[Amount],Table1[Customer],$M$3,Table1[Date],$A303,Table1[Bill No.],$B303),IF($J303="PETROL",SUMIFS(Table14[Amount],Table14[Customer],$M$3,Table14[Date],$A303,Table14[Bill No.],$B303),IF($J303="XtraGreen",SUMIFS(Table146[Amount],Table146[Company],$M$3,Table146[Date],$A303,Table146[Bill No.],$B303),SUMIFS('Other Sale'!$D:$D,'Other Sale'!$E:$E,$M$3,'Other Sale'!$C:$C,$J303,'Other Sale'!$A:$A,$A303)))))</f>
        <v/>
      </c>
      <c r="F303" s="347" t="str" cm="1">
        <f t="array" ref="F303">IF($A303="","",IF($J303="Payment",IFERROR(INDEX(_xlfn._xlws.FILTER(MasterPaid[Amount Paid],(MasterPaid[Customer]=$M$3)*(MasterPaid[Date]=$A303)),COUNTIFS($A$6:$A303,$A303,$J$6:$J303,"Payment")),0),0))</f>
        <v/>
      </c>
      <c r="G303" s="331"/>
      <c r="H303" s="427"/>
      <c r="I303" s="330" t="str">
        <f t="shared" si="13"/>
        <v/>
      </c>
      <c r="J303" s="344" t="str" cm="1">
        <f t="array" ref="J303">IFERROR(INDEX(_xlfn.ANCHORARRAY($P$6),ROW()-5,3),"")</f>
        <v/>
      </c>
      <c r="K303" s="432"/>
      <c r="L303" s="348"/>
    </row>
    <row r="304" spans="1:12" ht="23" x14ac:dyDescent="0.25">
      <c r="A304" s="217" t="str" cm="1">
        <f t="array" ref="A304">IFERROR(INDEX(_xlfn.ANCHORARRAY($P$6),ROW()-5,1),"")</f>
        <v/>
      </c>
      <c r="B304" s="344" t="str" cm="1">
        <f t="array" ref="B304">IFERROR(INDEX(_xlfn.ANCHORARRAY($P$6),ROW()-5,2),"")</f>
        <v/>
      </c>
      <c r="C304" s="345" t="str">
        <f>IF($A304="","",IF($J304="DIESEL",SUMIFS(Table1[Quantity],Table1[Customer],$M$3,Table1[Date],$A304,Table1[Bill No.],$B304),IF($J304="PETROL",SUMIFS(Table14[Quantity],Table14[Customer],$M$3,Table14[Date],$A304,Table14[Bill No.],$B304),IF($J304="XtraGreen",SUMIFS(Table146[Quantity],Table146[Company],$M$3,Table146[Date],$A304,Table146[Bill No.],$B304),""))))</f>
        <v/>
      </c>
      <c r="D304" s="346" t="str">
        <f>IF($A304="","",IF($J304="DIESEL",AVERAGEIFS(Table1[RSP],Table1[Customer],$M$3,Table1[Date],$A304,Table1[Bill No.],$B304),IF($J304="PETROL",AVERAGEIFS(Table14[RSP],Table14[Customer],$M$3,Table14[Date],$A304,Table14[Bill No.],$B304),IF($J304="XtraGreen",AVERAGEIFS(Table146[RSP],Table146[Company],$M$3,Table146[Date],$A304,Table146[Bill No.],$B304),IFERROR($E304/$C304,"")))))</f>
        <v/>
      </c>
      <c r="E304" s="347" t="str">
        <f>IF($A304="","",IF($J304="DIESEL",SUMIFS(Table1[Amount],Table1[Customer],$M$3,Table1[Date],$A304,Table1[Bill No.],$B304),IF($J304="PETROL",SUMIFS(Table14[Amount],Table14[Customer],$M$3,Table14[Date],$A304,Table14[Bill No.],$B304),IF($J304="XtraGreen",SUMIFS(Table146[Amount],Table146[Company],$M$3,Table146[Date],$A304,Table146[Bill No.],$B304),SUMIFS('Other Sale'!$D:$D,'Other Sale'!$E:$E,$M$3,'Other Sale'!$C:$C,$J304,'Other Sale'!$A:$A,$A304)))))</f>
        <v/>
      </c>
      <c r="F304" s="347" t="str" cm="1">
        <f t="array" ref="F304">IF($A304="","",IF($J304="Payment",IFERROR(INDEX(_xlfn._xlws.FILTER(MasterPaid[Amount Paid],(MasterPaid[Customer]=$M$3)*(MasterPaid[Date]=$A304)),COUNTIFS($A$6:$A304,$A304,$J$6:$J304,"Payment")),0),0))</f>
        <v/>
      </c>
      <c r="G304" s="331"/>
      <c r="H304" s="427"/>
      <c r="I304" s="330" t="str">
        <f t="shared" si="13"/>
        <v/>
      </c>
      <c r="J304" s="344" t="str" cm="1">
        <f t="array" ref="J304">IFERROR(INDEX(_xlfn.ANCHORARRAY($P$6),ROW()-5,3),"")</f>
        <v/>
      </c>
      <c r="K304" s="432"/>
      <c r="L304" s="348"/>
    </row>
    <row r="305" spans="1:12" ht="23" x14ac:dyDescent="0.25">
      <c r="A305" s="217" t="str" cm="1">
        <f t="array" ref="A305">IFERROR(INDEX(_xlfn.ANCHORARRAY($P$6),ROW()-5,1),"")</f>
        <v/>
      </c>
      <c r="B305" s="344" t="str" cm="1">
        <f t="array" ref="B305">IFERROR(INDEX(_xlfn.ANCHORARRAY($P$6),ROW()-5,2),"")</f>
        <v/>
      </c>
      <c r="C305" s="345" t="str">
        <f>IF($A305="","",IF($J305="DIESEL",SUMIFS(Table1[Quantity],Table1[Customer],$M$3,Table1[Date],$A305,Table1[Bill No.],$B305),IF($J305="PETROL",SUMIFS(Table14[Quantity],Table14[Customer],$M$3,Table14[Date],$A305,Table14[Bill No.],$B305),IF($J305="XtraGreen",SUMIFS(Table146[Quantity],Table146[Company],$M$3,Table146[Date],$A305,Table146[Bill No.],$B305),""))))</f>
        <v/>
      </c>
      <c r="D305" s="346" t="str">
        <f>IF($A305="","",IF($J305="DIESEL",AVERAGEIFS(Table1[RSP],Table1[Customer],$M$3,Table1[Date],$A305,Table1[Bill No.],$B305),IF($J305="PETROL",AVERAGEIFS(Table14[RSP],Table14[Customer],$M$3,Table14[Date],$A305,Table14[Bill No.],$B305),IF($J305="XtraGreen",AVERAGEIFS(Table146[RSP],Table146[Company],$M$3,Table146[Date],$A305,Table146[Bill No.],$B305),IFERROR($E305/$C305,"")))))</f>
        <v/>
      </c>
      <c r="E305" s="347" t="str">
        <f>IF($A305="","",IF($J305="DIESEL",SUMIFS(Table1[Amount],Table1[Customer],$M$3,Table1[Date],$A305,Table1[Bill No.],$B305),IF($J305="PETROL",SUMIFS(Table14[Amount],Table14[Customer],$M$3,Table14[Date],$A305,Table14[Bill No.],$B305),IF($J305="XtraGreen",SUMIFS(Table146[Amount],Table146[Company],$M$3,Table146[Date],$A305,Table146[Bill No.],$B305),SUMIFS('Other Sale'!$D:$D,'Other Sale'!$E:$E,$M$3,'Other Sale'!$C:$C,$J305,'Other Sale'!$A:$A,$A305)))))</f>
        <v/>
      </c>
      <c r="F305" s="347" t="str" cm="1">
        <f t="array" ref="F305">IF($A305="","",IF($J305="Payment",IFERROR(INDEX(_xlfn._xlws.FILTER(MasterPaid[Amount Paid],(MasterPaid[Customer]=$M$3)*(MasterPaid[Date]=$A305)),COUNTIFS($A$6:$A305,$A305,$J$6:$J305,"Payment")),0),0))</f>
        <v/>
      </c>
      <c r="G305" s="331"/>
      <c r="H305" s="427"/>
      <c r="I305" s="330" t="str">
        <f t="shared" si="13"/>
        <v/>
      </c>
      <c r="J305" s="344" t="str" cm="1">
        <f t="array" ref="J305">IFERROR(INDEX(_xlfn.ANCHORARRAY($P$6),ROW()-5,3),"")</f>
        <v/>
      </c>
      <c r="K305" s="432"/>
      <c r="L305" s="348"/>
    </row>
    <row r="306" spans="1:12" ht="23" x14ac:dyDescent="0.25">
      <c r="A306" s="217" t="str" cm="1">
        <f t="array" ref="A306">IFERROR(INDEX(_xlfn.ANCHORARRAY($P$6),ROW()-5,1),"")</f>
        <v/>
      </c>
      <c r="B306" s="344" t="str" cm="1">
        <f t="array" ref="B306">IFERROR(INDEX(_xlfn.ANCHORARRAY($P$6),ROW()-5,2),"")</f>
        <v/>
      </c>
      <c r="C306" s="345" t="str">
        <f>IF($A306="","",IF($J306="DIESEL",SUMIFS(Table1[Quantity],Table1[Customer],$M$3,Table1[Date],$A306,Table1[Bill No.],$B306),IF($J306="PETROL",SUMIFS(Table14[Quantity],Table14[Customer],$M$3,Table14[Date],$A306,Table14[Bill No.],$B306),IF($J306="XtraGreen",SUMIFS(Table146[Quantity],Table146[Company],$M$3,Table146[Date],$A306,Table146[Bill No.],$B306),""))))</f>
        <v/>
      </c>
      <c r="D306" s="346" t="str">
        <f>IF($A306="","",IF($J306="DIESEL",AVERAGEIFS(Table1[RSP],Table1[Customer],$M$3,Table1[Date],$A306,Table1[Bill No.],$B306),IF($J306="PETROL",AVERAGEIFS(Table14[RSP],Table14[Customer],$M$3,Table14[Date],$A306,Table14[Bill No.],$B306),IF($J306="XtraGreen",AVERAGEIFS(Table146[RSP],Table146[Company],$M$3,Table146[Date],$A306,Table146[Bill No.],$B306),IFERROR($E306/$C306,"")))))</f>
        <v/>
      </c>
      <c r="E306" s="347" t="str">
        <f>IF($A306="","",IF($J306="DIESEL",SUMIFS(Table1[Amount],Table1[Customer],$M$3,Table1[Date],$A306,Table1[Bill No.],$B306),IF($J306="PETROL",SUMIFS(Table14[Amount],Table14[Customer],$M$3,Table14[Date],$A306,Table14[Bill No.],$B306),IF($J306="XtraGreen",SUMIFS(Table146[Amount],Table146[Company],$M$3,Table146[Date],$A306,Table146[Bill No.],$B306),SUMIFS('Other Sale'!$D:$D,'Other Sale'!$E:$E,$M$3,'Other Sale'!$C:$C,$J306,'Other Sale'!$A:$A,$A306)))))</f>
        <v/>
      </c>
      <c r="F306" s="347" t="str" cm="1">
        <f t="array" ref="F306">IF($A306="","",IF($J306="Payment",IFERROR(INDEX(_xlfn._xlws.FILTER(MasterPaid[Amount Paid],(MasterPaid[Customer]=$M$3)*(MasterPaid[Date]=$A306)),COUNTIFS($A$6:$A306,$A306,$J$6:$J306,"Payment")),0),0))</f>
        <v/>
      </c>
      <c r="G306" s="331"/>
      <c r="H306" s="427"/>
      <c r="I306" s="330" t="str">
        <f t="shared" si="13"/>
        <v/>
      </c>
      <c r="J306" s="344" t="str" cm="1">
        <f t="array" ref="J306">IFERROR(INDEX(_xlfn.ANCHORARRAY($P$6),ROW()-5,3),"")</f>
        <v/>
      </c>
      <c r="K306" s="432"/>
      <c r="L306" s="348"/>
    </row>
    <row r="307" spans="1:12" ht="23" x14ac:dyDescent="0.25">
      <c r="A307" s="217" t="str" cm="1">
        <f t="array" ref="A307">IFERROR(INDEX(_xlfn.ANCHORARRAY($P$6),ROW()-5,1),"")</f>
        <v/>
      </c>
      <c r="B307" s="344" t="str" cm="1">
        <f t="array" ref="B307">IFERROR(INDEX(_xlfn.ANCHORARRAY($P$6),ROW()-5,2),"")</f>
        <v/>
      </c>
      <c r="C307" s="345" t="str">
        <f>IF($A307="","",IF($J307="DIESEL",SUMIFS(Table1[Quantity],Table1[Customer],$M$3,Table1[Date],$A307,Table1[Bill No.],$B307),IF($J307="PETROL",SUMIFS(Table14[Quantity],Table14[Customer],$M$3,Table14[Date],$A307,Table14[Bill No.],$B307),IF($J307="XtraGreen",SUMIFS(Table146[Quantity],Table146[Company],$M$3,Table146[Date],$A307,Table146[Bill No.],$B307),""))))</f>
        <v/>
      </c>
      <c r="D307" s="346" t="str">
        <f>IF($A307="","",IF($J307="DIESEL",AVERAGEIFS(Table1[RSP],Table1[Customer],$M$3,Table1[Date],$A307,Table1[Bill No.],$B307),IF($J307="PETROL",AVERAGEIFS(Table14[RSP],Table14[Customer],$M$3,Table14[Date],$A307,Table14[Bill No.],$B307),IF($J307="XtraGreen",AVERAGEIFS(Table146[RSP],Table146[Company],$M$3,Table146[Date],$A307,Table146[Bill No.],$B307),IFERROR($E307/$C307,"")))))</f>
        <v/>
      </c>
      <c r="E307" s="347" t="str">
        <f>IF($A307="","",IF($J307="DIESEL",SUMIFS(Table1[Amount],Table1[Customer],$M$3,Table1[Date],$A307,Table1[Bill No.],$B307),IF($J307="PETROL",SUMIFS(Table14[Amount],Table14[Customer],$M$3,Table14[Date],$A307,Table14[Bill No.],$B307),IF($J307="XtraGreen",SUMIFS(Table146[Amount],Table146[Company],$M$3,Table146[Date],$A307,Table146[Bill No.],$B307),SUMIFS('Other Sale'!$D:$D,'Other Sale'!$E:$E,$M$3,'Other Sale'!$C:$C,$J307,'Other Sale'!$A:$A,$A307)))))</f>
        <v/>
      </c>
      <c r="F307" s="347" t="str" cm="1">
        <f t="array" ref="F307">IF($A307="","",IF($J307="Payment",IFERROR(INDEX(_xlfn._xlws.FILTER(MasterPaid[Amount Paid],(MasterPaid[Customer]=$M$3)*(MasterPaid[Date]=$A307)),COUNTIFS($A$6:$A307,$A307,$J$6:$J307,"Payment")),0),0))</f>
        <v/>
      </c>
      <c r="G307" s="331"/>
      <c r="H307" s="427"/>
      <c r="I307" s="330" t="str">
        <f t="shared" si="13"/>
        <v/>
      </c>
      <c r="J307" s="344" t="str" cm="1">
        <f t="array" ref="J307">IFERROR(INDEX(_xlfn.ANCHORARRAY($P$6),ROW()-5,3),"")</f>
        <v/>
      </c>
      <c r="K307" s="432"/>
      <c r="L307" s="348"/>
    </row>
    <row r="308" spans="1:12" ht="23" x14ac:dyDescent="0.25">
      <c r="A308" s="217" t="str" cm="1">
        <f t="array" ref="A308">IFERROR(INDEX(_xlfn.ANCHORARRAY($P$6),ROW()-5,1),"")</f>
        <v/>
      </c>
      <c r="B308" s="344" t="str" cm="1">
        <f t="array" ref="B308">IFERROR(INDEX(_xlfn.ANCHORARRAY($P$6),ROW()-5,2),"")</f>
        <v/>
      </c>
      <c r="C308" s="345" t="str">
        <f>IF($A308="","",IF($J308="DIESEL",SUMIFS(Table1[Quantity],Table1[Customer],$M$3,Table1[Date],$A308,Table1[Bill No.],$B308),IF($J308="PETROL",SUMIFS(Table14[Quantity],Table14[Customer],$M$3,Table14[Date],$A308,Table14[Bill No.],$B308),IF($J308="XtraGreen",SUMIFS(Table146[Quantity],Table146[Company],$M$3,Table146[Date],$A308,Table146[Bill No.],$B308),""))))</f>
        <v/>
      </c>
      <c r="D308" s="346" t="str">
        <f>IF($A308="","",IF($J308="DIESEL",AVERAGEIFS(Table1[RSP],Table1[Customer],$M$3,Table1[Date],$A308,Table1[Bill No.],$B308),IF($J308="PETROL",AVERAGEIFS(Table14[RSP],Table14[Customer],$M$3,Table14[Date],$A308,Table14[Bill No.],$B308),IF($J308="XtraGreen",AVERAGEIFS(Table146[RSP],Table146[Company],$M$3,Table146[Date],$A308,Table146[Bill No.],$B308),IFERROR($E308/$C308,"")))))</f>
        <v/>
      </c>
      <c r="E308" s="347" t="str">
        <f>IF($A308="","",IF($J308="DIESEL",SUMIFS(Table1[Amount],Table1[Customer],$M$3,Table1[Date],$A308,Table1[Bill No.],$B308),IF($J308="PETROL",SUMIFS(Table14[Amount],Table14[Customer],$M$3,Table14[Date],$A308,Table14[Bill No.],$B308),IF($J308="XtraGreen",SUMIFS(Table146[Amount],Table146[Company],$M$3,Table146[Date],$A308,Table146[Bill No.],$B308),SUMIFS('Other Sale'!$D:$D,'Other Sale'!$E:$E,$M$3,'Other Sale'!$C:$C,$J308,'Other Sale'!$A:$A,$A308)))))</f>
        <v/>
      </c>
      <c r="F308" s="347" t="str" cm="1">
        <f t="array" ref="F308">IF($A308="","",IF($J308="Payment",IFERROR(INDEX(_xlfn._xlws.FILTER(MasterPaid[Amount Paid],(MasterPaid[Customer]=$M$3)*(MasterPaid[Date]=$A308)),COUNTIFS($A$6:$A308,$A308,$J$6:$J308,"Payment")),0),0))</f>
        <v/>
      </c>
      <c r="G308" s="331"/>
      <c r="H308" s="427"/>
      <c r="I308" s="330" t="str">
        <f t="shared" si="13"/>
        <v/>
      </c>
      <c r="J308" s="344" t="str" cm="1">
        <f t="array" ref="J308">IFERROR(INDEX(_xlfn.ANCHORARRAY($P$6),ROW()-5,3),"")</f>
        <v/>
      </c>
      <c r="K308" s="432"/>
      <c r="L308" s="348"/>
    </row>
    <row r="309" spans="1:12" ht="23" x14ac:dyDescent="0.25">
      <c r="A309" s="217" t="str" cm="1">
        <f t="array" ref="A309">IFERROR(INDEX(_xlfn.ANCHORARRAY($P$6),ROW()-5,1),"")</f>
        <v/>
      </c>
      <c r="B309" s="344" t="str" cm="1">
        <f t="array" ref="B309">IFERROR(INDEX(_xlfn.ANCHORARRAY($P$6),ROW()-5,2),"")</f>
        <v/>
      </c>
      <c r="C309" s="345" t="str">
        <f>IF($A309="","",IF($J309="DIESEL",SUMIFS(Table1[Quantity],Table1[Customer],$M$3,Table1[Date],$A309,Table1[Bill No.],$B309),IF($J309="PETROL",SUMIFS(Table14[Quantity],Table14[Customer],$M$3,Table14[Date],$A309,Table14[Bill No.],$B309),IF($J309="XtraGreen",SUMIFS(Table146[Quantity],Table146[Company],$M$3,Table146[Date],$A309,Table146[Bill No.],$B309),""))))</f>
        <v/>
      </c>
      <c r="D309" s="346" t="str">
        <f>IF($A309="","",IF($J309="DIESEL",AVERAGEIFS(Table1[RSP],Table1[Customer],$M$3,Table1[Date],$A309,Table1[Bill No.],$B309),IF($J309="PETROL",AVERAGEIFS(Table14[RSP],Table14[Customer],$M$3,Table14[Date],$A309,Table14[Bill No.],$B309),IF($J309="XtraGreen",AVERAGEIFS(Table146[RSP],Table146[Company],$M$3,Table146[Date],$A309,Table146[Bill No.],$B309),IFERROR($E309/$C309,"")))))</f>
        <v/>
      </c>
      <c r="E309" s="347" t="str">
        <f>IF($A309="","",IF($J309="DIESEL",SUMIFS(Table1[Amount],Table1[Customer],$M$3,Table1[Date],$A309,Table1[Bill No.],$B309),IF($J309="PETROL",SUMIFS(Table14[Amount],Table14[Customer],$M$3,Table14[Date],$A309,Table14[Bill No.],$B309),IF($J309="XtraGreen",SUMIFS(Table146[Amount],Table146[Company],$M$3,Table146[Date],$A309,Table146[Bill No.],$B309),SUMIFS('Other Sale'!$D:$D,'Other Sale'!$E:$E,$M$3,'Other Sale'!$C:$C,$J309,'Other Sale'!$A:$A,$A309)))))</f>
        <v/>
      </c>
      <c r="F309" s="347" t="str" cm="1">
        <f t="array" ref="F309">IF($A309="","",IF($J309="Payment",IFERROR(INDEX(_xlfn._xlws.FILTER(MasterPaid[Amount Paid],(MasterPaid[Customer]=$M$3)*(MasterPaid[Date]=$A309)),COUNTIFS($A$6:$A309,$A309,$J$6:$J309,"Payment")),0),0))</f>
        <v/>
      </c>
      <c r="G309" s="331"/>
      <c r="H309" s="427"/>
      <c r="I309" s="330" t="str">
        <f t="shared" si="13"/>
        <v/>
      </c>
      <c r="J309" s="344" t="str" cm="1">
        <f t="array" ref="J309">IFERROR(INDEX(_xlfn.ANCHORARRAY($P$6),ROW()-5,3),"")</f>
        <v/>
      </c>
      <c r="K309" s="432"/>
      <c r="L309" s="348"/>
    </row>
    <row r="310" spans="1:12" ht="23" x14ac:dyDescent="0.25">
      <c r="A310" s="217" t="str" cm="1">
        <f t="array" ref="A310">IFERROR(INDEX(_xlfn.ANCHORARRAY($P$6),ROW()-5,1),"")</f>
        <v/>
      </c>
      <c r="B310" s="344" t="str" cm="1">
        <f t="array" ref="B310">IFERROR(INDEX(_xlfn.ANCHORARRAY($P$6),ROW()-5,2),"")</f>
        <v/>
      </c>
      <c r="C310" s="345" t="str">
        <f>IF($A310="","",IF($J310="DIESEL",SUMIFS(Table1[Quantity],Table1[Customer],$M$3,Table1[Date],$A310,Table1[Bill No.],$B310),IF($J310="PETROL",SUMIFS(Table14[Quantity],Table14[Customer],$M$3,Table14[Date],$A310,Table14[Bill No.],$B310),IF($J310="XtraGreen",SUMIFS(Table146[Quantity],Table146[Company],$M$3,Table146[Date],$A310,Table146[Bill No.],$B310),""))))</f>
        <v/>
      </c>
      <c r="D310" s="346" t="str">
        <f>IF($A310="","",IF($J310="DIESEL",AVERAGEIFS(Table1[RSP],Table1[Customer],$M$3,Table1[Date],$A310,Table1[Bill No.],$B310),IF($J310="PETROL",AVERAGEIFS(Table14[RSP],Table14[Customer],$M$3,Table14[Date],$A310,Table14[Bill No.],$B310),IF($J310="XtraGreen",AVERAGEIFS(Table146[RSP],Table146[Company],$M$3,Table146[Date],$A310,Table146[Bill No.],$B310),IFERROR($E310/$C310,"")))))</f>
        <v/>
      </c>
      <c r="E310" s="347" t="str">
        <f>IF($A310="","",IF($J310="DIESEL",SUMIFS(Table1[Amount],Table1[Customer],$M$3,Table1[Date],$A310,Table1[Bill No.],$B310),IF($J310="PETROL",SUMIFS(Table14[Amount],Table14[Customer],$M$3,Table14[Date],$A310,Table14[Bill No.],$B310),IF($J310="XtraGreen",SUMIFS(Table146[Amount],Table146[Company],$M$3,Table146[Date],$A310,Table146[Bill No.],$B310),SUMIFS('Other Sale'!$D:$D,'Other Sale'!$E:$E,$M$3,'Other Sale'!$C:$C,$J310,'Other Sale'!$A:$A,$A310)))))</f>
        <v/>
      </c>
      <c r="F310" s="347" t="str" cm="1">
        <f t="array" ref="F310">IF($A310="","",IF($J310="Payment",IFERROR(INDEX(_xlfn._xlws.FILTER(MasterPaid[Amount Paid],(MasterPaid[Customer]=$M$3)*(MasterPaid[Date]=$A310)),COUNTIFS($A$6:$A310,$A310,$J$6:$J310,"Payment")),0),0))</f>
        <v/>
      </c>
      <c r="G310" s="331"/>
      <c r="H310" s="427"/>
      <c r="I310" s="330" t="str">
        <f t="shared" si="13"/>
        <v/>
      </c>
      <c r="J310" s="344" t="str" cm="1">
        <f t="array" ref="J310">IFERROR(INDEX(_xlfn.ANCHORARRAY($P$6),ROW()-5,3),"")</f>
        <v/>
      </c>
      <c r="K310" s="432"/>
      <c r="L310" s="348"/>
    </row>
    <row r="311" spans="1:12" ht="23" x14ac:dyDescent="0.25">
      <c r="A311" s="217" t="str" cm="1">
        <f t="array" ref="A311">IFERROR(INDEX(_xlfn.ANCHORARRAY($P$6),ROW()-5,1),"")</f>
        <v/>
      </c>
      <c r="B311" s="344" t="str" cm="1">
        <f t="array" ref="B311">IFERROR(INDEX(_xlfn.ANCHORARRAY($P$6),ROW()-5,2),"")</f>
        <v/>
      </c>
      <c r="C311" s="345" t="str">
        <f>IF($A311="","",IF($J311="DIESEL",SUMIFS(Table1[Quantity],Table1[Customer],$M$3,Table1[Date],$A311,Table1[Bill No.],$B311),IF($J311="PETROL",SUMIFS(Table14[Quantity],Table14[Customer],$M$3,Table14[Date],$A311,Table14[Bill No.],$B311),IF($J311="XtraGreen",SUMIFS(Table146[Quantity],Table146[Company],$M$3,Table146[Date],$A311,Table146[Bill No.],$B311),""))))</f>
        <v/>
      </c>
      <c r="D311" s="346" t="str">
        <f>IF($A311="","",IF($J311="DIESEL",AVERAGEIFS(Table1[RSP],Table1[Customer],$M$3,Table1[Date],$A311,Table1[Bill No.],$B311),IF($J311="PETROL",AVERAGEIFS(Table14[RSP],Table14[Customer],$M$3,Table14[Date],$A311,Table14[Bill No.],$B311),IF($J311="XtraGreen",AVERAGEIFS(Table146[RSP],Table146[Company],$M$3,Table146[Date],$A311,Table146[Bill No.],$B311),IFERROR($E311/$C311,"")))))</f>
        <v/>
      </c>
      <c r="E311" s="347" t="str">
        <f>IF($A311="","",IF($J311="DIESEL",SUMIFS(Table1[Amount],Table1[Customer],$M$3,Table1[Date],$A311,Table1[Bill No.],$B311),IF($J311="PETROL",SUMIFS(Table14[Amount],Table14[Customer],$M$3,Table14[Date],$A311,Table14[Bill No.],$B311),IF($J311="XtraGreen",SUMIFS(Table146[Amount],Table146[Company],$M$3,Table146[Date],$A311,Table146[Bill No.],$B311),SUMIFS('Other Sale'!$D:$D,'Other Sale'!$E:$E,$M$3,'Other Sale'!$C:$C,$J311,'Other Sale'!$A:$A,$A311)))))</f>
        <v/>
      </c>
      <c r="F311" s="347" t="str" cm="1">
        <f t="array" ref="F311">IF($A311="","",IF($J311="Payment",IFERROR(INDEX(_xlfn._xlws.FILTER(MasterPaid[Amount Paid],(MasterPaid[Customer]=$M$3)*(MasterPaid[Date]=$A311)),COUNTIFS($A$6:$A311,$A311,$J$6:$J311,"Payment")),0),0))</f>
        <v/>
      </c>
      <c r="G311" s="331"/>
      <c r="H311" s="427"/>
      <c r="I311" s="330" t="str">
        <f t="shared" si="13"/>
        <v/>
      </c>
      <c r="J311" s="344" t="str" cm="1">
        <f t="array" ref="J311">IFERROR(INDEX(_xlfn.ANCHORARRAY($P$6),ROW()-5,3),"")</f>
        <v/>
      </c>
      <c r="K311" s="432"/>
      <c r="L311" s="348"/>
    </row>
    <row r="312" spans="1:12" ht="23" x14ac:dyDescent="0.25">
      <c r="A312" s="217" t="str" cm="1">
        <f t="array" ref="A312">IFERROR(INDEX(_xlfn.ANCHORARRAY($P$6),ROW()-5,1),"")</f>
        <v/>
      </c>
      <c r="B312" s="344" t="str" cm="1">
        <f t="array" ref="B312">IFERROR(INDEX(_xlfn.ANCHORARRAY($P$6),ROW()-5,2),"")</f>
        <v/>
      </c>
      <c r="C312" s="345" t="str">
        <f>IF($A312="","",IF($J312="DIESEL",SUMIFS(Table1[Quantity],Table1[Customer],$M$3,Table1[Date],$A312,Table1[Bill No.],$B312),IF($J312="PETROL",SUMIFS(Table14[Quantity],Table14[Customer],$M$3,Table14[Date],$A312,Table14[Bill No.],$B312),IF($J312="XtraGreen",SUMIFS(Table146[Quantity],Table146[Company],$M$3,Table146[Date],$A312,Table146[Bill No.],$B312),""))))</f>
        <v/>
      </c>
      <c r="D312" s="346" t="str">
        <f>IF($A312="","",IF($J312="DIESEL",AVERAGEIFS(Table1[RSP],Table1[Customer],$M$3,Table1[Date],$A312,Table1[Bill No.],$B312),IF($J312="PETROL",AVERAGEIFS(Table14[RSP],Table14[Customer],$M$3,Table14[Date],$A312,Table14[Bill No.],$B312),IF($J312="XtraGreen",AVERAGEIFS(Table146[RSP],Table146[Company],$M$3,Table146[Date],$A312,Table146[Bill No.],$B312),IFERROR($E312/$C312,"")))))</f>
        <v/>
      </c>
      <c r="E312" s="347" t="str">
        <f>IF($A312="","",IF($J312="DIESEL",SUMIFS(Table1[Amount],Table1[Customer],$M$3,Table1[Date],$A312,Table1[Bill No.],$B312),IF($J312="PETROL",SUMIFS(Table14[Amount],Table14[Customer],$M$3,Table14[Date],$A312,Table14[Bill No.],$B312),IF($J312="XtraGreen",SUMIFS(Table146[Amount],Table146[Company],$M$3,Table146[Date],$A312,Table146[Bill No.],$B312),SUMIFS('Other Sale'!$D:$D,'Other Sale'!$E:$E,$M$3,'Other Sale'!$C:$C,$J312,'Other Sale'!$A:$A,$A312)))))</f>
        <v/>
      </c>
      <c r="F312" s="347" t="str" cm="1">
        <f t="array" ref="F312">IF($A312="","",IF($J312="Payment",IFERROR(INDEX(_xlfn._xlws.FILTER(MasterPaid[Amount Paid],(MasterPaid[Customer]=$M$3)*(MasterPaid[Date]=$A312)),COUNTIFS($A$6:$A312,$A312,$J$6:$J312,"Payment")),0),0))</f>
        <v/>
      </c>
      <c r="G312" s="331"/>
      <c r="H312" s="427"/>
      <c r="I312" s="330" t="str">
        <f t="shared" si="13"/>
        <v/>
      </c>
      <c r="J312" s="344" t="str" cm="1">
        <f t="array" ref="J312">IFERROR(INDEX(_xlfn.ANCHORARRAY($P$6),ROW()-5,3),"")</f>
        <v/>
      </c>
      <c r="K312" s="432"/>
      <c r="L312" s="348"/>
    </row>
    <row r="313" spans="1:12" ht="23" x14ac:dyDescent="0.25">
      <c r="A313" s="217" t="str" cm="1">
        <f t="array" ref="A313">IFERROR(INDEX(_xlfn.ANCHORARRAY($P$6),ROW()-5,1),"")</f>
        <v/>
      </c>
      <c r="B313" s="344" t="str" cm="1">
        <f t="array" ref="B313">IFERROR(INDEX(_xlfn.ANCHORARRAY($P$6),ROW()-5,2),"")</f>
        <v/>
      </c>
      <c r="C313" s="345" t="str">
        <f>IF($A313="","",IF($J313="DIESEL",SUMIFS(Table1[Quantity],Table1[Customer],$M$3,Table1[Date],$A313,Table1[Bill No.],$B313),IF($J313="PETROL",SUMIFS(Table14[Quantity],Table14[Customer],$M$3,Table14[Date],$A313,Table14[Bill No.],$B313),IF($J313="XtraGreen",SUMIFS(Table146[Quantity],Table146[Company],$M$3,Table146[Date],$A313,Table146[Bill No.],$B313),""))))</f>
        <v/>
      </c>
      <c r="D313" s="346" t="str">
        <f>IF($A313="","",IF($J313="DIESEL",AVERAGEIFS(Table1[RSP],Table1[Customer],$M$3,Table1[Date],$A313,Table1[Bill No.],$B313),IF($J313="PETROL",AVERAGEIFS(Table14[RSP],Table14[Customer],$M$3,Table14[Date],$A313,Table14[Bill No.],$B313),IF($J313="XtraGreen",AVERAGEIFS(Table146[RSP],Table146[Company],$M$3,Table146[Date],$A313,Table146[Bill No.],$B313),IFERROR($E313/$C313,"")))))</f>
        <v/>
      </c>
      <c r="E313" s="347" t="str">
        <f>IF($A313="","",IF($J313="DIESEL",SUMIFS(Table1[Amount],Table1[Customer],$M$3,Table1[Date],$A313,Table1[Bill No.],$B313),IF($J313="PETROL",SUMIFS(Table14[Amount],Table14[Customer],$M$3,Table14[Date],$A313,Table14[Bill No.],$B313),IF($J313="XtraGreen",SUMIFS(Table146[Amount],Table146[Company],$M$3,Table146[Date],$A313,Table146[Bill No.],$B313),SUMIFS('Other Sale'!$D:$D,'Other Sale'!$E:$E,$M$3,'Other Sale'!$C:$C,$J313,'Other Sale'!$A:$A,$A313)))))</f>
        <v/>
      </c>
      <c r="F313" s="347" t="str" cm="1">
        <f t="array" ref="F313">IF($A313="","",IF($J313="Payment",IFERROR(INDEX(_xlfn._xlws.FILTER(MasterPaid[Amount Paid],(MasterPaid[Customer]=$M$3)*(MasterPaid[Date]=$A313)),COUNTIFS($A$6:$A313,$A313,$J$6:$J313,"Payment")),0),0))</f>
        <v/>
      </c>
      <c r="G313" s="331"/>
      <c r="H313" s="427"/>
      <c r="I313" s="330" t="str">
        <f t="shared" si="13"/>
        <v/>
      </c>
      <c r="J313" s="344" t="str" cm="1">
        <f t="array" ref="J313">IFERROR(INDEX(_xlfn.ANCHORARRAY($P$6),ROW()-5,3),"")</f>
        <v/>
      </c>
      <c r="K313" s="432"/>
      <c r="L313" s="348"/>
    </row>
    <row r="314" spans="1:12" ht="23" x14ac:dyDescent="0.25">
      <c r="A314" s="217" t="str" cm="1">
        <f t="array" ref="A314">IFERROR(INDEX(_xlfn.ANCHORARRAY($P$6),ROW()-5,1),"")</f>
        <v/>
      </c>
      <c r="B314" s="344" t="str" cm="1">
        <f t="array" ref="B314">IFERROR(INDEX(_xlfn.ANCHORARRAY($P$6),ROW()-5,2),"")</f>
        <v/>
      </c>
      <c r="C314" s="345" t="str">
        <f>IF($A314="","",IF($J314="DIESEL",SUMIFS(Table1[Quantity],Table1[Customer],$M$3,Table1[Date],$A314,Table1[Bill No.],$B314),IF($J314="PETROL",SUMIFS(Table14[Quantity],Table14[Customer],$M$3,Table14[Date],$A314,Table14[Bill No.],$B314),IF($J314="XtraGreen",SUMIFS(Table146[Quantity],Table146[Company],$M$3,Table146[Date],$A314,Table146[Bill No.],$B314),""))))</f>
        <v/>
      </c>
      <c r="D314" s="346" t="str">
        <f>IF($A314="","",IF($J314="DIESEL",AVERAGEIFS(Table1[RSP],Table1[Customer],$M$3,Table1[Date],$A314,Table1[Bill No.],$B314),IF($J314="PETROL",AVERAGEIFS(Table14[RSP],Table14[Customer],$M$3,Table14[Date],$A314,Table14[Bill No.],$B314),IF($J314="XtraGreen",AVERAGEIFS(Table146[RSP],Table146[Company],$M$3,Table146[Date],$A314,Table146[Bill No.],$B314),IFERROR($E314/$C314,"")))))</f>
        <v/>
      </c>
      <c r="E314" s="347" t="str">
        <f>IF($A314="","",IF($J314="DIESEL",SUMIFS(Table1[Amount],Table1[Customer],$M$3,Table1[Date],$A314,Table1[Bill No.],$B314),IF($J314="PETROL",SUMIFS(Table14[Amount],Table14[Customer],$M$3,Table14[Date],$A314,Table14[Bill No.],$B314),IF($J314="XtraGreen",SUMIFS(Table146[Amount],Table146[Company],$M$3,Table146[Date],$A314,Table146[Bill No.],$B314),SUMIFS('Other Sale'!$D:$D,'Other Sale'!$E:$E,$M$3,'Other Sale'!$C:$C,$J314,'Other Sale'!$A:$A,$A314)))))</f>
        <v/>
      </c>
      <c r="F314" s="347" t="str" cm="1">
        <f t="array" ref="F314">IF($A314="","",IF($J314="Payment",IFERROR(INDEX(_xlfn._xlws.FILTER(MasterPaid[Amount Paid],(MasterPaid[Customer]=$M$3)*(MasterPaid[Date]=$A314)),COUNTIFS($A$6:$A314,$A314,$J$6:$J314,"Payment")),0),0))</f>
        <v/>
      </c>
      <c r="G314" s="331"/>
      <c r="H314" s="427"/>
      <c r="I314" s="330" t="str">
        <f t="shared" si="13"/>
        <v/>
      </c>
      <c r="J314" s="344" t="str" cm="1">
        <f t="array" ref="J314">IFERROR(INDEX(_xlfn.ANCHORARRAY($P$6),ROW()-5,3),"")</f>
        <v/>
      </c>
      <c r="K314" s="432"/>
      <c r="L314" s="348"/>
    </row>
    <row r="315" spans="1:12" ht="23" x14ac:dyDescent="0.25">
      <c r="A315" s="217" t="str" cm="1">
        <f t="array" ref="A315">IFERROR(INDEX(_xlfn.ANCHORARRAY($P$6),ROW()-5,1),"")</f>
        <v/>
      </c>
      <c r="B315" s="344" t="str" cm="1">
        <f t="array" ref="B315">IFERROR(INDEX(_xlfn.ANCHORARRAY($P$6),ROW()-5,2),"")</f>
        <v/>
      </c>
      <c r="C315" s="345" t="str">
        <f>IF($A315="","",IF($J315="DIESEL",SUMIFS(Table1[Quantity],Table1[Customer],$M$3,Table1[Date],$A315,Table1[Bill No.],$B315),IF($J315="PETROL",SUMIFS(Table14[Quantity],Table14[Customer],$M$3,Table14[Date],$A315,Table14[Bill No.],$B315),IF($J315="XtraGreen",SUMIFS(Table146[Quantity],Table146[Company],$M$3,Table146[Date],$A315,Table146[Bill No.],$B315),""))))</f>
        <v/>
      </c>
      <c r="D315" s="346" t="str">
        <f>IF($A315="","",IF($J315="DIESEL",AVERAGEIFS(Table1[RSP],Table1[Customer],$M$3,Table1[Date],$A315,Table1[Bill No.],$B315),IF($J315="PETROL",AVERAGEIFS(Table14[RSP],Table14[Customer],$M$3,Table14[Date],$A315,Table14[Bill No.],$B315),IF($J315="XtraGreen",AVERAGEIFS(Table146[RSP],Table146[Company],$M$3,Table146[Date],$A315,Table146[Bill No.],$B315),IFERROR($E315/$C315,"")))))</f>
        <v/>
      </c>
      <c r="E315" s="347" t="str">
        <f>IF($A315="","",IF($J315="DIESEL",SUMIFS(Table1[Amount],Table1[Customer],$M$3,Table1[Date],$A315,Table1[Bill No.],$B315),IF($J315="PETROL",SUMIFS(Table14[Amount],Table14[Customer],$M$3,Table14[Date],$A315,Table14[Bill No.],$B315),IF($J315="XtraGreen",SUMIFS(Table146[Amount],Table146[Company],$M$3,Table146[Date],$A315,Table146[Bill No.],$B315),SUMIFS('Other Sale'!$D:$D,'Other Sale'!$E:$E,$M$3,'Other Sale'!$C:$C,$J315,'Other Sale'!$A:$A,$A315)))))</f>
        <v/>
      </c>
      <c r="F315" s="347" t="str" cm="1">
        <f t="array" ref="F315">IF($A315="","",IF($J315="Payment",IFERROR(INDEX(_xlfn._xlws.FILTER(MasterPaid[Amount Paid],(MasterPaid[Customer]=$M$3)*(MasterPaid[Date]=$A315)),COUNTIFS($A$6:$A315,$A315,$J$6:$J315,"Payment")),0),0))</f>
        <v/>
      </c>
      <c r="G315" s="331"/>
      <c r="H315" s="427"/>
      <c r="I315" s="330" t="str">
        <f t="shared" si="13"/>
        <v/>
      </c>
      <c r="J315" s="344" t="str" cm="1">
        <f t="array" ref="J315">IFERROR(INDEX(_xlfn.ANCHORARRAY($P$6),ROW()-5,3),"")</f>
        <v/>
      </c>
      <c r="K315" s="432"/>
      <c r="L315" s="348"/>
    </row>
    <row r="316" spans="1:12" ht="23" x14ac:dyDescent="0.25">
      <c r="A316" s="217" t="str" cm="1">
        <f t="array" ref="A316">IFERROR(INDEX(_xlfn.ANCHORARRAY($P$6),ROW()-5,1),"")</f>
        <v/>
      </c>
      <c r="B316" s="344" t="str" cm="1">
        <f t="array" ref="B316">IFERROR(INDEX(_xlfn.ANCHORARRAY($P$6),ROW()-5,2),"")</f>
        <v/>
      </c>
      <c r="C316" s="345" t="str">
        <f>IF($A316="","",IF($J316="DIESEL",SUMIFS(Table1[Quantity],Table1[Customer],$M$3,Table1[Date],$A316,Table1[Bill No.],$B316),IF($J316="PETROL",SUMIFS(Table14[Quantity],Table14[Customer],$M$3,Table14[Date],$A316,Table14[Bill No.],$B316),IF($J316="XtraGreen",SUMIFS(Table146[Quantity],Table146[Company],$M$3,Table146[Date],$A316,Table146[Bill No.],$B316),""))))</f>
        <v/>
      </c>
      <c r="D316" s="346" t="str">
        <f>IF($A316="","",IF($J316="DIESEL",AVERAGEIFS(Table1[RSP],Table1[Customer],$M$3,Table1[Date],$A316,Table1[Bill No.],$B316),IF($J316="PETROL",AVERAGEIFS(Table14[RSP],Table14[Customer],$M$3,Table14[Date],$A316,Table14[Bill No.],$B316),IF($J316="XtraGreen",AVERAGEIFS(Table146[RSP],Table146[Company],$M$3,Table146[Date],$A316,Table146[Bill No.],$B316),IFERROR($E316/$C316,"")))))</f>
        <v/>
      </c>
      <c r="E316" s="347" t="str">
        <f>IF($A316="","",IF($J316="DIESEL",SUMIFS(Table1[Amount],Table1[Customer],$M$3,Table1[Date],$A316,Table1[Bill No.],$B316),IF($J316="PETROL",SUMIFS(Table14[Amount],Table14[Customer],$M$3,Table14[Date],$A316,Table14[Bill No.],$B316),IF($J316="XtraGreen",SUMIFS(Table146[Amount],Table146[Company],$M$3,Table146[Date],$A316,Table146[Bill No.],$B316),SUMIFS('Other Sale'!$D:$D,'Other Sale'!$E:$E,$M$3,'Other Sale'!$C:$C,$J316,'Other Sale'!$A:$A,$A316)))))</f>
        <v/>
      </c>
      <c r="F316" s="347" t="str" cm="1">
        <f t="array" ref="F316">IF($A316="","",IF($J316="Payment",IFERROR(INDEX(_xlfn._xlws.FILTER(MasterPaid[Amount Paid],(MasterPaid[Customer]=$M$3)*(MasterPaid[Date]=$A316)),COUNTIFS($A$6:$A316,$A316,$J$6:$J316,"Payment")),0),0))</f>
        <v/>
      </c>
      <c r="G316" s="331"/>
      <c r="H316" s="427"/>
      <c r="I316" s="330" t="str">
        <f t="shared" si="13"/>
        <v/>
      </c>
      <c r="J316" s="344" t="str" cm="1">
        <f t="array" ref="J316">IFERROR(INDEX(_xlfn.ANCHORARRAY($P$6),ROW()-5,3),"")</f>
        <v/>
      </c>
      <c r="K316" s="432"/>
      <c r="L316" s="348"/>
    </row>
    <row r="317" spans="1:12" ht="23" x14ac:dyDescent="0.25">
      <c r="A317" s="217" t="str" cm="1">
        <f t="array" ref="A317">IFERROR(INDEX(_xlfn.ANCHORARRAY($P$6),ROW()-5,1),"")</f>
        <v/>
      </c>
      <c r="B317" s="344" t="str" cm="1">
        <f t="array" ref="B317">IFERROR(INDEX(_xlfn.ANCHORARRAY($P$6),ROW()-5,2),"")</f>
        <v/>
      </c>
      <c r="C317" s="345" t="str">
        <f>IF($A317="","",IF($J317="DIESEL",SUMIFS(Table1[Quantity],Table1[Customer],$M$3,Table1[Date],$A317,Table1[Bill No.],$B317),IF($J317="PETROL",SUMIFS(Table14[Quantity],Table14[Customer],$M$3,Table14[Date],$A317,Table14[Bill No.],$B317),IF($J317="XtraGreen",SUMIFS(Table146[Quantity],Table146[Company],$M$3,Table146[Date],$A317,Table146[Bill No.],$B317),""))))</f>
        <v/>
      </c>
      <c r="D317" s="346" t="str">
        <f>IF($A317="","",IF($J317="DIESEL",AVERAGEIFS(Table1[RSP],Table1[Customer],$M$3,Table1[Date],$A317,Table1[Bill No.],$B317),IF($J317="PETROL",AVERAGEIFS(Table14[RSP],Table14[Customer],$M$3,Table14[Date],$A317,Table14[Bill No.],$B317),IF($J317="XtraGreen",AVERAGEIFS(Table146[RSP],Table146[Company],$M$3,Table146[Date],$A317,Table146[Bill No.],$B317),IFERROR($E317/$C317,"")))))</f>
        <v/>
      </c>
      <c r="E317" s="347" t="str">
        <f>IF($A317="","",IF($J317="DIESEL",SUMIFS(Table1[Amount],Table1[Customer],$M$3,Table1[Date],$A317,Table1[Bill No.],$B317),IF($J317="PETROL",SUMIFS(Table14[Amount],Table14[Customer],$M$3,Table14[Date],$A317,Table14[Bill No.],$B317),IF($J317="XtraGreen",SUMIFS(Table146[Amount],Table146[Company],$M$3,Table146[Date],$A317,Table146[Bill No.],$B317),SUMIFS('Other Sale'!$D:$D,'Other Sale'!$E:$E,$M$3,'Other Sale'!$C:$C,$J317,'Other Sale'!$A:$A,$A317)))))</f>
        <v/>
      </c>
      <c r="F317" s="347" t="str" cm="1">
        <f t="array" ref="F317">IF($A317="","",IF($J317="Payment",IFERROR(INDEX(_xlfn._xlws.FILTER(MasterPaid[Amount Paid],(MasterPaid[Customer]=$M$3)*(MasterPaid[Date]=$A317)),COUNTIFS($A$6:$A317,$A317,$J$6:$J317,"Payment")),0),0))</f>
        <v/>
      </c>
      <c r="G317" s="331"/>
      <c r="H317" s="427"/>
      <c r="I317" s="330" t="str">
        <f t="shared" si="13"/>
        <v/>
      </c>
      <c r="J317" s="344" t="str" cm="1">
        <f t="array" ref="J317">IFERROR(INDEX(_xlfn.ANCHORARRAY($P$6),ROW()-5,3),"")</f>
        <v/>
      </c>
      <c r="K317" s="432"/>
      <c r="L317" s="348"/>
    </row>
    <row r="318" spans="1:12" ht="23" x14ac:dyDescent="0.25">
      <c r="A318" s="217" t="str" cm="1">
        <f t="array" ref="A318">IFERROR(INDEX(_xlfn.ANCHORARRAY($P$6),ROW()-5,1),"")</f>
        <v/>
      </c>
      <c r="B318" s="344" t="str" cm="1">
        <f t="array" ref="B318">IFERROR(INDEX(_xlfn.ANCHORARRAY($P$6),ROW()-5,2),"")</f>
        <v/>
      </c>
      <c r="C318" s="345" t="str">
        <f>IF($A318="","",IF($J318="DIESEL",SUMIFS(Table1[Quantity],Table1[Customer],$M$3,Table1[Date],$A318,Table1[Bill No.],$B318),IF($J318="PETROL",SUMIFS(Table14[Quantity],Table14[Customer],$M$3,Table14[Date],$A318,Table14[Bill No.],$B318),IF($J318="XtraGreen",SUMIFS(Table146[Quantity],Table146[Company],$M$3,Table146[Date],$A318,Table146[Bill No.],$B318),""))))</f>
        <v/>
      </c>
      <c r="D318" s="346" t="str">
        <f>IF($A318="","",IF($J318="DIESEL",AVERAGEIFS(Table1[RSP],Table1[Customer],$M$3,Table1[Date],$A318,Table1[Bill No.],$B318),IF($J318="PETROL",AVERAGEIFS(Table14[RSP],Table14[Customer],$M$3,Table14[Date],$A318,Table14[Bill No.],$B318),IF($J318="XtraGreen",AVERAGEIFS(Table146[RSP],Table146[Company],$M$3,Table146[Date],$A318,Table146[Bill No.],$B318),IFERROR($E318/$C318,"")))))</f>
        <v/>
      </c>
      <c r="E318" s="347" t="str">
        <f>IF($A318="","",IF($J318="DIESEL",SUMIFS(Table1[Amount],Table1[Customer],$M$3,Table1[Date],$A318,Table1[Bill No.],$B318),IF($J318="PETROL",SUMIFS(Table14[Amount],Table14[Customer],$M$3,Table14[Date],$A318,Table14[Bill No.],$B318),IF($J318="XtraGreen",SUMIFS(Table146[Amount],Table146[Company],$M$3,Table146[Date],$A318,Table146[Bill No.],$B318),SUMIFS('Other Sale'!$D:$D,'Other Sale'!$E:$E,$M$3,'Other Sale'!$C:$C,$J318,'Other Sale'!$A:$A,$A318)))))</f>
        <v/>
      </c>
      <c r="F318" s="347" t="str" cm="1">
        <f t="array" ref="F318">IF($A318="","",IF($J318="Payment",IFERROR(INDEX(_xlfn._xlws.FILTER(MasterPaid[Amount Paid],(MasterPaid[Customer]=$M$3)*(MasterPaid[Date]=$A318)),COUNTIFS($A$6:$A318,$A318,$J$6:$J318,"Payment")),0),0))</f>
        <v/>
      </c>
      <c r="G318" s="331"/>
      <c r="H318" s="427"/>
      <c r="I318" s="330" t="str">
        <f t="shared" si="13"/>
        <v/>
      </c>
      <c r="J318" s="344" t="str" cm="1">
        <f t="array" ref="J318">IFERROR(INDEX(_xlfn.ANCHORARRAY($P$6),ROW()-5,3),"")</f>
        <v/>
      </c>
      <c r="K318" s="432"/>
      <c r="L318" s="348"/>
    </row>
    <row r="319" spans="1:12" ht="23" x14ac:dyDescent="0.25">
      <c r="A319" s="217" t="str" cm="1">
        <f t="array" ref="A319">IFERROR(INDEX(_xlfn.ANCHORARRAY($P$6),ROW()-5,1),"")</f>
        <v/>
      </c>
      <c r="B319" s="344" t="str" cm="1">
        <f t="array" ref="B319">IFERROR(INDEX(_xlfn.ANCHORARRAY($P$6),ROW()-5,2),"")</f>
        <v/>
      </c>
      <c r="C319" s="345" t="str">
        <f>IF($A319="","",IF($J319="DIESEL",SUMIFS(Table1[Quantity],Table1[Customer],$M$3,Table1[Date],$A319,Table1[Bill No.],$B319),IF($J319="PETROL",SUMIFS(Table14[Quantity],Table14[Customer],$M$3,Table14[Date],$A319,Table14[Bill No.],$B319),IF($J319="XtraGreen",SUMIFS(Table146[Quantity],Table146[Company],$M$3,Table146[Date],$A319,Table146[Bill No.],$B319),""))))</f>
        <v/>
      </c>
      <c r="D319" s="346" t="str">
        <f>IF($A319="","",IF($J319="DIESEL",AVERAGEIFS(Table1[RSP],Table1[Customer],$M$3,Table1[Date],$A319,Table1[Bill No.],$B319),IF($J319="PETROL",AVERAGEIFS(Table14[RSP],Table14[Customer],$M$3,Table14[Date],$A319,Table14[Bill No.],$B319),IF($J319="XtraGreen",AVERAGEIFS(Table146[RSP],Table146[Company],$M$3,Table146[Date],$A319,Table146[Bill No.],$B319),IFERROR($E319/$C319,"")))))</f>
        <v/>
      </c>
      <c r="E319" s="347" t="str">
        <f>IF($A319="","",IF($J319="DIESEL",SUMIFS(Table1[Amount],Table1[Customer],$M$3,Table1[Date],$A319,Table1[Bill No.],$B319),IF($J319="PETROL",SUMIFS(Table14[Amount],Table14[Customer],$M$3,Table14[Date],$A319,Table14[Bill No.],$B319),IF($J319="XtraGreen",SUMIFS(Table146[Amount],Table146[Company],$M$3,Table146[Date],$A319,Table146[Bill No.],$B319),SUMIFS('Other Sale'!$D:$D,'Other Sale'!$E:$E,$M$3,'Other Sale'!$C:$C,$J319,'Other Sale'!$A:$A,$A319)))))</f>
        <v/>
      </c>
      <c r="F319" s="347" t="str" cm="1">
        <f t="array" ref="F319">IF($A319="","",IF($J319="Payment",IFERROR(INDEX(_xlfn._xlws.FILTER(MasterPaid[Amount Paid],(MasterPaid[Customer]=$M$3)*(MasterPaid[Date]=$A319)),COUNTIFS($A$6:$A319,$A319,$J$6:$J319,"Payment")),0),0))</f>
        <v/>
      </c>
      <c r="G319" s="331"/>
      <c r="H319" s="427"/>
      <c r="I319" s="330" t="str">
        <f t="shared" si="13"/>
        <v/>
      </c>
      <c r="J319" s="344" t="str" cm="1">
        <f t="array" ref="J319">IFERROR(INDEX(_xlfn.ANCHORARRAY($P$6),ROW()-5,3),"")</f>
        <v/>
      </c>
      <c r="K319" s="432"/>
      <c r="L319" s="348"/>
    </row>
    <row r="320" spans="1:12" ht="23" x14ac:dyDescent="0.25">
      <c r="A320" s="217" t="str" cm="1">
        <f t="array" ref="A320">IFERROR(INDEX(_xlfn.ANCHORARRAY($P$6),ROW()-5,1),"")</f>
        <v/>
      </c>
      <c r="B320" s="344" t="str" cm="1">
        <f t="array" ref="B320">IFERROR(INDEX(_xlfn.ANCHORARRAY($P$6),ROW()-5,2),"")</f>
        <v/>
      </c>
      <c r="C320" s="345" t="str">
        <f>IF($A320="","",IF($J320="DIESEL",SUMIFS(Table1[Quantity],Table1[Customer],$M$3,Table1[Date],$A320,Table1[Bill No.],$B320),IF($J320="PETROL",SUMIFS(Table14[Quantity],Table14[Customer],$M$3,Table14[Date],$A320,Table14[Bill No.],$B320),IF($J320="XtraGreen",SUMIFS(Table146[Quantity],Table146[Company],$M$3,Table146[Date],$A320,Table146[Bill No.],$B320),""))))</f>
        <v/>
      </c>
      <c r="D320" s="346" t="str">
        <f>IF($A320="","",IF($J320="DIESEL",AVERAGEIFS(Table1[RSP],Table1[Customer],$M$3,Table1[Date],$A320,Table1[Bill No.],$B320),IF($J320="PETROL",AVERAGEIFS(Table14[RSP],Table14[Customer],$M$3,Table14[Date],$A320,Table14[Bill No.],$B320),IF($J320="XtraGreen",AVERAGEIFS(Table146[RSP],Table146[Company],$M$3,Table146[Date],$A320,Table146[Bill No.],$B320),IFERROR($E320/$C320,"")))))</f>
        <v/>
      </c>
      <c r="E320" s="347" t="str">
        <f>IF($A320="","",IF($J320="DIESEL",SUMIFS(Table1[Amount],Table1[Customer],$M$3,Table1[Date],$A320,Table1[Bill No.],$B320),IF($J320="PETROL",SUMIFS(Table14[Amount],Table14[Customer],$M$3,Table14[Date],$A320,Table14[Bill No.],$B320),IF($J320="XtraGreen",SUMIFS(Table146[Amount],Table146[Company],$M$3,Table146[Date],$A320,Table146[Bill No.],$B320),SUMIFS('Other Sale'!$D:$D,'Other Sale'!$E:$E,$M$3,'Other Sale'!$C:$C,$J320,'Other Sale'!$A:$A,$A320)))))</f>
        <v/>
      </c>
      <c r="F320" s="347" t="str" cm="1">
        <f t="array" ref="F320">IF($A320="","",IF($J320="Payment",IFERROR(INDEX(_xlfn._xlws.FILTER(MasterPaid[Amount Paid],(MasterPaid[Customer]=$M$3)*(MasterPaid[Date]=$A320)),COUNTIFS($A$6:$A320,$A320,$J$6:$J320,"Payment")),0),0))</f>
        <v/>
      </c>
      <c r="G320" s="331"/>
      <c r="H320" s="427"/>
      <c r="I320" s="330" t="str">
        <f t="shared" si="13"/>
        <v/>
      </c>
      <c r="J320" s="344" t="str" cm="1">
        <f t="array" ref="J320">IFERROR(INDEX(_xlfn.ANCHORARRAY($P$6),ROW()-5,3),"")</f>
        <v/>
      </c>
      <c r="K320" s="432"/>
      <c r="L320" s="348"/>
    </row>
    <row r="321" spans="1:12" ht="23" x14ac:dyDescent="0.25">
      <c r="A321" s="217" t="str" cm="1">
        <f t="array" ref="A321">IFERROR(INDEX(_xlfn.ANCHORARRAY($P$6),ROW()-5,1),"")</f>
        <v/>
      </c>
      <c r="B321" s="344" t="str" cm="1">
        <f t="array" ref="B321">IFERROR(INDEX(_xlfn.ANCHORARRAY($P$6),ROW()-5,2),"")</f>
        <v/>
      </c>
      <c r="C321" s="345" t="str">
        <f>IF($A321="","",IF($J321="DIESEL",SUMIFS(Table1[Quantity],Table1[Customer],$M$3,Table1[Date],$A321,Table1[Bill No.],$B321),IF($J321="PETROL",SUMIFS(Table14[Quantity],Table14[Customer],$M$3,Table14[Date],$A321,Table14[Bill No.],$B321),IF($J321="XtraGreen",SUMIFS(Table146[Quantity],Table146[Company],$M$3,Table146[Date],$A321,Table146[Bill No.],$B321),""))))</f>
        <v/>
      </c>
      <c r="D321" s="346" t="str">
        <f>IF($A321="","",IF($J321="DIESEL",AVERAGEIFS(Table1[RSP],Table1[Customer],$M$3,Table1[Date],$A321,Table1[Bill No.],$B321),IF($J321="PETROL",AVERAGEIFS(Table14[RSP],Table14[Customer],$M$3,Table14[Date],$A321,Table14[Bill No.],$B321),IF($J321="XtraGreen",AVERAGEIFS(Table146[RSP],Table146[Company],$M$3,Table146[Date],$A321,Table146[Bill No.],$B321),IFERROR($E321/$C321,"")))))</f>
        <v/>
      </c>
      <c r="E321" s="347" t="str">
        <f>IF($A321="","",IF($J321="DIESEL",SUMIFS(Table1[Amount],Table1[Customer],$M$3,Table1[Date],$A321,Table1[Bill No.],$B321),IF($J321="PETROL",SUMIFS(Table14[Amount],Table14[Customer],$M$3,Table14[Date],$A321,Table14[Bill No.],$B321),IF($J321="XtraGreen",SUMIFS(Table146[Amount],Table146[Company],$M$3,Table146[Date],$A321,Table146[Bill No.],$B321),SUMIFS('Other Sale'!$D:$D,'Other Sale'!$E:$E,$M$3,'Other Sale'!$C:$C,$J321,'Other Sale'!$A:$A,$A321)))))</f>
        <v/>
      </c>
      <c r="F321" s="347" t="str" cm="1">
        <f t="array" ref="F321">IF($A321="","",IF($J321="Payment",IFERROR(INDEX(_xlfn._xlws.FILTER(MasterPaid[Amount Paid],(MasterPaid[Customer]=$M$3)*(MasterPaid[Date]=$A321)),COUNTIFS($A$6:$A321,$A321,$J$6:$J321,"Payment")),0),0))</f>
        <v/>
      </c>
      <c r="G321" s="331"/>
      <c r="H321" s="427"/>
      <c r="I321" s="330" t="str">
        <f t="shared" si="13"/>
        <v/>
      </c>
      <c r="J321" s="344" t="str" cm="1">
        <f t="array" ref="J321">IFERROR(INDEX(_xlfn.ANCHORARRAY($P$6),ROW()-5,3),"")</f>
        <v/>
      </c>
      <c r="K321" s="432"/>
      <c r="L321" s="348"/>
    </row>
    <row r="322" spans="1:12" ht="23" x14ac:dyDescent="0.25">
      <c r="A322" s="217" t="str" cm="1">
        <f t="array" ref="A322">IFERROR(INDEX(_xlfn.ANCHORARRAY($P$6),ROW()-5,1),"")</f>
        <v/>
      </c>
      <c r="B322" s="344" t="str" cm="1">
        <f t="array" ref="B322">IFERROR(INDEX(_xlfn.ANCHORARRAY($P$6),ROW()-5,2),"")</f>
        <v/>
      </c>
      <c r="C322" s="345" t="str">
        <f>IF($A322="","",IF($J322="DIESEL",SUMIFS(Table1[Quantity],Table1[Customer],$M$3,Table1[Date],$A322,Table1[Bill No.],$B322),IF($J322="PETROL",SUMIFS(Table14[Quantity],Table14[Customer],$M$3,Table14[Date],$A322,Table14[Bill No.],$B322),IF($J322="XtraGreen",SUMIFS(Table146[Quantity],Table146[Company],$M$3,Table146[Date],$A322,Table146[Bill No.],$B322),""))))</f>
        <v/>
      </c>
      <c r="D322" s="346" t="str">
        <f>IF($A322="","",IF($J322="DIESEL",AVERAGEIFS(Table1[RSP],Table1[Customer],$M$3,Table1[Date],$A322,Table1[Bill No.],$B322),IF($J322="PETROL",AVERAGEIFS(Table14[RSP],Table14[Customer],$M$3,Table14[Date],$A322,Table14[Bill No.],$B322),IF($J322="XtraGreen",AVERAGEIFS(Table146[RSP],Table146[Company],$M$3,Table146[Date],$A322,Table146[Bill No.],$B322),IFERROR($E322/$C322,"")))))</f>
        <v/>
      </c>
      <c r="E322" s="347" t="str">
        <f>IF($A322="","",IF($J322="DIESEL",SUMIFS(Table1[Amount],Table1[Customer],$M$3,Table1[Date],$A322,Table1[Bill No.],$B322),IF($J322="PETROL",SUMIFS(Table14[Amount],Table14[Customer],$M$3,Table14[Date],$A322,Table14[Bill No.],$B322),IF($J322="XtraGreen",SUMIFS(Table146[Amount],Table146[Company],$M$3,Table146[Date],$A322,Table146[Bill No.],$B322),SUMIFS('Other Sale'!$D:$D,'Other Sale'!$E:$E,$M$3,'Other Sale'!$C:$C,$J322,'Other Sale'!$A:$A,$A322)))))</f>
        <v/>
      </c>
      <c r="F322" s="347" t="str" cm="1">
        <f t="array" ref="F322">IF($A322="","",IF($J322="Payment",IFERROR(INDEX(_xlfn._xlws.FILTER(MasterPaid[Amount Paid],(MasterPaid[Customer]=$M$3)*(MasterPaid[Date]=$A322)),COUNTIFS($A$6:$A322,$A322,$J$6:$J322,"Payment")),0),0))</f>
        <v/>
      </c>
      <c r="G322" s="331"/>
      <c r="H322" s="427"/>
      <c r="I322" s="330" t="str">
        <f t="shared" si="13"/>
        <v/>
      </c>
      <c r="J322" s="344" t="str" cm="1">
        <f t="array" ref="J322">IFERROR(INDEX(_xlfn.ANCHORARRAY($P$6),ROW()-5,3),"")</f>
        <v/>
      </c>
      <c r="K322" s="432"/>
      <c r="L322" s="348"/>
    </row>
    <row r="323" spans="1:12" ht="23" x14ac:dyDescent="0.25">
      <c r="A323" s="217" t="str" cm="1">
        <f t="array" ref="A323">IFERROR(INDEX(_xlfn.ANCHORARRAY($P$6),ROW()-5,1),"")</f>
        <v/>
      </c>
      <c r="B323" s="344" t="str" cm="1">
        <f t="array" ref="B323">IFERROR(INDEX(_xlfn.ANCHORARRAY($P$6),ROW()-5,2),"")</f>
        <v/>
      </c>
      <c r="C323" s="345" t="str">
        <f>IF($A323="","",IF($J323="DIESEL",SUMIFS(Table1[Quantity],Table1[Customer],$M$3,Table1[Date],$A323,Table1[Bill No.],$B323),IF($J323="PETROL",SUMIFS(Table14[Quantity],Table14[Customer],$M$3,Table14[Date],$A323,Table14[Bill No.],$B323),IF($J323="XtraGreen",SUMIFS(Table146[Quantity],Table146[Company],$M$3,Table146[Date],$A323,Table146[Bill No.],$B323),""))))</f>
        <v/>
      </c>
      <c r="D323" s="346" t="str">
        <f>IF($A323="","",IF($J323="DIESEL",AVERAGEIFS(Table1[RSP],Table1[Customer],$M$3,Table1[Date],$A323,Table1[Bill No.],$B323),IF($J323="PETROL",AVERAGEIFS(Table14[RSP],Table14[Customer],$M$3,Table14[Date],$A323,Table14[Bill No.],$B323),IF($J323="XtraGreen",AVERAGEIFS(Table146[RSP],Table146[Company],$M$3,Table146[Date],$A323,Table146[Bill No.],$B323),IFERROR($E323/$C323,"")))))</f>
        <v/>
      </c>
      <c r="E323" s="347" t="str">
        <f>IF($A323="","",IF($J323="DIESEL",SUMIFS(Table1[Amount],Table1[Customer],$M$3,Table1[Date],$A323,Table1[Bill No.],$B323),IF($J323="PETROL",SUMIFS(Table14[Amount],Table14[Customer],$M$3,Table14[Date],$A323,Table14[Bill No.],$B323),IF($J323="XtraGreen",SUMIFS(Table146[Amount],Table146[Company],$M$3,Table146[Date],$A323,Table146[Bill No.],$B323),SUMIFS('Other Sale'!$D:$D,'Other Sale'!$E:$E,$M$3,'Other Sale'!$C:$C,$J323,'Other Sale'!$A:$A,$A323)))))</f>
        <v/>
      </c>
      <c r="F323" s="347" t="str" cm="1">
        <f t="array" ref="F323">IF($A323="","",IF($J323="Payment",IFERROR(INDEX(_xlfn._xlws.FILTER(MasterPaid[Amount Paid],(MasterPaid[Customer]=$M$3)*(MasterPaid[Date]=$A323)),COUNTIFS($A$6:$A323,$A323,$J$6:$J323,"Payment")),0),0))</f>
        <v/>
      </c>
      <c r="G323" s="331"/>
      <c r="H323" s="427"/>
      <c r="I323" s="330" t="str">
        <f t="shared" si="13"/>
        <v/>
      </c>
      <c r="J323" s="344" t="str" cm="1">
        <f t="array" ref="J323">IFERROR(INDEX(_xlfn.ANCHORARRAY($P$6),ROW()-5,3),"")</f>
        <v/>
      </c>
      <c r="K323" s="432"/>
      <c r="L323" s="348"/>
    </row>
    <row r="324" spans="1:12" ht="23" x14ac:dyDescent="0.25">
      <c r="A324" s="217" t="str" cm="1">
        <f t="array" ref="A324">IFERROR(INDEX(_xlfn.ANCHORARRAY($P$6),ROW()-5,1),"")</f>
        <v/>
      </c>
      <c r="B324" s="344" t="str" cm="1">
        <f t="array" ref="B324">IFERROR(INDEX(_xlfn.ANCHORARRAY($P$6),ROW()-5,2),"")</f>
        <v/>
      </c>
      <c r="C324" s="345" t="str">
        <f>IF($A324="","",IF($J324="DIESEL",SUMIFS(Table1[Quantity],Table1[Customer],$M$3,Table1[Date],$A324,Table1[Bill No.],$B324),IF($J324="PETROL",SUMIFS(Table14[Quantity],Table14[Customer],$M$3,Table14[Date],$A324,Table14[Bill No.],$B324),IF($J324="XtraGreen",SUMIFS(Table146[Quantity],Table146[Company],$M$3,Table146[Date],$A324,Table146[Bill No.],$B324),""))))</f>
        <v/>
      </c>
      <c r="D324" s="346" t="str">
        <f>IF($A324="","",IF($J324="DIESEL",AVERAGEIFS(Table1[RSP],Table1[Customer],$M$3,Table1[Date],$A324,Table1[Bill No.],$B324),IF($J324="PETROL",AVERAGEIFS(Table14[RSP],Table14[Customer],$M$3,Table14[Date],$A324,Table14[Bill No.],$B324),IF($J324="XtraGreen",AVERAGEIFS(Table146[RSP],Table146[Company],$M$3,Table146[Date],$A324,Table146[Bill No.],$B324),IFERROR($E324/$C324,"")))))</f>
        <v/>
      </c>
      <c r="E324" s="347" t="str">
        <f>IF($A324="","",IF($J324="DIESEL",SUMIFS(Table1[Amount],Table1[Customer],$M$3,Table1[Date],$A324,Table1[Bill No.],$B324),IF($J324="PETROL",SUMIFS(Table14[Amount],Table14[Customer],$M$3,Table14[Date],$A324,Table14[Bill No.],$B324),IF($J324="XtraGreen",SUMIFS(Table146[Amount],Table146[Company],$M$3,Table146[Date],$A324,Table146[Bill No.],$B324),SUMIFS('Other Sale'!$D:$D,'Other Sale'!$E:$E,$M$3,'Other Sale'!$C:$C,$J324,'Other Sale'!$A:$A,$A324)))))</f>
        <v/>
      </c>
      <c r="F324" s="347" t="str" cm="1">
        <f t="array" ref="F324">IF($A324="","",IF($J324="Payment",IFERROR(INDEX(_xlfn._xlws.FILTER(MasterPaid[Amount Paid],(MasterPaid[Customer]=$M$3)*(MasterPaid[Date]=$A324)),COUNTIFS($A$6:$A324,$A324,$J$6:$J324,"Payment")),0),0))</f>
        <v/>
      </c>
      <c r="G324" s="331"/>
      <c r="H324" s="427"/>
      <c r="I324" s="330" t="str">
        <f t="shared" si="13"/>
        <v/>
      </c>
      <c r="J324" s="344" t="str" cm="1">
        <f t="array" ref="J324">IFERROR(INDEX(_xlfn.ANCHORARRAY($P$6),ROW()-5,3),"")</f>
        <v/>
      </c>
      <c r="K324" s="432"/>
      <c r="L324" s="348"/>
    </row>
    <row r="325" spans="1:12" ht="23" x14ac:dyDescent="0.25">
      <c r="A325" s="217" t="str" cm="1">
        <f t="array" ref="A325">IFERROR(INDEX(_xlfn.ANCHORARRAY($P$6),ROW()-5,1),"")</f>
        <v/>
      </c>
      <c r="B325" s="344" t="str" cm="1">
        <f t="array" ref="B325">IFERROR(INDEX(_xlfn.ANCHORARRAY($P$6),ROW()-5,2),"")</f>
        <v/>
      </c>
      <c r="C325" s="345" t="str">
        <f>IF($A325="","",IF($J325="DIESEL",SUMIFS(Table1[Quantity],Table1[Customer],$M$3,Table1[Date],$A325,Table1[Bill No.],$B325),IF($J325="PETROL",SUMIFS(Table14[Quantity],Table14[Customer],$M$3,Table14[Date],$A325,Table14[Bill No.],$B325),IF($J325="XtraGreen",SUMIFS(Table146[Quantity],Table146[Company],$M$3,Table146[Date],$A325,Table146[Bill No.],$B325),""))))</f>
        <v/>
      </c>
      <c r="D325" s="346" t="str">
        <f>IF($A325="","",IF($J325="DIESEL",AVERAGEIFS(Table1[RSP],Table1[Customer],$M$3,Table1[Date],$A325,Table1[Bill No.],$B325),IF($J325="PETROL",AVERAGEIFS(Table14[RSP],Table14[Customer],$M$3,Table14[Date],$A325,Table14[Bill No.],$B325),IF($J325="XtraGreen",AVERAGEIFS(Table146[RSP],Table146[Company],$M$3,Table146[Date],$A325,Table146[Bill No.],$B325),IFERROR($E325/$C325,"")))))</f>
        <v/>
      </c>
      <c r="E325" s="347" t="str">
        <f>IF($A325="","",IF($J325="DIESEL",SUMIFS(Table1[Amount],Table1[Customer],$M$3,Table1[Date],$A325,Table1[Bill No.],$B325),IF($J325="PETROL",SUMIFS(Table14[Amount],Table14[Customer],$M$3,Table14[Date],$A325,Table14[Bill No.],$B325),IF($J325="XtraGreen",SUMIFS(Table146[Amount],Table146[Company],$M$3,Table146[Date],$A325,Table146[Bill No.],$B325),SUMIFS('Other Sale'!$D:$D,'Other Sale'!$E:$E,$M$3,'Other Sale'!$C:$C,$J325,'Other Sale'!$A:$A,$A325)))))</f>
        <v/>
      </c>
      <c r="F325" s="347" t="str" cm="1">
        <f t="array" ref="F325">IF($A325="","",IF($J325="Payment",IFERROR(INDEX(_xlfn._xlws.FILTER(MasterPaid[Amount Paid],(MasterPaid[Customer]=$M$3)*(MasterPaid[Date]=$A325)),COUNTIFS($A$6:$A325,$A325,$J$6:$J325,"Payment")),0),0))</f>
        <v/>
      </c>
      <c r="G325" s="331"/>
      <c r="H325" s="427"/>
      <c r="I325" s="330" t="str">
        <f t="shared" si="13"/>
        <v/>
      </c>
      <c r="J325" s="344" t="str" cm="1">
        <f t="array" ref="J325">IFERROR(INDEX(_xlfn.ANCHORARRAY($P$6),ROW()-5,3),"")</f>
        <v/>
      </c>
      <c r="K325" s="432"/>
      <c r="L325" s="348"/>
    </row>
    <row r="326" spans="1:12" ht="23" x14ac:dyDescent="0.25">
      <c r="A326" s="217" t="str" cm="1">
        <f t="array" ref="A326">IFERROR(INDEX(_xlfn.ANCHORARRAY($P$6),ROW()-5,1),"")</f>
        <v/>
      </c>
      <c r="B326" s="344" t="str" cm="1">
        <f t="array" ref="B326">IFERROR(INDEX(_xlfn.ANCHORARRAY($P$6),ROW()-5,2),"")</f>
        <v/>
      </c>
      <c r="C326" s="345" t="str">
        <f>IF($A326="","",IF($J326="DIESEL",SUMIFS(Table1[Quantity],Table1[Customer],$M$3,Table1[Date],$A326,Table1[Bill No.],$B326),IF($J326="PETROL",SUMIFS(Table14[Quantity],Table14[Customer],$M$3,Table14[Date],$A326,Table14[Bill No.],$B326),IF($J326="XtraGreen",SUMIFS(Table146[Quantity],Table146[Company],$M$3,Table146[Date],$A326,Table146[Bill No.],$B326),""))))</f>
        <v/>
      </c>
      <c r="D326" s="346" t="str">
        <f>IF($A326="","",IF($J326="DIESEL",AVERAGEIFS(Table1[RSP],Table1[Customer],$M$3,Table1[Date],$A326,Table1[Bill No.],$B326),IF($J326="PETROL",AVERAGEIFS(Table14[RSP],Table14[Customer],$M$3,Table14[Date],$A326,Table14[Bill No.],$B326),IF($J326="XtraGreen",AVERAGEIFS(Table146[RSP],Table146[Company],$M$3,Table146[Date],$A326,Table146[Bill No.],$B326),IFERROR($E326/$C326,"")))))</f>
        <v/>
      </c>
      <c r="E326" s="347" t="str">
        <f>IF($A326="","",IF($J326="DIESEL",SUMIFS(Table1[Amount],Table1[Customer],$M$3,Table1[Date],$A326,Table1[Bill No.],$B326),IF($J326="PETROL",SUMIFS(Table14[Amount],Table14[Customer],$M$3,Table14[Date],$A326,Table14[Bill No.],$B326),IF($J326="XtraGreen",SUMIFS(Table146[Amount],Table146[Company],$M$3,Table146[Date],$A326,Table146[Bill No.],$B326),SUMIFS('Other Sale'!$D:$D,'Other Sale'!$E:$E,$M$3,'Other Sale'!$C:$C,$J326,'Other Sale'!$A:$A,$A326)))))</f>
        <v/>
      </c>
      <c r="F326" s="347" t="str" cm="1">
        <f t="array" ref="F326">IF($A326="","",IF($J326="Payment",IFERROR(INDEX(_xlfn._xlws.FILTER(MasterPaid[Amount Paid],(MasterPaid[Customer]=$M$3)*(MasterPaid[Date]=$A326)),COUNTIFS($A$6:$A326,$A326,$J$6:$J326,"Payment")),0),0))</f>
        <v/>
      </c>
      <c r="G326" s="331"/>
      <c r="H326" s="427"/>
      <c r="I326" s="330" t="str">
        <f t="shared" si="13"/>
        <v/>
      </c>
      <c r="J326" s="344" t="str" cm="1">
        <f t="array" ref="J326">IFERROR(INDEX(_xlfn.ANCHORARRAY($P$6),ROW()-5,3),"")</f>
        <v/>
      </c>
      <c r="K326" s="432"/>
      <c r="L326" s="348"/>
    </row>
    <row r="327" spans="1:12" ht="23" x14ac:dyDescent="0.25">
      <c r="A327" s="217" t="str" cm="1">
        <f t="array" ref="A327">IFERROR(INDEX(_xlfn.ANCHORARRAY($P$6),ROW()-5,1),"")</f>
        <v/>
      </c>
      <c r="B327" s="344" t="str" cm="1">
        <f t="array" ref="B327">IFERROR(INDEX(_xlfn.ANCHORARRAY($P$6),ROW()-5,2),"")</f>
        <v/>
      </c>
      <c r="C327" s="345" t="str">
        <f>IF($A327="","",IF($J327="DIESEL",SUMIFS(Table1[Quantity],Table1[Customer],$M$3,Table1[Date],$A327,Table1[Bill No.],$B327),IF($J327="PETROL",SUMIFS(Table14[Quantity],Table14[Customer],$M$3,Table14[Date],$A327,Table14[Bill No.],$B327),IF($J327="XtraGreen",SUMIFS(Table146[Quantity],Table146[Company],$M$3,Table146[Date],$A327,Table146[Bill No.],$B327),""))))</f>
        <v/>
      </c>
      <c r="D327" s="346" t="str">
        <f>IF($A327="","",IF($J327="DIESEL",AVERAGEIFS(Table1[RSP],Table1[Customer],$M$3,Table1[Date],$A327,Table1[Bill No.],$B327),IF($J327="PETROL",AVERAGEIFS(Table14[RSP],Table14[Customer],$M$3,Table14[Date],$A327,Table14[Bill No.],$B327),IF($J327="XtraGreen",AVERAGEIFS(Table146[RSP],Table146[Company],$M$3,Table146[Date],$A327,Table146[Bill No.],$B327),IFERROR($E327/$C327,"")))))</f>
        <v/>
      </c>
      <c r="E327" s="347" t="str">
        <f>IF($A327="","",IF($J327="DIESEL",SUMIFS(Table1[Amount],Table1[Customer],$M$3,Table1[Date],$A327,Table1[Bill No.],$B327),IF($J327="PETROL",SUMIFS(Table14[Amount],Table14[Customer],$M$3,Table14[Date],$A327,Table14[Bill No.],$B327),IF($J327="XtraGreen",SUMIFS(Table146[Amount],Table146[Company],$M$3,Table146[Date],$A327,Table146[Bill No.],$B327),SUMIFS('Other Sale'!$D:$D,'Other Sale'!$E:$E,$M$3,'Other Sale'!$C:$C,$J327,'Other Sale'!$A:$A,$A327)))))</f>
        <v/>
      </c>
      <c r="F327" s="347" t="str" cm="1">
        <f t="array" ref="F327">IF($A327="","",IF($J327="Payment",IFERROR(INDEX(_xlfn._xlws.FILTER(MasterPaid[Amount Paid],(MasterPaid[Customer]=$M$3)*(MasterPaid[Date]=$A327)),COUNTIFS($A$6:$A327,$A327,$J$6:$J327,"Payment")),0),0))</f>
        <v/>
      </c>
      <c r="G327" s="331"/>
      <c r="H327" s="427"/>
      <c r="I327" s="330" t="str">
        <f t="shared" si="13"/>
        <v/>
      </c>
      <c r="J327" s="344" t="str" cm="1">
        <f t="array" ref="J327">IFERROR(INDEX(_xlfn.ANCHORARRAY($P$6),ROW()-5,3),"")</f>
        <v/>
      </c>
      <c r="K327" s="432"/>
      <c r="L327" s="348"/>
    </row>
    <row r="328" spans="1:12" ht="23" x14ac:dyDescent="0.25">
      <c r="A328" s="217" t="str" cm="1">
        <f t="array" ref="A328">IFERROR(INDEX(_xlfn.ANCHORARRAY($P$6),ROW()-5,1),"")</f>
        <v/>
      </c>
      <c r="B328" s="344" t="str" cm="1">
        <f t="array" ref="B328">IFERROR(INDEX(_xlfn.ANCHORARRAY($P$6),ROW()-5,2),"")</f>
        <v/>
      </c>
      <c r="C328" s="345" t="str">
        <f>IF($A328="","",IF($J328="DIESEL",SUMIFS(Table1[Quantity],Table1[Customer],$M$3,Table1[Date],$A328,Table1[Bill No.],$B328),IF($J328="PETROL",SUMIFS(Table14[Quantity],Table14[Customer],$M$3,Table14[Date],$A328,Table14[Bill No.],$B328),IF($J328="XtraGreen",SUMIFS(Table146[Quantity],Table146[Company],$M$3,Table146[Date],$A328,Table146[Bill No.],$B328),""))))</f>
        <v/>
      </c>
      <c r="D328" s="346" t="str">
        <f>IF($A328="","",IF($J328="DIESEL",AVERAGEIFS(Table1[RSP],Table1[Customer],$M$3,Table1[Date],$A328,Table1[Bill No.],$B328),IF($J328="PETROL",AVERAGEIFS(Table14[RSP],Table14[Customer],$M$3,Table14[Date],$A328,Table14[Bill No.],$B328),IF($J328="XtraGreen",AVERAGEIFS(Table146[RSP],Table146[Company],$M$3,Table146[Date],$A328,Table146[Bill No.],$B328),IFERROR($E328/$C328,"")))))</f>
        <v/>
      </c>
      <c r="E328" s="347" t="str">
        <f>IF($A328="","",IF($J328="DIESEL",SUMIFS(Table1[Amount],Table1[Customer],$M$3,Table1[Date],$A328,Table1[Bill No.],$B328),IF($J328="PETROL",SUMIFS(Table14[Amount],Table14[Customer],$M$3,Table14[Date],$A328,Table14[Bill No.],$B328),IF($J328="XtraGreen",SUMIFS(Table146[Amount],Table146[Company],$M$3,Table146[Date],$A328,Table146[Bill No.],$B328),SUMIFS('Other Sale'!$D:$D,'Other Sale'!$E:$E,$M$3,'Other Sale'!$C:$C,$J328,'Other Sale'!$A:$A,$A328)))))</f>
        <v/>
      </c>
      <c r="F328" s="347" t="str" cm="1">
        <f t="array" ref="F328">IF($A328="","",IF($J328="Payment",IFERROR(INDEX(_xlfn._xlws.FILTER(MasterPaid[Amount Paid],(MasterPaid[Customer]=$M$3)*(MasterPaid[Date]=$A328)),COUNTIFS($A$6:$A328,$A328,$J$6:$J328,"Payment")),0),0))</f>
        <v/>
      </c>
      <c r="G328" s="331"/>
      <c r="H328" s="427"/>
      <c r="I328" s="330" t="str">
        <f t="shared" ref="I328:I355" si="14">IF($A328="","",I327+N(E328)-N(F328)-N(G328)-N(H328))</f>
        <v/>
      </c>
      <c r="J328" s="344" t="str" cm="1">
        <f t="array" ref="J328">IFERROR(INDEX(_xlfn.ANCHORARRAY($P$6),ROW()-5,3),"")</f>
        <v/>
      </c>
      <c r="K328" s="432"/>
      <c r="L328" s="348"/>
    </row>
    <row r="329" spans="1:12" ht="23" x14ac:dyDescent="0.25">
      <c r="A329" s="217" t="str" cm="1">
        <f t="array" ref="A329">IFERROR(INDEX(_xlfn.ANCHORARRAY($P$6),ROW()-5,1),"")</f>
        <v/>
      </c>
      <c r="B329" s="344" t="str" cm="1">
        <f t="array" ref="B329">IFERROR(INDEX(_xlfn.ANCHORARRAY($P$6),ROW()-5,2),"")</f>
        <v/>
      </c>
      <c r="C329" s="345" t="str">
        <f>IF($A329="","",IF($J329="DIESEL",SUMIFS(Table1[Quantity],Table1[Customer],$M$3,Table1[Date],$A329,Table1[Bill No.],$B329),IF($J329="PETROL",SUMIFS(Table14[Quantity],Table14[Customer],$M$3,Table14[Date],$A329,Table14[Bill No.],$B329),IF($J329="XtraGreen",SUMIFS(Table146[Quantity],Table146[Company],$M$3,Table146[Date],$A329,Table146[Bill No.],$B329),""))))</f>
        <v/>
      </c>
      <c r="D329" s="346" t="str">
        <f>IF($A329="","",IF($J329="DIESEL",AVERAGEIFS(Table1[RSP],Table1[Customer],$M$3,Table1[Date],$A329,Table1[Bill No.],$B329),IF($J329="PETROL",AVERAGEIFS(Table14[RSP],Table14[Customer],$M$3,Table14[Date],$A329,Table14[Bill No.],$B329),IF($J329="XtraGreen",AVERAGEIFS(Table146[RSP],Table146[Company],$M$3,Table146[Date],$A329,Table146[Bill No.],$B329),IFERROR($E329/$C329,"")))))</f>
        <v/>
      </c>
      <c r="E329" s="347" t="str">
        <f>IF($A329="","",IF($J329="DIESEL",SUMIFS(Table1[Amount],Table1[Customer],$M$3,Table1[Date],$A329,Table1[Bill No.],$B329),IF($J329="PETROL",SUMIFS(Table14[Amount],Table14[Customer],$M$3,Table14[Date],$A329,Table14[Bill No.],$B329),IF($J329="XtraGreen",SUMIFS(Table146[Amount],Table146[Company],$M$3,Table146[Date],$A329,Table146[Bill No.],$B329),SUMIFS('Other Sale'!$D:$D,'Other Sale'!$E:$E,$M$3,'Other Sale'!$C:$C,$J329,'Other Sale'!$A:$A,$A329)))))</f>
        <v/>
      </c>
      <c r="F329" s="347" t="str" cm="1">
        <f t="array" ref="F329">IF($A329="","",IF($J329="Payment",IFERROR(INDEX(_xlfn._xlws.FILTER(MasterPaid[Amount Paid],(MasterPaid[Customer]=$M$3)*(MasterPaid[Date]=$A329)),COUNTIFS($A$6:$A329,$A329,$J$6:$J329,"Payment")),0),0))</f>
        <v/>
      </c>
      <c r="G329" s="331"/>
      <c r="H329" s="427"/>
      <c r="I329" s="330" t="str">
        <f t="shared" si="14"/>
        <v/>
      </c>
      <c r="J329" s="344" t="str" cm="1">
        <f t="array" ref="J329">IFERROR(INDEX(_xlfn.ANCHORARRAY($P$6),ROW()-5,3),"")</f>
        <v/>
      </c>
      <c r="K329" s="432"/>
      <c r="L329" s="348"/>
    </row>
    <row r="330" spans="1:12" ht="23" x14ac:dyDescent="0.25">
      <c r="A330" s="217" t="str" cm="1">
        <f t="array" ref="A330">IFERROR(INDEX(_xlfn.ANCHORARRAY($P$6),ROW()-5,1),"")</f>
        <v/>
      </c>
      <c r="B330" s="344" t="str" cm="1">
        <f t="array" ref="B330">IFERROR(INDEX(_xlfn.ANCHORARRAY($P$6),ROW()-5,2),"")</f>
        <v/>
      </c>
      <c r="C330" s="345" t="str">
        <f>IF($A330="","",IF($J330="DIESEL",SUMIFS(Table1[Quantity],Table1[Customer],$M$3,Table1[Date],$A330,Table1[Bill No.],$B330),IF($J330="PETROL",SUMIFS(Table14[Quantity],Table14[Customer],$M$3,Table14[Date],$A330,Table14[Bill No.],$B330),IF($J330="XtraGreen",SUMIFS(Table146[Quantity],Table146[Company],$M$3,Table146[Date],$A330,Table146[Bill No.],$B330),""))))</f>
        <v/>
      </c>
      <c r="D330" s="346" t="str">
        <f>IF($A330="","",IF($J330="DIESEL",AVERAGEIFS(Table1[RSP],Table1[Customer],$M$3,Table1[Date],$A330,Table1[Bill No.],$B330),IF($J330="PETROL",AVERAGEIFS(Table14[RSP],Table14[Customer],$M$3,Table14[Date],$A330,Table14[Bill No.],$B330),IF($J330="XtraGreen",AVERAGEIFS(Table146[RSP],Table146[Company],$M$3,Table146[Date],$A330,Table146[Bill No.],$B330),IFERROR($E330/$C330,"")))))</f>
        <v/>
      </c>
      <c r="E330" s="347" t="str">
        <f>IF($A330="","",IF($J330="DIESEL",SUMIFS(Table1[Amount],Table1[Customer],$M$3,Table1[Date],$A330,Table1[Bill No.],$B330),IF($J330="PETROL",SUMIFS(Table14[Amount],Table14[Customer],$M$3,Table14[Date],$A330,Table14[Bill No.],$B330),IF($J330="XtraGreen",SUMIFS(Table146[Amount],Table146[Company],$M$3,Table146[Date],$A330,Table146[Bill No.],$B330),SUMIFS('Other Sale'!$D:$D,'Other Sale'!$E:$E,$M$3,'Other Sale'!$C:$C,$J330,'Other Sale'!$A:$A,$A330)))))</f>
        <v/>
      </c>
      <c r="F330" s="347" t="str" cm="1">
        <f t="array" ref="F330">IF($A330="","",IF($J330="Payment",IFERROR(INDEX(_xlfn._xlws.FILTER(MasterPaid[Amount Paid],(MasterPaid[Customer]=$M$3)*(MasterPaid[Date]=$A330)),COUNTIFS($A$6:$A330,$A330,$J$6:$J330,"Payment")),0),0))</f>
        <v/>
      </c>
      <c r="G330" s="331"/>
      <c r="H330" s="427"/>
      <c r="I330" s="330" t="str">
        <f t="shared" si="14"/>
        <v/>
      </c>
      <c r="J330" s="344" t="str" cm="1">
        <f t="array" ref="J330">IFERROR(INDEX(_xlfn.ANCHORARRAY($P$6),ROW()-5,3),"")</f>
        <v/>
      </c>
      <c r="K330" s="432"/>
      <c r="L330" s="348"/>
    </row>
    <row r="331" spans="1:12" ht="23" x14ac:dyDescent="0.25">
      <c r="A331" s="217" t="str" cm="1">
        <f t="array" ref="A331">IFERROR(INDEX(_xlfn.ANCHORARRAY($P$6),ROW()-5,1),"")</f>
        <v/>
      </c>
      <c r="B331" s="344" t="str" cm="1">
        <f t="array" ref="B331">IFERROR(INDEX(_xlfn.ANCHORARRAY($P$6),ROW()-5,2),"")</f>
        <v/>
      </c>
      <c r="C331" s="345" t="str">
        <f>IF($A331="","",IF($J331="DIESEL",SUMIFS(Table1[Quantity],Table1[Customer],$M$3,Table1[Date],$A331,Table1[Bill No.],$B331),IF($J331="PETROL",SUMIFS(Table14[Quantity],Table14[Customer],$M$3,Table14[Date],$A331,Table14[Bill No.],$B331),IF($J331="XtraGreen",SUMIFS(Table146[Quantity],Table146[Company],$M$3,Table146[Date],$A331,Table146[Bill No.],$B331),""))))</f>
        <v/>
      </c>
      <c r="D331" s="346" t="str">
        <f>IF($A331="","",IF($J331="DIESEL",AVERAGEIFS(Table1[RSP],Table1[Customer],$M$3,Table1[Date],$A331,Table1[Bill No.],$B331),IF($J331="PETROL",AVERAGEIFS(Table14[RSP],Table14[Customer],$M$3,Table14[Date],$A331,Table14[Bill No.],$B331),IF($J331="XtraGreen",AVERAGEIFS(Table146[RSP],Table146[Company],$M$3,Table146[Date],$A331,Table146[Bill No.],$B331),IFERROR($E331/$C331,"")))))</f>
        <v/>
      </c>
      <c r="E331" s="347" t="str">
        <f>IF($A331="","",IF($J331="DIESEL",SUMIFS(Table1[Amount],Table1[Customer],$M$3,Table1[Date],$A331,Table1[Bill No.],$B331),IF($J331="PETROL",SUMIFS(Table14[Amount],Table14[Customer],$M$3,Table14[Date],$A331,Table14[Bill No.],$B331),IF($J331="XtraGreen",SUMIFS(Table146[Amount],Table146[Company],$M$3,Table146[Date],$A331,Table146[Bill No.],$B331),SUMIFS('Other Sale'!$D:$D,'Other Sale'!$E:$E,$M$3,'Other Sale'!$C:$C,$J331,'Other Sale'!$A:$A,$A331)))))</f>
        <v/>
      </c>
      <c r="F331" s="347" t="str" cm="1">
        <f t="array" ref="F331">IF($A331="","",IF($J331="Payment",IFERROR(INDEX(_xlfn._xlws.FILTER(MasterPaid[Amount Paid],(MasterPaid[Customer]=$M$3)*(MasterPaid[Date]=$A331)),COUNTIFS($A$6:$A331,$A331,$J$6:$J331,"Payment")),0),0))</f>
        <v/>
      </c>
      <c r="G331" s="331"/>
      <c r="H331" s="427"/>
      <c r="I331" s="330" t="str">
        <f t="shared" si="14"/>
        <v/>
      </c>
      <c r="J331" s="344" t="str" cm="1">
        <f t="array" ref="J331">IFERROR(INDEX(_xlfn.ANCHORARRAY($P$6),ROW()-5,3),"")</f>
        <v/>
      </c>
      <c r="K331" s="432"/>
      <c r="L331" s="348"/>
    </row>
    <row r="332" spans="1:12" ht="23" x14ac:dyDescent="0.25">
      <c r="A332" s="217" t="str" cm="1">
        <f t="array" ref="A332">IFERROR(INDEX(_xlfn.ANCHORARRAY($P$6),ROW()-5,1),"")</f>
        <v/>
      </c>
      <c r="B332" s="344" t="str" cm="1">
        <f t="array" ref="B332">IFERROR(INDEX(_xlfn.ANCHORARRAY($P$6),ROW()-5,2),"")</f>
        <v/>
      </c>
      <c r="C332" s="345" t="str">
        <f>IF($A332="","",IF($J332="DIESEL",SUMIFS(Table1[Quantity],Table1[Customer],$M$3,Table1[Date],$A332,Table1[Bill No.],$B332),IF($J332="PETROL",SUMIFS(Table14[Quantity],Table14[Customer],$M$3,Table14[Date],$A332,Table14[Bill No.],$B332),IF($J332="XtraGreen",SUMIFS(Table146[Quantity],Table146[Company],$M$3,Table146[Date],$A332,Table146[Bill No.],$B332),""))))</f>
        <v/>
      </c>
      <c r="D332" s="346" t="str">
        <f>IF($A332="","",IF($J332="DIESEL",AVERAGEIFS(Table1[RSP],Table1[Customer],$M$3,Table1[Date],$A332,Table1[Bill No.],$B332),IF($J332="PETROL",AVERAGEIFS(Table14[RSP],Table14[Customer],$M$3,Table14[Date],$A332,Table14[Bill No.],$B332),IF($J332="XtraGreen",AVERAGEIFS(Table146[RSP],Table146[Company],$M$3,Table146[Date],$A332,Table146[Bill No.],$B332),IFERROR($E332/$C332,"")))))</f>
        <v/>
      </c>
      <c r="E332" s="347" t="str">
        <f>IF($A332="","",IF($J332="DIESEL",SUMIFS(Table1[Amount],Table1[Customer],$M$3,Table1[Date],$A332,Table1[Bill No.],$B332),IF($J332="PETROL",SUMIFS(Table14[Amount],Table14[Customer],$M$3,Table14[Date],$A332,Table14[Bill No.],$B332),IF($J332="XtraGreen",SUMIFS(Table146[Amount],Table146[Company],$M$3,Table146[Date],$A332,Table146[Bill No.],$B332),SUMIFS('Other Sale'!$D:$D,'Other Sale'!$E:$E,$M$3,'Other Sale'!$C:$C,$J332,'Other Sale'!$A:$A,$A332)))))</f>
        <v/>
      </c>
      <c r="F332" s="347" t="str" cm="1">
        <f t="array" ref="F332">IF($A332="","",IF($J332="Payment",IFERROR(INDEX(_xlfn._xlws.FILTER(MasterPaid[Amount Paid],(MasterPaid[Customer]=$M$3)*(MasterPaid[Date]=$A332)),COUNTIFS($A$6:$A332,$A332,$J$6:$J332,"Payment")),0),0))</f>
        <v/>
      </c>
      <c r="G332" s="331"/>
      <c r="H332" s="427"/>
      <c r="I332" s="330" t="str">
        <f t="shared" si="14"/>
        <v/>
      </c>
      <c r="J332" s="344" t="str" cm="1">
        <f t="array" ref="J332">IFERROR(INDEX(_xlfn.ANCHORARRAY($P$6),ROW()-5,3),"")</f>
        <v/>
      </c>
      <c r="K332" s="432"/>
      <c r="L332" s="348"/>
    </row>
    <row r="333" spans="1:12" ht="23" x14ac:dyDescent="0.25">
      <c r="A333" s="217" t="str" cm="1">
        <f t="array" ref="A333">IFERROR(INDEX(_xlfn.ANCHORARRAY($P$6),ROW()-5,1),"")</f>
        <v/>
      </c>
      <c r="B333" s="344" t="str" cm="1">
        <f t="array" ref="B333">IFERROR(INDEX(_xlfn.ANCHORARRAY($P$6),ROW()-5,2),"")</f>
        <v/>
      </c>
      <c r="C333" s="345" t="str">
        <f>IF($A333="","",IF($J333="DIESEL",SUMIFS(Table1[Quantity],Table1[Customer],$M$3,Table1[Date],$A333,Table1[Bill No.],$B333),IF($J333="PETROL",SUMIFS(Table14[Quantity],Table14[Customer],$M$3,Table14[Date],$A333,Table14[Bill No.],$B333),IF($J333="XtraGreen",SUMIFS(Table146[Quantity],Table146[Company],$M$3,Table146[Date],$A333,Table146[Bill No.],$B333),""))))</f>
        <v/>
      </c>
      <c r="D333" s="346" t="str">
        <f>IF($A333="","",IF($J333="DIESEL",AVERAGEIFS(Table1[RSP],Table1[Customer],$M$3,Table1[Date],$A333,Table1[Bill No.],$B333),IF($J333="PETROL",AVERAGEIFS(Table14[RSP],Table14[Customer],$M$3,Table14[Date],$A333,Table14[Bill No.],$B333),IF($J333="XtraGreen",AVERAGEIFS(Table146[RSP],Table146[Company],$M$3,Table146[Date],$A333,Table146[Bill No.],$B333),IFERROR($E333/$C333,"")))))</f>
        <v/>
      </c>
      <c r="E333" s="347" t="str">
        <f>IF($A333="","",IF($J333="DIESEL",SUMIFS(Table1[Amount],Table1[Customer],$M$3,Table1[Date],$A333,Table1[Bill No.],$B333),IF($J333="PETROL",SUMIFS(Table14[Amount],Table14[Customer],$M$3,Table14[Date],$A333,Table14[Bill No.],$B333),IF($J333="XtraGreen",SUMIFS(Table146[Amount],Table146[Company],$M$3,Table146[Date],$A333,Table146[Bill No.],$B333),SUMIFS('Other Sale'!$D:$D,'Other Sale'!$E:$E,$M$3,'Other Sale'!$C:$C,$J333,'Other Sale'!$A:$A,$A333)))))</f>
        <v/>
      </c>
      <c r="F333" s="347" t="str" cm="1">
        <f t="array" ref="F333">IF($A333="","",IF($J333="Payment",IFERROR(INDEX(_xlfn._xlws.FILTER(MasterPaid[Amount Paid],(MasterPaid[Customer]=$M$3)*(MasterPaid[Date]=$A333)),COUNTIFS($A$6:$A333,$A333,$J$6:$J333,"Payment")),0),0))</f>
        <v/>
      </c>
      <c r="G333" s="331"/>
      <c r="H333" s="427"/>
      <c r="I333" s="330" t="str">
        <f t="shared" si="14"/>
        <v/>
      </c>
      <c r="J333" s="344" t="str" cm="1">
        <f t="array" ref="J333">IFERROR(INDEX(_xlfn.ANCHORARRAY($P$6),ROW()-5,3),"")</f>
        <v/>
      </c>
      <c r="K333" s="432"/>
      <c r="L333" s="348"/>
    </row>
    <row r="334" spans="1:12" ht="23" x14ac:dyDescent="0.25">
      <c r="A334" s="217" t="str" cm="1">
        <f t="array" ref="A334">IFERROR(INDEX(_xlfn.ANCHORARRAY($P$6),ROW()-5,1),"")</f>
        <v/>
      </c>
      <c r="B334" s="344" t="str" cm="1">
        <f t="array" ref="B334">IFERROR(INDEX(_xlfn.ANCHORARRAY($P$6),ROW()-5,2),"")</f>
        <v/>
      </c>
      <c r="C334" s="345" t="str">
        <f>IF($A334="","",IF($J334="DIESEL",SUMIFS(Table1[Quantity],Table1[Customer],$M$3,Table1[Date],$A334,Table1[Bill No.],$B334),IF($J334="PETROL",SUMIFS(Table14[Quantity],Table14[Customer],$M$3,Table14[Date],$A334,Table14[Bill No.],$B334),IF($J334="XtraGreen",SUMIFS(Table146[Quantity],Table146[Company],$M$3,Table146[Date],$A334,Table146[Bill No.],$B334),""))))</f>
        <v/>
      </c>
      <c r="D334" s="346" t="str">
        <f>IF($A334="","",IF($J334="DIESEL",AVERAGEIFS(Table1[RSP],Table1[Customer],$M$3,Table1[Date],$A334,Table1[Bill No.],$B334),IF($J334="PETROL",AVERAGEIFS(Table14[RSP],Table14[Customer],$M$3,Table14[Date],$A334,Table14[Bill No.],$B334),IF($J334="XtraGreen",AVERAGEIFS(Table146[RSP],Table146[Company],$M$3,Table146[Date],$A334,Table146[Bill No.],$B334),IFERROR($E334/$C334,"")))))</f>
        <v/>
      </c>
      <c r="E334" s="347" t="str">
        <f>IF($A334="","",IF($J334="DIESEL",SUMIFS(Table1[Amount],Table1[Customer],$M$3,Table1[Date],$A334,Table1[Bill No.],$B334),IF($J334="PETROL",SUMIFS(Table14[Amount],Table14[Customer],$M$3,Table14[Date],$A334,Table14[Bill No.],$B334),IF($J334="XtraGreen",SUMIFS(Table146[Amount],Table146[Company],$M$3,Table146[Date],$A334,Table146[Bill No.],$B334),SUMIFS('Other Sale'!$D:$D,'Other Sale'!$E:$E,$M$3,'Other Sale'!$C:$C,$J334,'Other Sale'!$A:$A,$A334)))))</f>
        <v/>
      </c>
      <c r="F334" s="347" t="str" cm="1">
        <f t="array" ref="F334">IF($A334="","",IF($J334="Payment",IFERROR(INDEX(_xlfn._xlws.FILTER(MasterPaid[Amount Paid],(MasterPaid[Customer]=$M$3)*(MasterPaid[Date]=$A334)),COUNTIFS($A$6:$A334,$A334,$J$6:$J334,"Payment")),0),0))</f>
        <v/>
      </c>
      <c r="G334" s="331"/>
      <c r="H334" s="427"/>
      <c r="I334" s="330" t="str">
        <f t="shared" si="14"/>
        <v/>
      </c>
      <c r="J334" s="344" t="str" cm="1">
        <f t="array" ref="J334">IFERROR(INDEX(_xlfn.ANCHORARRAY($P$6),ROW()-5,3),"")</f>
        <v/>
      </c>
      <c r="K334" s="432"/>
      <c r="L334" s="348"/>
    </row>
    <row r="335" spans="1:12" ht="23" x14ac:dyDescent="0.25">
      <c r="A335" s="217" t="str" cm="1">
        <f t="array" ref="A335">IFERROR(INDEX(_xlfn.ANCHORARRAY($P$6),ROW()-5,1),"")</f>
        <v/>
      </c>
      <c r="B335" s="344" t="str" cm="1">
        <f t="array" ref="B335">IFERROR(INDEX(_xlfn.ANCHORARRAY($P$6),ROW()-5,2),"")</f>
        <v/>
      </c>
      <c r="C335" s="345" t="str">
        <f>IF($A335="","",IF($J335="DIESEL",SUMIFS(Table1[Quantity],Table1[Customer],$M$3,Table1[Date],$A335,Table1[Bill No.],$B335),IF($J335="PETROL",SUMIFS(Table14[Quantity],Table14[Customer],$M$3,Table14[Date],$A335,Table14[Bill No.],$B335),IF($J335="XtraGreen",SUMIFS(Table146[Quantity],Table146[Company],$M$3,Table146[Date],$A335,Table146[Bill No.],$B335),""))))</f>
        <v/>
      </c>
      <c r="D335" s="346" t="str">
        <f>IF($A335="","",IF($J335="DIESEL",AVERAGEIFS(Table1[RSP],Table1[Customer],$M$3,Table1[Date],$A335,Table1[Bill No.],$B335),IF($J335="PETROL",AVERAGEIFS(Table14[RSP],Table14[Customer],$M$3,Table14[Date],$A335,Table14[Bill No.],$B335),IF($J335="XtraGreen",AVERAGEIFS(Table146[RSP],Table146[Company],$M$3,Table146[Date],$A335,Table146[Bill No.],$B335),IFERROR($E335/$C335,"")))))</f>
        <v/>
      </c>
      <c r="E335" s="347" t="str">
        <f>IF($A335="","",IF($J335="DIESEL",SUMIFS(Table1[Amount],Table1[Customer],$M$3,Table1[Date],$A335,Table1[Bill No.],$B335),IF($J335="PETROL",SUMIFS(Table14[Amount],Table14[Customer],$M$3,Table14[Date],$A335,Table14[Bill No.],$B335),IF($J335="XtraGreen",SUMIFS(Table146[Amount],Table146[Company],$M$3,Table146[Date],$A335,Table146[Bill No.],$B335),SUMIFS('Other Sale'!$D:$D,'Other Sale'!$E:$E,$M$3,'Other Sale'!$C:$C,$J335,'Other Sale'!$A:$A,$A335)))))</f>
        <v/>
      </c>
      <c r="F335" s="347" t="str" cm="1">
        <f t="array" ref="F335">IF($A335="","",IF($J335="Payment",IFERROR(INDEX(_xlfn._xlws.FILTER(MasterPaid[Amount Paid],(MasterPaid[Customer]=$M$3)*(MasterPaid[Date]=$A335)),COUNTIFS($A$6:$A335,$A335,$J$6:$J335,"Payment")),0),0))</f>
        <v/>
      </c>
      <c r="G335" s="331"/>
      <c r="H335" s="427"/>
      <c r="I335" s="330" t="str">
        <f t="shared" si="14"/>
        <v/>
      </c>
      <c r="J335" s="344" t="str" cm="1">
        <f t="array" ref="J335">IFERROR(INDEX(_xlfn.ANCHORARRAY($P$6),ROW()-5,3),"")</f>
        <v/>
      </c>
      <c r="K335" s="432"/>
      <c r="L335" s="348"/>
    </row>
    <row r="336" spans="1:12" ht="23" x14ac:dyDescent="0.25">
      <c r="A336" s="217" t="str" cm="1">
        <f t="array" ref="A336">IFERROR(INDEX(_xlfn.ANCHORARRAY($P$6),ROW()-5,1),"")</f>
        <v/>
      </c>
      <c r="B336" s="344" t="str" cm="1">
        <f t="array" ref="B336">IFERROR(INDEX(_xlfn.ANCHORARRAY($P$6),ROW()-5,2),"")</f>
        <v/>
      </c>
      <c r="C336" s="345" t="str">
        <f>IF($A336="","",IF($J336="DIESEL",SUMIFS(Table1[Quantity],Table1[Customer],$M$3,Table1[Date],$A336,Table1[Bill No.],$B336),IF($J336="PETROL",SUMIFS(Table14[Quantity],Table14[Customer],$M$3,Table14[Date],$A336,Table14[Bill No.],$B336),IF($J336="XtraGreen",SUMIFS(Table146[Quantity],Table146[Company],$M$3,Table146[Date],$A336,Table146[Bill No.],$B336),""))))</f>
        <v/>
      </c>
      <c r="D336" s="346" t="str">
        <f>IF($A336="","",IF($J336="DIESEL",AVERAGEIFS(Table1[RSP],Table1[Customer],$M$3,Table1[Date],$A336,Table1[Bill No.],$B336),IF($J336="PETROL",AVERAGEIFS(Table14[RSP],Table14[Customer],$M$3,Table14[Date],$A336,Table14[Bill No.],$B336),IF($J336="XtraGreen",AVERAGEIFS(Table146[RSP],Table146[Company],$M$3,Table146[Date],$A336,Table146[Bill No.],$B336),IFERROR($E336/$C336,"")))))</f>
        <v/>
      </c>
      <c r="E336" s="347" t="str">
        <f>IF($A336="","",IF($J336="DIESEL",SUMIFS(Table1[Amount],Table1[Customer],$M$3,Table1[Date],$A336,Table1[Bill No.],$B336),IF($J336="PETROL",SUMIFS(Table14[Amount],Table14[Customer],$M$3,Table14[Date],$A336,Table14[Bill No.],$B336),IF($J336="XtraGreen",SUMIFS(Table146[Amount],Table146[Company],$M$3,Table146[Date],$A336,Table146[Bill No.],$B336),SUMIFS('Other Sale'!$D:$D,'Other Sale'!$E:$E,$M$3,'Other Sale'!$C:$C,$J336,'Other Sale'!$A:$A,$A336)))))</f>
        <v/>
      </c>
      <c r="F336" s="347" t="str" cm="1">
        <f t="array" ref="F336">IF($A336="","",IF($J336="Payment",IFERROR(INDEX(_xlfn._xlws.FILTER(MasterPaid[Amount Paid],(MasterPaid[Customer]=$M$3)*(MasterPaid[Date]=$A336)),COUNTIFS($A$6:$A336,$A336,$J$6:$J336,"Payment")),0),0))</f>
        <v/>
      </c>
      <c r="G336" s="331"/>
      <c r="H336" s="427"/>
      <c r="I336" s="330" t="str">
        <f t="shared" si="14"/>
        <v/>
      </c>
      <c r="J336" s="344" t="str" cm="1">
        <f t="array" ref="J336">IFERROR(INDEX(_xlfn.ANCHORARRAY($P$6),ROW()-5,3),"")</f>
        <v/>
      </c>
      <c r="K336" s="432"/>
      <c r="L336" s="348"/>
    </row>
    <row r="337" spans="1:12" ht="23" x14ac:dyDescent="0.25">
      <c r="A337" s="217" t="str" cm="1">
        <f t="array" ref="A337">IFERROR(INDEX(_xlfn.ANCHORARRAY($P$6),ROW()-5,1),"")</f>
        <v/>
      </c>
      <c r="B337" s="344" t="str" cm="1">
        <f t="array" ref="B337">IFERROR(INDEX(_xlfn.ANCHORARRAY($P$6),ROW()-5,2),"")</f>
        <v/>
      </c>
      <c r="C337" s="345" t="str">
        <f>IF($A337="","",IF($J337="DIESEL",SUMIFS(Table1[Quantity],Table1[Customer],$M$3,Table1[Date],$A337,Table1[Bill No.],$B337),IF($J337="PETROL",SUMIFS(Table14[Quantity],Table14[Customer],$M$3,Table14[Date],$A337,Table14[Bill No.],$B337),IF($J337="XtraGreen",SUMIFS(Table146[Quantity],Table146[Company],$M$3,Table146[Date],$A337,Table146[Bill No.],$B337),""))))</f>
        <v/>
      </c>
      <c r="D337" s="346" t="str">
        <f>IF($A337="","",IF($J337="DIESEL",AVERAGEIFS(Table1[RSP],Table1[Customer],$M$3,Table1[Date],$A337,Table1[Bill No.],$B337),IF($J337="PETROL",AVERAGEIFS(Table14[RSP],Table14[Customer],$M$3,Table14[Date],$A337,Table14[Bill No.],$B337),IF($J337="XtraGreen",AVERAGEIFS(Table146[RSP],Table146[Company],$M$3,Table146[Date],$A337,Table146[Bill No.],$B337),IFERROR($E337/$C337,"")))))</f>
        <v/>
      </c>
      <c r="E337" s="347" t="str">
        <f>IF($A337="","",IF($J337="DIESEL",SUMIFS(Table1[Amount],Table1[Customer],$M$3,Table1[Date],$A337,Table1[Bill No.],$B337),IF($J337="PETROL",SUMIFS(Table14[Amount],Table14[Customer],$M$3,Table14[Date],$A337,Table14[Bill No.],$B337),IF($J337="XtraGreen",SUMIFS(Table146[Amount],Table146[Company],$M$3,Table146[Date],$A337,Table146[Bill No.],$B337),SUMIFS('Other Sale'!$D:$D,'Other Sale'!$E:$E,$M$3,'Other Sale'!$C:$C,$J337,'Other Sale'!$A:$A,$A337)))))</f>
        <v/>
      </c>
      <c r="F337" s="347" t="str" cm="1">
        <f t="array" ref="F337">IF($A337="","",IF($J337="Payment",IFERROR(INDEX(_xlfn._xlws.FILTER(MasterPaid[Amount Paid],(MasterPaid[Customer]=$M$3)*(MasterPaid[Date]=$A337)),COUNTIFS($A$6:$A337,$A337,$J$6:$J337,"Payment")),0),0))</f>
        <v/>
      </c>
      <c r="G337" s="331"/>
      <c r="H337" s="427"/>
      <c r="I337" s="330" t="str">
        <f t="shared" si="14"/>
        <v/>
      </c>
      <c r="J337" s="344" t="str" cm="1">
        <f t="array" ref="J337">IFERROR(INDEX(_xlfn.ANCHORARRAY($P$6),ROW()-5,3),"")</f>
        <v/>
      </c>
      <c r="K337" s="432"/>
      <c r="L337" s="348"/>
    </row>
    <row r="338" spans="1:12" ht="23" x14ac:dyDescent="0.25">
      <c r="A338" s="217" t="str" cm="1">
        <f t="array" ref="A338">IFERROR(INDEX(_xlfn.ANCHORARRAY($P$6),ROW()-5,1),"")</f>
        <v/>
      </c>
      <c r="B338" s="344" t="str" cm="1">
        <f t="array" ref="B338">IFERROR(INDEX(_xlfn.ANCHORARRAY($P$6),ROW()-5,2),"")</f>
        <v/>
      </c>
      <c r="C338" s="345" t="str">
        <f>IF($A338="","",IF($J338="DIESEL",SUMIFS(Table1[Quantity],Table1[Customer],$M$3,Table1[Date],$A338,Table1[Bill No.],$B338),IF($J338="PETROL",SUMIFS(Table14[Quantity],Table14[Customer],$M$3,Table14[Date],$A338,Table14[Bill No.],$B338),IF($J338="XtraGreen",SUMIFS(Table146[Quantity],Table146[Company],$M$3,Table146[Date],$A338,Table146[Bill No.],$B338),""))))</f>
        <v/>
      </c>
      <c r="D338" s="346" t="str">
        <f>IF($A338="","",IF($J338="DIESEL",AVERAGEIFS(Table1[RSP],Table1[Customer],$M$3,Table1[Date],$A338,Table1[Bill No.],$B338),IF($J338="PETROL",AVERAGEIFS(Table14[RSP],Table14[Customer],$M$3,Table14[Date],$A338,Table14[Bill No.],$B338),IF($J338="XtraGreen",AVERAGEIFS(Table146[RSP],Table146[Company],$M$3,Table146[Date],$A338,Table146[Bill No.],$B338),IFERROR($E338/$C338,"")))))</f>
        <v/>
      </c>
      <c r="E338" s="347" t="str">
        <f>IF($A338="","",IF($J338="DIESEL",SUMIFS(Table1[Amount],Table1[Customer],$M$3,Table1[Date],$A338,Table1[Bill No.],$B338),IF($J338="PETROL",SUMIFS(Table14[Amount],Table14[Customer],$M$3,Table14[Date],$A338,Table14[Bill No.],$B338),IF($J338="XtraGreen",SUMIFS(Table146[Amount],Table146[Company],$M$3,Table146[Date],$A338,Table146[Bill No.],$B338),SUMIFS('Other Sale'!$D:$D,'Other Sale'!$E:$E,$M$3,'Other Sale'!$C:$C,$J338,'Other Sale'!$A:$A,$A338)))))</f>
        <v/>
      </c>
      <c r="F338" s="347" t="str" cm="1">
        <f t="array" ref="F338">IF($A338="","",IF($J338="Payment",IFERROR(INDEX(_xlfn._xlws.FILTER(MasterPaid[Amount Paid],(MasterPaid[Customer]=$M$3)*(MasterPaid[Date]=$A338)),COUNTIFS($A$6:$A338,$A338,$J$6:$J338,"Payment")),0),0))</f>
        <v/>
      </c>
      <c r="G338" s="331"/>
      <c r="H338" s="427"/>
      <c r="I338" s="330" t="str">
        <f t="shared" si="14"/>
        <v/>
      </c>
      <c r="J338" s="344" t="str" cm="1">
        <f t="array" ref="J338">IFERROR(INDEX(_xlfn.ANCHORARRAY($P$6),ROW()-5,3),"")</f>
        <v/>
      </c>
      <c r="K338" s="432"/>
      <c r="L338" s="348"/>
    </row>
    <row r="339" spans="1:12" ht="23" x14ac:dyDescent="0.25">
      <c r="A339" s="217" t="str" cm="1">
        <f t="array" ref="A339">IFERROR(INDEX(_xlfn.ANCHORARRAY($P$6),ROW()-5,1),"")</f>
        <v/>
      </c>
      <c r="B339" s="344" t="str" cm="1">
        <f t="array" ref="B339">IFERROR(INDEX(_xlfn.ANCHORARRAY($P$6),ROW()-5,2),"")</f>
        <v/>
      </c>
      <c r="C339" s="345" t="str">
        <f>IF($A339="","",IF($J339="DIESEL",SUMIFS(Table1[Quantity],Table1[Customer],$M$3,Table1[Date],$A339,Table1[Bill No.],$B339),IF($J339="PETROL",SUMIFS(Table14[Quantity],Table14[Customer],$M$3,Table14[Date],$A339,Table14[Bill No.],$B339),IF($J339="XtraGreen",SUMIFS(Table146[Quantity],Table146[Company],$M$3,Table146[Date],$A339,Table146[Bill No.],$B339),""))))</f>
        <v/>
      </c>
      <c r="D339" s="346" t="str">
        <f>IF($A339="","",IF($J339="DIESEL",AVERAGEIFS(Table1[RSP],Table1[Customer],$M$3,Table1[Date],$A339,Table1[Bill No.],$B339),IF($J339="PETROL",AVERAGEIFS(Table14[RSP],Table14[Customer],$M$3,Table14[Date],$A339,Table14[Bill No.],$B339),IF($J339="XtraGreen",AVERAGEIFS(Table146[RSP],Table146[Company],$M$3,Table146[Date],$A339,Table146[Bill No.],$B339),IFERROR($E339/$C339,"")))))</f>
        <v/>
      </c>
      <c r="E339" s="347" t="str">
        <f>IF($A339="","",IF($J339="DIESEL",SUMIFS(Table1[Amount],Table1[Customer],$M$3,Table1[Date],$A339,Table1[Bill No.],$B339),IF($J339="PETROL",SUMIFS(Table14[Amount],Table14[Customer],$M$3,Table14[Date],$A339,Table14[Bill No.],$B339),IF($J339="XtraGreen",SUMIFS(Table146[Amount],Table146[Company],$M$3,Table146[Date],$A339,Table146[Bill No.],$B339),SUMIFS('Other Sale'!$D:$D,'Other Sale'!$E:$E,$M$3,'Other Sale'!$C:$C,$J339,'Other Sale'!$A:$A,$A339)))))</f>
        <v/>
      </c>
      <c r="F339" s="347" t="str" cm="1">
        <f t="array" ref="F339">IF($A339="","",IF($J339="Payment",IFERROR(INDEX(_xlfn._xlws.FILTER(MasterPaid[Amount Paid],(MasterPaid[Customer]=$M$3)*(MasterPaid[Date]=$A339)),COUNTIFS($A$6:$A339,$A339,$J$6:$J339,"Payment")),0),0))</f>
        <v/>
      </c>
      <c r="G339" s="331"/>
      <c r="H339" s="427"/>
      <c r="I339" s="330" t="str">
        <f t="shared" si="14"/>
        <v/>
      </c>
      <c r="J339" s="344" t="str" cm="1">
        <f t="array" ref="J339">IFERROR(INDEX(_xlfn.ANCHORARRAY($P$6),ROW()-5,3),"")</f>
        <v/>
      </c>
      <c r="K339" s="432"/>
      <c r="L339" s="348"/>
    </row>
    <row r="340" spans="1:12" ht="23" x14ac:dyDescent="0.25">
      <c r="A340" s="217" t="str" cm="1">
        <f t="array" ref="A340">IFERROR(INDEX(_xlfn.ANCHORARRAY($P$6),ROW()-5,1),"")</f>
        <v/>
      </c>
      <c r="B340" s="344" t="str" cm="1">
        <f t="array" ref="B340">IFERROR(INDEX(_xlfn.ANCHORARRAY($P$6),ROW()-5,2),"")</f>
        <v/>
      </c>
      <c r="C340" s="345" t="str">
        <f>IF($A340="","",IF($J340="DIESEL",SUMIFS(Table1[Quantity],Table1[Customer],$M$3,Table1[Date],$A340,Table1[Bill No.],$B340),IF($J340="PETROL",SUMIFS(Table14[Quantity],Table14[Customer],$M$3,Table14[Date],$A340,Table14[Bill No.],$B340),IF($J340="XtraGreen",SUMIFS(Table146[Quantity],Table146[Company],$M$3,Table146[Date],$A340,Table146[Bill No.],$B340),""))))</f>
        <v/>
      </c>
      <c r="D340" s="346" t="str">
        <f>IF($A340="","",IF($J340="DIESEL",AVERAGEIFS(Table1[RSP],Table1[Customer],$M$3,Table1[Date],$A340,Table1[Bill No.],$B340),IF($J340="PETROL",AVERAGEIFS(Table14[RSP],Table14[Customer],$M$3,Table14[Date],$A340,Table14[Bill No.],$B340),IF($J340="XtraGreen",AVERAGEIFS(Table146[RSP],Table146[Company],$M$3,Table146[Date],$A340,Table146[Bill No.],$B340),IFERROR($E340/$C340,"")))))</f>
        <v/>
      </c>
      <c r="E340" s="347" t="str">
        <f>IF($A340="","",IF($J340="DIESEL",SUMIFS(Table1[Amount],Table1[Customer],$M$3,Table1[Date],$A340,Table1[Bill No.],$B340),IF($J340="PETROL",SUMIFS(Table14[Amount],Table14[Customer],$M$3,Table14[Date],$A340,Table14[Bill No.],$B340),IF($J340="XtraGreen",SUMIFS(Table146[Amount],Table146[Company],$M$3,Table146[Date],$A340,Table146[Bill No.],$B340),SUMIFS('Other Sale'!$D:$D,'Other Sale'!$E:$E,$M$3,'Other Sale'!$C:$C,$J340,'Other Sale'!$A:$A,$A340)))))</f>
        <v/>
      </c>
      <c r="F340" s="347" t="str" cm="1">
        <f t="array" ref="F340">IF($A340="","",IF($J340="Payment",IFERROR(INDEX(_xlfn._xlws.FILTER(MasterPaid[Amount Paid],(MasterPaid[Customer]=$M$3)*(MasterPaid[Date]=$A340)),COUNTIFS($A$6:$A340,$A340,$J$6:$J340,"Payment")),0),0))</f>
        <v/>
      </c>
      <c r="G340" s="331"/>
      <c r="H340" s="427"/>
      <c r="I340" s="330" t="str">
        <f t="shared" si="14"/>
        <v/>
      </c>
      <c r="J340" s="344" t="str" cm="1">
        <f t="array" ref="J340">IFERROR(INDEX(_xlfn.ANCHORARRAY($P$6),ROW()-5,3),"")</f>
        <v/>
      </c>
      <c r="K340" s="432"/>
      <c r="L340" s="348"/>
    </row>
    <row r="341" spans="1:12" ht="23" x14ac:dyDescent="0.25">
      <c r="A341" s="217" t="str" cm="1">
        <f t="array" ref="A341">IFERROR(INDEX(_xlfn.ANCHORARRAY($P$6),ROW()-5,1),"")</f>
        <v/>
      </c>
      <c r="B341" s="344" t="str" cm="1">
        <f t="array" ref="B341">IFERROR(INDEX(_xlfn.ANCHORARRAY($P$6),ROW()-5,2),"")</f>
        <v/>
      </c>
      <c r="C341" s="345" t="str">
        <f>IF($A341="","",IF($J341="DIESEL",SUMIFS(Table1[Quantity],Table1[Customer],$M$3,Table1[Date],$A341,Table1[Bill No.],$B341),IF($J341="PETROL",SUMIFS(Table14[Quantity],Table14[Customer],$M$3,Table14[Date],$A341,Table14[Bill No.],$B341),IF($J341="XtraGreen",SUMIFS(Table146[Quantity],Table146[Company],$M$3,Table146[Date],$A341,Table146[Bill No.],$B341),""))))</f>
        <v/>
      </c>
      <c r="D341" s="346" t="str">
        <f>IF($A341="","",IF($J341="DIESEL",AVERAGEIFS(Table1[RSP],Table1[Customer],$M$3,Table1[Date],$A341,Table1[Bill No.],$B341),IF($J341="PETROL",AVERAGEIFS(Table14[RSP],Table14[Customer],$M$3,Table14[Date],$A341,Table14[Bill No.],$B341),IF($J341="XtraGreen",AVERAGEIFS(Table146[RSP],Table146[Company],$M$3,Table146[Date],$A341,Table146[Bill No.],$B341),IFERROR($E341/$C341,"")))))</f>
        <v/>
      </c>
      <c r="E341" s="347" t="str">
        <f>IF($A341="","",IF($J341="DIESEL",SUMIFS(Table1[Amount],Table1[Customer],$M$3,Table1[Date],$A341,Table1[Bill No.],$B341),IF($J341="PETROL",SUMIFS(Table14[Amount],Table14[Customer],$M$3,Table14[Date],$A341,Table14[Bill No.],$B341),IF($J341="XtraGreen",SUMIFS(Table146[Amount],Table146[Company],$M$3,Table146[Date],$A341,Table146[Bill No.],$B341),SUMIFS('Other Sale'!$D:$D,'Other Sale'!$E:$E,$M$3,'Other Sale'!$C:$C,$J341,'Other Sale'!$A:$A,$A341)))))</f>
        <v/>
      </c>
      <c r="F341" s="347" t="str" cm="1">
        <f t="array" ref="F341">IF($A341="","",IF($J341="Payment",IFERROR(INDEX(_xlfn._xlws.FILTER(MasterPaid[Amount Paid],(MasterPaid[Customer]=$M$3)*(MasterPaid[Date]=$A341)),COUNTIFS($A$6:$A341,$A341,$J$6:$J341,"Payment")),0),0))</f>
        <v/>
      </c>
      <c r="G341" s="331"/>
      <c r="H341" s="427"/>
      <c r="I341" s="330" t="str">
        <f t="shared" si="14"/>
        <v/>
      </c>
      <c r="J341" s="344" t="str" cm="1">
        <f t="array" ref="J341">IFERROR(INDEX(_xlfn.ANCHORARRAY($P$6),ROW()-5,3),"")</f>
        <v/>
      </c>
      <c r="K341" s="432"/>
      <c r="L341" s="348"/>
    </row>
    <row r="342" spans="1:12" ht="23" x14ac:dyDescent="0.25">
      <c r="A342" s="217" t="str" cm="1">
        <f t="array" ref="A342">IFERROR(INDEX(_xlfn.ANCHORARRAY($P$6),ROW()-5,1),"")</f>
        <v/>
      </c>
      <c r="B342" s="344" t="str" cm="1">
        <f t="array" ref="B342">IFERROR(INDEX(_xlfn.ANCHORARRAY($P$6),ROW()-5,2),"")</f>
        <v/>
      </c>
      <c r="C342" s="345" t="str">
        <f>IF($A342="","",IF($J342="DIESEL",SUMIFS(Table1[Quantity],Table1[Customer],$M$3,Table1[Date],$A342,Table1[Bill No.],$B342),IF($J342="PETROL",SUMIFS(Table14[Quantity],Table14[Customer],$M$3,Table14[Date],$A342,Table14[Bill No.],$B342),IF($J342="XtraGreen",SUMIFS(Table146[Quantity],Table146[Company],$M$3,Table146[Date],$A342,Table146[Bill No.],$B342),""))))</f>
        <v/>
      </c>
      <c r="D342" s="346" t="str">
        <f>IF($A342="","",IF($J342="DIESEL",AVERAGEIFS(Table1[RSP],Table1[Customer],$M$3,Table1[Date],$A342,Table1[Bill No.],$B342),IF($J342="PETROL",AVERAGEIFS(Table14[RSP],Table14[Customer],$M$3,Table14[Date],$A342,Table14[Bill No.],$B342),IF($J342="XtraGreen",AVERAGEIFS(Table146[RSP],Table146[Company],$M$3,Table146[Date],$A342,Table146[Bill No.],$B342),IFERROR($E342/$C342,"")))))</f>
        <v/>
      </c>
      <c r="E342" s="347" t="str">
        <f>IF($A342="","",IF($J342="DIESEL",SUMIFS(Table1[Amount],Table1[Customer],$M$3,Table1[Date],$A342,Table1[Bill No.],$B342),IF($J342="PETROL",SUMIFS(Table14[Amount],Table14[Customer],$M$3,Table14[Date],$A342,Table14[Bill No.],$B342),IF($J342="XtraGreen",SUMIFS(Table146[Amount],Table146[Company],$M$3,Table146[Date],$A342,Table146[Bill No.],$B342),SUMIFS('Other Sale'!$D:$D,'Other Sale'!$E:$E,$M$3,'Other Sale'!$C:$C,$J342,'Other Sale'!$A:$A,$A342)))))</f>
        <v/>
      </c>
      <c r="F342" s="347" t="str" cm="1">
        <f t="array" ref="F342">IF($A342="","",IF($J342="Payment",IFERROR(INDEX(_xlfn._xlws.FILTER(MasterPaid[Amount Paid],(MasterPaid[Customer]=$M$3)*(MasterPaid[Date]=$A342)),COUNTIFS($A$6:$A342,$A342,$J$6:$J342,"Payment")),0),0))</f>
        <v/>
      </c>
      <c r="G342" s="331"/>
      <c r="H342" s="427"/>
      <c r="I342" s="330" t="str">
        <f t="shared" si="14"/>
        <v/>
      </c>
      <c r="J342" s="344" t="str" cm="1">
        <f t="array" ref="J342">IFERROR(INDEX(_xlfn.ANCHORARRAY($P$6),ROW()-5,3),"")</f>
        <v/>
      </c>
      <c r="K342" s="432"/>
      <c r="L342" s="348"/>
    </row>
    <row r="343" spans="1:12" ht="23" x14ac:dyDescent="0.25">
      <c r="A343" s="217" t="str" cm="1">
        <f t="array" ref="A343">IFERROR(INDEX(_xlfn.ANCHORARRAY($P$6),ROW()-5,1),"")</f>
        <v/>
      </c>
      <c r="B343" s="344" t="str" cm="1">
        <f t="array" ref="B343">IFERROR(INDEX(_xlfn.ANCHORARRAY($P$6),ROW()-5,2),"")</f>
        <v/>
      </c>
      <c r="C343" s="345" t="str">
        <f>IF($A343="","",IF($J343="DIESEL",SUMIFS(Table1[Quantity],Table1[Customer],$M$3,Table1[Date],$A343,Table1[Bill No.],$B343),IF($J343="PETROL",SUMIFS(Table14[Quantity],Table14[Customer],$M$3,Table14[Date],$A343,Table14[Bill No.],$B343),IF($J343="XtraGreen",SUMIFS(Table146[Quantity],Table146[Company],$M$3,Table146[Date],$A343,Table146[Bill No.],$B343),""))))</f>
        <v/>
      </c>
      <c r="D343" s="346" t="str">
        <f>IF($A343="","",IF($J343="DIESEL",AVERAGEIFS(Table1[RSP],Table1[Customer],$M$3,Table1[Date],$A343,Table1[Bill No.],$B343),IF($J343="PETROL",AVERAGEIFS(Table14[RSP],Table14[Customer],$M$3,Table14[Date],$A343,Table14[Bill No.],$B343),IF($J343="XtraGreen",AVERAGEIFS(Table146[RSP],Table146[Company],$M$3,Table146[Date],$A343,Table146[Bill No.],$B343),IFERROR($E343/$C343,"")))))</f>
        <v/>
      </c>
      <c r="E343" s="347" t="str">
        <f>IF($A343="","",IF($J343="DIESEL",SUMIFS(Table1[Amount],Table1[Customer],$M$3,Table1[Date],$A343,Table1[Bill No.],$B343),IF($J343="PETROL",SUMIFS(Table14[Amount],Table14[Customer],$M$3,Table14[Date],$A343,Table14[Bill No.],$B343),IF($J343="XtraGreen",SUMIFS(Table146[Amount],Table146[Company],$M$3,Table146[Date],$A343,Table146[Bill No.],$B343),SUMIFS('Other Sale'!$D:$D,'Other Sale'!$E:$E,$M$3,'Other Sale'!$C:$C,$J343,'Other Sale'!$A:$A,$A343)))))</f>
        <v/>
      </c>
      <c r="F343" s="347" t="str" cm="1">
        <f t="array" ref="F343">IF($A343="","",IF($J343="Payment",IFERROR(INDEX(_xlfn._xlws.FILTER(MasterPaid[Amount Paid],(MasterPaid[Customer]=$M$3)*(MasterPaid[Date]=$A343)),COUNTIFS($A$6:$A343,$A343,$J$6:$J343,"Payment")),0),0))</f>
        <v/>
      </c>
      <c r="G343" s="331"/>
      <c r="H343" s="427"/>
      <c r="I343" s="330" t="str">
        <f t="shared" si="14"/>
        <v/>
      </c>
      <c r="J343" s="344" t="str" cm="1">
        <f t="array" ref="J343">IFERROR(INDEX(_xlfn.ANCHORARRAY($P$6),ROW()-5,3),"")</f>
        <v/>
      </c>
      <c r="K343" s="432"/>
      <c r="L343" s="348"/>
    </row>
    <row r="344" spans="1:12" ht="23" x14ac:dyDescent="0.25">
      <c r="A344" s="217" t="str" cm="1">
        <f t="array" ref="A344">IFERROR(INDEX(_xlfn.ANCHORARRAY($P$6),ROW()-5,1),"")</f>
        <v/>
      </c>
      <c r="B344" s="344" t="str" cm="1">
        <f t="array" ref="B344">IFERROR(INDEX(_xlfn.ANCHORARRAY($P$6),ROW()-5,2),"")</f>
        <v/>
      </c>
      <c r="C344" s="345" t="str">
        <f>IF($A344="","",IF($J344="DIESEL",SUMIFS(Table1[Quantity],Table1[Customer],$M$3,Table1[Date],$A344,Table1[Bill No.],$B344),IF($J344="PETROL",SUMIFS(Table14[Quantity],Table14[Customer],$M$3,Table14[Date],$A344,Table14[Bill No.],$B344),IF($J344="XtraGreen",SUMIFS(Table146[Quantity],Table146[Company],$M$3,Table146[Date],$A344,Table146[Bill No.],$B344),""))))</f>
        <v/>
      </c>
      <c r="D344" s="346" t="str">
        <f>IF($A344="","",IF($J344="DIESEL",AVERAGEIFS(Table1[RSP],Table1[Customer],$M$3,Table1[Date],$A344,Table1[Bill No.],$B344),IF($J344="PETROL",AVERAGEIFS(Table14[RSP],Table14[Customer],$M$3,Table14[Date],$A344,Table14[Bill No.],$B344),IF($J344="XtraGreen",AVERAGEIFS(Table146[RSP],Table146[Company],$M$3,Table146[Date],$A344,Table146[Bill No.],$B344),IFERROR($E344/$C344,"")))))</f>
        <v/>
      </c>
      <c r="E344" s="347" t="str">
        <f>IF($A344="","",IF($J344="DIESEL",SUMIFS(Table1[Amount],Table1[Customer],$M$3,Table1[Date],$A344,Table1[Bill No.],$B344),IF($J344="PETROL",SUMIFS(Table14[Amount],Table14[Customer],$M$3,Table14[Date],$A344,Table14[Bill No.],$B344),IF($J344="XtraGreen",SUMIFS(Table146[Amount],Table146[Company],$M$3,Table146[Date],$A344,Table146[Bill No.],$B344),SUMIFS('Other Sale'!$D:$D,'Other Sale'!$E:$E,$M$3,'Other Sale'!$C:$C,$J344,'Other Sale'!$A:$A,$A344)))))</f>
        <v/>
      </c>
      <c r="F344" s="347" t="str" cm="1">
        <f t="array" ref="F344">IF($A344="","",IF($J344="Payment",IFERROR(INDEX(_xlfn._xlws.FILTER(MasterPaid[Amount Paid],(MasterPaid[Customer]=$M$3)*(MasterPaid[Date]=$A344)),COUNTIFS($A$6:$A344,$A344,$J$6:$J344,"Payment")),0),0))</f>
        <v/>
      </c>
      <c r="G344" s="331"/>
      <c r="H344" s="427"/>
      <c r="I344" s="330" t="str">
        <f t="shared" si="14"/>
        <v/>
      </c>
      <c r="J344" s="344" t="str" cm="1">
        <f t="array" ref="J344">IFERROR(INDEX(_xlfn.ANCHORARRAY($P$6),ROW()-5,3),"")</f>
        <v/>
      </c>
      <c r="K344" s="432"/>
      <c r="L344" s="348"/>
    </row>
    <row r="345" spans="1:12" ht="23" x14ac:dyDescent="0.25">
      <c r="A345" s="217" t="str" cm="1">
        <f t="array" ref="A345">IFERROR(INDEX(_xlfn.ANCHORARRAY($P$6),ROW()-5,1),"")</f>
        <v/>
      </c>
      <c r="B345" s="344" t="str" cm="1">
        <f t="array" ref="B345">IFERROR(INDEX(_xlfn.ANCHORARRAY($P$6),ROW()-5,2),"")</f>
        <v/>
      </c>
      <c r="C345" s="345" t="str">
        <f>IF($A345="","",IF($J345="DIESEL",SUMIFS(Table1[Quantity],Table1[Customer],$M$3,Table1[Date],$A345,Table1[Bill No.],$B345),IF($J345="PETROL",SUMIFS(Table14[Quantity],Table14[Customer],$M$3,Table14[Date],$A345,Table14[Bill No.],$B345),IF($J345="XtraGreen",SUMIFS(Table146[Quantity],Table146[Company],$M$3,Table146[Date],$A345,Table146[Bill No.],$B345),""))))</f>
        <v/>
      </c>
      <c r="D345" s="346" t="str">
        <f>IF($A345="","",IF($J345="DIESEL",AVERAGEIFS(Table1[RSP],Table1[Customer],$M$3,Table1[Date],$A345,Table1[Bill No.],$B345),IF($J345="PETROL",AVERAGEIFS(Table14[RSP],Table14[Customer],$M$3,Table14[Date],$A345,Table14[Bill No.],$B345),IF($J345="XtraGreen",AVERAGEIFS(Table146[RSP],Table146[Company],$M$3,Table146[Date],$A345,Table146[Bill No.],$B345),IFERROR($E345/$C345,"")))))</f>
        <v/>
      </c>
      <c r="E345" s="347" t="str">
        <f>IF($A345="","",IF($J345="DIESEL",SUMIFS(Table1[Amount],Table1[Customer],$M$3,Table1[Date],$A345,Table1[Bill No.],$B345),IF($J345="PETROL",SUMIFS(Table14[Amount],Table14[Customer],$M$3,Table14[Date],$A345,Table14[Bill No.],$B345),IF($J345="XtraGreen",SUMIFS(Table146[Amount],Table146[Company],$M$3,Table146[Date],$A345,Table146[Bill No.],$B345),SUMIFS('Other Sale'!$D:$D,'Other Sale'!$E:$E,$M$3,'Other Sale'!$C:$C,$J345,'Other Sale'!$A:$A,$A345)))))</f>
        <v/>
      </c>
      <c r="F345" s="347" t="str" cm="1">
        <f t="array" ref="F345">IF($A345="","",IF($J345="Payment",IFERROR(INDEX(_xlfn._xlws.FILTER(MasterPaid[Amount Paid],(MasterPaid[Customer]=$M$3)*(MasterPaid[Date]=$A345)),COUNTIFS($A$6:$A345,$A345,$J$6:$J345,"Payment")),0),0))</f>
        <v/>
      </c>
      <c r="G345" s="331"/>
      <c r="H345" s="427"/>
      <c r="I345" s="330" t="str">
        <f t="shared" si="14"/>
        <v/>
      </c>
      <c r="J345" s="344" t="str" cm="1">
        <f t="array" ref="J345">IFERROR(INDEX(_xlfn.ANCHORARRAY($P$6),ROW()-5,3),"")</f>
        <v/>
      </c>
      <c r="K345" s="432"/>
      <c r="L345" s="348"/>
    </row>
    <row r="346" spans="1:12" ht="23" x14ac:dyDescent="0.25">
      <c r="A346" s="217" t="str" cm="1">
        <f t="array" ref="A346">IFERROR(INDEX(_xlfn.ANCHORARRAY($P$6),ROW()-5,1),"")</f>
        <v/>
      </c>
      <c r="B346" s="344" t="str" cm="1">
        <f t="array" ref="B346">IFERROR(INDEX(_xlfn.ANCHORARRAY($P$6),ROW()-5,2),"")</f>
        <v/>
      </c>
      <c r="C346" s="345" t="str">
        <f>IF($A346="","",IF($J346="DIESEL",SUMIFS(Table1[Quantity],Table1[Customer],$M$3,Table1[Date],$A346,Table1[Bill No.],$B346),IF($J346="PETROL",SUMIFS(Table14[Quantity],Table14[Customer],$M$3,Table14[Date],$A346,Table14[Bill No.],$B346),IF($J346="XtraGreen",SUMIFS(Table146[Quantity],Table146[Company],$M$3,Table146[Date],$A346,Table146[Bill No.],$B346),""))))</f>
        <v/>
      </c>
      <c r="D346" s="346" t="str">
        <f>IF($A346="","",IF($J346="DIESEL",AVERAGEIFS(Table1[RSP],Table1[Customer],$M$3,Table1[Date],$A346,Table1[Bill No.],$B346),IF($J346="PETROL",AVERAGEIFS(Table14[RSP],Table14[Customer],$M$3,Table14[Date],$A346,Table14[Bill No.],$B346),IF($J346="XtraGreen",AVERAGEIFS(Table146[RSP],Table146[Company],$M$3,Table146[Date],$A346,Table146[Bill No.],$B346),IFERROR($E346/$C346,"")))))</f>
        <v/>
      </c>
      <c r="E346" s="347" t="str">
        <f>IF($A346="","",IF($J346="DIESEL",SUMIFS(Table1[Amount],Table1[Customer],$M$3,Table1[Date],$A346,Table1[Bill No.],$B346),IF($J346="PETROL",SUMIFS(Table14[Amount],Table14[Customer],$M$3,Table14[Date],$A346,Table14[Bill No.],$B346),IF($J346="XtraGreen",SUMIFS(Table146[Amount],Table146[Company],$M$3,Table146[Date],$A346,Table146[Bill No.],$B346),SUMIFS('Other Sale'!$D:$D,'Other Sale'!$E:$E,$M$3,'Other Sale'!$C:$C,$J346,'Other Sale'!$A:$A,$A346)))))</f>
        <v/>
      </c>
      <c r="F346" s="347" t="str" cm="1">
        <f t="array" ref="F346">IF($A346="","",IF($J346="Payment",IFERROR(INDEX(_xlfn._xlws.FILTER(MasterPaid[Amount Paid],(MasterPaid[Customer]=$M$3)*(MasterPaid[Date]=$A346)),COUNTIFS($A$6:$A346,$A346,$J$6:$J346,"Payment")),0),0))</f>
        <v/>
      </c>
      <c r="G346" s="331"/>
      <c r="H346" s="427"/>
      <c r="I346" s="330" t="str">
        <f t="shared" si="14"/>
        <v/>
      </c>
      <c r="J346" s="344" t="str" cm="1">
        <f t="array" ref="J346">IFERROR(INDEX(_xlfn.ANCHORARRAY($P$6),ROW()-5,3),"")</f>
        <v/>
      </c>
      <c r="K346" s="432" t="str" cm="1">
        <f t="array" ref="K346">IF(OR($A346="",$J346&lt;&gt;"DIESEL"),"",_xlfn.LET(_xlpm.qty,N($C346),_xlpm.pos,$T$5:$T$54,_xlpm.alo,IF($U$5:$U$54="",0,$U$5:$U$54),_xlpm.usd,SUMIFS($C$6:$C345,$K$6:$K345,_xlpm.pos&amp;""),_xlpm.bal,_xlpm.alo-_xlpm.usd,IFERROR(INDEX(_xlfn._xlws.FILTER(_xlpm.pos,(_xlpm.pos&lt;&gt;"")*(_xlpm.qty&gt;0)*(_xlpm.bal&gt;=_xlpm.qty)),1),"")))</f>
        <v/>
      </c>
      <c r="L346" s="348"/>
    </row>
    <row r="347" spans="1:12" ht="23" x14ac:dyDescent="0.25">
      <c r="A347" s="217" t="str" cm="1">
        <f t="array" ref="A347">IFERROR(INDEX(_xlfn.ANCHORARRAY($P$6),ROW()-5,1),"")</f>
        <v/>
      </c>
      <c r="B347" s="344" t="str" cm="1">
        <f t="array" ref="B347">IFERROR(INDEX(_xlfn.ANCHORARRAY($P$6),ROW()-5,2),"")</f>
        <v/>
      </c>
      <c r="C347" s="345" t="str">
        <f>IF($A347="","",IF($J347="DIESEL",SUMIFS(Table1[Quantity],Table1[Customer],$M$3,Table1[Date],$A347,Table1[Bill No.],$B347),IF($J347="PETROL",SUMIFS(Table14[Quantity],Table14[Customer],$M$3,Table14[Date],$A347,Table14[Bill No.],$B347),IF($J347="XtraGreen",SUMIFS(Table146[Quantity],Table146[Company],$M$3,Table146[Date],$A347,Table146[Bill No.],$B347),""))))</f>
        <v/>
      </c>
      <c r="D347" s="346" t="str">
        <f>IF($A347="","",IF($J347="DIESEL",AVERAGEIFS(Table1[RSP],Table1[Customer],$M$3,Table1[Date],$A347,Table1[Bill No.],$B347),IF($J347="PETROL",AVERAGEIFS(Table14[RSP],Table14[Customer],$M$3,Table14[Date],$A347,Table14[Bill No.],$B347),IF($J347="XtraGreen",AVERAGEIFS(Table146[RSP],Table146[Company],$M$3,Table146[Date],$A347,Table146[Bill No.],$B347),IFERROR($E347/$C347,"")))))</f>
        <v/>
      </c>
      <c r="E347" s="347" t="str">
        <f>IF($A347="","",IF($J347="DIESEL",SUMIFS(Table1[Amount],Table1[Customer],$M$3,Table1[Date],$A347,Table1[Bill No.],$B347),IF($J347="PETROL",SUMIFS(Table14[Amount],Table14[Customer],$M$3,Table14[Date],$A347,Table14[Bill No.],$B347),IF($J347="XtraGreen",SUMIFS(Table146[Amount],Table146[Company],$M$3,Table146[Date],$A347,Table146[Bill No.],$B347),SUMIFS('Other Sale'!$D:$D,'Other Sale'!$E:$E,$M$3,'Other Sale'!$C:$C,$J347,'Other Sale'!$A:$A,$A347)))))</f>
        <v/>
      </c>
      <c r="F347" s="347" t="str" cm="1">
        <f t="array" ref="F347">IF($A347="","",IF($J347="Payment",IFERROR(INDEX(_xlfn._xlws.FILTER(MasterPaid[Amount Paid],(MasterPaid[Customer]=$M$3)*(MasterPaid[Date]=$A347)),COUNTIFS($A$6:$A347,$A347,$J$6:$J347,"Payment")),0),0))</f>
        <v/>
      </c>
      <c r="G347" s="331"/>
      <c r="H347" s="427"/>
      <c r="I347" s="330" t="str">
        <f t="shared" si="14"/>
        <v/>
      </c>
      <c r="J347" s="344" t="str" cm="1">
        <f t="array" ref="J347">IFERROR(INDEX(_xlfn.ANCHORARRAY($P$6),ROW()-5,3),"")</f>
        <v/>
      </c>
      <c r="K347" s="432" t="str" cm="1">
        <f t="array" ref="K347">IF(OR($A347="",$J347&lt;&gt;"DIESEL"),"",_xlfn.LET(_xlpm.qty,N($C347),_xlpm.pos,$T$5:$T$54,_xlpm.alo,IF($U$5:$U$54="",0,$U$5:$U$54),_xlpm.usd,SUMIFS($C$6:$C346,$K$6:$K346,_xlpm.pos&amp;""),_xlpm.bal,_xlpm.alo-_xlpm.usd,IFERROR(INDEX(_xlfn._xlws.FILTER(_xlpm.pos,(_xlpm.pos&lt;&gt;"")*(_xlpm.qty&gt;0)*(_xlpm.bal&gt;=_xlpm.qty)),1),"")))</f>
        <v/>
      </c>
      <c r="L347" s="348"/>
    </row>
    <row r="348" spans="1:12" ht="23" x14ac:dyDescent="0.25">
      <c r="A348" s="217" t="str" cm="1">
        <f t="array" ref="A348">IFERROR(INDEX(_xlfn.ANCHORARRAY($P$6),ROW()-5,1),"")</f>
        <v/>
      </c>
      <c r="B348" s="344" t="str" cm="1">
        <f t="array" ref="B348">IFERROR(INDEX(_xlfn.ANCHORARRAY($P$6),ROW()-5,2),"")</f>
        <v/>
      </c>
      <c r="C348" s="345" t="str">
        <f>IF($A348="","",IF($J348="DIESEL",SUMIFS(Table1[Quantity],Table1[Customer],$M$3,Table1[Date],$A348,Table1[Bill No.],$B348),IF($J348="PETROL",SUMIFS(Table14[Quantity],Table14[Customer],$M$3,Table14[Date],$A348,Table14[Bill No.],$B348),IF($J348="XtraGreen",SUMIFS(Table146[Quantity],Table146[Company],$M$3,Table146[Date],$A348,Table146[Bill No.],$B348),""))))</f>
        <v/>
      </c>
      <c r="D348" s="346" t="str">
        <f>IF($A348="","",IF($J348="DIESEL",AVERAGEIFS(Table1[RSP],Table1[Customer],$M$3,Table1[Date],$A348,Table1[Bill No.],$B348),IF($J348="PETROL",AVERAGEIFS(Table14[RSP],Table14[Customer],$M$3,Table14[Date],$A348,Table14[Bill No.],$B348),IF($J348="XtraGreen",AVERAGEIFS(Table146[RSP],Table146[Company],$M$3,Table146[Date],$A348,Table146[Bill No.],$B348),IFERROR($E348/$C348,"")))))</f>
        <v/>
      </c>
      <c r="E348" s="347" t="str">
        <f>IF($A348="","",IF($J348="DIESEL",SUMIFS(Table1[Amount],Table1[Customer],$M$3,Table1[Date],$A348,Table1[Bill No.],$B348),IF($J348="PETROL",SUMIFS(Table14[Amount],Table14[Customer],$M$3,Table14[Date],$A348,Table14[Bill No.],$B348),IF($J348="XtraGreen",SUMIFS(Table146[Amount],Table146[Company],$M$3,Table146[Date],$A348,Table146[Bill No.],$B348),SUMIFS('Other Sale'!$D:$D,'Other Sale'!$E:$E,$M$3,'Other Sale'!$C:$C,$J348,'Other Sale'!$A:$A,$A348)))))</f>
        <v/>
      </c>
      <c r="F348" s="347" t="str" cm="1">
        <f t="array" ref="F348">IF($A348="","",IF($J348="Payment",IFERROR(INDEX(_xlfn._xlws.FILTER(MasterPaid[Amount Paid],(MasterPaid[Customer]=$M$3)*(MasterPaid[Date]=$A348)),COUNTIFS($A$6:$A348,$A348,$J$6:$J348,"Payment")),0),0))</f>
        <v/>
      </c>
      <c r="G348" s="331"/>
      <c r="H348" s="427"/>
      <c r="I348" s="330" t="str">
        <f t="shared" si="14"/>
        <v/>
      </c>
      <c r="J348" s="344" t="str" cm="1">
        <f t="array" ref="J348">IFERROR(INDEX(_xlfn.ANCHORARRAY($P$6),ROW()-5,3),"")</f>
        <v/>
      </c>
      <c r="K348" s="432" t="str" cm="1">
        <f t="array" ref="K348">IF(OR($A348="",$J348&lt;&gt;"DIESEL"),"",_xlfn.LET(_xlpm.qty,N($C348),_xlpm.pos,$T$5:$T$54,_xlpm.alo,IF($U$5:$U$54="",0,$U$5:$U$54),_xlpm.usd,SUMIFS($C$6:$C347,$K$6:$K347,_xlpm.pos&amp;""),_xlpm.bal,_xlpm.alo-_xlpm.usd,IFERROR(INDEX(_xlfn._xlws.FILTER(_xlpm.pos,(_xlpm.pos&lt;&gt;"")*(_xlpm.qty&gt;0)*(_xlpm.bal&gt;=_xlpm.qty)),1),"")))</f>
        <v/>
      </c>
      <c r="L348" s="348"/>
    </row>
    <row r="349" spans="1:12" ht="23" x14ac:dyDescent="0.25">
      <c r="A349" s="217" t="str" cm="1">
        <f t="array" ref="A349">IFERROR(INDEX(_xlfn.ANCHORARRAY($P$6),ROW()-5,1),"")</f>
        <v/>
      </c>
      <c r="B349" s="344" t="str" cm="1">
        <f t="array" ref="B349">IFERROR(INDEX(_xlfn.ANCHORARRAY($P$6),ROW()-5,2),"")</f>
        <v/>
      </c>
      <c r="C349" s="345" t="str">
        <f>IF($A349="","",IF($J349="DIESEL",SUMIFS(Table1[Quantity],Table1[Customer],$M$3,Table1[Date],$A349,Table1[Bill No.],$B349),IF($J349="PETROL",SUMIFS(Table14[Quantity],Table14[Customer],$M$3,Table14[Date],$A349,Table14[Bill No.],$B349),IF($J349="XtraGreen",SUMIFS(Table146[Quantity],Table146[Company],$M$3,Table146[Date],$A349,Table146[Bill No.],$B349),""))))</f>
        <v/>
      </c>
      <c r="D349" s="346" t="str">
        <f>IF($A349="","",IF($J349="DIESEL",AVERAGEIFS(Table1[RSP],Table1[Customer],$M$3,Table1[Date],$A349,Table1[Bill No.],$B349),IF($J349="PETROL",AVERAGEIFS(Table14[RSP],Table14[Customer],$M$3,Table14[Date],$A349,Table14[Bill No.],$B349),IF($J349="XtraGreen",AVERAGEIFS(Table146[RSP],Table146[Company],$M$3,Table146[Date],$A349,Table146[Bill No.],$B349),IFERROR($E349/$C349,"")))))</f>
        <v/>
      </c>
      <c r="E349" s="347" t="str">
        <f>IF($A349="","",IF($J349="DIESEL",SUMIFS(Table1[Amount],Table1[Customer],$M$3,Table1[Date],$A349,Table1[Bill No.],$B349),IF($J349="PETROL",SUMIFS(Table14[Amount],Table14[Customer],$M$3,Table14[Date],$A349,Table14[Bill No.],$B349),IF($J349="XtraGreen",SUMIFS(Table146[Amount],Table146[Company],$M$3,Table146[Date],$A349,Table146[Bill No.],$B349),SUMIFS('Other Sale'!$D:$D,'Other Sale'!$E:$E,$M$3,'Other Sale'!$C:$C,$J349,'Other Sale'!$A:$A,$A349)))))</f>
        <v/>
      </c>
      <c r="F349" s="347" t="str" cm="1">
        <f t="array" ref="F349">IF($A349="","",IF($J349="Payment",IFERROR(INDEX(_xlfn._xlws.FILTER(MasterPaid[Amount Paid],(MasterPaid[Customer]=$M$3)*(MasterPaid[Date]=$A349)),COUNTIFS($A$6:$A349,$A349,$J$6:$J349,"Payment")),0),0))</f>
        <v/>
      </c>
      <c r="G349" s="331"/>
      <c r="H349" s="427"/>
      <c r="I349" s="330" t="str">
        <f t="shared" si="14"/>
        <v/>
      </c>
      <c r="J349" s="344" t="str" cm="1">
        <f t="array" ref="J349">IFERROR(INDEX(_xlfn.ANCHORARRAY($P$6),ROW()-5,3),"")</f>
        <v/>
      </c>
      <c r="K349" s="432" t="str" cm="1">
        <f t="array" ref="K349">IF(OR($A349="",$J349&lt;&gt;"DIESEL"),"",_xlfn.LET(_xlpm.qty,N($C349),_xlpm.pos,$T$5:$T$54,_xlpm.alo,IF($U$5:$U$54="",0,$U$5:$U$54),_xlpm.usd,SUMIFS($C$6:$C348,$K$6:$K348,_xlpm.pos&amp;""),_xlpm.bal,_xlpm.alo-_xlpm.usd,IFERROR(INDEX(_xlfn._xlws.FILTER(_xlpm.pos,(_xlpm.pos&lt;&gt;"")*(_xlpm.qty&gt;0)*(_xlpm.bal&gt;=_xlpm.qty)),1),"")))</f>
        <v/>
      </c>
      <c r="L349" s="348"/>
    </row>
    <row r="350" spans="1:12" ht="23" x14ac:dyDescent="0.25">
      <c r="A350" s="217" t="str" cm="1">
        <f t="array" ref="A350">IFERROR(INDEX(_xlfn.ANCHORARRAY($P$6),ROW()-5,1),"")</f>
        <v/>
      </c>
      <c r="B350" s="344" t="str" cm="1">
        <f t="array" ref="B350">IFERROR(INDEX(_xlfn.ANCHORARRAY($P$6),ROW()-5,2),"")</f>
        <v/>
      </c>
      <c r="C350" s="345" t="str">
        <f>IF($A350="","",IF($J350="DIESEL",SUMIFS(Table1[Quantity],Table1[Customer],$M$3,Table1[Date],$A350,Table1[Bill No.],$B350),IF($J350="PETROL",SUMIFS(Table14[Quantity],Table14[Customer],$M$3,Table14[Date],$A350,Table14[Bill No.],$B350),IF($J350="XtraGreen",SUMIFS(Table146[Quantity],Table146[Company],$M$3,Table146[Date],$A350,Table146[Bill No.],$B350),""))))</f>
        <v/>
      </c>
      <c r="D350" s="346" t="str">
        <f>IF($A350="","",IF($J350="DIESEL",AVERAGEIFS(Table1[RSP],Table1[Customer],$M$3,Table1[Date],$A350,Table1[Bill No.],$B350),IF($J350="PETROL",AVERAGEIFS(Table14[RSP],Table14[Customer],$M$3,Table14[Date],$A350,Table14[Bill No.],$B350),IF($J350="XtraGreen",AVERAGEIFS(Table146[RSP],Table146[Company],$M$3,Table146[Date],$A350,Table146[Bill No.],$B350),IFERROR($E350/$C350,"")))))</f>
        <v/>
      </c>
      <c r="E350" s="347" t="str">
        <f>IF($A350="","",IF($J350="DIESEL",SUMIFS(Table1[Amount],Table1[Customer],$M$3,Table1[Date],$A350,Table1[Bill No.],$B350),IF($J350="PETROL",SUMIFS(Table14[Amount],Table14[Customer],$M$3,Table14[Date],$A350,Table14[Bill No.],$B350),IF($J350="XtraGreen",SUMIFS(Table146[Amount],Table146[Company],$M$3,Table146[Date],$A350,Table146[Bill No.],$B350),SUMIFS('Other Sale'!$D:$D,'Other Sale'!$E:$E,$M$3,'Other Sale'!$C:$C,$J350,'Other Sale'!$A:$A,$A350)))))</f>
        <v/>
      </c>
      <c r="F350" s="347" t="str" cm="1">
        <f t="array" ref="F350">IF($A350="","",IF($J350="Payment",IFERROR(INDEX(_xlfn._xlws.FILTER(MasterPaid[Amount Paid],(MasterPaid[Customer]=$M$3)*(MasterPaid[Date]=$A350)),COUNTIFS($A$6:$A350,$A350,$J$6:$J350,"Payment")),0),0))</f>
        <v/>
      </c>
      <c r="G350" s="331"/>
      <c r="H350" s="427"/>
      <c r="I350" s="330" t="str">
        <f t="shared" si="14"/>
        <v/>
      </c>
      <c r="J350" s="344" t="str" cm="1">
        <f t="array" ref="J350">IFERROR(INDEX(_xlfn.ANCHORARRAY($P$6),ROW()-5,3),"")</f>
        <v/>
      </c>
      <c r="K350" s="432" t="str" cm="1">
        <f t="array" ref="K350">IF(OR($A350="",$J350&lt;&gt;"DIESEL"),"",_xlfn.LET(_xlpm.qty,N($C350),_xlpm.pos,$T$5:$T$54,_xlpm.alo,IF($U$5:$U$54="",0,$U$5:$U$54),_xlpm.usd,SUMIFS($C$6:$C349,$K$6:$K349,_xlpm.pos&amp;""),_xlpm.bal,_xlpm.alo-_xlpm.usd,IFERROR(INDEX(_xlfn._xlws.FILTER(_xlpm.pos,(_xlpm.pos&lt;&gt;"")*(_xlpm.qty&gt;0)*(_xlpm.bal&gt;=_xlpm.qty)),1),"")))</f>
        <v/>
      </c>
      <c r="L350" s="348"/>
    </row>
    <row r="351" spans="1:12" ht="23" x14ac:dyDescent="0.25">
      <c r="A351" s="217" t="str" cm="1">
        <f t="array" ref="A351">IFERROR(INDEX(_xlfn.ANCHORARRAY($P$6),ROW()-5,1),"")</f>
        <v/>
      </c>
      <c r="B351" s="344" t="str" cm="1">
        <f t="array" ref="B351">IFERROR(INDEX(_xlfn.ANCHORARRAY($P$6),ROW()-5,2),"")</f>
        <v/>
      </c>
      <c r="C351" s="345" t="str">
        <f>IF($A351="","",IF($J351="DIESEL",SUMIFS(Table1[Quantity],Table1[Customer],$M$3,Table1[Date],$A351,Table1[Bill No.],$B351),IF($J351="PETROL",SUMIFS(Table14[Quantity],Table14[Customer],$M$3,Table14[Date],$A351,Table14[Bill No.],$B351),IF($J351="XtraGreen",SUMIFS(Table146[Quantity],Table146[Company],$M$3,Table146[Date],$A351,Table146[Bill No.],$B351),""))))</f>
        <v/>
      </c>
      <c r="D351" s="346" t="str">
        <f>IF($A351="","",IF($J351="DIESEL",AVERAGEIFS(Table1[RSP],Table1[Customer],$M$3,Table1[Date],$A351,Table1[Bill No.],$B351),IF($J351="PETROL",AVERAGEIFS(Table14[RSP],Table14[Customer],$M$3,Table14[Date],$A351,Table14[Bill No.],$B351),IF($J351="XtraGreen",AVERAGEIFS(Table146[RSP],Table146[Company],$M$3,Table146[Date],$A351,Table146[Bill No.],$B351),IFERROR($E351/$C351,"")))))</f>
        <v/>
      </c>
      <c r="E351" s="347" t="str">
        <f>IF($A351="","",IF($J351="DIESEL",SUMIFS(Table1[Amount],Table1[Customer],$M$3,Table1[Date],$A351,Table1[Bill No.],$B351),IF($J351="PETROL",SUMIFS(Table14[Amount],Table14[Customer],$M$3,Table14[Date],$A351,Table14[Bill No.],$B351),IF($J351="XtraGreen",SUMIFS(Table146[Amount],Table146[Company],$M$3,Table146[Date],$A351,Table146[Bill No.],$B351),SUMIFS('Other Sale'!$D:$D,'Other Sale'!$E:$E,$M$3,'Other Sale'!$C:$C,$J351,'Other Sale'!$A:$A,$A351)))))</f>
        <v/>
      </c>
      <c r="F351" s="347" t="str" cm="1">
        <f t="array" ref="F351">IF($A351="","",IF($J351="Payment",IFERROR(INDEX(_xlfn._xlws.FILTER(MasterPaid[Amount Paid],(MasterPaid[Customer]=$M$3)*(MasterPaid[Date]=$A351)),COUNTIFS($A$6:$A351,$A351,$J$6:$J351,"Payment")),0),0))</f>
        <v/>
      </c>
      <c r="G351" s="331"/>
      <c r="H351" s="427"/>
      <c r="I351" s="330" t="str">
        <f t="shared" si="14"/>
        <v/>
      </c>
      <c r="J351" s="344" t="str" cm="1">
        <f t="array" ref="J351">IFERROR(INDEX(_xlfn.ANCHORARRAY($P$6),ROW()-5,3),"")</f>
        <v/>
      </c>
      <c r="K351" s="432" t="str" cm="1">
        <f t="array" ref="K351">IF(OR($A351="",$J351&lt;&gt;"DIESEL"),"",_xlfn.LET(_xlpm.qty,N($C351),_xlpm.pos,$T$5:$T$54,_xlpm.alo,IF($U$5:$U$54="",0,$U$5:$U$54),_xlpm.usd,SUMIFS($C$6:$C350,$K$6:$K350,_xlpm.pos&amp;""),_xlpm.bal,_xlpm.alo-_xlpm.usd,IFERROR(INDEX(_xlfn._xlws.FILTER(_xlpm.pos,(_xlpm.pos&lt;&gt;"")*(_xlpm.qty&gt;0)*(_xlpm.bal&gt;=_xlpm.qty)),1),"")))</f>
        <v/>
      </c>
      <c r="L351" s="348"/>
    </row>
    <row r="352" spans="1:12" ht="23" x14ac:dyDescent="0.25">
      <c r="A352" s="217" t="str" cm="1">
        <f t="array" ref="A352">IFERROR(INDEX(_xlfn.ANCHORARRAY($P$6),ROW()-5,1),"")</f>
        <v/>
      </c>
      <c r="B352" s="344" t="str" cm="1">
        <f t="array" ref="B352">IFERROR(INDEX(_xlfn.ANCHORARRAY($P$6),ROW()-5,2),"")</f>
        <v/>
      </c>
      <c r="C352" s="345" t="str">
        <f>IF($A352="","",IF($J352="DIESEL",SUMIFS(Table1[Quantity],Table1[Customer],$M$3,Table1[Date],$A352,Table1[Bill No.],$B352),IF($J352="PETROL",SUMIFS(Table14[Quantity],Table14[Customer],$M$3,Table14[Date],$A352,Table14[Bill No.],$B352),IF($J352="XtraGreen",SUMIFS(Table146[Quantity],Table146[Company],$M$3,Table146[Date],$A352,Table146[Bill No.],$B352),""))))</f>
        <v/>
      </c>
      <c r="D352" s="346" t="str">
        <f>IF($A352="","",IF($J352="DIESEL",AVERAGEIFS(Table1[RSP],Table1[Customer],$M$3,Table1[Date],$A352,Table1[Bill No.],$B352),IF($J352="PETROL",AVERAGEIFS(Table14[RSP],Table14[Customer],$M$3,Table14[Date],$A352,Table14[Bill No.],$B352),IF($J352="XtraGreen",AVERAGEIFS(Table146[RSP],Table146[Company],$M$3,Table146[Date],$A352,Table146[Bill No.],$B352),IFERROR($E352/$C352,"")))))</f>
        <v/>
      </c>
      <c r="E352" s="347" t="str">
        <f>IF($A352="","",IF($J352="DIESEL",SUMIFS(Table1[Amount],Table1[Customer],$M$3,Table1[Date],$A352,Table1[Bill No.],$B352),IF($J352="PETROL",SUMIFS(Table14[Amount],Table14[Customer],$M$3,Table14[Date],$A352,Table14[Bill No.],$B352),IF($J352="XtraGreen",SUMIFS(Table146[Amount],Table146[Company],$M$3,Table146[Date],$A352,Table146[Bill No.],$B352),SUMIFS('Other Sale'!$D:$D,'Other Sale'!$E:$E,$M$3,'Other Sale'!$C:$C,$J352,'Other Sale'!$A:$A,$A352)))))</f>
        <v/>
      </c>
      <c r="F352" s="347" t="str" cm="1">
        <f t="array" ref="F352">IF($A352="","",IF($J352="Payment",IFERROR(INDEX(_xlfn._xlws.FILTER(MasterPaid[Amount Paid],(MasterPaid[Customer]=$M$3)*(MasterPaid[Date]=$A352)),COUNTIFS($A$6:$A352,$A352,$J$6:$J352,"Payment")),0),0))</f>
        <v/>
      </c>
      <c r="G352" s="331"/>
      <c r="H352" s="427"/>
      <c r="I352" s="330" t="str">
        <f t="shared" si="14"/>
        <v/>
      </c>
      <c r="J352" s="344" t="str" cm="1">
        <f t="array" ref="J352">IFERROR(INDEX(_xlfn.ANCHORARRAY($P$6),ROW()-5,3),"")</f>
        <v/>
      </c>
      <c r="K352" s="432" t="str" cm="1">
        <f t="array" ref="K352">IF(OR($A352="",$J352&lt;&gt;"DIESEL"),"",_xlfn.LET(_xlpm.qty,N($C352),_xlpm.pos,$T$5:$T$54,_xlpm.alo,IF($U$5:$U$54="",0,$U$5:$U$54),_xlpm.usd,SUMIFS($C$6:$C351,$K$6:$K351,_xlpm.pos&amp;""),_xlpm.bal,_xlpm.alo-_xlpm.usd,IFERROR(INDEX(_xlfn._xlws.FILTER(_xlpm.pos,(_xlpm.pos&lt;&gt;"")*(_xlpm.qty&gt;0)*(_xlpm.bal&gt;=_xlpm.qty)),1),"")))</f>
        <v/>
      </c>
      <c r="L352" s="348"/>
    </row>
    <row r="353" spans="1:12" ht="23" x14ac:dyDescent="0.25">
      <c r="A353" s="217" t="str" cm="1">
        <f t="array" ref="A353">IFERROR(INDEX(_xlfn.ANCHORARRAY($P$6),ROW()-5,1),"")</f>
        <v/>
      </c>
      <c r="B353" s="344" t="str" cm="1">
        <f t="array" ref="B353">IFERROR(INDEX(_xlfn.ANCHORARRAY($P$6),ROW()-5,2),"")</f>
        <v/>
      </c>
      <c r="C353" s="345" t="str">
        <f>IF($A353="","",IF($J353="DIESEL",SUMIFS(Table1[Quantity],Table1[Customer],$M$3,Table1[Date],$A353,Table1[Bill No.],$B353),IF($J353="PETROL",SUMIFS(Table14[Quantity],Table14[Customer],$M$3,Table14[Date],$A353,Table14[Bill No.],$B353),IF($J353="XtraGreen",SUMIFS(Table146[Quantity],Table146[Company],$M$3,Table146[Date],$A353,Table146[Bill No.],$B353),""))))</f>
        <v/>
      </c>
      <c r="D353" s="346" t="str">
        <f>IF($A353="","",IF($J353="DIESEL",AVERAGEIFS(Table1[RSP],Table1[Customer],$M$3,Table1[Date],$A353,Table1[Bill No.],$B353),IF($J353="PETROL",AVERAGEIFS(Table14[RSP],Table14[Customer],$M$3,Table14[Date],$A353,Table14[Bill No.],$B353),IF($J353="XtraGreen",AVERAGEIFS(Table146[RSP],Table146[Company],$M$3,Table146[Date],$A353,Table146[Bill No.],$B353),IFERROR($E353/$C353,"")))))</f>
        <v/>
      </c>
      <c r="E353" s="347" t="str">
        <f>IF($A353="","",IF($J353="DIESEL",SUMIFS(Table1[Amount],Table1[Customer],$M$3,Table1[Date],$A353,Table1[Bill No.],$B353),IF($J353="PETROL",SUMIFS(Table14[Amount],Table14[Customer],$M$3,Table14[Date],$A353,Table14[Bill No.],$B353),IF($J353="XtraGreen",SUMIFS(Table146[Amount],Table146[Company],$M$3,Table146[Date],$A353,Table146[Bill No.],$B353),SUMIFS('Other Sale'!$D:$D,'Other Sale'!$E:$E,$M$3,'Other Sale'!$C:$C,$J353,'Other Sale'!$A:$A,$A353)))))</f>
        <v/>
      </c>
      <c r="F353" s="347" t="str" cm="1">
        <f t="array" ref="F353">IF($A353="","",IF($J353="Payment",IFERROR(INDEX(_xlfn._xlws.FILTER(MasterPaid[Amount Paid],(MasterPaid[Customer]=$M$3)*(MasterPaid[Date]=$A353)),COUNTIFS($A$6:$A353,$A353,$J$6:$J353,"Payment")),0),0))</f>
        <v/>
      </c>
      <c r="G353" s="331"/>
      <c r="H353" s="427"/>
      <c r="I353" s="330" t="str">
        <f t="shared" si="14"/>
        <v/>
      </c>
      <c r="J353" s="344" t="str" cm="1">
        <f t="array" ref="J353">IFERROR(INDEX(_xlfn.ANCHORARRAY($P$6),ROW()-5,3),"")</f>
        <v/>
      </c>
      <c r="K353" s="432" t="str" cm="1">
        <f t="array" ref="K353">IF(OR($A353="",$J353&lt;&gt;"DIESEL"),"",_xlfn.LET(_xlpm.qty,N($C353),_xlpm.pos,$T$5:$T$54,_xlpm.alo,IF($U$5:$U$54="",0,$U$5:$U$54),_xlpm.usd,SUMIFS($C$6:$C352,$K$6:$K352,_xlpm.pos&amp;""),_xlpm.bal,_xlpm.alo-_xlpm.usd,IFERROR(INDEX(_xlfn._xlws.FILTER(_xlpm.pos,(_xlpm.pos&lt;&gt;"")*(_xlpm.qty&gt;0)*(_xlpm.bal&gt;=_xlpm.qty)),1),"")))</f>
        <v/>
      </c>
      <c r="L353" s="348"/>
    </row>
    <row r="354" spans="1:12" ht="23" x14ac:dyDescent="0.25">
      <c r="A354" s="217" t="str" cm="1">
        <f t="array" ref="A354">IFERROR(INDEX(_xlfn.ANCHORARRAY($P$6),ROW()-5,1),"")</f>
        <v/>
      </c>
      <c r="B354" s="344" t="str" cm="1">
        <f t="array" ref="B354">IFERROR(INDEX(_xlfn.ANCHORARRAY($P$6),ROW()-5,2),"")</f>
        <v/>
      </c>
      <c r="C354" s="345" t="str">
        <f>IF($A354="","",IF($J354="DIESEL",SUMIFS(Table1[Quantity],Table1[Customer],$M$3,Table1[Date],$A354,Table1[Bill No.],$B354),IF($J354="PETROL",SUMIFS(Table14[Quantity],Table14[Customer],$M$3,Table14[Date],$A354,Table14[Bill No.],$B354),IF($J354="XtraGreen",SUMIFS(Table146[Quantity],Table146[Company],$M$3,Table146[Date],$A354,Table146[Bill No.],$B354),""))))</f>
        <v/>
      </c>
      <c r="D354" s="346" t="str">
        <f>IF($A354="","",IF($J354="DIESEL",AVERAGEIFS(Table1[RSP],Table1[Customer],$M$3,Table1[Date],$A354,Table1[Bill No.],$B354),IF($J354="PETROL",AVERAGEIFS(Table14[RSP],Table14[Customer],$M$3,Table14[Date],$A354,Table14[Bill No.],$B354),IF($J354="XtraGreen",AVERAGEIFS(Table146[RSP],Table146[Company],$M$3,Table146[Date],$A354,Table146[Bill No.],$B354),IFERROR($E354/$C354,"")))))</f>
        <v/>
      </c>
      <c r="E354" s="347" t="str">
        <f>IF($A354="","",IF($J354="DIESEL",SUMIFS(Table1[Amount],Table1[Customer],$M$3,Table1[Date],$A354,Table1[Bill No.],$B354),IF($J354="PETROL",SUMIFS(Table14[Amount],Table14[Customer],$M$3,Table14[Date],$A354,Table14[Bill No.],$B354),IF($J354="XtraGreen",SUMIFS(Table146[Amount],Table146[Company],$M$3,Table146[Date],$A354,Table146[Bill No.],$B354),SUMIFS('Other Sale'!$D:$D,'Other Sale'!$E:$E,$M$3,'Other Sale'!$C:$C,$J354,'Other Sale'!$A:$A,$A354)))))</f>
        <v/>
      </c>
      <c r="F354" s="347" t="str" cm="1">
        <f t="array" ref="F354">IF($A354="","",IF($J354="Payment",IFERROR(INDEX(_xlfn._xlws.FILTER(MasterPaid[Amount Paid],(MasterPaid[Customer]=$M$3)*(MasterPaid[Date]=$A354)),COUNTIFS($A$6:$A354,$A354,$J$6:$J354,"Payment")),0),0))</f>
        <v/>
      </c>
      <c r="G354" s="331"/>
      <c r="H354" s="427"/>
      <c r="I354" s="330" t="str">
        <f t="shared" si="14"/>
        <v/>
      </c>
      <c r="J354" s="344" t="str" cm="1">
        <f t="array" ref="J354">IFERROR(INDEX(_xlfn.ANCHORARRAY($P$6),ROW()-5,3),"")</f>
        <v/>
      </c>
      <c r="K354" s="432" t="str" cm="1">
        <f t="array" ref="K354">IF(OR($A354="",$J354&lt;&gt;"DIESEL"),"",_xlfn.LET(_xlpm.qty,N($C354),_xlpm.pos,$T$5:$T$54,_xlpm.alo,IF($U$5:$U$54="",0,$U$5:$U$54),_xlpm.usd,SUMIFS($C$6:$C353,$K$6:$K353,_xlpm.pos&amp;""),_xlpm.bal,_xlpm.alo-_xlpm.usd,IFERROR(INDEX(_xlfn._xlws.FILTER(_xlpm.pos,(_xlpm.pos&lt;&gt;"")*(_xlpm.qty&gt;0)*(_xlpm.bal&gt;=_xlpm.qty)),1),"")))</f>
        <v/>
      </c>
      <c r="L354" s="348"/>
    </row>
    <row r="355" spans="1:12" ht="23" x14ac:dyDescent="0.25">
      <c r="A355" s="217" t="str" cm="1">
        <f t="array" ref="A355">IFERROR(INDEX(_xlfn.ANCHORARRAY($P$6),ROW()-5,1),"")</f>
        <v/>
      </c>
      <c r="B355" s="344" t="str" cm="1">
        <f t="array" ref="B355">IFERROR(INDEX(_xlfn.ANCHORARRAY($P$6),ROW()-5,2),"")</f>
        <v/>
      </c>
      <c r="C355" s="345" t="str">
        <f>IF($A355="","",IF($J355="DIESEL",SUMIFS(Table1[Quantity],Table1[Customer],$M$3,Table1[Date],$A355,Table1[Bill No.],$B355),IF($J355="PETROL",SUMIFS(Table14[Quantity],Table14[Customer],$M$3,Table14[Date],$A355,Table14[Bill No.],$B355),IF($J355="XtraGreen",SUMIFS(Table146[Quantity],Table146[Company],$M$3,Table146[Date],$A355,Table146[Bill No.],$B355),""))))</f>
        <v/>
      </c>
      <c r="D355" s="346" t="str">
        <f>IF($A355="","",IF($J355="DIESEL",AVERAGEIFS(Table1[RSP],Table1[Customer],$M$3,Table1[Date],$A355,Table1[Bill No.],$B355),IF($J355="PETROL",AVERAGEIFS(Table14[RSP],Table14[Customer],$M$3,Table14[Date],$A355,Table14[Bill No.],$B355),IF($J355="XtraGreen",AVERAGEIFS(Table146[RSP],Table146[Company],$M$3,Table146[Date],$A355,Table146[Bill No.],$B355),IFERROR($E355/$C355,"")))))</f>
        <v/>
      </c>
      <c r="E355" s="347" t="str">
        <f>IF($A355="","",IF($J355="DIESEL",SUMIFS(Table1[Amount],Table1[Customer],$M$3,Table1[Date],$A355,Table1[Bill No.],$B355),IF($J355="PETROL",SUMIFS(Table14[Amount],Table14[Customer],$M$3,Table14[Date],$A355,Table14[Bill No.],$B355),IF($J355="XtraGreen",SUMIFS(Table146[Amount],Table146[Company],$M$3,Table146[Date],$A355,Table146[Bill No.],$B355),SUMIFS('Other Sale'!$D:$D,'Other Sale'!$E:$E,$M$3,'Other Sale'!$C:$C,$J355,'Other Sale'!$A:$A,$A355)))))</f>
        <v/>
      </c>
      <c r="F355" s="347" t="str" cm="1">
        <f t="array" ref="F355">IF($A355="","",IF($J355="Payment",IFERROR(INDEX(_xlfn._xlws.FILTER(MasterPaid[Amount Paid],(MasterPaid[Customer]=$M$3)*(MasterPaid[Date]=$A355)),COUNTIFS($A$6:$A355,$A355,$J$6:$J355,"Payment")),0),0))</f>
        <v/>
      </c>
      <c r="G355" s="331"/>
      <c r="H355" s="427"/>
      <c r="I355" s="330" t="str">
        <f t="shared" si="14"/>
        <v/>
      </c>
      <c r="J355" s="344" t="str" cm="1">
        <f t="array" ref="J355">IFERROR(INDEX(_xlfn.ANCHORARRAY($P$6),ROW()-5,3),"")</f>
        <v/>
      </c>
      <c r="K355" s="432" t="str" cm="1">
        <f t="array" ref="K355">IF(OR($A355="",$J355&lt;&gt;"DIESEL"),"",_xlfn.LET(_xlpm.qty,N($C355),_xlpm.pos,$T$5:$T$54,_xlpm.alo,IF($U$5:$U$54="",0,$U$5:$U$54),_xlpm.usd,SUMIFS($C$6:$C354,$K$6:$K354,_xlpm.pos&amp;""),_xlpm.bal,_xlpm.alo-_xlpm.usd,IFERROR(INDEX(_xlfn._xlws.FILTER(_xlpm.pos,(_xlpm.pos&lt;&gt;"")*(_xlpm.qty&gt;0)*(_xlpm.bal&gt;=_xlpm.qty)),1),"")))</f>
        <v/>
      </c>
      <c r="L355" s="348"/>
    </row>
  </sheetData>
  <sheetProtection sheet="1" objects="1" scenarios="1"/>
  <mergeCells count="1">
    <mergeCell ref="A1:L1"/>
  </mergeCells>
  <conditionalFormatting sqref="A1:AH355">
    <cfRule type="cellIs" dxfId="1935" priority="1" operator="lessThan">
      <formula>0</formula>
    </cfRule>
  </conditionalFormatting>
  <conditionalFormatting sqref="B6:F355">
    <cfRule type="expression" dxfId="1934" priority="2">
      <formula>$J6="PETROL"</formula>
    </cfRule>
  </conditionalFormatting>
  <conditionalFormatting sqref="H6:H355">
    <cfRule type="expression" dxfId="1933" priority="3">
      <formula>$J6="PETROL"</formula>
    </cfRule>
  </conditionalFormatting>
  <conditionalFormatting sqref="J6:L355">
    <cfRule type="expression" dxfId="1932" priority="4">
      <formula>$J6="PETROL"</formula>
    </cfRule>
  </conditionalFormatting>
  <hyperlinks>
    <hyperlink ref="M1" location="Index!A1" display="→ Index" xr:uid="{67D1265C-4A31-3840-9560-FB88AAE5FCEB}"/>
  </hyperlinks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BF07D-9C5F-E444-B5DD-BCE9EDC3EDAA}">
  <sheetPr codeName="Sheet40"/>
  <dimension ref="A1:AJ355"/>
  <sheetViews>
    <sheetView topLeftCell="F116" zoomScale="85" workbookViewId="0">
      <selection activeCell="G129" sqref="G129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12.1640625" customWidth="1"/>
    <col min="3" max="3" width="11.5" bestFit="1" customWidth="1"/>
    <col min="4" max="4" width="9.83203125" bestFit="1" customWidth="1"/>
    <col min="5" max="6" width="15" bestFit="1" customWidth="1"/>
    <col min="7" max="7" width="9.83203125" bestFit="1" customWidth="1"/>
    <col min="8" max="8" width="13" bestFit="1" customWidth="1"/>
    <col min="9" max="9" width="15.5" bestFit="1" customWidth="1"/>
    <col min="10" max="10" width="12.83203125" bestFit="1" customWidth="1"/>
    <col min="11" max="11" width="18.6640625" customWidth="1"/>
    <col min="12" max="12" width="24.83203125" bestFit="1" customWidth="1"/>
    <col min="14" max="14" width="18" bestFit="1" customWidth="1"/>
    <col min="15" max="15" width="15.83203125" bestFit="1" customWidth="1"/>
    <col min="17" max="18" width="10.83203125" outlineLevel="1"/>
    <col min="20" max="20" width="11.6640625" style="17" customWidth="1"/>
    <col min="21" max="21" width="12.5" customWidth="1"/>
    <col min="22" max="22" width="3" customWidth="1"/>
    <col min="23" max="23" width="11.6640625" customWidth="1"/>
    <col min="24" max="27" width="12.5" customWidth="1"/>
    <col min="29" max="34" width="0" hidden="1" customWidth="1" outlineLevel="1"/>
    <col min="35" max="35" width="10.83203125" collapsed="1"/>
  </cols>
  <sheetData>
    <row r="1" spans="1:36" ht="36" customHeight="1" x14ac:dyDescent="0.2">
      <c r="A1" s="499" t="s">
        <v>2026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  <c r="N1" s="319" t="s">
        <v>2033</v>
      </c>
      <c r="O1" s="320"/>
      <c r="T1" s="31" t="s">
        <v>2173</v>
      </c>
      <c r="AJ1" s="309" t="s">
        <v>2636</v>
      </c>
    </row>
    <row r="2" spans="1:36" ht="15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77"/>
      <c r="N2" s="320" t="s">
        <v>2034</v>
      </c>
      <c r="O2" s="340">
        <f>SUM(E6:E355)</f>
        <v>38479510</v>
      </c>
      <c r="T2" s="435" t="s">
        <v>2750</v>
      </c>
    </row>
    <row r="3" spans="1:36" ht="23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321" t="s">
        <v>2027</v>
      </c>
      <c r="M3" s="308" t="s">
        <v>143</v>
      </c>
      <c r="N3" s="320" t="s">
        <v>2035</v>
      </c>
      <c r="O3" s="340">
        <f>SUM(F6:F355)</f>
        <v>38461411</v>
      </c>
      <c r="T3" s="436" t="s">
        <v>2165</v>
      </c>
      <c r="W3" s="309" t="s">
        <v>2167</v>
      </c>
    </row>
    <row r="4" spans="1:36" ht="22.5" thickBot="1" x14ac:dyDescent="0.3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322" t="s">
        <v>2028</v>
      </c>
      <c r="M4" s="229">
        <v>40460</v>
      </c>
      <c r="N4" s="320" t="s">
        <v>2036</v>
      </c>
      <c r="O4" s="340">
        <f>SUM(G6:G355)</f>
        <v>33455</v>
      </c>
      <c r="T4" s="437" t="s">
        <v>2163</v>
      </c>
      <c r="U4" s="311" t="s">
        <v>2166</v>
      </c>
      <c r="W4" s="311" t="s">
        <v>2163</v>
      </c>
      <c r="X4" s="311" t="s">
        <v>2166</v>
      </c>
      <c r="Y4" s="311" t="s">
        <v>2168</v>
      </c>
      <c r="Z4" s="311" t="s">
        <v>2169</v>
      </c>
      <c r="AA4" s="311" t="s">
        <v>2170</v>
      </c>
      <c r="AJ4" s="407" t="s">
        <v>2637</v>
      </c>
    </row>
    <row r="5" spans="1:36" ht="21.75" x14ac:dyDescent="0.25">
      <c r="A5" s="285" t="s">
        <v>6</v>
      </c>
      <c r="B5" s="285" t="s">
        <v>0</v>
      </c>
      <c r="C5" s="285" t="s">
        <v>1179</v>
      </c>
      <c r="D5" s="285" t="s">
        <v>1180</v>
      </c>
      <c r="E5" s="285" t="s">
        <v>4</v>
      </c>
      <c r="F5" s="285" t="s">
        <v>1181</v>
      </c>
      <c r="G5" s="285" t="s">
        <v>2030</v>
      </c>
      <c r="H5" s="285" t="s">
        <v>2031</v>
      </c>
      <c r="I5" s="285" t="s">
        <v>1182</v>
      </c>
      <c r="J5" s="285" t="s">
        <v>1183</v>
      </c>
      <c r="K5" s="315" t="s">
        <v>2163</v>
      </c>
      <c r="L5" s="315" t="s">
        <v>2032</v>
      </c>
      <c r="M5" s="225">
        <f>DATE(2026,4,1)</f>
        <v>46113</v>
      </c>
      <c r="N5" s="320" t="s">
        <v>2037</v>
      </c>
      <c r="O5" s="340">
        <f>SUM(H6:H355)</f>
        <v>3302</v>
      </c>
      <c r="P5" t="s">
        <v>2066</v>
      </c>
      <c r="T5" s="438" t="s">
        <v>2718</v>
      </c>
      <c r="U5" s="350">
        <v>15000</v>
      </c>
      <c r="W5" s="316" t="str">
        <f>IFERROR(INDEX($AC$5:$AC$54,MATCH(ROW()-4,$AH$5:$AH$54,0)),"")</f>
        <v>O326259893</v>
      </c>
      <c r="X5" s="273">
        <f>IF($W5="","",INDEX($AD$5:$AD$54,MATCH(ROW()-4,$AH$5:$AH$54,0)))</f>
        <v>36000</v>
      </c>
      <c r="Y5" s="273">
        <f>IF($W5="","",INDEX($AE$5:$AE$54,MATCH(ROW()-4,$AH$5:$AH$54,0)))</f>
        <v>36000</v>
      </c>
      <c r="Z5" s="273">
        <f>IF($W5="","",INDEX($AF$5:$AF$54,MATCH(ROW()-4,$AH$5:$AH$54,0)))</f>
        <v>0</v>
      </c>
      <c r="AA5" s="316" t="str">
        <f>IF($W5="","",IF($Z5&gt;0,"Pending","Completed"))</f>
        <v>Completed</v>
      </c>
      <c r="AC5" t="str" cm="1">
        <f t="array" ref="AC5">IF(INDEX($T$5:$T$54,ROW()-4)="","",INDEX($T$5:$T$54,ROW()-4))</f>
        <v>O326242041</v>
      </c>
      <c r="AD5">
        <f>IF($AC5="","",N(INDEX($U$5:$U$54,ROW()-4)))</f>
        <v>15000</v>
      </c>
      <c r="AE5">
        <f>IF($AC5="","",SUMIFS($C$6:$C$355,$K$6:$K$355,$AC5))</f>
        <v>15000</v>
      </c>
      <c r="AF5">
        <f>IF($AC5="","",$AD5-$AE5)</f>
        <v>0</v>
      </c>
      <c r="AG5">
        <f>IF($AC5="",0,IF($AF5&gt;0,1,0))</f>
        <v>0</v>
      </c>
      <c r="AH5" cm="1">
        <f t="array" ref="AH5">IF($AC5="","",IF($AG5=1,SUMPRODUCT(($AG$5:$AG$54=1)*($AC$5:$AC$54&gt;$AC5))+1,SUM($AG$5:$AG$54)+SUMPRODUCT(($AG$5:$AG$54=0)*($AC$5:$AC$54&lt;&gt;"")*($AC$5:$AC$54&gt;$AC5))+1))</f>
        <v>21</v>
      </c>
      <c r="AJ5" s="1" t="str" cm="1">
        <f t="array" ref="AJ5">IFERROR(_xlfn._xlws.FILTER($W$5:$W$54,($W$5:$W$54&lt;&gt;"")*($AA$5:$AA$54="Pending")),"")</f>
        <v/>
      </c>
    </row>
    <row r="6" spans="1:36" ht="21.75" x14ac:dyDescent="0.25">
      <c r="A6" s="217" cm="1">
        <f t="array" ref="A6">IFERROR(INDEX(_xlfn.ANCHORARRAY($P$6),ROW()-5,1),"")</f>
        <v>46115</v>
      </c>
      <c r="B6" s="344" t="str" cm="1">
        <f t="array" ref="B6">IFERROR(INDEX(_xlfn.ANCHORARRAY($P$6),ROW()-5,2),"")</f>
        <v>MS5</v>
      </c>
      <c r="C6" s="345">
        <f>IF($A6="","",IF($J6="DIESEL",SUMIFS(Table1[Quantity],Table1[Customer],$M$3,Table1[Date],$A6,Table1[Bill No.],$B6),IF($J6="PETROL",SUMIFS(Table14[Quantity],Table14[Customer],$M$3,Table14[Date],$A6,Table14[Bill No.],$B6),IF($J6="XtraGreen",SUMIFS(Table146[Quantity],Table146[Company],$M$3,Table146[Date],$A6,Table146[Bill No.],$B6),""))))</f>
        <v>200</v>
      </c>
      <c r="D6" s="346">
        <f>IF($A6="","",IF($J6="DIESEL",AVERAGEIFS(Table1[RSP],Table1[Customer],$M$3,Table1[Date],$A6,Table1[Bill No.],$B6),IF($J6="PETROL",AVERAGEIFS(Table14[RSP],Table14[Customer],$M$3,Table14[Date],$A6,Table14[Bill No.],$B6),IF($J6="XtraGreen",AVERAGEIFS(Table146[RSP],Table146[Company],$M$3,Table146[Date],$A6,Table146[Bill No.],$B6),IFERROR($E6/$C6,"")))))</f>
        <v>101.15</v>
      </c>
      <c r="E6" s="347">
        <f>IF($A6="","",IF($J6="DIESEL",SUMIFS(Table1[Amount],Table1[Customer],$M$3,Table1[Date],$A6,Table1[Bill No.],$B6),IF($J6="PETROL",SUMIFS(Table14[Amount],Table14[Customer],$M$3,Table14[Date],$A6,Table14[Bill No.],$B6),IF($J6="XtraGreen",SUMIFS(Table146[Amount],Table146[Company],$M$3,Table146[Date],$A6,Table146[Bill No.],$B6),SUMIFS('Other Sale'!$D:$D,'Other Sale'!$E:$E,$M$3,'Other Sale'!$C:$C,$J6,'Other Sale'!$A:$A,$A6)))))</f>
        <v>20230</v>
      </c>
      <c r="F6" s="347" cm="1">
        <f t="array" ref="F6">IF($A6="","",IF($J6="Payment",IFERROR(INDEX(_xlfn._xlws.FILTER(MasterPaid[Amount Paid],(MasterPaid[Customer]=$M$3)*(MasterPaid[Date]=$A6)),COUNTIFS($A$6:$A6,$A6,$J$6:$J6,"Payment")),0),0))</f>
        <v>0</v>
      </c>
      <c r="G6" s="331"/>
      <c r="H6" s="427"/>
      <c r="I6" s="330">
        <f>IF($A6="","",$M$4+N(E6)-N(F6)-N(G6)-N(H6))</f>
        <v>60690</v>
      </c>
      <c r="J6" s="344" t="str" cm="1">
        <f t="array" ref="J6">IFERROR(INDEX(_xlfn.ANCHORARRAY($P$6),ROW()-5,3),"")</f>
        <v>PETROL</v>
      </c>
      <c r="K6" s="349"/>
      <c r="L6" s="348"/>
      <c r="M6" s="277"/>
      <c r="N6" s="323" t="s">
        <v>2038</v>
      </c>
      <c r="O6" s="341">
        <f>M4+O2-O3-O4-O5</f>
        <v>21802</v>
      </c>
      <c r="P6" cm="1">
        <f t="array" ref="P6:R128">_xlfn.LET(_xlpm.cut,$M$5,_xlpm.hd,'HSD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M$3)*(_xlpm.hd&gt;=_xlpm.cut)),_xlfn.HSTACK("x","x","x")),_xlpm.mF,IFERROR(_xlfn._xlws.FILTER(_xlfn.HSTACK(_xlpm.md,_xlpm.mb,IF(_xlpm.md&lt;&gt;"","PETROL","")),(_xlpm.mc=$M$3)*(_xlpm.md&gt;=_xlpm.cut)),_xlfn.HSTACK("x","x","x")),_xlpm.xF,IFERROR(_xlfn._xlws.FILTER(_xlfn.HSTACK(_xlpm.xd,_xlpm.xb,IF(_xlpm.xd&lt;&gt;"","XtraGreen","")),(_xlpm.xc=$M$3)*(_xlpm.xd&gt;=_xlpm.cut)),_xlfn.HSTACK("x","x","x")),_xlpm.pF,IFERROR(_xlfn._xlws.FILTER(_xlfn.HSTACK(_xlpm.pd,IF(_xlpm.pd&lt;&gt;"","",""),IF(_xlpm.pd&lt;&gt;"","Payment","")),(_xlpm.pc=$M$3)*(_xlpm.pd&gt;=_xlpm.cut)),_xlfn.HSTACK("x","x","x")),_xlpm.oF,IFERROR(_xlfn._xlws.FILTER(_xlfn.HSTACK(_xlpm.od,IF(_xlpm.od&lt;&gt;"","",""),_xlpm.op),(_xlpm.oc=$M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46115</v>
      </c>
      <c r="Q6" t="str">
        <v>MS5</v>
      </c>
      <c r="R6" t="str">
        <v>PETROL</v>
      </c>
      <c r="T6" s="438" t="s">
        <v>2719</v>
      </c>
      <c r="U6" s="350">
        <v>15000</v>
      </c>
      <c r="W6" s="316" t="str">
        <f t="shared" ref="W6:W54" si="0">IFERROR(INDEX($AC$5:$AC$54,MATCH(ROW()-4,$AH$5:$AH$54,0)),"")</f>
        <v>O326259113</v>
      </c>
      <c r="X6" s="273">
        <f t="shared" ref="X6:X54" si="1">IF($W6="","",INDEX($AD$5:$AD$54,MATCH(ROW()-4,$AH$5:$AH$54,0)))</f>
        <v>36000</v>
      </c>
      <c r="Y6" s="273">
        <f t="shared" ref="Y6:Y54" si="2">IF($W6="","",INDEX($AE$5:$AE$54,MATCH(ROW()-4,$AH$5:$AH$54,0)))</f>
        <v>36000</v>
      </c>
      <c r="Z6" s="273">
        <f t="shared" ref="Z6:Z54" si="3">IF($W6="","",INDEX($AF$5:$AF$54,MATCH(ROW()-4,$AH$5:$AH$54,0)))</f>
        <v>0</v>
      </c>
      <c r="AA6" s="316" t="str">
        <f t="shared" ref="AA6:AA54" si="4">IF($W6="","",IF($Z6&gt;0,"Pending","Completed"))</f>
        <v>Completed</v>
      </c>
      <c r="AC6" t="str" cm="1">
        <f t="array" ref="AC6">IF(INDEX($T$5:$T$54,ROW()-4)="","",INDEX($T$5:$T$54,ROW()-4))</f>
        <v>O326243798</v>
      </c>
      <c r="AD6">
        <f t="shared" ref="AD6:AD54" si="5">IF($AC6="","",N(INDEX($U$5:$U$54,ROW()-4)))</f>
        <v>15000</v>
      </c>
      <c r="AE6">
        <f t="shared" ref="AE6:AE54" si="6">IF($AC6="","",SUMIFS($C$6:$C$355,$K$6:$K$355,$AC6))</f>
        <v>15000</v>
      </c>
      <c r="AF6">
        <f t="shared" ref="AF6:AF54" si="7">IF($AC6="","",$AD6-$AE6)</f>
        <v>0</v>
      </c>
      <c r="AG6">
        <f t="shared" ref="AG6:AG54" si="8">IF($AC6="",0,IF($AF6&gt;0,1,0))</f>
        <v>0</v>
      </c>
      <c r="AH6" cm="1">
        <f t="array" ref="AH6">IF($AC6="","",IF($AG6=1,SUMPRODUCT(($AG$5:$AG$54=1)*($AC$5:$AC$54&gt;$AC6))+1,SUM($AG$5:$AG$54)+SUMPRODUCT(($AG$5:$AG$54=0)*($AC$5:$AC$54&lt;&gt;"")*($AC$5:$AC$54&gt;$AC6))+1))</f>
        <v>20</v>
      </c>
    </row>
    <row r="7" spans="1:36" ht="21.75" x14ac:dyDescent="0.25">
      <c r="A7" s="217" cm="1">
        <f t="array" ref="A7">IFERROR(INDEX(_xlfn.ANCHORARRAY($P$6),ROW()-5,1),"")</f>
        <v>46119</v>
      </c>
      <c r="B7" s="344" t="str" cm="1">
        <f t="array" ref="B7">IFERROR(INDEX(_xlfn.ANCHORARRAY($P$6),ROW()-5,2),"")</f>
        <v>81</v>
      </c>
      <c r="C7" s="345">
        <f>IF($A7="","",IF($J7="DIESEL",SUMIFS(Table1[Quantity],Table1[Customer],$M$3,Table1[Date],$A7,Table1[Bill No.],$B7),IF($J7="PETROL",SUMIFS(Table14[Quantity],Table14[Customer],$M$3,Table14[Date],$A7,Table14[Bill No.],$B7),IF($J7="XtraGreen",SUMIFS(Table146[Quantity],Table146[Company],$M$3,Table146[Date],$A7,Table146[Bill No.],$B7),""))))</f>
        <v>3000</v>
      </c>
      <c r="D7" s="346">
        <f>IF($A7="","",IF($J7="DIESEL",AVERAGEIFS(Table1[RSP],Table1[Customer],$M$3,Table1[Date],$A7,Table1[Bill No.],$B7),IF($J7="PETROL",AVERAGEIFS(Table14[RSP],Table14[Customer],$M$3,Table14[Date],$A7,Table14[Bill No.],$B7),IF($J7="XtraGreen",AVERAGEIFS(Table146[RSP],Table146[Company],$M$3,Table146[Date],$A7,Table146[Bill No.],$B7),IFERROR($E7/$C7,"")))))</f>
        <v>91.36</v>
      </c>
      <c r="E7" s="347">
        <f>IF($A7="","",IF($J7="DIESEL",SUMIFS(Table1[Amount],Table1[Customer],$M$3,Table1[Date],$A7,Table1[Bill No.],$B7),IF($J7="PETROL",SUMIFS(Table14[Amount],Table14[Customer],$M$3,Table14[Date],$A7,Table14[Bill No.],$B7),IF($J7="XtraGreen",SUMIFS(Table146[Amount],Table146[Company],$M$3,Table146[Date],$A7,Table146[Bill No.],$B7),SUMIFS('Other Sale'!$D:$D,'Other Sale'!$E:$E,$M$3,'Other Sale'!$C:$C,$J7,'Other Sale'!$A:$A,$A7)))))</f>
        <v>274080</v>
      </c>
      <c r="F7" s="347" cm="1">
        <f t="array" ref="F7">IF($A7="","",IF($J7="Payment",IFERROR(INDEX(_xlfn._xlws.FILTER(MasterPaid[Amount Paid],(MasterPaid[Customer]=$M$3)*(MasterPaid[Date]=$A7)),COUNTIFS($A$6:$A7,$A7,$J$6:$J7,"Payment")),0),0))</f>
        <v>0</v>
      </c>
      <c r="G7" s="331"/>
      <c r="H7" s="427"/>
      <c r="I7" s="330">
        <f>IF($A7="","",I6+N(E7)-N(F7)-N(G7)-N(H7))</f>
        <v>334770</v>
      </c>
      <c r="J7" s="344" t="str" cm="1">
        <f t="array" ref="J7">IFERROR(INDEX(_xlfn.ANCHORARRAY($P$6),ROW()-5,3),"")</f>
        <v>DIESEL</v>
      </c>
      <c r="K7" s="429" t="s">
        <v>2718</v>
      </c>
      <c r="L7" s="348"/>
      <c r="M7" s="277"/>
      <c r="N7" s="277"/>
      <c r="O7" s="277"/>
      <c r="P7">
        <v>46119</v>
      </c>
      <c r="Q7" t="str">
        <v>81</v>
      </c>
      <c r="R7" t="str">
        <v>DIESEL</v>
      </c>
      <c r="T7" s="438" t="s">
        <v>2720</v>
      </c>
      <c r="U7" s="350">
        <v>41000</v>
      </c>
      <c r="W7" s="316" t="str">
        <f t="shared" si="0"/>
        <v>O326258326</v>
      </c>
      <c r="X7" s="273">
        <f t="shared" si="1"/>
        <v>24000</v>
      </c>
      <c r="Y7" s="273">
        <f t="shared" si="2"/>
        <v>24000</v>
      </c>
      <c r="Z7" s="273">
        <f t="shared" si="3"/>
        <v>0</v>
      </c>
      <c r="AA7" s="316" t="str">
        <f t="shared" si="4"/>
        <v>Completed</v>
      </c>
      <c r="AC7" t="str" cm="1">
        <f t="array" ref="AC7">IF(INDEX($T$5:$T$54,ROW()-4)="","",INDEX($T$5:$T$54,ROW()-4))</f>
        <v>O326244191</v>
      </c>
      <c r="AD7">
        <f t="shared" si="5"/>
        <v>41000</v>
      </c>
      <c r="AE7">
        <f t="shared" si="6"/>
        <v>41000</v>
      </c>
      <c r="AF7">
        <f t="shared" si="7"/>
        <v>0</v>
      </c>
      <c r="AG7">
        <f t="shared" si="8"/>
        <v>0</v>
      </c>
      <c r="AH7" cm="1">
        <f t="array" ref="AH7">IF($AC7="","",IF($AG7=1,SUMPRODUCT(($AG$5:$AG$54=1)*($AC$5:$AC$54&gt;$AC7))+1,SUM($AG$5:$AG$54)+SUMPRODUCT(($AG$5:$AG$54=0)*($AC$5:$AC$54&lt;&gt;"")*($AC$5:$AC$54&gt;$AC7))+1))</f>
        <v>19</v>
      </c>
    </row>
    <row r="8" spans="1:36" ht="21.75" x14ac:dyDescent="0.25">
      <c r="A8" s="217" cm="1">
        <f t="array" ref="A8">IFERROR(INDEX(_xlfn.ANCHORARRAY($P$6),ROW()-5,1),"")</f>
        <v>46119</v>
      </c>
      <c r="B8" s="344" t="str" cm="1">
        <f t="array" ref="B8">IFERROR(INDEX(_xlfn.ANCHORARRAY($P$6),ROW()-5,2),"")</f>
        <v/>
      </c>
      <c r="C8" s="345" t="str">
        <f>IF($A8="","",IF($J8="DIESEL",SUMIFS(Table1[Quantity],Table1[Customer],$M$3,Table1[Date],$A8,Table1[Bill No.],$B8),IF($J8="PETROL",SUMIFS(Table14[Quantity],Table14[Customer],$M$3,Table14[Date],$A8,Table14[Bill No.],$B8),IF($J8="XtraGreen",SUMIFS(Table146[Quantity],Table146[Company],$M$3,Table146[Date],$A8,Table146[Bill No.],$B8),""))))</f>
        <v/>
      </c>
      <c r="D8" s="346" t="str">
        <f>IF($A8="","",IF($J8="DIESEL",AVERAGEIFS(Table1[RSP],Table1[Customer],$M$3,Table1[Date],$A8,Table1[Bill No.],$B8),IF($J8="PETROL",AVERAGEIFS(Table14[RSP],Table14[Customer],$M$3,Table14[Date],$A8,Table14[Bill No.],$B8),IF($J8="XtraGreen",AVERAGEIFS(Table146[RSP],Table146[Company],$M$3,Table146[Date],$A8,Table146[Bill No.],$B8),IFERROR($E8/$C8,"")))))</f>
        <v/>
      </c>
      <c r="E8" s="347">
        <f>IF($A8="","",IF($J8="DIESEL",SUMIFS(Table1[Amount],Table1[Customer],$M$3,Table1[Date],$A8,Table1[Bill No.],$B8),IF($J8="PETROL",SUMIFS(Table14[Amount],Table14[Customer],$M$3,Table14[Date],$A8,Table14[Bill No.],$B8),IF($J8="XtraGreen",SUMIFS(Table146[Amount],Table146[Company],$M$3,Table146[Date],$A8,Table146[Bill No.],$B8),SUMIFS('Other Sale'!$D:$D,'Other Sale'!$E:$E,$M$3,'Other Sale'!$C:$C,$J8,'Other Sale'!$A:$A,$A8)))))</f>
        <v>0</v>
      </c>
      <c r="F8" s="347" cm="1">
        <f t="array" ref="F8">IF($A8="","",IF($J8="Payment",IFERROR(INDEX(_xlfn._xlws.FILTER(MasterPaid[Amount Paid],(MasterPaid[Customer]=$M$3)*(MasterPaid[Date]=$A8)),COUNTIFS($A$6:$A8,$A8,$J$6:$J8,"Payment")),0),0))</f>
        <v>274080</v>
      </c>
      <c r="G8" s="331"/>
      <c r="H8" s="427"/>
      <c r="I8" s="330">
        <f t="shared" ref="I8:I71" si="9">IF($A8="","",I7+N(E8)-N(F8)-N(G8)-N(H8))</f>
        <v>60690</v>
      </c>
      <c r="J8" s="344" t="str" cm="1">
        <f t="array" ref="J8">IFERROR(INDEX(_xlfn.ANCHORARRAY($P$6),ROW()-5,3),"")</f>
        <v>Payment</v>
      </c>
      <c r="K8" s="349"/>
      <c r="L8" s="348"/>
      <c r="M8" s="277"/>
      <c r="N8" s="277"/>
      <c r="O8" s="277"/>
      <c r="P8">
        <v>46119</v>
      </c>
      <c r="Q8" t="str">
        <v/>
      </c>
      <c r="R8" t="str">
        <v>Payment</v>
      </c>
      <c r="T8" s="438" t="s">
        <v>2721</v>
      </c>
      <c r="U8" s="350">
        <v>3000</v>
      </c>
      <c r="W8" s="316" t="str">
        <f t="shared" si="0"/>
        <v>O326257337</v>
      </c>
      <c r="X8" s="273">
        <f t="shared" si="1"/>
        <v>36000</v>
      </c>
      <c r="Y8" s="273">
        <f t="shared" si="2"/>
        <v>36000</v>
      </c>
      <c r="Z8" s="273">
        <f t="shared" si="3"/>
        <v>0</v>
      </c>
      <c r="AA8" s="316" t="str">
        <f t="shared" si="4"/>
        <v>Completed</v>
      </c>
      <c r="AC8" t="str" cm="1">
        <f t="array" ref="AC8">IF(INDEX($T$5:$T$54,ROW()-4)="","",INDEX($T$5:$T$54,ROW()-4))</f>
        <v>O326247743</v>
      </c>
      <c r="AD8">
        <f t="shared" si="5"/>
        <v>3000</v>
      </c>
      <c r="AE8">
        <f t="shared" si="6"/>
        <v>3000</v>
      </c>
      <c r="AF8">
        <f t="shared" si="7"/>
        <v>0</v>
      </c>
      <c r="AG8">
        <f t="shared" si="8"/>
        <v>0</v>
      </c>
      <c r="AH8" cm="1">
        <f t="array" ref="AH8">IF($AC8="","",IF($AG8=1,SUMPRODUCT(($AG$5:$AG$54=1)*($AC$5:$AC$54&gt;$AC8))+1,SUM($AG$5:$AG$54)+SUMPRODUCT(($AG$5:$AG$54=0)*($AC$5:$AC$54&lt;&gt;"")*($AC$5:$AC$54&gt;$AC8))+1))</f>
        <v>18</v>
      </c>
    </row>
    <row r="9" spans="1:36" ht="21.75" x14ac:dyDescent="0.25">
      <c r="A9" s="217" cm="1">
        <f t="array" ref="A9">IFERROR(INDEX(_xlfn.ANCHORARRAY($P$6),ROW()-5,1),"")</f>
        <v>46120</v>
      </c>
      <c r="B9" s="344" t="str" cm="1">
        <f t="array" ref="B9">IFERROR(INDEX(_xlfn.ANCHORARRAY($P$6),ROW()-5,2),"")</f>
        <v>92</v>
      </c>
      <c r="C9" s="345">
        <f>IF($A9="","",IF($J9="DIESEL",SUMIFS(Table1[Quantity],Table1[Customer],$M$3,Table1[Date],$A9,Table1[Bill No.],$B9),IF($J9="PETROL",SUMIFS(Table14[Quantity],Table14[Customer],$M$3,Table14[Date],$A9,Table14[Bill No.],$B9),IF($J9="XtraGreen",SUMIFS(Table146[Quantity],Table146[Company],$M$3,Table146[Date],$A9,Table146[Bill No.],$B9),""))))</f>
        <v>3000</v>
      </c>
      <c r="D9" s="346">
        <f>IF($A9="","",IF($J9="DIESEL",AVERAGEIFS(Table1[RSP],Table1[Customer],$M$3,Table1[Date],$A9,Table1[Bill No.],$B9),IF($J9="PETROL",AVERAGEIFS(Table14[RSP],Table14[Customer],$M$3,Table14[Date],$A9,Table14[Bill No.],$B9),IF($J9="XtraGreen",AVERAGEIFS(Table146[RSP],Table146[Company],$M$3,Table146[Date],$A9,Table146[Bill No.],$B9),IFERROR($E9/$C9,"")))))</f>
        <v>91.36</v>
      </c>
      <c r="E9" s="347">
        <f>IF($A9="","",IF($J9="DIESEL",SUMIFS(Table1[Amount],Table1[Customer],$M$3,Table1[Date],$A9,Table1[Bill No.],$B9),IF($J9="PETROL",SUMIFS(Table14[Amount],Table14[Customer],$M$3,Table14[Date],$A9,Table14[Bill No.],$B9),IF($J9="XtraGreen",SUMIFS(Table146[Amount],Table146[Company],$M$3,Table146[Date],$A9,Table146[Bill No.],$B9),SUMIFS('Other Sale'!$D:$D,'Other Sale'!$E:$E,$M$3,'Other Sale'!$C:$C,$J9,'Other Sale'!$A:$A,$A9)))))</f>
        <v>274080</v>
      </c>
      <c r="F9" s="347" cm="1">
        <f t="array" ref="F9">IF($A9="","",IF($J9="Payment",IFERROR(INDEX(_xlfn._xlws.FILTER(MasterPaid[Amount Paid],(MasterPaid[Customer]=$M$3)*(MasterPaid[Date]=$A9)),COUNTIFS($A$6:$A9,$A9,$J$6:$J9,"Payment")),0),0))</f>
        <v>0</v>
      </c>
      <c r="G9" s="331"/>
      <c r="H9" s="427"/>
      <c r="I9" s="330">
        <f t="shared" si="9"/>
        <v>334770</v>
      </c>
      <c r="J9" s="344" t="str" cm="1">
        <f t="array" ref="J9">IFERROR(INDEX(_xlfn.ANCHORARRAY($P$6),ROW()-5,3),"")</f>
        <v>DIESEL</v>
      </c>
      <c r="K9" s="349" t="s">
        <v>2718</v>
      </c>
      <c r="L9" s="348"/>
      <c r="M9" s="277"/>
      <c r="N9" s="277"/>
      <c r="O9" s="277"/>
      <c r="P9">
        <v>46120</v>
      </c>
      <c r="Q9" t="str">
        <v>92</v>
      </c>
      <c r="R9" t="str">
        <v>DIESEL</v>
      </c>
      <c r="T9" s="438" t="s">
        <v>2722</v>
      </c>
      <c r="U9" s="350">
        <v>4000</v>
      </c>
      <c r="W9" s="316" t="str">
        <f t="shared" si="0"/>
        <v>O326256319</v>
      </c>
      <c r="X9" s="273">
        <f t="shared" si="1"/>
        <v>36000</v>
      </c>
      <c r="Y9" s="273">
        <f t="shared" si="2"/>
        <v>36000</v>
      </c>
      <c r="Z9" s="273">
        <f t="shared" si="3"/>
        <v>0</v>
      </c>
      <c r="AA9" s="316" t="str">
        <f t="shared" si="4"/>
        <v>Completed</v>
      </c>
      <c r="AC9" t="str" cm="1">
        <f t="array" ref="AC9">IF(INDEX($T$5:$T$54,ROW()-4)="","",INDEX($T$5:$T$54,ROW()-4))</f>
        <v>O326248270</v>
      </c>
      <c r="AD9">
        <f t="shared" si="5"/>
        <v>4000</v>
      </c>
      <c r="AE9">
        <f t="shared" si="6"/>
        <v>4000</v>
      </c>
      <c r="AF9">
        <f t="shared" si="7"/>
        <v>0</v>
      </c>
      <c r="AG9">
        <f t="shared" si="8"/>
        <v>0</v>
      </c>
      <c r="AH9" cm="1">
        <f t="array" ref="AH9">IF($AC9="","",IF($AG9=1,SUMPRODUCT(($AG$5:$AG$54=1)*($AC$5:$AC$54&gt;$AC9))+1,SUM($AG$5:$AG$54)+SUMPRODUCT(($AG$5:$AG$54=0)*($AC$5:$AC$54&lt;&gt;"")*($AC$5:$AC$54&gt;$AC9))+1))</f>
        <v>17</v>
      </c>
    </row>
    <row r="10" spans="1:36" ht="21.75" x14ac:dyDescent="0.25">
      <c r="A10" s="217" cm="1">
        <f t="array" ref="A10">IFERROR(INDEX(_xlfn.ANCHORARRAY($P$6),ROW()-5,1),"")</f>
        <v>46120</v>
      </c>
      <c r="B10" s="344" t="str" cm="1">
        <f t="array" ref="B10">IFERROR(INDEX(_xlfn.ANCHORARRAY($P$6),ROW()-5,2),"")</f>
        <v/>
      </c>
      <c r="C10" s="345" t="str">
        <f>IF($A10="","",IF($J10="DIESEL",SUMIFS(Table1[Quantity],Table1[Customer],$M$3,Table1[Date],$A10,Table1[Bill No.],$B10),IF($J10="PETROL",SUMIFS(Table14[Quantity],Table14[Customer],$M$3,Table14[Date],$A10,Table14[Bill No.],$B10),IF($J10="XtraGreen",SUMIFS(Table146[Quantity],Table146[Company],$M$3,Table146[Date],$A10,Table146[Bill No.],$B10),""))))</f>
        <v/>
      </c>
      <c r="D10" s="346" t="str">
        <f>IF($A10="","",IF($J10="DIESEL",AVERAGEIFS(Table1[RSP],Table1[Customer],$M$3,Table1[Date],$A10,Table1[Bill No.],$B10),IF($J10="PETROL",AVERAGEIFS(Table14[RSP],Table14[Customer],$M$3,Table14[Date],$A10,Table14[Bill No.],$B10),IF($J10="XtraGreen",AVERAGEIFS(Table146[RSP],Table146[Company],$M$3,Table146[Date],$A10,Table146[Bill No.],$B10),IFERROR($E10/$C10,"")))))</f>
        <v/>
      </c>
      <c r="E10" s="347">
        <f>IF($A10="","",IF($J10="DIESEL",SUMIFS(Table1[Amount],Table1[Customer],$M$3,Table1[Date],$A10,Table1[Bill No.],$B10),IF($J10="PETROL",SUMIFS(Table14[Amount],Table14[Customer],$M$3,Table14[Date],$A10,Table14[Bill No.],$B10),IF($J10="XtraGreen",SUMIFS(Table146[Amount],Table146[Company],$M$3,Table146[Date],$A10,Table146[Bill No.],$B10),SUMIFS('Other Sale'!$D:$D,'Other Sale'!$E:$E,$M$3,'Other Sale'!$C:$C,$J10,'Other Sale'!$A:$A,$A10)))))</f>
        <v>0</v>
      </c>
      <c r="F10" s="347" cm="1">
        <f t="array" ref="F10">IF($A10="","",IF($J10="Payment",IFERROR(INDEX(_xlfn._xlws.FILTER(MasterPaid[Amount Paid],(MasterPaid[Customer]=$M$3)*(MasterPaid[Date]=$A10)),COUNTIFS($A$6:$A10,$A10,$J$6:$J10,"Payment")),0),0))</f>
        <v>274080</v>
      </c>
      <c r="G10" s="331"/>
      <c r="H10" s="427"/>
      <c r="I10" s="330">
        <f t="shared" si="9"/>
        <v>60690</v>
      </c>
      <c r="J10" s="344" t="str" cm="1">
        <f t="array" ref="J10">IFERROR(INDEX(_xlfn.ANCHORARRAY($P$6),ROW()-5,3),"")</f>
        <v>Payment</v>
      </c>
      <c r="K10" s="349"/>
      <c r="L10" s="348"/>
      <c r="M10" s="277"/>
      <c r="N10" s="277"/>
      <c r="O10" s="277"/>
      <c r="P10">
        <v>46120</v>
      </c>
      <c r="Q10" t="str">
        <v/>
      </c>
      <c r="R10" t="str">
        <v>Payment</v>
      </c>
      <c r="T10" s="438" t="s">
        <v>2723</v>
      </c>
      <c r="U10" s="350">
        <v>3000</v>
      </c>
      <c r="W10" s="316" t="str">
        <f t="shared" si="0"/>
        <v>O326255760</v>
      </c>
      <c r="X10" s="273">
        <f t="shared" si="1"/>
        <v>24000</v>
      </c>
      <c r="Y10" s="273">
        <f t="shared" si="2"/>
        <v>24000</v>
      </c>
      <c r="Z10" s="273">
        <f t="shared" si="3"/>
        <v>0</v>
      </c>
      <c r="AA10" s="316" t="str">
        <f t="shared" si="4"/>
        <v>Completed</v>
      </c>
      <c r="AC10" t="str" cm="1">
        <f t="array" ref="AC10">IF(INDEX($T$5:$T$54,ROW()-4)="","",INDEX($T$5:$T$54,ROW()-4))</f>
        <v>O326248753</v>
      </c>
      <c r="AD10">
        <f t="shared" si="5"/>
        <v>3000</v>
      </c>
      <c r="AE10">
        <f t="shared" si="6"/>
        <v>3000</v>
      </c>
      <c r="AF10">
        <f t="shared" si="7"/>
        <v>0</v>
      </c>
      <c r="AG10">
        <f t="shared" si="8"/>
        <v>0</v>
      </c>
      <c r="AH10" cm="1">
        <f t="array" ref="AH10">IF($AC10="","",IF($AG10=1,SUMPRODUCT(($AG$5:$AG$54=1)*($AC$5:$AC$54&gt;$AC10))+1,SUM($AG$5:$AG$54)+SUMPRODUCT(($AG$5:$AG$54=0)*($AC$5:$AC$54&lt;&gt;"")*($AC$5:$AC$54&gt;$AC10))+1))</f>
        <v>16</v>
      </c>
    </row>
    <row r="11" spans="1:36" ht="21.75" x14ac:dyDescent="0.25">
      <c r="A11" s="217" cm="1">
        <f t="array" ref="A11">IFERROR(INDEX(_xlfn.ANCHORARRAY($P$6),ROW()-5,1),"")</f>
        <v>46120</v>
      </c>
      <c r="B11" s="344" t="str" cm="1">
        <f t="array" ref="B11">IFERROR(INDEX(_xlfn.ANCHORARRAY($P$6),ROW()-5,2),"")</f>
        <v/>
      </c>
      <c r="C11" s="345" t="str">
        <f>IF($A11="","",IF($J11="DIESEL",SUMIFS(Table1[Quantity],Table1[Customer],$M$3,Table1[Date],$A11,Table1[Bill No.],$B11),IF($J11="PETROL",SUMIFS(Table14[Quantity],Table14[Customer],$M$3,Table14[Date],$A11,Table14[Bill No.],$B11),IF($J11="XtraGreen",SUMIFS(Table146[Quantity],Table146[Company],$M$3,Table146[Date],$A11,Table146[Bill No.],$B11),""))))</f>
        <v/>
      </c>
      <c r="D11" s="346" t="str">
        <f>IF($A11="","",IF($J11="DIESEL",AVERAGEIFS(Table1[RSP],Table1[Customer],$M$3,Table1[Date],$A11,Table1[Bill No.],$B11),IF($J11="PETROL",AVERAGEIFS(Table14[RSP],Table14[Customer],$M$3,Table14[Date],$A11,Table14[Bill No.],$B11),IF($J11="XtraGreen",AVERAGEIFS(Table146[RSP],Table146[Company],$M$3,Table146[Date],$A11,Table146[Bill No.],$B11),IFERROR($E11/$C11,"")))))</f>
        <v/>
      </c>
      <c r="E11" s="347">
        <f>IF($A11="","",IF($J11="DIESEL",SUMIFS(Table1[Amount],Table1[Customer],$M$3,Table1[Date],$A11,Table1[Bill No.],$B11),IF($J11="PETROL",SUMIFS(Table14[Amount],Table14[Customer],$M$3,Table14[Date],$A11,Table14[Bill No.],$B11),IF($J11="XtraGreen",SUMIFS(Table146[Amount],Table146[Company],$M$3,Table146[Date],$A11,Table146[Bill No.],$B11),SUMIFS('Other Sale'!$D:$D,'Other Sale'!$E:$E,$M$3,'Other Sale'!$C:$C,$J11,'Other Sale'!$A:$A,$A11)))))</f>
        <v>0</v>
      </c>
      <c r="F11" s="347" cm="1">
        <f t="array" ref="F11">IF($A11="","",IF($J11="Payment",IFERROR(INDEX(_xlfn._xlws.FILTER(MasterPaid[Amount Paid],(MasterPaid[Customer]=$M$3)*(MasterPaid[Date]=$A11)),COUNTIFS($A$6:$A11,$A11,$J$6:$J11,"Payment")),0),0))</f>
        <v>30345</v>
      </c>
      <c r="G11" s="331"/>
      <c r="H11" s="427"/>
      <c r="I11" s="330">
        <f t="shared" si="9"/>
        <v>30345</v>
      </c>
      <c r="J11" s="344" t="str" cm="1">
        <f t="array" ref="J11">IFERROR(INDEX(_xlfn.ANCHORARRAY($P$6),ROW()-5,3),"")</f>
        <v>Payment</v>
      </c>
      <c r="K11" s="349"/>
      <c r="L11" s="348"/>
      <c r="M11" s="277"/>
      <c r="N11" s="277"/>
      <c r="O11" s="277"/>
      <c r="P11">
        <v>46120</v>
      </c>
      <c r="Q11" t="str">
        <v/>
      </c>
      <c r="R11" t="str">
        <v>Payment</v>
      </c>
      <c r="T11" s="438" t="s">
        <v>2724</v>
      </c>
      <c r="U11" s="350">
        <v>6000</v>
      </c>
      <c r="W11" s="316" t="str">
        <f t="shared" si="0"/>
        <v>O326255619</v>
      </c>
      <c r="X11" s="273">
        <f t="shared" si="1"/>
        <v>12000</v>
      </c>
      <c r="Y11" s="273">
        <f t="shared" si="2"/>
        <v>12000</v>
      </c>
      <c r="Z11" s="273">
        <f t="shared" si="3"/>
        <v>0</v>
      </c>
      <c r="AA11" s="316" t="str">
        <f t="shared" si="4"/>
        <v>Completed</v>
      </c>
      <c r="AC11" t="str" cm="1">
        <f t="array" ref="AC11">IF(INDEX($T$5:$T$54,ROW()-4)="","",INDEX($T$5:$T$54,ROW()-4))</f>
        <v>O326248904</v>
      </c>
      <c r="AD11">
        <f t="shared" si="5"/>
        <v>6000</v>
      </c>
      <c r="AE11">
        <f t="shared" si="6"/>
        <v>6000</v>
      </c>
      <c r="AF11">
        <f t="shared" si="7"/>
        <v>0</v>
      </c>
      <c r="AG11">
        <f t="shared" si="8"/>
        <v>0</v>
      </c>
      <c r="AH11" cm="1">
        <f t="array" ref="AH11">IF($AC11="","",IF($AG11=1,SUMPRODUCT(($AG$5:$AG$54=1)*($AC$5:$AC$54&gt;$AC11))+1,SUM($AG$5:$AG$54)+SUMPRODUCT(($AG$5:$AG$54=0)*($AC$5:$AC$54&lt;&gt;"")*($AC$5:$AC$54&gt;$AC11))+1))</f>
        <v>15</v>
      </c>
    </row>
    <row r="12" spans="1:36" ht="21.75" x14ac:dyDescent="0.25">
      <c r="A12" s="217" cm="1">
        <f t="array" ref="A12">IFERROR(INDEX(_xlfn.ANCHORARRAY($P$6),ROW()-5,1),"")</f>
        <v>46121</v>
      </c>
      <c r="B12" s="344" t="str" cm="1">
        <f t="array" ref="B12">IFERROR(INDEX(_xlfn.ANCHORARRAY($P$6),ROW()-5,2),"")</f>
        <v>102</v>
      </c>
      <c r="C12" s="345">
        <f>IF($A12="","",IF($J12="DIESEL",SUMIFS(Table1[Quantity],Table1[Customer],$M$3,Table1[Date],$A12,Table1[Bill No.],$B12),IF($J12="PETROL",SUMIFS(Table14[Quantity],Table14[Customer],$M$3,Table14[Date],$A12,Table14[Bill No.],$B12),IF($J12="XtraGreen",SUMIFS(Table146[Quantity],Table146[Company],$M$3,Table146[Date],$A12,Table146[Bill No.],$B12),""))))</f>
        <v>3000</v>
      </c>
      <c r="D12" s="346">
        <f>IF($A12="","",IF($J12="DIESEL",AVERAGEIFS(Table1[RSP],Table1[Customer],$M$3,Table1[Date],$A12,Table1[Bill No.],$B12),IF($J12="PETROL",AVERAGEIFS(Table14[RSP],Table14[Customer],$M$3,Table14[Date],$A12,Table14[Bill No.],$B12),IF($J12="XtraGreen",AVERAGEIFS(Table146[RSP],Table146[Company],$M$3,Table146[Date],$A12,Table146[Bill No.],$B12),IFERROR($E12/$C12,"")))))</f>
        <v>91.36</v>
      </c>
      <c r="E12" s="347">
        <f>IF($A12="","",IF($J12="DIESEL",SUMIFS(Table1[Amount],Table1[Customer],$M$3,Table1[Date],$A12,Table1[Bill No.],$B12),IF($J12="PETROL",SUMIFS(Table14[Amount],Table14[Customer],$M$3,Table14[Date],$A12,Table14[Bill No.],$B12),IF($J12="XtraGreen",SUMIFS(Table146[Amount],Table146[Company],$M$3,Table146[Date],$A12,Table146[Bill No.],$B12),SUMIFS('Other Sale'!$D:$D,'Other Sale'!$E:$E,$M$3,'Other Sale'!$C:$C,$J12,'Other Sale'!$A:$A,$A12)))))</f>
        <v>274080</v>
      </c>
      <c r="F12" s="347" cm="1">
        <f t="array" ref="F12">IF($A12="","",IF($J12="Payment",IFERROR(INDEX(_xlfn._xlws.FILTER(MasterPaid[Amount Paid],(MasterPaid[Customer]=$M$3)*(MasterPaid[Date]=$A12)),COUNTIFS($A$6:$A12,$A12,$J$6:$J12,"Payment")),0),0))</f>
        <v>0</v>
      </c>
      <c r="G12" s="331"/>
      <c r="H12" s="427"/>
      <c r="I12" s="330">
        <f t="shared" si="9"/>
        <v>304425</v>
      </c>
      <c r="J12" s="344" t="str" cm="1">
        <f t="array" ref="J12">IFERROR(INDEX(_xlfn.ANCHORARRAY($P$6),ROW()-5,3),"")</f>
        <v>DIESEL</v>
      </c>
      <c r="K12" s="349" t="s">
        <v>2718</v>
      </c>
      <c r="L12" s="348"/>
      <c r="M12" s="277"/>
      <c r="N12" s="277"/>
      <c r="O12" s="277"/>
      <c r="P12">
        <v>46121</v>
      </c>
      <c r="Q12" t="str">
        <v>102</v>
      </c>
      <c r="R12" t="str">
        <v>DIESEL</v>
      </c>
      <c r="T12" s="438" t="s">
        <v>2725</v>
      </c>
      <c r="U12" s="350">
        <v>3000</v>
      </c>
      <c r="W12" s="316" t="str">
        <f t="shared" si="0"/>
        <v>O326254646</v>
      </c>
      <c r="X12" s="273">
        <f t="shared" si="1"/>
        <v>24000</v>
      </c>
      <c r="Y12" s="273">
        <f t="shared" si="2"/>
        <v>24000</v>
      </c>
      <c r="Z12" s="273">
        <f t="shared" si="3"/>
        <v>0</v>
      </c>
      <c r="AA12" s="316" t="str">
        <f t="shared" si="4"/>
        <v>Completed</v>
      </c>
      <c r="AC12" t="str" cm="1">
        <f t="array" ref="AC12">IF(INDEX($T$5:$T$54,ROW()-4)="","",INDEX($T$5:$T$54,ROW()-4))</f>
        <v>O326249295</v>
      </c>
      <c r="AD12">
        <f t="shared" si="5"/>
        <v>3000</v>
      </c>
      <c r="AE12">
        <f t="shared" si="6"/>
        <v>3000</v>
      </c>
      <c r="AF12">
        <f t="shared" si="7"/>
        <v>0</v>
      </c>
      <c r="AG12">
        <f t="shared" si="8"/>
        <v>0</v>
      </c>
      <c r="AH12" cm="1">
        <f t="array" ref="AH12">IF($AC12="","",IF($AG12=1,SUMPRODUCT(($AG$5:$AG$54=1)*($AC$5:$AC$54&gt;$AC12))+1,SUM($AG$5:$AG$54)+SUMPRODUCT(($AG$5:$AG$54=0)*($AC$5:$AC$54&lt;&gt;"")*($AC$5:$AC$54&gt;$AC12))+1))</f>
        <v>14</v>
      </c>
    </row>
    <row r="13" spans="1:36" ht="21.75" x14ac:dyDescent="0.25">
      <c r="A13" s="217" cm="1">
        <f t="array" ref="A13">IFERROR(INDEX(_xlfn.ANCHORARRAY($P$6),ROW()-5,1),"")</f>
        <v>46122</v>
      </c>
      <c r="B13" s="344" t="str" cm="1">
        <f t="array" ref="B13">IFERROR(INDEX(_xlfn.ANCHORARRAY($P$6),ROW()-5,2),"")</f>
        <v/>
      </c>
      <c r="C13" s="345" t="str">
        <f>IF($A13="","",IF($J13="DIESEL",SUMIFS(Table1[Quantity],Table1[Customer],$M$3,Table1[Date],$A13,Table1[Bill No.],$B13),IF($J13="PETROL",SUMIFS(Table14[Quantity],Table14[Customer],$M$3,Table14[Date],$A13,Table14[Bill No.],$B13),IF($J13="XtraGreen",SUMIFS(Table146[Quantity],Table146[Company],$M$3,Table146[Date],$A13,Table146[Bill No.],$B13),""))))</f>
        <v/>
      </c>
      <c r="D13" s="346" t="str">
        <f>IF($A13="","",IF($J13="DIESEL",AVERAGEIFS(Table1[RSP],Table1[Customer],$M$3,Table1[Date],$A13,Table1[Bill No.],$B13),IF($J13="PETROL",AVERAGEIFS(Table14[RSP],Table14[Customer],$M$3,Table14[Date],$A13,Table14[Bill No.],$B13),IF($J13="XtraGreen",AVERAGEIFS(Table146[RSP],Table146[Company],$M$3,Table146[Date],$A13,Table146[Bill No.],$B13),IFERROR($E13/$C13,"")))))</f>
        <v/>
      </c>
      <c r="E13" s="347">
        <f>IF($A13="","",IF($J13="DIESEL",SUMIFS(Table1[Amount],Table1[Customer],$M$3,Table1[Date],$A13,Table1[Bill No.],$B13),IF($J13="PETROL",SUMIFS(Table14[Amount],Table14[Customer],$M$3,Table14[Date],$A13,Table14[Bill No.],$B13),IF($J13="XtraGreen",SUMIFS(Table146[Amount],Table146[Company],$M$3,Table146[Date],$A13,Table146[Bill No.],$B13),SUMIFS('Other Sale'!$D:$D,'Other Sale'!$E:$E,$M$3,'Other Sale'!$C:$C,$J13,'Other Sale'!$A:$A,$A13)))))</f>
        <v>0</v>
      </c>
      <c r="F13" s="347" cm="1">
        <f t="array" ref="F13">IF($A13="","",IF($J13="Payment",IFERROR(INDEX(_xlfn._xlws.FILTER(MasterPaid[Amount Paid],(MasterPaid[Customer]=$M$3)*(MasterPaid[Date]=$A13)),COUNTIFS($A$6:$A13,$A13,$J$6:$J13,"Payment")),0),0))</f>
        <v>274080</v>
      </c>
      <c r="G13" s="331"/>
      <c r="H13" s="427"/>
      <c r="I13" s="330">
        <f t="shared" si="9"/>
        <v>30345</v>
      </c>
      <c r="J13" s="344" t="str" cm="1">
        <f t="array" ref="J13">IFERROR(INDEX(_xlfn.ANCHORARRAY($P$6),ROW()-5,3),"")</f>
        <v>Payment</v>
      </c>
      <c r="K13" s="349"/>
      <c r="L13" s="348"/>
      <c r="M13" s="277"/>
      <c r="N13" s="277"/>
      <c r="O13" s="277"/>
      <c r="P13">
        <v>46122</v>
      </c>
      <c r="Q13" t="str">
        <v/>
      </c>
      <c r="R13" t="str">
        <v>Payment</v>
      </c>
      <c r="T13" s="438" t="s">
        <v>2726</v>
      </c>
      <c r="U13" s="350">
        <v>6000</v>
      </c>
      <c r="W13" s="316" t="str">
        <f t="shared" si="0"/>
        <v>O326254029</v>
      </c>
      <c r="X13" s="273">
        <f t="shared" si="1"/>
        <v>12000</v>
      </c>
      <c r="Y13" s="273">
        <f t="shared" si="2"/>
        <v>12000</v>
      </c>
      <c r="Z13" s="273">
        <f t="shared" si="3"/>
        <v>0</v>
      </c>
      <c r="AA13" s="316" t="str">
        <f t="shared" si="4"/>
        <v>Completed</v>
      </c>
      <c r="AC13" t="str" cm="1">
        <f t="array" ref="AC13">IF(INDEX($T$5:$T$54,ROW()-4)="","",INDEX($T$5:$T$54,ROW()-4))</f>
        <v>O326249697</v>
      </c>
      <c r="AD13">
        <f t="shared" si="5"/>
        <v>6000</v>
      </c>
      <c r="AE13">
        <f t="shared" si="6"/>
        <v>6000</v>
      </c>
      <c r="AF13">
        <f t="shared" si="7"/>
        <v>0</v>
      </c>
      <c r="AG13">
        <f t="shared" si="8"/>
        <v>0</v>
      </c>
      <c r="AH13" cm="1">
        <f t="array" ref="AH13">IF($AC13="","",IF($AG13=1,SUMPRODUCT(($AG$5:$AG$54=1)*($AC$5:$AC$54&gt;$AC13))+1,SUM($AG$5:$AG$54)+SUMPRODUCT(($AG$5:$AG$54=0)*($AC$5:$AC$54&lt;&gt;"")*($AC$5:$AC$54&gt;$AC13))+1))</f>
        <v>13</v>
      </c>
    </row>
    <row r="14" spans="1:36" ht="21.75" x14ac:dyDescent="0.25">
      <c r="A14" s="217" cm="1">
        <f t="array" ref="A14">IFERROR(INDEX(_xlfn.ANCHORARRAY($P$6),ROW()-5,1),"")</f>
        <v>46124</v>
      </c>
      <c r="B14" s="344" t="str" cm="1">
        <f t="array" ref="B14">IFERROR(INDEX(_xlfn.ANCHORARRAY($P$6),ROW()-5,2),"")</f>
        <v>147</v>
      </c>
      <c r="C14" s="345">
        <f>IF($A14="","",IF($J14="DIESEL",SUMIFS(Table1[Quantity],Table1[Customer],$M$3,Table1[Date],$A14,Table1[Bill No.],$B14),IF($J14="PETROL",SUMIFS(Table14[Quantity],Table14[Customer],$M$3,Table14[Date],$A14,Table14[Bill No.],$B14),IF($J14="XtraGreen",SUMIFS(Table146[Quantity],Table146[Company],$M$3,Table146[Date],$A14,Table146[Bill No.],$B14),""))))</f>
        <v>3000</v>
      </c>
      <c r="D14" s="346">
        <f>IF($A14="","",IF($J14="DIESEL",AVERAGEIFS(Table1[RSP],Table1[Customer],$M$3,Table1[Date],$A14,Table1[Bill No.],$B14),IF($J14="PETROL",AVERAGEIFS(Table14[RSP],Table14[Customer],$M$3,Table14[Date],$A14,Table14[Bill No.],$B14),IF($J14="XtraGreen",AVERAGEIFS(Table146[RSP],Table146[Company],$M$3,Table146[Date],$A14,Table146[Bill No.],$B14),IFERROR($E14/$C14,"")))))</f>
        <v>91.36</v>
      </c>
      <c r="E14" s="347">
        <f>IF($A14="","",IF($J14="DIESEL",SUMIFS(Table1[Amount],Table1[Customer],$M$3,Table1[Date],$A14,Table1[Bill No.],$B14),IF($J14="PETROL",SUMIFS(Table14[Amount],Table14[Customer],$M$3,Table14[Date],$A14,Table14[Bill No.],$B14),IF($J14="XtraGreen",SUMIFS(Table146[Amount],Table146[Company],$M$3,Table146[Date],$A14,Table146[Bill No.],$B14),SUMIFS('Other Sale'!$D:$D,'Other Sale'!$E:$E,$M$3,'Other Sale'!$C:$C,$J14,'Other Sale'!$A:$A,$A14)))))</f>
        <v>274080</v>
      </c>
      <c r="F14" s="347" cm="1">
        <f t="array" ref="F14">IF($A14="","",IF($J14="Payment",IFERROR(INDEX(_xlfn._xlws.FILTER(MasterPaid[Amount Paid],(MasterPaid[Customer]=$M$3)*(MasterPaid[Date]=$A14)),COUNTIFS($A$6:$A14,$A14,$J$6:$J14,"Payment")),0),0))</f>
        <v>0</v>
      </c>
      <c r="G14" s="331"/>
      <c r="H14" s="427"/>
      <c r="I14" s="330">
        <f t="shared" si="9"/>
        <v>304425</v>
      </c>
      <c r="J14" s="344" t="str" cm="1">
        <f t="array" ref="J14">IFERROR(INDEX(_xlfn.ANCHORARRAY($P$6),ROW()-5,3),"")</f>
        <v>DIESEL</v>
      </c>
      <c r="K14" s="349" t="s">
        <v>2718</v>
      </c>
      <c r="L14" s="348"/>
      <c r="M14" s="277"/>
      <c r="N14" s="277"/>
      <c r="O14" s="277"/>
      <c r="P14">
        <v>46124</v>
      </c>
      <c r="Q14" t="str">
        <v>147</v>
      </c>
      <c r="R14" t="str">
        <v>DIESEL</v>
      </c>
      <c r="T14" s="438" t="s">
        <v>2727</v>
      </c>
      <c r="U14" s="350">
        <v>3000</v>
      </c>
      <c r="W14" s="316" t="str">
        <f t="shared" si="0"/>
        <v>O326253784</v>
      </c>
      <c r="X14" s="273">
        <f t="shared" si="1"/>
        <v>12000</v>
      </c>
      <c r="Y14" s="273">
        <f t="shared" si="2"/>
        <v>12000</v>
      </c>
      <c r="Z14" s="273">
        <f t="shared" si="3"/>
        <v>0</v>
      </c>
      <c r="AA14" s="316" t="str">
        <f t="shared" si="4"/>
        <v>Completed</v>
      </c>
      <c r="AC14" t="str" cm="1">
        <f t="array" ref="AC14">IF(INDEX($T$5:$T$54,ROW()-4)="","",INDEX($T$5:$T$54,ROW()-4))</f>
        <v>O326249998</v>
      </c>
      <c r="AD14">
        <f t="shared" si="5"/>
        <v>3000</v>
      </c>
      <c r="AE14">
        <f t="shared" si="6"/>
        <v>3000</v>
      </c>
      <c r="AF14">
        <f t="shared" si="7"/>
        <v>0</v>
      </c>
      <c r="AG14">
        <f t="shared" si="8"/>
        <v>0</v>
      </c>
      <c r="AH14" cm="1">
        <f t="array" ref="AH14">IF($AC14="","",IF($AG14=1,SUMPRODUCT(($AG$5:$AG$54=1)*($AC$5:$AC$54&gt;$AC14))+1,SUM($AG$5:$AG$54)+SUMPRODUCT(($AG$5:$AG$54=0)*($AC$5:$AC$54&lt;&gt;"")*($AC$5:$AC$54&gt;$AC14))+1))</f>
        <v>12</v>
      </c>
    </row>
    <row r="15" spans="1:36" ht="21.75" x14ac:dyDescent="0.25">
      <c r="A15" s="217" cm="1">
        <f t="array" ref="A15">IFERROR(INDEX(_xlfn.ANCHORARRAY($P$6),ROW()-5,1),"")</f>
        <v>46125</v>
      </c>
      <c r="B15" s="344" t="str" cm="1">
        <f t="array" ref="B15">IFERROR(INDEX(_xlfn.ANCHORARRAY($P$6),ROW()-5,2),"")</f>
        <v/>
      </c>
      <c r="C15" s="345" t="str">
        <f>IF($A15="","",IF($J15="DIESEL",SUMIFS(Table1[Quantity],Table1[Customer],$M$3,Table1[Date],$A15,Table1[Bill No.],$B15),IF($J15="PETROL",SUMIFS(Table14[Quantity],Table14[Customer],$M$3,Table14[Date],$A15,Table14[Bill No.],$B15),IF($J15="XtraGreen",SUMIFS(Table146[Quantity],Table146[Company],$M$3,Table146[Date],$A15,Table146[Bill No.],$B15),""))))</f>
        <v/>
      </c>
      <c r="D15" s="346" t="str">
        <f>IF($A15="","",IF($J15="DIESEL",AVERAGEIFS(Table1[RSP],Table1[Customer],$M$3,Table1[Date],$A15,Table1[Bill No.],$B15),IF($J15="PETROL",AVERAGEIFS(Table14[RSP],Table14[Customer],$M$3,Table14[Date],$A15,Table14[Bill No.],$B15),IF($J15="XtraGreen",AVERAGEIFS(Table146[RSP],Table146[Company],$M$3,Table146[Date],$A15,Table146[Bill No.],$B15),IFERROR($E15/$C15,"")))))</f>
        <v/>
      </c>
      <c r="E15" s="347">
        <f>IF($A15="","",IF($J15="DIESEL",SUMIFS(Table1[Amount],Table1[Customer],$M$3,Table1[Date],$A15,Table1[Bill No.],$B15),IF($J15="PETROL",SUMIFS(Table14[Amount],Table14[Customer],$M$3,Table14[Date],$A15,Table14[Bill No.],$B15),IF($J15="XtraGreen",SUMIFS(Table146[Amount],Table146[Company],$M$3,Table146[Date],$A15,Table146[Bill No.],$B15),SUMIFS('Other Sale'!$D:$D,'Other Sale'!$E:$E,$M$3,'Other Sale'!$C:$C,$J15,'Other Sale'!$A:$A,$A15)))))</f>
        <v>0</v>
      </c>
      <c r="F15" s="347" cm="1">
        <f t="array" ref="F15">IF($A15="","",IF($J15="Payment",IFERROR(INDEX(_xlfn._xlws.FILTER(MasterPaid[Amount Paid],(MasterPaid[Customer]=$M$3)*(MasterPaid[Date]=$A15)),COUNTIFS($A$6:$A15,$A15,$J$6:$J15,"Payment")),0),0))</f>
        <v>274080</v>
      </c>
      <c r="G15" s="331"/>
      <c r="H15" s="427"/>
      <c r="I15" s="330">
        <f t="shared" si="9"/>
        <v>30345</v>
      </c>
      <c r="J15" s="344" t="str" cm="1">
        <f t="array" ref="J15">IFERROR(INDEX(_xlfn.ANCHORARRAY($P$6),ROW()-5,3),"")</f>
        <v>Payment</v>
      </c>
      <c r="K15" s="349"/>
      <c r="L15" s="348"/>
      <c r="M15" s="277"/>
      <c r="N15" s="277"/>
      <c r="O15" s="277"/>
      <c r="P15">
        <v>46125</v>
      </c>
      <c r="Q15" t="str">
        <v/>
      </c>
      <c r="R15" t="str">
        <v>Payment</v>
      </c>
      <c r="T15" s="438" t="s">
        <v>2728</v>
      </c>
      <c r="U15" s="350">
        <v>3000</v>
      </c>
      <c r="W15" s="316" t="str">
        <f t="shared" si="0"/>
        <v>O326250161</v>
      </c>
      <c r="X15" s="273">
        <f t="shared" si="1"/>
        <v>3000</v>
      </c>
      <c r="Y15" s="273">
        <f t="shared" si="2"/>
        <v>3000</v>
      </c>
      <c r="Z15" s="273">
        <f t="shared" si="3"/>
        <v>0</v>
      </c>
      <c r="AA15" s="316" t="str">
        <f t="shared" si="4"/>
        <v>Completed</v>
      </c>
      <c r="AC15" t="str" cm="1">
        <f t="array" ref="AC15">IF(INDEX($T$5:$T$54,ROW()-4)="","",INDEX($T$5:$T$54,ROW()-4))</f>
        <v>O326250161</v>
      </c>
      <c r="AD15">
        <f t="shared" si="5"/>
        <v>3000</v>
      </c>
      <c r="AE15">
        <f t="shared" si="6"/>
        <v>3000</v>
      </c>
      <c r="AF15">
        <f t="shared" si="7"/>
        <v>0</v>
      </c>
      <c r="AG15">
        <f t="shared" si="8"/>
        <v>0</v>
      </c>
      <c r="AH15" cm="1">
        <f t="array" ref="AH15">IF($AC15="","",IF($AG15=1,SUMPRODUCT(($AG$5:$AG$54=1)*($AC$5:$AC$54&gt;$AC15))+1,SUM($AG$5:$AG$54)+SUMPRODUCT(($AG$5:$AG$54=0)*($AC$5:$AC$54&lt;&gt;"")*($AC$5:$AC$54&gt;$AC15))+1))</f>
        <v>11</v>
      </c>
    </row>
    <row r="16" spans="1:36" ht="21.75" x14ac:dyDescent="0.25">
      <c r="A16" s="217" cm="1">
        <f t="array" ref="A16">IFERROR(INDEX(_xlfn.ANCHORARRAY($P$6),ROW()-5,1),"")</f>
        <v>46129</v>
      </c>
      <c r="B16" s="344" t="str" cm="1">
        <f t="array" ref="B16">IFERROR(INDEX(_xlfn.ANCHORARRAY($P$6),ROW()-5,2),"")</f>
        <v>229</v>
      </c>
      <c r="C16" s="345">
        <f>IF($A16="","",IF($J16="DIESEL",SUMIFS(Table1[Quantity],Table1[Customer],$M$3,Table1[Date],$A16,Table1[Bill No.],$B16),IF($J16="PETROL",SUMIFS(Table14[Quantity],Table14[Customer],$M$3,Table14[Date],$A16,Table14[Bill No.],$B16),IF($J16="XtraGreen",SUMIFS(Table146[Quantity],Table146[Company],$M$3,Table146[Date],$A16,Table146[Bill No.],$B16),""))))</f>
        <v>3000</v>
      </c>
      <c r="D16" s="346">
        <f>IF($A16="","",IF($J16="DIESEL",AVERAGEIFS(Table1[RSP],Table1[Customer],$M$3,Table1[Date],$A16,Table1[Bill No.],$B16),IF($J16="PETROL",AVERAGEIFS(Table14[RSP],Table14[Customer],$M$3,Table14[Date],$A16,Table14[Bill No.],$B16),IF($J16="XtraGreen",AVERAGEIFS(Table146[RSP],Table146[Company],$M$3,Table146[Date],$A16,Table146[Bill No.],$B16),IFERROR($E16/$C16,"")))))</f>
        <v>91.36</v>
      </c>
      <c r="E16" s="347">
        <f>IF($A16="","",IF($J16="DIESEL",SUMIFS(Table1[Amount],Table1[Customer],$M$3,Table1[Date],$A16,Table1[Bill No.],$B16),IF($J16="PETROL",SUMIFS(Table14[Amount],Table14[Customer],$M$3,Table14[Date],$A16,Table14[Bill No.],$B16),IF($J16="XtraGreen",SUMIFS(Table146[Amount],Table146[Company],$M$3,Table146[Date],$A16,Table146[Bill No.],$B16),SUMIFS('Other Sale'!$D:$D,'Other Sale'!$E:$E,$M$3,'Other Sale'!$C:$C,$J16,'Other Sale'!$A:$A,$A16)))))</f>
        <v>274080</v>
      </c>
      <c r="F16" s="347" cm="1">
        <f t="array" ref="F16">IF($A16="","",IF($J16="Payment",IFERROR(INDEX(_xlfn._xlws.FILTER(MasterPaid[Amount Paid],(MasterPaid[Customer]=$M$3)*(MasterPaid[Date]=$A16)),COUNTIFS($A$6:$A16,$A16,$J$6:$J16,"Payment")),0),0))</f>
        <v>0</v>
      </c>
      <c r="G16" s="331"/>
      <c r="H16" s="427"/>
      <c r="I16" s="330">
        <f t="shared" si="9"/>
        <v>304425</v>
      </c>
      <c r="J16" s="344" t="str" cm="1">
        <f t="array" ref="J16">IFERROR(INDEX(_xlfn.ANCHORARRAY($P$6),ROW()-5,3),"")</f>
        <v>DIESEL</v>
      </c>
      <c r="K16" s="349" t="s">
        <v>2718</v>
      </c>
      <c r="L16" s="348"/>
      <c r="M16" s="277"/>
      <c r="N16" s="277"/>
      <c r="O16" s="277"/>
      <c r="P16">
        <v>46129</v>
      </c>
      <c r="Q16" t="str">
        <v>229</v>
      </c>
      <c r="R16" t="str">
        <v>DIESEL</v>
      </c>
      <c r="T16" s="438" t="s">
        <v>2174</v>
      </c>
      <c r="U16" s="350">
        <v>12000</v>
      </c>
      <c r="W16" s="316" t="str">
        <f t="shared" si="0"/>
        <v>O326249998</v>
      </c>
      <c r="X16" s="273">
        <f t="shared" si="1"/>
        <v>3000</v>
      </c>
      <c r="Y16" s="273">
        <f t="shared" si="2"/>
        <v>3000</v>
      </c>
      <c r="Z16" s="273">
        <f t="shared" si="3"/>
        <v>0</v>
      </c>
      <c r="AA16" s="316" t="str">
        <f t="shared" si="4"/>
        <v>Completed</v>
      </c>
      <c r="AC16" t="str" cm="1">
        <f t="array" ref="AC16">IF(INDEX($T$5:$T$54,ROW()-4)="","",INDEX($T$5:$T$54,ROW()-4))</f>
        <v>O326253784</v>
      </c>
      <c r="AD16">
        <f t="shared" si="5"/>
        <v>12000</v>
      </c>
      <c r="AE16">
        <f t="shared" si="6"/>
        <v>12000</v>
      </c>
      <c r="AF16">
        <f t="shared" si="7"/>
        <v>0</v>
      </c>
      <c r="AG16">
        <f t="shared" si="8"/>
        <v>0</v>
      </c>
      <c r="AH16" cm="1">
        <f t="array" ref="AH16">IF($AC16="","",IF($AG16=1,SUMPRODUCT(($AG$5:$AG$54=1)*($AC$5:$AC$54&gt;$AC16))+1,SUM($AG$5:$AG$54)+SUMPRODUCT(($AG$5:$AG$54=0)*($AC$5:$AC$54&lt;&gt;"")*($AC$5:$AC$54&gt;$AC16))+1))</f>
        <v>10</v>
      </c>
    </row>
    <row r="17" spans="1:34" ht="21.75" x14ac:dyDescent="0.25">
      <c r="A17" s="217" cm="1">
        <f t="array" ref="A17">IFERROR(INDEX(_xlfn.ANCHORARRAY($P$6),ROW()-5,1),"")</f>
        <v>46129</v>
      </c>
      <c r="B17" s="344" t="str" cm="1">
        <f t="array" ref="B17">IFERROR(INDEX(_xlfn.ANCHORARRAY($P$6),ROW()-5,2),"")</f>
        <v/>
      </c>
      <c r="C17" s="345" t="str">
        <f>IF($A17="","",IF($J17="DIESEL",SUMIFS(Table1[Quantity],Table1[Customer],$M$3,Table1[Date],$A17,Table1[Bill No.],$B17),IF($J17="PETROL",SUMIFS(Table14[Quantity],Table14[Customer],$M$3,Table14[Date],$A17,Table14[Bill No.],$B17),IF($J17="XtraGreen",SUMIFS(Table146[Quantity],Table146[Company],$M$3,Table146[Date],$A17,Table146[Bill No.],$B17),""))))</f>
        <v/>
      </c>
      <c r="D17" s="346" t="str">
        <f>IF($A17="","",IF($J17="DIESEL",AVERAGEIFS(Table1[RSP],Table1[Customer],$M$3,Table1[Date],$A17,Table1[Bill No.],$B17),IF($J17="PETROL",AVERAGEIFS(Table14[RSP],Table14[Customer],$M$3,Table14[Date],$A17,Table14[Bill No.],$B17),IF($J17="XtraGreen",AVERAGEIFS(Table146[RSP],Table146[Company],$M$3,Table146[Date],$A17,Table146[Bill No.],$B17),IFERROR($E17/$C17,"")))))</f>
        <v/>
      </c>
      <c r="E17" s="347">
        <f>IF($A17="","",IF($J17="DIESEL",SUMIFS(Table1[Amount],Table1[Customer],$M$3,Table1[Date],$A17,Table1[Bill No.],$B17),IF($J17="PETROL",SUMIFS(Table14[Amount],Table14[Customer],$M$3,Table14[Date],$A17,Table14[Bill No.],$B17),IF($J17="XtraGreen",SUMIFS(Table146[Amount],Table146[Company],$M$3,Table146[Date],$A17,Table146[Bill No.],$B17),SUMIFS('Other Sale'!$D:$D,'Other Sale'!$E:$E,$M$3,'Other Sale'!$C:$C,$J17,'Other Sale'!$A:$A,$A17)))))</f>
        <v>0</v>
      </c>
      <c r="F17" s="347" cm="1">
        <f t="array" ref="F17">IF($A17="","",IF($J17="Payment",IFERROR(INDEX(_xlfn._xlws.FILTER(MasterPaid[Amount Paid],(MasterPaid[Customer]=$M$3)*(MasterPaid[Date]=$A17)),COUNTIFS($A$6:$A17,$A17,$J$6:$J17,"Payment")),0),0))</f>
        <v>274080</v>
      </c>
      <c r="G17" s="331"/>
      <c r="H17" s="427"/>
      <c r="I17" s="330">
        <f t="shared" si="9"/>
        <v>30345</v>
      </c>
      <c r="J17" s="344" t="str" cm="1">
        <f t="array" ref="J17">IFERROR(INDEX(_xlfn.ANCHORARRAY($P$6),ROW()-5,3),"")</f>
        <v>Payment</v>
      </c>
      <c r="K17" s="349"/>
      <c r="L17" s="348"/>
      <c r="M17" s="277"/>
      <c r="N17" s="277"/>
      <c r="O17" s="277"/>
      <c r="P17">
        <v>46129</v>
      </c>
      <c r="Q17" t="str">
        <v/>
      </c>
      <c r="R17" t="str">
        <v>Payment</v>
      </c>
      <c r="T17" s="438" t="s">
        <v>2324</v>
      </c>
      <c r="U17" s="350">
        <v>12000</v>
      </c>
      <c r="W17" s="316" t="str">
        <f t="shared" si="0"/>
        <v>O326249697</v>
      </c>
      <c r="X17" s="273">
        <f t="shared" si="1"/>
        <v>6000</v>
      </c>
      <c r="Y17" s="273">
        <f t="shared" si="2"/>
        <v>6000</v>
      </c>
      <c r="Z17" s="273">
        <f t="shared" si="3"/>
        <v>0</v>
      </c>
      <c r="AA17" s="316" t="str">
        <f t="shared" si="4"/>
        <v>Completed</v>
      </c>
      <c r="AC17" t="str" cm="1">
        <f t="array" ref="AC17">IF(INDEX($T$5:$T$54,ROW()-4)="","",INDEX($T$5:$T$54,ROW()-4))</f>
        <v>O326254029</v>
      </c>
      <c r="AD17">
        <f t="shared" si="5"/>
        <v>12000</v>
      </c>
      <c r="AE17">
        <f t="shared" si="6"/>
        <v>12000</v>
      </c>
      <c r="AF17">
        <f t="shared" si="7"/>
        <v>0</v>
      </c>
      <c r="AG17">
        <f t="shared" si="8"/>
        <v>0</v>
      </c>
      <c r="AH17" cm="1">
        <f t="array" ref="AH17">IF($AC17="","",IF($AG17=1,SUMPRODUCT(($AG$5:$AG$54=1)*($AC$5:$AC$54&gt;$AC17))+1,SUM($AG$5:$AG$54)+SUMPRODUCT(($AG$5:$AG$54=0)*($AC$5:$AC$54&lt;&gt;"")*($AC$5:$AC$54&gt;$AC17))+1))</f>
        <v>9</v>
      </c>
    </row>
    <row r="18" spans="1:34" ht="21.75" customHeight="1" x14ac:dyDescent="0.25">
      <c r="A18" s="217" cm="1">
        <f t="array" ref="A18">IFERROR(INDEX(_xlfn.ANCHORARRAY($P$6),ROW()-5,1),"")</f>
        <v>46130</v>
      </c>
      <c r="B18" s="344" t="str" cm="1">
        <f t="array" ref="B18">IFERROR(INDEX(_xlfn.ANCHORARRAY($P$6),ROW()-5,2),"")</f>
        <v>245</v>
      </c>
      <c r="C18" s="345">
        <f>IF($A18="","",IF($J18="DIESEL",SUMIFS(Table1[Quantity],Table1[Customer],$M$3,Table1[Date],$A18,Table1[Bill No.],$B18),IF($J18="PETROL",SUMIFS(Table14[Quantity],Table14[Customer],$M$3,Table14[Date],$A18,Table14[Bill No.],$B18),IF($J18="XtraGreen",SUMIFS(Table146[Quantity],Table146[Company],$M$3,Table146[Date],$A18,Table146[Bill No.],$B18),""))))</f>
        <v>3000</v>
      </c>
      <c r="D18" s="346">
        <f>IF($A18="","",IF($J18="DIESEL",AVERAGEIFS(Table1[RSP],Table1[Customer],$M$3,Table1[Date],$A18,Table1[Bill No.],$B18),IF($J18="PETROL",AVERAGEIFS(Table14[RSP],Table14[Customer],$M$3,Table14[Date],$A18,Table14[Bill No.],$B18),IF($J18="XtraGreen",AVERAGEIFS(Table146[RSP],Table146[Company],$M$3,Table146[Date],$A18,Table146[Bill No.],$B18),IFERROR($E18/$C18,"")))))</f>
        <v>92.74</v>
      </c>
      <c r="E18" s="347">
        <f>IF($A18="","",IF($J18="DIESEL",SUMIFS(Table1[Amount],Table1[Customer],$M$3,Table1[Date],$A18,Table1[Bill No.],$B18),IF($J18="PETROL",SUMIFS(Table14[Amount],Table14[Customer],$M$3,Table14[Date],$A18,Table14[Bill No.],$B18),IF($J18="XtraGreen",SUMIFS(Table146[Amount],Table146[Company],$M$3,Table146[Date],$A18,Table146[Bill No.],$B18),SUMIFS('Other Sale'!$D:$D,'Other Sale'!$E:$E,$M$3,'Other Sale'!$C:$C,$J18,'Other Sale'!$A:$A,$A18)))))</f>
        <v>278220</v>
      </c>
      <c r="F18" s="347" cm="1">
        <f t="array" ref="F18">IF($A18="","",IF($J18="Payment",IFERROR(INDEX(_xlfn._xlws.FILTER(MasterPaid[Amount Paid],(MasterPaid[Customer]=$M$3)*(MasterPaid[Date]=$A18)),COUNTIFS($A$6:$A18,$A18,$J$6:$J18,"Payment")),0),0))</f>
        <v>0</v>
      </c>
      <c r="G18" s="331"/>
      <c r="H18" s="427"/>
      <c r="I18" s="330">
        <f t="shared" si="9"/>
        <v>308565</v>
      </c>
      <c r="J18" s="344" t="str" cm="1">
        <f t="array" ref="J18">IFERROR(INDEX(_xlfn.ANCHORARRAY($P$6),ROW()-5,3),"")</f>
        <v>DIESEL</v>
      </c>
      <c r="K18" s="349" t="s">
        <v>2719</v>
      </c>
      <c r="L18" s="348"/>
      <c r="M18" s="277"/>
      <c r="N18" s="277"/>
      <c r="O18" s="277"/>
      <c r="P18">
        <v>46130</v>
      </c>
      <c r="Q18" t="str">
        <v>245</v>
      </c>
      <c r="R18" t="str">
        <v>DIESEL</v>
      </c>
      <c r="T18" s="438" t="s">
        <v>2373</v>
      </c>
      <c r="U18" s="350">
        <v>24000</v>
      </c>
      <c r="W18" s="316" t="str">
        <f t="shared" si="0"/>
        <v>O326249295</v>
      </c>
      <c r="X18" s="273">
        <f t="shared" si="1"/>
        <v>3000</v>
      </c>
      <c r="Y18" s="273">
        <f t="shared" si="2"/>
        <v>3000</v>
      </c>
      <c r="Z18" s="273">
        <f t="shared" si="3"/>
        <v>0</v>
      </c>
      <c r="AA18" s="316" t="str">
        <f t="shared" si="4"/>
        <v>Completed</v>
      </c>
      <c r="AC18" t="str" cm="1">
        <f t="array" ref="AC18">IF(INDEX($T$5:$T$54,ROW()-4)="","",INDEX($T$5:$T$54,ROW()-4))</f>
        <v>O326254646</v>
      </c>
      <c r="AD18">
        <f t="shared" si="5"/>
        <v>24000</v>
      </c>
      <c r="AE18">
        <f t="shared" si="6"/>
        <v>24000</v>
      </c>
      <c r="AF18">
        <f t="shared" si="7"/>
        <v>0</v>
      </c>
      <c r="AG18">
        <f t="shared" si="8"/>
        <v>0</v>
      </c>
      <c r="AH18" cm="1">
        <f t="array" ref="AH18">IF($AC18="","",IF($AG18=1,SUMPRODUCT(($AG$5:$AG$54=1)*($AC$5:$AC$54&gt;$AC18))+1,SUM($AG$5:$AG$54)+SUMPRODUCT(($AG$5:$AG$54=0)*($AC$5:$AC$54&lt;&gt;"")*($AC$5:$AC$54&gt;$AC18))+1))</f>
        <v>8</v>
      </c>
    </row>
    <row r="19" spans="1:34" ht="21.75" x14ac:dyDescent="0.25">
      <c r="A19" s="217" cm="1">
        <f t="array" ref="A19">IFERROR(INDEX(_xlfn.ANCHORARRAY($P$6),ROW()-5,1),"")</f>
        <v>46130</v>
      </c>
      <c r="B19" s="344" t="str" cm="1">
        <f t="array" ref="B19">IFERROR(INDEX(_xlfn.ANCHORARRAY($P$6),ROW()-5,2),"")</f>
        <v/>
      </c>
      <c r="C19" s="345" t="str">
        <f>IF($A19="","",IF($J19="DIESEL",SUMIFS(Table1[Quantity],Table1[Customer],$M$3,Table1[Date],$A19,Table1[Bill No.],$B19),IF($J19="PETROL",SUMIFS(Table14[Quantity],Table14[Customer],$M$3,Table14[Date],$A19,Table14[Bill No.],$B19),IF($J19="XtraGreen",SUMIFS(Table146[Quantity],Table146[Company],$M$3,Table146[Date],$A19,Table146[Bill No.],$B19),""))))</f>
        <v/>
      </c>
      <c r="D19" s="346" t="str">
        <f>IF($A19="","",IF($J19="DIESEL",AVERAGEIFS(Table1[RSP],Table1[Customer],$M$3,Table1[Date],$A19,Table1[Bill No.],$B19),IF($J19="PETROL",AVERAGEIFS(Table14[RSP],Table14[Customer],$M$3,Table14[Date],$A19,Table14[Bill No.],$B19),IF($J19="XtraGreen",AVERAGEIFS(Table146[RSP],Table146[Company],$M$3,Table146[Date],$A19,Table146[Bill No.],$B19),IFERROR($E19/$C19,"")))))</f>
        <v/>
      </c>
      <c r="E19" s="347">
        <f>IF($A19="","",IF($J19="DIESEL",SUMIFS(Table1[Amount],Table1[Customer],$M$3,Table1[Date],$A19,Table1[Bill No.],$B19),IF($J19="PETROL",SUMIFS(Table14[Amount],Table14[Customer],$M$3,Table14[Date],$A19,Table14[Bill No.],$B19),IF($J19="XtraGreen",SUMIFS(Table146[Amount],Table146[Company],$M$3,Table146[Date],$A19,Table146[Bill No.],$B19),SUMIFS('Other Sale'!$D:$D,'Other Sale'!$E:$E,$M$3,'Other Sale'!$C:$C,$J19,'Other Sale'!$A:$A,$A19)))))</f>
        <v>0</v>
      </c>
      <c r="F19" s="347" cm="1">
        <f t="array" ref="F19">IF($A19="","",IF($J19="Payment",IFERROR(INDEX(_xlfn._xlws.FILTER(MasterPaid[Amount Paid],(MasterPaid[Customer]=$M$3)*(MasterPaid[Date]=$A19)),COUNTIFS($A$6:$A19,$A19,$J$6:$J19,"Payment")),0),0))</f>
        <v>278220</v>
      </c>
      <c r="G19" s="331"/>
      <c r="H19" s="427"/>
      <c r="I19" s="330">
        <f t="shared" si="9"/>
        <v>30345</v>
      </c>
      <c r="J19" s="344" t="str" cm="1">
        <f t="array" ref="J19">IFERROR(INDEX(_xlfn.ANCHORARRAY($P$6),ROW()-5,3),"")</f>
        <v>Payment</v>
      </c>
      <c r="K19" s="349"/>
      <c r="L19" s="348"/>
      <c r="M19" s="277"/>
      <c r="N19" s="277"/>
      <c r="O19" s="277"/>
      <c r="P19">
        <v>46130</v>
      </c>
      <c r="Q19" t="str">
        <v/>
      </c>
      <c r="R19" t="str">
        <v>Payment</v>
      </c>
      <c r="T19" s="438" t="s">
        <v>2628</v>
      </c>
      <c r="U19" s="350">
        <v>12000</v>
      </c>
      <c r="W19" s="316" t="str">
        <f t="shared" si="0"/>
        <v>O326248904</v>
      </c>
      <c r="X19" s="273">
        <f t="shared" si="1"/>
        <v>6000</v>
      </c>
      <c r="Y19" s="273">
        <f t="shared" si="2"/>
        <v>6000</v>
      </c>
      <c r="Z19" s="273">
        <f t="shared" si="3"/>
        <v>0</v>
      </c>
      <c r="AA19" s="316" t="str">
        <f t="shared" si="4"/>
        <v>Completed</v>
      </c>
      <c r="AC19" t="str" cm="1">
        <f t="array" ref="AC19">IF(INDEX($T$5:$T$54,ROW()-4)="","",INDEX($T$5:$T$54,ROW()-4))</f>
        <v>O326255619</v>
      </c>
      <c r="AD19">
        <f t="shared" si="5"/>
        <v>12000</v>
      </c>
      <c r="AE19">
        <f t="shared" si="6"/>
        <v>12000</v>
      </c>
      <c r="AF19">
        <f t="shared" si="7"/>
        <v>0</v>
      </c>
      <c r="AG19">
        <f t="shared" si="8"/>
        <v>0</v>
      </c>
      <c r="AH19" cm="1">
        <f t="array" ref="AH19">IF($AC19="","",IF($AG19=1,SUMPRODUCT(($AG$5:$AG$54=1)*($AC$5:$AC$54&gt;$AC19))+1,SUM($AG$5:$AG$54)+SUMPRODUCT(($AG$5:$AG$54=0)*($AC$5:$AC$54&lt;&gt;"")*($AC$5:$AC$54&gt;$AC19))+1))</f>
        <v>7</v>
      </c>
    </row>
    <row r="20" spans="1:34" ht="21.75" x14ac:dyDescent="0.25">
      <c r="A20" s="217" cm="1">
        <f t="array" ref="A20">IFERROR(INDEX(_xlfn.ANCHORARRAY($P$6),ROW()-5,1),"")</f>
        <v>46130</v>
      </c>
      <c r="B20" s="344" t="str" cm="1">
        <f t="array" ref="B20">IFERROR(INDEX(_xlfn.ANCHORARRAY($P$6),ROW()-5,2),"")</f>
        <v/>
      </c>
      <c r="C20" s="345" t="str">
        <f>IF($A20="","",IF($J20="DIESEL",SUMIFS(Table1[Quantity],Table1[Customer],$M$3,Table1[Date],$A20,Table1[Bill No.],$B20),IF($J20="PETROL",SUMIFS(Table14[Quantity],Table14[Customer],$M$3,Table14[Date],$A20,Table14[Bill No.],$B20),IF($J20="XtraGreen",SUMIFS(Table146[Quantity],Table146[Company],$M$3,Table146[Date],$A20,Table146[Bill No.],$B20),""))))</f>
        <v/>
      </c>
      <c r="D20" s="346" t="str">
        <f>IF($A20="","",IF($J20="DIESEL",AVERAGEIFS(Table1[RSP],Table1[Customer],$M$3,Table1[Date],$A20,Table1[Bill No.],$B20),IF($J20="PETROL",AVERAGEIFS(Table14[RSP],Table14[Customer],$M$3,Table14[Date],$A20,Table14[Bill No.],$B20),IF($J20="XtraGreen",AVERAGEIFS(Table146[RSP],Table146[Company],$M$3,Table146[Date],$A20,Table146[Bill No.],$B20),IFERROR($E20/$C20,"")))))</f>
        <v/>
      </c>
      <c r="E20" s="347">
        <f>IF($A20="","",IF($J20="DIESEL",SUMIFS(Table1[Amount],Table1[Customer],$M$3,Table1[Date],$A20,Table1[Bill No.],$B20),IF($J20="PETROL",SUMIFS(Table14[Amount],Table14[Customer],$M$3,Table14[Date],$A20,Table14[Bill No.],$B20),IF($J20="XtraGreen",SUMIFS(Table146[Amount],Table146[Company],$M$3,Table146[Date],$A20,Table146[Bill No.],$B20),SUMIFS('Other Sale'!$D:$D,'Other Sale'!$E:$E,$M$3,'Other Sale'!$C:$C,$J20,'Other Sale'!$A:$A,$A20)))))</f>
        <v>0</v>
      </c>
      <c r="F20" s="347" cm="1">
        <f t="array" ref="F20">IF($A20="","",IF($J20="Payment",IFERROR(INDEX(_xlfn._xlws.FILTER(MasterPaid[Amount Paid],(MasterPaid[Customer]=$M$3)*(MasterPaid[Date]=$A20)),COUNTIFS($A$6:$A20,$A20,$J$6:$J20,"Payment")),0),0))</f>
        <v>278220</v>
      </c>
      <c r="G20" s="331"/>
      <c r="H20" s="427"/>
      <c r="I20" s="330">
        <f t="shared" si="9"/>
        <v>-247875</v>
      </c>
      <c r="J20" s="344" t="str" cm="1">
        <f t="array" ref="J20">IFERROR(INDEX(_xlfn.ANCHORARRAY($P$6),ROW()-5,3),"")</f>
        <v>Payment</v>
      </c>
      <c r="K20" s="349"/>
      <c r="L20" s="348"/>
      <c r="M20" s="277"/>
      <c r="N20" s="277"/>
      <c r="O20" s="277"/>
      <c r="P20">
        <v>46130</v>
      </c>
      <c r="Q20" t="str">
        <v/>
      </c>
      <c r="R20" t="str">
        <v>Payment</v>
      </c>
      <c r="T20" s="438" t="s">
        <v>2667</v>
      </c>
      <c r="U20" s="350">
        <v>24000</v>
      </c>
      <c r="W20" s="316" t="str">
        <f t="shared" si="0"/>
        <v>O326248753</v>
      </c>
      <c r="X20" s="273">
        <f t="shared" si="1"/>
        <v>3000</v>
      </c>
      <c r="Y20" s="273">
        <f t="shared" si="2"/>
        <v>3000</v>
      </c>
      <c r="Z20" s="273">
        <f t="shared" si="3"/>
        <v>0</v>
      </c>
      <c r="AA20" s="316" t="str">
        <f t="shared" si="4"/>
        <v>Completed</v>
      </c>
      <c r="AC20" t="str" cm="1">
        <f t="array" ref="AC20">IF(INDEX($T$5:$T$54,ROW()-4)="","",INDEX($T$5:$T$54,ROW()-4))</f>
        <v>O326255760</v>
      </c>
      <c r="AD20">
        <f t="shared" si="5"/>
        <v>24000</v>
      </c>
      <c r="AE20">
        <f t="shared" si="6"/>
        <v>24000</v>
      </c>
      <c r="AF20">
        <f t="shared" si="7"/>
        <v>0</v>
      </c>
      <c r="AG20">
        <f t="shared" si="8"/>
        <v>0</v>
      </c>
      <c r="AH20" cm="1">
        <f t="array" ref="AH20">IF($AC20="","",IF($AG20=1,SUMPRODUCT(($AG$5:$AG$54=1)*($AC$5:$AC$54&gt;$AC20))+1,SUM($AG$5:$AG$54)+SUMPRODUCT(($AG$5:$AG$54=0)*($AC$5:$AC$54&lt;&gt;"")*($AC$5:$AC$54&gt;$AC20))+1))</f>
        <v>6</v>
      </c>
    </row>
    <row r="21" spans="1:34" ht="21.75" x14ac:dyDescent="0.25">
      <c r="A21" s="217" cm="1">
        <f t="array" ref="A21">IFERROR(INDEX(_xlfn.ANCHORARRAY($P$6),ROW()-5,1),"")</f>
        <v>46131</v>
      </c>
      <c r="B21" s="344" t="str" cm="1">
        <f t="array" ref="B21">IFERROR(INDEX(_xlfn.ANCHORARRAY($P$6),ROW()-5,2),"")</f>
        <v>257</v>
      </c>
      <c r="C21" s="345">
        <f>IF($A21="","",IF($J21="DIESEL",SUMIFS(Table1[Quantity],Table1[Customer],$M$3,Table1[Date],$A21,Table1[Bill No.],$B21),IF($J21="PETROL",SUMIFS(Table14[Quantity],Table14[Customer],$M$3,Table14[Date],$A21,Table14[Bill No.],$B21),IF($J21="XtraGreen",SUMIFS(Table146[Quantity],Table146[Company],$M$3,Table146[Date],$A21,Table146[Bill No.],$B21),""))))</f>
        <v>8000</v>
      </c>
      <c r="D21" s="346">
        <f>IF($A21="","",IF($J21="DIESEL",AVERAGEIFS(Table1[RSP],Table1[Customer],$M$3,Table1[Date],$A21,Table1[Bill No.],$B21),IF($J21="PETROL",AVERAGEIFS(Table14[RSP],Table14[Customer],$M$3,Table14[Date],$A21,Table14[Bill No.],$B21),IF($J21="XtraGreen",AVERAGEIFS(Table146[RSP],Table146[Company],$M$3,Table146[Date],$A21,Table146[Bill No.],$B21),IFERROR($E21/$C21,"")))))</f>
        <v>92.74</v>
      </c>
      <c r="E21" s="347">
        <f>IF($A21="","",IF($J21="DIESEL",SUMIFS(Table1[Amount],Table1[Customer],$M$3,Table1[Date],$A21,Table1[Bill No.],$B21),IF($J21="PETROL",SUMIFS(Table14[Amount],Table14[Customer],$M$3,Table14[Date],$A21,Table14[Bill No.],$B21),IF($J21="XtraGreen",SUMIFS(Table146[Amount],Table146[Company],$M$3,Table146[Date],$A21,Table146[Bill No.],$B21),SUMIFS('Other Sale'!$D:$D,'Other Sale'!$E:$E,$M$3,'Other Sale'!$C:$C,$J21,'Other Sale'!$A:$A,$A21)))))</f>
        <v>741920</v>
      </c>
      <c r="F21" s="347" cm="1">
        <f t="array" ref="F21">IF($A21="","",IF($J21="Payment",IFERROR(INDEX(_xlfn._xlws.FILTER(MasterPaid[Amount Paid],(MasterPaid[Customer]=$M$3)*(MasterPaid[Date]=$A21)),COUNTIFS($A$6:$A21,$A21,$J$6:$J21,"Payment")),0),0))</f>
        <v>0</v>
      </c>
      <c r="G21" s="331"/>
      <c r="H21" s="427"/>
      <c r="I21" s="330">
        <f t="shared" si="9"/>
        <v>494045</v>
      </c>
      <c r="J21" s="344" t="str" cm="1">
        <f t="array" ref="J21">IFERROR(INDEX(_xlfn.ANCHORARRAY($P$6),ROW()-5,3),"")</f>
        <v>DIESEL</v>
      </c>
      <c r="K21" s="349" t="s">
        <v>2719</v>
      </c>
      <c r="L21" s="348"/>
      <c r="M21" s="277"/>
      <c r="N21" s="277"/>
      <c r="O21" s="277"/>
      <c r="P21">
        <v>46131</v>
      </c>
      <c r="Q21" t="str">
        <v>257</v>
      </c>
      <c r="R21" t="str">
        <v>DIESEL</v>
      </c>
      <c r="T21" s="439" t="s">
        <v>2832</v>
      </c>
      <c r="U21" s="350">
        <v>36000</v>
      </c>
      <c r="W21" s="316" t="str">
        <f t="shared" si="0"/>
        <v>O326248270</v>
      </c>
      <c r="X21" s="273">
        <f t="shared" si="1"/>
        <v>4000</v>
      </c>
      <c r="Y21" s="273">
        <f t="shared" si="2"/>
        <v>4000</v>
      </c>
      <c r="Z21" s="273">
        <f t="shared" si="3"/>
        <v>0</v>
      </c>
      <c r="AA21" s="316" t="str">
        <f t="shared" si="4"/>
        <v>Completed</v>
      </c>
      <c r="AC21" t="str" cm="1">
        <f t="array" ref="AC21">IF(INDEX($T$5:$T$54,ROW()-4)="","",INDEX($T$5:$T$54,ROW()-4))</f>
        <v>O326256319</v>
      </c>
      <c r="AD21">
        <f t="shared" si="5"/>
        <v>36000</v>
      </c>
      <c r="AE21">
        <f t="shared" si="6"/>
        <v>36000</v>
      </c>
      <c r="AF21">
        <f t="shared" si="7"/>
        <v>0</v>
      </c>
      <c r="AG21">
        <f t="shared" si="8"/>
        <v>0</v>
      </c>
      <c r="AH21" cm="1">
        <f t="array" ref="AH21">IF($AC21="","",IF($AG21=1,SUMPRODUCT(($AG$5:$AG$54=1)*($AC$5:$AC$54&gt;$AC21))+1,SUM($AG$5:$AG$54)+SUMPRODUCT(($AG$5:$AG$54=0)*($AC$5:$AC$54&lt;&gt;"")*($AC$5:$AC$54&gt;$AC21))+1))</f>
        <v>5</v>
      </c>
    </row>
    <row r="22" spans="1:34" ht="21.75" x14ac:dyDescent="0.25">
      <c r="A22" s="217" cm="1">
        <f t="array" ref="A22">IFERROR(INDEX(_xlfn.ANCHORARRAY($P$6),ROW()-5,1),"")</f>
        <v>46133</v>
      </c>
      <c r="B22" s="344" t="str" cm="1">
        <f t="array" ref="B22">IFERROR(INDEX(_xlfn.ANCHORARRAY($P$6),ROW()-5,2),"")</f>
        <v/>
      </c>
      <c r="C22" s="345" t="str">
        <f>IF($A22="","",IF($J22="DIESEL",SUMIFS(Table1[Quantity],Table1[Customer],$M$3,Table1[Date],$A22,Table1[Bill No.],$B22),IF($J22="PETROL",SUMIFS(Table14[Quantity],Table14[Customer],$M$3,Table14[Date],$A22,Table14[Bill No.],$B22),IF($J22="XtraGreen",SUMIFS(Table146[Quantity],Table146[Company],$M$3,Table146[Date],$A22,Table146[Bill No.],$B22),""))))</f>
        <v/>
      </c>
      <c r="D22" s="346" t="str">
        <f>IF($A22="","",IF($J22="DIESEL",AVERAGEIFS(Table1[RSP],Table1[Customer],$M$3,Table1[Date],$A22,Table1[Bill No.],$B22),IF($J22="PETROL",AVERAGEIFS(Table14[RSP],Table14[Customer],$M$3,Table14[Date],$A22,Table14[Bill No.],$B22),IF($J22="XtraGreen",AVERAGEIFS(Table146[RSP],Table146[Company],$M$3,Table146[Date],$A22,Table146[Bill No.],$B22),IFERROR($E22/$C22,"")))))</f>
        <v/>
      </c>
      <c r="E22" s="347">
        <f>IF($A22="","",IF($J22="DIESEL",SUMIFS(Table1[Amount],Table1[Customer],$M$3,Table1[Date],$A22,Table1[Bill No.],$B22),IF($J22="PETROL",SUMIFS(Table14[Amount],Table14[Customer],$M$3,Table14[Date],$A22,Table14[Bill No.],$B22),IF($J22="XtraGreen",SUMIFS(Table146[Amount],Table146[Company],$M$3,Table146[Date],$A22,Table146[Bill No.],$B22),SUMIFS('Other Sale'!$D:$D,'Other Sale'!$E:$E,$M$3,'Other Sale'!$C:$C,$J22,'Other Sale'!$A:$A,$A22)))))</f>
        <v>0</v>
      </c>
      <c r="F22" s="347" cm="1">
        <f t="array" ref="F22">IF($A22="","",IF($J22="Payment",IFERROR(INDEX(_xlfn._xlws.FILTER(MasterPaid[Amount Paid],(MasterPaid[Customer]=$M$3)*(MasterPaid[Date]=$A22)),COUNTIFS($A$6:$A22,$A22,$J$6:$J22,"Payment")),0),0))</f>
        <v>463700</v>
      </c>
      <c r="G22" s="331"/>
      <c r="H22" s="427"/>
      <c r="I22" s="330">
        <f t="shared" si="9"/>
        <v>30345</v>
      </c>
      <c r="J22" s="344" t="str" cm="1">
        <f t="array" ref="J22">IFERROR(INDEX(_xlfn.ANCHORARRAY($P$6),ROW()-5,3),"")</f>
        <v>Payment</v>
      </c>
      <c r="K22" s="349"/>
      <c r="L22" s="348"/>
      <c r="M22" s="277"/>
      <c r="N22" s="277"/>
      <c r="O22" s="277"/>
      <c r="P22">
        <v>46133</v>
      </c>
      <c r="Q22" t="str">
        <v/>
      </c>
      <c r="R22" t="str">
        <v>Payment</v>
      </c>
      <c r="T22" s="439" t="s">
        <v>3014</v>
      </c>
      <c r="U22" s="350">
        <v>36000</v>
      </c>
      <c r="W22" s="316" t="str">
        <f t="shared" si="0"/>
        <v>O326247743</v>
      </c>
      <c r="X22" s="273">
        <f t="shared" si="1"/>
        <v>3000</v>
      </c>
      <c r="Y22" s="273">
        <f t="shared" si="2"/>
        <v>3000</v>
      </c>
      <c r="Z22" s="273">
        <f t="shared" si="3"/>
        <v>0</v>
      </c>
      <c r="AA22" s="316" t="str">
        <f t="shared" si="4"/>
        <v>Completed</v>
      </c>
      <c r="AC22" t="str" cm="1">
        <f t="array" ref="AC22">IF(INDEX($T$5:$T$54,ROW()-4)="","",INDEX($T$5:$T$54,ROW()-4))</f>
        <v>O326257337</v>
      </c>
      <c r="AD22">
        <f t="shared" si="5"/>
        <v>36000</v>
      </c>
      <c r="AE22">
        <f t="shared" si="6"/>
        <v>36000</v>
      </c>
      <c r="AF22">
        <f t="shared" si="7"/>
        <v>0</v>
      </c>
      <c r="AG22">
        <f t="shared" si="8"/>
        <v>0</v>
      </c>
      <c r="AH22" cm="1">
        <f t="array" ref="AH22">IF($AC22="","",IF($AG22=1,SUMPRODUCT(($AG$5:$AG$54=1)*($AC$5:$AC$54&gt;$AC22))+1,SUM($AG$5:$AG$54)+SUMPRODUCT(($AG$5:$AG$54=0)*($AC$5:$AC$54&lt;&gt;"")*($AC$5:$AC$54&gt;$AC22))+1))</f>
        <v>4</v>
      </c>
    </row>
    <row r="23" spans="1:34" ht="21.75" x14ac:dyDescent="0.25">
      <c r="A23" s="217" cm="1">
        <f t="array" ref="A23">IFERROR(INDEX(_xlfn.ANCHORARRAY($P$6),ROW()-5,1),"")</f>
        <v>46134</v>
      </c>
      <c r="B23" s="344" t="str" cm="1">
        <f t="array" ref="B23">IFERROR(INDEX(_xlfn.ANCHORARRAY($P$6),ROW()-5,2),"")</f>
        <v>292</v>
      </c>
      <c r="C23" s="345">
        <f>IF($A23="","",IF($J23="DIESEL",SUMIFS(Table1[Quantity],Table1[Customer],$M$3,Table1[Date],$A23,Table1[Bill No.],$B23),IF($J23="PETROL",SUMIFS(Table14[Quantity],Table14[Customer],$M$3,Table14[Date],$A23,Table14[Bill No.],$B23),IF($J23="XtraGreen",SUMIFS(Table146[Quantity],Table146[Company],$M$3,Table146[Date],$A23,Table146[Bill No.],$B23),""))))</f>
        <v>3000</v>
      </c>
      <c r="D23" s="346">
        <f>IF($A23="","",IF($J23="DIESEL",AVERAGEIFS(Table1[RSP],Table1[Customer],$M$3,Table1[Date],$A23,Table1[Bill No.],$B23),IF($J23="PETROL",AVERAGEIFS(Table14[RSP],Table14[Customer],$M$3,Table14[Date],$A23,Table14[Bill No.],$B23),IF($J23="XtraGreen",AVERAGEIFS(Table146[RSP],Table146[Company],$M$3,Table146[Date],$A23,Table146[Bill No.],$B23),IFERROR($E23/$C23,"")))))</f>
        <v>92.74</v>
      </c>
      <c r="E23" s="347">
        <f>IF($A23="","",IF($J23="DIESEL",SUMIFS(Table1[Amount],Table1[Customer],$M$3,Table1[Date],$A23,Table1[Bill No.],$B23),IF($J23="PETROL",SUMIFS(Table14[Amount],Table14[Customer],$M$3,Table14[Date],$A23,Table14[Bill No.],$B23),IF($J23="XtraGreen",SUMIFS(Table146[Amount],Table146[Company],$M$3,Table146[Date],$A23,Table146[Bill No.],$B23),SUMIFS('Other Sale'!$D:$D,'Other Sale'!$E:$E,$M$3,'Other Sale'!$C:$C,$J23,'Other Sale'!$A:$A,$A23)))))</f>
        <v>278220</v>
      </c>
      <c r="F23" s="347" cm="1">
        <f t="array" ref="F23">IF($A23="","",IF($J23="Payment",IFERROR(INDEX(_xlfn._xlws.FILTER(MasterPaid[Amount Paid],(MasterPaid[Customer]=$M$3)*(MasterPaid[Date]=$A23)),COUNTIFS($A$6:$A23,$A23,$J$6:$J23,"Payment")),0),0))</f>
        <v>0</v>
      </c>
      <c r="G23" s="331"/>
      <c r="H23" s="427"/>
      <c r="I23" s="330">
        <f t="shared" si="9"/>
        <v>308565</v>
      </c>
      <c r="J23" s="344" t="str" cm="1">
        <f t="array" ref="J23">IFERROR(INDEX(_xlfn.ANCHORARRAY($P$6),ROW()-5,3),"")</f>
        <v>DIESEL</v>
      </c>
      <c r="K23" s="349" t="s">
        <v>2719</v>
      </c>
      <c r="L23" s="348"/>
      <c r="M23" s="277"/>
      <c r="N23" s="277"/>
      <c r="O23" s="277"/>
      <c r="P23">
        <v>46134</v>
      </c>
      <c r="Q23" t="str">
        <v>292</v>
      </c>
      <c r="R23" t="str">
        <v>DIESEL</v>
      </c>
      <c r="T23" s="439" t="s">
        <v>3199</v>
      </c>
      <c r="U23" s="350">
        <v>24000</v>
      </c>
      <c r="W23" s="316" t="str">
        <f t="shared" si="0"/>
        <v>O326244191</v>
      </c>
      <c r="X23" s="273">
        <f t="shared" si="1"/>
        <v>41000</v>
      </c>
      <c r="Y23" s="273">
        <f t="shared" si="2"/>
        <v>41000</v>
      </c>
      <c r="Z23" s="273">
        <f t="shared" si="3"/>
        <v>0</v>
      </c>
      <c r="AA23" s="316" t="str">
        <f t="shared" si="4"/>
        <v>Completed</v>
      </c>
      <c r="AC23" t="str" cm="1">
        <f t="array" ref="AC23">IF(INDEX($T$5:$T$54,ROW()-4)="","",INDEX($T$5:$T$54,ROW()-4))</f>
        <v>O326258326</v>
      </c>
      <c r="AD23">
        <f t="shared" si="5"/>
        <v>24000</v>
      </c>
      <c r="AE23">
        <f t="shared" si="6"/>
        <v>24000</v>
      </c>
      <c r="AF23">
        <f t="shared" si="7"/>
        <v>0</v>
      </c>
      <c r="AG23">
        <f t="shared" si="8"/>
        <v>0</v>
      </c>
      <c r="AH23" cm="1">
        <f t="array" ref="AH23">IF($AC23="","",IF($AG23=1,SUMPRODUCT(($AG$5:$AG$54=1)*($AC$5:$AC$54&gt;$AC23))+1,SUM($AG$5:$AG$54)+SUMPRODUCT(($AG$5:$AG$54=0)*($AC$5:$AC$54&lt;&gt;"")*($AC$5:$AC$54&gt;$AC23))+1))</f>
        <v>3</v>
      </c>
    </row>
    <row r="24" spans="1:34" ht="21.75" x14ac:dyDescent="0.25">
      <c r="A24" s="217" cm="1">
        <f t="array" ref="A24">IFERROR(INDEX(_xlfn.ANCHORARRAY($P$6),ROW()-5,1),"")</f>
        <v>46136</v>
      </c>
      <c r="B24" s="344" t="str" cm="1">
        <f t="array" ref="B24">IFERROR(INDEX(_xlfn.ANCHORARRAY($P$6),ROW()-5,2),"")</f>
        <v>316</v>
      </c>
      <c r="C24" s="345">
        <f>IF($A24="","",IF($J24="DIESEL",SUMIFS(Table1[Quantity],Table1[Customer],$M$3,Table1[Date],$A24,Table1[Bill No.],$B24),IF($J24="PETROL",SUMIFS(Table14[Quantity],Table14[Customer],$M$3,Table14[Date],$A24,Table14[Bill No.],$B24),IF($J24="XtraGreen",SUMIFS(Table146[Quantity],Table146[Company],$M$3,Table146[Date],$A24,Table146[Bill No.],$B24),""))))</f>
        <v>1000</v>
      </c>
      <c r="D24" s="346">
        <f>IF($A24="","",IF($J24="DIESEL",AVERAGEIFS(Table1[RSP],Table1[Customer],$M$3,Table1[Date],$A24,Table1[Bill No.],$B24),IF($J24="PETROL",AVERAGEIFS(Table14[RSP],Table14[Customer],$M$3,Table14[Date],$A24,Table14[Bill No.],$B24),IF($J24="XtraGreen",AVERAGEIFS(Table146[RSP],Table146[Company],$M$3,Table146[Date],$A24,Table146[Bill No.],$B24),IFERROR($E24/$C24,"")))))</f>
        <v>92.74</v>
      </c>
      <c r="E24" s="347">
        <f>IF($A24="","",IF($J24="DIESEL",SUMIFS(Table1[Amount],Table1[Customer],$M$3,Table1[Date],$A24,Table1[Bill No.],$B24),IF($J24="PETROL",SUMIFS(Table14[Amount],Table14[Customer],$M$3,Table14[Date],$A24,Table14[Bill No.],$B24),IF($J24="XtraGreen",SUMIFS(Table146[Amount],Table146[Company],$M$3,Table146[Date],$A24,Table146[Bill No.],$B24),SUMIFS('Other Sale'!$D:$D,'Other Sale'!$E:$E,$M$3,'Other Sale'!$C:$C,$J24,'Other Sale'!$A:$A,$A24)))))</f>
        <v>92740</v>
      </c>
      <c r="F24" s="347" cm="1">
        <f t="array" ref="F24">IF($A24="","",IF($J24="Payment",IFERROR(INDEX(_xlfn._xlws.FILTER(MasterPaid[Amount Paid],(MasterPaid[Customer]=$M$3)*(MasterPaid[Date]=$A24)),COUNTIFS($A$6:$A24,$A24,$J$6:$J24,"Payment")),0),0))</f>
        <v>0</v>
      </c>
      <c r="G24" s="331"/>
      <c r="H24" s="427"/>
      <c r="I24" s="330">
        <f t="shared" si="9"/>
        <v>401305</v>
      </c>
      <c r="J24" s="344" t="str" cm="1">
        <f t="array" ref="J24">IFERROR(INDEX(_xlfn.ANCHORARRAY($P$6),ROW()-5,3),"")</f>
        <v>DIESEL</v>
      </c>
      <c r="K24" s="349" t="s">
        <v>2719</v>
      </c>
      <c r="L24" s="348"/>
      <c r="M24" s="277"/>
      <c r="N24" s="277"/>
      <c r="O24" s="277"/>
      <c r="P24">
        <v>46136</v>
      </c>
      <c r="Q24" t="str">
        <v>316</v>
      </c>
      <c r="R24" t="str">
        <v>DIESEL</v>
      </c>
      <c r="T24" s="439" t="s">
        <v>3424</v>
      </c>
      <c r="U24" s="350">
        <v>36000</v>
      </c>
      <c r="W24" s="316" t="str">
        <f t="shared" si="0"/>
        <v>O326243798</v>
      </c>
      <c r="X24" s="273">
        <f t="shared" si="1"/>
        <v>15000</v>
      </c>
      <c r="Y24" s="273">
        <f t="shared" si="2"/>
        <v>15000</v>
      </c>
      <c r="Z24" s="273">
        <f t="shared" si="3"/>
        <v>0</v>
      </c>
      <c r="AA24" s="316" t="str">
        <f t="shared" si="4"/>
        <v>Completed</v>
      </c>
      <c r="AC24" t="str" cm="1">
        <f t="array" ref="AC24">IF(INDEX($T$5:$T$54,ROW()-4)="","",INDEX($T$5:$T$54,ROW()-4))</f>
        <v>O326259113</v>
      </c>
      <c r="AD24">
        <f t="shared" si="5"/>
        <v>36000</v>
      </c>
      <c r="AE24">
        <f t="shared" si="6"/>
        <v>36000</v>
      </c>
      <c r="AF24">
        <f t="shared" si="7"/>
        <v>0</v>
      </c>
      <c r="AG24">
        <f t="shared" si="8"/>
        <v>0</v>
      </c>
      <c r="AH24" cm="1">
        <f t="array" ref="AH24">IF($AC24="","",IF($AG24=1,SUMPRODUCT(($AG$5:$AG$54=1)*($AC$5:$AC$54&gt;$AC24))+1,SUM($AG$5:$AG$54)+SUMPRODUCT(($AG$5:$AG$54=0)*($AC$5:$AC$54&lt;&gt;"")*($AC$5:$AC$54&gt;$AC24))+1))</f>
        <v>2</v>
      </c>
    </row>
    <row r="25" spans="1:34" ht="21.75" customHeight="1" x14ac:dyDescent="0.25">
      <c r="A25" s="217" cm="1">
        <f t="array" ref="A25">IFERROR(INDEX(_xlfn.ANCHORARRAY($P$6),ROW()-5,1),"")</f>
        <v>46136</v>
      </c>
      <c r="B25" s="344" t="str" cm="1">
        <f t="array" ref="B25">IFERROR(INDEX(_xlfn.ANCHORARRAY($P$6),ROW()-5,2),"")</f>
        <v>317</v>
      </c>
      <c r="C25" s="345">
        <f>IF($A25="","",IF($J25="DIESEL",SUMIFS(Table1[Quantity],Table1[Customer],$M$3,Table1[Date],$A25,Table1[Bill No.],$B25),IF($J25="PETROL",SUMIFS(Table14[Quantity],Table14[Customer],$M$3,Table14[Date],$A25,Table14[Bill No.],$B25),IF($J25="XtraGreen",SUMIFS(Table146[Quantity],Table146[Company],$M$3,Table146[Date],$A25,Table146[Bill No.],$B25),""))))</f>
        <v>2000</v>
      </c>
      <c r="D25" s="346">
        <f>IF($A25="","",IF($J25="DIESEL",AVERAGEIFS(Table1[RSP],Table1[Customer],$M$3,Table1[Date],$A25,Table1[Bill No.],$B25),IF($J25="PETROL",AVERAGEIFS(Table14[RSP],Table14[Customer],$M$3,Table14[Date],$A25,Table14[Bill No.],$B25),IF($J25="XtraGreen",AVERAGEIFS(Table146[RSP],Table146[Company],$M$3,Table146[Date],$A25,Table146[Bill No.],$B25),IFERROR($E25/$C25,"")))))</f>
        <v>92.74</v>
      </c>
      <c r="E25" s="347">
        <f>IF($A25="","",IF($J25="DIESEL",SUMIFS(Table1[Amount],Table1[Customer],$M$3,Table1[Date],$A25,Table1[Bill No.],$B25),IF($J25="PETROL",SUMIFS(Table14[Amount],Table14[Customer],$M$3,Table14[Date],$A25,Table14[Bill No.],$B25),IF($J25="XtraGreen",SUMIFS(Table146[Amount],Table146[Company],$M$3,Table146[Date],$A25,Table146[Bill No.],$B25),SUMIFS('Other Sale'!$D:$D,'Other Sale'!$E:$E,$M$3,'Other Sale'!$C:$C,$J25,'Other Sale'!$A:$A,$A25)))))</f>
        <v>185480</v>
      </c>
      <c r="F25" s="347" cm="1">
        <f t="array" ref="F25">IF($A25="","",IF($J25="Payment",IFERROR(INDEX(_xlfn._xlws.FILTER(MasterPaid[Amount Paid],(MasterPaid[Customer]=$M$3)*(MasterPaid[Date]=$A25)),COUNTIFS($A$6:$A25,$A25,$J$6:$J25,"Payment")),0),0))</f>
        <v>0</v>
      </c>
      <c r="G25" s="331"/>
      <c r="H25" s="427"/>
      <c r="I25" s="330">
        <f t="shared" si="9"/>
        <v>586785</v>
      </c>
      <c r="J25" s="344" t="str" cm="1">
        <f t="array" ref="J25">IFERROR(INDEX(_xlfn.ANCHORARRAY($P$6),ROW()-5,3),"")</f>
        <v>DIESEL</v>
      </c>
      <c r="K25" s="349" t="s">
        <v>2720</v>
      </c>
      <c r="L25" s="348"/>
      <c r="M25" s="277"/>
      <c r="N25" s="277"/>
      <c r="O25" s="277"/>
      <c r="P25">
        <v>46136</v>
      </c>
      <c r="Q25" t="str">
        <v>317</v>
      </c>
      <c r="R25" t="str">
        <v>DIESEL</v>
      </c>
      <c r="T25" s="439" t="s">
        <v>3621</v>
      </c>
      <c r="U25" s="350">
        <v>36000</v>
      </c>
      <c r="W25" s="316" t="str">
        <f t="shared" si="0"/>
        <v>O326242041</v>
      </c>
      <c r="X25" s="273">
        <f t="shared" si="1"/>
        <v>15000</v>
      </c>
      <c r="Y25" s="273">
        <f t="shared" si="2"/>
        <v>15000</v>
      </c>
      <c r="Z25" s="273">
        <f t="shared" si="3"/>
        <v>0</v>
      </c>
      <c r="AA25" s="316" t="str">
        <f t="shared" si="4"/>
        <v>Completed</v>
      </c>
      <c r="AC25" t="str" cm="1">
        <f t="array" ref="AC25">IF(INDEX($T$5:$T$54,ROW()-4)="","",INDEX($T$5:$T$54,ROW()-4))</f>
        <v>O326259893</v>
      </c>
      <c r="AD25">
        <f t="shared" si="5"/>
        <v>36000</v>
      </c>
      <c r="AE25">
        <f t="shared" si="6"/>
        <v>36000</v>
      </c>
      <c r="AF25">
        <f t="shared" si="7"/>
        <v>0</v>
      </c>
      <c r="AG25">
        <f t="shared" si="8"/>
        <v>0</v>
      </c>
      <c r="AH25" cm="1">
        <f t="array" ref="AH25">IF($AC25="","",IF($AG25=1,SUMPRODUCT(($AG$5:$AG$54=1)*($AC$5:$AC$54&gt;$AC25))+1,SUM($AG$5:$AG$54)+SUMPRODUCT(($AG$5:$AG$54=0)*($AC$5:$AC$54&lt;&gt;"")*($AC$5:$AC$54&gt;$AC25))+1))</f>
        <v>1</v>
      </c>
    </row>
    <row r="26" spans="1:34" ht="21.75" x14ac:dyDescent="0.25">
      <c r="A26" s="217" cm="1">
        <f t="array" ref="A26">IFERROR(INDEX(_xlfn.ANCHORARRAY($P$6),ROW()-5,1),"")</f>
        <v>46136</v>
      </c>
      <c r="B26" s="344" t="str" cm="1">
        <f t="array" ref="B26">IFERROR(INDEX(_xlfn.ANCHORARRAY($P$6),ROW()-5,2),"")</f>
        <v/>
      </c>
      <c r="C26" s="345" t="str">
        <f>IF($A26="","",IF($J26="DIESEL",SUMIFS(Table1[Quantity],Table1[Customer],$M$3,Table1[Date],$A26,Table1[Bill No.],$B26),IF($J26="PETROL",SUMIFS(Table14[Quantity],Table14[Customer],$M$3,Table14[Date],$A26,Table14[Bill No.],$B26),IF($J26="XtraGreen",SUMIFS(Table146[Quantity],Table146[Company],$M$3,Table146[Date],$A26,Table146[Bill No.],$B26),""))))</f>
        <v/>
      </c>
      <c r="D26" s="346" t="str">
        <f>IF($A26="","",IF($J26="DIESEL",AVERAGEIFS(Table1[RSP],Table1[Customer],$M$3,Table1[Date],$A26,Table1[Bill No.],$B26),IF($J26="PETROL",AVERAGEIFS(Table14[RSP],Table14[Customer],$M$3,Table14[Date],$A26,Table14[Bill No.],$B26),IF($J26="XtraGreen",AVERAGEIFS(Table146[RSP],Table146[Company],$M$3,Table146[Date],$A26,Table146[Bill No.],$B26),IFERROR($E26/$C26,"")))))</f>
        <v/>
      </c>
      <c r="E26" s="347">
        <f>IF($A26="","",IF($J26="DIESEL",SUMIFS(Table1[Amount],Table1[Customer],$M$3,Table1[Date],$A26,Table1[Bill No.],$B26),IF($J26="PETROL",SUMIFS(Table14[Amount],Table14[Customer],$M$3,Table14[Date],$A26,Table14[Bill No.],$B26),IF($J26="XtraGreen",SUMIFS(Table146[Amount],Table146[Company],$M$3,Table146[Date],$A26,Table146[Bill No.],$B26),SUMIFS('Other Sale'!$D:$D,'Other Sale'!$E:$E,$M$3,'Other Sale'!$C:$C,$J26,'Other Sale'!$A:$A,$A26)))))</f>
        <v>0</v>
      </c>
      <c r="F26" s="347" cm="1">
        <f t="array" ref="F26">IF($A26="","",IF($J26="Payment",IFERROR(INDEX(_xlfn._xlws.FILTER(MasterPaid[Amount Paid],(MasterPaid[Customer]=$M$3)*(MasterPaid[Date]=$A26)),COUNTIFS($A$6:$A26,$A26,$J$6:$J26,"Payment")),0),0))</f>
        <v>278220</v>
      </c>
      <c r="G26" s="331"/>
      <c r="H26" s="427"/>
      <c r="I26" s="330">
        <f t="shared" si="9"/>
        <v>308565</v>
      </c>
      <c r="J26" s="344" t="str" cm="1">
        <f t="array" ref="J26">IFERROR(INDEX(_xlfn.ANCHORARRAY($P$6),ROW()-5,3),"")</f>
        <v>Payment</v>
      </c>
      <c r="K26" s="349"/>
      <c r="L26" s="348"/>
      <c r="M26" s="277"/>
      <c r="N26" s="277"/>
      <c r="O26" s="277"/>
      <c r="P26">
        <v>46136</v>
      </c>
      <c r="Q26" t="str">
        <v/>
      </c>
      <c r="R26" t="str">
        <v>Payment</v>
      </c>
      <c r="T26" s="439" t="s">
        <v>3805</v>
      </c>
      <c r="U26" s="350">
        <v>36000</v>
      </c>
      <c r="W26" s="316" t="str">
        <f t="shared" si="0"/>
        <v>O326211096</v>
      </c>
      <c r="X26" s="273">
        <f t="shared" si="1"/>
        <v>36000</v>
      </c>
      <c r="Y26" s="273">
        <f t="shared" si="2"/>
        <v>36000</v>
      </c>
      <c r="Z26" s="273">
        <f t="shared" si="3"/>
        <v>0</v>
      </c>
      <c r="AA26" s="316" t="str">
        <f t="shared" si="4"/>
        <v>Completed</v>
      </c>
      <c r="AC26" t="str" cm="1">
        <f t="array" ref="AC26">IF(INDEX($T$5:$T$54,ROW()-4)="","",INDEX($T$5:$T$54,ROW()-4))</f>
        <v>O326211096</v>
      </c>
      <c r="AD26">
        <f t="shared" si="5"/>
        <v>36000</v>
      </c>
      <c r="AE26">
        <f t="shared" si="6"/>
        <v>36000</v>
      </c>
      <c r="AF26">
        <f t="shared" si="7"/>
        <v>0</v>
      </c>
      <c r="AG26">
        <f t="shared" si="8"/>
        <v>0</v>
      </c>
      <c r="AH26" cm="1">
        <f t="array" ref="AH26">IF($AC26="","",IF($AG26=1,SUMPRODUCT(($AG$5:$AG$54=1)*($AC$5:$AC$54&gt;$AC26))+1,SUM($AG$5:$AG$54)+SUMPRODUCT(($AG$5:$AG$54=0)*($AC$5:$AC$54&lt;&gt;"")*($AC$5:$AC$54&gt;$AC26))+1))</f>
        <v>22</v>
      </c>
    </row>
    <row r="27" spans="1:34" ht="21.75" x14ac:dyDescent="0.25">
      <c r="A27" s="217" cm="1">
        <f t="array" ref="A27">IFERROR(INDEX(_xlfn.ANCHORARRAY($P$6),ROW()-5,1),"")</f>
        <v>46136</v>
      </c>
      <c r="B27" s="344" t="str" cm="1">
        <f t="array" ref="B27">IFERROR(INDEX(_xlfn.ANCHORARRAY($P$6),ROW()-5,2),"")</f>
        <v/>
      </c>
      <c r="C27" s="345" t="str">
        <f>IF($A27="","",IF($J27="DIESEL",SUMIFS(Table1[Quantity],Table1[Customer],$M$3,Table1[Date],$A27,Table1[Bill No.],$B27),IF($J27="PETROL",SUMIFS(Table14[Quantity],Table14[Customer],$M$3,Table14[Date],$A27,Table14[Bill No.],$B27),IF($J27="XtraGreen",SUMIFS(Table146[Quantity],Table146[Company],$M$3,Table146[Date],$A27,Table146[Bill No.],$B27),""))))</f>
        <v/>
      </c>
      <c r="D27" s="346" t="str">
        <f>IF($A27="","",IF($J27="DIESEL",AVERAGEIFS(Table1[RSP],Table1[Customer],$M$3,Table1[Date],$A27,Table1[Bill No.],$B27),IF($J27="PETROL",AVERAGEIFS(Table14[RSP],Table14[Customer],$M$3,Table14[Date],$A27,Table14[Bill No.],$B27),IF($J27="XtraGreen",AVERAGEIFS(Table146[RSP],Table146[Company],$M$3,Table146[Date],$A27,Table146[Bill No.],$B27),IFERROR($E27/$C27,"")))))</f>
        <v/>
      </c>
      <c r="E27" s="347">
        <f>IF($A27="","",IF($J27="DIESEL",SUMIFS(Table1[Amount],Table1[Customer],$M$3,Table1[Date],$A27,Table1[Bill No.],$B27),IF($J27="PETROL",SUMIFS(Table14[Amount],Table14[Customer],$M$3,Table14[Date],$A27,Table14[Bill No.],$B27),IF($J27="XtraGreen",SUMIFS(Table146[Amount],Table146[Company],$M$3,Table146[Date],$A27,Table146[Bill No.],$B27),SUMIFS('Other Sale'!$D:$D,'Other Sale'!$E:$E,$M$3,'Other Sale'!$C:$C,$J27,'Other Sale'!$A:$A,$A27)))))</f>
        <v>0</v>
      </c>
      <c r="F27" s="347" cm="1">
        <f t="array" ref="F27">IF($A27="","",IF($J27="Payment",IFERROR(INDEX(_xlfn._xlws.FILTER(MasterPaid[Amount Paid],(MasterPaid[Customer]=$M$3)*(MasterPaid[Date]=$A27)),COUNTIFS($A$6:$A27,$A27,$J$6:$J27,"Payment")),0),0))</f>
        <v>278220</v>
      </c>
      <c r="G27" s="331"/>
      <c r="H27" s="427"/>
      <c r="I27" s="330">
        <f t="shared" si="9"/>
        <v>30345</v>
      </c>
      <c r="J27" s="344" t="str" cm="1">
        <f t="array" ref="J27">IFERROR(INDEX(_xlfn.ANCHORARRAY($P$6),ROW()-5,3),"")</f>
        <v>Payment</v>
      </c>
      <c r="K27" s="349"/>
      <c r="L27" s="348"/>
      <c r="M27" s="277"/>
      <c r="N27" s="277"/>
      <c r="O27" s="277"/>
      <c r="P27">
        <v>46136</v>
      </c>
      <c r="Q27" t="str">
        <v/>
      </c>
      <c r="R27" t="str">
        <v>Payment</v>
      </c>
      <c r="T27" s="439"/>
      <c r="U27" s="350"/>
      <c r="W27" s="316" t="str">
        <f t="shared" si="0"/>
        <v/>
      </c>
      <c r="X27" s="273" t="str">
        <f t="shared" si="1"/>
        <v/>
      </c>
      <c r="Y27" s="273" t="str">
        <f t="shared" si="2"/>
        <v/>
      </c>
      <c r="Z27" s="273" t="str">
        <f t="shared" si="3"/>
        <v/>
      </c>
      <c r="AA27" s="316" t="str">
        <f t="shared" si="4"/>
        <v/>
      </c>
      <c r="AC27" t="str" cm="1">
        <f t="array" ref="AC27">IF(INDEX($T$5:$T$54,ROW()-4)="","",INDEX($T$5:$T$54,ROW()-4))</f>
        <v/>
      </c>
      <c r="AD27" t="str">
        <f t="shared" si="5"/>
        <v/>
      </c>
      <c r="AE27" t="str">
        <f t="shared" si="6"/>
        <v/>
      </c>
      <c r="AF27" t="str">
        <f t="shared" si="7"/>
        <v/>
      </c>
      <c r="AG27">
        <f t="shared" si="8"/>
        <v>0</v>
      </c>
      <c r="AH27" t="str" cm="1">
        <f t="array" ref="AH27">IF($AC27="","",IF($AG27=1,SUMPRODUCT(($AG$5:$AG$54=1)*($AC$5:$AC$54&gt;$AC27))+1,SUM($AG$5:$AG$54)+SUMPRODUCT(($AG$5:$AG$54=0)*($AC$5:$AC$54&lt;&gt;"")*($AC$5:$AC$54&gt;$AC27))+1))</f>
        <v/>
      </c>
    </row>
    <row r="28" spans="1:34" ht="21.75" x14ac:dyDescent="0.25">
      <c r="A28" s="217" cm="1">
        <f t="array" ref="A28">IFERROR(INDEX(_xlfn.ANCHORARRAY($P$6),ROW()-5,1),"")</f>
        <v>46137</v>
      </c>
      <c r="B28" s="344" t="str" cm="1">
        <f t="array" ref="B28">IFERROR(INDEX(_xlfn.ANCHORARRAY($P$6),ROW()-5,2),"")</f>
        <v>MS55</v>
      </c>
      <c r="C28" s="345">
        <f>IF($A28="","",IF($J28="DIESEL",SUMIFS(Table1[Quantity],Table1[Customer],$M$3,Table1[Date],$A28,Table1[Bill No.],$B28),IF($J28="PETROL",SUMIFS(Table14[Quantity],Table14[Customer],$M$3,Table14[Date],$A28,Table14[Bill No.],$B28),IF($J28="XtraGreen",SUMIFS(Table146[Quantity],Table146[Company],$M$3,Table146[Date],$A28,Table146[Bill No.],$B28),""))))</f>
        <v>200</v>
      </c>
      <c r="D28" s="346">
        <f>IF($A28="","",IF($J28="DIESEL",AVERAGEIFS(Table1[RSP],Table1[Customer],$M$3,Table1[Date],$A28,Table1[Bill No.],$B28),IF($J28="PETROL",AVERAGEIFS(Table14[RSP],Table14[Customer],$M$3,Table14[Date],$A28,Table14[Bill No.],$B28),IF($J28="XtraGreen",AVERAGEIFS(Table146[RSP],Table146[Company],$M$3,Table146[Date],$A28,Table146[Bill No.],$B28),IFERROR($E28/$C28,"")))))</f>
        <v>101.15</v>
      </c>
      <c r="E28" s="347">
        <f>IF($A28="","",IF($J28="DIESEL",SUMIFS(Table1[Amount],Table1[Customer],$M$3,Table1[Date],$A28,Table1[Bill No.],$B28),IF($J28="PETROL",SUMIFS(Table14[Amount],Table14[Customer],$M$3,Table14[Date],$A28,Table14[Bill No.],$B28),IF($J28="XtraGreen",SUMIFS(Table146[Amount],Table146[Company],$M$3,Table146[Date],$A28,Table146[Bill No.],$B28),SUMIFS('Other Sale'!$D:$D,'Other Sale'!$E:$E,$M$3,'Other Sale'!$C:$C,$J28,'Other Sale'!$A:$A,$A28)))))</f>
        <v>20230</v>
      </c>
      <c r="F28" s="347" cm="1">
        <f t="array" ref="F28">IF($A28="","",IF($J28="Payment",IFERROR(INDEX(_xlfn._xlws.FILTER(MasterPaid[Amount Paid],(MasterPaid[Customer]=$M$3)*(MasterPaid[Date]=$A28)),COUNTIFS($A$6:$A28,$A28,$J$6:$J28,"Payment")),0),0))</f>
        <v>0</v>
      </c>
      <c r="G28" s="331"/>
      <c r="H28" s="427"/>
      <c r="I28" s="330">
        <f t="shared" si="9"/>
        <v>50575</v>
      </c>
      <c r="J28" s="344" t="str" cm="1">
        <f t="array" ref="J28">IFERROR(INDEX(_xlfn.ANCHORARRAY($P$6),ROW()-5,3),"")</f>
        <v>PETROL</v>
      </c>
      <c r="K28" s="349"/>
      <c r="L28" s="348"/>
      <c r="M28" s="277"/>
      <c r="N28" s="277"/>
      <c r="O28" s="277"/>
      <c r="P28">
        <v>46137</v>
      </c>
      <c r="Q28" t="str">
        <v>MS55</v>
      </c>
      <c r="R28" t="str">
        <v>PETROL</v>
      </c>
      <c r="T28" s="439"/>
      <c r="U28" s="350"/>
      <c r="W28" s="316" t="str">
        <f t="shared" si="0"/>
        <v/>
      </c>
      <c r="X28" s="273" t="str">
        <f t="shared" si="1"/>
        <v/>
      </c>
      <c r="Y28" s="273" t="str">
        <f t="shared" si="2"/>
        <v/>
      </c>
      <c r="Z28" s="273" t="str">
        <f t="shared" si="3"/>
        <v/>
      </c>
      <c r="AA28" s="316" t="str">
        <f t="shared" si="4"/>
        <v/>
      </c>
      <c r="AC28" t="str" cm="1">
        <f t="array" ref="AC28">IF(INDEX($T$5:$T$54,ROW()-4)="","",INDEX($T$5:$T$54,ROW()-4))</f>
        <v/>
      </c>
      <c r="AD28" t="str">
        <f t="shared" si="5"/>
        <v/>
      </c>
      <c r="AE28" t="str">
        <f t="shared" si="6"/>
        <v/>
      </c>
      <c r="AF28" t="str">
        <f t="shared" si="7"/>
        <v/>
      </c>
      <c r="AG28">
        <f t="shared" si="8"/>
        <v>0</v>
      </c>
      <c r="AH28" t="str" cm="1">
        <f t="array" ref="AH28">IF($AC28="","",IF($AG28=1,SUMPRODUCT(($AG$5:$AG$54=1)*($AC$5:$AC$54&gt;$AC28))+1,SUM($AG$5:$AG$54)+SUMPRODUCT(($AG$5:$AG$54=0)*($AC$5:$AC$54&lt;&gt;"")*($AC$5:$AC$54&gt;$AC28))+1))</f>
        <v/>
      </c>
    </row>
    <row r="29" spans="1:34" ht="21.75" customHeight="1" x14ac:dyDescent="0.25">
      <c r="A29" s="217" cm="1">
        <f t="array" ref="A29">IFERROR(INDEX(_xlfn.ANCHORARRAY($P$6),ROW()-5,1),"")</f>
        <v>46140</v>
      </c>
      <c r="B29" s="344" t="str" cm="1">
        <f t="array" ref="B29">IFERROR(INDEX(_xlfn.ANCHORARRAY($P$6),ROW()-5,2),"")</f>
        <v>341</v>
      </c>
      <c r="C29" s="345">
        <f>IF($A29="","",IF($J29="DIESEL",SUMIFS(Table1[Quantity],Table1[Customer],$M$3,Table1[Date],$A29,Table1[Bill No.],$B29),IF($J29="PETROL",SUMIFS(Table14[Quantity],Table14[Customer],$M$3,Table14[Date],$A29,Table14[Bill No.],$B29),IF($J29="XtraGreen",SUMIFS(Table146[Quantity],Table146[Company],$M$3,Table146[Date],$A29,Table146[Bill No.],$B29),""))))</f>
        <v>3000</v>
      </c>
      <c r="D29" s="346">
        <f>IF($A29="","",IF($J29="DIESEL",AVERAGEIFS(Table1[RSP],Table1[Customer],$M$3,Table1[Date],$A29,Table1[Bill No.],$B29),IF($J29="PETROL",AVERAGEIFS(Table14[RSP],Table14[Customer],$M$3,Table14[Date],$A29,Table14[Bill No.],$B29),IF($J29="XtraGreen",AVERAGEIFS(Table146[RSP],Table146[Company],$M$3,Table146[Date],$A29,Table146[Bill No.],$B29),IFERROR($E29/$C29,"")))))</f>
        <v>92.74</v>
      </c>
      <c r="E29" s="347">
        <f>IF($A29="","",IF($J29="DIESEL",SUMIFS(Table1[Amount],Table1[Customer],$M$3,Table1[Date],$A29,Table1[Bill No.],$B29),IF($J29="PETROL",SUMIFS(Table14[Amount],Table14[Customer],$M$3,Table14[Date],$A29,Table14[Bill No.],$B29),IF($J29="XtraGreen",SUMIFS(Table146[Amount],Table146[Company],$M$3,Table146[Date],$A29,Table146[Bill No.],$B29),SUMIFS('Other Sale'!$D:$D,'Other Sale'!$E:$E,$M$3,'Other Sale'!$C:$C,$J29,'Other Sale'!$A:$A,$A29)))))</f>
        <v>278220</v>
      </c>
      <c r="F29" s="347" cm="1">
        <f t="array" ref="F29">IF($A29="","",IF($J29="Payment",IFERROR(INDEX(_xlfn._xlws.FILTER(MasterPaid[Amount Paid],(MasterPaid[Customer]=$M$3)*(MasterPaid[Date]=$A29)),COUNTIFS($A$6:$A29,$A29,$J$6:$J29,"Payment")),0),0))</f>
        <v>0</v>
      </c>
      <c r="G29" s="331"/>
      <c r="H29" s="427"/>
      <c r="I29" s="330">
        <f t="shared" si="9"/>
        <v>328795</v>
      </c>
      <c r="J29" s="344" t="str" cm="1">
        <f t="array" ref="J29">IFERROR(INDEX(_xlfn.ANCHORARRAY($P$6),ROW()-5,3),"")</f>
        <v>DIESEL</v>
      </c>
      <c r="K29" s="349" t="s">
        <v>2720</v>
      </c>
      <c r="L29" s="348"/>
      <c r="M29" s="277"/>
      <c r="N29" s="277"/>
      <c r="O29" s="277"/>
      <c r="P29">
        <v>46140</v>
      </c>
      <c r="Q29" t="str">
        <v>341</v>
      </c>
      <c r="R29" t="str">
        <v>DIESEL</v>
      </c>
      <c r="T29" s="439"/>
      <c r="U29" s="350"/>
      <c r="W29" s="316" t="str">
        <f t="shared" si="0"/>
        <v/>
      </c>
      <c r="X29" s="273" t="str">
        <f t="shared" si="1"/>
        <v/>
      </c>
      <c r="Y29" s="273" t="str">
        <f t="shared" si="2"/>
        <v/>
      </c>
      <c r="Z29" s="273" t="str">
        <f t="shared" si="3"/>
        <v/>
      </c>
      <c r="AA29" s="316" t="str">
        <f t="shared" si="4"/>
        <v/>
      </c>
      <c r="AC29" t="str" cm="1">
        <f t="array" ref="AC29">IF(INDEX($T$5:$T$54,ROW()-4)="","",INDEX($T$5:$T$54,ROW()-4))</f>
        <v/>
      </c>
      <c r="AD29" t="str">
        <f t="shared" si="5"/>
        <v/>
      </c>
      <c r="AE29" t="str">
        <f t="shared" si="6"/>
        <v/>
      </c>
      <c r="AF29" t="str">
        <f t="shared" si="7"/>
        <v/>
      </c>
      <c r="AG29">
        <f t="shared" si="8"/>
        <v>0</v>
      </c>
      <c r="AH29" t="str" cm="1">
        <f t="array" ref="AH29">IF($AC29="","",IF($AG29=1,SUMPRODUCT(($AG$5:$AG$54=1)*($AC$5:$AC$54&gt;$AC29))+1,SUM($AG$5:$AG$54)+SUMPRODUCT(($AG$5:$AG$54=0)*($AC$5:$AC$54&lt;&gt;"")*($AC$5:$AC$54&gt;$AC29))+1))</f>
        <v/>
      </c>
    </row>
    <row r="30" spans="1:34" ht="21.75" x14ac:dyDescent="0.25">
      <c r="A30" s="217" cm="1">
        <f t="array" ref="A30">IFERROR(INDEX(_xlfn.ANCHORARRAY($P$6),ROW()-5,1),"")</f>
        <v>46141</v>
      </c>
      <c r="B30" s="344" t="str" cm="1">
        <f t="array" ref="B30">IFERROR(INDEX(_xlfn.ANCHORARRAY($P$6),ROW()-5,2),"")</f>
        <v>352</v>
      </c>
      <c r="C30" s="345">
        <f>IF($A30="","",IF($J30="DIESEL",SUMIFS(Table1[Quantity],Table1[Customer],$M$3,Table1[Date],$A30,Table1[Bill No.],$B30),IF($J30="PETROL",SUMIFS(Table14[Quantity],Table14[Customer],$M$3,Table14[Date],$A30,Table14[Bill No.],$B30),IF($J30="XtraGreen",SUMIFS(Table146[Quantity],Table146[Company],$M$3,Table146[Date],$A30,Table146[Bill No.],$B30),""))))</f>
        <v>3000</v>
      </c>
      <c r="D30" s="346">
        <f>IF($A30="","",IF($J30="DIESEL",AVERAGEIFS(Table1[RSP],Table1[Customer],$M$3,Table1[Date],$A30,Table1[Bill No.],$B30),IF($J30="PETROL",AVERAGEIFS(Table14[RSP],Table14[Customer],$M$3,Table14[Date],$A30,Table14[Bill No.],$B30),IF($J30="XtraGreen",AVERAGEIFS(Table146[RSP],Table146[Company],$M$3,Table146[Date],$A30,Table146[Bill No.],$B30),IFERROR($E30/$C30,"")))))</f>
        <v>92.74</v>
      </c>
      <c r="E30" s="347">
        <f>IF($A30="","",IF($J30="DIESEL",SUMIFS(Table1[Amount],Table1[Customer],$M$3,Table1[Date],$A30,Table1[Bill No.],$B30),IF($J30="PETROL",SUMIFS(Table14[Amount],Table14[Customer],$M$3,Table14[Date],$A30,Table14[Bill No.],$B30),IF($J30="XtraGreen",SUMIFS(Table146[Amount],Table146[Company],$M$3,Table146[Date],$A30,Table146[Bill No.],$B30),SUMIFS('Other Sale'!$D:$D,'Other Sale'!$E:$E,$M$3,'Other Sale'!$C:$C,$J30,'Other Sale'!$A:$A,$A30)))))</f>
        <v>278220</v>
      </c>
      <c r="F30" s="347" cm="1">
        <f t="array" ref="F30">IF($A30="","",IF($J30="Payment",IFERROR(INDEX(_xlfn._xlws.FILTER(MasterPaid[Amount Paid],(MasterPaid[Customer]=$M$3)*(MasterPaid[Date]=$A30)),COUNTIFS($A$6:$A30,$A30,$J$6:$J30,"Payment")),0),0))</f>
        <v>0</v>
      </c>
      <c r="G30" s="331"/>
      <c r="H30" s="427"/>
      <c r="I30" s="330">
        <f t="shared" si="9"/>
        <v>607015</v>
      </c>
      <c r="J30" s="344" t="str" cm="1">
        <f t="array" ref="J30">IFERROR(INDEX(_xlfn.ANCHORARRAY($P$6),ROW()-5,3),"")</f>
        <v>DIESEL</v>
      </c>
      <c r="K30" s="349" t="s">
        <v>2720</v>
      </c>
      <c r="L30" s="348"/>
      <c r="M30" s="277"/>
      <c r="N30" s="277"/>
      <c r="O30" s="277"/>
      <c r="P30">
        <v>46141</v>
      </c>
      <c r="Q30" t="str">
        <v>352</v>
      </c>
      <c r="R30" t="str">
        <v>DIESEL</v>
      </c>
      <c r="T30" s="439"/>
      <c r="U30" s="350"/>
      <c r="W30" s="316" t="str">
        <f t="shared" si="0"/>
        <v/>
      </c>
      <c r="X30" s="273" t="str">
        <f t="shared" si="1"/>
        <v/>
      </c>
      <c r="Y30" s="273" t="str">
        <f t="shared" si="2"/>
        <v/>
      </c>
      <c r="Z30" s="273" t="str">
        <f t="shared" si="3"/>
        <v/>
      </c>
      <c r="AA30" s="316" t="str">
        <f t="shared" si="4"/>
        <v/>
      </c>
      <c r="AC30" t="str" cm="1">
        <f t="array" ref="AC30">IF(INDEX($T$5:$T$54,ROW()-4)="","",INDEX($T$5:$T$54,ROW()-4))</f>
        <v/>
      </c>
      <c r="AD30" t="str">
        <f t="shared" si="5"/>
        <v/>
      </c>
      <c r="AE30" t="str">
        <f t="shared" si="6"/>
        <v/>
      </c>
      <c r="AF30" t="str">
        <f t="shared" si="7"/>
        <v/>
      </c>
      <c r="AG30">
        <f t="shared" si="8"/>
        <v>0</v>
      </c>
      <c r="AH30" t="str" cm="1">
        <f t="array" ref="AH30">IF($AC30="","",IF($AG30=1,SUMPRODUCT(($AG$5:$AG$54=1)*($AC$5:$AC$54&gt;$AC30))+1,SUM($AG$5:$AG$54)+SUMPRODUCT(($AG$5:$AG$54=0)*($AC$5:$AC$54&lt;&gt;"")*($AC$5:$AC$54&gt;$AC30))+1))</f>
        <v/>
      </c>
    </row>
    <row r="31" spans="1:34" ht="21.75" x14ac:dyDescent="0.25">
      <c r="A31" s="217" cm="1">
        <f t="array" ref="A31">IFERROR(INDEX(_xlfn.ANCHORARRAY($P$6),ROW()-5,1),"")</f>
        <v>46142</v>
      </c>
      <c r="B31" s="344" t="str" cm="1">
        <f t="array" ref="B31">IFERROR(INDEX(_xlfn.ANCHORARRAY($P$6),ROW()-5,2),"")</f>
        <v>363</v>
      </c>
      <c r="C31" s="345">
        <f>IF($A31="","",IF($J31="DIESEL",SUMIFS(Table1[Quantity],Table1[Customer],$M$3,Table1[Date],$A31,Table1[Bill No.],$B31),IF($J31="PETROL",SUMIFS(Table14[Quantity],Table14[Customer],$M$3,Table14[Date],$A31,Table14[Bill No.],$B31),IF($J31="XtraGreen",SUMIFS(Table146[Quantity],Table146[Company],$M$3,Table146[Date],$A31,Table146[Bill No.],$B31),""))))</f>
        <v>3000</v>
      </c>
      <c r="D31" s="346">
        <f>IF($A31="","",IF($J31="DIESEL",AVERAGEIFS(Table1[RSP],Table1[Customer],$M$3,Table1[Date],$A31,Table1[Bill No.],$B31),IF($J31="PETROL",AVERAGEIFS(Table14[RSP],Table14[Customer],$M$3,Table14[Date],$A31,Table14[Bill No.],$B31),IF($J31="XtraGreen",AVERAGEIFS(Table146[RSP],Table146[Company],$M$3,Table146[Date],$A31,Table146[Bill No.],$B31),IFERROR($E31/$C31,"")))))</f>
        <v>92.74</v>
      </c>
      <c r="E31" s="347">
        <f>IF($A31="","",IF($J31="DIESEL",SUMIFS(Table1[Amount],Table1[Customer],$M$3,Table1[Date],$A31,Table1[Bill No.],$B31),IF($J31="PETROL",SUMIFS(Table14[Amount],Table14[Customer],$M$3,Table14[Date],$A31,Table14[Bill No.],$B31),IF($J31="XtraGreen",SUMIFS(Table146[Amount],Table146[Company],$M$3,Table146[Date],$A31,Table146[Bill No.],$B31),SUMIFS('Other Sale'!$D:$D,'Other Sale'!$E:$E,$M$3,'Other Sale'!$C:$C,$J31,'Other Sale'!$A:$A,$A31)))))</f>
        <v>278220</v>
      </c>
      <c r="F31" s="347" cm="1">
        <f t="array" ref="F31">IF($A31="","",IF($J31="Payment",IFERROR(INDEX(_xlfn._xlws.FILTER(MasterPaid[Amount Paid],(MasterPaid[Customer]=$M$3)*(MasterPaid[Date]=$A31)),COUNTIFS($A$6:$A31,$A31,$J$6:$J31,"Payment")),0),0))</f>
        <v>0</v>
      </c>
      <c r="G31" s="331"/>
      <c r="H31" s="427"/>
      <c r="I31" s="330">
        <f t="shared" si="9"/>
        <v>885235</v>
      </c>
      <c r="J31" s="344" t="str" cm="1">
        <f t="array" ref="J31">IFERROR(INDEX(_xlfn.ANCHORARRAY($P$6),ROW()-5,3),"")</f>
        <v>DIESEL</v>
      </c>
      <c r="K31" s="349" t="s">
        <v>2720</v>
      </c>
      <c r="L31" s="348"/>
      <c r="M31" s="277"/>
      <c r="N31" s="277"/>
      <c r="O31" s="277"/>
      <c r="P31">
        <v>46142</v>
      </c>
      <c r="Q31" t="str">
        <v>363</v>
      </c>
      <c r="R31" t="str">
        <v>DIESEL</v>
      </c>
      <c r="T31" s="439"/>
      <c r="U31" s="350"/>
      <c r="W31" s="316" t="str">
        <f t="shared" si="0"/>
        <v/>
      </c>
      <c r="X31" s="273" t="str">
        <f t="shared" si="1"/>
        <v/>
      </c>
      <c r="Y31" s="273" t="str">
        <f t="shared" si="2"/>
        <v/>
      </c>
      <c r="Z31" s="273" t="str">
        <f t="shared" si="3"/>
        <v/>
      </c>
      <c r="AA31" s="316" t="str">
        <f t="shared" si="4"/>
        <v/>
      </c>
      <c r="AC31" t="str" cm="1">
        <f t="array" ref="AC31">IF(INDEX($T$5:$T$54,ROW()-4)="","",INDEX($T$5:$T$54,ROW()-4))</f>
        <v/>
      </c>
      <c r="AD31" t="str">
        <f t="shared" si="5"/>
        <v/>
      </c>
      <c r="AE31" t="str">
        <f t="shared" si="6"/>
        <v/>
      </c>
      <c r="AF31" t="str">
        <f t="shared" si="7"/>
        <v/>
      </c>
      <c r="AG31">
        <f t="shared" si="8"/>
        <v>0</v>
      </c>
      <c r="AH31" t="str" cm="1">
        <f t="array" ref="AH31">IF($AC31="","",IF($AG31=1,SUMPRODUCT(($AG$5:$AG$54=1)*($AC$5:$AC$54&gt;$AC31))+1,SUM($AG$5:$AG$54)+SUMPRODUCT(($AG$5:$AG$54=0)*($AC$5:$AC$54&lt;&gt;"")*($AC$5:$AC$54&gt;$AC31))+1))</f>
        <v/>
      </c>
    </row>
    <row r="32" spans="1:34" ht="21.75" x14ac:dyDescent="0.25">
      <c r="A32" s="217" cm="1">
        <f t="array" ref="A32">IFERROR(INDEX(_xlfn.ANCHORARRAY($P$6),ROW()-5,1),"")</f>
        <v>46142</v>
      </c>
      <c r="B32" s="344" t="str" cm="1">
        <f t="array" ref="B32">IFERROR(INDEX(_xlfn.ANCHORARRAY($P$6),ROW()-5,2),"")</f>
        <v/>
      </c>
      <c r="C32" s="345" t="str">
        <f>IF($A32="","",IF($J32="DIESEL",SUMIFS(Table1[Quantity],Table1[Customer],$M$3,Table1[Date],$A32,Table1[Bill No.],$B32),IF($J32="PETROL",SUMIFS(Table14[Quantity],Table14[Customer],$M$3,Table14[Date],$A32,Table14[Bill No.],$B32),IF($J32="XtraGreen",SUMIFS(Table146[Quantity],Table146[Company],$M$3,Table146[Date],$A32,Table146[Bill No.],$B32),""))))</f>
        <v/>
      </c>
      <c r="D32" s="346" t="str">
        <f>IF($A32="","",IF($J32="DIESEL",AVERAGEIFS(Table1[RSP],Table1[Customer],$M$3,Table1[Date],$A32,Table1[Bill No.],$B32),IF($J32="PETROL",AVERAGEIFS(Table14[RSP],Table14[Customer],$M$3,Table14[Date],$A32,Table14[Bill No.],$B32),IF($J32="XtraGreen",AVERAGEIFS(Table146[RSP],Table146[Company],$M$3,Table146[Date],$A32,Table146[Bill No.],$B32),IFERROR($E32/$C32,"")))))</f>
        <v/>
      </c>
      <c r="E32" s="347">
        <f>IF($A32="","",IF($J32="DIESEL",SUMIFS(Table1[Amount],Table1[Customer],$M$3,Table1[Date],$A32,Table1[Bill No.],$B32),IF($J32="PETROL",SUMIFS(Table14[Amount],Table14[Customer],$M$3,Table14[Date],$A32,Table14[Bill No.],$B32),IF($J32="XtraGreen",SUMIFS(Table146[Amount],Table146[Company],$M$3,Table146[Date],$A32,Table146[Bill No.],$B32),SUMIFS('Other Sale'!$D:$D,'Other Sale'!$E:$E,$M$3,'Other Sale'!$C:$C,$J32,'Other Sale'!$A:$A,$A32)))))</f>
        <v>0</v>
      </c>
      <c r="F32" s="347" cm="1">
        <f t="array" ref="F32">IF($A32="","",IF($J32="Payment",IFERROR(INDEX(_xlfn._xlws.FILTER(MasterPaid[Amount Paid],(MasterPaid[Customer]=$M$3)*(MasterPaid[Date]=$A32)),COUNTIFS($A$6:$A32,$A32,$J$6:$J32,"Payment")),0),0))</f>
        <v>278220</v>
      </c>
      <c r="G32" s="331"/>
      <c r="H32" s="427"/>
      <c r="I32" s="330">
        <f t="shared" si="9"/>
        <v>607015</v>
      </c>
      <c r="J32" s="344" t="str" cm="1">
        <f t="array" ref="J32">IFERROR(INDEX(_xlfn.ANCHORARRAY($P$6),ROW()-5,3),"")</f>
        <v>Payment</v>
      </c>
      <c r="K32" s="349"/>
      <c r="L32" s="348"/>
      <c r="M32" s="277"/>
      <c r="N32" s="277"/>
      <c r="O32" s="277"/>
      <c r="P32">
        <v>46142</v>
      </c>
      <c r="Q32" t="str">
        <v/>
      </c>
      <c r="R32" t="str">
        <v>Payment</v>
      </c>
      <c r="T32" s="439"/>
      <c r="U32" s="350"/>
      <c r="W32" s="316" t="str">
        <f t="shared" si="0"/>
        <v/>
      </c>
      <c r="X32" s="273" t="str">
        <f t="shared" si="1"/>
        <v/>
      </c>
      <c r="Y32" s="273" t="str">
        <f t="shared" si="2"/>
        <v/>
      </c>
      <c r="Z32" s="273" t="str">
        <f t="shared" si="3"/>
        <v/>
      </c>
      <c r="AA32" s="316" t="str">
        <f t="shared" si="4"/>
        <v/>
      </c>
      <c r="AC32" t="str" cm="1">
        <f t="array" ref="AC32">IF(INDEX($T$5:$T$54,ROW()-4)="","",INDEX($T$5:$T$54,ROW()-4))</f>
        <v/>
      </c>
      <c r="AD32" t="str">
        <f t="shared" si="5"/>
        <v/>
      </c>
      <c r="AE32" t="str">
        <f t="shared" si="6"/>
        <v/>
      </c>
      <c r="AF32" t="str">
        <f t="shared" si="7"/>
        <v/>
      </c>
      <c r="AG32">
        <f t="shared" si="8"/>
        <v>0</v>
      </c>
      <c r="AH32" t="str" cm="1">
        <f t="array" ref="AH32">IF($AC32="","",IF($AG32=1,SUMPRODUCT(($AG$5:$AG$54=1)*($AC$5:$AC$54&gt;$AC32))+1,SUM($AG$5:$AG$54)+SUMPRODUCT(($AG$5:$AG$54=0)*($AC$5:$AC$54&lt;&gt;"")*($AC$5:$AC$54&gt;$AC32))+1))</f>
        <v/>
      </c>
    </row>
    <row r="33" spans="1:34" ht="21.75" x14ac:dyDescent="0.25">
      <c r="A33" s="217" cm="1">
        <f t="array" ref="A33">IFERROR(INDEX(_xlfn.ANCHORARRAY($P$6),ROW()-5,1),"")</f>
        <v>46142</v>
      </c>
      <c r="B33" s="344" t="str" cm="1">
        <f t="array" ref="B33">IFERROR(INDEX(_xlfn.ANCHORARRAY($P$6),ROW()-5,2),"")</f>
        <v/>
      </c>
      <c r="C33" s="345" t="str">
        <f>IF($A33="","",IF($J33="DIESEL",SUMIFS(Table1[Quantity],Table1[Customer],$M$3,Table1[Date],$A33,Table1[Bill No.],$B33),IF($J33="PETROL",SUMIFS(Table14[Quantity],Table14[Customer],$M$3,Table14[Date],$A33,Table14[Bill No.],$B33),IF($J33="XtraGreen",SUMIFS(Table146[Quantity],Table146[Company],$M$3,Table146[Date],$A33,Table146[Bill No.],$B33),""))))</f>
        <v/>
      </c>
      <c r="D33" s="346" t="str">
        <f>IF($A33="","",IF($J33="DIESEL",AVERAGEIFS(Table1[RSP],Table1[Customer],$M$3,Table1[Date],$A33,Table1[Bill No.],$B33),IF($J33="PETROL",AVERAGEIFS(Table14[RSP],Table14[Customer],$M$3,Table14[Date],$A33,Table14[Bill No.],$B33),IF($J33="XtraGreen",AVERAGEIFS(Table146[RSP],Table146[Company],$M$3,Table146[Date],$A33,Table146[Bill No.],$B33),IFERROR($E33/$C33,"")))))</f>
        <v/>
      </c>
      <c r="E33" s="347">
        <f>IF($A33="","",IF($J33="DIESEL",SUMIFS(Table1[Amount],Table1[Customer],$M$3,Table1[Date],$A33,Table1[Bill No.],$B33),IF($J33="PETROL",SUMIFS(Table14[Amount],Table14[Customer],$M$3,Table14[Date],$A33,Table14[Bill No.],$B33),IF($J33="XtraGreen",SUMIFS(Table146[Amount],Table146[Company],$M$3,Table146[Date],$A33,Table146[Bill No.],$B33),SUMIFS('Other Sale'!$D:$D,'Other Sale'!$E:$E,$M$3,'Other Sale'!$C:$C,$J33,'Other Sale'!$A:$A,$A33)))))</f>
        <v>0</v>
      </c>
      <c r="F33" s="347" cm="1">
        <f t="array" ref="F33">IF($A33="","",IF($J33="Payment",IFERROR(INDEX(_xlfn._xlws.FILTER(MasterPaid[Amount Paid],(MasterPaid[Customer]=$M$3)*(MasterPaid[Date]=$A33)),COUNTIFS($A$6:$A33,$A33,$J$6:$J33,"Payment")),0),0))</f>
        <v>278220</v>
      </c>
      <c r="G33" s="331"/>
      <c r="H33" s="427"/>
      <c r="I33" s="330">
        <f t="shared" si="9"/>
        <v>328795</v>
      </c>
      <c r="J33" s="344" t="str" cm="1">
        <f t="array" ref="J33">IFERROR(INDEX(_xlfn.ANCHORARRAY($P$6),ROW()-5,3),"")</f>
        <v>Payment</v>
      </c>
      <c r="K33" s="349"/>
      <c r="L33" s="348"/>
      <c r="M33" s="277"/>
      <c r="N33" s="277"/>
      <c r="O33" s="277"/>
      <c r="P33">
        <v>46142</v>
      </c>
      <c r="Q33" t="str">
        <v/>
      </c>
      <c r="R33" t="str">
        <v>Payment</v>
      </c>
      <c r="T33" s="439"/>
      <c r="U33" s="350"/>
      <c r="W33" s="316" t="str">
        <f t="shared" si="0"/>
        <v/>
      </c>
      <c r="X33" s="273" t="str">
        <f t="shared" si="1"/>
        <v/>
      </c>
      <c r="Y33" s="273" t="str">
        <f t="shared" si="2"/>
        <v/>
      </c>
      <c r="Z33" s="273" t="str">
        <f t="shared" si="3"/>
        <v/>
      </c>
      <c r="AA33" s="316" t="str">
        <f t="shared" si="4"/>
        <v/>
      </c>
      <c r="AC33" t="str" cm="1">
        <f t="array" ref="AC33">IF(INDEX($T$5:$T$54,ROW()-4)="","",INDEX($T$5:$T$54,ROW()-4))</f>
        <v/>
      </c>
      <c r="AD33" t="str">
        <f t="shared" si="5"/>
        <v/>
      </c>
      <c r="AE33" t="str">
        <f t="shared" si="6"/>
        <v/>
      </c>
      <c r="AF33" t="str">
        <f t="shared" si="7"/>
        <v/>
      </c>
      <c r="AG33">
        <f t="shared" si="8"/>
        <v>0</v>
      </c>
      <c r="AH33" t="str" cm="1">
        <f t="array" ref="AH33">IF($AC33="","",IF($AG33=1,SUMPRODUCT(($AG$5:$AG$54=1)*($AC$5:$AC$54&gt;$AC33))+1,SUM($AG$5:$AG$54)+SUMPRODUCT(($AG$5:$AG$54=0)*($AC$5:$AC$54&lt;&gt;"")*($AC$5:$AC$54&gt;$AC33))+1))</f>
        <v/>
      </c>
    </row>
    <row r="34" spans="1:34" ht="21.75" x14ac:dyDescent="0.25">
      <c r="A34" s="217" cm="1">
        <f t="array" ref="A34">IFERROR(INDEX(_xlfn.ANCHORARRAY($P$6),ROW()-5,1),"")</f>
        <v>46142</v>
      </c>
      <c r="B34" s="344" t="str" cm="1">
        <f t="array" ref="B34">IFERROR(INDEX(_xlfn.ANCHORARRAY($P$6),ROW()-5,2),"")</f>
        <v/>
      </c>
      <c r="C34" s="345" t="str">
        <f>IF($A34="","",IF($J34="DIESEL",SUMIFS(Table1[Quantity],Table1[Customer],$M$3,Table1[Date],$A34,Table1[Bill No.],$B34),IF($J34="PETROL",SUMIFS(Table14[Quantity],Table14[Customer],$M$3,Table14[Date],$A34,Table14[Bill No.],$B34),IF($J34="XtraGreen",SUMIFS(Table146[Quantity],Table146[Company],$M$3,Table146[Date],$A34,Table146[Bill No.],$B34),""))))</f>
        <v/>
      </c>
      <c r="D34" s="346" t="str">
        <f>IF($A34="","",IF($J34="DIESEL",AVERAGEIFS(Table1[RSP],Table1[Customer],$M$3,Table1[Date],$A34,Table1[Bill No.],$B34),IF($J34="PETROL",AVERAGEIFS(Table14[RSP],Table14[Customer],$M$3,Table14[Date],$A34,Table14[Bill No.],$B34),IF($J34="XtraGreen",AVERAGEIFS(Table146[RSP],Table146[Company],$M$3,Table146[Date],$A34,Table146[Bill No.],$B34),IFERROR($E34/$C34,"")))))</f>
        <v/>
      </c>
      <c r="E34" s="347">
        <f>IF($A34="","",IF($J34="DIESEL",SUMIFS(Table1[Amount],Table1[Customer],$M$3,Table1[Date],$A34,Table1[Bill No.],$B34),IF($J34="PETROL",SUMIFS(Table14[Amount],Table14[Customer],$M$3,Table14[Date],$A34,Table14[Bill No.],$B34),IF($J34="XtraGreen",SUMIFS(Table146[Amount],Table146[Company],$M$3,Table146[Date],$A34,Table146[Bill No.],$B34),SUMIFS('Other Sale'!$D:$D,'Other Sale'!$E:$E,$M$3,'Other Sale'!$C:$C,$J34,'Other Sale'!$A:$A,$A34)))))</f>
        <v>0</v>
      </c>
      <c r="F34" s="347" cm="1">
        <f t="array" ref="F34">IF($A34="","",IF($J34="Payment",IFERROR(INDEX(_xlfn._xlws.FILTER(MasterPaid[Amount Paid],(MasterPaid[Customer]=$M$3)*(MasterPaid[Date]=$A34)),COUNTIFS($A$6:$A34,$A34,$J$6:$J34,"Payment")),0),0))</f>
        <v>278220</v>
      </c>
      <c r="G34" s="331"/>
      <c r="H34" s="427"/>
      <c r="I34" s="330">
        <f t="shared" si="9"/>
        <v>50575</v>
      </c>
      <c r="J34" s="344" t="str" cm="1">
        <f t="array" ref="J34">IFERROR(INDEX(_xlfn.ANCHORARRAY($P$6),ROW()-5,3),"")</f>
        <v>Payment</v>
      </c>
      <c r="K34" s="349"/>
      <c r="L34" s="348"/>
      <c r="M34" s="277"/>
      <c r="N34" s="277"/>
      <c r="O34" s="277"/>
      <c r="P34">
        <v>46142</v>
      </c>
      <c r="Q34" t="str">
        <v/>
      </c>
      <c r="R34" t="str">
        <v>Payment</v>
      </c>
      <c r="T34" s="439"/>
      <c r="U34" s="350"/>
      <c r="W34" s="316" t="str">
        <f t="shared" si="0"/>
        <v/>
      </c>
      <c r="X34" s="273" t="str">
        <f t="shared" si="1"/>
        <v/>
      </c>
      <c r="Y34" s="273" t="str">
        <f t="shared" si="2"/>
        <v/>
      </c>
      <c r="Z34" s="273" t="str">
        <f t="shared" si="3"/>
        <v/>
      </c>
      <c r="AA34" s="316" t="str">
        <f t="shared" si="4"/>
        <v/>
      </c>
      <c r="AC34" t="str" cm="1">
        <f t="array" ref="AC34">IF(INDEX($T$5:$T$54,ROW()-4)="","",INDEX($T$5:$T$54,ROW()-4))</f>
        <v/>
      </c>
      <c r="AD34" t="str">
        <f t="shared" si="5"/>
        <v/>
      </c>
      <c r="AE34" t="str">
        <f t="shared" si="6"/>
        <v/>
      </c>
      <c r="AF34" t="str">
        <f t="shared" si="7"/>
        <v/>
      </c>
      <c r="AG34">
        <f t="shared" si="8"/>
        <v>0</v>
      </c>
      <c r="AH34" t="str" cm="1">
        <f t="array" ref="AH34">IF($AC34="","",IF($AG34=1,SUMPRODUCT(($AG$5:$AG$54=1)*($AC$5:$AC$54&gt;$AC34))+1,SUM($AG$5:$AG$54)+SUMPRODUCT(($AG$5:$AG$54=0)*($AC$5:$AC$54&lt;&gt;"")*($AC$5:$AC$54&gt;$AC34))+1))</f>
        <v/>
      </c>
    </row>
    <row r="35" spans="1:34" ht="21.75" customHeight="1" x14ac:dyDescent="0.25">
      <c r="A35" s="217" cm="1">
        <f t="array" ref="A35">IFERROR(INDEX(_xlfn.ANCHORARRAY($P$6),ROW()-5,1),"")</f>
        <v>46143</v>
      </c>
      <c r="B35" s="344" t="str" cm="1">
        <f t="array" ref="B35">IFERROR(INDEX(_xlfn.ANCHORARRAY($P$6),ROW()-5,2),"")</f>
        <v>380</v>
      </c>
      <c r="C35" s="345">
        <f>IF($A35="","",IF($J35="DIESEL",SUMIFS(Table1[Quantity],Table1[Customer],$M$3,Table1[Date],$A35,Table1[Bill No.],$B35),IF($J35="PETROL",SUMIFS(Table14[Quantity],Table14[Customer],$M$3,Table14[Date],$A35,Table14[Bill No.],$B35),IF($J35="XtraGreen",SUMIFS(Table146[Quantity],Table146[Company],$M$3,Table146[Date],$A35,Table146[Bill No.],$B35),""))))</f>
        <v>3000</v>
      </c>
      <c r="D35" s="346">
        <f>IF($A35="","",IF($J35="DIESEL",AVERAGEIFS(Table1[RSP],Table1[Customer],$M$3,Table1[Date],$A35,Table1[Bill No.],$B35),IF($J35="PETROL",AVERAGEIFS(Table14[RSP],Table14[Customer],$M$3,Table14[Date],$A35,Table14[Bill No.],$B35),IF($J35="XtraGreen",AVERAGEIFS(Table146[RSP],Table146[Company],$M$3,Table146[Date],$A35,Table146[Bill No.],$B35),IFERROR($E35/$C35,"")))))</f>
        <v>92.74</v>
      </c>
      <c r="E35" s="347">
        <f>IF($A35="","",IF($J35="DIESEL",SUMIFS(Table1[Amount],Table1[Customer],$M$3,Table1[Date],$A35,Table1[Bill No.],$B35),IF($J35="PETROL",SUMIFS(Table14[Amount],Table14[Customer],$M$3,Table14[Date],$A35,Table14[Bill No.],$B35),IF($J35="XtraGreen",SUMIFS(Table146[Amount],Table146[Company],$M$3,Table146[Date],$A35,Table146[Bill No.],$B35),SUMIFS('Other Sale'!$D:$D,'Other Sale'!$E:$E,$M$3,'Other Sale'!$C:$C,$J35,'Other Sale'!$A:$A,$A35)))))</f>
        <v>278220</v>
      </c>
      <c r="F35" s="347" cm="1">
        <f t="array" ref="F35">IF($A35="","",IF($J35="Payment",IFERROR(INDEX(_xlfn._xlws.FILTER(MasterPaid[Amount Paid],(MasterPaid[Customer]=$M$3)*(MasterPaid[Date]=$A35)),COUNTIFS($A$6:$A35,$A35,$J$6:$J35,"Payment")),0),0))</f>
        <v>0</v>
      </c>
      <c r="G35" s="331"/>
      <c r="H35" s="427"/>
      <c r="I35" s="330">
        <f t="shared" si="9"/>
        <v>328795</v>
      </c>
      <c r="J35" s="344" t="str" cm="1">
        <f t="array" ref="J35">IFERROR(INDEX(_xlfn.ANCHORARRAY($P$6),ROW()-5,3),"")</f>
        <v>DIESEL</v>
      </c>
      <c r="K35" s="349" t="s">
        <v>2720</v>
      </c>
      <c r="L35" s="348"/>
      <c r="M35" s="277"/>
      <c r="N35" s="277"/>
      <c r="O35" s="277"/>
      <c r="P35">
        <v>46143</v>
      </c>
      <c r="Q35" t="str">
        <v>380</v>
      </c>
      <c r="R35" t="str">
        <v>DIESEL</v>
      </c>
      <c r="T35" s="439"/>
      <c r="U35" s="350"/>
      <c r="W35" s="316" t="str">
        <f t="shared" si="0"/>
        <v/>
      </c>
      <c r="X35" s="273" t="str">
        <f t="shared" si="1"/>
        <v/>
      </c>
      <c r="Y35" s="273" t="str">
        <f t="shared" si="2"/>
        <v/>
      </c>
      <c r="Z35" s="273" t="str">
        <f t="shared" si="3"/>
        <v/>
      </c>
      <c r="AA35" s="316" t="str">
        <f t="shared" si="4"/>
        <v/>
      </c>
      <c r="AC35" t="str" cm="1">
        <f t="array" ref="AC35">IF(INDEX($T$5:$T$54,ROW()-4)="","",INDEX($T$5:$T$54,ROW()-4))</f>
        <v/>
      </c>
      <c r="AD35" t="str">
        <f t="shared" si="5"/>
        <v/>
      </c>
      <c r="AE35" t="str">
        <f t="shared" si="6"/>
        <v/>
      </c>
      <c r="AF35" t="str">
        <f t="shared" si="7"/>
        <v/>
      </c>
      <c r="AG35">
        <f t="shared" si="8"/>
        <v>0</v>
      </c>
      <c r="AH35" t="str" cm="1">
        <f t="array" ref="AH35">IF($AC35="","",IF($AG35=1,SUMPRODUCT(($AG$5:$AG$54=1)*($AC$5:$AC$54&gt;$AC35))+1,SUM($AG$5:$AG$54)+SUMPRODUCT(($AG$5:$AG$54=0)*($AC$5:$AC$54&lt;&gt;"")*($AC$5:$AC$54&gt;$AC35))+1))</f>
        <v/>
      </c>
    </row>
    <row r="36" spans="1:34" ht="21.75" x14ac:dyDescent="0.25">
      <c r="A36" s="217" cm="1">
        <f t="array" ref="A36">IFERROR(INDEX(_xlfn.ANCHORARRAY($P$6),ROW()-5,1),"")</f>
        <v>46144</v>
      </c>
      <c r="B36" s="344" t="str" cm="1">
        <f t="array" ref="B36">IFERROR(INDEX(_xlfn.ANCHORARRAY($P$6),ROW()-5,2),"")</f>
        <v/>
      </c>
      <c r="C36" s="345" t="str">
        <f>IF($A36="","",IF($J36="DIESEL",SUMIFS(Table1[Quantity],Table1[Customer],$M$3,Table1[Date],$A36,Table1[Bill No.],$B36),IF($J36="PETROL",SUMIFS(Table14[Quantity],Table14[Customer],$M$3,Table14[Date],$A36,Table14[Bill No.],$B36),IF($J36="XtraGreen",SUMIFS(Table146[Quantity],Table146[Company],$M$3,Table146[Date],$A36,Table146[Bill No.],$B36),""))))</f>
        <v/>
      </c>
      <c r="D36" s="346" t="str">
        <f>IF($A36="","",IF($J36="DIESEL",AVERAGEIFS(Table1[RSP],Table1[Customer],$M$3,Table1[Date],$A36,Table1[Bill No.],$B36),IF($J36="PETROL",AVERAGEIFS(Table14[RSP],Table14[Customer],$M$3,Table14[Date],$A36,Table14[Bill No.],$B36),IF($J36="XtraGreen",AVERAGEIFS(Table146[RSP],Table146[Company],$M$3,Table146[Date],$A36,Table146[Bill No.],$B36),IFERROR($E36/$C36,"")))))</f>
        <v/>
      </c>
      <c r="E36" s="347">
        <f>IF($A36="","",IF($J36="DIESEL",SUMIFS(Table1[Amount],Table1[Customer],$M$3,Table1[Date],$A36,Table1[Bill No.],$B36),IF($J36="PETROL",SUMIFS(Table14[Amount],Table14[Customer],$M$3,Table14[Date],$A36,Table14[Bill No.],$B36),IF($J36="XtraGreen",SUMIFS(Table146[Amount],Table146[Company],$M$3,Table146[Date],$A36,Table146[Bill No.],$B36),SUMIFS('Other Sale'!$D:$D,'Other Sale'!$E:$E,$M$3,'Other Sale'!$C:$C,$J36,'Other Sale'!$A:$A,$A36)))))</f>
        <v>0</v>
      </c>
      <c r="F36" s="347" cm="1">
        <f t="array" ref="F36">IF($A36="","",IF($J36="Payment",IFERROR(INDEX(_xlfn._xlws.FILTER(MasterPaid[Amount Paid],(MasterPaid[Customer]=$M$3)*(MasterPaid[Date]=$A36)),COUNTIFS($A$6:$A36,$A36,$J$6:$J36,"Payment")),0),0))</f>
        <v>278220</v>
      </c>
      <c r="G36" s="331"/>
      <c r="H36" s="427"/>
      <c r="I36" s="330">
        <f t="shared" si="9"/>
        <v>50575</v>
      </c>
      <c r="J36" s="344" t="str" cm="1">
        <f t="array" ref="J36">IFERROR(INDEX(_xlfn.ANCHORARRAY($P$6),ROW()-5,3),"")</f>
        <v>Payment</v>
      </c>
      <c r="K36" s="349"/>
      <c r="L36" s="348"/>
      <c r="M36" s="277"/>
      <c r="N36" s="277"/>
      <c r="O36" s="277"/>
      <c r="P36">
        <v>46144</v>
      </c>
      <c r="Q36" t="str">
        <v/>
      </c>
      <c r="R36" t="str">
        <v>Payment</v>
      </c>
      <c r="T36" s="439"/>
      <c r="U36" s="350"/>
      <c r="W36" s="316" t="str">
        <f t="shared" si="0"/>
        <v/>
      </c>
      <c r="X36" s="273" t="str">
        <f t="shared" si="1"/>
        <v/>
      </c>
      <c r="Y36" s="273" t="str">
        <f t="shared" si="2"/>
        <v/>
      </c>
      <c r="Z36" s="273" t="str">
        <f t="shared" si="3"/>
        <v/>
      </c>
      <c r="AA36" s="316" t="str">
        <f t="shared" si="4"/>
        <v/>
      </c>
      <c r="AC36" t="str" cm="1">
        <f t="array" ref="AC36">IF(INDEX($T$5:$T$54,ROW()-4)="","",INDEX($T$5:$T$54,ROW()-4))</f>
        <v/>
      </c>
      <c r="AD36" t="str">
        <f t="shared" si="5"/>
        <v/>
      </c>
      <c r="AE36" t="str">
        <f t="shared" si="6"/>
        <v/>
      </c>
      <c r="AF36" t="str">
        <f t="shared" si="7"/>
        <v/>
      </c>
      <c r="AG36">
        <f t="shared" si="8"/>
        <v>0</v>
      </c>
      <c r="AH36" t="str" cm="1">
        <f t="array" ref="AH36">IF($AC36="","",IF($AG36=1,SUMPRODUCT(($AG$5:$AG$54=1)*($AC$5:$AC$54&gt;$AC36))+1,SUM($AG$5:$AG$54)+SUMPRODUCT(($AG$5:$AG$54=0)*($AC$5:$AC$54&lt;&gt;"")*($AC$5:$AC$54&gt;$AC36))+1))</f>
        <v/>
      </c>
    </row>
    <row r="37" spans="1:34" ht="21.75" x14ac:dyDescent="0.25">
      <c r="A37" s="217" cm="1">
        <f t="array" ref="A37">IFERROR(INDEX(_xlfn.ANCHORARRAY($P$6),ROW()-5,1),"")</f>
        <v>46144</v>
      </c>
      <c r="B37" s="344" t="str" cm="1">
        <f t="array" ref="B37">IFERROR(INDEX(_xlfn.ANCHORARRAY($P$6),ROW()-5,2),"")</f>
        <v/>
      </c>
      <c r="C37" s="345" t="str">
        <f>IF($A37="","",IF($J37="DIESEL",SUMIFS(Table1[Quantity],Table1[Customer],$M$3,Table1[Date],$A37,Table1[Bill No.],$B37),IF($J37="PETROL",SUMIFS(Table14[Quantity],Table14[Customer],$M$3,Table14[Date],$A37,Table14[Bill No.],$B37),IF($J37="XtraGreen",SUMIFS(Table146[Quantity],Table146[Company],$M$3,Table146[Date],$A37,Table146[Bill No.],$B37),""))))</f>
        <v/>
      </c>
      <c r="D37" s="346" t="str">
        <f>IF($A37="","",IF($J37="DIESEL",AVERAGEIFS(Table1[RSP],Table1[Customer],$M$3,Table1[Date],$A37,Table1[Bill No.],$B37),IF($J37="PETROL",AVERAGEIFS(Table14[RSP],Table14[Customer],$M$3,Table14[Date],$A37,Table14[Bill No.],$B37),IF($J37="XtraGreen",AVERAGEIFS(Table146[RSP],Table146[Company],$M$3,Table146[Date],$A37,Table146[Bill No.],$B37),IFERROR($E37/$C37,"")))))</f>
        <v/>
      </c>
      <c r="E37" s="347">
        <f>IF($A37="","",IF($J37="DIESEL",SUMIFS(Table1[Amount],Table1[Customer],$M$3,Table1[Date],$A37,Table1[Bill No.],$B37),IF($J37="PETROL",SUMIFS(Table14[Amount],Table14[Customer],$M$3,Table14[Date],$A37,Table14[Bill No.],$B37),IF($J37="XtraGreen",SUMIFS(Table146[Amount],Table146[Company],$M$3,Table146[Date],$A37,Table146[Bill No.],$B37),SUMIFS('Other Sale'!$D:$D,'Other Sale'!$E:$E,$M$3,'Other Sale'!$C:$C,$J37,'Other Sale'!$A:$A,$A37)))))</f>
        <v>0</v>
      </c>
      <c r="F37" s="347" cm="1">
        <f t="array" ref="F37">IF($A37="","",IF($J37="Payment",IFERROR(INDEX(_xlfn._xlws.FILTER(MasterPaid[Amount Paid],(MasterPaid[Customer]=$M$3)*(MasterPaid[Date]=$A37)),COUNTIFS($A$6:$A37,$A37,$J$6:$J37,"Payment")),0),0))</f>
        <v>278220</v>
      </c>
      <c r="G37" s="331"/>
      <c r="H37" s="427"/>
      <c r="I37" s="330">
        <f t="shared" si="9"/>
        <v>-227645</v>
      </c>
      <c r="J37" s="344" t="str" cm="1">
        <f t="array" ref="J37">IFERROR(INDEX(_xlfn.ANCHORARRAY($P$6),ROW()-5,3),"")</f>
        <v>Payment</v>
      </c>
      <c r="K37" s="349"/>
      <c r="L37" s="348"/>
      <c r="M37" s="277"/>
      <c r="N37" s="277"/>
      <c r="O37" s="277"/>
      <c r="P37">
        <v>46144</v>
      </c>
      <c r="Q37" t="str">
        <v/>
      </c>
      <c r="R37" t="str">
        <v>Payment</v>
      </c>
      <c r="T37" s="439"/>
      <c r="U37" s="350"/>
      <c r="W37" s="316" t="str">
        <f t="shared" si="0"/>
        <v/>
      </c>
      <c r="X37" s="273" t="str">
        <f t="shared" si="1"/>
        <v/>
      </c>
      <c r="Y37" s="273" t="str">
        <f t="shared" si="2"/>
        <v/>
      </c>
      <c r="Z37" s="273" t="str">
        <f t="shared" si="3"/>
        <v/>
      </c>
      <c r="AA37" s="316" t="str">
        <f t="shared" si="4"/>
        <v/>
      </c>
      <c r="AC37" t="str" cm="1">
        <f t="array" ref="AC37">IF(INDEX($T$5:$T$54,ROW()-4)="","",INDEX($T$5:$T$54,ROW()-4))</f>
        <v/>
      </c>
      <c r="AD37" t="str">
        <f t="shared" si="5"/>
        <v/>
      </c>
      <c r="AE37" t="str">
        <f t="shared" si="6"/>
        <v/>
      </c>
      <c r="AF37" t="str">
        <f t="shared" si="7"/>
        <v/>
      </c>
      <c r="AG37">
        <f t="shared" si="8"/>
        <v>0</v>
      </c>
      <c r="AH37" t="str" cm="1">
        <f t="array" ref="AH37">IF($AC37="","",IF($AG37=1,SUMPRODUCT(($AG$5:$AG$54=1)*($AC$5:$AC$54&gt;$AC37))+1,SUM($AG$5:$AG$54)+SUMPRODUCT(($AG$5:$AG$54=0)*($AC$5:$AC$54&lt;&gt;"")*($AC$5:$AC$54&gt;$AC37))+1))</f>
        <v/>
      </c>
    </row>
    <row r="38" spans="1:34" ht="21.75" customHeight="1" x14ac:dyDescent="0.25">
      <c r="A38" s="217" cm="1">
        <f t="array" ref="A38">IFERROR(INDEX(_xlfn.ANCHORARRAY($P$6),ROW()-5,1),"")</f>
        <v>46145</v>
      </c>
      <c r="B38" s="344" t="str" cm="1">
        <f t="array" ref="B38">IFERROR(INDEX(_xlfn.ANCHORARRAY($P$6),ROW()-5,2),"")</f>
        <v>400</v>
      </c>
      <c r="C38" s="345">
        <f>IF($A38="","",IF($J38="DIESEL",SUMIFS(Table1[Quantity],Table1[Customer],$M$3,Table1[Date],$A38,Table1[Bill No.],$B38),IF($J38="PETROL",SUMIFS(Table14[Quantity],Table14[Customer],$M$3,Table14[Date],$A38,Table14[Bill No.],$B38),IF($J38="XtraGreen",SUMIFS(Table146[Quantity],Table146[Company],$M$3,Table146[Date],$A38,Table146[Bill No.],$B38),""))))</f>
        <v>3000</v>
      </c>
      <c r="D38" s="346">
        <f>IF($A38="","",IF($J38="DIESEL",AVERAGEIFS(Table1[RSP],Table1[Customer],$M$3,Table1[Date],$A38,Table1[Bill No.],$B38),IF($J38="PETROL",AVERAGEIFS(Table14[RSP],Table14[Customer],$M$3,Table14[Date],$A38,Table14[Bill No.],$B38),IF($J38="XtraGreen",AVERAGEIFS(Table146[RSP],Table146[Company],$M$3,Table146[Date],$A38,Table146[Bill No.],$B38),IFERROR($E38/$C38,"")))))</f>
        <v>92.74</v>
      </c>
      <c r="E38" s="347">
        <f>IF($A38="","",IF($J38="DIESEL",SUMIFS(Table1[Amount],Table1[Customer],$M$3,Table1[Date],$A38,Table1[Bill No.],$B38),IF($J38="PETROL",SUMIFS(Table14[Amount],Table14[Customer],$M$3,Table14[Date],$A38,Table14[Bill No.],$B38),IF($J38="XtraGreen",SUMIFS(Table146[Amount],Table146[Company],$M$3,Table146[Date],$A38,Table146[Bill No.],$B38),SUMIFS('Other Sale'!$D:$D,'Other Sale'!$E:$E,$M$3,'Other Sale'!$C:$C,$J38,'Other Sale'!$A:$A,$A38)))))</f>
        <v>278220</v>
      </c>
      <c r="F38" s="347" cm="1">
        <f t="array" ref="F38">IF($A38="","",IF($J38="Payment",IFERROR(INDEX(_xlfn._xlws.FILTER(MasterPaid[Amount Paid],(MasterPaid[Customer]=$M$3)*(MasterPaid[Date]=$A38)),COUNTIFS($A$6:$A38,$A38,$J$6:$J38,"Payment")),0),0))</f>
        <v>0</v>
      </c>
      <c r="G38" s="331"/>
      <c r="H38" s="427"/>
      <c r="I38" s="330">
        <f t="shared" si="9"/>
        <v>50575</v>
      </c>
      <c r="J38" s="344" t="str" cm="1">
        <f t="array" ref="J38">IFERROR(INDEX(_xlfn.ANCHORARRAY($P$6),ROW()-5,3),"")</f>
        <v>DIESEL</v>
      </c>
      <c r="K38" s="349" t="s">
        <v>2720</v>
      </c>
      <c r="L38" s="348"/>
      <c r="M38" s="277"/>
      <c r="N38" s="277"/>
      <c r="O38" s="277"/>
      <c r="P38">
        <v>46145</v>
      </c>
      <c r="Q38" t="str">
        <v>400</v>
      </c>
      <c r="R38" t="str">
        <v>DIESEL</v>
      </c>
      <c r="T38" s="439"/>
      <c r="U38" s="350"/>
      <c r="W38" s="316" t="str">
        <f t="shared" si="0"/>
        <v/>
      </c>
      <c r="X38" s="273" t="str">
        <f t="shared" si="1"/>
        <v/>
      </c>
      <c r="Y38" s="273" t="str">
        <f t="shared" si="2"/>
        <v/>
      </c>
      <c r="Z38" s="273" t="str">
        <f t="shared" si="3"/>
        <v/>
      </c>
      <c r="AA38" s="316" t="str">
        <f t="shared" si="4"/>
        <v/>
      </c>
      <c r="AC38" t="str" cm="1">
        <f t="array" ref="AC38">IF(INDEX($T$5:$T$54,ROW()-4)="","",INDEX($T$5:$T$54,ROW()-4))</f>
        <v/>
      </c>
      <c r="AD38" t="str">
        <f t="shared" si="5"/>
        <v/>
      </c>
      <c r="AE38" t="str">
        <f t="shared" si="6"/>
        <v/>
      </c>
      <c r="AF38" t="str">
        <f t="shared" si="7"/>
        <v/>
      </c>
      <c r="AG38">
        <f t="shared" si="8"/>
        <v>0</v>
      </c>
      <c r="AH38" t="str" cm="1">
        <f t="array" ref="AH38">IF($AC38="","",IF($AG38=1,SUMPRODUCT(($AG$5:$AG$54=1)*($AC$5:$AC$54&gt;$AC38))+1,SUM($AG$5:$AG$54)+SUMPRODUCT(($AG$5:$AG$54=0)*($AC$5:$AC$54&lt;&gt;"")*($AC$5:$AC$54&gt;$AC38))+1))</f>
        <v/>
      </c>
    </row>
    <row r="39" spans="1:34" ht="21.75" x14ac:dyDescent="0.25">
      <c r="A39" s="217" cm="1">
        <f t="array" ref="A39">IFERROR(INDEX(_xlfn.ANCHORARRAY($P$6),ROW()-5,1),"")</f>
        <v>46147</v>
      </c>
      <c r="B39" s="344" t="str" cm="1">
        <f t="array" ref="B39">IFERROR(INDEX(_xlfn.ANCHORARRAY($P$6),ROW()-5,2),"")</f>
        <v>419</v>
      </c>
      <c r="C39" s="345">
        <f>IF($A39="","",IF($J39="DIESEL",SUMIFS(Table1[Quantity],Table1[Customer],$M$3,Table1[Date],$A39,Table1[Bill No.],$B39),IF($J39="PETROL",SUMIFS(Table14[Quantity],Table14[Customer],$M$3,Table14[Date],$A39,Table14[Bill No.],$B39),IF($J39="XtraGreen",SUMIFS(Table146[Quantity],Table146[Company],$M$3,Table146[Date],$A39,Table146[Bill No.],$B39),""))))</f>
        <v>6000</v>
      </c>
      <c r="D39" s="346">
        <f>IF($A39="","",IF($J39="DIESEL",AVERAGEIFS(Table1[RSP],Table1[Customer],$M$3,Table1[Date],$A39,Table1[Bill No.],$B39),IF($J39="PETROL",AVERAGEIFS(Table14[RSP],Table14[Customer],$M$3,Table14[Date],$A39,Table14[Bill No.],$B39),IF($J39="XtraGreen",AVERAGEIFS(Table146[RSP],Table146[Company],$M$3,Table146[Date],$A39,Table146[Bill No.],$B39),IFERROR($E39/$C39,"")))))</f>
        <v>92.74</v>
      </c>
      <c r="E39" s="347">
        <f>IF($A39="","",IF($J39="DIESEL",SUMIFS(Table1[Amount],Table1[Customer],$M$3,Table1[Date],$A39,Table1[Bill No.],$B39),IF($J39="PETROL",SUMIFS(Table14[Amount],Table14[Customer],$M$3,Table14[Date],$A39,Table14[Bill No.],$B39),IF($J39="XtraGreen",SUMIFS(Table146[Amount],Table146[Company],$M$3,Table146[Date],$A39,Table146[Bill No.],$B39),SUMIFS('Other Sale'!$D:$D,'Other Sale'!$E:$E,$M$3,'Other Sale'!$C:$C,$J39,'Other Sale'!$A:$A,$A39)))))</f>
        <v>556440</v>
      </c>
      <c r="F39" s="347" cm="1">
        <f t="array" ref="F39">IF($A39="","",IF($J39="Payment",IFERROR(INDEX(_xlfn._xlws.FILTER(MasterPaid[Amount Paid],(MasterPaid[Customer]=$M$3)*(MasterPaid[Date]=$A39)),COUNTIFS($A$6:$A39,$A39,$J$6:$J39,"Payment")),0),0))</f>
        <v>0</v>
      </c>
      <c r="G39" s="331"/>
      <c r="H39" s="427"/>
      <c r="I39" s="330">
        <f t="shared" si="9"/>
        <v>607015</v>
      </c>
      <c r="J39" s="344" t="str" cm="1">
        <f t="array" ref="J39">IFERROR(INDEX(_xlfn.ANCHORARRAY($P$6),ROW()-5,3),"")</f>
        <v>DIESEL</v>
      </c>
      <c r="K39" s="349" t="s">
        <v>2720</v>
      </c>
      <c r="L39" s="348"/>
      <c r="M39" s="277"/>
      <c r="N39" s="277"/>
      <c r="O39" s="277"/>
      <c r="P39">
        <v>46147</v>
      </c>
      <c r="Q39" t="str">
        <v>419</v>
      </c>
      <c r="R39" t="str">
        <v>DIESEL</v>
      </c>
      <c r="T39" s="439"/>
      <c r="U39" s="350"/>
      <c r="W39" s="316" t="str">
        <f t="shared" si="0"/>
        <v/>
      </c>
      <c r="X39" s="273" t="str">
        <f t="shared" si="1"/>
        <v/>
      </c>
      <c r="Y39" s="273" t="str">
        <f t="shared" si="2"/>
        <v/>
      </c>
      <c r="Z39" s="273" t="str">
        <f t="shared" si="3"/>
        <v/>
      </c>
      <c r="AA39" s="316" t="str">
        <f t="shared" si="4"/>
        <v/>
      </c>
      <c r="AC39" t="str" cm="1">
        <f t="array" ref="AC39">IF(INDEX($T$5:$T$54,ROW()-4)="","",INDEX($T$5:$T$54,ROW()-4))</f>
        <v/>
      </c>
      <c r="AD39" t="str">
        <f t="shared" si="5"/>
        <v/>
      </c>
      <c r="AE39" t="str">
        <f t="shared" si="6"/>
        <v/>
      </c>
      <c r="AF39" t="str">
        <f t="shared" si="7"/>
        <v/>
      </c>
      <c r="AG39">
        <f t="shared" si="8"/>
        <v>0</v>
      </c>
      <c r="AH39" t="str" cm="1">
        <f t="array" ref="AH39">IF($AC39="","",IF($AG39=1,SUMPRODUCT(($AG$5:$AG$54=1)*($AC$5:$AC$54&gt;$AC39))+1,SUM($AG$5:$AG$54)+SUMPRODUCT(($AG$5:$AG$54=0)*($AC$5:$AC$54&lt;&gt;"")*($AC$5:$AC$54&gt;$AC39))+1))</f>
        <v/>
      </c>
    </row>
    <row r="40" spans="1:34" ht="21.75" x14ac:dyDescent="0.25">
      <c r="A40" s="217" cm="1">
        <f t="array" ref="A40">IFERROR(INDEX(_xlfn.ANCHORARRAY($P$6),ROW()-5,1),"")</f>
        <v>46148</v>
      </c>
      <c r="B40" s="344" t="str" cm="1">
        <f t="array" ref="B40">IFERROR(INDEX(_xlfn.ANCHORARRAY($P$6),ROW()-5,2),"")</f>
        <v>433</v>
      </c>
      <c r="C40" s="345">
        <f>IF($A40="","",IF($J40="DIESEL",SUMIFS(Table1[Quantity],Table1[Customer],$M$3,Table1[Date],$A40,Table1[Bill No.],$B40),IF($J40="PETROL",SUMIFS(Table14[Quantity],Table14[Customer],$M$3,Table14[Date],$A40,Table14[Bill No.],$B40),IF($J40="XtraGreen",SUMIFS(Table146[Quantity],Table146[Company],$M$3,Table146[Date],$A40,Table146[Bill No.],$B40),""))))</f>
        <v>3000</v>
      </c>
      <c r="D40" s="346">
        <f>IF($A40="","",IF($J40="DIESEL",AVERAGEIFS(Table1[RSP],Table1[Customer],$M$3,Table1[Date],$A40,Table1[Bill No.],$B40),IF($J40="PETROL",AVERAGEIFS(Table14[RSP],Table14[Customer],$M$3,Table14[Date],$A40,Table14[Bill No.],$B40),IF($J40="XtraGreen",AVERAGEIFS(Table146[RSP],Table146[Company],$M$3,Table146[Date],$A40,Table146[Bill No.],$B40),IFERROR($E40/$C40,"")))))</f>
        <v>92.74</v>
      </c>
      <c r="E40" s="347">
        <f>IF($A40="","",IF($J40="DIESEL",SUMIFS(Table1[Amount],Table1[Customer],$M$3,Table1[Date],$A40,Table1[Bill No.],$B40),IF($J40="PETROL",SUMIFS(Table14[Amount],Table14[Customer],$M$3,Table14[Date],$A40,Table14[Bill No.],$B40),IF($J40="XtraGreen",SUMIFS(Table146[Amount],Table146[Company],$M$3,Table146[Date],$A40,Table146[Bill No.],$B40),SUMIFS('Other Sale'!$D:$D,'Other Sale'!$E:$E,$M$3,'Other Sale'!$C:$C,$J40,'Other Sale'!$A:$A,$A40)))))</f>
        <v>278220</v>
      </c>
      <c r="F40" s="347" cm="1">
        <f t="array" ref="F40">IF($A40="","",IF($J40="Payment",IFERROR(INDEX(_xlfn._xlws.FILTER(MasterPaid[Amount Paid],(MasterPaid[Customer]=$M$3)*(MasterPaid[Date]=$A40)),COUNTIFS($A$6:$A40,$A40,$J$6:$J40,"Payment")),0),0))</f>
        <v>0</v>
      </c>
      <c r="G40" s="331"/>
      <c r="H40" s="427"/>
      <c r="I40" s="330">
        <f t="shared" si="9"/>
        <v>885235</v>
      </c>
      <c r="J40" s="344" t="str" cm="1">
        <f t="array" ref="J40">IFERROR(INDEX(_xlfn.ANCHORARRAY($P$6),ROW()-5,3),"")</f>
        <v>DIESEL</v>
      </c>
      <c r="K40" s="349" t="s">
        <v>2720</v>
      </c>
      <c r="L40" s="348"/>
      <c r="M40" s="277"/>
      <c r="N40" s="277"/>
      <c r="O40" s="277"/>
      <c r="P40">
        <v>46148</v>
      </c>
      <c r="Q40" t="str">
        <v>433</v>
      </c>
      <c r="R40" t="str">
        <v>DIESEL</v>
      </c>
      <c r="T40" s="439"/>
      <c r="U40" s="350"/>
      <c r="W40" s="316" t="str">
        <f t="shared" si="0"/>
        <v/>
      </c>
      <c r="X40" s="273" t="str">
        <f t="shared" si="1"/>
        <v/>
      </c>
      <c r="Y40" s="273" t="str">
        <f t="shared" si="2"/>
        <v/>
      </c>
      <c r="Z40" s="273" t="str">
        <f t="shared" si="3"/>
        <v/>
      </c>
      <c r="AA40" s="316" t="str">
        <f t="shared" si="4"/>
        <v/>
      </c>
      <c r="AC40" t="str" cm="1">
        <f t="array" ref="AC40">IF(INDEX($T$5:$T$54,ROW()-4)="","",INDEX($T$5:$T$54,ROW()-4))</f>
        <v/>
      </c>
      <c r="AD40" t="str">
        <f t="shared" si="5"/>
        <v/>
      </c>
      <c r="AE40" t="str">
        <f t="shared" si="6"/>
        <v/>
      </c>
      <c r="AF40" t="str">
        <f t="shared" si="7"/>
        <v/>
      </c>
      <c r="AG40">
        <f t="shared" si="8"/>
        <v>0</v>
      </c>
      <c r="AH40" t="str" cm="1">
        <f t="array" ref="AH40">IF($AC40="","",IF($AG40=1,SUMPRODUCT(($AG$5:$AG$54=1)*($AC$5:$AC$54&gt;$AC40))+1,SUM($AG$5:$AG$54)+SUMPRODUCT(($AG$5:$AG$54=0)*($AC$5:$AC$54&lt;&gt;"")*($AC$5:$AC$54&gt;$AC40))+1))</f>
        <v/>
      </c>
    </row>
    <row r="41" spans="1:34" ht="21.75" x14ac:dyDescent="0.25">
      <c r="A41" s="217" cm="1">
        <f t="array" ref="A41">IFERROR(INDEX(_xlfn.ANCHORARRAY($P$6),ROW()-5,1),"")</f>
        <v>46149</v>
      </c>
      <c r="B41" s="344" t="str" cm="1">
        <f t="array" ref="B41">IFERROR(INDEX(_xlfn.ANCHORARRAY($P$6),ROW()-5,2),"")</f>
        <v>455</v>
      </c>
      <c r="C41" s="345">
        <f>IF($A41="","",IF($J41="DIESEL",SUMIFS(Table1[Quantity],Table1[Customer],$M$3,Table1[Date],$A41,Table1[Bill No.],$B41),IF($J41="PETROL",SUMIFS(Table14[Quantity],Table14[Customer],$M$3,Table14[Date],$A41,Table14[Bill No.],$B41),IF($J41="XtraGreen",SUMIFS(Table146[Quantity],Table146[Company],$M$3,Table146[Date],$A41,Table146[Bill No.],$B41),""))))</f>
        <v>12000</v>
      </c>
      <c r="D41" s="346">
        <f>IF($A41="","",IF($J41="DIESEL",AVERAGEIFS(Table1[RSP],Table1[Customer],$M$3,Table1[Date],$A41,Table1[Bill No.],$B41),IF($J41="PETROL",AVERAGEIFS(Table14[RSP],Table14[Customer],$M$3,Table14[Date],$A41,Table14[Bill No.],$B41),IF($J41="XtraGreen",AVERAGEIFS(Table146[RSP],Table146[Company],$M$3,Table146[Date],$A41,Table146[Bill No.],$B41),IFERROR($E41/$C41,"")))))</f>
        <v>92.74</v>
      </c>
      <c r="E41" s="347">
        <f>IF($A41="","",IF($J41="DIESEL",SUMIFS(Table1[Amount],Table1[Customer],$M$3,Table1[Date],$A41,Table1[Bill No.],$B41),IF($J41="PETROL",SUMIFS(Table14[Amount],Table14[Customer],$M$3,Table14[Date],$A41,Table14[Bill No.],$B41),IF($J41="XtraGreen",SUMIFS(Table146[Amount],Table146[Company],$M$3,Table146[Date],$A41,Table146[Bill No.],$B41),SUMIFS('Other Sale'!$D:$D,'Other Sale'!$E:$E,$M$3,'Other Sale'!$C:$C,$J41,'Other Sale'!$A:$A,$A41)))))</f>
        <v>1112880</v>
      </c>
      <c r="F41" s="347" cm="1">
        <f t="array" ref="F41">IF($A41="","",IF($J41="Payment",IFERROR(INDEX(_xlfn._xlws.FILTER(MasterPaid[Amount Paid],(MasterPaid[Customer]=$M$3)*(MasterPaid[Date]=$A41)),COUNTIFS($A$6:$A41,$A41,$J$6:$J41,"Payment")),0),0))</f>
        <v>0</v>
      </c>
      <c r="G41" s="331"/>
      <c r="H41" s="427"/>
      <c r="I41" s="330">
        <f t="shared" si="9"/>
        <v>1998115</v>
      </c>
      <c r="J41" s="344" t="str" cm="1">
        <f t="array" ref="J41">IFERROR(INDEX(_xlfn.ANCHORARRAY($P$6),ROW()-5,3),"")</f>
        <v>DIESEL</v>
      </c>
      <c r="K41" s="349" t="s">
        <v>2720</v>
      </c>
      <c r="L41" s="348"/>
      <c r="M41" s="277"/>
      <c r="N41" s="277"/>
      <c r="O41" s="277"/>
      <c r="P41">
        <v>46149</v>
      </c>
      <c r="Q41" t="str">
        <v>455</v>
      </c>
      <c r="R41" t="str">
        <v>DIESEL</v>
      </c>
      <c r="T41" s="439"/>
      <c r="U41" s="350"/>
      <c r="W41" s="316" t="str">
        <f t="shared" si="0"/>
        <v/>
      </c>
      <c r="X41" s="273" t="str">
        <f t="shared" si="1"/>
        <v/>
      </c>
      <c r="Y41" s="273" t="str">
        <f t="shared" si="2"/>
        <v/>
      </c>
      <c r="Z41" s="273" t="str">
        <f t="shared" si="3"/>
        <v/>
      </c>
      <c r="AA41" s="316" t="str">
        <f t="shared" si="4"/>
        <v/>
      </c>
      <c r="AC41" t="str" cm="1">
        <f t="array" ref="AC41">IF(INDEX($T$5:$T$54,ROW()-4)="","",INDEX($T$5:$T$54,ROW()-4))</f>
        <v/>
      </c>
      <c r="AD41" t="str">
        <f t="shared" si="5"/>
        <v/>
      </c>
      <c r="AE41" t="str">
        <f t="shared" si="6"/>
        <v/>
      </c>
      <c r="AF41" t="str">
        <f t="shared" si="7"/>
        <v/>
      </c>
      <c r="AG41">
        <f t="shared" si="8"/>
        <v>0</v>
      </c>
      <c r="AH41" t="str" cm="1">
        <f t="array" ref="AH41">IF($AC41="","",IF($AG41=1,SUMPRODUCT(($AG$5:$AG$54=1)*($AC$5:$AC$54&gt;$AC41))+1,SUM($AG$5:$AG$54)+SUMPRODUCT(($AG$5:$AG$54=0)*($AC$5:$AC$54&lt;&gt;"")*($AC$5:$AC$54&gt;$AC41))+1))</f>
        <v/>
      </c>
    </row>
    <row r="42" spans="1:34" ht="21.75" x14ac:dyDescent="0.25">
      <c r="A42" s="217" cm="1">
        <f t="array" ref="A42">IFERROR(INDEX(_xlfn.ANCHORARRAY($P$6),ROW()-5,1),"")</f>
        <v>46149</v>
      </c>
      <c r="B42" s="344" t="str" cm="1">
        <f t="array" ref="B42">IFERROR(INDEX(_xlfn.ANCHORARRAY($P$6),ROW()-5,2),"")</f>
        <v/>
      </c>
      <c r="C42" s="345" t="str">
        <f>IF($A42="","",IF($J42="DIESEL",SUMIFS(Table1[Quantity],Table1[Customer],$M$3,Table1[Date],$A42,Table1[Bill No.],$B42),IF($J42="PETROL",SUMIFS(Table14[Quantity],Table14[Customer],$M$3,Table14[Date],$A42,Table14[Bill No.],$B42),IF($J42="XtraGreen",SUMIFS(Table146[Quantity],Table146[Company],$M$3,Table146[Date],$A42,Table146[Bill No.],$B42),""))))</f>
        <v/>
      </c>
      <c r="D42" s="346" t="str">
        <f>IF($A42="","",IF($J42="DIESEL",AVERAGEIFS(Table1[RSP],Table1[Customer],$M$3,Table1[Date],$A42,Table1[Bill No.],$B42),IF($J42="PETROL",AVERAGEIFS(Table14[RSP],Table14[Customer],$M$3,Table14[Date],$A42,Table14[Bill No.],$B42),IF($J42="XtraGreen",AVERAGEIFS(Table146[RSP],Table146[Company],$M$3,Table146[Date],$A42,Table146[Bill No.],$B42),IFERROR($E42/$C42,"")))))</f>
        <v/>
      </c>
      <c r="E42" s="347">
        <f>IF($A42="","",IF($J42="DIESEL",SUMIFS(Table1[Amount],Table1[Customer],$M$3,Table1[Date],$A42,Table1[Bill No.],$B42),IF($J42="PETROL",SUMIFS(Table14[Amount],Table14[Customer],$M$3,Table14[Date],$A42,Table14[Bill No.],$B42),IF($J42="XtraGreen",SUMIFS(Table146[Amount],Table146[Company],$M$3,Table146[Date],$A42,Table146[Bill No.],$B42),SUMIFS('Other Sale'!$D:$D,'Other Sale'!$E:$E,$M$3,'Other Sale'!$C:$C,$J42,'Other Sale'!$A:$A,$A42)))))</f>
        <v>0</v>
      </c>
      <c r="F42" s="347" cm="1">
        <f t="array" ref="F42">IF($A42="","",IF($J42="Payment",IFERROR(INDEX(_xlfn._xlws.FILTER(MasterPaid[Amount Paid],(MasterPaid[Customer]=$M$3)*(MasterPaid[Date]=$A42)),COUNTIFS($A$6:$A42,$A42,$J$6:$J42,"Payment")),0),0))</f>
        <v>278007</v>
      </c>
      <c r="G42" s="331">
        <v>213</v>
      </c>
      <c r="H42" s="427"/>
      <c r="I42" s="330">
        <f t="shared" si="9"/>
        <v>1719895</v>
      </c>
      <c r="J42" s="344" t="str" cm="1">
        <f t="array" ref="J42">IFERROR(INDEX(_xlfn.ANCHORARRAY($P$6),ROW()-5,3),"")</f>
        <v>Payment</v>
      </c>
      <c r="K42" s="349"/>
      <c r="L42" s="348"/>
      <c r="M42" s="277"/>
      <c r="N42" s="277"/>
      <c r="O42" s="277"/>
      <c r="P42">
        <v>46149</v>
      </c>
      <c r="Q42" t="str">
        <v/>
      </c>
      <c r="R42" t="str">
        <v>Payment</v>
      </c>
      <c r="T42" s="439"/>
      <c r="U42" s="350"/>
      <c r="W42" s="316" t="str">
        <f t="shared" si="0"/>
        <v/>
      </c>
      <c r="X42" s="273" t="str">
        <f t="shared" si="1"/>
        <v/>
      </c>
      <c r="Y42" s="273" t="str">
        <f t="shared" si="2"/>
        <v/>
      </c>
      <c r="Z42" s="273" t="str">
        <f t="shared" si="3"/>
        <v/>
      </c>
      <c r="AA42" s="316" t="str">
        <f t="shared" si="4"/>
        <v/>
      </c>
      <c r="AC42" t="str" cm="1">
        <f t="array" ref="AC42">IF(INDEX($T$5:$T$54,ROW()-4)="","",INDEX($T$5:$T$54,ROW()-4))</f>
        <v/>
      </c>
      <c r="AD42" t="str">
        <f t="shared" si="5"/>
        <v/>
      </c>
      <c r="AE42" t="str">
        <f t="shared" si="6"/>
        <v/>
      </c>
      <c r="AF42" t="str">
        <f t="shared" si="7"/>
        <v/>
      </c>
      <c r="AG42">
        <f t="shared" si="8"/>
        <v>0</v>
      </c>
      <c r="AH42" t="str" cm="1">
        <f t="array" ref="AH42">IF($AC42="","",IF($AG42=1,SUMPRODUCT(($AG$5:$AG$54=1)*($AC$5:$AC$54&gt;$AC42))+1,SUM($AG$5:$AG$54)+SUMPRODUCT(($AG$5:$AG$54=0)*($AC$5:$AC$54&lt;&gt;"")*($AC$5:$AC$54&gt;$AC42))+1))</f>
        <v/>
      </c>
    </row>
    <row r="43" spans="1:34" ht="21.75" x14ac:dyDescent="0.25">
      <c r="A43" s="217" cm="1">
        <f t="array" ref="A43">IFERROR(INDEX(_xlfn.ANCHORARRAY($P$6),ROW()-5,1),"")</f>
        <v>46149</v>
      </c>
      <c r="B43" s="344" t="str" cm="1">
        <f t="array" ref="B43">IFERROR(INDEX(_xlfn.ANCHORARRAY($P$6),ROW()-5,2),"")</f>
        <v/>
      </c>
      <c r="C43" s="345" t="str">
        <f>IF($A43="","",IF($J43="DIESEL",SUMIFS(Table1[Quantity],Table1[Customer],$M$3,Table1[Date],$A43,Table1[Bill No.],$B43),IF($J43="PETROL",SUMIFS(Table14[Quantity],Table14[Customer],$M$3,Table14[Date],$A43,Table14[Bill No.],$B43),IF($J43="XtraGreen",SUMIFS(Table146[Quantity],Table146[Company],$M$3,Table146[Date],$A43,Table146[Bill No.],$B43),""))))</f>
        <v/>
      </c>
      <c r="D43" s="346" t="str">
        <f>IF($A43="","",IF($J43="DIESEL",AVERAGEIFS(Table1[RSP],Table1[Customer],$M$3,Table1[Date],$A43,Table1[Bill No.],$B43),IF($J43="PETROL",AVERAGEIFS(Table14[RSP],Table14[Customer],$M$3,Table14[Date],$A43,Table14[Bill No.],$B43),IF($J43="XtraGreen",AVERAGEIFS(Table146[RSP],Table146[Company],$M$3,Table146[Date],$A43,Table146[Bill No.],$B43),IFERROR($E43/$C43,"")))))</f>
        <v/>
      </c>
      <c r="E43" s="347">
        <f>IF($A43="","",IF($J43="DIESEL",SUMIFS(Table1[Amount],Table1[Customer],$M$3,Table1[Date],$A43,Table1[Bill No.],$B43),IF($J43="PETROL",SUMIFS(Table14[Amount],Table14[Customer],$M$3,Table14[Date],$A43,Table14[Bill No.],$B43),IF($J43="XtraGreen",SUMIFS(Table146[Amount],Table146[Company],$M$3,Table146[Date],$A43,Table146[Bill No.],$B43),SUMIFS('Other Sale'!$D:$D,'Other Sale'!$E:$E,$M$3,'Other Sale'!$C:$C,$J43,'Other Sale'!$A:$A,$A43)))))</f>
        <v>0</v>
      </c>
      <c r="F43" s="347" cm="1">
        <f t="array" ref="F43">IF($A43="","",IF($J43="Payment",IFERROR(INDEX(_xlfn._xlws.FILTER(MasterPaid[Amount Paid],(MasterPaid[Customer]=$M$3)*(MasterPaid[Date]=$A43)),COUNTIFS($A$6:$A43,$A43,$J$6:$J43,"Payment")),0),0))</f>
        <v>278220</v>
      </c>
      <c r="G43" s="331"/>
      <c r="H43" s="427"/>
      <c r="I43" s="330">
        <f t="shared" si="9"/>
        <v>1441675</v>
      </c>
      <c r="J43" s="344" t="str" cm="1">
        <f t="array" ref="J43">IFERROR(INDEX(_xlfn.ANCHORARRAY($P$6),ROW()-5,3),"")</f>
        <v>Payment</v>
      </c>
      <c r="K43" s="349"/>
      <c r="L43" s="348"/>
      <c r="M43" s="277"/>
      <c r="N43" s="277"/>
      <c r="O43" s="277"/>
      <c r="P43">
        <v>46149</v>
      </c>
      <c r="Q43" t="str">
        <v/>
      </c>
      <c r="R43" t="str">
        <v>Payment</v>
      </c>
      <c r="T43" s="439"/>
      <c r="U43" s="350"/>
      <c r="W43" s="316" t="str">
        <f t="shared" si="0"/>
        <v/>
      </c>
      <c r="X43" s="273" t="str">
        <f t="shared" si="1"/>
        <v/>
      </c>
      <c r="Y43" s="273" t="str">
        <f t="shared" si="2"/>
        <v/>
      </c>
      <c r="Z43" s="273" t="str">
        <f t="shared" si="3"/>
        <v/>
      </c>
      <c r="AA43" s="316" t="str">
        <f t="shared" si="4"/>
        <v/>
      </c>
      <c r="AC43" t="str" cm="1">
        <f t="array" ref="AC43">IF(INDEX($T$5:$T$54,ROW()-4)="","",INDEX($T$5:$T$54,ROW()-4))</f>
        <v/>
      </c>
      <c r="AD43" t="str">
        <f t="shared" si="5"/>
        <v/>
      </c>
      <c r="AE43" t="str">
        <f t="shared" si="6"/>
        <v/>
      </c>
      <c r="AF43" t="str">
        <f t="shared" si="7"/>
        <v/>
      </c>
      <c r="AG43">
        <f t="shared" si="8"/>
        <v>0</v>
      </c>
      <c r="AH43" t="str" cm="1">
        <f t="array" ref="AH43">IF($AC43="","",IF($AG43=1,SUMPRODUCT(($AG$5:$AG$54=1)*($AC$5:$AC$54&gt;$AC43))+1,SUM($AG$5:$AG$54)+SUMPRODUCT(($AG$5:$AG$54=0)*($AC$5:$AC$54&lt;&gt;"")*($AC$5:$AC$54&gt;$AC43))+1))</f>
        <v/>
      </c>
    </row>
    <row r="44" spans="1:34" ht="21.75" x14ac:dyDescent="0.25">
      <c r="A44" s="217" cm="1">
        <f t="array" ref="A44">IFERROR(INDEX(_xlfn.ANCHORARRAY($P$6),ROW()-5,1),"")</f>
        <v>46149</v>
      </c>
      <c r="B44" s="344" t="str" cm="1">
        <f t="array" ref="B44">IFERROR(INDEX(_xlfn.ANCHORARRAY($P$6),ROW()-5,2),"")</f>
        <v/>
      </c>
      <c r="C44" s="345" t="str">
        <f>IF($A44="","",IF($J44="DIESEL",SUMIFS(Table1[Quantity],Table1[Customer],$M$3,Table1[Date],$A44,Table1[Bill No.],$B44),IF($J44="PETROL",SUMIFS(Table14[Quantity],Table14[Customer],$M$3,Table14[Date],$A44,Table14[Bill No.],$B44),IF($J44="XtraGreen",SUMIFS(Table146[Quantity],Table146[Company],$M$3,Table146[Date],$A44,Table146[Bill No.],$B44),""))))</f>
        <v/>
      </c>
      <c r="D44" s="346" t="str">
        <f>IF($A44="","",IF($J44="DIESEL",AVERAGEIFS(Table1[RSP],Table1[Customer],$M$3,Table1[Date],$A44,Table1[Bill No.],$B44),IF($J44="PETROL",AVERAGEIFS(Table14[RSP],Table14[Customer],$M$3,Table14[Date],$A44,Table14[Bill No.],$B44),IF($J44="XtraGreen",AVERAGEIFS(Table146[RSP],Table146[Company],$M$3,Table146[Date],$A44,Table146[Bill No.],$B44),IFERROR($E44/$C44,"")))))</f>
        <v/>
      </c>
      <c r="E44" s="347">
        <f>IF($A44="","",IF($J44="DIESEL",SUMIFS(Table1[Amount],Table1[Customer],$M$3,Table1[Date],$A44,Table1[Bill No.],$B44),IF($J44="PETROL",SUMIFS(Table14[Amount],Table14[Customer],$M$3,Table14[Date],$A44,Table14[Bill No.],$B44),IF($J44="XtraGreen",SUMIFS(Table146[Amount],Table146[Company],$M$3,Table146[Date],$A44,Table146[Bill No.],$B44),SUMIFS('Other Sale'!$D:$D,'Other Sale'!$E:$E,$M$3,'Other Sale'!$C:$C,$J44,'Other Sale'!$A:$A,$A44)))))</f>
        <v>0</v>
      </c>
      <c r="F44" s="347" cm="1">
        <f t="array" ref="F44">IF($A44="","",IF($J44="Payment",IFERROR(INDEX(_xlfn._xlws.FILTER(MasterPaid[Amount Paid],(MasterPaid[Customer]=$M$3)*(MasterPaid[Date]=$A44)),COUNTIFS($A$6:$A44,$A44,$J$6:$J44,"Payment")),0),0))</f>
        <v>278220</v>
      </c>
      <c r="G44" s="331"/>
      <c r="H44" s="427"/>
      <c r="I44" s="330">
        <f t="shared" si="9"/>
        <v>1163455</v>
      </c>
      <c r="J44" s="344" t="str" cm="1">
        <f t="array" ref="J44">IFERROR(INDEX(_xlfn.ANCHORARRAY($P$6),ROW()-5,3),"")</f>
        <v>Payment</v>
      </c>
      <c r="K44" s="349"/>
      <c r="L44" s="348"/>
      <c r="M44" s="277"/>
      <c r="N44" s="277"/>
      <c r="O44" s="277"/>
      <c r="P44">
        <v>46149</v>
      </c>
      <c r="Q44" t="str">
        <v/>
      </c>
      <c r="R44" t="str">
        <v>Payment</v>
      </c>
      <c r="T44" s="439"/>
      <c r="U44" s="350"/>
      <c r="W44" s="316" t="str">
        <f t="shared" si="0"/>
        <v/>
      </c>
      <c r="X44" s="273" t="str">
        <f t="shared" si="1"/>
        <v/>
      </c>
      <c r="Y44" s="273" t="str">
        <f t="shared" si="2"/>
        <v/>
      </c>
      <c r="Z44" s="273" t="str">
        <f t="shared" si="3"/>
        <v/>
      </c>
      <c r="AA44" s="316" t="str">
        <f t="shared" si="4"/>
        <v/>
      </c>
      <c r="AC44" t="str" cm="1">
        <f t="array" ref="AC44">IF(INDEX($T$5:$T$54,ROW()-4)="","",INDEX($T$5:$T$54,ROW()-4))</f>
        <v/>
      </c>
      <c r="AD44" t="str">
        <f t="shared" si="5"/>
        <v/>
      </c>
      <c r="AE44" t="str">
        <f t="shared" si="6"/>
        <v/>
      </c>
      <c r="AF44" t="str">
        <f t="shared" si="7"/>
        <v/>
      </c>
      <c r="AG44">
        <f t="shared" si="8"/>
        <v>0</v>
      </c>
      <c r="AH44" t="str" cm="1">
        <f t="array" ref="AH44">IF($AC44="","",IF($AG44=1,SUMPRODUCT(($AG$5:$AG$54=1)*($AC$5:$AC$54&gt;$AC44))+1,SUM($AG$5:$AG$54)+SUMPRODUCT(($AG$5:$AG$54=0)*($AC$5:$AC$54&lt;&gt;"")*($AC$5:$AC$54&gt;$AC44))+1))</f>
        <v/>
      </c>
    </row>
    <row r="45" spans="1:34" ht="21.75" x14ac:dyDescent="0.25">
      <c r="A45" s="217" cm="1">
        <f t="array" ref="A45">IFERROR(INDEX(_xlfn.ANCHORARRAY($P$6),ROW()-5,1),"")</f>
        <v>46150</v>
      </c>
      <c r="B45" s="344" t="str" cm="1">
        <f t="array" ref="B45">IFERROR(INDEX(_xlfn.ANCHORARRAY($P$6),ROW()-5,2),"")</f>
        <v/>
      </c>
      <c r="C45" s="345" t="str">
        <f>IF($A45="","",IF($J45="DIESEL",SUMIFS(Table1[Quantity],Table1[Customer],$M$3,Table1[Date],$A45,Table1[Bill No.],$B45),IF($J45="PETROL",SUMIFS(Table14[Quantity],Table14[Customer],$M$3,Table14[Date],$A45,Table14[Bill No.],$B45),IF($J45="XtraGreen",SUMIFS(Table146[Quantity],Table146[Company],$M$3,Table146[Date],$A45,Table146[Bill No.],$B45),""))))</f>
        <v/>
      </c>
      <c r="D45" s="346" t="str">
        <f>IF($A45="","",IF($J45="DIESEL",AVERAGEIFS(Table1[RSP],Table1[Customer],$M$3,Table1[Date],$A45,Table1[Bill No.],$B45),IF($J45="PETROL",AVERAGEIFS(Table14[RSP],Table14[Customer],$M$3,Table14[Date],$A45,Table14[Bill No.],$B45),IF($J45="XtraGreen",AVERAGEIFS(Table146[RSP],Table146[Company],$M$3,Table146[Date],$A45,Table146[Bill No.],$B45),IFERROR($E45/$C45,"")))))</f>
        <v/>
      </c>
      <c r="E45" s="347">
        <f>IF($A45="","",IF($J45="DIESEL",SUMIFS(Table1[Amount],Table1[Customer],$M$3,Table1[Date],$A45,Table1[Bill No.],$B45),IF($J45="PETROL",SUMIFS(Table14[Amount],Table14[Customer],$M$3,Table14[Date],$A45,Table14[Bill No.],$B45),IF($J45="XtraGreen",SUMIFS(Table146[Amount],Table146[Company],$M$3,Table146[Date],$A45,Table146[Bill No.],$B45),SUMIFS('Other Sale'!$D:$D,'Other Sale'!$E:$E,$M$3,'Other Sale'!$C:$C,$J45,'Other Sale'!$A:$A,$A45)))))</f>
        <v>0</v>
      </c>
      <c r="F45" s="347" cm="1">
        <f t="array" ref="F45">IF($A45="","",IF($J45="Payment",IFERROR(INDEX(_xlfn._xlws.FILTER(MasterPaid[Amount Paid],(MasterPaid[Customer]=$M$3)*(MasterPaid[Date]=$A45)),COUNTIFS($A$6:$A45,$A45,$J$6:$J45,"Payment")),0),0))</f>
        <v>370589</v>
      </c>
      <c r="G45" s="331">
        <v>1113</v>
      </c>
      <c r="H45" s="427"/>
      <c r="I45" s="330">
        <f t="shared" si="9"/>
        <v>791753</v>
      </c>
      <c r="J45" s="344" t="str" cm="1">
        <f t="array" ref="J45">IFERROR(INDEX(_xlfn.ANCHORARRAY($P$6),ROW()-5,3),"")</f>
        <v>Payment</v>
      </c>
      <c r="K45" s="349"/>
      <c r="L45" s="348"/>
      <c r="M45" s="277"/>
      <c r="N45" s="277"/>
      <c r="O45" s="277"/>
      <c r="P45">
        <v>46150</v>
      </c>
      <c r="Q45" t="str">
        <v/>
      </c>
      <c r="R45" t="str">
        <v>Payment</v>
      </c>
      <c r="T45" s="439"/>
      <c r="U45" s="350"/>
      <c r="W45" s="316" t="str">
        <f t="shared" si="0"/>
        <v/>
      </c>
      <c r="X45" s="273" t="str">
        <f t="shared" si="1"/>
        <v/>
      </c>
      <c r="Y45" s="273" t="str">
        <f t="shared" si="2"/>
        <v/>
      </c>
      <c r="Z45" s="273" t="str">
        <f t="shared" si="3"/>
        <v/>
      </c>
      <c r="AA45" s="316" t="str">
        <f t="shared" si="4"/>
        <v/>
      </c>
      <c r="AC45" t="str" cm="1">
        <f t="array" ref="AC45">IF(INDEX($T$5:$T$54,ROW()-4)="","",INDEX($T$5:$T$54,ROW()-4))</f>
        <v/>
      </c>
      <c r="AD45" t="str">
        <f t="shared" si="5"/>
        <v/>
      </c>
      <c r="AE45" t="str">
        <f t="shared" si="6"/>
        <v/>
      </c>
      <c r="AF45" t="str">
        <f t="shared" si="7"/>
        <v/>
      </c>
      <c r="AG45">
        <f t="shared" si="8"/>
        <v>0</v>
      </c>
      <c r="AH45" t="str" cm="1">
        <f t="array" ref="AH45">IF($AC45="","",IF($AG45=1,SUMPRODUCT(($AG$5:$AG$54=1)*($AC$5:$AC$54&gt;$AC45))+1,SUM($AG$5:$AG$54)+SUMPRODUCT(($AG$5:$AG$54=0)*($AC$5:$AC$54&lt;&gt;"")*($AC$5:$AC$54&gt;$AC45))+1))</f>
        <v/>
      </c>
    </row>
    <row r="46" spans="1:34" ht="21.75" x14ac:dyDescent="0.25">
      <c r="A46" s="217" cm="1">
        <f t="array" ref="A46">IFERROR(INDEX(_xlfn.ANCHORARRAY($P$6),ROW()-5,1),"")</f>
        <v>46150</v>
      </c>
      <c r="B46" s="344" t="str" cm="1">
        <f t="array" ref="B46">IFERROR(INDEX(_xlfn.ANCHORARRAY($P$6),ROW()-5,2),"")</f>
        <v/>
      </c>
      <c r="C46" s="345" t="str">
        <f>IF($A46="","",IF($J46="DIESEL",SUMIFS(Table1[Quantity],Table1[Customer],$M$3,Table1[Date],$A46,Table1[Bill No.],$B46),IF($J46="PETROL",SUMIFS(Table14[Quantity],Table14[Customer],$M$3,Table14[Date],$A46,Table14[Bill No.],$B46),IF($J46="XtraGreen",SUMIFS(Table146[Quantity],Table146[Company],$M$3,Table146[Date],$A46,Table146[Bill No.],$B46),""))))</f>
        <v/>
      </c>
      <c r="D46" s="346" t="str">
        <f>IF($A46="","",IF($J46="DIESEL",AVERAGEIFS(Table1[RSP],Table1[Customer],$M$3,Table1[Date],$A46,Table1[Bill No.],$B46),IF($J46="PETROL",AVERAGEIFS(Table14[RSP],Table14[Customer],$M$3,Table14[Date],$A46,Table14[Bill No.],$B46),IF($J46="XtraGreen",AVERAGEIFS(Table146[RSP],Table146[Company],$M$3,Table146[Date],$A46,Table146[Bill No.],$B46),IFERROR($E46/$C46,"")))))</f>
        <v/>
      </c>
      <c r="E46" s="347">
        <f>IF($A46="","",IF($J46="DIESEL",SUMIFS(Table1[Amount],Table1[Customer],$M$3,Table1[Date],$A46,Table1[Bill No.],$B46),IF($J46="PETROL",SUMIFS(Table14[Amount],Table14[Customer],$M$3,Table14[Date],$A46,Table14[Bill No.],$B46),IF($J46="XtraGreen",SUMIFS(Table146[Amount],Table146[Company],$M$3,Table146[Date],$A46,Table146[Bill No.],$B46),SUMIFS('Other Sale'!$D:$D,'Other Sale'!$E:$E,$M$3,'Other Sale'!$C:$C,$J46,'Other Sale'!$A:$A,$A46)))))</f>
        <v>0</v>
      </c>
      <c r="F46" s="347" cm="1">
        <f t="array" ref="F46">IF($A46="","",IF($J46="Payment",IFERROR(INDEX(_xlfn._xlws.FILTER(MasterPaid[Amount Paid],(MasterPaid[Customer]=$M$3)*(MasterPaid[Date]=$A46)),COUNTIFS($A$6:$A46,$A46,$J$6:$J46,"Payment")),0),0))</f>
        <v>370589</v>
      </c>
      <c r="G46" s="331"/>
      <c r="H46" s="427"/>
      <c r="I46" s="330">
        <f t="shared" si="9"/>
        <v>421164</v>
      </c>
      <c r="J46" s="344" t="str" cm="1">
        <f t="array" ref="J46">IFERROR(INDEX(_xlfn.ANCHORARRAY($P$6),ROW()-5,3),"")</f>
        <v>Payment</v>
      </c>
      <c r="K46" s="349"/>
      <c r="L46" s="348"/>
      <c r="M46" s="277"/>
      <c r="N46" s="277"/>
      <c r="O46" s="277"/>
      <c r="P46">
        <v>46150</v>
      </c>
      <c r="Q46" t="str">
        <v/>
      </c>
      <c r="R46" t="str">
        <v>Payment</v>
      </c>
      <c r="T46" s="439"/>
      <c r="U46" s="350"/>
      <c r="W46" s="316" t="str">
        <f t="shared" si="0"/>
        <v/>
      </c>
      <c r="X46" s="273" t="str">
        <f t="shared" si="1"/>
        <v/>
      </c>
      <c r="Y46" s="273" t="str">
        <f t="shared" si="2"/>
        <v/>
      </c>
      <c r="Z46" s="273" t="str">
        <f t="shared" si="3"/>
        <v/>
      </c>
      <c r="AA46" s="316" t="str">
        <f t="shared" si="4"/>
        <v/>
      </c>
      <c r="AC46" t="str" cm="1">
        <f t="array" ref="AC46">IF(INDEX($T$5:$T$54,ROW()-4)="","",INDEX($T$5:$T$54,ROW()-4))</f>
        <v/>
      </c>
      <c r="AD46" t="str">
        <f t="shared" si="5"/>
        <v/>
      </c>
      <c r="AE46" t="str">
        <f t="shared" si="6"/>
        <v/>
      </c>
      <c r="AF46" t="str">
        <f t="shared" si="7"/>
        <v/>
      </c>
      <c r="AG46">
        <f t="shared" si="8"/>
        <v>0</v>
      </c>
      <c r="AH46" t="str" cm="1">
        <f t="array" ref="AH46">IF($AC46="","",IF($AG46=1,SUMPRODUCT(($AG$5:$AG$54=1)*($AC$5:$AC$54&gt;$AC46))+1,SUM($AG$5:$AG$54)+SUMPRODUCT(($AG$5:$AG$54=0)*($AC$5:$AC$54&lt;&gt;"")*($AC$5:$AC$54&gt;$AC46))+1))</f>
        <v/>
      </c>
    </row>
    <row r="47" spans="1:34" ht="21.75" x14ac:dyDescent="0.25">
      <c r="A47" s="217" cm="1">
        <f t="array" ref="A47">IFERROR(INDEX(_xlfn.ANCHORARRAY($P$6),ROW()-5,1),"")</f>
        <v>46150</v>
      </c>
      <c r="B47" s="344" t="str" cm="1">
        <f t="array" ref="B47">IFERROR(INDEX(_xlfn.ANCHORARRAY($P$6),ROW()-5,2),"")</f>
        <v/>
      </c>
      <c r="C47" s="345" t="str">
        <f>IF($A47="","",IF($J47="DIESEL",SUMIFS(Table1[Quantity],Table1[Customer],$M$3,Table1[Date],$A47,Table1[Bill No.],$B47),IF($J47="PETROL",SUMIFS(Table14[Quantity],Table14[Customer],$M$3,Table14[Date],$A47,Table14[Bill No.],$B47),IF($J47="XtraGreen",SUMIFS(Table146[Quantity],Table146[Company],$M$3,Table146[Date],$A47,Table146[Bill No.],$B47),""))))</f>
        <v/>
      </c>
      <c r="D47" s="346" t="str">
        <f>IF($A47="","",IF($J47="DIESEL",AVERAGEIFS(Table1[RSP],Table1[Customer],$M$3,Table1[Date],$A47,Table1[Bill No.],$B47),IF($J47="PETROL",AVERAGEIFS(Table14[RSP],Table14[Customer],$M$3,Table14[Date],$A47,Table14[Bill No.],$B47),IF($J47="XtraGreen",AVERAGEIFS(Table146[RSP],Table146[Company],$M$3,Table146[Date],$A47,Table146[Bill No.],$B47),IFERROR($E47/$C47,"")))))</f>
        <v/>
      </c>
      <c r="E47" s="347">
        <f>IF($A47="","",IF($J47="DIESEL",SUMIFS(Table1[Amount],Table1[Customer],$M$3,Table1[Date],$A47,Table1[Bill No.],$B47),IF($J47="PETROL",SUMIFS(Table14[Amount],Table14[Customer],$M$3,Table14[Date],$A47,Table14[Bill No.],$B47),IF($J47="XtraGreen",SUMIFS(Table146[Amount],Table146[Company],$M$3,Table146[Date],$A47,Table146[Bill No.],$B47),SUMIFS('Other Sale'!$D:$D,'Other Sale'!$E:$E,$M$3,'Other Sale'!$C:$C,$J47,'Other Sale'!$A:$A,$A47)))))</f>
        <v>0</v>
      </c>
      <c r="F47" s="347" cm="1">
        <f t="array" ref="F47">IF($A47="","",IF($J47="Payment",IFERROR(INDEX(_xlfn._xlws.FILTER(MasterPaid[Amount Paid],(MasterPaid[Customer]=$M$3)*(MasterPaid[Date]=$A47)),COUNTIFS($A$6:$A47,$A47,$J$6:$J47,"Payment")),0),0))</f>
        <v>370589</v>
      </c>
      <c r="G47" s="331"/>
      <c r="H47" s="427"/>
      <c r="I47" s="330">
        <f t="shared" si="9"/>
        <v>50575</v>
      </c>
      <c r="J47" s="344" t="str" cm="1">
        <f t="array" ref="J47">IFERROR(INDEX(_xlfn.ANCHORARRAY($P$6),ROW()-5,3),"")</f>
        <v>Payment</v>
      </c>
      <c r="K47" s="349"/>
      <c r="L47" s="348"/>
      <c r="M47" s="277"/>
      <c r="N47" s="277"/>
      <c r="O47" s="277"/>
      <c r="P47">
        <v>46150</v>
      </c>
      <c r="Q47" t="str">
        <v/>
      </c>
      <c r="R47" t="str">
        <v>Payment</v>
      </c>
      <c r="T47" s="439"/>
      <c r="U47" s="350"/>
      <c r="W47" s="316" t="str">
        <f t="shared" si="0"/>
        <v/>
      </c>
      <c r="X47" s="273" t="str">
        <f t="shared" si="1"/>
        <v/>
      </c>
      <c r="Y47" s="273" t="str">
        <f t="shared" si="2"/>
        <v/>
      </c>
      <c r="Z47" s="273" t="str">
        <f t="shared" si="3"/>
        <v/>
      </c>
      <c r="AA47" s="316" t="str">
        <f t="shared" si="4"/>
        <v/>
      </c>
      <c r="AC47" t="str" cm="1">
        <f t="array" ref="AC47">IF(INDEX($T$5:$T$54,ROW()-4)="","",INDEX($T$5:$T$54,ROW()-4))</f>
        <v/>
      </c>
      <c r="AD47" t="str">
        <f t="shared" si="5"/>
        <v/>
      </c>
      <c r="AE47" t="str">
        <f t="shared" si="6"/>
        <v/>
      </c>
      <c r="AF47" t="str">
        <f t="shared" si="7"/>
        <v/>
      </c>
      <c r="AG47">
        <f t="shared" si="8"/>
        <v>0</v>
      </c>
      <c r="AH47" t="str" cm="1">
        <f t="array" ref="AH47">IF($AC47="","",IF($AG47=1,SUMPRODUCT(($AG$5:$AG$54=1)*($AC$5:$AC$54&gt;$AC47))+1,SUM($AG$5:$AG$54)+SUMPRODUCT(($AG$5:$AG$54=0)*($AC$5:$AC$54&lt;&gt;"")*($AC$5:$AC$54&gt;$AC47))+1))</f>
        <v/>
      </c>
    </row>
    <row r="48" spans="1:34" ht="21.75" customHeight="1" x14ac:dyDescent="0.25">
      <c r="A48" s="217" cm="1">
        <f t="array" ref="A48">IFERROR(INDEX(_xlfn.ANCHORARRAY($P$6),ROW()-5,1),"")</f>
        <v>46153</v>
      </c>
      <c r="B48" s="344" t="str" cm="1">
        <f t="array" ref="B48">IFERROR(INDEX(_xlfn.ANCHORARRAY($P$6),ROW()-5,2),"")</f>
        <v>480</v>
      </c>
      <c r="C48" s="345">
        <f>IF($A48="","",IF($J48="DIESEL",SUMIFS(Table1[Quantity],Table1[Customer],$M$3,Table1[Date],$A48,Table1[Bill No.],$B48),IF($J48="PETROL",SUMIFS(Table14[Quantity],Table14[Customer],$M$3,Table14[Date],$A48,Table14[Bill No.],$B48),IF($J48="XtraGreen",SUMIFS(Table146[Quantity],Table146[Company],$M$3,Table146[Date],$A48,Table146[Bill No.],$B48),""))))</f>
        <v>3000</v>
      </c>
      <c r="D48" s="346">
        <f>IF($A48="","",IF($J48="DIESEL",AVERAGEIFS(Table1[RSP],Table1[Customer],$M$3,Table1[Date],$A48,Table1[Bill No.],$B48),IF($J48="PETROL",AVERAGEIFS(Table14[RSP],Table14[Customer],$M$3,Table14[Date],$A48,Table14[Bill No.],$B48),IF($J48="XtraGreen",AVERAGEIFS(Table146[RSP],Table146[Company],$M$3,Table146[Date],$A48,Table146[Bill No.],$B48),IFERROR($E48/$C48,"")))))</f>
        <v>92.74</v>
      </c>
      <c r="E48" s="347">
        <f>IF($A48="","",IF($J48="DIESEL",SUMIFS(Table1[Amount],Table1[Customer],$M$3,Table1[Date],$A48,Table1[Bill No.],$B48),IF($J48="PETROL",SUMIFS(Table14[Amount],Table14[Customer],$M$3,Table14[Date],$A48,Table14[Bill No.],$B48),IF($J48="XtraGreen",SUMIFS(Table146[Amount],Table146[Company],$M$3,Table146[Date],$A48,Table146[Bill No.],$B48),SUMIFS('Other Sale'!$D:$D,'Other Sale'!$E:$E,$M$3,'Other Sale'!$C:$C,$J48,'Other Sale'!$A:$A,$A48)))))</f>
        <v>278220</v>
      </c>
      <c r="F48" s="347" cm="1">
        <f t="array" ref="F48">IF($A48="","",IF($J48="Payment",IFERROR(INDEX(_xlfn._xlws.FILTER(MasterPaid[Amount Paid],(MasterPaid[Customer]=$M$3)*(MasterPaid[Date]=$A48)),COUNTIFS($A$6:$A48,$A48,$J$6:$J48,"Payment")),0),0))</f>
        <v>0</v>
      </c>
      <c r="G48" s="331"/>
      <c r="H48" s="427"/>
      <c r="I48" s="330">
        <f t="shared" si="9"/>
        <v>328795</v>
      </c>
      <c r="J48" s="344" t="str" cm="1">
        <f t="array" ref="J48">IFERROR(INDEX(_xlfn.ANCHORARRAY($P$6),ROW()-5,3),"")</f>
        <v>DIESEL</v>
      </c>
      <c r="K48" s="349" t="s">
        <v>2720</v>
      </c>
      <c r="L48" s="348"/>
      <c r="M48" s="277"/>
      <c r="N48" s="277"/>
      <c r="O48" s="277"/>
      <c r="P48">
        <v>46153</v>
      </c>
      <c r="Q48" t="str">
        <v>480</v>
      </c>
      <c r="R48" t="str">
        <v>DIESEL</v>
      </c>
      <c r="T48" s="439"/>
      <c r="U48" s="350"/>
      <c r="W48" s="316" t="str">
        <f t="shared" si="0"/>
        <v/>
      </c>
      <c r="X48" s="273" t="str">
        <f t="shared" si="1"/>
        <v/>
      </c>
      <c r="Y48" s="273" t="str">
        <f t="shared" si="2"/>
        <v/>
      </c>
      <c r="Z48" s="273" t="str">
        <f t="shared" si="3"/>
        <v/>
      </c>
      <c r="AA48" s="316" t="str">
        <f t="shared" si="4"/>
        <v/>
      </c>
      <c r="AC48" t="str" cm="1">
        <f t="array" ref="AC48">IF(INDEX($T$5:$T$54,ROW()-4)="","",INDEX($T$5:$T$54,ROW()-4))</f>
        <v/>
      </c>
      <c r="AD48" t="str">
        <f t="shared" si="5"/>
        <v/>
      </c>
      <c r="AE48" t="str">
        <f t="shared" si="6"/>
        <v/>
      </c>
      <c r="AF48" t="str">
        <f t="shared" si="7"/>
        <v/>
      </c>
      <c r="AG48">
        <f t="shared" si="8"/>
        <v>0</v>
      </c>
      <c r="AH48" t="str" cm="1">
        <f t="array" ref="AH48">IF($AC48="","",IF($AG48=1,SUMPRODUCT(($AG$5:$AG$54=1)*($AC$5:$AC$54&gt;$AC48))+1,SUM($AG$5:$AG$54)+SUMPRODUCT(($AG$5:$AG$54=0)*($AC$5:$AC$54&lt;&gt;"")*($AC$5:$AC$54&gt;$AC48))+1))</f>
        <v/>
      </c>
    </row>
    <row r="49" spans="1:34" ht="21.75" x14ac:dyDescent="0.25">
      <c r="A49" s="217" cm="1">
        <f t="array" ref="A49">IFERROR(INDEX(_xlfn.ANCHORARRAY($P$6),ROW()-5,1),"")</f>
        <v>46153</v>
      </c>
      <c r="B49" s="344" t="str" cm="1">
        <f t="array" ref="B49">IFERROR(INDEX(_xlfn.ANCHORARRAY($P$6),ROW()-5,2),"")</f>
        <v/>
      </c>
      <c r="C49" s="345" t="str">
        <f>IF($A49="","",IF($J49="DIESEL",SUMIFS(Table1[Quantity],Table1[Customer],$M$3,Table1[Date],$A49,Table1[Bill No.],$B49),IF($J49="PETROL",SUMIFS(Table14[Quantity],Table14[Customer],$M$3,Table14[Date],$A49,Table14[Bill No.],$B49),IF($J49="XtraGreen",SUMIFS(Table146[Quantity],Table146[Company],$M$3,Table146[Date],$A49,Table146[Bill No.],$B49),""))))</f>
        <v/>
      </c>
      <c r="D49" s="346" t="str">
        <f>IF($A49="","",IF($J49="DIESEL",AVERAGEIFS(Table1[RSP],Table1[Customer],$M$3,Table1[Date],$A49,Table1[Bill No.],$B49),IF($J49="PETROL",AVERAGEIFS(Table14[RSP],Table14[Customer],$M$3,Table14[Date],$A49,Table14[Bill No.],$B49),IF($J49="XtraGreen",AVERAGEIFS(Table146[RSP],Table146[Company],$M$3,Table146[Date],$A49,Table146[Bill No.],$B49),IFERROR($E49/$C49,"")))))</f>
        <v/>
      </c>
      <c r="E49" s="347">
        <f>IF($A49="","",IF($J49="DIESEL",SUMIFS(Table1[Amount],Table1[Customer],$M$3,Table1[Date],$A49,Table1[Bill No.],$B49),IF($J49="PETROL",SUMIFS(Table14[Amount],Table14[Customer],$M$3,Table14[Date],$A49,Table14[Bill No.],$B49),IF($J49="XtraGreen",SUMIFS(Table146[Amount],Table146[Company],$M$3,Table146[Date],$A49,Table146[Bill No.],$B49),SUMIFS('Other Sale'!$D:$D,'Other Sale'!$E:$E,$M$3,'Other Sale'!$C:$C,$J49,'Other Sale'!$A:$A,$A49)))))</f>
        <v>0</v>
      </c>
      <c r="F49" s="347" cm="1">
        <f t="array" ref="F49">IF($A49="","",IF($J49="Payment",IFERROR(INDEX(_xlfn._xlws.FILTER(MasterPaid[Amount Paid],(MasterPaid[Customer]=$M$3)*(MasterPaid[Date]=$A49)),COUNTIFS($A$6:$A49,$A49,$J$6:$J49,"Payment")),0),0))</f>
        <v>277942</v>
      </c>
      <c r="G49" s="331">
        <v>556</v>
      </c>
      <c r="H49" s="427"/>
      <c r="I49" s="330">
        <f t="shared" si="9"/>
        <v>50297</v>
      </c>
      <c r="J49" s="344" t="str" cm="1">
        <f t="array" ref="J49">IFERROR(INDEX(_xlfn.ANCHORARRAY($P$6),ROW()-5,3),"")</f>
        <v>Payment</v>
      </c>
      <c r="K49" s="349"/>
      <c r="L49" s="348"/>
      <c r="M49" s="277"/>
      <c r="N49" s="277"/>
      <c r="O49" s="277"/>
      <c r="P49">
        <v>46153</v>
      </c>
      <c r="Q49" t="str">
        <v/>
      </c>
      <c r="R49" t="str">
        <v>Payment</v>
      </c>
      <c r="T49" s="439"/>
      <c r="U49" s="350"/>
      <c r="W49" s="316" t="str">
        <f t="shared" si="0"/>
        <v/>
      </c>
      <c r="X49" s="273" t="str">
        <f t="shared" si="1"/>
        <v/>
      </c>
      <c r="Y49" s="273" t="str">
        <f t="shared" si="2"/>
        <v/>
      </c>
      <c r="Z49" s="273" t="str">
        <f t="shared" si="3"/>
        <v/>
      </c>
      <c r="AA49" s="316" t="str">
        <f t="shared" si="4"/>
        <v/>
      </c>
      <c r="AC49" t="str" cm="1">
        <f t="array" ref="AC49">IF(INDEX($T$5:$T$54,ROW()-4)="","",INDEX($T$5:$T$54,ROW()-4))</f>
        <v/>
      </c>
      <c r="AD49" t="str">
        <f t="shared" si="5"/>
        <v/>
      </c>
      <c r="AE49" t="str">
        <f t="shared" si="6"/>
        <v/>
      </c>
      <c r="AF49" t="str">
        <f t="shared" si="7"/>
        <v/>
      </c>
      <c r="AG49">
        <f t="shared" si="8"/>
        <v>0</v>
      </c>
      <c r="AH49" t="str" cm="1">
        <f t="array" ref="AH49">IF($AC49="","",IF($AG49=1,SUMPRODUCT(($AG$5:$AG$54=1)*($AC$5:$AC$54&gt;$AC49))+1,SUM($AG$5:$AG$54)+SUMPRODUCT(($AG$5:$AG$54=0)*($AC$5:$AC$54&lt;&gt;"")*($AC$5:$AC$54&gt;$AC49))+1))</f>
        <v/>
      </c>
    </row>
    <row r="50" spans="1:34" ht="21.75" x14ac:dyDescent="0.25">
      <c r="A50" s="217" cm="1">
        <f t="array" ref="A50">IFERROR(INDEX(_xlfn.ANCHORARRAY($P$6),ROW()-5,1),"")</f>
        <v>46153</v>
      </c>
      <c r="B50" s="344" t="str" cm="1">
        <f t="array" ref="B50">IFERROR(INDEX(_xlfn.ANCHORARRAY($P$6),ROW()-5,2),"")</f>
        <v/>
      </c>
      <c r="C50" s="345" t="str">
        <f>IF($A50="","",IF($J50="DIESEL",SUMIFS(Table1[Quantity],Table1[Customer],$M$3,Table1[Date],$A50,Table1[Bill No.],$B50),IF($J50="PETROL",SUMIFS(Table14[Quantity],Table14[Customer],$M$3,Table14[Date],$A50,Table14[Bill No.],$B50),IF($J50="XtraGreen",SUMIFS(Table146[Quantity],Table146[Company],$M$3,Table146[Date],$A50,Table146[Bill No.],$B50),""))))</f>
        <v/>
      </c>
      <c r="D50" s="346" t="str">
        <f>IF($A50="","",IF($J50="DIESEL",AVERAGEIFS(Table1[RSP],Table1[Customer],$M$3,Table1[Date],$A50,Table1[Bill No.],$B50),IF($J50="PETROL",AVERAGEIFS(Table14[RSP],Table14[Customer],$M$3,Table14[Date],$A50,Table14[Bill No.],$B50),IF($J50="XtraGreen",AVERAGEIFS(Table146[RSP],Table146[Company],$M$3,Table146[Date],$A50,Table146[Bill No.],$B50),IFERROR($E50/$C50,"")))))</f>
        <v/>
      </c>
      <c r="E50" s="347">
        <f>IF($A50="","",IF($J50="DIESEL",SUMIFS(Table1[Amount],Table1[Customer],$M$3,Table1[Date],$A50,Table1[Bill No.],$B50),IF($J50="PETROL",SUMIFS(Table14[Amount],Table14[Customer],$M$3,Table14[Date],$A50,Table14[Bill No.],$B50),IF($J50="XtraGreen",SUMIFS(Table146[Amount],Table146[Company],$M$3,Table146[Date],$A50,Table146[Bill No.],$B50),SUMIFS('Other Sale'!$D:$D,'Other Sale'!$E:$E,$M$3,'Other Sale'!$C:$C,$J50,'Other Sale'!$A:$A,$A50)))))</f>
        <v>0</v>
      </c>
      <c r="F50" s="347" cm="1">
        <f t="array" ref="F50">IF($A50="","",IF($J50="Payment",IFERROR(INDEX(_xlfn._xlws.FILTER(MasterPaid[Amount Paid],(MasterPaid[Customer]=$M$3)*(MasterPaid[Date]=$A50)),COUNTIFS($A$6:$A50,$A50,$J$6:$J50,"Payment")),0),0))</f>
        <v>277942</v>
      </c>
      <c r="G50" s="331"/>
      <c r="H50" s="427"/>
      <c r="I50" s="330">
        <f t="shared" si="9"/>
        <v>-227645</v>
      </c>
      <c r="J50" s="344" t="str" cm="1">
        <f t="array" ref="J50">IFERROR(INDEX(_xlfn.ANCHORARRAY($P$6),ROW()-5,3),"")</f>
        <v>Payment</v>
      </c>
      <c r="K50" s="349"/>
      <c r="L50" s="348"/>
      <c r="M50" s="277"/>
      <c r="N50" s="277"/>
      <c r="O50" s="277"/>
      <c r="P50">
        <v>46153</v>
      </c>
      <c r="Q50" t="str">
        <v/>
      </c>
      <c r="R50" t="str">
        <v>Payment</v>
      </c>
      <c r="T50" s="439"/>
      <c r="U50" s="350"/>
      <c r="W50" s="316" t="str">
        <f t="shared" si="0"/>
        <v/>
      </c>
      <c r="X50" s="273" t="str">
        <f t="shared" si="1"/>
        <v/>
      </c>
      <c r="Y50" s="273" t="str">
        <f t="shared" si="2"/>
        <v/>
      </c>
      <c r="Z50" s="273" t="str">
        <f t="shared" si="3"/>
        <v/>
      </c>
      <c r="AA50" s="316" t="str">
        <f t="shared" si="4"/>
        <v/>
      </c>
      <c r="AC50" t="str" cm="1">
        <f t="array" ref="AC50">IF(INDEX($T$5:$T$54,ROW()-4)="","",INDEX($T$5:$T$54,ROW()-4))</f>
        <v/>
      </c>
      <c r="AD50" t="str">
        <f t="shared" si="5"/>
        <v/>
      </c>
      <c r="AE50" t="str">
        <f t="shared" si="6"/>
        <v/>
      </c>
      <c r="AF50" t="str">
        <f t="shared" si="7"/>
        <v/>
      </c>
      <c r="AG50">
        <f t="shared" si="8"/>
        <v>0</v>
      </c>
      <c r="AH50" t="str" cm="1">
        <f t="array" ref="AH50">IF($AC50="","",IF($AG50=1,SUMPRODUCT(($AG$5:$AG$54=1)*($AC$5:$AC$54&gt;$AC50))+1,SUM($AG$5:$AG$54)+SUMPRODUCT(($AG$5:$AG$54=0)*($AC$5:$AC$54&lt;&gt;"")*($AC$5:$AC$54&gt;$AC50))+1))</f>
        <v/>
      </c>
    </row>
    <row r="51" spans="1:34" ht="21.75" x14ac:dyDescent="0.25">
      <c r="A51" s="217" cm="1">
        <f t="array" ref="A51">IFERROR(INDEX(_xlfn.ANCHORARRAY($P$6),ROW()-5,1),"")</f>
        <v>46154</v>
      </c>
      <c r="B51" s="344" t="str" cm="1">
        <f t="array" ref="B51">IFERROR(INDEX(_xlfn.ANCHORARRAY($P$6),ROW()-5,2),"")</f>
        <v>MS101</v>
      </c>
      <c r="C51" s="345">
        <f>IF($A51="","",IF($J51="DIESEL",SUMIFS(Table1[Quantity],Table1[Customer],$M$3,Table1[Date],$A51,Table1[Bill No.],$B51),IF($J51="PETROL",SUMIFS(Table14[Quantity],Table14[Customer],$M$3,Table14[Date],$A51,Table14[Bill No.],$B51),IF($J51="XtraGreen",SUMIFS(Table146[Quantity],Table146[Company],$M$3,Table146[Date],$A51,Table146[Bill No.],$B51),""))))</f>
        <v>100</v>
      </c>
      <c r="D51" s="346">
        <f>IF($A51="","",IF($J51="DIESEL",AVERAGEIFS(Table1[RSP],Table1[Customer],$M$3,Table1[Date],$A51,Table1[Bill No.],$B51),IF($J51="PETROL",AVERAGEIFS(Table14[RSP],Table14[Customer],$M$3,Table14[Date],$A51,Table14[Bill No.],$B51),IF($J51="XtraGreen",AVERAGEIFS(Table146[RSP],Table146[Company],$M$3,Table146[Date],$A51,Table146[Bill No.],$B51),IFERROR($E51/$C51,"")))))</f>
        <v>101.15</v>
      </c>
      <c r="E51" s="347">
        <f>IF($A51="","",IF($J51="DIESEL",SUMIFS(Table1[Amount],Table1[Customer],$M$3,Table1[Date],$A51,Table1[Bill No.],$B51),IF($J51="PETROL",SUMIFS(Table14[Amount],Table14[Customer],$M$3,Table14[Date],$A51,Table14[Bill No.],$B51),IF($J51="XtraGreen",SUMIFS(Table146[Amount],Table146[Company],$M$3,Table146[Date],$A51,Table146[Bill No.],$B51),SUMIFS('Other Sale'!$D:$D,'Other Sale'!$E:$E,$M$3,'Other Sale'!$C:$C,$J51,'Other Sale'!$A:$A,$A51)))))</f>
        <v>10115</v>
      </c>
      <c r="F51" s="347" cm="1">
        <f t="array" ref="F51">IF($A51="","",IF($J51="Payment",IFERROR(INDEX(_xlfn._xlws.FILTER(MasterPaid[Amount Paid],(MasterPaid[Customer]=$M$3)*(MasterPaid[Date]=$A51)),COUNTIFS($A$6:$A51,$A51,$J$6:$J51,"Payment")),0),0))</f>
        <v>0</v>
      </c>
      <c r="G51" s="331"/>
      <c r="H51" s="427"/>
      <c r="I51" s="330">
        <f t="shared" si="9"/>
        <v>-217530</v>
      </c>
      <c r="J51" s="344" t="str" cm="1">
        <f t="array" ref="J51">IFERROR(INDEX(_xlfn.ANCHORARRAY($P$6),ROW()-5,3),"")</f>
        <v>PETROL</v>
      </c>
      <c r="K51" s="349"/>
      <c r="L51" s="348"/>
      <c r="M51" s="277"/>
      <c r="N51" s="277"/>
      <c r="O51" s="277"/>
      <c r="P51">
        <v>46154</v>
      </c>
      <c r="Q51" t="str">
        <v>MS101</v>
      </c>
      <c r="R51" t="str">
        <v>PETROL</v>
      </c>
      <c r="T51" s="439"/>
      <c r="U51" s="350"/>
      <c r="W51" s="316" t="str">
        <f t="shared" si="0"/>
        <v/>
      </c>
      <c r="X51" s="273" t="str">
        <f t="shared" si="1"/>
        <v/>
      </c>
      <c r="Y51" s="273" t="str">
        <f t="shared" si="2"/>
        <v/>
      </c>
      <c r="Z51" s="273" t="str">
        <f t="shared" si="3"/>
        <v/>
      </c>
      <c r="AA51" s="316" t="str">
        <f t="shared" si="4"/>
        <v/>
      </c>
      <c r="AC51" t="str" cm="1">
        <f t="array" ref="AC51">IF(INDEX($T$5:$T$54,ROW()-4)="","",INDEX($T$5:$T$54,ROW()-4))</f>
        <v/>
      </c>
      <c r="AD51" t="str">
        <f t="shared" si="5"/>
        <v/>
      </c>
      <c r="AE51" t="str">
        <f t="shared" si="6"/>
        <v/>
      </c>
      <c r="AF51" t="str">
        <f t="shared" si="7"/>
        <v/>
      </c>
      <c r="AG51">
        <f t="shared" si="8"/>
        <v>0</v>
      </c>
      <c r="AH51" t="str" cm="1">
        <f t="array" ref="AH51">IF($AC51="","",IF($AG51=1,SUMPRODUCT(($AG$5:$AG$54=1)*($AC$5:$AC$54&gt;$AC51))+1,SUM($AG$5:$AG$54)+SUMPRODUCT(($AG$5:$AG$54=0)*($AC$5:$AC$54&lt;&gt;"")*($AC$5:$AC$54&gt;$AC51))+1))</f>
        <v/>
      </c>
    </row>
    <row r="52" spans="1:34" ht="21.75" x14ac:dyDescent="0.25">
      <c r="A52" s="217" cm="1">
        <f t="array" ref="A52">IFERROR(INDEX(_xlfn.ANCHORARRAY($P$6),ROW()-5,1),"")</f>
        <v>46155</v>
      </c>
      <c r="B52" s="344" t="str" cm="1">
        <f t="array" ref="B52">IFERROR(INDEX(_xlfn.ANCHORARRAY($P$6),ROW()-5,2),"")</f>
        <v/>
      </c>
      <c r="C52" s="345" t="str">
        <f>IF($A52="","",IF($J52="DIESEL",SUMIFS(Table1[Quantity],Table1[Customer],$M$3,Table1[Date],$A52,Table1[Bill No.],$B52),IF($J52="PETROL",SUMIFS(Table14[Quantity],Table14[Customer],$M$3,Table14[Date],$A52,Table14[Bill No.],$B52),IF($J52="XtraGreen",SUMIFS(Table146[Quantity],Table146[Company],$M$3,Table146[Date],$A52,Table146[Bill No.],$B52),""))))</f>
        <v/>
      </c>
      <c r="D52" s="346" t="str">
        <f>IF($A52="","",IF($J52="DIESEL",AVERAGEIFS(Table1[RSP],Table1[Customer],$M$3,Table1[Date],$A52,Table1[Bill No.],$B52),IF($J52="PETROL",AVERAGEIFS(Table14[RSP],Table14[Customer],$M$3,Table14[Date],$A52,Table14[Bill No.],$B52),IF($J52="XtraGreen",AVERAGEIFS(Table146[RSP],Table146[Company],$M$3,Table146[Date],$A52,Table146[Bill No.],$B52),IFERROR($E52/$C52,"")))))</f>
        <v/>
      </c>
      <c r="E52" s="347">
        <f>IF($A52="","",IF($J52="DIESEL",SUMIFS(Table1[Amount],Table1[Customer],$M$3,Table1[Date],$A52,Table1[Bill No.],$B52),IF($J52="PETROL",SUMIFS(Table14[Amount],Table14[Customer],$M$3,Table14[Date],$A52,Table14[Bill No.],$B52),IF($J52="XtraGreen",SUMIFS(Table146[Amount],Table146[Company],$M$3,Table146[Date],$A52,Table146[Bill No.],$B52),SUMIFS('Other Sale'!$D:$D,'Other Sale'!$E:$E,$M$3,'Other Sale'!$C:$C,$J52,'Other Sale'!$A:$A,$A52)))))</f>
        <v>0</v>
      </c>
      <c r="F52" s="347" cm="1">
        <f t="array" ref="F52">IF($A52="","",IF($J52="Payment",IFERROR(INDEX(_xlfn._xlws.FILTER(MasterPaid[Amount Paid],(MasterPaid[Customer]=$M$3)*(MasterPaid[Date]=$A52)),COUNTIFS($A$6:$A52,$A52,$J$6:$J52,"Payment")),0),0))</f>
        <v>30345</v>
      </c>
      <c r="G52" s="331"/>
      <c r="H52" s="427"/>
      <c r="I52" s="330">
        <f t="shared" si="9"/>
        <v>-247875</v>
      </c>
      <c r="J52" s="344" t="str" cm="1">
        <f t="array" ref="J52">IFERROR(INDEX(_xlfn.ANCHORARRAY($P$6),ROW()-5,3),"")</f>
        <v>Payment</v>
      </c>
      <c r="K52" s="349"/>
      <c r="L52" s="348"/>
      <c r="M52" s="277"/>
      <c r="N52" s="277"/>
      <c r="O52" s="277"/>
      <c r="P52">
        <v>46155</v>
      </c>
      <c r="Q52" t="str">
        <v/>
      </c>
      <c r="R52" t="str">
        <v>Payment</v>
      </c>
      <c r="T52" s="439"/>
      <c r="U52" s="350"/>
      <c r="W52" s="316" t="str">
        <f t="shared" si="0"/>
        <v/>
      </c>
      <c r="X52" s="273" t="str">
        <f t="shared" si="1"/>
        <v/>
      </c>
      <c r="Y52" s="273" t="str">
        <f t="shared" si="2"/>
        <v/>
      </c>
      <c r="Z52" s="273" t="str">
        <f t="shared" si="3"/>
        <v/>
      </c>
      <c r="AA52" s="316" t="str">
        <f t="shared" si="4"/>
        <v/>
      </c>
      <c r="AC52" t="str" cm="1">
        <f t="array" ref="AC52">IF(INDEX($T$5:$T$54,ROW()-4)="","",INDEX($T$5:$T$54,ROW()-4))</f>
        <v/>
      </c>
      <c r="AD52" t="str">
        <f t="shared" si="5"/>
        <v/>
      </c>
      <c r="AE52" t="str">
        <f t="shared" si="6"/>
        <v/>
      </c>
      <c r="AF52" t="str">
        <f t="shared" si="7"/>
        <v/>
      </c>
      <c r="AG52">
        <f t="shared" si="8"/>
        <v>0</v>
      </c>
      <c r="AH52" t="str" cm="1">
        <f t="array" ref="AH52">IF($AC52="","",IF($AG52=1,SUMPRODUCT(($AG$5:$AG$54=1)*($AC$5:$AC$54&gt;$AC52))+1,SUM($AG$5:$AG$54)+SUMPRODUCT(($AG$5:$AG$54=0)*($AC$5:$AC$54&lt;&gt;"")*($AC$5:$AC$54&gt;$AC52))+1))</f>
        <v/>
      </c>
    </row>
    <row r="53" spans="1:34" ht="21.75" x14ac:dyDescent="0.25">
      <c r="A53" s="217" cm="1">
        <f t="array" ref="A53">IFERROR(INDEX(_xlfn.ANCHORARRAY($P$6),ROW()-5,1),"")</f>
        <v>46159</v>
      </c>
      <c r="B53" s="344" t="str" cm="1">
        <f t="array" ref="B53">IFERROR(INDEX(_xlfn.ANCHORARRAY($P$6),ROW()-5,2),"")</f>
        <v>540</v>
      </c>
      <c r="C53" s="345">
        <f>IF($A53="","",IF($J53="DIESEL",SUMIFS(Table1[Quantity],Table1[Customer],$M$3,Table1[Date],$A53,Table1[Bill No.],$B53),IF($J53="PETROL",SUMIFS(Table14[Quantity],Table14[Customer],$M$3,Table14[Date],$A53,Table14[Bill No.],$B53),IF($J53="XtraGreen",SUMIFS(Table146[Quantity],Table146[Company],$M$3,Table146[Date],$A53,Table146[Bill No.],$B53),""))))</f>
        <v>3000</v>
      </c>
      <c r="D53" s="346">
        <f>IF($A53="","",IF($J53="DIESEL",AVERAGEIFS(Table1[RSP],Table1[Customer],$M$3,Table1[Date],$A53,Table1[Bill No.],$B53),IF($J53="PETROL",AVERAGEIFS(Table14[RSP],Table14[Customer],$M$3,Table14[Date],$A53,Table14[Bill No.],$B53),IF($J53="XtraGreen",AVERAGEIFS(Table146[RSP],Table146[Company],$M$3,Table146[Date],$A53,Table146[Bill No.],$B53),IFERROR($E53/$C53,"")))))</f>
        <v>95.93</v>
      </c>
      <c r="E53" s="347">
        <f>IF($A53="","",IF($J53="DIESEL",SUMIFS(Table1[Amount],Table1[Customer],$M$3,Table1[Date],$A53,Table1[Bill No.],$B53),IF($J53="PETROL",SUMIFS(Table14[Amount],Table14[Customer],$M$3,Table14[Date],$A53,Table14[Bill No.],$B53),IF($J53="XtraGreen",SUMIFS(Table146[Amount],Table146[Company],$M$3,Table146[Date],$A53,Table146[Bill No.],$B53),SUMIFS('Other Sale'!$D:$D,'Other Sale'!$E:$E,$M$3,'Other Sale'!$C:$C,$J53,'Other Sale'!$A:$A,$A53)))))</f>
        <v>287790</v>
      </c>
      <c r="F53" s="347" cm="1">
        <f t="array" ref="F53">IF($A53="","",IF($J53="Payment",IFERROR(INDEX(_xlfn._xlws.FILTER(MasterPaid[Amount Paid],(MasterPaid[Customer]=$M$3)*(MasterPaid[Date]=$A53)),COUNTIFS($A$6:$A53,$A53,$J$6:$J53,"Payment")),0),0))</f>
        <v>0</v>
      </c>
      <c r="G53" s="331"/>
      <c r="H53" s="427"/>
      <c r="I53" s="330">
        <f t="shared" si="9"/>
        <v>39915</v>
      </c>
      <c r="J53" s="344" t="str" cm="1">
        <f t="array" ref="J53">IFERROR(INDEX(_xlfn.ANCHORARRAY($P$6),ROW()-5,3),"")</f>
        <v>DIESEL</v>
      </c>
      <c r="K53" s="349" t="s">
        <v>2721</v>
      </c>
      <c r="L53" s="348"/>
      <c r="M53" s="277"/>
      <c r="N53" s="277"/>
      <c r="O53" s="277"/>
      <c r="P53">
        <v>46159</v>
      </c>
      <c r="Q53" t="str">
        <v>540</v>
      </c>
      <c r="R53" t="str">
        <v>DIESEL</v>
      </c>
      <c r="T53" s="439"/>
      <c r="U53" s="350"/>
      <c r="W53" s="316" t="str">
        <f t="shared" si="0"/>
        <v/>
      </c>
      <c r="X53" s="273" t="str">
        <f t="shared" si="1"/>
        <v/>
      </c>
      <c r="Y53" s="273" t="str">
        <f t="shared" si="2"/>
        <v/>
      </c>
      <c r="Z53" s="273" t="str">
        <f t="shared" si="3"/>
        <v/>
      </c>
      <c r="AA53" s="316" t="str">
        <f t="shared" si="4"/>
        <v/>
      </c>
      <c r="AC53" t="str" cm="1">
        <f t="array" ref="AC53">IF(INDEX($T$5:$T$54,ROW()-4)="","",INDEX($T$5:$T$54,ROW()-4))</f>
        <v/>
      </c>
      <c r="AD53" t="str">
        <f t="shared" si="5"/>
        <v/>
      </c>
      <c r="AE53" t="str">
        <f t="shared" si="6"/>
        <v/>
      </c>
      <c r="AF53" t="str">
        <f t="shared" si="7"/>
        <v/>
      </c>
      <c r="AG53">
        <f t="shared" si="8"/>
        <v>0</v>
      </c>
      <c r="AH53" t="str" cm="1">
        <f t="array" ref="AH53">IF($AC53="","",IF($AG53=1,SUMPRODUCT(($AG$5:$AG$54=1)*($AC$5:$AC$54&gt;$AC53))+1,SUM($AG$5:$AG$54)+SUMPRODUCT(($AG$5:$AG$54=0)*($AC$5:$AC$54&lt;&gt;"")*($AC$5:$AC$54&gt;$AC53))+1))</f>
        <v/>
      </c>
    </row>
    <row r="54" spans="1:34" ht="21.75" x14ac:dyDescent="0.25">
      <c r="A54" s="217" cm="1">
        <f t="array" ref="A54">IFERROR(INDEX(_xlfn.ANCHORARRAY($P$6),ROW()-5,1),"")</f>
        <v>46162</v>
      </c>
      <c r="B54" s="344" t="str" cm="1">
        <f t="array" ref="B54">IFERROR(INDEX(_xlfn.ANCHORARRAY($P$6),ROW()-5,2),"")</f>
        <v>567</v>
      </c>
      <c r="C54" s="345">
        <f>IF($A54="","",IF($J54="DIESEL",SUMIFS(Table1[Quantity],Table1[Customer],$M$3,Table1[Date],$A54,Table1[Bill No.],$B54),IF($J54="PETROL",SUMIFS(Table14[Quantity],Table14[Customer],$M$3,Table14[Date],$A54,Table14[Bill No.],$B54),IF($J54="XtraGreen",SUMIFS(Table146[Quantity],Table146[Company],$M$3,Table146[Date],$A54,Table146[Bill No.],$B54),""))))</f>
        <v>4000</v>
      </c>
      <c r="D54" s="346">
        <f>IF($A54="","",IF($J54="DIESEL",AVERAGEIFS(Table1[RSP],Table1[Customer],$M$3,Table1[Date],$A54,Table1[Bill No.],$B54),IF($J54="PETROL",AVERAGEIFS(Table14[RSP],Table14[Customer],$M$3,Table14[Date],$A54,Table14[Bill No.],$B54),IF($J54="XtraGreen",AVERAGEIFS(Table146[RSP],Table146[Company],$M$3,Table146[Date],$A54,Table146[Bill No.],$B54),IFERROR($E54/$C54,"")))))</f>
        <v>96.9</v>
      </c>
      <c r="E54" s="347">
        <f>IF($A54="","",IF($J54="DIESEL",SUMIFS(Table1[Amount],Table1[Customer],$M$3,Table1[Date],$A54,Table1[Bill No.],$B54),IF($J54="PETROL",SUMIFS(Table14[Amount],Table14[Customer],$M$3,Table14[Date],$A54,Table14[Bill No.],$B54),IF($J54="XtraGreen",SUMIFS(Table146[Amount],Table146[Company],$M$3,Table146[Date],$A54,Table146[Bill No.],$B54),SUMIFS('Other Sale'!$D:$D,'Other Sale'!$E:$E,$M$3,'Other Sale'!$C:$C,$J54,'Other Sale'!$A:$A,$A54)))))</f>
        <v>387600</v>
      </c>
      <c r="F54" s="347" cm="1">
        <f t="array" ref="F54">IF($A54="","",IF($J54="Payment",IFERROR(INDEX(_xlfn._xlws.FILTER(MasterPaid[Amount Paid],(MasterPaid[Customer]=$M$3)*(MasterPaid[Date]=$A54)),COUNTIFS($A$6:$A54,$A54,$J$6:$J54,"Payment")),0),0))</f>
        <v>0</v>
      </c>
      <c r="G54" s="331"/>
      <c r="H54" s="427"/>
      <c r="I54" s="330">
        <f t="shared" si="9"/>
        <v>427515</v>
      </c>
      <c r="J54" s="344" t="str" cm="1">
        <f t="array" ref="J54">IFERROR(INDEX(_xlfn.ANCHORARRAY($P$6),ROW()-5,3),"")</f>
        <v>DIESEL</v>
      </c>
      <c r="K54" s="349" t="s">
        <v>2722</v>
      </c>
      <c r="L54" s="348"/>
      <c r="M54" s="277"/>
      <c r="N54" s="277"/>
      <c r="O54" s="277"/>
      <c r="P54">
        <v>46162</v>
      </c>
      <c r="Q54" t="str">
        <v>567</v>
      </c>
      <c r="R54" t="str">
        <v>DIESEL</v>
      </c>
      <c r="T54" s="439"/>
      <c r="U54" s="350"/>
      <c r="W54" s="316" t="str">
        <f t="shared" si="0"/>
        <v/>
      </c>
      <c r="X54" s="273" t="str">
        <f t="shared" si="1"/>
        <v/>
      </c>
      <c r="Y54" s="273" t="str">
        <f t="shared" si="2"/>
        <v/>
      </c>
      <c r="Z54" s="273" t="str">
        <f t="shared" si="3"/>
        <v/>
      </c>
      <c r="AA54" s="316" t="str">
        <f t="shared" si="4"/>
        <v/>
      </c>
      <c r="AC54" t="str" cm="1">
        <f t="array" ref="AC54">IF(INDEX($T$5:$T$54,ROW()-4)="","",INDEX($T$5:$T$54,ROW()-4))</f>
        <v/>
      </c>
      <c r="AD54" t="str">
        <f t="shared" si="5"/>
        <v/>
      </c>
      <c r="AE54" t="str">
        <f t="shared" si="6"/>
        <v/>
      </c>
      <c r="AF54" t="str">
        <f t="shared" si="7"/>
        <v/>
      </c>
      <c r="AG54">
        <f t="shared" si="8"/>
        <v>0</v>
      </c>
      <c r="AH54" t="str" cm="1">
        <f t="array" ref="AH54">IF($AC54="","",IF($AG54=1,SUMPRODUCT(($AG$5:$AG$54=1)*($AC$5:$AC$54&gt;$AC54))+1,SUM($AG$5:$AG$54)+SUMPRODUCT(($AG$5:$AG$54=0)*($AC$5:$AC$54&lt;&gt;"")*($AC$5:$AC$54&gt;$AC54))+1))</f>
        <v/>
      </c>
    </row>
    <row r="55" spans="1:34" ht="21.75" x14ac:dyDescent="0.25">
      <c r="A55" s="217" cm="1">
        <f t="array" ref="A55">IFERROR(INDEX(_xlfn.ANCHORARRAY($P$6),ROW()-5,1),"")</f>
        <v>46163</v>
      </c>
      <c r="B55" s="344" t="str" cm="1">
        <f t="array" ref="B55">IFERROR(INDEX(_xlfn.ANCHORARRAY($P$6),ROW()-5,2),"")</f>
        <v>MS123</v>
      </c>
      <c r="C55" s="345">
        <f>IF($A55="","",IF($J55="DIESEL",SUMIFS(Table1[Quantity],Table1[Customer],$M$3,Table1[Date],$A55,Table1[Bill No.],$B55),IF($J55="PETROL",SUMIFS(Table14[Quantity],Table14[Customer],$M$3,Table14[Date],$A55,Table14[Bill No.],$B55),IF($J55="XtraGreen",SUMIFS(Table146[Quantity],Table146[Company],$M$3,Table146[Date],$A55,Table146[Bill No.],$B55),""))))</f>
        <v>100</v>
      </c>
      <c r="D55" s="346">
        <f>IF($A55="","",IF($J55="DIESEL",AVERAGEIFS(Table1[RSP],Table1[Customer],$M$3,Table1[Date],$A55,Table1[Bill No.],$B55),IF($J55="PETROL",AVERAGEIFS(Table14[RSP],Table14[Customer],$M$3,Table14[Date],$A55,Table14[Bill No.],$B55),IF($J55="XtraGreen",AVERAGEIFS(Table146[RSP],Table146[Company],$M$3,Table146[Date],$A55,Table146[Bill No.],$B55),IFERROR($E55/$C55,"")))))</f>
        <v>105.3</v>
      </c>
      <c r="E55" s="347">
        <f>IF($A55="","",IF($J55="DIESEL",SUMIFS(Table1[Amount],Table1[Customer],$M$3,Table1[Date],$A55,Table1[Bill No.],$B55),IF($J55="PETROL",SUMIFS(Table14[Amount],Table14[Customer],$M$3,Table14[Date],$A55,Table14[Bill No.],$B55),IF($J55="XtraGreen",SUMIFS(Table146[Amount],Table146[Company],$M$3,Table146[Date],$A55,Table146[Bill No.],$B55),SUMIFS('Other Sale'!$D:$D,'Other Sale'!$E:$E,$M$3,'Other Sale'!$C:$C,$J55,'Other Sale'!$A:$A,$A55)))))</f>
        <v>10530</v>
      </c>
      <c r="F55" s="347" cm="1">
        <f t="array" ref="F55">IF($A55="","",IF($J55="Payment",IFERROR(INDEX(_xlfn._xlws.FILTER(MasterPaid[Amount Paid],(MasterPaid[Customer]=$M$3)*(MasterPaid[Date]=$A55)),COUNTIFS($A$6:$A55,$A55,$J$6:$J55,"Payment")),0),0))</f>
        <v>0</v>
      </c>
      <c r="G55" s="331"/>
      <c r="H55" s="427"/>
      <c r="I55" s="330">
        <f t="shared" si="9"/>
        <v>438045</v>
      </c>
      <c r="J55" s="344" t="str" cm="1">
        <f t="array" ref="J55">IFERROR(INDEX(_xlfn.ANCHORARRAY($P$6),ROW()-5,3),"")</f>
        <v>PETROL</v>
      </c>
      <c r="K55" s="349"/>
      <c r="L55" s="348"/>
      <c r="M55" s="277"/>
      <c r="N55" s="277"/>
      <c r="O55" s="277"/>
      <c r="P55">
        <v>46163</v>
      </c>
      <c r="Q55" t="str">
        <v>MS123</v>
      </c>
      <c r="R55" t="str">
        <v>PETROL</v>
      </c>
    </row>
    <row r="56" spans="1:34" ht="21.75" x14ac:dyDescent="0.25">
      <c r="A56" s="217" cm="1">
        <f t="array" ref="A56">IFERROR(INDEX(_xlfn.ANCHORARRAY($P$6),ROW()-5,1),"")</f>
        <v>46163</v>
      </c>
      <c r="B56" s="344" t="str" cm="1">
        <f t="array" ref="B56">IFERROR(INDEX(_xlfn.ANCHORARRAY($P$6),ROW()-5,2),"")</f>
        <v/>
      </c>
      <c r="C56" s="345" t="str">
        <f>IF($A56="","",IF($J56="DIESEL",SUMIFS(Table1[Quantity],Table1[Customer],$M$3,Table1[Date],$A56,Table1[Bill No.],$B56),IF($J56="PETROL",SUMIFS(Table14[Quantity],Table14[Customer],$M$3,Table14[Date],$A56,Table14[Bill No.],$B56),IF($J56="XtraGreen",SUMIFS(Table146[Quantity],Table146[Company],$M$3,Table146[Date],$A56,Table146[Bill No.],$B56),""))))</f>
        <v/>
      </c>
      <c r="D56" s="346" t="str">
        <f>IF($A56="","",IF($J56="DIESEL",AVERAGEIFS(Table1[RSP],Table1[Customer],$M$3,Table1[Date],$A56,Table1[Bill No.],$B56),IF($J56="PETROL",AVERAGEIFS(Table14[RSP],Table14[Customer],$M$3,Table14[Date],$A56,Table14[Bill No.],$B56),IF($J56="XtraGreen",AVERAGEIFS(Table146[RSP],Table146[Company],$M$3,Table146[Date],$A56,Table146[Bill No.],$B56),IFERROR($E56/$C56,"")))))</f>
        <v/>
      </c>
      <c r="E56" s="347">
        <f>IF($A56="","",IF($J56="DIESEL",SUMIFS(Table1[Amount],Table1[Customer],$M$3,Table1[Date],$A56,Table1[Bill No.],$B56),IF($J56="PETROL",SUMIFS(Table14[Amount],Table14[Customer],$M$3,Table14[Date],$A56,Table14[Bill No.],$B56),IF($J56="XtraGreen",SUMIFS(Table146[Amount],Table146[Company],$M$3,Table146[Date],$A56,Table146[Bill No.],$B56),SUMIFS('Other Sale'!$D:$D,'Other Sale'!$E:$E,$M$3,'Other Sale'!$C:$C,$J56,'Other Sale'!$A:$A,$A56)))))</f>
        <v>0</v>
      </c>
      <c r="F56" s="347" cm="1">
        <f t="array" ref="F56">IF($A56="","",IF($J56="Payment",IFERROR(INDEX(_xlfn._xlws.FILTER(MasterPaid[Amount Paid],(MasterPaid[Customer]=$M$3)*(MasterPaid[Date]=$A56)),COUNTIFS($A$6:$A56,$A56,$J$6:$J56,"Payment")),0),0))</f>
        <v>9560</v>
      </c>
      <c r="G56" s="331">
        <v>398</v>
      </c>
      <c r="H56" s="427"/>
      <c r="I56" s="330">
        <f t="shared" si="9"/>
        <v>428087</v>
      </c>
      <c r="J56" s="344" t="str" cm="1">
        <f t="array" ref="J56">IFERROR(INDEX(_xlfn.ANCHORARRAY($P$6),ROW()-5,3),"")</f>
        <v>Payment</v>
      </c>
      <c r="K56" s="349"/>
      <c r="L56" s="348"/>
      <c r="M56" s="277"/>
      <c r="N56" s="277"/>
      <c r="O56" s="277"/>
      <c r="P56">
        <v>46163</v>
      </c>
      <c r="Q56" t="str">
        <v/>
      </c>
      <c r="R56" t="str">
        <v>Payment</v>
      </c>
    </row>
    <row r="57" spans="1:34" ht="21.75" x14ac:dyDescent="0.25">
      <c r="A57" s="217" cm="1">
        <f t="array" ref="A57">IFERROR(INDEX(_xlfn.ANCHORARRAY($P$6),ROW()-5,1),"")</f>
        <v>46163</v>
      </c>
      <c r="B57" s="344" t="str" cm="1">
        <f t="array" ref="B57">IFERROR(INDEX(_xlfn.ANCHORARRAY($P$6),ROW()-5,2),"")</f>
        <v/>
      </c>
      <c r="C57" s="345" t="str">
        <f>IF($A57="","",IF($J57="DIESEL",SUMIFS(Table1[Quantity],Table1[Customer],$M$3,Table1[Date],$A57,Table1[Bill No.],$B57),IF($J57="PETROL",SUMIFS(Table14[Quantity],Table14[Customer],$M$3,Table14[Date],$A57,Table14[Bill No.],$B57),IF($J57="XtraGreen",SUMIFS(Table146[Quantity],Table146[Company],$M$3,Table146[Date],$A57,Table146[Bill No.],$B57),""))))</f>
        <v/>
      </c>
      <c r="D57" s="346" t="str">
        <f>IF($A57="","",IF($J57="DIESEL",AVERAGEIFS(Table1[RSP],Table1[Customer],$M$3,Table1[Date],$A57,Table1[Bill No.],$B57),IF($J57="PETROL",AVERAGEIFS(Table14[RSP],Table14[Customer],$M$3,Table14[Date],$A57,Table14[Bill No.],$B57),IF($J57="XtraGreen",AVERAGEIFS(Table146[RSP],Table146[Company],$M$3,Table146[Date],$A57,Table146[Bill No.],$B57),IFERROR($E57/$C57,"")))))</f>
        <v/>
      </c>
      <c r="E57" s="347">
        <f>IF($A57="","",IF($J57="DIESEL",SUMIFS(Table1[Amount],Table1[Customer],$M$3,Table1[Date],$A57,Table1[Bill No.],$B57),IF($J57="PETROL",SUMIFS(Table14[Amount],Table14[Customer],$M$3,Table14[Date],$A57,Table14[Bill No.],$B57),IF($J57="XtraGreen",SUMIFS(Table146[Amount],Table146[Company],$M$3,Table146[Date],$A57,Table146[Bill No.],$B57),SUMIFS('Other Sale'!$D:$D,'Other Sale'!$E:$E,$M$3,'Other Sale'!$C:$C,$J57,'Other Sale'!$A:$A,$A57)))))</f>
        <v>0</v>
      </c>
      <c r="F57" s="347" cm="1">
        <f t="array" ref="F57">IF($A57="","",IF($J57="Payment",IFERROR(INDEX(_xlfn._xlws.FILTER(MasterPaid[Amount Paid],(MasterPaid[Customer]=$M$3)*(MasterPaid[Date]=$A57)),COUNTIFS($A$6:$A57,$A57,$J$6:$J57,"Payment")),0),0))</f>
        <v>387212</v>
      </c>
      <c r="G57" s="331"/>
      <c r="H57" s="427"/>
      <c r="I57" s="330">
        <f t="shared" si="9"/>
        <v>40875</v>
      </c>
      <c r="J57" s="344" t="str" cm="1">
        <f t="array" ref="J57">IFERROR(INDEX(_xlfn.ANCHORARRAY($P$6),ROW()-5,3),"")</f>
        <v>Payment</v>
      </c>
      <c r="K57" s="349"/>
      <c r="L57" s="348"/>
      <c r="M57" s="277"/>
      <c r="N57" s="277"/>
      <c r="O57" s="277"/>
      <c r="P57">
        <v>46163</v>
      </c>
      <c r="Q57" t="str">
        <v/>
      </c>
      <c r="R57" t="str">
        <v>Payment</v>
      </c>
    </row>
    <row r="58" spans="1:34" ht="21.75" x14ac:dyDescent="0.25">
      <c r="A58" s="217" cm="1">
        <f t="array" ref="A58">IFERROR(INDEX(_xlfn.ANCHORARRAY($P$6),ROW()-5,1),"")</f>
        <v>46164</v>
      </c>
      <c r="B58" s="344" t="str" cm="1">
        <f t="array" ref="B58">IFERROR(INDEX(_xlfn.ANCHORARRAY($P$6),ROW()-5,2),"")</f>
        <v/>
      </c>
      <c r="C58" s="345" t="str">
        <f>IF($A58="","",IF($J58="DIESEL",SUMIFS(Table1[Quantity],Table1[Customer],$M$3,Table1[Date],$A58,Table1[Bill No.],$B58),IF($J58="PETROL",SUMIFS(Table14[Quantity],Table14[Customer],$M$3,Table14[Date],$A58,Table14[Bill No.],$B58),IF($J58="XtraGreen",SUMIFS(Table146[Quantity],Table146[Company],$M$3,Table146[Date],$A58,Table146[Bill No.],$B58),""))))</f>
        <v/>
      </c>
      <c r="D58" s="346" t="str">
        <f>IF($A58="","",IF($J58="DIESEL",AVERAGEIFS(Table1[RSP],Table1[Customer],$M$3,Table1[Date],$A58,Table1[Bill No.],$B58),IF($J58="PETROL",AVERAGEIFS(Table14[RSP],Table14[Customer],$M$3,Table14[Date],$A58,Table14[Bill No.],$B58),IF($J58="XtraGreen",AVERAGEIFS(Table146[RSP],Table146[Company],$M$3,Table146[Date],$A58,Table146[Bill No.],$B58),IFERROR($E58/$C58,"")))))</f>
        <v/>
      </c>
      <c r="E58" s="347">
        <f>IF($A58="","",IF($J58="DIESEL",SUMIFS(Table1[Amount],Table1[Customer],$M$3,Table1[Date],$A58,Table1[Bill No.],$B58),IF($J58="PETROL",SUMIFS(Table14[Amount],Table14[Customer],$M$3,Table14[Date],$A58,Table14[Bill No.],$B58),IF($J58="XtraGreen",SUMIFS(Table146[Amount],Table146[Company],$M$3,Table146[Date],$A58,Table146[Bill No.],$B58),SUMIFS('Other Sale'!$D:$D,'Other Sale'!$E:$E,$M$3,'Other Sale'!$C:$C,$J58,'Other Sale'!$A:$A,$A58)))))</f>
        <v>0</v>
      </c>
      <c r="F58" s="347" cm="1">
        <f t="array" ref="F58">IF($A58="","",IF($J58="Payment",IFERROR(INDEX(_xlfn._xlws.FILTER(MasterPaid[Amount Paid],(MasterPaid[Customer]=$M$3)*(MasterPaid[Date]=$A58)),COUNTIFS($A$6:$A58,$A58,$J$6:$J58,"Payment")),0),0))</f>
        <v>290409</v>
      </c>
      <c r="G58" s="331">
        <v>291</v>
      </c>
      <c r="H58" s="427"/>
      <c r="I58" s="330">
        <f t="shared" si="9"/>
        <v>-249825</v>
      </c>
      <c r="J58" s="344" t="str" cm="1">
        <f t="array" ref="J58">IFERROR(INDEX(_xlfn.ANCHORARRAY($P$6),ROW()-5,3),"")</f>
        <v>Payment</v>
      </c>
      <c r="K58" s="349"/>
      <c r="L58" s="348"/>
      <c r="M58" s="277"/>
      <c r="N58" s="277"/>
      <c r="O58" s="277"/>
      <c r="P58">
        <v>46164</v>
      </c>
      <c r="Q58" t="str">
        <v/>
      </c>
      <c r="R58" t="str">
        <v>Payment</v>
      </c>
    </row>
    <row r="59" spans="1:34" ht="21.75" x14ac:dyDescent="0.25">
      <c r="A59" s="217" cm="1">
        <f t="array" ref="A59">IFERROR(INDEX(_xlfn.ANCHORARRAY($P$6),ROW()-5,1),"")</f>
        <v>46165</v>
      </c>
      <c r="B59" s="344" t="str" cm="1">
        <f t="array" ref="B59">IFERROR(INDEX(_xlfn.ANCHORARRAY($P$6),ROW()-5,2),"")</f>
        <v>605</v>
      </c>
      <c r="C59" s="345">
        <f>IF($A59="","",IF($J59="DIESEL",SUMIFS(Table1[Quantity],Table1[Customer],$M$3,Table1[Date],$A59,Table1[Bill No.],$B59),IF($J59="PETROL",SUMIFS(Table14[Quantity],Table14[Customer],$M$3,Table14[Date],$A59,Table14[Bill No.],$B59),IF($J59="XtraGreen",SUMIFS(Table146[Quantity],Table146[Company],$M$3,Table146[Date],$A59,Table146[Bill No.],$B59),""))))</f>
        <v>3000</v>
      </c>
      <c r="D59" s="346">
        <f>IF($A59="","",IF($J59="DIESEL",AVERAGEIFS(Table1[RSP],Table1[Customer],$M$3,Table1[Date],$A59,Table1[Bill No.],$B59),IF($J59="PETROL",AVERAGEIFS(Table14[RSP],Table14[Customer],$M$3,Table14[Date],$A59,Table14[Bill No.],$B59),IF($J59="XtraGreen",AVERAGEIFS(Table146[RSP],Table146[Company],$M$3,Table146[Date],$A59,Table146[Bill No.],$B59),IFERROR($E59/$C59,"")))))</f>
        <v>97.87</v>
      </c>
      <c r="E59" s="347">
        <f>IF($A59="","",IF($J59="DIESEL",SUMIFS(Table1[Amount],Table1[Customer],$M$3,Table1[Date],$A59,Table1[Bill No.],$B59),IF($J59="PETROL",SUMIFS(Table14[Amount],Table14[Customer],$M$3,Table14[Date],$A59,Table14[Bill No.],$B59),IF($J59="XtraGreen",SUMIFS(Table146[Amount],Table146[Company],$M$3,Table146[Date],$A59,Table146[Bill No.],$B59),SUMIFS('Other Sale'!$D:$D,'Other Sale'!$E:$E,$M$3,'Other Sale'!$C:$C,$J59,'Other Sale'!$A:$A,$A59)))))</f>
        <v>293610</v>
      </c>
      <c r="F59" s="347" cm="1">
        <f t="array" ref="F59">IF($A59="","",IF($J59="Payment",IFERROR(INDEX(_xlfn._xlws.FILTER(MasterPaid[Amount Paid],(MasterPaid[Customer]=$M$3)*(MasterPaid[Date]=$A59)),COUNTIFS($A$6:$A59,$A59,$J$6:$J59,"Payment")),0),0))</f>
        <v>0</v>
      </c>
      <c r="G59" s="331"/>
      <c r="H59" s="427"/>
      <c r="I59" s="330">
        <f t="shared" si="9"/>
        <v>43785</v>
      </c>
      <c r="J59" s="344" t="str" cm="1">
        <f t="array" ref="J59">IFERROR(INDEX(_xlfn.ANCHORARRAY($P$6),ROW()-5,3),"")</f>
        <v>DIESEL</v>
      </c>
      <c r="K59" s="349" t="s">
        <v>2723</v>
      </c>
      <c r="L59" s="348"/>
      <c r="M59" s="277"/>
      <c r="N59" s="277"/>
      <c r="O59" s="277"/>
      <c r="P59">
        <v>46165</v>
      </c>
      <c r="Q59" t="str">
        <v>605</v>
      </c>
      <c r="R59" t="str">
        <v>DIESEL</v>
      </c>
    </row>
    <row r="60" spans="1:34" ht="21.75" x14ac:dyDescent="0.25">
      <c r="A60" s="217" cm="1">
        <f t="array" ref="A60">IFERROR(INDEX(_xlfn.ANCHORARRAY($P$6),ROW()-5,1),"")</f>
        <v>46167</v>
      </c>
      <c r="B60" s="344" t="str" cm="1">
        <f t="array" ref="B60">IFERROR(INDEX(_xlfn.ANCHORARRAY($P$6),ROW()-5,2),"")</f>
        <v>629</v>
      </c>
      <c r="C60" s="345">
        <f>IF($A60="","",IF($J60="DIESEL",SUMIFS(Table1[Quantity],Table1[Customer],$M$3,Table1[Date],$A60,Table1[Bill No.],$B60),IF($J60="PETROL",SUMIFS(Table14[Quantity],Table14[Customer],$M$3,Table14[Date],$A60,Table14[Bill No.],$B60),IF($J60="XtraGreen",SUMIFS(Table146[Quantity],Table146[Company],$M$3,Table146[Date],$A60,Table146[Bill No.],$B60),""))))</f>
        <v>3000</v>
      </c>
      <c r="D60" s="346">
        <f>IF($A60="","",IF($J60="DIESEL",AVERAGEIFS(Table1[RSP],Table1[Customer],$M$3,Table1[Date],$A60,Table1[Bill No.],$B60),IF($J60="PETROL",AVERAGEIFS(Table14[RSP],Table14[Customer],$M$3,Table14[Date],$A60,Table14[Bill No.],$B60),IF($J60="XtraGreen",AVERAGEIFS(Table146[RSP],Table146[Company],$M$3,Table146[Date],$A60,Table146[Bill No.],$B60),IFERROR($E60/$C60,"")))))</f>
        <v>100.74</v>
      </c>
      <c r="E60" s="347">
        <f>IF($A60="","",IF($J60="DIESEL",SUMIFS(Table1[Amount],Table1[Customer],$M$3,Table1[Date],$A60,Table1[Bill No.],$B60),IF($J60="PETROL",SUMIFS(Table14[Amount],Table14[Customer],$M$3,Table14[Date],$A60,Table14[Bill No.],$B60),IF($J60="XtraGreen",SUMIFS(Table146[Amount],Table146[Company],$M$3,Table146[Date],$A60,Table146[Bill No.],$B60),SUMIFS('Other Sale'!$D:$D,'Other Sale'!$E:$E,$M$3,'Other Sale'!$C:$C,$J60,'Other Sale'!$A:$A,$A60)))))</f>
        <v>302220</v>
      </c>
      <c r="F60" s="347" cm="1">
        <f t="array" ref="F60">IF($A60="","",IF($J60="Payment",IFERROR(INDEX(_xlfn._xlws.FILTER(MasterPaid[Amount Paid],(MasterPaid[Customer]=$M$3)*(MasterPaid[Date]=$A60)),COUNTIFS($A$6:$A60,$A60,$J$6:$J60,"Payment")),0),0))</f>
        <v>0</v>
      </c>
      <c r="G60" s="331"/>
      <c r="H60" s="427"/>
      <c r="I60" s="330">
        <f t="shared" si="9"/>
        <v>346005</v>
      </c>
      <c r="J60" s="344" t="str" cm="1">
        <f t="array" ref="J60">IFERROR(INDEX(_xlfn.ANCHORARRAY($P$6),ROW()-5,3),"")</f>
        <v>DIESEL</v>
      </c>
      <c r="K60" s="349" t="s">
        <v>2724</v>
      </c>
      <c r="L60" s="348"/>
      <c r="M60" s="277"/>
      <c r="N60" s="277"/>
      <c r="O60" s="277"/>
      <c r="P60">
        <v>46167</v>
      </c>
      <c r="Q60" t="str">
        <v>629</v>
      </c>
      <c r="R60" t="str">
        <v>DIESEL</v>
      </c>
    </row>
    <row r="61" spans="1:34" ht="21.75" x14ac:dyDescent="0.25">
      <c r="A61" s="217" cm="1">
        <f t="array" ref="A61">IFERROR(INDEX(_xlfn.ANCHORARRAY($P$6),ROW()-5,1),"")</f>
        <v>46168</v>
      </c>
      <c r="B61" s="344" t="str" cm="1">
        <f t="array" ref="B61">IFERROR(INDEX(_xlfn.ANCHORARRAY($P$6),ROW()-5,2),"")</f>
        <v>639</v>
      </c>
      <c r="C61" s="345">
        <f>IF($A61="","",IF($J61="DIESEL",SUMIFS(Table1[Quantity],Table1[Customer],$M$3,Table1[Date],$A61,Table1[Bill No.],$B61),IF($J61="PETROL",SUMIFS(Table14[Quantity],Table14[Customer],$M$3,Table14[Date],$A61,Table14[Bill No.],$B61),IF($J61="XtraGreen",SUMIFS(Table146[Quantity],Table146[Company],$M$3,Table146[Date],$A61,Table146[Bill No.],$B61),""))))</f>
        <v>3000</v>
      </c>
      <c r="D61" s="346">
        <f>IF($A61="","",IF($J61="DIESEL",AVERAGEIFS(Table1[RSP],Table1[Customer],$M$3,Table1[Date],$A61,Table1[Bill No.],$B61),IF($J61="PETROL",AVERAGEIFS(Table14[RSP],Table14[Customer],$M$3,Table14[Date],$A61,Table14[Bill No.],$B61),IF($J61="XtraGreen",AVERAGEIFS(Table146[RSP],Table146[Company],$M$3,Table146[Date],$A61,Table146[Bill No.],$B61),IFERROR($E61/$C61,"")))))</f>
        <v>100.74</v>
      </c>
      <c r="E61" s="347">
        <f>IF($A61="","",IF($J61="DIESEL",SUMIFS(Table1[Amount],Table1[Customer],$M$3,Table1[Date],$A61,Table1[Bill No.],$B61),IF($J61="PETROL",SUMIFS(Table14[Amount],Table14[Customer],$M$3,Table14[Date],$A61,Table14[Bill No.],$B61),IF($J61="XtraGreen",SUMIFS(Table146[Amount],Table146[Company],$M$3,Table146[Date],$A61,Table146[Bill No.],$B61),SUMIFS('Other Sale'!$D:$D,'Other Sale'!$E:$E,$M$3,'Other Sale'!$C:$C,$J61,'Other Sale'!$A:$A,$A61)))))</f>
        <v>302220</v>
      </c>
      <c r="F61" s="347" cm="1">
        <f t="array" ref="F61">IF($A61="","",IF($J61="Payment",IFERROR(INDEX(_xlfn._xlws.FILTER(MasterPaid[Amount Paid],(MasterPaid[Customer]=$M$3)*(MasterPaid[Date]=$A61)),COUNTIFS($A$6:$A61,$A61,$J$6:$J61,"Payment")),0),0))</f>
        <v>0</v>
      </c>
      <c r="G61" s="331"/>
      <c r="H61" s="427"/>
      <c r="I61" s="330">
        <f t="shared" si="9"/>
        <v>648225</v>
      </c>
      <c r="J61" s="344" t="str" cm="1">
        <f t="array" ref="J61">IFERROR(INDEX(_xlfn.ANCHORARRAY($P$6),ROW()-5,3),"")</f>
        <v>DIESEL</v>
      </c>
      <c r="K61" s="349" t="s">
        <v>2724</v>
      </c>
      <c r="L61" s="348"/>
      <c r="M61" s="277"/>
      <c r="N61" s="277"/>
      <c r="O61" s="277"/>
      <c r="P61">
        <v>46168</v>
      </c>
      <c r="Q61" t="str">
        <v>639</v>
      </c>
      <c r="R61" t="str">
        <v>DIESEL</v>
      </c>
    </row>
    <row r="62" spans="1:34" ht="21.75" x14ac:dyDescent="0.25">
      <c r="A62" s="217" cm="1">
        <f t="array" ref="A62">IFERROR(INDEX(_xlfn.ANCHORARRAY($P$6),ROW()-5,1),"")</f>
        <v>46168</v>
      </c>
      <c r="B62" s="344" t="str" cm="1">
        <f t="array" ref="B62">IFERROR(INDEX(_xlfn.ANCHORARRAY($P$6),ROW()-5,2),"")</f>
        <v/>
      </c>
      <c r="C62" s="345" t="str">
        <f>IF($A62="","",IF($J62="DIESEL",SUMIFS(Table1[Quantity],Table1[Customer],$M$3,Table1[Date],$A62,Table1[Bill No.],$B62),IF($J62="PETROL",SUMIFS(Table14[Quantity],Table14[Customer],$M$3,Table14[Date],$A62,Table14[Bill No.],$B62),IF($J62="XtraGreen",SUMIFS(Table146[Quantity],Table146[Company],$M$3,Table146[Date],$A62,Table146[Bill No.],$B62),""))))</f>
        <v/>
      </c>
      <c r="D62" s="346" t="str">
        <f>IF($A62="","",IF($J62="DIESEL",AVERAGEIFS(Table1[RSP],Table1[Customer],$M$3,Table1[Date],$A62,Table1[Bill No.],$B62),IF($J62="PETROL",AVERAGEIFS(Table14[RSP],Table14[Customer],$M$3,Table14[Date],$A62,Table14[Bill No.],$B62),IF($J62="XtraGreen",AVERAGEIFS(Table146[RSP],Table146[Company],$M$3,Table146[Date],$A62,Table146[Bill No.],$B62),IFERROR($E62/$C62,"")))))</f>
        <v/>
      </c>
      <c r="E62" s="347">
        <f>IF($A62="","",IF($J62="DIESEL",SUMIFS(Table1[Amount],Table1[Customer],$M$3,Table1[Date],$A62,Table1[Bill No.],$B62),IF($J62="PETROL",SUMIFS(Table14[Amount],Table14[Customer],$M$3,Table14[Date],$A62,Table14[Bill No.],$B62),IF($J62="XtraGreen",SUMIFS(Table146[Amount],Table146[Company],$M$3,Table146[Date],$A62,Table146[Bill No.],$B62),SUMIFS('Other Sale'!$D:$D,'Other Sale'!$E:$E,$M$3,'Other Sale'!$C:$C,$J62,'Other Sale'!$A:$A,$A62)))))</f>
        <v>0</v>
      </c>
      <c r="F62" s="347" cm="1">
        <f t="array" ref="F62">IF($A62="","",IF($J62="Payment",IFERROR(INDEX(_xlfn._xlws.FILTER(MasterPaid[Amount Paid],(MasterPaid[Customer]=$M$3)*(MasterPaid[Date]=$A62)),COUNTIFS($A$6:$A62,$A62,$J$6:$J62,"Payment")),0),0))</f>
        <v>302212</v>
      </c>
      <c r="G62" s="331">
        <v>604</v>
      </c>
      <c r="H62" s="427"/>
      <c r="I62" s="330">
        <f t="shared" si="9"/>
        <v>345409</v>
      </c>
      <c r="J62" s="344" t="str" cm="1">
        <f t="array" ref="J62">IFERROR(INDEX(_xlfn.ANCHORARRAY($P$6),ROW()-5,3),"")</f>
        <v>Payment</v>
      </c>
      <c r="K62" s="349"/>
      <c r="L62" s="348"/>
      <c r="M62" s="277"/>
      <c r="N62" s="277"/>
      <c r="O62" s="277"/>
      <c r="P62">
        <v>46168</v>
      </c>
      <c r="Q62" t="str">
        <v/>
      </c>
      <c r="R62" t="str">
        <v>Payment</v>
      </c>
    </row>
    <row r="63" spans="1:34" ht="21.75" x14ac:dyDescent="0.25">
      <c r="A63" s="217" cm="1">
        <f t="array" ref="A63">IFERROR(INDEX(_xlfn.ANCHORARRAY($P$6),ROW()-5,1),"")</f>
        <v>46168</v>
      </c>
      <c r="B63" s="344" t="str" cm="1">
        <f t="array" ref="B63">IFERROR(INDEX(_xlfn.ANCHORARRAY($P$6),ROW()-5,2),"")</f>
        <v/>
      </c>
      <c r="C63" s="345" t="str">
        <f>IF($A63="","",IF($J63="DIESEL",SUMIFS(Table1[Quantity],Table1[Customer],$M$3,Table1[Date],$A63,Table1[Bill No.],$B63),IF($J63="PETROL",SUMIFS(Table14[Quantity],Table14[Customer],$M$3,Table14[Date],$A63,Table14[Bill No.],$B63),IF($J63="XtraGreen",SUMIFS(Table146[Quantity],Table146[Company],$M$3,Table146[Date],$A63,Table146[Bill No.],$B63),""))))</f>
        <v/>
      </c>
      <c r="D63" s="346" t="str">
        <f>IF($A63="","",IF($J63="DIESEL",AVERAGEIFS(Table1[RSP],Table1[Customer],$M$3,Table1[Date],$A63,Table1[Bill No.],$B63),IF($J63="PETROL",AVERAGEIFS(Table14[RSP],Table14[Customer],$M$3,Table14[Date],$A63,Table14[Bill No.],$B63),IF($J63="XtraGreen",AVERAGEIFS(Table146[RSP],Table146[Company],$M$3,Table146[Date],$A63,Table146[Bill No.],$B63),IFERROR($E63/$C63,"")))))</f>
        <v/>
      </c>
      <c r="E63" s="347">
        <f>IF($A63="","",IF($J63="DIESEL",SUMIFS(Table1[Amount],Table1[Customer],$M$3,Table1[Date],$A63,Table1[Bill No.],$B63),IF($J63="PETROL",SUMIFS(Table14[Amount],Table14[Customer],$M$3,Table14[Date],$A63,Table14[Bill No.],$B63),IF($J63="XtraGreen",SUMIFS(Table146[Amount],Table146[Company],$M$3,Table146[Date],$A63,Table146[Bill No.],$B63),SUMIFS('Other Sale'!$D:$D,'Other Sale'!$E:$E,$M$3,'Other Sale'!$C:$C,$J63,'Other Sale'!$A:$A,$A63)))))</f>
        <v>0</v>
      </c>
      <c r="F63" s="347" cm="1">
        <f t="array" ref="F63">IF($A63="","",IF($J63="Payment",IFERROR(INDEX(_xlfn._xlws.FILTER(MasterPaid[Amount Paid],(MasterPaid[Customer]=$M$3)*(MasterPaid[Date]=$A63)),COUNTIFS($A$6:$A63,$A63,$J$6:$J63,"Payment")),0),0))</f>
        <v>301918</v>
      </c>
      <c r="G63" s="331"/>
      <c r="H63" s="427"/>
      <c r="I63" s="330">
        <f t="shared" si="9"/>
        <v>43491</v>
      </c>
      <c r="J63" s="344" t="str" cm="1">
        <f t="array" ref="J63">IFERROR(INDEX(_xlfn.ANCHORARRAY($P$6),ROW()-5,3),"")</f>
        <v>Payment</v>
      </c>
      <c r="K63" s="349"/>
      <c r="L63" s="348"/>
      <c r="M63" s="277"/>
      <c r="N63" s="277"/>
      <c r="O63" s="277"/>
      <c r="P63">
        <v>46168</v>
      </c>
      <c r="Q63" t="str">
        <v/>
      </c>
      <c r="R63" t="str">
        <v>Payment</v>
      </c>
    </row>
    <row r="64" spans="1:34" ht="21.75" x14ac:dyDescent="0.25">
      <c r="A64" s="217" cm="1">
        <f t="array" ref="A64">IFERROR(INDEX(_xlfn.ANCHORARRAY($P$6),ROW()-5,1),"")</f>
        <v>46168</v>
      </c>
      <c r="B64" s="344" t="str" cm="1">
        <f t="array" ref="B64">IFERROR(INDEX(_xlfn.ANCHORARRAY($P$6),ROW()-5,2),"")</f>
        <v/>
      </c>
      <c r="C64" s="345" t="str">
        <f>IF($A64="","",IF($J64="DIESEL",SUMIFS(Table1[Quantity],Table1[Customer],$M$3,Table1[Date],$A64,Table1[Bill No.],$B64),IF($J64="PETROL",SUMIFS(Table14[Quantity],Table14[Customer],$M$3,Table14[Date],$A64,Table14[Bill No.],$B64),IF($J64="XtraGreen",SUMIFS(Table146[Quantity],Table146[Company],$M$3,Table146[Date],$A64,Table146[Bill No.],$B64),""))))</f>
        <v/>
      </c>
      <c r="D64" s="346" t="str">
        <f>IF($A64="","",IF($J64="DIESEL",AVERAGEIFS(Table1[RSP],Table1[Customer],$M$3,Table1[Date],$A64,Table1[Bill No.],$B64),IF($J64="PETROL",AVERAGEIFS(Table14[RSP],Table14[Customer],$M$3,Table14[Date],$A64,Table14[Bill No.],$B64),IF($J64="XtraGreen",AVERAGEIFS(Table146[RSP],Table146[Company],$M$3,Table146[Date],$A64,Table146[Bill No.],$B64),IFERROR($E64/$C64,"")))))</f>
        <v/>
      </c>
      <c r="E64" s="347">
        <f>IF($A64="","",IF($J64="DIESEL",SUMIFS(Table1[Amount],Table1[Customer],$M$3,Table1[Date],$A64,Table1[Bill No.],$B64),IF($J64="PETROL",SUMIFS(Table14[Amount],Table14[Customer],$M$3,Table14[Date],$A64,Table14[Bill No.],$B64),IF($J64="XtraGreen",SUMIFS(Table146[Amount],Table146[Company],$M$3,Table146[Date],$A64,Table146[Bill No.],$B64),SUMIFS('Other Sale'!$D:$D,'Other Sale'!$E:$E,$M$3,'Other Sale'!$C:$C,$J64,'Other Sale'!$A:$A,$A64)))))</f>
        <v>0</v>
      </c>
      <c r="F64" s="347" cm="1">
        <f t="array" ref="F64">IF($A64="","",IF($J64="Payment",IFERROR(INDEX(_xlfn._xlws.FILTER(MasterPaid[Amount Paid],(MasterPaid[Customer]=$M$3)*(MasterPaid[Date]=$A64)),COUNTIFS($A$6:$A64,$A64,$J$6:$J64,"Payment")),0),0))</f>
        <v>2616</v>
      </c>
      <c r="G64" s="331"/>
      <c r="H64" s="427"/>
      <c r="I64" s="330">
        <f t="shared" si="9"/>
        <v>40875</v>
      </c>
      <c r="J64" s="344" t="str" cm="1">
        <f t="array" ref="J64">IFERROR(INDEX(_xlfn.ANCHORARRAY($P$6),ROW()-5,3),"")</f>
        <v>Payment</v>
      </c>
      <c r="K64" s="349"/>
      <c r="L64" s="348"/>
      <c r="M64" s="277"/>
      <c r="N64" s="277"/>
      <c r="O64" s="277"/>
      <c r="P64">
        <v>46168</v>
      </c>
      <c r="Q64" t="str">
        <v/>
      </c>
      <c r="R64" t="str">
        <v>Payment</v>
      </c>
    </row>
    <row r="65" spans="1:18" ht="21.75" x14ac:dyDescent="0.25">
      <c r="A65" s="217" cm="1">
        <f t="array" ref="A65">IFERROR(INDEX(_xlfn.ANCHORARRAY($P$6),ROW()-5,1),"")</f>
        <v>46169</v>
      </c>
      <c r="B65" s="344" t="str" cm="1">
        <f t="array" ref="B65">IFERROR(INDEX(_xlfn.ANCHORARRAY($P$6),ROW()-5,2),"")</f>
        <v>647</v>
      </c>
      <c r="C65" s="345">
        <f>IF($A65="","",IF($J65="DIESEL",SUMIFS(Table1[Quantity],Table1[Customer],$M$3,Table1[Date],$A65,Table1[Bill No.],$B65),IF($J65="PETROL",SUMIFS(Table14[Quantity],Table14[Customer],$M$3,Table14[Date],$A65,Table14[Bill No.],$B65),IF($J65="XtraGreen",SUMIFS(Table146[Quantity],Table146[Company],$M$3,Table146[Date],$A65,Table146[Bill No.],$B65),""))))</f>
        <v>3000</v>
      </c>
      <c r="D65" s="346">
        <f>IF($A65="","",IF($J65="DIESEL",AVERAGEIFS(Table1[RSP],Table1[Customer],$M$3,Table1[Date],$A65,Table1[Bill No.],$B65),IF($J65="PETROL",AVERAGEIFS(Table14[RSP],Table14[Customer],$M$3,Table14[Date],$A65,Table14[Bill No.],$B65),IF($J65="XtraGreen",AVERAGEIFS(Table146[RSP],Table146[Company],$M$3,Table146[Date],$A65,Table146[Bill No.],$B65),IFERROR($E65/$C65,"")))))</f>
        <v>100.74</v>
      </c>
      <c r="E65" s="347">
        <f>IF($A65="","",IF($J65="DIESEL",SUMIFS(Table1[Amount],Table1[Customer],$M$3,Table1[Date],$A65,Table1[Bill No.],$B65),IF($J65="PETROL",SUMIFS(Table14[Amount],Table14[Customer],$M$3,Table14[Date],$A65,Table14[Bill No.],$B65),IF($J65="XtraGreen",SUMIFS(Table146[Amount],Table146[Company],$M$3,Table146[Date],$A65,Table146[Bill No.],$B65),SUMIFS('Other Sale'!$D:$D,'Other Sale'!$E:$E,$M$3,'Other Sale'!$C:$C,$J65,'Other Sale'!$A:$A,$A65)))))</f>
        <v>302220</v>
      </c>
      <c r="F65" s="347" cm="1">
        <f t="array" ref="F65">IF($A65="","",IF($J65="Payment",IFERROR(INDEX(_xlfn._xlws.FILTER(MasterPaid[Amount Paid],(MasterPaid[Customer]=$M$3)*(MasterPaid[Date]=$A65)),COUNTIFS($A$6:$A65,$A65,$J$6:$J65,"Payment")),0),0))</f>
        <v>0</v>
      </c>
      <c r="G65" s="331"/>
      <c r="H65" s="427"/>
      <c r="I65" s="330">
        <f t="shared" si="9"/>
        <v>343095</v>
      </c>
      <c r="J65" s="344" t="str" cm="1">
        <f t="array" ref="J65">IFERROR(INDEX(_xlfn.ANCHORARRAY($P$6),ROW()-5,3),"")</f>
        <v>DIESEL</v>
      </c>
      <c r="K65" s="349" t="s">
        <v>2725</v>
      </c>
      <c r="L65" s="348"/>
      <c r="M65" s="277"/>
      <c r="N65" s="277"/>
      <c r="O65" s="277"/>
      <c r="P65">
        <v>46169</v>
      </c>
      <c r="Q65" t="str">
        <v>647</v>
      </c>
      <c r="R65" t="str">
        <v>DIESEL</v>
      </c>
    </row>
    <row r="66" spans="1:18" ht="21.75" x14ac:dyDescent="0.25">
      <c r="A66" s="217" cm="1">
        <f t="array" ref="A66">IFERROR(INDEX(_xlfn.ANCHORARRAY($P$6),ROW()-5,1),"")</f>
        <v>46170</v>
      </c>
      <c r="B66" s="344" t="str" cm="1">
        <f t="array" ref="B66">IFERROR(INDEX(_xlfn.ANCHORARRAY($P$6),ROW()-5,2),"")</f>
        <v/>
      </c>
      <c r="C66" s="345" t="str">
        <f>IF($A66="","",IF($J66="DIESEL",SUMIFS(Table1[Quantity],Table1[Customer],$M$3,Table1[Date],$A66,Table1[Bill No.],$B66),IF($J66="PETROL",SUMIFS(Table14[Quantity],Table14[Customer],$M$3,Table14[Date],$A66,Table14[Bill No.],$B66),IF($J66="XtraGreen",SUMIFS(Table146[Quantity],Table146[Company],$M$3,Table146[Date],$A66,Table146[Bill No.],$B66),""))))</f>
        <v/>
      </c>
      <c r="D66" s="346" t="str">
        <f>IF($A66="","",IF($J66="DIESEL",AVERAGEIFS(Table1[RSP],Table1[Customer],$M$3,Table1[Date],$A66,Table1[Bill No.],$B66),IF($J66="PETROL",AVERAGEIFS(Table14[RSP],Table14[Customer],$M$3,Table14[Date],$A66,Table14[Bill No.],$B66),IF($J66="XtraGreen",AVERAGEIFS(Table146[RSP],Table146[Company],$M$3,Table146[Date],$A66,Table146[Bill No.],$B66),IFERROR($E66/$C66,"")))))</f>
        <v/>
      </c>
      <c r="E66" s="347">
        <f>IF($A66="","",IF($J66="DIESEL",SUMIFS(Table1[Amount],Table1[Customer],$M$3,Table1[Date],$A66,Table1[Bill No.],$B66),IF($J66="PETROL",SUMIFS(Table14[Amount],Table14[Customer],$M$3,Table14[Date],$A66,Table14[Bill No.],$B66),IF($J66="XtraGreen",SUMIFS(Table146[Amount],Table146[Company],$M$3,Table146[Date],$A66,Table146[Bill No.],$B66),SUMIFS('Other Sale'!$D:$D,'Other Sale'!$E:$E,$M$3,'Other Sale'!$C:$C,$J66,'Other Sale'!$A:$A,$A66)))))</f>
        <v>0</v>
      </c>
      <c r="F66" s="347" cm="1">
        <f t="array" ref="F66">IF($A66="","",IF($J66="Payment",IFERROR(INDEX(_xlfn._xlws.FILTER(MasterPaid[Amount Paid],(MasterPaid[Customer]=$M$3)*(MasterPaid[Date]=$A66)),COUNTIFS($A$6:$A66,$A66,$J$6:$J66,"Payment")),0),0))</f>
        <v>301918</v>
      </c>
      <c r="G66" s="331">
        <v>302</v>
      </c>
      <c r="H66" s="427"/>
      <c r="I66" s="330">
        <f t="shared" si="9"/>
        <v>40875</v>
      </c>
      <c r="J66" s="344" t="str" cm="1">
        <f t="array" ref="J66">IFERROR(INDEX(_xlfn.ANCHORARRAY($P$6),ROW()-5,3),"")</f>
        <v>Payment</v>
      </c>
      <c r="K66" s="349"/>
      <c r="L66" s="348"/>
      <c r="M66" s="277"/>
      <c r="N66" s="277"/>
      <c r="O66" s="277"/>
      <c r="P66">
        <v>46170</v>
      </c>
      <c r="Q66" t="str">
        <v/>
      </c>
      <c r="R66" t="str">
        <v>Payment</v>
      </c>
    </row>
    <row r="67" spans="1:18" ht="21.75" x14ac:dyDescent="0.25">
      <c r="A67" s="217" cm="1">
        <f t="array" ref="A67">IFERROR(INDEX(_xlfn.ANCHORARRAY($P$6),ROW()-5,1),"")</f>
        <v>46171</v>
      </c>
      <c r="B67" s="344" t="str" cm="1">
        <f t="array" ref="B67">IFERROR(INDEX(_xlfn.ANCHORARRAY($P$6),ROW()-5,2),"")</f>
        <v>668</v>
      </c>
      <c r="C67" s="345">
        <f>IF($A67="","",IF($J67="DIESEL",SUMIFS(Table1[Quantity],Table1[Customer],$M$3,Table1[Date],$A67,Table1[Bill No.],$B67),IF($J67="PETROL",SUMIFS(Table14[Quantity],Table14[Customer],$M$3,Table14[Date],$A67,Table14[Bill No.],$B67),IF($J67="XtraGreen",SUMIFS(Table146[Quantity],Table146[Company],$M$3,Table146[Date],$A67,Table146[Bill No.],$B67),""))))</f>
        <v>3000</v>
      </c>
      <c r="D67" s="346">
        <f>IF($A67="","",IF($J67="DIESEL",AVERAGEIFS(Table1[RSP],Table1[Customer],$M$3,Table1[Date],$A67,Table1[Bill No.],$B67),IF($J67="PETROL",AVERAGEIFS(Table14[RSP],Table14[Customer],$M$3,Table14[Date],$A67,Table14[Bill No.],$B67),IF($J67="XtraGreen",AVERAGEIFS(Table146[RSP],Table146[Company],$M$3,Table146[Date],$A67,Table146[Bill No.],$B67),IFERROR($E67/$C67,"")))))</f>
        <v>100.74</v>
      </c>
      <c r="E67" s="347">
        <f>IF($A67="","",IF($J67="DIESEL",SUMIFS(Table1[Amount],Table1[Customer],$M$3,Table1[Date],$A67,Table1[Bill No.],$B67),IF($J67="PETROL",SUMIFS(Table14[Amount],Table14[Customer],$M$3,Table14[Date],$A67,Table14[Bill No.],$B67),IF($J67="XtraGreen",SUMIFS(Table146[Amount],Table146[Company],$M$3,Table146[Date],$A67,Table146[Bill No.],$B67),SUMIFS('Other Sale'!$D:$D,'Other Sale'!$E:$E,$M$3,'Other Sale'!$C:$C,$J67,'Other Sale'!$A:$A,$A67)))))</f>
        <v>302220</v>
      </c>
      <c r="F67" s="347" cm="1">
        <f t="array" ref="F67">IF($A67="","",IF($J67="Payment",IFERROR(INDEX(_xlfn._xlws.FILTER(MasterPaid[Amount Paid],(MasterPaid[Customer]=$M$3)*(MasterPaid[Date]=$A67)),COUNTIFS($A$6:$A67,$A67,$J$6:$J67,"Payment")),0),0))</f>
        <v>0</v>
      </c>
      <c r="G67" s="331"/>
      <c r="H67" s="427"/>
      <c r="I67" s="330">
        <f t="shared" si="9"/>
        <v>343095</v>
      </c>
      <c r="J67" s="344" t="str" cm="1">
        <f t="array" ref="J67">IFERROR(INDEX(_xlfn.ANCHORARRAY($P$6),ROW()-5,3),"")</f>
        <v>DIESEL</v>
      </c>
      <c r="K67" s="349" t="s">
        <v>2726</v>
      </c>
      <c r="L67" s="348"/>
      <c r="M67" s="277"/>
      <c r="N67" s="277"/>
      <c r="O67" s="277"/>
      <c r="P67">
        <v>46171</v>
      </c>
      <c r="Q67" t="str">
        <v>668</v>
      </c>
      <c r="R67" t="str">
        <v>DIESEL</v>
      </c>
    </row>
    <row r="68" spans="1:18" ht="21.75" x14ac:dyDescent="0.25">
      <c r="A68" s="217" cm="1">
        <f t="array" ref="A68">IFERROR(INDEX(_xlfn.ANCHORARRAY($P$6),ROW()-5,1),"")</f>
        <v>46171</v>
      </c>
      <c r="B68" s="344" t="str" cm="1">
        <f t="array" ref="B68">IFERROR(INDEX(_xlfn.ANCHORARRAY($P$6),ROW()-5,2),"")</f>
        <v/>
      </c>
      <c r="C68" s="345" t="str">
        <f>IF($A68="","",IF($J68="DIESEL",SUMIFS(Table1[Quantity],Table1[Customer],$M$3,Table1[Date],$A68,Table1[Bill No.],$B68),IF($J68="PETROL",SUMIFS(Table14[Quantity],Table14[Customer],$M$3,Table14[Date],$A68,Table14[Bill No.],$B68),IF($J68="XtraGreen",SUMIFS(Table146[Quantity],Table146[Company],$M$3,Table146[Date],$A68,Table146[Bill No.],$B68),""))))</f>
        <v/>
      </c>
      <c r="D68" s="346" t="str">
        <f>IF($A68="","",IF($J68="DIESEL",AVERAGEIFS(Table1[RSP],Table1[Customer],$M$3,Table1[Date],$A68,Table1[Bill No.],$B68),IF($J68="PETROL",AVERAGEIFS(Table14[RSP],Table14[Customer],$M$3,Table14[Date],$A68,Table14[Bill No.],$B68),IF($J68="XtraGreen",AVERAGEIFS(Table146[RSP],Table146[Company],$M$3,Table146[Date],$A68,Table146[Bill No.],$B68),IFERROR($E68/$C68,"")))))</f>
        <v/>
      </c>
      <c r="E68" s="347">
        <f>IF($A68="","",IF($J68="DIESEL",SUMIFS(Table1[Amount],Table1[Customer],$M$3,Table1[Date],$A68,Table1[Bill No.],$B68),IF($J68="PETROL",SUMIFS(Table14[Amount],Table14[Customer],$M$3,Table14[Date],$A68,Table14[Bill No.],$B68),IF($J68="XtraGreen",SUMIFS(Table146[Amount],Table146[Company],$M$3,Table146[Date],$A68,Table146[Bill No.],$B68),SUMIFS('Other Sale'!$D:$D,'Other Sale'!$E:$E,$M$3,'Other Sale'!$C:$C,$J68,'Other Sale'!$A:$A,$A68)))))</f>
        <v>0</v>
      </c>
      <c r="F68" s="347" cm="1">
        <f t="array" ref="F68">IF($A68="","",IF($J68="Payment",IFERROR(INDEX(_xlfn._xlws.FILTER(MasterPaid[Amount Paid],(MasterPaid[Customer]=$M$3)*(MasterPaid[Date]=$A68)),COUNTIFS($A$6:$A68,$A68,$J$6:$J68,"Payment")),0),0))</f>
        <v>301918</v>
      </c>
      <c r="G68" s="331">
        <v>302</v>
      </c>
      <c r="H68" s="427"/>
      <c r="I68" s="330">
        <f t="shared" si="9"/>
        <v>40875</v>
      </c>
      <c r="J68" s="344" t="str" cm="1">
        <f t="array" ref="J68">IFERROR(INDEX(_xlfn.ANCHORARRAY($P$6),ROW()-5,3),"")</f>
        <v>Payment</v>
      </c>
      <c r="K68" s="349"/>
      <c r="L68" s="348"/>
      <c r="M68" s="277"/>
      <c r="N68" s="277"/>
      <c r="O68" s="277"/>
      <c r="P68">
        <v>46171</v>
      </c>
      <c r="Q68" t="str">
        <v/>
      </c>
      <c r="R68" t="str">
        <v>Payment</v>
      </c>
    </row>
    <row r="69" spans="1:18" ht="21.75" x14ac:dyDescent="0.25">
      <c r="A69" s="217" cm="1">
        <f t="array" ref="A69">IFERROR(INDEX(_xlfn.ANCHORARRAY($P$6),ROW()-5,1),"")</f>
        <v>46172</v>
      </c>
      <c r="B69" s="344" t="str" cm="1">
        <f t="array" ref="B69">IFERROR(INDEX(_xlfn.ANCHORARRAY($P$6),ROW()-5,2),"")</f>
        <v>681</v>
      </c>
      <c r="C69" s="345">
        <f>IF($A69="","",IF($J69="DIESEL",SUMIFS(Table1[Quantity],Table1[Customer],$M$3,Table1[Date],$A69,Table1[Bill No.],$B69),IF($J69="PETROL",SUMIFS(Table14[Quantity],Table14[Customer],$M$3,Table14[Date],$A69,Table14[Bill No.],$B69),IF($J69="XtraGreen",SUMIFS(Table146[Quantity],Table146[Company],$M$3,Table146[Date],$A69,Table146[Bill No.],$B69),""))))</f>
        <v>3000</v>
      </c>
      <c r="D69" s="346">
        <f>IF($A69="","",IF($J69="DIESEL",AVERAGEIFS(Table1[RSP],Table1[Customer],$M$3,Table1[Date],$A69,Table1[Bill No.],$B69),IF($J69="PETROL",AVERAGEIFS(Table14[RSP],Table14[Customer],$M$3,Table14[Date],$A69,Table14[Bill No.],$B69),IF($J69="XtraGreen",AVERAGEIFS(Table146[RSP],Table146[Company],$M$3,Table146[Date],$A69,Table146[Bill No.],$B69),IFERROR($E69/$C69,"")))))</f>
        <v>100.74</v>
      </c>
      <c r="E69" s="347">
        <f>IF($A69="","",IF($J69="DIESEL",SUMIFS(Table1[Amount],Table1[Customer],$M$3,Table1[Date],$A69,Table1[Bill No.],$B69),IF($J69="PETROL",SUMIFS(Table14[Amount],Table14[Customer],$M$3,Table14[Date],$A69,Table14[Bill No.],$B69),IF($J69="XtraGreen",SUMIFS(Table146[Amount],Table146[Company],$M$3,Table146[Date],$A69,Table146[Bill No.],$B69),SUMIFS('Other Sale'!$D:$D,'Other Sale'!$E:$E,$M$3,'Other Sale'!$C:$C,$J69,'Other Sale'!$A:$A,$A69)))))</f>
        <v>302220</v>
      </c>
      <c r="F69" s="347" cm="1">
        <f t="array" ref="F69">IF($A69="","",IF($J69="Payment",IFERROR(INDEX(_xlfn._xlws.FILTER(MasterPaid[Amount Paid],(MasterPaid[Customer]=$M$3)*(MasterPaid[Date]=$A69)),COUNTIFS($A$6:$A69,$A69,$J$6:$J69,"Payment")),0),0))</f>
        <v>0</v>
      </c>
      <c r="G69" s="331"/>
      <c r="H69" s="427"/>
      <c r="I69" s="330">
        <f t="shared" si="9"/>
        <v>343095</v>
      </c>
      <c r="J69" s="344" t="str" cm="1">
        <f t="array" ref="J69">IFERROR(INDEX(_xlfn.ANCHORARRAY($P$6),ROW()-5,3),"")</f>
        <v>DIESEL</v>
      </c>
      <c r="K69" s="349" t="s">
        <v>2726</v>
      </c>
      <c r="L69" s="348"/>
      <c r="M69" s="277"/>
      <c r="N69" s="277"/>
      <c r="O69" s="277"/>
      <c r="P69">
        <v>46172</v>
      </c>
      <c r="Q69" t="str">
        <v>681</v>
      </c>
      <c r="R69" t="str">
        <v>DIESEL</v>
      </c>
    </row>
    <row r="70" spans="1:18" ht="21.75" x14ac:dyDescent="0.25">
      <c r="A70" s="217" cm="1">
        <f t="array" ref="A70">IFERROR(INDEX(_xlfn.ANCHORARRAY($P$6),ROW()-5,1),"")</f>
        <v>46172</v>
      </c>
      <c r="B70" s="344" t="str" cm="1">
        <f t="array" ref="B70">IFERROR(INDEX(_xlfn.ANCHORARRAY($P$6),ROW()-5,2),"")</f>
        <v>MS155</v>
      </c>
      <c r="C70" s="345">
        <f>IF($A70="","",IF($J70="DIESEL",SUMIFS(Table1[Quantity],Table1[Customer],$M$3,Table1[Date],$A70,Table1[Bill No.],$B70),IF($J70="PETROL",SUMIFS(Table14[Quantity],Table14[Customer],$M$3,Table14[Date],$A70,Table14[Bill No.],$B70),IF($J70="XtraGreen",SUMIFS(Table146[Quantity],Table146[Company],$M$3,Table146[Date],$A70,Table146[Bill No.],$B70),""))))</f>
        <v>100</v>
      </c>
      <c r="D70" s="346">
        <f>IF($A70="","",IF($J70="DIESEL",AVERAGEIFS(Table1[RSP],Table1[Customer],$M$3,Table1[Date],$A70,Table1[Bill No.],$B70),IF($J70="PETROL",AVERAGEIFS(Table14[RSP],Table14[Customer],$M$3,Table14[Date],$A70,Table14[Bill No.],$B70),IF($J70="XtraGreen",AVERAGEIFS(Table146[RSP],Table146[Company],$M$3,Table146[Date],$A70,Table146[Bill No.],$B70),IFERROR($E70/$C70,"")))))</f>
        <v>109.01</v>
      </c>
      <c r="E70" s="347">
        <f>IF($A70="","",IF($J70="DIESEL",SUMIFS(Table1[Amount],Table1[Customer],$M$3,Table1[Date],$A70,Table1[Bill No.],$B70),IF($J70="PETROL",SUMIFS(Table14[Amount],Table14[Customer],$M$3,Table14[Date],$A70,Table14[Bill No.],$B70),IF($J70="XtraGreen",SUMIFS(Table146[Amount],Table146[Company],$M$3,Table146[Date],$A70,Table146[Bill No.],$B70),SUMIFS('Other Sale'!$D:$D,'Other Sale'!$E:$E,$M$3,'Other Sale'!$C:$C,$J70,'Other Sale'!$A:$A,$A70)))))</f>
        <v>10901</v>
      </c>
      <c r="F70" s="347" cm="1">
        <f t="array" ref="F70">IF($A70="","",IF($J70="Payment",IFERROR(INDEX(_xlfn._xlws.FILTER(MasterPaid[Amount Paid],(MasterPaid[Customer]=$M$3)*(MasterPaid[Date]=$A70)),COUNTIFS($A$6:$A70,$A70,$J$6:$J70,"Payment")),0),0))</f>
        <v>0</v>
      </c>
      <c r="G70" s="331"/>
      <c r="H70" s="427"/>
      <c r="I70" s="330">
        <f t="shared" si="9"/>
        <v>353996</v>
      </c>
      <c r="J70" s="344" t="str" cm="1">
        <f t="array" ref="J70">IFERROR(INDEX(_xlfn.ANCHORARRAY($P$6),ROW()-5,3),"")</f>
        <v>PETROL</v>
      </c>
      <c r="K70" s="349"/>
      <c r="L70" s="348"/>
      <c r="M70" s="277"/>
      <c r="N70" s="277"/>
      <c r="O70" s="277"/>
      <c r="P70">
        <v>46172</v>
      </c>
      <c r="Q70" t="str">
        <v>MS155</v>
      </c>
      <c r="R70" t="str">
        <v>PETROL</v>
      </c>
    </row>
    <row r="71" spans="1:18" ht="21.75" x14ac:dyDescent="0.25">
      <c r="A71" s="217" cm="1">
        <f t="array" ref="A71">IFERROR(INDEX(_xlfn.ANCHORARRAY($P$6),ROW()-5,1),"")</f>
        <v>46172</v>
      </c>
      <c r="B71" s="344" t="str" cm="1">
        <f t="array" ref="B71">IFERROR(INDEX(_xlfn.ANCHORARRAY($P$6),ROW()-5,2),"")</f>
        <v/>
      </c>
      <c r="C71" s="345" t="str">
        <f>IF($A71="","",IF($J71="DIESEL",SUMIFS(Table1[Quantity],Table1[Customer],$M$3,Table1[Date],$A71,Table1[Bill No.],$B71),IF($J71="PETROL",SUMIFS(Table14[Quantity],Table14[Customer],$M$3,Table14[Date],$A71,Table14[Bill No.],$B71),IF($J71="XtraGreen",SUMIFS(Table146[Quantity],Table146[Company],$M$3,Table146[Date],$A71,Table146[Bill No.],$B71),""))))</f>
        <v/>
      </c>
      <c r="D71" s="346" t="str">
        <f>IF($A71="","",IF($J71="DIESEL",AVERAGEIFS(Table1[RSP],Table1[Customer],$M$3,Table1[Date],$A71,Table1[Bill No.],$B71),IF($J71="PETROL",AVERAGEIFS(Table14[RSP],Table14[Customer],$M$3,Table14[Date],$A71,Table14[Bill No.],$B71),IF($J71="XtraGreen",AVERAGEIFS(Table146[RSP],Table146[Company],$M$3,Table146[Date],$A71,Table146[Bill No.],$B71),IFERROR($E71/$C71,"")))))</f>
        <v/>
      </c>
      <c r="E71" s="347">
        <f>IF($A71="","",IF($J71="DIESEL",SUMIFS(Table1[Amount],Table1[Customer],$M$3,Table1[Date],$A71,Table1[Bill No.],$B71),IF($J71="PETROL",SUMIFS(Table14[Amount],Table14[Customer],$M$3,Table14[Date],$A71,Table14[Bill No.],$B71),IF($J71="XtraGreen",SUMIFS(Table146[Amount],Table146[Company],$M$3,Table146[Date],$A71,Table146[Bill No.],$B71),SUMIFS('Other Sale'!$D:$D,'Other Sale'!$E:$E,$M$3,'Other Sale'!$C:$C,$J71,'Other Sale'!$A:$A,$A71)))))</f>
        <v>0</v>
      </c>
      <c r="F71" s="347" cm="1">
        <f t="array" ref="F71">IF($A71="","",IF($J71="Payment",IFERROR(INDEX(_xlfn._xlws.FILTER(MasterPaid[Amount Paid],(MasterPaid[Customer]=$M$3)*(MasterPaid[Date]=$A71)),COUNTIFS($A$6:$A71,$A71,$J$6:$J71,"Payment")),0),0))</f>
        <v>301918</v>
      </c>
      <c r="G71" s="331">
        <v>302</v>
      </c>
      <c r="H71" s="427"/>
      <c r="I71" s="330">
        <f t="shared" si="9"/>
        <v>51776</v>
      </c>
      <c r="J71" s="344" t="str" cm="1">
        <f t="array" ref="J71">IFERROR(INDEX(_xlfn.ANCHORARRAY($P$6),ROW()-5,3),"")</f>
        <v>Payment</v>
      </c>
      <c r="K71" s="349"/>
      <c r="L71" s="348"/>
      <c r="M71" s="277"/>
      <c r="N71" s="277"/>
      <c r="O71" s="277"/>
      <c r="P71">
        <v>46172</v>
      </c>
      <c r="Q71" t="str">
        <v/>
      </c>
      <c r="R71" t="str">
        <v>Payment</v>
      </c>
    </row>
    <row r="72" spans="1:18" ht="21.75" x14ac:dyDescent="0.25">
      <c r="A72" s="217" cm="1">
        <f t="array" ref="A72">IFERROR(INDEX(_xlfn.ANCHORARRAY($P$6),ROW()-5,1),"")</f>
        <v>46174</v>
      </c>
      <c r="B72" s="344" t="str" cm="1">
        <f t="array" ref="B72">IFERROR(INDEX(_xlfn.ANCHORARRAY($P$6),ROW()-5,2),"")</f>
        <v>691</v>
      </c>
      <c r="C72" s="345">
        <f>IF($A72="","",IF($J72="DIESEL",SUMIFS(Table1[Quantity],Table1[Customer],$M$3,Table1[Date],$A72,Table1[Bill No.],$B72),IF($J72="PETROL",SUMIFS(Table14[Quantity],Table14[Customer],$M$3,Table14[Date],$A72,Table14[Bill No.],$B72),IF($J72="XtraGreen",SUMIFS(Table146[Quantity],Table146[Company],$M$3,Table146[Date],$A72,Table146[Bill No.],$B72),""))))</f>
        <v>3000</v>
      </c>
      <c r="D72" s="346">
        <f>IF($A72="","",IF($J72="DIESEL",AVERAGEIFS(Table1[RSP],Table1[Customer],$M$3,Table1[Date],$A72,Table1[Bill No.],$B72),IF($J72="PETROL",AVERAGEIFS(Table14[RSP],Table14[Customer],$M$3,Table14[Date],$A72,Table14[Bill No.],$B72),IF($J72="XtraGreen",AVERAGEIFS(Table146[RSP],Table146[Company],$M$3,Table146[Date],$A72,Table146[Bill No.],$B72),IFERROR($E72/$C72,"")))))</f>
        <v>100.74</v>
      </c>
      <c r="E72" s="347">
        <f>IF($A72="","",IF($J72="DIESEL",SUMIFS(Table1[Amount],Table1[Customer],$M$3,Table1[Date],$A72,Table1[Bill No.],$B72),IF($J72="PETROL",SUMIFS(Table14[Amount],Table14[Customer],$M$3,Table14[Date],$A72,Table14[Bill No.],$B72),IF($J72="XtraGreen",SUMIFS(Table146[Amount],Table146[Company],$M$3,Table146[Date],$A72,Table146[Bill No.],$B72),SUMIFS('Other Sale'!$D:$D,'Other Sale'!$E:$E,$M$3,'Other Sale'!$C:$C,$J72,'Other Sale'!$A:$A,$A72)))))</f>
        <v>302220</v>
      </c>
      <c r="F72" s="347" cm="1">
        <f t="array" ref="F72">IF($A72="","",IF($J72="Payment",IFERROR(INDEX(_xlfn._xlws.FILTER(MasterPaid[Amount Paid],(MasterPaid[Customer]=$M$3)*(MasterPaid[Date]=$A72)),COUNTIFS($A$6:$A72,$A72,$J$6:$J72,"Payment")),0),0))</f>
        <v>0</v>
      </c>
      <c r="G72" s="331"/>
      <c r="H72" s="427"/>
      <c r="I72" s="330">
        <f t="shared" ref="I72:I85" si="10">IF($A72="","",I71+N(E72)-N(F72)-N(G72)-N(H72))</f>
        <v>353996</v>
      </c>
      <c r="J72" s="344" t="str" cm="1">
        <f t="array" ref="J72">IFERROR(INDEX(_xlfn.ANCHORARRAY($P$6),ROW()-5,3),"")</f>
        <v>DIESEL</v>
      </c>
      <c r="K72" s="349" t="s">
        <v>2727</v>
      </c>
      <c r="L72" s="348"/>
      <c r="M72" s="277"/>
      <c r="N72" s="277"/>
      <c r="O72" s="277"/>
      <c r="P72">
        <v>46174</v>
      </c>
      <c r="Q72" t="str">
        <v>691</v>
      </c>
      <c r="R72" t="str">
        <v>DIESEL</v>
      </c>
    </row>
    <row r="73" spans="1:18" ht="21.75" x14ac:dyDescent="0.25">
      <c r="A73" s="217" cm="1">
        <f t="array" ref="A73">IFERROR(INDEX(_xlfn.ANCHORARRAY($P$6),ROW()-5,1),"")</f>
        <v>46175</v>
      </c>
      <c r="B73" s="344" t="str" cm="1">
        <f t="array" ref="B73">IFERROR(INDEX(_xlfn.ANCHORARRAY($P$6),ROW()-5,2),"")</f>
        <v/>
      </c>
      <c r="C73" s="345" t="str">
        <f>IF($A73="","",IF($J73="DIESEL",SUMIFS(Table1[Quantity],Table1[Customer],$M$3,Table1[Date],$A73,Table1[Bill No.],$B73),IF($J73="PETROL",SUMIFS(Table14[Quantity],Table14[Customer],$M$3,Table14[Date],$A73,Table14[Bill No.],$B73),IF($J73="XtraGreen",SUMIFS(Table146[Quantity],Table146[Company],$M$3,Table146[Date],$A73,Table146[Bill No.],$B73),""))))</f>
        <v/>
      </c>
      <c r="D73" s="346" t="str">
        <f>IF($A73="","",IF($J73="DIESEL",AVERAGEIFS(Table1[RSP],Table1[Customer],$M$3,Table1[Date],$A73,Table1[Bill No.],$B73),IF($J73="PETROL",AVERAGEIFS(Table14[RSP],Table14[Customer],$M$3,Table14[Date],$A73,Table14[Bill No.],$B73),IF($J73="XtraGreen",AVERAGEIFS(Table146[RSP],Table146[Company],$M$3,Table146[Date],$A73,Table146[Bill No.],$B73),IFERROR($E73/$C73,"")))))</f>
        <v/>
      </c>
      <c r="E73" s="347">
        <f>IF($A73="","",IF($J73="DIESEL",SUMIFS(Table1[Amount],Table1[Customer],$M$3,Table1[Date],$A73,Table1[Bill No.],$B73),IF($J73="PETROL",SUMIFS(Table14[Amount],Table14[Customer],$M$3,Table14[Date],$A73,Table14[Bill No.],$B73),IF($J73="XtraGreen",SUMIFS(Table146[Amount],Table146[Company],$M$3,Table146[Date],$A73,Table146[Bill No.],$B73),SUMIFS('Other Sale'!$D:$D,'Other Sale'!$E:$E,$M$3,'Other Sale'!$C:$C,$J73,'Other Sale'!$A:$A,$A73)))))</f>
        <v>0</v>
      </c>
      <c r="F73" s="347" cm="1">
        <f t="array" ref="F73">IF($A73="","",IF($J73="Payment",IFERROR(INDEX(_xlfn._xlws.FILTER(MasterPaid[Amount Paid],(MasterPaid[Customer]=$M$3)*(MasterPaid[Date]=$A73)),COUNTIFS($A$6:$A73,$A73,$J$6:$J73,"Payment")),0),0))</f>
        <v>301918</v>
      </c>
      <c r="G73" s="331">
        <v>302</v>
      </c>
      <c r="H73" s="427"/>
      <c r="I73" s="330">
        <f t="shared" si="10"/>
        <v>51776</v>
      </c>
      <c r="J73" s="344" t="str" cm="1">
        <f t="array" ref="J73">IFERROR(INDEX(_xlfn.ANCHORARRAY($P$6),ROW()-5,3),"")</f>
        <v>Payment</v>
      </c>
      <c r="K73" s="349"/>
      <c r="L73" s="348"/>
      <c r="M73" s="277"/>
      <c r="N73" s="277"/>
      <c r="O73" s="277"/>
      <c r="P73">
        <v>46175</v>
      </c>
      <c r="Q73" t="str">
        <v/>
      </c>
      <c r="R73" t="str">
        <v>Payment</v>
      </c>
    </row>
    <row r="74" spans="1:18" ht="21.75" x14ac:dyDescent="0.25">
      <c r="A74" s="217" cm="1">
        <f t="array" ref="A74">IFERROR(INDEX(_xlfn.ANCHORARRAY($P$6),ROW()-5,1),"")</f>
        <v>46176</v>
      </c>
      <c r="B74" s="344" t="str" cm="1">
        <f t="array" ref="B74">IFERROR(INDEX(_xlfn.ANCHORARRAY($P$6),ROW()-5,2),"")</f>
        <v>713</v>
      </c>
      <c r="C74" s="345">
        <f>IF($A74="","",IF($J74="DIESEL",SUMIFS(Table1[Quantity],Table1[Customer],$M$3,Table1[Date],$A74,Table1[Bill No.],$B74),IF($J74="PETROL",SUMIFS(Table14[Quantity],Table14[Customer],$M$3,Table14[Date],$A74,Table14[Bill No.],$B74),IF($J74="XtraGreen",SUMIFS(Table146[Quantity],Table146[Company],$M$3,Table146[Date],$A74,Table146[Bill No.],$B74),""))))</f>
        <v>3000</v>
      </c>
      <c r="D74" s="346">
        <f>IF($A74="","",IF($J74="DIESEL",AVERAGEIFS(Table1[RSP],Table1[Customer],$M$3,Table1[Date],$A74,Table1[Bill No.],$B74),IF($J74="PETROL",AVERAGEIFS(Table14[RSP],Table14[Customer],$M$3,Table14[Date],$A74,Table14[Bill No.],$B74),IF($J74="XtraGreen",AVERAGEIFS(Table146[RSP],Table146[Company],$M$3,Table146[Date],$A74,Table146[Bill No.],$B74),IFERROR($E74/$C74,"")))))</f>
        <v>100.74</v>
      </c>
      <c r="E74" s="347">
        <f>IF($A74="","",IF($J74="DIESEL",SUMIFS(Table1[Amount],Table1[Customer],$M$3,Table1[Date],$A74,Table1[Bill No.],$B74),IF($J74="PETROL",SUMIFS(Table14[Amount],Table14[Customer],$M$3,Table14[Date],$A74,Table14[Bill No.],$B74),IF($J74="XtraGreen",SUMIFS(Table146[Amount],Table146[Company],$M$3,Table146[Date],$A74,Table146[Bill No.],$B74),SUMIFS('Other Sale'!$D:$D,'Other Sale'!$E:$E,$M$3,'Other Sale'!$C:$C,$J74,'Other Sale'!$A:$A,$A74)))))</f>
        <v>302220</v>
      </c>
      <c r="F74" s="347" cm="1">
        <f t="array" ref="F74">IF($A74="","",IF($J74="Payment",IFERROR(INDEX(_xlfn._xlws.FILTER(MasterPaid[Amount Paid],(MasterPaid[Customer]=$M$3)*(MasterPaid[Date]=$A74)),COUNTIFS($A$6:$A74,$A74,$J$6:$J74,"Payment")),0),0))</f>
        <v>0</v>
      </c>
      <c r="G74" s="331"/>
      <c r="H74" s="427"/>
      <c r="I74" s="330">
        <f t="shared" si="10"/>
        <v>353996</v>
      </c>
      <c r="J74" s="344" t="str" cm="1">
        <f t="array" ref="J74">IFERROR(INDEX(_xlfn.ANCHORARRAY($P$6),ROW()-5,3),"")</f>
        <v>DIESEL</v>
      </c>
      <c r="K74" s="349" t="s">
        <v>2728</v>
      </c>
      <c r="L74" s="348"/>
      <c r="M74" s="277"/>
      <c r="N74" s="277"/>
      <c r="O74" s="277"/>
      <c r="P74">
        <v>46176</v>
      </c>
      <c r="Q74" t="str">
        <v>713</v>
      </c>
      <c r="R74" t="str">
        <v>DIESEL</v>
      </c>
    </row>
    <row r="75" spans="1:18" ht="21.75" x14ac:dyDescent="0.25">
      <c r="A75" s="217" cm="1">
        <f t="array" ref="A75">IFERROR(INDEX(_xlfn.ANCHORARRAY($P$6),ROW()-5,1),"")</f>
        <v>46177</v>
      </c>
      <c r="B75" s="344" t="str" cm="1">
        <f t="array" ref="B75">IFERROR(INDEX(_xlfn.ANCHORARRAY($P$6),ROW()-5,2),"")</f>
        <v/>
      </c>
      <c r="C75" s="345" t="str">
        <f>IF($A75="","",IF($J75="DIESEL",SUMIFS(Table1[Quantity],Table1[Customer],$M$3,Table1[Date],$A75,Table1[Bill No.],$B75),IF($J75="PETROL",SUMIFS(Table14[Quantity],Table14[Customer],$M$3,Table14[Date],$A75,Table14[Bill No.],$B75),IF($J75="XtraGreen",SUMIFS(Table146[Quantity],Table146[Company],$M$3,Table146[Date],$A75,Table146[Bill No.],$B75),""))))</f>
        <v/>
      </c>
      <c r="D75" s="346" t="str">
        <f>IF($A75="","",IF($J75="DIESEL",AVERAGEIFS(Table1[RSP],Table1[Customer],$M$3,Table1[Date],$A75,Table1[Bill No.],$B75),IF($J75="PETROL",AVERAGEIFS(Table14[RSP],Table14[Customer],$M$3,Table14[Date],$A75,Table14[Bill No.],$B75),IF($J75="XtraGreen",AVERAGEIFS(Table146[RSP],Table146[Company],$M$3,Table146[Date],$A75,Table146[Bill No.],$B75),IFERROR($E75/$C75,"")))))</f>
        <v/>
      </c>
      <c r="E75" s="347">
        <f>IF($A75="","",IF($J75="DIESEL",SUMIFS(Table1[Amount],Table1[Customer],$M$3,Table1[Date],$A75,Table1[Bill No.],$B75),IF($J75="PETROL",SUMIFS(Table14[Amount],Table14[Customer],$M$3,Table14[Date],$A75,Table14[Bill No.],$B75),IF($J75="XtraGreen",SUMIFS(Table146[Amount],Table146[Company],$M$3,Table146[Date],$A75,Table146[Bill No.],$B75),SUMIFS('Other Sale'!$D:$D,'Other Sale'!$E:$E,$M$3,'Other Sale'!$C:$C,$J75,'Other Sale'!$A:$A,$A75)))))</f>
        <v>0</v>
      </c>
      <c r="F75" s="347" cm="1">
        <f t="array" ref="F75">IF($A75="","",IF($J75="Payment",IFERROR(INDEX(_xlfn._xlws.FILTER(MasterPaid[Amount Paid],(MasterPaid[Customer]=$M$3)*(MasterPaid[Date]=$A75)),COUNTIFS($A$6:$A75,$A75,$J$6:$J75,"Payment")),0),0))</f>
        <v>301918</v>
      </c>
      <c r="G75" s="331">
        <v>302</v>
      </c>
      <c r="H75" s="427"/>
      <c r="I75" s="330">
        <f t="shared" si="10"/>
        <v>51776</v>
      </c>
      <c r="J75" s="344" t="str" cm="1">
        <f t="array" ref="J75">IFERROR(INDEX(_xlfn.ANCHORARRAY($P$6),ROW()-5,3),"")</f>
        <v>Payment</v>
      </c>
      <c r="K75" s="349"/>
      <c r="L75" s="348"/>
      <c r="M75" s="277"/>
      <c r="N75" s="277"/>
      <c r="O75" s="277"/>
      <c r="P75">
        <v>46177</v>
      </c>
      <c r="Q75" t="str">
        <v/>
      </c>
      <c r="R75" t="str">
        <v>Payment</v>
      </c>
    </row>
    <row r="76" spans="1:18" ht="21.75" x14ac:dyDescent="0.25">
      <c r="A76" s="217" cm="1">
        <f t="array" ref="A76">IFERROR(INDEX(_xlfn.ANCHORARRAY($P$6),ROW()-5,1),"")</f>
        <v>46186</v>
      </c>
      <c r="B76" s="344" t="str" cm="1">
        <f t="array" ref="B76">IFERROR(INDEX(_xlfn.ANCHORARRAY($P$6),ROW()-5,2),"")</f>
        <v/>
      </c>
      <c r="C76" s="345" t="str">
        <f>IF($A76="","",IF($J76="DIESEL",SUMIFS(Table1[Quantity],Table1[Customer],$M$3,Table1[Date],$A76,Table1[Bill No.],$B76),IF($J76="PETROL",SUMIFS(Table14[Quantity],Table14[Customer],$M$3,Table14[Date],$A76,Table14[Bill No.],$B76),IF($J76="XtraGreen",SUMIFS(Table146[Quantity],Table146[Company],$M$3,Table146[Date],$A76,Table146[Bill No.],$B76),""))))</f>
        <v/>
      </c>
      <c r="D76" s="346" t="str">
        <f>IF($A76="","",IF($J76="DIESEL",AVERAGEIFS(Table1[RSP],Table1[Customer],$M$3,Table1[Date],$A76,Table1[Bill No.],$B76),IF($J76="PETROL",AVERAGEIFS(Table14[RSP],Table14[Customer],$M$3,Table14[Date],$A76,Table14[Bill No.],$B76),IF($J76="XtraGreen",AVERAGEIFS(Table146[RSP],Table146[Company],$M$3,Table146[Date],$A76,Table146[Bill No.],$B76),IFERROR($E76/$C76,"")))))</f>
        <v/>
      </c>
      <c r="E76" s="347">
        <f>IF($A76="","",IF($J76="DIESEL",SUMIFS(Table1[Amount],Table1[Customer],$M$3,Table1[Date],$A76,Table1[Bill No.],$B76),IF($J76="PETROL",SUMIFS(Table14[Amount],Table14[Customer],$M$3,Table14[Date],$A76,Table14[Bill No.],$B76),IF($J76="XtraGreen",SUMIFS(Table146[Amount],Table146[Company],$M$3,Table146[Date],$A76,Table146[Bill No.],$B76),SUMIFS('Other Sale'!$D:$D,'Other Sale'!$E:$E,$M$3,'Other Sale'!$C:$C,$J76,'Other Sale'!$A:$A,$A76)))))</f>
        <v>0</v>
      </c>
      <c r="F76" s="347" cm="1">
        <f t="array" ref="F76">IF($A76="","",IF($J76="Payment",IFERROR(INDEX(_xlfn._xlws.FILTER(MasterPaid[Amount Paid],(MasterPaid[Customer]=$M$3)*(MasterPaid[Date]=$A76)),COUNTIFS($A$6:$A76,$A76,$J$6:$J76,"Payment")),0),0))</f>
        <v>30335</v>
      </c>
      <c r="G76" s="331">
        <v>10</v>
      </c>
      <c r="H76" s="427"/>
      <c r="I76" s="330">
        <f t="shared" si="10"/>
        <v>21431</v>
      </c>
      <c r="J76" s="344" t="str" cm="1">
        <f t="array" ref="J76">IFERROR(INDEX(_xlfn.ANCHORARRAY($P$6),ROW()-5,3),"")</f>
        <v>Payment</v>
      </c>
      <c r="K76" s="349"/>
      <c r="L76" s="348"/>
      <c r="M76" s="277"/>
      <c r="N76" s="277"/>
      <c r="O76" s="277"/>
      <c r="P76">
        <v>46186</v>
      </c>
      <c r="Q76" t="str">
        <v/>
      </c>
      <c r="R76" t="str">
        <v>Payment</v>
      </c>
    </row>
    <row r="77" spans="1:18" ht="21.75" x14ac:dyDescent="0.25">
      <c r="A77" s="217" cm="1">
        <f t="array" ref="A77">IFERROR(INDEX(_xlfn.ANCHORARRAY($P$6),ROW()-5,1),"")</f>
        <v>46199</v>
      </c>
      <c r="B77" s="344" t="str" cm="1">
        <f t="array" ref="B77">IFERROR(INDEX(_xlfn.ANCHORARRAY($P$6),ROW()-5,2),"")</f>
        <v>1133</v>
      </c>
      <c r="C77" s="345">
        <f>IF($A77="","",IF($J77="DIESEL",SUMIFS(Table1[Quantity],Table1[Customer],$M$3,Table1[Date],$A77,Table1[Bill No.],$B77),IF($J77="PETROL",SUMIFS(Table14[Quantity],Table14[Customer],$M$3,Table14[Date],$A77,Table14[Bill No.],$B77),IF($J77="XtraGreen",SUMIFS(Table146[Quantity],Table146[Company],$M$3,Table146[Date],$A77,Table146[Bill No.],$B77),""))))</f>
        <v>12000</v>
      </c>
      <c r="D77" s="346">
        <f>IF($A77="","",IF($J77="DIESEL",AVERAGEIFS(Table1[RSP],Table1[Customer],$M$3,Table1[Date],$A77,Table1[Bill No.],$B77),IF($J77="PETROL",AVERAGEIFS(Table14[RSP],Table14[Customer],$M$3,Table14[Date],$A77,Table14[Bill No.],$B77),IF($J77="XtraGreen",AVERAGEIFS(Table146[RSP],Table146[Company],$M$3,Table146[Date],$A77,Table146[Bill No.],$B77),IFERROR($E77/$C77,"")))))</f>
        <v>100.74</v>
      </c>
      <c r="E77" s="347">
        <f>IF($A77="","",IF($J77="DIESEL",SUMIFS(Table1[Amount],Table1[Customer],$M$3,Table1[Date],$A77,Table1[Bill No.],$B77),IF($J77="PETROL",SUMIFS(Table14[Amount],Table14[Customer],$M$3,Table14[Date],$A77,Table14[Bill No.],$B77),IF($J77="XtraGreen",SUMIFS(Table146[Amount],Table146[Company],$M$3,Table146[Date],$A77,Table146[Bill No.],$B77),SUMIFS('Other Sale'!$D:$D,'Other Sale'!$E:$E,$M$3,'Other Sale'!$C:$C,$J77,'Other Sale'!$A:$A,$A77)))))</f>
        <v>1208880</v>
      </c>
      <c r="F77" s="347" cm="1">
        <f t="array" ref="F77">IF($A77="","",IF($J77="Payment",IFERROR(INDEX(_xlfn._xlws.FILTER(MasterPaid[Amount Paid],(MasterPaid[Customer]=$M$3)*(MasterPaid[Date]=$A77)),COUNTIFS($A$6:$A77,$A77,$J$6:$J77,"Payment")),0),0))</f>
        <v>0</v>
      </c>
      <c r="G77" s="331"/>
      <c r="H77" s="427"/>
      <c r="I77" s="330">
        <f t="shared" si="10"/>
        <v>1230311</v>
      </c>
      <c r="J77" s="344" t="str" cm="1">
        <f t="array" ref="J77">IFERROR(INDEX(_xlfn.ANCHORARRAY($P$6),ROW()-5,3),"")</f>
        <v>DIESEL</v>
      </c>
      <c r="K77" s="349" t="s">
        <v>2174</v>
      </c>
      <c r="L77" s="348"/>
      <c r="M77" s="277"/>
      <c r="N77" s="277"/>
      <c r="O77" s="277"/>
      <c r="P77">
        <v>46199</v>
      </c>
      <c r="Q77" t="str">
        <v>1133</v>
      </c>
      <c r="R77" t="str">
        <v>DIESEL</v>
      </c>
    </row>
    <row r="78" spans="1:18" ht="21.75" x14ac:dyDescent="0.25">
      <c r="A78" s="217" cm="1">
        <f t="array" ref="A78">IFERROR(INDEX(_xlfn.ANCHORARRAY($P$6),ROW()-5,1),"")</f>
        <v>46202</v>
      </c>
      <c r="B78" s="344" t="str" cm="1">
        <f t="array" ref="B78">IFERROR(INDEX(_xlfn.ANCHORARRAY($P$6),ROW()-5,2),"")</f>
        <v>1239</v>
      </c>
      <c r="C78" s="345">
        <f>IF($A78="","",IF($J78="DIESEL",SUMIFS(Table1[Quantity],Table1[Customer],$M$3,Table1[Date],$A78,Table1[Bill No.],$B78),IF($J78="PETROL",SUMIFS(Table14[Quantity],Table14[Customer],$M$3,Table14[Date],$A78,Table14[Bill No.],$B78),IF($J78="XtraGreen",SUMIFS(Table146[Quantity],Table146[Company],$M$3,Table146[Date],$A78,Table146[Bill No.],$B78),""))))</f>
        <v>12000</v>
      </c>
      <c r="D78" s="346">
        <f>IF($A78="","",IF($J78="DIESEL",AVERAGEIFS(Table1[RSP],Table1[Customer],$M$3,Table1[Date],$A78,Table1[Bill No.],$B78),IF($J78="PETROL",AVERAGEIFS(Table14[RSP],Table14[Customer],$M$3,Table14[Date],$A78,Table14[Bill No.],$B78),IF($J78="XtraGreen",AVERAGEIFS(Table146[RSP],Table146[Company],$M$3,Table146[Date],$A78,Table146[Bill No.],$B78),IFERROR($E78/$C78,"")))))</f>
        <v>100.74</v>
      </c>
      <c r="E78" s="347">
        <f>IF($A78="","",IF($J78="DIESEL",SUMIFS(Table1[Amount],Table1[Customer],$M$3,Table1[Date],$A78,Table1[Bill No.],$B78),IF($J78="PETROL",SUMIFS(Table14[Amount],Table14[Customer],$M$3,Table14[Date],$A78,Table14[Bill No.],$B78),IF($J78="XtraGreen",SUMIFS(Table146[Amount],Table146[Company],$M$3,Table146[Date],$A78,Table146[Bill No.],$B78),SUMIFS('Other Sale'!$D:$D,'Other Sale'!$E:$E,$M$3,'Other Sale'!$C:$C,$J78,'Other Sale'!$A:$A,$A78)))))</f>
        <v>1208880</v>
      </c>
      <c r="F78" s="347" cm="1">
        <f t="array" ref="F78">IF($A78="","",IF($J78="Payment",IFERROR(INDEX(_xlfn._xlws.FILTER(MasterPaid[Amount Paid],(MasterPaid[Customer]=$M$3)*(MasterPaid[Date]=$A78)),COUNTIFS($A$6:$A78,$A78,$J$6:$J78,"Payment")),0),0))</f>
        <v>0</v>
      </c>
      <c r="G78" s="331"/>
      <c r="H78" s="427"/>
      <c r="I78" s="330">
        <f t="shared" si="10"/>
        <v>2439191</v>
      </c>
      <c r="J78" s="344" t="str" cm="1">
        <f t="array" ref="J78">IFERROR(INDEX(_xlfn.ANCHORARRAY($P$6),ROW()-5,3),"")</f>
        <v>DIESEL</v>
      </c>
      <c r="K78" s="349" t="s">
        <v>2324</v>
      </c>
      <c r="L78" s="348"/>
      <c r="M78" s="277"/>
      <c r="N78" s="277"/>
      <c r="O78" s="277"/>
      <c r="P78">
        <v>46202</v>
      </c>
      <c r="Q78" t="str">
        <v>1239</v>
      </c>
      <c r="R78" t="str">
        <v>DIESEL</v>
      </c>
    </row>
    <row r="79" spans="1:18" ht="21.75" x14ac:dyDescent="0.25">
      <c r="A79" s="217" cm="1">
        <f t="array" ref="A79">IFERROR(INDEX(_xlfn.ANCHORARRAY($P$6),ROW()-5,1),"")</f>
        <v>46202</v>
      </c>
      <c r="B79" s="344" t="str" cm="1">
        <f t="array" ref="B79">IFERROR(INDEX(_xlfn.ANCHORARRAY($P$6),ROW()-5,2),"")</f>
        <v/>
      </c>
      <c r="C79" s="345" t="str">
        <f>IF($A79="","",IF($J79="DIESEL",SUMIFS(Table1[Quantity],Table1[Customer],$M$3,Table1[Date],$A79,Table1[Bill No.],$B79),IF($J79="PETROL",SUMIFS(Table14[Quantity],Table14[Customer],$M$3,Table14[Date],$A79,Table14[Bill No.],$B79),IF($J79="XtraGreen",SUMIFS(Table146[Quantity],Table146[Company],$M$3,Table146[Date],$A79,Table146[Bill No.],$B79),""))))</f>
        <v/>
      </c>
      <c r="D79" s="346" t="str">
        <f>IF($A79="","",IF($J79="DIESEL",AVERAGEIFS(Table1[RSP],Table1[Customer],$M$3,Table1[Date],$A79,Table1[Bill No.],$B79),IF($J79="PETROL",AVERAGEIFS(Table14[RSP],Table14[Customer],$M$3,Table14[Date],$A79,Table14[Bill No.],$B79),IF($J79="XtraGreen",AVERAGEIFS(Table146[RSP],Table146[Company],$M$3,Table146[Date],$A79,Table146[Bill No.],$B79),IFERROR($E79/$C79,"")))))</f>
        <v/>
      </c>
      <c r="E79" s="347">
        <f>IF($A79="","",IF($J79="DIESEL",SUMIFS(Table1[Amount],Table1[Customer],$M$3,Table1[Date],$A79,Table1[Bill No.],$B79),IF($J79="PETROL",SUMIFS(Table14[Amount],Table14[Customer],$M$3,Table14[Date],$A79,Table14[Bill No.],$B79),IF($J79="XtraGreen",SUMIFS(Table146[Amount],Table146[Company],$M$3,Table146[Date],$A79,Table146[Bill No.],$B79),SUMIFS('Other Sale'!$D:$D,'Other Sale'!$E:$E,$M$3,'Other Sale'!$C:$C,$J79,'Other Sale'!$A:$A,$A79)))))</f>
        <v>0</v>
      </c>
      <c r="F79" s="347" cm="1">
        <f t="array" ref="F79">IF($A79="","",IF($J79="Payment",IFERROR(INDEX(_xlfn._xlws.FILTER(MasterPaid[Amount Paid],(MasterPaid[Customer]=$M$3)*(MasterPaid[Date]=$A79)),COUNTIFS($A$6:$A79,$A79,$J$6:$J79,"Payment")),0),0))</f>
        <v>1207671</v>
      </c>
      <c r="G79" s="331">
        <v>1209</v>
      </c>
      <c r="H79" s="427"/>
      <c r="I79" s="330">
        <f t="shared" si="10"/>
        <v>1230311</v>
      </c>
      <c r="J79" s="344" t="str" cm="1">
        <f t="array" ref="J79">IFERROR(INDEX(_xlfn.ANCHORARRAY($P$6),ROW()-5,3),"")</f>
        <v>Payment</v>
      </c>
      <c r="K79" s="349"/>
      <c r="L79" s="348"/>
      <c r="M79" s="277"/>
      <c r="N79" s="277"/>
      <c r="O79" s="277"/>
      <c r="P79">
        <v>46202</v>
      </c>
      <c r="Q79" t="str">
        <v/>
      </c>
      <c r="R79" t="str">
        <v>Payment</v>
      </c>
    </row>
    <row r="80" spans="1:18" ht="21.75" x14ac:dyDescent="0.25">
      <c r="A80" s="217" cm="1">
        <f t="array" ref="A80">IFERROR(INDEX(_xlfn.ANCHORARRAY($P$6),ROW()-5,1),"")</f>
        <v>46204</v>
      </c>
      <c r="B80" s="344" t="str" cm="1">
        <f t="array" ref="B80">IFERROR(INDEX(_xlfn.ANCHORARRAY($P$6),ROW()-5,2),"")</f>
        <v/>
      </c>
      <c r="C80" s="345" t="str">
        <f>IF($A80="","",IF($J80="DIESEL",SUMIFS(Table1[Quantity],Table1[Customer],$M$3,Table1[Date],$A80,Table1[Bill No.],$B80),IF($J80="PETROL",SUMIFS(Table14[Quantity],Table14[Customer],$M$3,Table14[Date],$A80,Table14[Bill No.],$B80),IF($J80="XtraGreen",SUMIFS(Table146[Quantity],Table146[Company],$M$3,Table146[Date],$A80,Table146[Bill No.],$B80),""))))</f>
        <v/>
      </c>
      <c r="D80" s="346" t="str">
        <f>IF($A80="","",IF($J80="DIESEL",AVERAGEIFS(Table1[RSP],Table1[Customer],$M$3,Table1[Date],$A80,Table1[Bill No.],$B80),IF($J80="PETROL",AVERAGEIFS(Table14[RSP],Table14[Customer],$M$3,Table14[Date],$A80,Table14[Bill No.],$B80),IF($J80="XtraGreen",AVERAGEIFS(Table146[RSP],Table146[Company],$M$3,Table146[Date],$A80,Table146[Bill No.],$B80),IFERROR($E80/$C80,"")))))</f>
        <v/>
      </c>
      <c r="E80" s="347">
        <f>IF($A80="","",IF($J80="DIESEL",SUMIFS(Table1[Amount],Table1[Customer],$M$3,Table1[Date],$A80,Table1[Bill No.],$B80),IF($J80="PETROL",SUMIFS(Table14[Amount],Table14[Customer],$M$3,Table14[Date],$A80,Table14[Bill No.],$B80),IF($J80="XtraGreen",SUMIFS(Table146[Amount],Table146[Company],$M$3,Table146[Date],$A80,Table146[Bill No.],$B80),SUMIFS('Other Sale'!$D:$D,'Other Sale'!$E:$E,$M$3,'Other Sale'!$C:$C,$J80,'Other Sale'!$A:$A,$A80)))))</f>
        <v>0</v>
      </c>
      <c r="F80" s="347" cm="1">
        <f t="array" ref="F80">IF($A80="","",IF($J80="Payment",IFERROR(INDEX(_xlfn._xlws.FILTER(MasterPaid[Amount Paid],(MasterPaid[Customer]=$M$3)*(MasterPaid[Date]=$A80)),COUNTIFS($A$6:$A80,$A80,$J$6:$J80,"Payment")),0),0))</f>
        <v>1207671</v>
      </c>
      <c r="G80" s="331">
        <v>1209</v>
      </c>
      <c r="H80" s="427"/>
      <c r="I80" s="330">
        <f t="shared" si="10"/>
        <v>21431</v>
      </c>
      <c r="J80" s="344" t="str" cm="1">
        <f t="array" ref="J80">IFERROR(INDEX(_xlfn.ANCHORARRAY($P$6),ROW()-5,3),"")</f>
        <v>Payment</v>
      </c>
      <c r="K80" s="349"/>
      <c r="L80" s="348"/>
      <c r="M80" s="277"/>
      <c r="N80" s="277"/>
      <c r="O80" s="277"/>
      <c r="P80">
        <v>46204</v>
      </c>
      <c r="Q80" t="str">
        <v/>
      </c>
      <c r="R80" t="str">
        <v>Payment</v>
      </c>
    </row>
    <row r="81" spans="1:18" ht="21.75" x14ac:dyDescent="0.25">
      <c r="A81" s="217" cm="1">
        <f t="array" ref="A81">IFERROR(INDEX(_xlfn.ANCHORARRAY($P$6),ROW()-5,1),"")</f>
        <v>46205</v>
      </c>
      <c r="B81" s="344" t="str" cm="1">
        <f t="array" ref="B81">IFERROR(INDEX(_xlfn.ANCHORARRAY($P$6),ROW()-5,2),"")</f>
        <v>1271</v>
      </c>
      <c r="C81" s="345">
        <f>IF($A81="","",IF($J81="DIESEL",SUMIFS(Table1[Quantity],Table1[Customer],$M$3,Table1[Date],$A81,Table1[Bill No.],$B81),IF($J81="PETROL",SUMIFS(Table14[Quantity],Table14[Customer],$M$3,Table14[Date],$A81,Table14[Bill No.],$B81),IF($J81="XtraGreen",SUMIFS(Table146[Quantity],Table146[Company],$M$3,Table146[Date],$A81,Table146[Bill No.],$B81),""))))</f>
        <v>12000</v>
      </c>
      <c r="D81" s="346">
        <f>IF($A81="","",IF($J81="DIESEL",AVERAGEIFS(Table1[RSP],Table1[Customer],$M$3,Table1[Date],$A81,Table1[Bill No.],$B81),IF($J81="PETROL",AVERAGEIFS(Table14[RSP],Table14[Customer],$M$3,Table14[Date],$A81,Table14[Bill No.],$B81),IF($J81="XtraGreen",AVERAGEIFS(Table146[RSP],Table146[Company],$M$3,Table146[Date],$A81,Table146[Bill No.],$B81),IFERROR($E81/$C81,"")))))</f>
        <v>100.74</v>
      </c>
      <c r="E81" s="347">
        <f>IF($A81="","",IF($J81="DIESEL",SUMIFS(Table1[Amount],Table1[Customer],$M$3,Table1[Date],$A81,Table1[Bill No.],$B81),IF($J81="PETROL",SUMIFS(Table14[Amount],Table14[Customer],$M$3,Table14[Date],$A81,Table14[Bill No.],$B81),IF($J81="XtraGreen",SUMIFS(Table146[Amount],Table146[Company],$M$3,Table146[Date],$A81,Table146[Bill No.],$B81),SUMIFS('Other Sale'!$D:$D,'Other Sale'!$E:$E,$M$3,'Other Sale'!$C:$C,$J81,'Other Sale'!$A:$A,$A81)))))</f>
        <v>1208880</v>
      </c>
      <c r="F81" s="347" cm="1">
        <f t="array" ref="F81">IF($A81="","",IF($J81="Payment",IFERROR(INDEX(_xlfn._xlws.FILTER(MasterPaid[Amount Paid],(MasterPaid[Customer]=$M$3)*(MasterPaid[Date]=$A81)),COUNTIFS($A$6:$A81,$A81,$J$6:$J81,"Payment")),0),0))</f>
        <v>0</v>
      </c>
      <c r="G81" s="331"/>
      <c r="H81" s="427"/>
      <c r="I81" s="330">
        <f t="shared" si="10"/>
        <v>1230311</v>
      </c>
      <c r="J81" s="344" t="str" cm="1">
        <f t="array" ref="J81">IFERROR(INDEX(_xlfn.ANCHORARRAY($P$6),ROW()-5,3),"")</f>
        <v>DIESEL</v>
      </c>
      <c r="K81" s="349" t="s">
        <v>2373</v>
      </c>
      <c r="L81" s="348"/>
      <c r="M81" s="277"/>
      <c r="N81" s="277"/>
      <c r="O81" s="277"/>
      <c r="P81">
        <v>46205</v>
      </c>
      <c r="Q81" t="str">
        <v>1271</v>
      </c>
      <c r="R81" t="str">
        <v>DIESEL</v>
      </c>
    </row>
    <row r="82" spans="1:18" ht="21.75" x14ac:dyDescent="0.25">
      <c r="A82" s="217" cm="1">
        <f t="array" ref="A82">IFERROR(INDEX(_xlfn.ANCHORARRAY($P$6),ROW()-5,1),"")</f>
        <v>46207</v>
      </c>
      <c r="B82" s="344" t="str" cm="1">
        <f t="array" ref="B82">IFERROR(INDEX(_xlfn.ANCHORARRAY($P$6),ROW()-5,2),"")</f>
        <v/>
      </c>
      <c r="C82" s="345" t="str">
        <f>IF($A82="","",IF($J82="DIESEL",SUMIFS(Table1[Quantity],Table1[Customer],$M$3,Table1[Date],$A82,Table1[Bill No.],$B82),IF($J82="PETROL",SUMIFS(Table14[Quantity],Table14[Customer],$M$3,Table14[Date],$A82,Table14[Bill No.],$B82),IF($J82="XtraGreen",SUMIFS(Table146[Quantity],Table146[Company],$M$3,Table146[Date],$A82,Table146[Bill No.],$B82),""))))</f>
        <v/>
      </c>
      <c r="D82" s="346" t="str">
        <f>IF($A82="","",IF($J82="DIESEL",AVERAGEIFS(Table1[RSP],Table1[Customer],$M$3,Table1[Date],$A82,Table1[Bill No.],$B82),IF($J82="PETROL",AVERAGEIFS(Table14[RSP],Table14[Customer],$M$3,Table14[Date],$A82,Table14[Bill No.],$B82),IF($J82="XtraGreen",AVERAGEIFS(Table146[RSP],Table146[Company],$M$3,Table146[Date],$A82,Table146[Bill No.],$B82),IFERROR($E82/$C82,"")))))</f>
        <v/>
      </c>
      <c r="E82" s="347">
        <f>IF($A82="","",IF($J82="DIESEL",SUMIFS(Table1[Amount],Table1[Customer],$M$3,Table1[Date],$A82,Table1[Bill No.],$B82),IF($J82="PETROL",SUMIFS(Table14[Amount],Table14[Customer],$M$3,Table14[Date],$A82,Table14[Bill No.],$B82),IF($J82="XtraGreen",SUMIFS(Table146[Amount],Table146[Company],$M$3,Table146[Date],$A82,Table146[Bill No.],$B82),SUMIFS('Other Sale'!$D:$D,'Other Sale'!$E:$E,$M$3,'Other Sale'!$C:$C,$J82,'Other Sale'!$A:$A,$A82)))))</f>
        <v>0</v>
      </c>
      <c r="F82" s="347" cm="1">
        <f t="array" ref="F82">IF($A82="","",IF($J82="Payment",IFERROR(INDEX(_xlfn._xlws.FILTER(MasterPaid[Amount Paid],(MasterPaid[Customer]=$M$3)*(MasterPaid[Date]=$A82)),COUNTIFS($A$6:$A82,$A82,$J$6:$J82,"Payment")),0),0))</f>
        <v>1207671</v>
      </c>
      <c r="G82" s="331">
        <v>1209</v>
      </c>
      <c r="H82" s="427"/>
      <c r="I82" s="330">
        <f t="shared" si="10"/>
        <v>21431</v>
      </c>
      <c r="J82" s="344" t="str" cm="1">
        <f t="array" ref="J82">IFERROR(INDEX(_xlfn.ANCHORARRAY($P$6),ROW()-5,3),"")</f>
        <v>Payment</v>
      </c>
      <c r="K82" s="349"/>
      <c r="L82" s="348"/>
      <c r="M82" s="277"/>
      <c r="N82" s="277"/>
      <c r="O82" s="277"/>
      <c r="P82">
        <v>46207</v>
      </c>
      <c r="Q82" t="str">
        <v/>
      </c>
      <c r="R82" t="str">
        <v>Payment</v>
      </c>
    </row>
    <row r="83" spans="1:18" ht="21.75" x14ac:dyDescent="0.25">
      <c r="A83" s="217" cm="1">
        <f t="array" ref="A83">IFERROR(INDEX(_xlfn.ANCHORARRAY($P$6),ROW()-5,1),"")</f>
        <v>46209</v>
      </c>
      <c r="B83" s="344" t="str" cm="1">
        <f t="array" ref="B83">IFERROR(INDEX(_xlfn.ANCHORARRAY($P$6),ROW()-5,2),"")</f>
        <v>1358</v>
      </c>
      <c r="C83" s="345">
        <f>IF($A83="","",IF($J83="DIESEL",SUMIFS(Table1[Quantity],Table1[Customer],$M$3,Table1[Date],$A83,Table1[Bill No.],$B83),IF($J83="PETROL",SUMIFS(Table14[Quantity],Table14[Customer],$M$3,Table14[Date],$A83,Table14[Bill No.],$B83),IF($J83="XtraGreen",SUMIFS(Table146[Quantity],Table146[Company],$M$3,Table146[Date],$A83,Table146[Bill No.],$B83),""))))</f>
        <v>12000</v>
      </c>
      <c r="D83" s="346">
        <f>IF($A83="","",IF($J83="DIESEL",AVERAGEIFS(Table1[RSP],Table1[Customer],$M$3,Table1[Date],$A83,Table1[Bill No.],$B83),IF($J83="PETROL",AVERAGEIFS(Table14[RSP],Table14[Customer],$M$3,Table14[Date],$A83,Table14[Bill No.],$B83),IF($J83="XtraGreen",AVERAGEIFS(Table146[RSP],Table146[Company],$M$3,Table146[Date],$A83,Table146[Bill No.],$B83),IFERROR($E83/$C83,"")))))</f>
        <v>100.74</v>
      </c>
      <c r="E83" s="347">
        <f>IF($A83="","",IF($J83="DIESEL",SUMIFS(Table1[Amount],Table1[Customer],$M$3,Table1[Date],$A83,Table1[Bill No.],$B83),IF($J83="PETROL",SUMIFS(Table14[Amount],Table14[Customer],$M$3,Table14[Date],$A83,Table14[Bill No.],$B83),IF($J83="XtraGreen",SUMIFS(Table146[Amount],Table146[Company],$M$3,Table146[Date],$A83,Table146[Bill No.],$B83),SUMIFS('Other Sale'!$D:$D,'Other Sale'!$E:$E,$M$3,'Other Sale'!$C:$C,$J83,'Other Sale'!$A:$A,$A83)))))</f>
        <v>1208880</v>
      </c>
      <c r="F83" s="347" cm="1">
        <f t="array" ref="F83">IF($A83="","",IF($J83="Payment",IFERROR(INDEX(_xlfn._xlws.FILTER(MasterPaid[Amount Paid],(MasterPaid[Customer]=$M$3)*(MasterPaid[Date]=$A83)),COUNTIFS($A$6:$A83,$A83,$J$6:$J83,"Payment")),0),0))</f>
        <v>0</v>
      </c>
      <c r="G83" s="331"/>
      <c r="H83" s="427"/>
      <c r="I83" s="330">
        <f t="shared" si="10"/>
        <v>1230311</v>
      </c>
      <c r="J83" s="344" t="str" cm="1">
        <f t="array" ref="J83">IFERROR(INDEX(_xlfn.ANCHORARRAY($P$6),ROW()-5,3),"")</f>
        <v>DIESEL</v>
      </c>
      <c r="K83" s="349" t="s">
        <v>2373</v>
      </c>
      <c r="L83" s="348"/>
      <c r="M83" s="277"/>
      <c r="N83" s="277"/>
      <c r="O83" s="277"/>
      <c r="P83">
        <v>46209</v>
      </c>
      <c r="Q83" t="str">
        <v>1358</v>
      </c>
      <c r="R83" t="str">
        <v>DIESEL</v>
      </c>
    </row>
    <row r="84" spans="1:18" ht="21.75" x14ac:dyDescent="0.25">
      <c r="A84" s="217" cm="1">
        <f t="array" ref="A84">IFERROR(INDEX(_xlfn.ANCHORARRAY($P$6),ROW()-5,1),"")</f>
        <v>46212</v>
      </c>
      <c r="B84" s="344" t="str" cm="1">
        <f t="array" ref="B84">IFERROR(INDEX(_xlfn.ANCHORARRAY($P$6),ROW()-5,2),"")</f>
        <v>1430</v>
      </c>
      <c r="C84" s="345">
        <f>IF($A84="","",IF($J84="DIESEL",SUMIFS(Table1[Quantity],Table1[Customer],$M$3,Table1[Date],$A84,Table1[Bill No.],$B84),IF($J84="PETROL",SUMIFS(Table14[Quantity],Table14[Customer],$M$3,Table14[Date],$A84,Table14[Bill No.],$B84),IF($J84="XtraGreen",SUMIFS(Table146[Quantity],Table146[Company],$M$3,Table146[Date],$A84,Table146[Bill No.],$B84),""))))</f>
        <v>12000</v>
      </c>
      <c r="D84" s="346">
        <f>IF($A84="","",IF($J84="DIESEL",AVERAGEIFS(Table1[RSP],Table1[Customer],$M$3,Table1[Date],$A84,Table1[Bill No.],$B84),IF($J84="PETROL",AVERAGEIFS(Table14[RSP],Table14[Customer],$M$3,Table14[Date],$A84,Table14[Bill No.],$B84),IF($J84="XtraGreen",AVERAGEIFS(Table146[RSP],Table146[Company],$M$3,Table146[Date],$A84,Table146[Bill No.],$B84),IFERROR($E84/$C84,"")))))</f>
        <v>99.5</v>
      </c>
      <c r="E84" s="347">
        <f>IF($A84="","",IF($J84="DIESEL",SUMIFS(Table1[Amount],Table1[Customer],$M$3,Table1[Date],$A84,Table1[Bill No.],$B84),IF($J84="PETROL",SUMIFS(Table14[Amount],Table14[Customer],$M$3,Table14[Date],$A84,Table14[Bill No.],$B84),IF($J84="XtraGreen",SUMIFS(Table146[Amount],Table146[Company],$M$3,Table146[Date],$A84,Table146[Bill No.],$B84),SUMIFS('Other Sale'!$D:$D,'Other Sale'!$E:$E,$M$3,'Other Sale'!$C:$C,$J84,'Other Sale'!$A:$A,$A84)))))</f>
        <v>1194000</v>
      </c>
      <c r="F84" s="347" cm="1">
        <f t="array" ref="F84">IF($A84="","",IF($J84="Payment",IFERROR(INDEX(_xlfn._xlws.FILTER(MasterPaid[Amount Paid],(MasterPaid[Customer]=$M$3)*(MasterPaid[Date]=$A84)),COUNTIFS($A$6:$A84,$A84,$J$6:$J84,"Payment")),0),0))</f>
        <v>0</v>
      </c>
      <c r="G84" s="331"/>
      <c r="H84" s="427">
        <v>1511</v>
      </c>
      <c r="I84" s="330">
        <f t="shared" si="10"/>
        <v>2422800</v>
      </c>
      <c r="J84" s="344" t="str" cm="1">
        <f t="array" ref="J84">IFERROR(INDEX(_xlfn.ANCHORARRAY($P$6),ROW()-5,3),"")</f>
        <v>DIESEL</v>
      </c>
      <c r="K84" s="349" t="s">
        <v>2628</v>
      </c>
      <c r="L84" s="426" t="s">
        <v>2666</v>
      </c>
      <c r="M84" s="277"/>
      <c r="N84" s="277"/>
      <c r="O84" s="277"/>
      <c r="P84">
        <v>46212</v>
      </c>
      <c r="Q84" t="str">
        <v>1430</v>
      </c>
      <c r="R84" t="str">
        <v>DIESEL</v>
      </c>
    </row>
    <row r="85" spans="1:18" ht="21.75" x14ac:dyDescent="0.25">
      <c r="A85" s="217" cm="1">
        <f t="array" ref="A85">IFERROR(INDEX(_xlfn.ANCHORARRAY($P$6),ROW()-5,1),"")</f>
        <v>46212</v>
      </c>
      <c r="B85" s="344" t="str" cm="1">
        <f t="array" ref="B85">IFERROR(INDEX(_xlfn.ANCHORARRAY($P$6),ROW()-5,2),"")</f>
        <v/>
      </c>
      <c r="C85" s="345" t="str">
        <f>IF($A85="","",IF($J85="DIESEL",SUMIFS(Table1[Quantity],Table1[Customer],$M$3,Table1[Date],$A85,Table1[Bill No.],$B85),IF($J85="PETROL",SUMIFS(Table14[Quantity],Table14[Customer],$M$3,Table14[Date],$A85,Table14[Bill No.],$B85),IF($J85="XtraGreen",SUMIFS(Table146[Quantity],Table146[Company],$M$3,Table146[Date],$A85,Table146[Bill No.],$B85),""))))</f>
        <v/>
      </c>
      <c r="D85" s="346" t="str">
        <f>IF($A85="","",IF($J85="DIESEL",AVERAGEIFS(Table1[RSP],Table1[Customer],$M$3,Table1[Date],$A85,Table1[Bill No.],$B85),IF($J85="PETROL",AVERAGEIFS(Table14[RSP],Table14[Customer],$M$3,Table14[Date],$A85,Table14[Bill No.],$B85),IF($J85="XtraGreen",AVERAGEIFS(Table146[RSP],Table146[Company],$M$3,Table146[Date],$A85,Table146[Bill No.],$B85),IFERROR($E85/$C85,"")))))</f>
        <v/>
      </c>
      <c r="E85" s="347">
        <f>IF($A85="","",IF($J85="DIESEL",SUMIFS(Table1[Amount],Table1[Customer],$M$3,Table1[Date],$A85,Table1[Bill No.],$B85),IF($J85="PETROL",SUMIFS(Table14[Amount],Table14[Customer],$M$3,Table14[Date],$A85,Table14[Bill No.],$B85),IF($J85="XtraGreen",SUMIFS(Table146[Amount],Table146[Company],$M$3,Table146[Date],$A85,Table146[Bill No.],$B85),SUMIFS('Other Sale'!$D:$D,'Other Sale'!$E:$E,$M$3,'Other Sale'!$C:$C,$J85,'Other Sale'!$A:$A,$A85)))))</f>
        <v>0</v>
      </c>
      <c r="F85" s="347" cm="1">
        <f t="array" ref="F85">IF($A85="","",IF($J85="Payment",IFERROR(INDEX(_xlfn._xlws.FILTER(MasterPaid[Amount Paid],(MasterPaid[Customer]=$M$3)*(MasterPaid[Date]=$A85)),COUNTIFS($A$6:$A85,$A85,$J$6:$J85,"Payment")),0),0))</f>
        <v>21409</v>
      </c>
      <c r="G85" s="331">
        <v>22</v>
      </c>
      <c r="H85" s="427"/>
      <c r="I85" s="330">
        <f t="shared" si="10"/>
        <v>2401369</v>
      </c>
      <c r="J85" s="344" t="str" cm="1">
        <f t="array" ref="J85">IFERROR(INDEX(_xlfn.ANCHORARRAY($P$6),ROW()-5,3),"")</f>
        <v>Payment</v>
      </c>
      <c r="K85" s="349"/>
      <c r="L85" s="348"/>
      <c r="M85" s="277"/>
      <c r="N85" s="277"/>
      <c r="O85" s="277"/>
      <c r="P85">
        <v>46212</v>
      </c>
      <c r="Q85" t="str">
        <v/>
      </c>
      <c r="R85" t="str">
        <v>Payment</v>
      </c>
    </row>
    <row r="86" spans="1:18" ht="21.75" x14ac:dyDescent="0.25">
      <c r="A86" s="217" cm="1">
        <f t="array" ref="A86">IFERROR(INDEX(_xlfn.ANCHORARRAY($P$6),ROW()-5,1),"")</f>
        <v>46213</v>
      </c>
      <c r="B86" s="344" t="str" cm="1">
        <f t="array" ref="B86">IFERROR(INDEX(_xlfn.ANCHORARRAY($P$6),ROW()-5,2),"")</f>
        <v>1452</v>
      </c>
      <c r="C86" s="345">
        <f>IF($A86="","",IF($J86="DIESEL",SUMIFS(Table1[Quantity],Table1[Customer],$M$3,Table1[Date],$A86,Table1[Bill No.],$B86),IF($J86="PETROL",SUMIFS(Table14[Quantity],Table14[Customer],$M$3,Table14[Date],$A86,Table14[Bill No.],$B86),IF($J86="XtraGreen",SUMIFS(Table146[Quantity],Table146[Company],$M$3,Table146[Date],$A86,Table146[Bill No.],$B86),""))))</f>
        <v>12000</v>
      </c>
      <c r="D86" s="346">
        <f>IF($A86="","",IF($J86="DIESEL",AVERAGEIFS(Table1[RSP],Table1[Customer],$M$3,Table1[Date],$A86,Table1[Bill No.],$B86),IF($J86="PETROL",AVERAGEIFS(Table14[RSP],Table14[Customer],$M$3,Table14[Date],$A86,Table14[Bill No.],$B86),IF($J86="XtraGreen",AVERAGEIFS(Table146[RSP],Table146[Company],$M$3,Table146[Date],$A86,Table146[Bill No.],$B86),IFERROR($E86/$C86,"")))))</f>
        <v>99.5</v>
      </c>
      <c r="E86" s="347">
        <f>IF($A86="","",IF($J86="DIESEL",SUMIFS(Table1[Amount],Table1[Customer],$M$3,Table1[Date],$A86,Table1[Bill No.],$B86),IF($J86="PETROL",SUMIFS(Table14[Amount],Table14[Customer],$M$3,Table14[Date],$A86,Table14[Bill No.],$B86),IF($J86="XtraGreen",SUMIFS(Table146[Amount],Table146[Company],$M$3,Table146[Date],$A86,Table146[Bill No.],$B86),SUMIFS('Other Sale'!$D:$D,'Other Sale'!$E:$E,$M$3,'Other Sale'!$C:$C,$J86,'Other Sale'!$A:$A,$A86)))))</f>
        <v>1194000</v>
      </c>
      <c r="F86" s="347" cm="1">
        <f t="array" ref="F86">IF($A86="","",IF($J86="Payment",IFERROR(INDEX(_xlfn._xlws.FILTER(MasterPaid[Amount Paid],(MasterPaid[Customer]=$M$3)*(MasterPaid[Date]=$A86)),COUNTIFS($A$6:$A86,$A86,$J$6:$J86,"Payment")),0),0))</f>
        <v>0</v>
      </c>
      <c r="G86" s="331"/>
      <c r="H86" s="427"/>
      <c r="I86" s="330">
        <f t="shared" ref="I86:I149" si="11">IF($A86="","",I85+N(E86)-N(F86)-N(G86)-N(H86))</f>
        <v>3595369</v>
      </c>
      <c r="J86" s="344" t="str" cm="1">
        <f t="array" ref="J86">IFERROR(INDEX(_xlfn.ANCHORARRAY($P$6),ROW()-5,3),"")</f>
        <v>DIESEL</v>
      </c>
      <c r="K86" s="349" t="s">
        <v>2667</v>
      </c>
      <c r="L86" s="348"/>
      <c r="P86">
        <v>46213</v>
      </c>
      <c r="Q86" t="str">
        <v>1452</v>
      </c>
      <c r="R86" t="str">
        <v>DIESEL</v>
      </c>
    </row>
    <row r="87" spans="1:18" ht="21.75" x14ac:dyDescent="0.25">
      <c r="A87" s="217" cm="1">
        <f t="array" ref="A87">IFERROR(INDEX(_xlfn.ANCHORARRAY($P$6),ROW()-5,1),"")</f>
        <v>46213</v>
      </c>
      <c r="B87" s="344" t="str" cm="1">
        <f t="array" ref="B87">IFERROR(INDEX(_xlfn.ANCHORARRAY($P$6),ROW()-5,2),"")</f>
        <v/>
      </c>
      <c r="C87" s="345" t="str">
        <f>IF($A87="","",IF($J87="DIESEL",SUMIFS(Table1[Quantity],Table1[Customer],$M$3,Table1[Date],$A87,Table1[Bill No.],$B87),IF($J87="PETROL",SUMIFS(Table14[Quantity],Table14[Customer],$M$3,Table14[Date],$A87,Table14[Bill No.],$B87),IF($J87="XtraGreen",SUMIFS(Table146[Quantity],Table146[Company],$M$3,Table146[Date],$A87,Table146[Bill No.],$B87),""))))</f>
        <v/>
      </c>
      <c r="D87" s="346" t="str">
        <f>IF($A87="","",IF($J87="DIESEL",AVERAGEIFS(Table1[RSP],Table1[Customer],$M$3,Table1[Date],$A87,Table1[Bill No.],$B87),IF($J87="PETROL",AVERAGEIFS(Table14[RSP],Table14[Customer],$M$3,Table14[Date],$A87,Table14[Bill No.],$B87),IF($J87="XtraGreen",AVERAGEIFS(Table146[RSP],Table146[Company],$M$3,Table146[Date],$A87,Table146[Bill No.],$B87),IFERROR($E87/$C87,"")))))</f>
        <v/>
      </c>
      <c r="E87" s="347">
        <f>IF($A87="","",IF($J87="DIESEL",SUMIFS(Table1[Amount],Table1[Customer],$M$3,Table1[Date],$A87,Table1[Bill No.],$B87),IF($J87="PETROL",SUMIFS(Table14[Amount],Table14[Customer],$M$3,Table14[Date],$A87,Table14[Bill No.],$B87),IF($J87="XtraGreen",SUMIFS(Table146[Amount],Table146[Company],$M$3,Table146[Date],$A87,Table146[Bill No.],$B87),SUMIFS('Other Sale'!$D:$D,'Other Sale'!$E:$E,$M$3,'Other Sale'!$C:$C,$J87,'Other Sale'!$A:$A,$A87)))))</f>
        <v>0</v>
      </c>
      <c r="F87" s="347" cm="1">
        <f t="array" ref="F87">IF($A87="","",IF($J87="Payment",IFERROR(INDEX(_xlfn._xlws.FILTER(MasterPaid[Amount Paid],(MasterPaid[Customer]=$M$3)*(MasterPaid[Date]=$A87)),COUNTIFS($A$6:$A87,$A87,$J$6:$J87,"Payment")),0),0))</f>
        <v>1206160</v>
      </c>
      <c r="G87" s="331">
        <v>1209</v>
      </c>
      <c r="H87" s="427"/>
      <c r="I87" s="330">
        <f t="shared" si="11"/>
        <v>2388000</v>
      </c>
      <c r="J87" s="344" t="str" cm="1">
        <f t="array" ref="J87">IFERROR(INDEX(_xlfn.ANCHORARRAY($P$6),ROW()-5,3),"")</f>
        <v>Payment</v>
      </c>
      <c r="K87" s="349"/>
      <c r="L87" s="348"/>
      <c r="P87">
        <v>46213</v>
      </c>
      <c r="Q87" t="str">
        <v/>
      </c>
      <c r="R87" t="str">
        <v>Payment</v>
      </c>
    </row>
    <row r="88" spans="1:18" ht="21.75" x14ac:dyDescent="0.25">
      <c r="A88" s="217" cm="1">
        <f t="array" ref="A88">IFERROR(INDEX(_xlfn.ANCHORARRAY($P$6),ROW()-5,1),"")</f>
        <v>46213</v>
      </c>
      <c r="B88" s="344" t="str" cm="1">
        <f t="array" ref="B88">IFERROR(INDEX(_xlfn.ANCHORARRAY($P$6),ROW()-5,2),"")</f>
        <v/>
      </c>
      <c r="C88" s="345" t="str">
        <f>IF($A88="","",IF($J88="DIESEL",SUMIFS(Table1[Quantity],Table1[Customer],$M$3,Table1[Date],$A88,Table1[Bill No.],$B88),IF($J88="PETROL",SUMIFS(Table14[Quantity],Table14[Customer],$M$3,Table14[Date],$A88,Table14[Bill No.],$B88),IF($J88="XtraGreen",SUMIFS(Table146[Quantity],Table146[Company],$M$3,Table146[Date],$A88,Table146[Bill No.],$B88),""))))</f>
        <v/>
      </c>
      <c r="D88" s="346" t="str">
        <f>IF($A88="","",IF($J88="DIESEL",AVERAGEIFS(Table1[RSP],Table1[Customer],$M$3,Table1[Date],$A88,Table1[Bill No.],$B88),IF($J88="PETROL",AVERAGEIFS(Table14[RSP],Table14[Customer],$M$3,Table14[Date],$A88,Table14[Bill No.],$B88),IF($J88="XtraGreen",AVERAGEIFS(Table146[RSP],Table146[Company],$M$3,Table146[Date],$A88,Table146[Bill No.],$B88),IFERROR($E88/$C88,"")))))</f>
        <v/>
      </c>
      <c r="E88" s="347">
        <f>IF($A88="","",IF($J88="DIESEL",SUMIFS(Table1[Amount],Table1[Customer],$M$3,Table1[Date],$A88,Table1[Bill No.],$B88),IF($J88="PETROL",SUMIFS(Table14[Amount],Table14[Customer],$M$3,Table14[Date],$A88,Table14[Bill No.],$B88),IF($J88="XtraGreen",SUMIFS(Table146[Amount],Table146[Company],$M$3,Table146[Date],$A88,Table146[Bill No.],$B88),SUMIFS('Other Sale'!$D:$D,'Other Sale'!$E:$E,$M$3,'Other Sale'!$C:$C,$J88,'Other Sale'!$A:$A,$A88)))))</f>
        <v>0</v>
      </c>
      <c r="F88" s="347" cm="1">
        <f t="array" ref="F88">IF($A88="","",IF($J88="Payment",IFERROR(INDEX(_xlfn._xlws.FILTER(MasterPaid[Amount Paid],(MasterPaid[Customer]=$M$3)*(MasterPaid[Date]=$A88)),COUNTIFS($A$6:$A88,$A88,$J$6:$J88,"Payment")),0),0))</f>
        <v>1192806</v>
      </c>
      <c r="G88" s="331">
        <v>1194</v>
      </c>
      <c r="H88" s="427"/>
      <c r="I88" s="330">
        <f t="shared" si="11"/>
        <v>1194000</v>
      </c>
      <c r="J88" s="344" t="str" cm="1">
        <f t="array" ref="J88">IFERROR(INDEX(_xlfn.ANCHORARRAY($P$6),ROW()-5,3),"")</f>
        <v>Payment</v>
      </c>
      <c r="K88" s="349"/>
      <c r="L88" s="348"/>
      <c r="P88">
        <v>46213</v>
      </c>
      <c r="Q88" t="str">
        <v/>
      </c>
      <c r="R88" t="str">
        <v>Payment</v>
      </c>
    </row>
    <row r="89" spans="1:18" ht="21.75" x14ac:dyDescent="0.25">
      <c r="A89" s="217" cm="1">
        <f t="array" ref="A89">IFERROR(INDEX(_xlfn.ANCHORARRAY($P$6),ROW()-5,1),"")</f>
        <v>46216</v>
      </c>
      <c r="B89" s="344" t="str" cm="1">
        <f t="array" ref="B89">IFERROR(INDEX(_xlfn.ANCHORARRAY($P$6),ROW()-5,2),"")</f>
        <v>1504</v>
      </c>
      <c r="C89" s="345">
        <f>IF($A89="","",IF($J89="DIESEL",SUMIFS(Table1[Quantity],Table1[Customer],$M$3,Table1[Date],$A89,Table1[Bill No.],$B89),IF($J89="PETROL",SUMIFS(Table14[Quantity],Table14[Customer],$M$3,Table14[Date],$A89,Table14[Bill No.],$B89),IF($J89="XtraGreen",SUMIFS(Table146[Quantity],Table146[Company],$M$3,Table146[Date],$A89,Table146[Bill No.],$B89),""))))</f>
        <v>12000</v>
      </c>
      <c r="D89" s="346">
        <f>IF($A89="","",IF($J89="DIESEL",AVERAGEIFS(Table1[RSP],Table1[Customer],$M$3,Table1[Date],$A89,Table1[Bill No.],$B89),IF($J89="PETROL",AVERAGEIFS(Table14[RSP],Table14[Customer],$M$3,Table14[Date],$A89,Table14[Bill No.],$B89),IF($J89="XtraGreen",AVERAGEIFS(Table146[RSP],Table146[Company],$M$3,Table146[Date],$A89,Table146[Bill No.],$B89),IFERROR($E89/$C89,"")))))</f>
        <v>99.5</v>
      </c>
      <c r="E89" s="347">
        <f>IF($A89="","",IF($J89="DIESEL",SUMIFS(Table1[Amount],Table1[Customer],$M$3,Table1[Date],$A89,Table1[Bill No.],$B89),IF($J89="PETROL",SUMIFS(Table14[Amount],Table14[Customer],$M$3,Table14[Date],$A89,Table14[Bill No.],$B89),IF($J89="XtraGreen",SUMIFS(Table146[Amount],Table146[Company],$M$3,Table146[Date],$A89,Table146[Bill No.],$B89),SUMIFS('Other Sale'!$D:$D,'Other Sale'!$E:$E,$M$3,'Other Sale'!$C:$C,$J89,'Other Sale'!$A:$A,$A89)))))</f>
        <v>1194000</v>
      </c>
      <c r="F89" s="347" cm="1">
        <f t="array" ref="F89">IF($A89="","",IF($J89="Payment",IFERROR(INDEX(_xlfn._xlws.FILTER(MasterPaid[Amount Paid],(MasterPaid[Customer]=$M$3)*(MasterPaid[Date]=$A89)),COUNTIFS($A$6:$A89,$A89,$J$6:$J89,"Payment")),0),0))</f>
        <v>0</v>
      </c>
      <c r="G89" s="331"/>
      <c r="H89" s="427"/>
      <c r="I89" s="330">
        <f t="shared" si="11"/>
        <v>2388000</v>
      </c>
      <c r="J89" s="344" t="str" cm="1">
        <f t="array" ref="J89">IFERROR(INDEX(_xlfn.ANCHORARRAY($P$6),ROW()-5,3),"")</f>
        <v>DIESEL</v>
      </c>
      <c r="K89" s="432" t="str" cm="1">
        <f t="array" ref="K89">IF(OR($A89="",$J89&lt;&gt;"DIESEL"),"",_xlfn.LET(_xlpm.qty,N($C89),_xlpm.pos,$T$5:$T$54,_xlpm.alo,IF($U$5:$U$54="",0,$U$5:$U$54),_xlpm.usd,SUMIFS($C$6:$C88,$K$6:$K88,_xlpm.pos&amp;""),_xlpm.bal,_xlpm.alo-_xlpm.usd,IFERROR(INDEX(_xlfn._xlws.FILTER(_xlpm.pos,(_xlpm.pos&lt;&gt;"")*(_xlpm.qty&gt;0)*(_xlpm.bal&gt;=_xlpm.qty)),1),"")))</f>
        <v>O326255760</v>
      </c>
      <c r="L89" s="348"/>
      <c r="P89">
        <v>46216</v>
      </c>
      <c r="Q89" t="str">
        <v>1504</v>
      </c>
      <c r="R89" t="str">
        <v>DIESEL</v>
      </c>
    </row>
    <row r="90" spans="1:18" ht="21.75" x14ac:dyDescent="0.25">
      <c r="A90" s="217" cm="1">
        <f t="array" ref="A90">IFERROR(INDEX(_xlfn.ANCHORARRAY($P$6),ROW()-5,1),"")</f>
        <v>46217</v>
      </c>
      <c r="B90" s="344" t="str" cm="1">
        <f t="array" ref="B90">IFERROR(INDEX(_xlfn.ANCHORARRAY($P$6),ROW()-5,2),"")</f>
        <v/>
      </c>
      <c r="C90" s="345" t="str">
        <f>IF($A90="","",IF($J90="DIESEL",SUMIFS(Table1[Quantity],Table1[Customer],$M$3,Table1[Date],$A90,Table1[Bill No.],$B90),IF($J90="PETROL",SUMIFS(Table14[Quantity],Table14[Customer],$M$3,Table14[Date],$A90,Table14[Bill No.],$B90),IF($J90="XtraGreen",SUMIFS(Table146[Quantity],Table146[Company],$M$3,Table146[Date],$A90,Table146[Bill No.],$B90),""))))</f>
        <v/>
      </c>
      <c r="D90" s="346" t="str">
        <f>IF($A90="","",IF($J90="DIESEL",AVERAGEIFS(Table1[RSP],Table1[Customer],$M$3,Table1[Date],$A90,Table1[Bill No.],$B90),IF($J90="PETROL",AVERAGEIFS(Table14[RSP],Table14[Customer],$M$3,Table14[Date],$A90,Table14[Bill No.],$B90),IF($J90="XtraGreen",AVERAGEIFS(Table146[RSP],Table146[Company],$M$3,Table146[Date],$A90,Table146[Bill No.],$B90),IFERROR($E90/$C90,"")))))</f>
        <v/>
      </c>
      <c r="E90" s="347">
        <f>IF($A90="","",IF($J90="DIESEL",SUMIFS(Table1[Amount],Table1[Customer],$M$3,Table1[Date],$A90,Table1[Bill No.],$B90),IF($J90="PETROL",SUMIFS(Table14[Amount],Table14[Customer],$M$3,Table14[Date],$A90,Table14[Bill No.],$B90),IF($J90="XtraGreen",SUMIFS(Table146[Amount],Table146[Company],$M$3,Table146[Date],$A90,Table146[Bill No.],$B90),SUMIFS('Other Sale'!$D:$D,'Other Sale'!$E:$E,$M$3,'Other Sale'!$C:$C,$J90,'Other Sale'!$A:$A,$A90)))))</f>
        <v>0</v>
      </c>
      <c r="F90" s="347" cm="1">
        <f t="array" ref="F90">IF($A90="","",IF($J90="Payment",IFERROR(INDEX(_xlfn._xlws.FILTER(MasterPaid[Amount Paid],(MasterPaid[Customer]=$M$3)*(MasterPaid[Date]=$A90)),COUNTIFS($A$6:$A90,$A90,$J$6:$J90,"Payment")),0),0))</f>
        <v>1192806</v>
      </c>
      <c r="G90" s="331">
        <v>1194</v>
      </c>
      <c r="H90" s="427"/>
      <c r="I90" s="330">
        <f t="shared" si="11"/>
        <v>1194000</v>
      </c>
      <c r="J90" s="344" t="str" cm="1">
        <f t="array" ref="J90">IFERROR(INDEX(_xlfn.ANCHORARRAY($P$6),ROW()-5,3),"")</f>
        <v>Payment</v>
      </c>
      <c r="K90" s="432" t="str" cm="1">
        <f t="array" ref="K90">IF(OR($A90="",$J90&lt;&gt;"DIESEL"),"",_xlfn.LET(_xlpm.qty,N($C90),_xlpm.pos,$T$5:$T$54,_xlpm.alo,IF($U$5:$U$54="",0,$U$5:$U$54),_xlpm.usd,SUMIFS($C$6:$C89,$K$6:$K89,_xlpm.pos&amp;""),_xlpm.bal,_xlpm.alo-_xlpm.usd,IFERROR(INDEX(_xlfn._xlws.FILTER(_xlpm.pos,(_xlpm.pos&lt;&gt;"")*(_xlpm.qty&gt;0)*(_xlpm.bal&gt;=_xlpm.qty)),1),"")))</f>
        <v/>
      </c>
      <c r="L90" s="348"/>
      <c r="P90">
        <v>46217</v>
      </c>
      <c r="Q90" t="str">
        <v/>
      </c>
      <c r="R90" t="str">
        <v>Payment</v>
      </c>
    </row>
    <row r="91" spans="1:18" ht="21.75" x14ac:dyDescent="0.25">
      <c r="A91" s="217" cm="1">
        <f t="array" ref="A91">IFERROR(INDEX(_xlfn.ANCHORARRAY($P$6),ROW()-5,1),"")</f>
        <v>46218</v>
      </c>
      <c r="B91" s="344" t="str" cm="1">
        <f t="array" ref="B91">IFERROR(INDEX(_xlfn.ANCHORARRAY($P$6),ROW()-5,2),"")</f>
        <v>1542</v>
      </c>
      <c r="C91" s="345">
        <f>IF($A91="","",IF($J91="DIESEL",SUMIFS(Table1[Quantity],Table1[Customer],$M$3,Table1[Date],$A91,Table1[Bill No.],$B91),IF($J91="PETROL",SUMIFS(Table14[Quantity],Table14[Customer],$M$3,Table14[Date],$A91,Table14[Bill No.],$B91),IF($J91="XtraGreen",SUMIFS(Table146[Quantity],Table146[Company],$M$3,Table146[Date],$A91,Table146[Bill No.],$B91),""))))</f>
        <v>12000</v>
      </c>
      <c r="D91" s="346">
        <f>IF($A91="","",IF($J91="DIESEL",AVERAGEIFS(Table1[RSP],Table1[Customer],$M$3,Table1[Date],$A91,Table1[Bill No.],$B91),IF($J91="PETROL",AVERAGEIFS(Table14[RSP],Table14[Customer],$M$3,Table14[Date],$A91,Table14[Bill No.],$B91),IF($J91="XtraGreen",AVERAGEIFS(Table146[RSP],Table146[Company],$M$3,Table146[Date],$A91,Table146[Bill No.],$B91),IFERROR($E91/$C91,"")))))</f>
        <v>99.5</v>
      </c>
      <c r="E91" s="347">
        <f>IF($A91="","",IF($J91="DIESEL",SUMIFS(Table1[Amount],Table1[Customer],$M$3,Table1[Date],$A91,Table1[Bill No.],$B91),IF($J91="PETROL",SUMIFS(Table14[Amount],Table14[Customer],$M$3,Table14[Date],$A91,Table14[Bill No.],$B91),IF($J91="XtraGreen",SUMIFS(Table146[Amount],Table146[Company],$M$3,Table146[Date],$A91,Table146[Bill No.],$B91),SUMIFS('Other Sale'!$D:$D,'Other Sale'!$E:$E,$M$3,'Other Sale'!$C:$C,$J91,'Other Sale'!$A:$A,$A91)))))</f>
        <v>1194000</v>
      </c>
      <c r="F91" s="347" cm="1">
        <f t="array" ref="F91">IF($A91="","",IF($J91="Payment",IFERROR(INDEX(_xlfn._xlws.FILTER(MasterPaid[Amount Paid],(MasterPaid[Customer]=$M$3)*(MasterPaid[Date]=$A91)),COUNTIFS($A$6:$A91,$A91,$J$6:$J91,"Payment")),0),0))</f>
        <v>0</v>
      </c>
      <c r="G91" s="331"/>
      <c r="H91" s="427"/>
      <c r="I91" s="330">
        <f t="shared" si="11"/>
        <v>2388000</v>
      </c>
      <c r="J91" s="344" t="str" cm="1">
        <f t="array" ref="J91">IFERROR(INDEX(_xlfn.ANCHORARRAY($P$6),ROW()-5,3),"")</f>
        <v>DIESEL</v>
      </c>
      <c r="K91" s="432" t="str" cm="1">
        <f t="array" ref="K91">IF(OR($A91="",$J91&lt;&gt;"DIESEL"),"",_xlfn.LET(_xlpm.qty,N($C91),_xlpm.pos,$T$5:$T$54,_xlpm.alo,IF($U$5:$U$54="",0,$U$5:$U$54),_xlpm.usd,SUMIFS($C$6:$C90,$K$6:$K90,_xlpm.pos&amp;""),_xlpm.bal,_xlpm.alo-_xlpm.usd,IFERROR(INDEX(_xlfn._xlws.FILTER(_xlpm.pos,(_xlpm.pos&lt;&gt;"")*(_xlpm.qty&gt;0)*(_xlpm.bal&gt;=_xlpm.qty)),1),"")))</f>
        <v>O326256319</v>
      </c>
      <c r="L91" s="348"/>
      <c r="P91">
        <v>46218</v>
      </c>
      <c r="Q91" t="str">
        <v>1542</v>
      </c>
      <c r="R91" t="str">
        <v>DIESEL</v>
      </c>
    </row>
    <row r="92" spans="1:18" ht="21.75" x14ac:dyDescent="0.25">
      <c r="A92" s="217" cm="1">
        <f t="array" ref="A92">IFERROR(INDEX(_xlfn.ANCHORARRAY($P$6),ROW()-5,1),"")</f>
        <v>46218</v>
      </c>
      <c r="B92" s="344" t="str" cm="1">
        <f t="array" ref="B92">IFERROR(INDEX(_xlfn.ANCHORARRAY($P$6),ROW()-5,2),"")</f>
        <v/>
      </c>
      <c r="C92" s="345" t="str">
        <f>IF($A92="","",IF($J92="DIESEL",SUMIFS(Table1[Quantity],Table1[Customer],$M$3,Table1[Date],$A92,Table1[Bill No.],$B92),IF($J92="PETROL",SUMIFS(Table14[Quantity],Table14[Customer],$M$3,Table14[Date],$A92,Table14[Bill No.],$B92),IF($J92="XtraGreen",SUMIFS(Table146[Quantity],Table146[Company],$M$3,Table146[Date],$A92,Table146[Bill No.],$B92),""))))</f>
        <v/>
      </c>
      <c r="D92" s="346" t="str">
        <f>IF($A92="","",IF($J92="DIESEL",AVERAGEIFS(Table1[RSP],Table1[Customer],$M$3,Table1[Date],$A92,Table1[Bill No.],$B92),IF($J92="PETROL",AVERAGEIFS(Table14[RSP],Table14[Customer],$M$3,Table14[Date],$A92,Table14[Bill No.],$B92),IF($J92="XtraGreen",AVERAGEIFS(Table146[RSP],Table146[Company],$M$3,Table146[Date],$A92,Table146[Bill No.],$B92),IFERROR($E92/$C92,"")))))</f>
        <v/>
      </c>
      <c r="E92" s="347">
        <f>IF($A92="","",IF($J92="DIESEL",SUMIFS(Table1[Amount],Table1[Customer],$M$3,Table1[Date],$A92,Table1[Bill No.],$B92),IF($J92="PETROL",SUMIFS(Table14[Amount],Table14[Customer],$M$3,Table14[Date],$A92,Table14[Bill No.],$B92),IF($J92="XtraGreen",SUMIFS(Table146[Amount],Table146[Company],$M$3,Table146[Date],$A92,Table146[Bill No.],$B92),SUMIFS('Other Sale'!$D:$D,'Other Sale'!$E:$E,$M$3,'Other Sale'!$C:$C,$J92,'Other Sale'!$A:$A,$A92)))))</f>
        <v>0</v>
      </c>
      <c r="F92" s="347" cm="1">
        <f t="array" ref="F92">IF($A92="","",IF($J92="Payment",IFERROR(INDEX(_xlfn._xlws.FILTER(MasterPaid[Amount Paid],(MasterPaid[Customer]=$M$3)*(MasterPaid[Date]=$A92)),COUNTIFS($A$6:$A92,$A92,$J$6:$J92,"Payment")),0),0))</f>
        <v>1192806</v>
      </c>
      <c r="G92" s="331">
        <v>1194</v>
      </c>
      <c r="H92" s="427"/>
      <c r="I92" s="330">
        <f t="shared" si="11"/>
        <v>1194000</v>
      </c>
      <c r="J92" s="344" t="str" cm="1">
        <f t="array" ref="J92">IFERROR(INDEX(_xlfn.ANCHORARRAY($P$6),ROW()-5,3),"")</f>
        <v>Payment</v>
      </c>
      <c r="K92" s="432" t="str" cm="1">
        <f t="array" ref="K92">IF(OR($A92="",$J92&lt;&gt;"DIESEL"),"",_xlfn.LET(_xlpm.qty,N($C92),_xlpm.pos,$T$5:$T$54,_xlpm.alo,IF($U$5:$U$54="",0,$U$5:$U$54),_xlpm.usd,SUMIFS($C$6:$C91,$K$6:$K91,_xlpm.pos&amp;""),_xlpm.bal,_xlpm.alo-_xlpm.usd,IFERROR(INDEX(_xlfn._xlws.FILTER(_xlpm.pos,(_xlpm.pos&lt;&gt;"")*(_xlpm.qty&gt;0)*(_xlpm.bal&gt;=_xlpm.qty)),1),"")))</f>
        <v/>
      </c>
      <c r="L92" s="348"/>
      <c r="P92">
        <v>46218</v>
      </c>
      <c r="Q92" t="str">
        <v/>
      </c>
      <c r="R92" t="str">
        <v>Payment</v>
      </c>
    </row>
    <row r="93" spans="1:18" ht="21.75" x14ac:dyDescent="0.25">
      <c r="A93" s="217" cm="1">
        <f t="array" ref="A93">IFERROR(INDEX(_xlfn.ANCHORARRAY($P$6),ROW()-5,1),"")</f>
        <v>46220</v>
      </c>
      <c r="B93" s="344" t="str" cm="1">
        <f t="array" ref="B93">IFERROR(INDEX(_xlfn.ANCHORARRAY($P$6),ROW()-5,2),"")</f>
        <v>1601</v>
      </c>
      <c r="C93" s="345">
        <f>IF($A93="","",IF($J93="DIESEL",SUMIFS(Table1[Quantity],Table1[Customer],$M$3,Table1[Date],$A93,Table1[Bill No.],$B93),IF($J93="PETROL",SUMIFS(Table14[Quantity],Table14[Customer],$M$3,Table14[Date],$A93,Table14[Bill No.],$B93),IF($J93="XtraGreen",SUMIFS(Table146[Quantity],Table146[Company],$M$3,Table146[Date],$A93,Table146[Bill No.],$B93),""))))</f>
        <v>12000</v>
      </c>
      <c r="D93" s="346">
        <f>IF($A93="","",IF($J93="DIESEL",AVERAGEIFS(Table1[RSP],Table1[Customer],$M$3,Table1[Date],$A93,Table1[Bill No.],$B93),IF($J93="PETROL",AVERAGEIFS(Table14[RSP],Table14[Customer],$M$3,Table14[Date],$A93,Table14[Bill No.],$B93),IF($J93="XtraGreen",AVERAGEIFS(Table146[RSP],Table146[Company],$M$3,Table146[Date],$A93,Table146[Bill No.],$B93),IFERROR($E93/$C93,"")))))</f>
        <v>99.5</v>
      </c>
      <c r="E93" s="347">
        <f>IF($A93="","",IF($J93="DIESEL",SUMIFS(Table1[Amount],Table1[Customer],$M$3,Table1[Date],$A93,Table1[Bill No.],$B93),IF($J93="PETROL",SUMIFS(Table14[Amount],Table14[Customer],$M$3,Table14[Date],$A93,Table14[Bill No.],$B93),IF($J93="XtraGreen",SUMIFS(Table146[Amount],Table146[Company],$M$3,Table146[Date],$A93,Table146[Bill No.],$B93),SUMIFS('Other Sale'!$D:$D,'Other Sale'!$E:$E,$M$3,'Other Sale'!$C:$C,$J93,'Other Sale'!$A:$A,$A93)))))</f>
        <v>1194000</v>
      </c>
      <c r="F93" s="347" cm="1">
        <f t="array" ref="F93">IF($A93="","",IF($J93="Payment",IFERROR(INDEX(_xlfn._xlws.FILTER(MasterPaid[Amount Paid],(MasterPaid[Customer]=$M$3)*(MasterPaid[Date]=$A93)),COUNTIFS($A$6:$A93,$A93,$J$6:$J93,"Payment")),0),0))</f>
        <v>0</v>
      </c>
      <c r="G93" s="331"/>
      <c r="H93" s="427"/>
      <c r="I93" s="330">
        <f t="shared" si="11"/>
        <v>2388000</v>
      </c>
      <c r="J93" s="344" t="str" cm="1">
        <f t="array" ref="J93">IFERROR(INDEX(_xlfn.ANCHORARRAY($P$6),ROW()-5,3),"")</f>
        <v>DIESEL</v>
      </c>
      <c r="K93" s="432" t="str" cm="1">
        <f t="array" ref="K93">IF(OR($A93="",$J93&lt;&gt;"DIESEL"),"",_xlfn.LET(_xlpm.qty,N($C93),_xlpm.pos,$T$5:$T$54,_xlpm.alo,IF($U$5:$U$54="",0,$U$5:$U$54),_xlpm.usd,SUMIFS($C$6:$C92,$K$6:$K92,_xlpm.pos&amp;""),_xlpm.bal,_xlpm.alo-_xlpm.usd,IFERROR(INDEX(_xlfn._xlws.FILTER(_xlpm.pos,(_xlpm.pos&lt;&gt;"")*(_xlpm.qty&gt;0)*(_xlpm.bal&gt;=_xlpm.qty)),1),"")))</f>
        <v>O326256319</v>
      </c>
      <c r="L93" s="348"/>
      <c r="P93">
        <v>46220</v>
      </c>
      <c r="Q93" t="str">
        <v>1601</v>
      </c>
      <c r="R93" t="str">
        <v>DIESEL</v>
      </c>
    </row>
    <row r="94" spans="1:18" ht="21.75" x14ac:dyDescent="0.25">
      <c r="A94" s="217" cm="1">
        <f t="array" ref="A94">IFERROR(INDEX(_xlfn.ANCHORARRAY($P$6),ROW()-5,1),"")</f>
        <v>46221</v>
      </c>
      <c r="B94" s="344" t="str" cm="1">
        <f t="array" ref="B94">IFERROR(INDEX(_xlfn.ANCHORARRAY($P$6),ROW()-5,2),"")</f>
        <v/>
      </c>
      <c r="C94" s="345" t="str">
        <f>IF($A94="","",IF($J94="DIESEL",SUMIFS(Table1[Quantity],Table1[Customer],$M$3,Table1[Date],$A94,Table1[Bill No.],$B94),IF($J94="PETROL",SUMIFS(Table14[Quantity],Table14[Customer],$M$3,Table14[Date],$A94,Table14[Bill No.],$B94),IF($J94="XtraGreen",SUMIFS(Table146[Quantity],Table146[Company],$M$3,Table146[Date],$A94,Table146[Bill No.],$B94),""))))</f>
        <v/>
      </c>
      <c r="D94" s="346" t="str">
        <f>IF($A94="","",IF($J94="DIESEL",AVERAGEIFS(Table1[RSP],Table1[Customer],$M$3,Table1[Date],$A94,Table1[Bill No.],$B94),IF($J94="PETROL",AVERAGEIFS(Table14[RSP],Table14[Customer],$M$3,Table14[Date],$A94,Table14[Bill No.],$B94),IF($J94="XtraGreen",AVERAGEIFS(Table146[RSP],Table146[Company],$M$3,Table146[Date],$A94,Table146[Bill No.],$B94),IFERROR($E94/$C94,"")))))</f>
        <v/>
      </c>
      <c r="E94" s="347">
        <f>IF($A94="","",IF($J94="DIESEL",SUMIFS(Table1[Amount],Table1[Customer],$M$3,Table1[Date],$A94,Table1[Bill No.],$B94),IF($J94="PETROL",SUMIFS(Table14[Amount],Table14[Customer],$M$3,Table14[Date],$A94,Table14[Bill No.],$B94),IF($J94="XtraGreen",SUMIFS(Table146[Amount],Table146[Company],$M$3,Table146[Date],$A94,Table146[Bill No.],$B94),SUMIFS('Other Sale'!$D:$D,'Other Sale'!$E:$E,$M$3,'Other Sale'!$C:$C,$J94,'Other Sale'!$A:$A,$A94)))))</f>
        <v>0</v>
      </c>
      <c r="F94" s="347" cm="1">
        <f t="array" ref="F94">IF($A94="","",IF($J94="Payment",IFERROR(INDEX(_xlfn._xlws.FILTER(MasterPaid[Amount Paid],(MasterPaid[Customer]=$M$3)*(MasterPaid[Date]=$A94)),COUNTIFS($A$6:$A94,$A94,$J$6:$J94,"Payment")),0),0))</f>
        <v>1192806</v>
      </c>
      <c r="G94" s="331">
        <v>1194</v>
      </c>
      <c r="H94" s="427"/>
      <c r="I94" s="330">
        <f t="shared" si="11"/>
        <v>1194000</v>
      </c>
      <c r="J94" s="344" t="str" cm="1">
        <f t="array" ref="J94">IFERROR(INDEX(_xlfn.ANCHORARRAY($P$6),ROW()-5,3),"")</f>
        <v>Payment</v>
      </c>
      <c r="K94" s="432" t="str" cm="1">
        <f t="array" ref="K94">IF(OR($A94="",$J94&lt;&gt;"DIESEL"),"",_xlfn.LET(_xlpm.qty,N($C94),_xlpm.pos,$T$5:$T$54,_xlpm.alo,IF($U$5:$U$54="",0,$U$5:$U$54),_xlpm.usd,SUMIFS($C$6:$C93,$K$6:$K93,_xlpm.pos&amp;""),_xlpm.bal,_xlpm.alo-_xlpm.usd,IFERROR(INDEX(_xlfn._xlws.FILTER(_xlpm.pos,(_xlpm.pos&lt;&gt;"")*(_xlpm.qty&gt;0)*(_xlpm.bal&gt;=_xlpm.qty)),1),"")))</f>
        <v/>
      </c>
      <c r="L94" s="348"/>
      <c r="P94">
        <v>46221</v>
      </c>
      <c r="Q94" t="str">
        <v/>
      </c>
      <c r="R94" t="str">
        <v>Payment</v>
      </c>
    </row>
    <row r="95" spans="1:18" ht="21.75" x14ac:dyDescent="0.25">
      <c r="A95" s="217" cm="1">
        <f t="array" ref="A95">IFERROR(INDEX(_xlfn.ANCHORARRAY($P$6),ROW()-5,1),"")</f>
        <v>46222</v>
      </c>
      <c r="B95" s="344" t="str" cm="1">
        <f t="array" ref="B95">IFERROR(INDEX(_xlfn.ANCHORARRAY($P$6),ROW()-5,2),"")</f>
        <v>MS316</v>
      </c>
      <c r="C95" s="345">
        <f>IF($A95="","",IF($J95="DIESEL",SUMIFS(Table1[Quantity],Table1[Customer],$M$3,Table1[Date],$A95,Table1[Bill No.],$B95),IF($J95="PETROL",SUMIFS(Table14[Quantity],Table14[Customer],$M$3,Table14[Date],$A95,Table14[Bill No.],$B95),IF($J95="XtraGreen",SUMIFS(Table146[Quantity],Table146[Company],$M$3,Table146[Date],$A95,Table146[Bill No.],$B95),""))))</f>
        <v>200</v>
      </c>
      <c r="D95" s="346">
        <f>IF($A95="","",IF($J95="DIESEL",AVERAGEIFS(Table1[RSP],Table1[Customer],$M$3,Table1[Date],$A95,Table1[Bill No.],$B95),IF($J95="PETROL",AVERAGEIFS(Table14[RSP],Table14[Customer],$M$3,Table14[Date],$A95,Table14[Bill No.],$B95),IF($J95="XtraGreen",AVERAGEIFS(Table146[RSP],Table146[Company],$M$3,Table146[Date],$A95,Table146[Bill No.],$B95),IFERROR($E95/$C95,"")))))</f>
        <v>109.01</v>
      </c>
      <c r="E95" s="347">
        <f>IF($A95="","",IF($J95="DIESEL",SUMIFS(Table1[Amount],Table1[Customer],$M$3,Table1[Date],$A95,Table1[Bill No.],$B95),IF($J95="PETROL",SUMIFS(Table14[Amount],Table14[Customer],$M$3,Table14[Date],$A95,Table14[Bill No.],$B95),IF($J95="XtraGreen",SUMIFS(Table146[Amount],Table146[Company],$M$3,Table146[Date],$A95,Table146[Bill No.],$B95),SUMIFS('Other Sale'!$D:$D,'Other Sale'!$E:$E,$M$3,'Other Sale'!$C:$C,$J95,'Other Sale'!$A:$A,$A95)))))</f>
        <v>21802</v>
      </c>
      <c r="F95" s="347" cm="1">
        <f t="array" ref="F95">IF($A95="","",IF($J95="Payment",IFERROR(INDEX(_xlfn._xlws.FILTER(MasterPaid[Amount Paid],(MasterPaid[Customer]=$M$3)*(MasterPaid[Date]=$A95)),COUNTIFS($A$6:$A95,$A95,$J$6:$J95,"Payment")),0),0))</f>
        <v>0</v>
      </c>
      <c r="G95" s="331"/>
      <c r="H95" s="427"/>
      <c r="I95" s="330">
        <f t="shared" si="11"/>
        <v>1215802</v>
      </c>
      <c r="J95" s="344" t="str" cm="1">
        <f t="array" ref="J95">IFERROR(INDEX(_xlfn.ANCHORARRAY($P$6),ROW()-5,3),"")</f>
        <v>PETROL</v>
      </c>
      <c r="K95" s="432" t="str" cm="1">
        <f t="array" ref="K95">IF(OR($A95="",$J95&lt;&gt;"DIESEL"),"",_xlfn.LET(_xlpm.qty,N($C95),_xlpm.pos,$T$5:$T$54,_xlpm.alo,IF($U$5:$U$54="",0,$U$5:$U$54),_xlpm.usd,SUMIFS($C$6:$C94,$K$6:$K94,_xlpm.pos&amp;""),_xlpm.bal,_xlpm.alo-_xlpm.usd,IFERROR(INDEX(_xlfn._xlws.FILTER(_xlpm.pos,(_xlpm.pos&lt;&gt;"")*(_xlpm.qty&gt;0)*(_xlpm.bal&gt;=_xlpm.qty)),1),"")))</f>
        <v/>
      </c>
      <c r="L95" s="348"/>
      <c r="P95">
        <v>46222</v>
      </c>
      <c r="Q95" t="str">
        <v>MS316</v>
      </c>
      <c r="R95" t="str">
        <v>PETROL</v>
      </c>
    </row>
    <row r="96" spans="1:18" ht="21.75" x14ac:dyDescent="0.25">
      <c r="A96" s="217" cm="1">
        <f t="array" ref="A96">IFERROR(INDEX(_xlfn.ANCHORARRAY($P$6),ROW()-5,1),"")</f>
        <v>46223</v>
      </c>
      <c r="B96" s="344" cm="1">
        <f t="array" ref="B96">IFERROR(INDEX(_xlfn.ANCHORARRAY($P$6),ROW()-5,2),"")</f>
        <v>1640</v>
      </c>
      <c r="C96" s="345">
        <f>IF($A96="","",IF($J96="DIESEL",SUMIFS(Table1[Quantity],Table1[Customer],$M$3,Table1[Date],$A96,Table1[Bill No.],$B96),IF($J96="PETROL",SUMIFS(Table14[Quantity],Table14[Customer],$M$3,Table14[Date],$A96,Table14[Bill No.],$B96),IF($J96="XtraGreen",SUMIFS(Table146[Quantity],Table146[Company],$M$3,Table146[Date],$A96,Table146[Bill No.],$B96),""))))</f>
        <v>12000</v>
      </c>
      <c r="D96" s="346">
        <f>IF($A96="","",IF($J96="DIESEL",AVERAGEIFS(Table1[RSP],Table1[Customer],$M$3,Table1[Date],$A96,Table1[Bill No.],$B96),IF($J96="PETROL",AVERAGEIFS(Table14[RSP],Table14[Customer],$M$3,Table14[Date],$A96,Table14[Bill No.],$B96),IF($J96="XtraGreen",AVERAGEIFS(Table146[RSP],Table146[Company],$M$3,Table146[Date],$A96,Table146[Bill No.],$B96),IFERROR($E96/$C96,"")))))</f>
        <v>99.5</v>
      </c>
      <c r="E96" s="347">
        <f>IF($A96="","",IF($J96="DIESEL",SUMIFS(Table1[Amount],Table1[Customer],$M$3,Table1[Date],$A96,Table1[Bill No.],$B96),IF($J96="PETROL",SUMIFS(Table14[Amount],Table14[Customer],$M$3,Table14[Date],$A96,Table14[Bill No.],$B96),IF($J96="XtraGreen",SUMIFS(Table146[Amount],Table146[Company],$M$3,Table146[Date],$A96,Table146[Bill No.],$B96),SUMIFS('Other Sale'!$D:$D,'Other Sale'!$E:$E,$M$3,'Other Sale'!$C:$C,$J96,'Other Sale'!$A:$A,$A96)))))</f>
        <v>1194000</v>
      </c>
      <c r="F96" s="347" cm="1">
        <f t="array" ref="F96">IF($A96="","",IF($J96="Payment",IFERROR(INDEX(_xlfn._xlws.FILTER(MasterPaid[Amount Paid],(MasterPaid[Customer]=$M$3)*(MasterPaid[Date]=$A96)),COUNTIFS($A$6:$A96,$A96,$J$6:$J96,"Payment")),0),0))</f>
        <v>0</v>
      </c>
      <c r="G96" s="331"/>
      <c r="H96" s="427"/>
      <c r="I96" s="330">
        <f t="shared" si="11"/>
        <v>2409802</v>
      </c>
      <c r="J96" s="344" t="str" cm="1">
        <f t="array" ref="J96">IFERROR(INDEX(_xlfn.ANCHORARRAY($P$6),ROW()-5,3),"")</f>
        <v>DIESEL</v>
      </c>
      <c r="K96" s="432" t="str" cm="1">
        <f t="array" ref="K96">IF(OR($A96="",$J96&lt;&gt;"DIESEL"),"",_xlfn.LET(_xlpm.qty,N($C96),_xlpm.pos,$T$5:$T$54,_xlpm.alo,IF($U$5:$U$54="",0,$U$5:$U$54),_xlpm.usd,SUMIFS($C$6:$C95,$K$6:$K95,_xlpm.pos&amp;""),_xlpm.bal,_xlpm.alo-_xlpm.usd,IFERROR(INDEX(_xlfn._xlws.FILTER(_xlpm.pos,(_xlpm.pos&lt;&gt;"")*(_xlpm.qty&gt;0)*(_xlpm.bal&gt;=_xlpm.qty)),1),"")))</f>
        <v>O326256319</v>
      </c>
      <c r="L96" s="348"/>
      <c r="P96">
        <v>46223</v>
      </c>
      <c r="Q96">
        <v>1640</v>
      </c>
      <c r="R96" t="str">
        <v>DIESEL</v>
      </c>
    </row>
    <row r="97" spans="1:18" ht="21.75" x14ac:dyDescent="0.25">
      <c r="A97" s="217" cm="1">
        <f t="array" ref="A97">IFERROR(INDEX(_xlfn.ANCHORARRAY($P$6),ROW()-5,1),"")</f>
        <v>46223</v>
      </c>
      <c r="B97" s="344" t="str" cm="1">
        <f t="array" ref="B97">IFERROR(INDEX(_xlfn.ANCHORARRAY($P$6),ROW()-5,2),"")</f>
        <v/>
      </c>
      <c r="C97" s="345" t="str">
        <f>IF($A97="","",IF($J97="DIESEL",SUMIFS(Table1[Quantity],Table1[Customer],$M$3,Table1[Date],$A97,Table1[Bill No.],$B97),IF($J97="PETROL",SUMIFS(Table14[Quantity],Table14[Customer],$M$3,Table14[Date],$A97,Table14[Bill No.],$B97),IF($J97="XtraGreen",SUMIFS(Table146[Quantity],Table146[Company],$M$3,Table146[Date],$A97,Table146[Bill No.],$B97),""))))</f>
        <v/>
      </c>
      <c r="D97" s="346" t="str">
        <f>IF($A97="","",IF($J97="DIESEL",AVERAGEIFS(Table1[RSP],Table1[Customer],$M$3,Table1[Date],$A97,Table1[Bill No.],$B97),IF($J97="PETROL",AVERAGEIFS(Table14[RSP],Table14[Customer],$M$3,Table14[Date],$A97,Table14[Bill No.],$B97),IF($J97="XtraGreen",AVERAGEIFS(Table146[RSP],Table146[Company],$M$3,Table146[Date],$A97,Table146[Bill No.],$B97),IFERROR($E97/$C97,"")))))</f>
        <v/>
      </c>
      <c r="E97" s="347">
        <f>IF($A97="","",IF($J97="DIESEL",SUMIFS(Table1[Amount],Table1[Customer],$M$3,Table1[Date],$A97,Table1[Bill No.],$B97),IF($J97="PETROL",SUMIFS(Table14[Amount],Table14[Customer],$M$3,Table14[Date],$A97,Table14[Bill No.],$B97),IF($J97="XtraGreen",SUMIFS(Table146[Amount],Table146[Company],$M$3,Table146[Date],$A97,Table146[Bill No.],$B97),SUMIFS('Other Sale'!$D:$D,'Other Sale'!$E:$E,$M$3,'Other Sale'!$C:$C,$J97,'Other Sale'!$A:$A,$A97)))))</f>
        <v>0</v>
      </c>
      <c r="F97" s="347" cm="1">
        <f t="array" ref="F97">IF($A97="","",IF($J97="Payment",IFERROR(INDEX(_xlfn._xlws.FILTER(MasterPaid[Amount Paid],(MasterPaid[Customer]=$M$3)*(MasterPaid[Date]=$A97)),COUNTIFS($A$6:$A97,$A97,$J$6:$J97,"Payment")),0),0))</f>
        <v>1192806</v>
      </c>
      <c r="G97" s="331">
        <v>1194</v>
      </c>
      <c r="H97" s="427"/>
      <c r="I97" s="330">
        <f t="shared" si="11"/>
        <v>1215802</v>
      </c>
      <c r="J97" s="344" t="str" cm="1">
        <f t="array" ref="J97">IFERROR(INDEX(_xlfn.ANCHORARRAY($P$6),ROW()-5,3),"")</f>
        <v>Payment</v>
      </c>
      <c r="K97" s="432" t="str" cm="1">
        <f t="array" ref="K97">IF(OR($A97="",$J97&lt;&gt;"DIESEL"),"",_xlfn.LET(_xlpm.qty,N($C97),_xlpm.pos,$T$5:$T$54,_xlpm.alo,IF($U$5:$U$54="",0,$U$5:$U$54),_xlpm.usd,SUMIFS($C$6:$C96,$K$6:$K96,_xlpm.pos&amp;""),_xlpm.bal,_xlpm.alo-_xlpm.usd,IFERROR(INDEX(_xlfn._xlws.FILTER(_xlpm.pos,(_xlpm.pos&lt;&gt;"")*(_xlpm.qty&gt;0)*(_xlpm.bal&gt;=_xlpm.qty)),1),"")))</f>
        <v/>
      </c>
      <c r="L97" s="348"/>
      <c r="P97">
        <v>46223</v>
      </c>
      <c r="Q97" t="str">
        <v/>
      </c>
      <c r="R97" t="str">
        <v>Payment</v>
      </c>
    </row>
    <row r="98" spans="1:18" ht="21.75" x14ac:dyDescent="0.25">
      <c r="A98" s="217" cm="1">
        <f t="array" ref="A98">IFERROR(INDEX(_xlfn.ANCHORARRAY($P$6),ROW()-5,1),"")</f>
        <v>46224</v>
      </c>
      <c r="B98" s="344" t="str" cm="1">
        <f t="array" ref="B98">IFERROR(INDEX(_xlfn.ANCHORARRAY($P$6),ROW()-5,2),"")</f>
        <v/>
      </c>
      <c r="C98" s="345" t="str">
        <f>IF($A98="","",IF($J98="DIESEL",SUMIFS(Table1[Quantity],Table1[Customer],$M$3,Table1[Date],$A98,Table1[Bill No.],$B98),IF($J98="PETROL",SUMIFS(Table14[Quantity],Table14[Customer],$M$3,Table14[Date],$A98,Table14[Bill No.],$B98),IF($J98="XtraGreen",SUMIFS(Table146[Quantity],Table146[Company],$M$3,Table146[Date],$A98,Table146[Bill No.],$B98),""))))</f>
        <v/>
      </c>
      <c r="D98" s="346" t="str">
        <f>IF($A98="","",IF($J98="DIESEL",AVERAGEIFS(Table1[RSP],Table1[Customer],$M$3,Table1[Date],$A98,Table1[Bill No.],$B98),IF($J98="PETROL",AVERAGEIFS(Table14[RSP],Table14[Customer],$M$3,Table14[Date],$A98,Table14[Bill No.],$B98),IF($J98="XtraGreen",AVERAGEIFS(Table146[RSP],Table146[Company],$M$3,Table146[Date],$A98,Table146[Bill No.],$B98),IFERROR($E98/$C98,"")))))</f>
        <v/>
      </c>
      <c r="E98" s="347">
        <f>IF($A98="","",IF($J98="DIESEL",SUMIFS(Table1[Amount],Table1[Customer],$M$3,Table1[Date],$A98,Table1[Bill No.],$B98),IF($J98="PETROL",SUMIFS(Table14[Amount],Table14[Customer],$M$3,Table14[Date],$A98,Table14[Bill No.],$B98),IF($J98="XtraGreen",SUMIFS(Table146[Amount],Table146[Company],$M$3,Table146[Date],$A98,Table146[Bill No.],$B98),SUMIFS('Other Sale'!$D:$D,'Other Sale'!$E:$E,$M$3,'Other Sale'!$C:$C,$J98,'Other Sale'!$A:$A,$A98)))))</f>
        <v>0</v>
      </c>
      <c r="F98" s="347" cm="1">
        <f t="array" ref="F98">IF($A98="","",IF($J98="Payment",IFERROR(INDEX(_xlfn._xlws.FILTER(MasterPaid[Amount Paid],(MasterPaid[Customer]=$M$3)*(MasterPaid[Date]=$A98)),COUNTIFS($A$6:$A98,$A98,$J$6:$J98,"Payment")),0),0))</f>
        <v>1192806</v>
      </c>
      <c r="G98" s="331">
        <v>1194</v>
      </c>
      <c r="H98" s="427"/>
      <c r="I98" s="330">
        <f t="shared" si="11"/>
        <v>21802</v>
      </c>
      <c r="J98" s="344" t="str" cm="1">
        <f t="array" ref="J98">IFERROR(INDEX(_xlfn.ANCHORARRAY($P$6),ROW()-5,3),"")</f>
        <v>Payment</v>
      </c>
      <c r="K98" s="432" t="str" cm="1">
        <f t="array" ref="K98">IF(OR($A98="",$J98&lt;&gt;"DIESEL"),"",_xlfn.LET(_xlpm.qty,N($C98),_xlpm.pos,$T$5:$T$54,_xlpm.alo,IF($U$5:$U$54="",0,$U$5:$U$54),_xlpm.usd,SUMIFS($C$6:$C97,$K$6:$K97,_xlpm.pos&amp;""),_xlpm.bal,_xlpm.alo-_xlpm.usd,IFERROR(INDEX(_xlfn._xlws.FILTER(_xlpm.pos,(_xlpm.pos&lt;&gt;"")*(_xlpm.qty&gt;0)*(_xlpm.bal&gt;=_xlpm.qty)),1),"")))</f>
        <v/>
      </c>
      <c r="L98" s="348"/>
      <c r="P98">
        <v>46224</v>
      </c>
      <c r="Q98" t="str">
        <v/>
      </c>
      <c r="R98" t="str">
        <v>Payment</v>
      </c>
    </row>
    <row r="99" spans="1:18" ht="21.75" x14ac:dyDescent="0.25">
      <c r="A99" s="217" cm="1">
        <f t="array" ref="A99">IFERROR(INDEX(_xlfn.ANCHORARRAY($P$6),ROW()-5,1),"")</f>
        <v>46226</v>
      </c>
      <c r="B99" s="344" t="str" cm="1">
        <f t="array" ref="B99">IFERROR(INDEX(_xlfn.ANCHORARRAY($P$6),ROW()-5,2),"")</f>
        <v>1697</v>
      </c>
      <c r="C99" s="345">
        <f>IF($A99="","",IF($J99="DIESEL",SUMIFS(Table1[Quantity],Table1[Customer],$M$3,Table1[Date],$A99,Table1[Bill No.],$B99),IF($J99="PETROL",SUMIFS(Table14[Quantity],Table14[Customer],$M$3,Table14[Date],$A99,Table14[Bill No.],$B99),IF($J99="XtraGreen",SUMIFS(Table146[Quantity],Table146[Company],$M$3,Table146[Date],$A99,Table146[Bill No.],$B99),""))))</f>
        <v>12000</v>
      </c>
      <c r="D99" s="346">
        <f>IF($A99="","",IF($J99="DIESEL",AVERAGEIFS(Table1[RSP],Table1[Customer],$M$3,Table1[Date],$A99,Table1[Bill No.],$B99),IF($J99="PETROL",AVERAGEIFS(Table14[RSP],Table14[Customer],$M$3,Table14[Date],$A99,Table14[Bill No.],$B99),IF($J99="XtraGreen",AVERAGEIFS(Table146[RSP],Table146[Company],$M$3,Table146[Date],$A99,Table146[Bill No.],$B99),IFERROR($E99/$C99,"")))))</f>
        <v>99.5</v>
      </c>
      <c r="E99" s="347">
        <f>IF($A99="","",IF($J99="DIESEL",SUMIFS(Table1[Amount],Table1[Customer],$M$3,Table1[Date],$A99,Table1[Bill No.],$B99),IF($J99="PETROL",SUMIFS(Table14[Amount],Table14[Customer],$M$3,Table14[Date],$A99,Table14[Bill No.],$B99),IF($J99="XtraGreen",SUMIFS(Table146[Amount],Table146[Company],$M$3,Table146[Date],$A99,Table146[Bill No.],$B99),SUMIFS('Other Sale'!$D:$D,'Other Sale'!$E:$E,$M$3,'Other Sale'!$C:$C,$J99,'Other Sale'!$A:$A,$A99)))))</f>
        <v>1194000</v>
      </c>
      <c r="F99" s="347" cm="1">
        <f t="array" ref="F99">IF($A99="","",IF($J99="Payment",IFERROR(INDEX(_xlfn._xlws.FILTER(MasterPaid[Amount Paid],(MasterPaid[Customer]=$M$3)*(MasterPaid[Date]=$A99)),COUNTIFS($A$6:$A99,$A99,$J$6:$J99,"Payment")),0),0))</f>
        <v>0</v>
      </c>
      <c r="G99" s="331"/>
      <c r="H99" s="427"/>
      <c r="I99" s="330">
        <f t="shared" si="11"/>
        <v>1215802</v>
      </c>
      <c r="J99" s="344" t="str" cm="1">
        <f t="array" ref="J99">IFERROR(INDEX(_xlfn.ANCHORARRAY($P$6),ROW()-5,3),"")</f>
        <v>DIESEL</v>
      </c>
      <c r="K99" s="432" t="str" cm="1">
        <f t="array" ref="K99">IF(OR($A99="",$J99&lt;&gt;"DIESEL"),"",_xlfn.LET(_xlpm.qty,N($C99),_xlpm.pos,$T$5:$T$54,_xlpm.alo,IF($U$5:$U$54="",0,$U$5:$U$54),_xlpm.usd,SUMIFS($C$6:$C98,$K$6:$K98,_xlpm.pos&amp;""),_xlpm.bal,_xlpm.alo-_xlpm.usd,IFERROR(INDEX(_xlfn._xlws.FILTER(_xlpm.pos,(_xlpm.pos&lt;&gt;"")*(_xlpm.qty&gt;0)*(_xlpm.bal&gt;=_xlpm.qty)),1),"")))</f>
        <v>O326257337</v>
      </c>
      <c r="L99" s="348"/>
      <c r="P99">
        <v>46226</v>
      </c>
      <c r="Q99" t="str">
        <v>1697</v>
      </c>
      <c r="R99" t="str">
        <v>DIESEL</v>
      </c>
    </row>
    <row r="100" spans="1:18" ht="21.75" x14ac:dyDescent="0.25">
      <c r="A100" s="217" cm="1">
        <f t="array" ref="A100">IFERROR(INDEX(_xlfn.ANCHORARRAY($P$6),ROW()-5,1),"")</f>
        <v>46227</v>
      </c>
      <c r="B100" s="344" t="str" cm="1">
        <f t="array" ref="B100">IFERROR(INDEX(_xlfn.ANCHORARRAY($P$6),ROW()-5,2),"")</f>
        <v/>
      </c>
      <c r="C100" s="345" t="str">
        <f>IF($A100="","",IF($J100="DIESEL",SUMIFS(Table1[Quantity],Table1[Customer],$M$3,Table1[Date],$A100,Table1[Bill No.],$B100),IF($J100="PETROL",SUMIFS(Table14[Quantity],Table14[Customer],$M$3,Table14[Date],$A100,Table14[Bill No.],$B100),IF($J100="XtraGreen",SUMIFS(Table146[Quantity],Table146[Company],$M$3,Table146[Date],$A100,Table146[Bill No.],$B100),""))))</f>
        <v/>
      </c>
      <c r="D100" s="346" t="str">
        <f>IF($A100="","",IF($J100="DIESEL",AVERAGEIFS(Table1[RSP],Table1[Customer],$M$3,Table1[Date],$A100,Table1[Bill No.],$B100),IF($J100="PETROL",AVERAGEIFS(Table14[RSP],Table14[Customer],$M$3,Table14[Date],$A100,Table14[Bill No.],$B100),IF($J100="XtraGreen",AVERAGEIFS(Table146[RSP],Table146[Company],$M$3,Table146[Date],$A100,Table146[Bill No.],$B100),IFERROR($E100/$C100,"")))))</f>
        <v/>
      </c>
      <c r="E100" s="347">
        <f>IF($A100="","",IF($J100="DIESEL",SUMIFS(Table1[Amount],Table1[Customer],$M$3,Table1[Date],$A100,Table1[Bill No.],$B100),IF($J100="PETROL",SUMIFS(Table14[Amount],Table14[Customer],$M$3,Table14[Date],$A100,Table14[Bill No.],$B100),IF($J100="XtraGreen",SUMIFS(Table146[Amount],Table146[Company],$M$3,Table146[Date],$A100,Table146[Bill No.],$B100),SUMIFS('Other Sale'!$D:$D,'Other Sale'!$E:$E,$M$3,'Other Sale'!$C:$C,$J100,'Other Sale'!$A:$A,$A100)))))</f>
        <v>0</v>
      </c>
      <c r="F100" s="347" cm="1">
        <f t="array" ref="F100">IF($A100="","",IF($J100="Payment",IFERROR(INDEX(_xlfn._xlws.FILTER(MasterPaid[Amount Paid],(MasterPaid[Customer]=$M$3)*(MasterPaid[Date]=$A100)),COUNTIFS($A$6:$A100,$A100,$J$6:$J100,"Payment")),0),0))</f>
        <v>1192806</v>
      </c>
      <c r="G100" s="331">
        <v>1194</v>
      </c>
      <c r="H100" s="427"/>
      <c r="I100" s="330">
        <f t="shared" si="11"/>
        <v>21802</v>
      </c>
      <c r="J100" s="344" t="str" cm="1">
        <f t="array" ref="J100">IFERROR(INDEX(_xlfn.ANCHORARRAY($P$6),ROW()-5,3),"")</f>
        <v>Payment</v>
      </c>
      <c r="K100" s="432" t="str" cm="1">
        <f t="array" ref="K100">IF(OR($A100="",$J100&lt;&gt;"DIESEL"),"",_xlfn.LET(_xlpm.qty,N($C100),_xlpm.pos,$T$5:$T$54,_xlpm.alo,IF($U$5:$U$54="",0,$U$5:$U$54),_xlpm.usd,SUMIFS($C$6:$C99,$K$6:$K99,_xlpm.pos&amp;""),_xlpm.bal,_xlpm.alo-_xlpm.usd,IFERROR(INDEX(_xlfn._xlws.FILTER(_xlpm.pos,(_xlpm.pos&lt;&gt;"")*(_xlpm.qty&gt;0)*(_xlpm.bal&gt;=_xlpm.qty)),1),"")))</f>
        <v/>
      </c>
      <c r="L100" s="348"/>
      <c r="P100">
        <v>46227</v>
      </c>
      <c r="Q100" t="str">
        <v/>
      </c>
      <c r="R100" t="str">
        <v>Payment</v>
      </c>
    </row>
    <row r="101" spans="1:18" ht="21.75" x14ac:dyDescent="0.25">
      <c r="A101" s="217" cm="1">
        <f t="array" ref="A101">IFERROR(INDEX(_xlfn.ANCHORARRAY($P$6),ROW()-5,1),"")</f>
        <v>46228</v>
      </c>
      <c r="B101" s="344" t="str" cm="1">
        <f t="array" ref="B101">IFERROR(INDEX(_xlfn.ANCHORARRAY($P$6),ROW()-5,2),"")</f>
        <v>1741</v>
      </c>
      <c r="C101" s="345">
        <f>IF($A101="","",IF($J101="DIESEL",SUMIFS(Table1[Quantity],Table1[Customer],$M$3,Table1[Date],$A101,Table1[Bill No.],$B101),IF($J101="PETROL",SUMIFS(Table14[Quantity],Table14[Customer],$M$3,Table14[Date],$A101,Table14[Bill No.],$B101),IF($J101="XtraGreen",SUMIFS(Table146[Quantity],Table146[Company],$M$3,Table146[Date],$A101,Table146[Bill No.],$B101),""))))</f>
        <v>12000</v>
      </c>
      <c r="D101" s="346">
        <f>IF($A101="","",IF($J101="DIESEL",AVERAGEIFS(Table1[RSP],Table1[Customer],$M$3,Table1[Date],$A101,Table1[Bill No.],$B101),IF($J101="PETROL",AVERAGEIFS(Table14[RSP],Table14[Customer],$M$3,Table14[Date],$A101,Table14[Bill No.],$B101),IF($J101="XtraGreen",AVERAGEIFS(Table146[RSP],Table146[Company],$M$3,Table146[Date],$A101,Table146[Bill No.],$B101),IFERROR($E101/$C101,"")))))</f>
        <v>99.5</v>
      </c>
      <c r="E101" s="347">
        <f>IF($A101="","",IF($J101="DIESEL",SUMIFS(Table1[Amount],Table1[Customer],$M$3,Table1[Date],$A101,Table1[Bill No.],$B101),IF($J101="PETROL",SUMIFS(Table14[Amount],Table14[Customer],$M$3,Table14[Date],$A101,Table14[Bill No.],$B101),IF($J101="XtraGreen",SUMIFS(Table146[Amount],Table146[Company],$M$3,Table146[Date],$A101,Table146[Bill No.],$B101),SUMIFS('Other Sale'!$D:$D,'Other Sale'!$E:$E,$M$3,'Other Sale'!$C:$C,$J101,'Other Sale'!$A:$A,$A101)))))</f>
        <v>1194000</v>
      </c>
      <c r="F101" s="347" cm="1">
        <f t="array" ref="F101">IF($A101="","",IF($J101="Payment",IFERROR(INDEX(_xlfn._xlws.FILTER(MasterPaid[Amount Paid],(MasterPaid[Customer]=$M$3)*(MasterPaid[Date]=$A101)),COUNTIFS($A$6:$A101,$A101,$J$6:$J101,"Payment")),0),0))</f>
        <v>0</v>
      </c>
      <c r="G101" s="331"/>
      <c r="H101" s="427"/>
      <c r="I101" s="330">
        <f t="shared" si="11"/>
        <v>1215802</v>
      </c>
      <c r="J101" s="344" t="str" cm="1">
        <f t="array" ref="J101">IFERROR(INDEX(_xlfn.ANCHORARRAY($P$6),ROW()-5,3),"")</f>
        <v>DIESEL</v>
      </c>
      <c r="K101" s="432" t="str" cm="1">
        <f t="array" ref="K101">IF(OR($A101="",$J101&lt;&gt;"DIESEL"),"",_xlfn.LET(_xlpm.qty,N($C101),_xlpm.pos,$T$5:$T$54,_xlpm.alo,IF($U$5:$U$54="",0,$U$5:$U$54),_xlpm.usd,SUMIFS($C$6:$C100,$K$6:$K100,_xlpm.pos&amp;""),_xlpm.bal,_xlpm.alo-_xlpm.usd,IFERROR(INDEX(_xlfn._xlws.FILTER(_xlpm.pos,(_xlpm.pos&lt;&gt;"")*(_xlpm.qty&gt;0)*(_xlpm.bal&gt;=_xlpm.qty)),1),"")))</f>
        <v>O326257337</v>
      </c>
      <c r="L101" s="348"/>
      <c r="P101">
        <v>46228</v>
      </c>
      <c r="Q101" t="str">
        <v>1741</v>
      </c>
      <c r="R101" t="str">
        <v>DIESEL</v>
      </c>
    </row>
    <row r="102" spans="1:18" ht="21.75" x14ac:dyDescent="0.25">
      <c r="A102" s="217" cm="1">
        <f t="array" ref="A102">IFERROR(INDEX(_xlfn.ANCHORARRAY($P$6),ROW()-5,1),"")</f>
        <v>46230</v>
      </c>
      <c r="B102" s="344" t="str" cm="1">
        <f t="array" ref="B102">IFERROR(INDEX(_xlfn.ANCHORARRAY($P$6),ROW()-5,2),"")</f>
        <v/>
      </c>
      <c r="C102" s="345" t="str">
        <f>IF($A102="","",IF($J102="DIESEL",SUMIFS(Table1[Quantity],Table1[Customer],$M$3,Table1[Date],$A102,Table1[Bill No.],$B102),IF($J102="PETROL",SUMIFS(Table14[Quantity],Table14[Customer],$M$3,Table14[Date],$A102,Table14[Bill No.],$B102),IF($J102="XtraGreen",SUMIFS(Table146[Quantity],Table146[Company],$M$3,Table146[Date],$A102,Table146[Bill No.],$B102),""))))</f>
        <v/>
      </c>
      <c r="D102" s="346" t="str">
        <f>IF($A102="","",IF($J102="DIESEL",AVERAGEIFS(Table1[RSP],Table1[Customer],$M$3,Table1[Date],$A102,Table1[Bill No.],$B102),IF($J102="PETROL",AVERAGEIFS(Table14[RSP],Table14[Customer],$M$3,Table14[Date],$A102,Table14[Bill No.],$B102),IF($J102="XtraGreen",AVERAGEIFS(Table146[RSP],Table146[Company],$M$3,Table146[Date],$A102,Table146[Bill No.],$B102),IFERROR($E102/$C102,"")))))</f>
        <v/>
      </c>
      <c r="E102" s="347">
        <f>IF($A102="","",IF($J102="DIESEL",SUMIFS(Table1[Amount],Table1[Customer],$M$3,Table1[Date],$A102,Table1[Bill No.],$B102),IF($J102="PETROL",SUMIFS(Table14[Amount],Table14[Customer],$M$3,Table14[Date],$A102,Table14[Bill No.],$B102),IF($J102="XtraGreen",SUMIFS(Table146[Amount],Table146[Company],$M$3,Table146[Date],$A102,Table146[Bill No.],$B102),SUMIFS('Other Sale'!$D:$D,'Other Sale'!$E:$E,$M$3,'Other Sale'!$C:$C,$J102,'Other Sale'!$A:$A,$A102)))))</f>
        <v>0</v>
      </c>
      <c r="F102" s="347" cm="1">
        <f t="array" ref="F102">IF($A102="","",IF($J102="Payment",IFERROR(INDEX(_xlfn._xlws.FILTER(MasterPaid[Amount Paid],(MasterPaid[Customer]=$M$3)*(MasterPaid[Date]=$A102)),COUNTIFS($A$6:$A102,$A102,$J$6:$J102,"Payment")),0),0))</f>
        <v>1192806</v>
      </c>
      <c r="G102" s="331">
        <v>1194</v>
      </c>
      <c r="H102" s="427"/>
      <c r="I102" s="330">
        <f t="shared" si="11"/>
        <v>21802</v>
      </c>
      <c r="J102" s="344" t="str" cm="1">
        <f t="array" ref="J102">IFERROR(INDEX(_xlfn.ANCHORARRAY($P$6),ROW()-5,3),"")</f>
        <v>Payment</v>
      </c>
      <c r="K102" s="432" t="str" cm="1">
        <f t="array" ref="K102">IF(OR($A102="",$J102&lt;&gt;"DIESEL"),"",_xlfn.LET(_xlpm.qty,N($C102),_xlpm.pos,$T$5:$T$54,_xlpm.alo,IF($U$5:$U$54="",0,$U$5:$U$54),_xlpm.usd,SUMIFS($C$6:$C101,$K$6:$K101,_xlpm.pos&amp;""),_xlpm.bal,_xlpm.alo-_xlpm.usd,IFERROR(INDEX(_xlfn._xlws.FILTER(_xlpm.pos,(_xlpm.pos&lt;&gt;"")*(_xlpm.qty&gt;0)*(_xlpm.bal&gt;=_xlpm.qty)),1),"")))</f>
        <v/>
      </c>
      <c r="L102" s="348"/>
      <c r="P102">
        <v>46230</v>
      </c>
      <c r="Q102" t="str">
        <v/>
      </c>
      <c r="R102" t="str">
        <v>Payment</v>
      </c>
    </row>
    <row r="103" spans="1:18" ht="21.75" x14ac:dyDescent="0.25">
      <c r="A103" s="217" cm="1">
        <f t="array" ref="A103">IFERROR(INDEX(_xlfn.ANCHORARRAY($P$6),ROW()-5,1),"")</f>
        <v>46231</v>
      </c>
      <c r="B103" s="344" t="str" cm="1">
        <f t="array" ref="B103">IFERROR(INDEX(_xlfn.ANCHORARRAY($P$6),ROW()-5,2),"")</f>
        <v>1798</v>
      </c>
      <c r="C103" s="345">
        <f>IF($A103="","",IF($J103="DIESEL",SUMIFS(Table1[Quantity],Table1[Customer],$M$3,Table1[Date],$A103,Table1[Bill No.],$B103),IF($J103="PETROL",SUMIFS(Table14[Quantity],Table14[Customer],$M$3,Table14[Date],$A103,Table14[Bill No.],$B103),IF($J103="XtraGreen",SUMIFS(Table146[Quantity],Table146[Company],$M$3,Table146[Date],$A103,Table146[Bill No.],$B103),""))))</f>
        <v>12000</v>
      </c>
      <c r="D103" s="346">
        <f>IF($A103="","",IF($J103="DIESEL",AVERAGEIFS(Table1[RSP],Table1[Customer],$M$3,Table1[Date],$A103,Table1[Bill No.],$B103),IF($J103="PETROL",AVERAGEIFS(Table14[RSP],Table14[Customer],$M$3,Table14[Date],$A103,Table14[Bill No.],$B103),IF($J103="XtraGreen",AVERAGEIFS(Table146[RSP],Table146[Company],$M$3,Table146[Date],$A103,Table146[Bill No.],$B103),IFERROR($E103/$C103,"")))))</f>
        <v>99.5</v>
      </c>
      <c r="E103" s="347">
        <f>IF($A103="","",IF($J103="DIESEL",SUMIFS(Table1[Amount],Table1[Customer],$M$3,Table1[Date],$A103,Table1[Bill No.],$B103),IF($J103="PETROL",SUMIFS(Table14[Amount],Table14[Customer],$M$3,Table14[Date],$A103,Table14[Bill No.],$B103),IF($J103="XtraGreen",SUMIFS(Table146[Amount],Table146[Company],$M$3,Table146[Date],$A103,Table146[Bill No.],$B103),SUMIFS('Other Sale'!$D:$D,'Other Sale'!$E:$E,$M$3,'Other Sale'!$C:$C,$J103,'Other Sale'!$A:$A,$A103)))))</f>
        <v>1194000</v>
      </c>
      <c r="F103" s="347" cm="1">
        <f t="array" ref="F103">IF($A103="","",IF($J103="Payment",IFERROR(INDEX(_xlfn._xlws.FILTER(MasterPaid[Amount Paid],(MasterPaid[Customer]=$M$3)*(MasterPaid[Date]=$A103)),COUNTIFS($A$6:$A103,$A103,$J$6:$J103,"Payment")),0),0))</f>
        <v>0</v>
      </c>
      <c r="G103" s="331"/>
      <c r="H103" s="427"/>
      <c r="I103" s="330">
        <f t="shared" si="11"/>
        <v>1215802</v>
      </c>
      <c r="J103" s="344" t="str" cm="1">
        <f t="array" ref="J103">IFERROR(INDEX(_xlfn.ANCHORARRAY($P$6),ROW()-5,3),"")</f>
        <v>DIESEL</v>
      </c>
      <c r="K103" s="432" t="str" cm="1">
        <f t="array" ref="K103">IF(OR($A103="",$J103&lt;&gt;"DIESEL"),"",_xlfn.LET(_xlpm.qty,N($C103),_xlpm.pos,$T$5:$T$54,_xlpm.alo,IF($U$5:$U$54="",0,$U$5:$U$54),_xlpm.usd,SUMIFS($C$6:$C102,$K$6:$K102,_xlpm.pos&amp;""),_xlpm.bal,_xlpm.alo-_xlpm.usd,IFERROR(INDEX(_xlfn._xlws.FILTER(_xlpm.pos,(_xlpm.pos&lt;&gt;"")*(_xlpm.qty&gt;0)*(_xlpm.bal&gt;=_xlpm.qty)),1),"")))</f>
        <v>O326257337</v>
      </c>
      <c r="L103" s="348"/>
      <c r="P103">
        <v>46231</v>
      </c>
      <c r="Q103" t="str">
        <v>1798</v>
      </c>
      <c r="R103" t="str">
        <v>DIESEL</v>
      </c>
    </row>
    <row r="104" spans="1:18" ht="21.75" x14ac:dyDescent="0.25">
      <c r="A104" s="217" cm="1">
        <f t="array" ref="A104">IFERROR(INDEX(_xlfn.ANCHORARRAY($P$6),ROW()-5,1),"")</f>
        <v>46233</v>
      </c>
      <c r="B104" s="344" t="str" cm="1">
        <f t="array" ref="B104">IFERROR(INDEX(_xlfn.ANCHORARRAY($P$6),ROW()-5,2),"")</f>
        <v>1849</v>
      </c>
      <c r="C104" s="345">
        <f>IF($A104="","",IF($J104="DIESEL",SUMIFS(Table1[Quantity],Table1[Customer],$M$3,Table1[Date],$A104,Table1[Bill No.],$B104),IF($J104="PETROL",SUMIFS(Table14[Quantity],Table14[Customer],$M$3,Table14[Date],$A104,Table14[Bill No.],$B104),IF($J104="XtraGreen",SUMIFS(Table146[Quantity],Table146[Company],$M$3,Table146[Date],$A104,Table146[Bill No.],$B104),""))))</f>
        <v>12000</v>
      </c>
      <c r="D104" s="346">
        <f>IF($A104="","",IF($J104="DIESEL",AVERAGEIFS(Table1[RSP],Table1[Customer],$M$3,Table1[Date],$A104,Table1[Bill No.],$B104),IF($J104="PETROL",AVERAGEIFS(Table14[RSP],Table14[Customer],$M$3,Table14[Date],$A104,Table14[Bill No.],$B104),IF($J104="XtraGreen",AVERAGEIFS(Table146[RSP],Table146[Company],$M$3,Table146[Date],$A104,Table146[Bill No.],$B104),IFERROR($E104/$C104,"")))))</f>
        <v>99.5</v>
      </c>
      <c r="E104" s="347">
        <f>IF($A104="","",IF($J104="DIESEL",SUMIFS(Table1[Amount],Table1[Customer],$M$3,Table1[Date],$A104,Table1[Bill No.],$B104),IF($J104="PETROL",SUMIFS(Table14[Amount],Table14[Customer],$M$3,Table14[Date],$A104,Table14[Bill No.],$B104),IF($J104="XtraGreen",SUMIFS(Table146[Amount],Table146[Company],$M$3,Table146[Date],$A104,Table146[Bill No.],$B104),SUMIFS('Other Sale'!$D:$D,'Other Sale'!$E:$E,$M$3,'Other Sale'!$C:$C,$J104,'Other Sale'!$A:$A,$A104)))))</f>
        <v>1194000</v>
      </c>
      <c r="F104" s="347" cm="1">
        <f t="array" ref="F104">IF($A104="","",IF($J104="Payment",IFERROR(INDEX(_xlfn._xlws.FILTER(MasterPaid[Amount Paid],(MasterPaid[Customer]=$M$3)*(MasterPaid[Date]=$A104)),COUNTIFS($A$6:$A104,$A104,$J$6:$J104,"Payment")),0),0))</f>
        <v>0</v>
      </c>
      <c r="G104" s="331"/>
      <c r="H104" s="427"/>
      <c r="I104" s="330">
        <f t="shared" si="11"/>
        <v>2409802</v>
      </c>
      <c r="J104" s="344" t="str" cm="1">
        <f t="array" ref="J104">IFERROR(INDEX(_xlfn.ANCHORARRAY($P$6),ROW()-5,3),"")</f>
        <v>DIESEL</v>
      </c>
      <c r="K104" s="432" t="str" cm="1">
        <f t="array" ref="K104">IF(OR($A104="",$J104&lt;&gt;"DIESEL"),"",_xlfn.LET(_xlpm.qty,N($C104),_xlpm.pos,$T$5:$T$54,_xlpm.alo,IF($U$5:$U$54="",0,$U$5:$U$54),_xlpm.usd,SUMIFS($C$6:$C103,$K$6:$K103,_xlpm.pos&amp;""),_xlpm.bal,_xlpm.alo-_xlpm.usd,IFERROR(INDEX(_xlfn._xlws.FILTER(_xlpm.pos,(_xlpm.pos&lt;&gt;"")*(_xlpm.qty&gt;0)*(_xlpm.bal&gt;=_xlpm.qty)),1),"")))</f>
        <v>O326258326</v>
      </c>
      <c r="L104" s="348"/>
      <c r="P104">
        <v>46233</v>
      </c>
      <c r="Q104" t="str">
        <v>1849</v>
      </c>
      <c r="R104" t="str">
        <v>DIESEL</v>
      </c>
    </row>
    <row r="105" spans="1:18" ht="21.75" x14ac:dyDescent="0.25">
      <c r="A105" s="217" cm="1">
        <f t="array" ref="A105">IFERROR(INDEX(_xlfn.ANCHORARRAY($P$6),ROW()-5,1),"")</f>
        <v>46233</v>
      </c>
      <c r="B105" s="344" t="str" cm="1">
        <f t="array" ref="B105">IFERROR(INDEX(_xlfn.ANCHORARRAY($P$6),ROW()-5,2),"")</f>
        <v/>
      </c>
      <c r="C105" s="345" t="str">
        <f>IF($A105="","",IF($J105="DIESEL",SUMIFS(Table1[Quantity],Table1[Customer],$M$3,Table1[Date],$A105,Table1[Bill No.],$B105),IF($J105="PETROL",SUMIFS(Table14[Quantity],Table14[Customer],$M$3,Table14[Date],$A105,Table14[Bill No.],$B105),IF($J105="XtraGreen",SUMIFS(Table146[Quantity],Table146[Company],$M$3,Table146[Date],$A105,Table146[Bill No.],$B105),""))))</f>
        <v/>
      </c>
      <c r="D105" s="346" t="str">
        <f>IF($A105="","",IF($J105="DIESEL",AVERAGEIFS(Table1[RSP],Table1[Customer],$M$3,Table1[Date],$A105,Table1[Bill No.],$B105),IF($J105="PETROL",AVERAGEIFS(Table14[RSP],Table14[Customer],$M$3,Table14[Date],$A105,Table14[Bill No.],$B105),IF($J105="XtraGreen",AVERAGEIFS(Table146[RSP],Table146[Company],$M$3,Table146[Date],$A105,Table146[Bill No.],$B105),IFERROR($E105/$C105,"")))))</f>
        <v/>
      </c>
      <c r="E105" s="347">
        <f>IF($A105="","",IF($J105="DIESEL",SUMIFS(Table1[Amount],Table1[Customer],$M$3,Table1[Date],$A105,Table1[Bill No.],$B105),IF($J105="PETROL",SUMIFS(Table14[Amount],Table14[Customer],$M$3,Table14[Date],$A105,Table14[Bill No.],$B105),IF($J105="XtraGreen",SUMIFS(Table146[Amount],Table146[Company],$M$3,Table146[Date],$A105,Table146[Bill No.],$B105),SUMIFS('Other Sale'!$D:$D,'Other Sale'!$E:$E,$M$3,'Other Sale'!$C:$C,$J105,'Other Sale'!$A:$A,$A105)))))</f>
        <v>0</v>
      </c>
      <c r="F105" s="347" cm="1">
        <f t="array" ref="F105">IF($A105="","",IF($J105="Payment",IFERROR(INDEX(_xlfn._xlws.FILTER(MasterPaid[Amount Paid],(MasterPaid[Customer]=$M$3)*(MasterPaid[Date]=$A105)),COUNTIFS($A$6:$A105,$A105,$J$6:$J105,"Payment")),0),0))</f>
        <v>1192806</v>
      </c>
      <c r="G105" s="331">
        <v>1194</v>
      </c>
      <c r="H105" s="427"/>
      <c r="I105" s="330">
        <f t="shared" si="11"/>
        <v>1215802</v>
      </c>
      <c r="J105" s="344" t="str" cm="1">
        <f t="array" ref="J105">IFERROR(INDEX(_xlfn.ANCHORARRAY($P$6),ROW()-5,3),"")</f>
        <v>Payment</v>
      </c>
      <c r="K105" s="432" t="str" cm="1">
        <f t="array" ref="K105">IF(OR($A105="",$J105&lt;&gt;"DIESEL"),"",_xlfn.LET(_xlpm.qty,N($C105),_xlpm.pos,$T$5:$T$54,_xlpm.alo,IF($U$5:$U$54="",0,$U$5:$U$54),_xlpm.usd,SUMIFS($C$6:$C104,$K$6:$K104,_xlpm.pos&amp;""),_xlpm.bal,_xlpm.alo-_xlpm.usd,IFERROR(INDEX(_xlfn._xlws.FILTER(_xlpm.pos,(_xlpm.pos&lt;&gt;"")*(_xlpm.qty&gt;0)*(_xlpm.bal&gt;=_xlpm.qty)),1),"")))</f>
        <v/>
      </c>
      <c r="L105" s="348"/>
      <c r="P105">
        <v>46233</v>
      </c>
      <c r="Q105" t="str">
        <v/>
      </c>
      <c r="R105" t="str">
        <v>Payment</v>
      </c>
    </row>
    <row r="106" spans="1:18" ht="21.75" x14ac:dyDescent="0.25">
      <c r="A106" s="217" cm="1">
        <f t="array" ref="A106">IFERROR(INDEX(_xlfn.ANCHORARRAY($P$6),ROW()-5,1),"")</f>
        <v>46237</v>
      </c>
      <c r="B106" s="344" t="str" cm="1">
        <f t="array" ref="B106">IFERROR(INDEX(_xlfn.ANCHORARRAY($P$6),ROW()-5,2),"")</f>
        <v>1952</v>
      </c>
      <c r="C106" s="345">
        <f>IF($A106="","",IF($J106="DIESEL",SUMIFS(Table1[Quantity],Table1[Customer],$M$3,Table1[Date],$A106,Table1[Bill No.],$B106),IF($J106="PETROL",SUMIFS(Table14[Quantity],Table14[Customer],$M$3,Table14[Date],$A106,Table14[Bill No.],$B106),IF($J106="XtraGreen",SUMIFS(Table146[Quantity],Table146[Company],$M$3,Table146[Date],$A106,Table146[Bill No.],$B106),""))))</f>
        <v>12000</v>
      </c>
      <c r="D106" s="346">
        <f>IF($A106="","",IF($J106="DIESEL",AVERAGEIFS(Table1[RSP],Table1[Customer],$M$3,Table1[Date],$A106,Table1[Bill No.],$B106),IF($J106="PETROL",AVERAGEIFS(Table14[RSP],Table14[Customer],$M$3,Table14[Date],$A106,Table14[Bill No.],$B106),IF($J106="XtraGreen",AVERAGEIFS(Table146[RSP],Table146[Company],$M$3,Table146[Date],$A106,Table146[Bill No.],$B106),IFERROR($E106/$C106,"")))))</f>
        <v>99.5</v>
      </c>
      <c r="E106" s="347">
        <f>IF($A106="","",IF($J106="DIESEL",SUMIFS(Table1[Amount],Table1[Customer],$M$3,Table1[Date],$A106,Table1[Bill No.],$B106),IF($J106="PETROL",SUMIFS(Table14[Amount],Table14[Customer],$M$3,Table14[Date],$A106,Table14[Bill No.],$B106),IF($J106="XtraGreen",SUMIFS(Table146[Amount],Table146[Company],$M$3,Table146[Date],$A106,Table146[Bill No.],$B106),SUMIFS('Other Sale'!$D:$D,'Other Sale'!$E:$E,$M$3,'Other Sale'!$C:$C,$J106,'Other Sale'!$A:$A,$A106)))))</f>
        <v>1194000</v>
      </c>
      <c r="F106" s="347" cm="1">
        <f t="array" ref="F106">IF($A106="","",IF($J106="Payment",IFERROR(INDEX(_xlfn._xlws.FILTER(MasterPaid[Amount Paid],(MasterPaid[Customer]=$M$3)*(MasterPaid[Date]=$A106)),COUNTIFS($A$6:$A106,$A106,$J$6:$J106,"Payment")),0),0))</f>
        <v>0</v>
      </c>
      <c r="G106" s="331"/>
      <c r="H106" s="427"/>
      <c r="I106" s="330">
        <f t="shared" si="11"/>
        <v>2409802</v>
      </c>
      <c r="J106" s="344" t="str" cm="1">
        <f t="array" ref="J106">IFERROR(INDEX(_xlfn.ANCHORARRAY($P$6),ROW()-5,3),"")</f>
        <v>DIESEL</v>
      </c>
      <c r="K106" s="432" t="str" cm="1">
        <f t="array" ref="K106">IF(OR($A106="",$J106&lt;&gt;"DIESEL"),"",_xlfn.LET(_xlpm.qty,N($C106),_xlpm.pos,$T$5:$T$54,_xlpm.alo,IF($U$5:$U$54="",0,$U$5:$U$54),_xlpm.usd,SUMIFS($C$6:$C105,$K$6:$K105,_xlpm.pos&amp;""),_xlpm.bal,_xlpm.alo-_xlpm.usd,IFERROR(INDEX(_xlfn._xlws.FILTER(_xlpm.pos,(_xlpm.pos&lt;&gt;"")*(_xlpm.qty&gt;0)*(_xlpm.bal&gt;=_xlpm.qty)),1),"")))</f>
        <v>O326258326</v>
      </c>
      <c r="L106" s="348"/>
      <c r="P106">
        <v>46237</v>
      </c>
      <c r="Q106" t="str">
        <v>1952</v>
      </c>
      <c r="R106" t="str">
        <v>DIESEL</v>
      </c>
    </row>
    <row r="107" spans="1:18" ht="21.75" x14ac:dyDescent="0.25">
      <c r="A107" s="217" cm="1">
        <f t="array" ref="A107">IFERROR(INDEX(_xlfn.ANCHORARRAY($P$6),ROW()-5,1),"")</f>
        <v>46238</v>
      </c>
      <c r="B107" s="344" t="str" cm="1">
        <f t="array" ref="B107">IFERROR(INDEX(_xlfn.ANCHORARRAY($P$6),ROW()-5,2),"")</f>
        <v/>
      </c>
      <c r="C107" s="345" t="str">
        <f>IF($A107="","",IF($J107="DIESEL",SUMIFS(Table1[Quantity],Table1[Customer],$M$3,Table1[Date],$A107,Table1[Bill No.],$B107),IF($J107="PETROL",SUMIFS(Table14[Quantity],Table14[Customer],$M$3,Table14[Date],$A107,Table14[Bill No.],$B107),IF($J107="XtraGreen",SUMIFS(Table146[Quantity],Table146[Company],$M$3,Table146[Date],$A107,Table146[Bill No.],$B107),""))))</f>
        <v/>
      </c>
      <c r="D107" s="346" t="str">
        <f>IF($A107="","",IF($J107="DIESEL",AVERAGEIFS(Table1[RSP],Table1[Customer],$M$3,Table1[Date],$A107,Table1[Bill No.],$B107),IF($J107="PETROL",AVERAGEIFS(Table14[RSP],Table14[Customer],$M$3,Table14[Date],$A107,Table14[Bill No.],$B107),IF($J107="XtraGreen",AVERAGEIFS(Table146[RSP],Table146[Company],$M$3,Table146[Date],$A107,Table146[Bill No.],$B107),IFERROR($E107/$C107,"")))))</f>
        <v/>
      </c>
      <c r="E107" s="347">
        <f>IF($A107="","",IF($J107="DIESEL",SUMIFS(Table1[Amount],Table1[Customer],$M$3,Table1[Date],$A107,Table1[Bill No.],$B107),IF($J107="PETROL",SUMIFS(Table14[Amount],Table14[Customer],$M$3,Table14[Date],$A107,Table14[Bill No.],$B107),IF($J107="XtraGreen",SUMIFS(Table146[Amount],Table146[Company],$M$3,Table146[Date],$A107,Table146[Bill No.],$B107),SUMIFS('Other Sale'!$D:$D,'Other Sale'!$E:$E,$M$3,'Other Sale'!$C:$C,$J107,'Other Sale'!$A:$A,$A107)))))</f>
        <v>0</v>
      </c>
      <c r="F107" s="347" cm="1">
        <f t="array" ref="F107">IF($A107="","",IF($J107="Payment",IFERROR(INDEX(_xlfn._xlws.FILTER(MasterPaid[Amount Paid],(MasterPaid[Customer]=$M$3)*(MasterPaid[Date]=$A107)),COUNTIFS($A$6:$A107,$A107,$J$6:$J107,"Payment")),0),0))</f>
        <v>1192806</v>
      </c>
      <c r="G107" s="331">
        <v>1194</v>
      </c>
      <c r="H107" s="427"/>
      <c r="I107" s="330">
        <f t="shared" si="11"/>
        <v>1215802</v>
      </c>
      <c r="J107" s="344" t="str" cm="1">
        <f t="array" ref="J107">IFERROR(INDEX(_xlfn.ANCHORARRAY($P$6),ROW()-5,3),"")</f>
        <v>Payment</v>
      </c>
      <c r="K107" s="432" t="str" cm="1">
        <f t="array" ref="K107">IF(OR($A107="",$J107&lt;&gt;"DIESEL"),"",_xlfn.LET(_xlpm.qty,N($C107),_xlpm.pos,$T$5:$T$54,_xlpm.alo,IF($U$5:$U$54="",0,$U$5:$U$54),_xlpm.usd,SUMIFS($C$6:$C106,$K$6:$K106,_xlpm.pos&amp;""),_xlpm.bal,_xlpm.alo-_xlpm.usd,IFERROR(INDEX(_xlfn._xlws.FILTER(_xlpm.pos,(_xlpm.pos&lt;&gt;"")*(_xlpm.qty&gt;0)*(_xlpm.bal&gt;=_xlpm.qty)),1),"")))</f>
        <v/>
      </c>
      <c r="L107" s="348"/>
      <c r="P107">
        <v>46238</v>
      </c>
      <c r="Q107" t="str">
        <v/>
      </c>
      <c r="R107" t="str">
        <v>Payment</v>
      </c>
    </row>
    <row r="108" spans="1:18" ht="21.75" x14ac:dyDescent="0.25">
      <c r="A108" s="217" cm="1">
        <f t="array" ref="A108">IFERROR(INDEX(_xlfn.ANCHORARRAY($P$6),ROW()-5,1),"")</f>
        <v>46239</v>
      </c>
      <c r="B108" s="344" t="str" cm="1">
        <f t="array" ref="B108">IFERROR(INDEX(_xlfn.ANCHORARRAY($P$6),ROW()-5,2),"")</f>
        <v>MS387</v>
      </c>
      <c r="C108" s="345">
        <f>IF($A108="","",IF($J108="DIESEL",SUMIFS(Table1[Quantity],Table1[Customer],$M$3,Table1[Date],$A108,Table1[Bill No.],$B108),IF($J108="PETROL",SUMIFS(Table14[Quantity],Table14[Customer],$M$3,Table14[Date],$A108,Table14[Bill No.],$B108),IF($J108="XtraGreen",SUMIFS(Table146[Quantity],Table146[Company],$M$3,Table146[Date],$A108,Table146[Bill No.],$B108),""))))</f>
        <v>200</v>
      </c>
      <c r="D108" s="346">
        <f>IF($A108="","",IF($J108="DIESEL",AVERAGEIFS(Table1[RSP],Table1[Customer],$M$3,Table1[Date],$A108,Table1[Bill No.],$B108),IF($J108="PETROL",AVERAGEIFS(Table14[RSP],Table14[Customer],$M$3,Table14[Date],$A108,Table14[Bill No.],$B108),IF($J108="XtraGreen",AVERAGEIFS(Table146[RSP],Table146[Company],$M$3,Table146[Date],$A108,Table146[Bill No.],$B108),IFERROR($E108/$C108,"")))))</f>
        <v>109.01</v>
      </c>
      <c r="E108" s="347">
        <f>IF($A108="","",IF($J108="DIESEL",SUMIFS(Table1[Amount],Table1[Customer],$M$3,Table1[Date],$A108,Table1[Bill No.],$B108),IF($J108="PETROL",SUMIFS(Table14[Amount],Table14[Customer],$M$3,Table14[Date],$A108,Table14[Bill No.],$B108),IF($J108="XtraGreen",SUMIFS(Table146[Amount],Table146[Company],$M$3,Table146[Date],$A108,Table146[Bill No.],$B108),SUMIFS('Other Sale'!$D:$D,'Other Sale'!$E:$E,$M$3,'Other Sale'!$C:$C,$J108,'Other Sale'!$A:$A,$A108)))))</f>
        <v>21802</v>
      </c>
      <c r="F108" s="347" cm="1">
        <f t="array" ref="F108">IF($A108="","",IF($J108="Payment",IFERROR(INDEX(_xlfn._xlws.FILTER(MasterPaid[Amount Paid],(MasterPaid[Customer]=$M$3)*(MasterPaid[Date]=$A108)),COUNTIFS($A$6:$A108,$A108,$J$6:$J108,"Payment")),0),0))</f>
        <v>0</v>
      </c>
      <c r="G108" s="331"/>
      <c r="H108" s="427"/>
      <c r="I108" s="330">
        <f t="shared" si="11"/>
        <v>1237604</v>
      </c>
      <c r="J108" s="344" t="str" cm="1">
        <f t="array" ref="J108">IFERROR(INDEX(_xlfn.ANCHORARRAY($P$6),ROW()-5,3),"")</f>
        <v>PETROL</v>
      </c>
      <c r="K108" s="432" t="s">
        <v>3388</v>
      </c>
      <c r="L108" s="348"/>
      <c r="P108">
        <v>46239</v>
      </c>
      <c r="Q108" t="str">
        <v>MS387</v>
      </c>
      <c r="R108" t="str">
        <v>PETROL</v>
      </c>
    </row>
    <row r="109" spans="1:18" ht="21.75" x14ac:dyDescent="0.25">
      <c r="A109" s="217" cm="1">
        <f t="array" ref="A109">IFERROR(INDEX(_xlfn.ANCHORARRAY($P$6),ROW()-5,1),"")</f>
        <v>46239</v>
      </c>
      <c r="B109" s="344" t="str" cm="1">
        <f t="array" ref="B109">IFERROR(INDEX(_xlfn.ANCHORARRAY($P$6),ROW()-5,2),"")</f>
        <v/>
      </c>
      <c r="C109" s="345" t="str">
        <f>IF($A109="","",IF($J109="DIESEL",SUMIFS(Table1[Quantity],Table1[Customer],$M$3,Table1[Date],$A109,Table1[Bill No.],$B109),IF($J109="PETROL",SUMIFS(Table14[Quantity],Table14[Customer],$M$3,Table14[Date],$A109,Table14[Bill No.],$B109),IF($J109="XtraGreen",SUMIFS(Table146[Quantity],Table146[Company],$M$3,Table146[Date],$A109,Table146[Bill No.],$B109),""))))</f>
        <v/>
      </c>
      <c r="D109" s="346" t="str">
        <f>IF($A109="","",IF($J109="DIESEL",AVERAGEIFS(Table1[RSP],Table1[Customer],$M$3,Table1[Date],$A109,Table1[Bill No.],$B109),IF($J109="PETROL",AVERAGEIFS(Table14[RSP],Table14[Customer],$M$3,Table14[Date],$A109,Table14[Bill No.],$B109),IF($J109="XtraGreen",AVERAGEIFS(Table146[RSP],Table146[Company],$M$3,Table146[Date],$A109,Table146[Bill No.],$B109),IFERROR($E109/$C109,"")))))</f>
        <v/>
      </c>
      <c r="E109" s="347">
        <f>IF($A109="","",IF($J109="DIESEL",SUMIFS(Table1[Amount],Table1[Customer],$M$3,Table1[Date],$A109,Table1[Bill No.],$B109),IF($J109="PETROL",SUMIFS(Table14[Amount],Table14[Customer],$M$3,Table14[Date],$A109,Table14[Bill No.],$B109),IF($J109="XtraGreen",SUMIFS(Table146[Amount],Table146[Company],$M$3,Table146[Date],$A109,Table146[Bill No.],$B109),SUMIFS('Other Sale'!$D:$D,'Other Sale'!$E:$E,$M$3,'Other Sale'!$C:$C,$J109,'Other Sale'!$A:$A,$A109)))))</f>
        <v>0</v>
      </c>
      <c r="F109" s="347" cm="1">
        <f t="array" ref="F109">IF($A109="","",IF($J109="Payment",IFERROR(INDEX(_xlfn._xlws.FILTER(MasterPaid[Amount Paid],(MasterPaid[Customer]=$M$3)*(MasterPaid[Date]=$A109)),COUNTIFS($A$6:$A109,$A109,$J$6:$J109,"Payment")),0),0))</f>
        <v>1192806</v>
      </c>
      <c r="G109" s="331">
        <v>1194</v>
      </c>
      <c r="H109" s="427"/>
      <c r="I109" s="330">
        <f t="shared" si="11"/>
        <v>43604</v>
      </c>
      <c r="J109" s="344" t="str" cm="1">
        <f t="array" ref="J109">IFERROR(INDEX(_xlfn.ANCHORARRAY($P$6),ROW()-5,3),"")</f>
        <v>Payment</v>
      </c>
      <c r="K109" s="432" t="str" cm="1">
        <f t="array" ref="K109">IF(OR($A109="",$J109&lt;&gt;"DIESEL"),"",_xlfn.LET(_xlpm.qty,N($C109),_xlpm.pos,$T$5:$T$54,_xlpm.alo,IF($U$5:$U$54="",0,$U$5:$U$54),_xlpm.usd,SUMIFS($C$6:$C108,$K$6:$K108,_xlpm.pos&amp;""),_xlpm.bal,_xlpm.alo-_xlpm.usd,IFERROR(INDEX(_xlfn._xlws.FILTER(_xlpm.pos,(_xlpm.pos&lt;&gt;"")*(_xlpm.qty&gt;0)*(_xlpm.bal&gt;=_xlpm.qty)),1),"")))</f>
        <v/>
      </c>
      <c r="L109" s="348"/>
      <c r="P109">
        <v>46239</v>
      </c>
      <c r="Q109" t="str">
        <v/>
      </c>
      <c r="R109" t="str">
        <v>Payment</v>
      </c>
    </row>
    <row r="110" spans="1:18" ht="21.75" x14ac:dyDescent="0.25">
      <c r="A110" s="217" cm="1">
        <f t="array" ref="A110">IFERROR(INDEX(_xlfn.ANCHORARRAY($P$6),ROW()-5,1),"")</f>
        <v>46241</v>
      </c>
      <c r="B110" s="344" t="str" cm="1">
        <f t="array" ref="B110">IFERROR(INDEX(_xlfn.ANCHORARRAY($P$6),ROW()-5,2),"")</f>
        <v>2043</v>
      </c>
      <c r="C110" s="345">
        <f>IF($A110="","",IF($J110="DIESEL",SUMIFS(Table1[Quantity],Table1[Customer],$M$3,Table1[Date],$A110,Table1[Bill No.],$B110),IF($J110="PETROL",SUMIFS(Table14[Quantity],Table14[Customer],$M$3,Table14[Date],$A110,Table14[Bill No.],$B110),IF($J110="XtraGreen",SUMIFS(Table146[Quantity],Table146[Company],$M$3,Table146[Date],$A110,Table146[Bill No.],$B110),""))))</f>
        <v>12000</v>
      </c>
      <c r="D110" s="346">
        <f>IF($A110="","",IF($J110="DIESEL",AVERAGEIFS(Table1[RSP],Table1[Customer],$M$3,Table1[Date],$A110,Table1[Bill No.],$B110),IF($J110="PETROL",AVERAGEIFS(Table14[RSP],Table14[Customer],$M$3,Table14[Date],$A110,Table14[Bill No.],$B110),IF($J110="XtraGreen",AVERAGEIFS(Table146[RSP],Table146[Company],$M$3,Table146[Date],$A110,Table146[Bill No.],$B110),IFERROR($E110/$C110,"")))))</f>
        <v>99.5</v>
      </c>
      <c r="E110" s="347">
        <f>IF($A110="","",IF($J110="DIESEL",SUMIFS(Table1[Amount],Table1[Customer],$M$3,Table1[Date],$A110,Table1[Bill No.],$B110),IF($J110="PETROL",SUMIFS(Table14[Amount],Table14[Customer],$M$3,Table14[Date],$A110,Table14[Bill No.],$B110),IF($J110="XtraGreen",SUMIFS(Table146[Amount],Table146[Company],$M$3,Table146[Date],$A110,Table146[Bill No.],$B110),SUMIFS('Other Sale'!$D:$D,'Other Sale'!$E:$E,$M$3,'Other Sale'!$C:$C,$J110,'Other Sale'!$A:$A,$A110)))))</f>
        <v>1194000</v>
      </c>
      <c r="F110" s="347" cm="1">
        <f t="array" ref="F110">IF($A110="","",IF($J110="Payment",IFERROR(INDEX(_xlfn._xlws.FILTER(MasterPaid[Amount Paid],(MasterPaid[Customer]=$M$3)*(MasterPaid[Date]=$A110)),COUNTIFS($A$6:$A110,$A110,$J$6:$J110,"Payment")),0),0))</f>
        <v>0</v>
      </c>
      <c r="G110" s="331"/>
      <c r="H110" s="427"/>
      <c r="I110" s="330">
        <f t="shared" si="11"/>
        <v>1237604</v>
      </c>
      <c r="J110" s="344" t="str" cm="1">
        <f t="array" ref="J110">IFERROR(INDEX(_xlfn.ANCHORARRAY($P$6),ROW()-5,3),"")</f>
        <v>DIESEL</v>
      </c>
      <c r="K110" s="432" t="str" cm="1">
        <f t="array" ref="K110">IF(OR($A110="",$J110&lt;&gt;"DIESEL"),"",_xlfn.LET(_xlpm.qty,N($C110),_xlpm.pos,$T$5:$T$54,_xlpm.alo,IF($U$5:$U$54="",0,$U$5:$U$54),_xlpm.usd,SUMIFS($C$6:$C109,$K$6:$K109,_xlpm.pos&amp;""),_xlpm.bal,_xlpm.alo-_xlpm.usd,IFERROR(INDEX(_xlfn._xlws.FILTER(_xlpm.pos,(_xlpm.pos&lt;&gt;"")*(_xlpm.qty&gt;0)*(_xlpm.bal&gt;=_xlpm.qty)),1),"")))</f>
        <v>O326259113</v>
      </c>
      <c r="L110" s="348"/>
      <c r="P110">
        <v>46241</v>
      </c>
      <c r="Q110" t="str">
        <v>2043</v>
      </c>
      <c r="R110" t="str">
        <v>DIESEL</v>
      </c>
    </row>
    <row r="111" spans="1:18" ht="21.75" x14ac:dyDescent="0.25">
      <c r="A111" s="217" cm="1">
        <f t="array" ref="A111">IFERROR(INDEX(_xlfn.ANCHORARRAY($P$6),ROW()-5,1),"")</f>
        <v>46242</v>
      </c>
      <c r="B111" s="344" t="str" cm="1">
        <f t="array" ref="B111">IFERROR(INDEX(_xlfn.ANCHORARRAY($P$6),ROW()-5,2),"")</f>
        <v>2065</v>
      </c>
      <c r="C111" s="345">
        <f>IF($A111="","",IF($J111="DIESEL",SUMIFS(Table1[Quantity],Table1[Customer],$M$3,Table1[Date],$A111,Table1[Bill No.],$B111),IF($J111="PETROL",SUMIFS(Table14[Quantity],Table14[Customer],$M$3,Table14[Date],$A111,Table14[Bill No.],$B111),IF($J111="XtraGreen",SUMIFS(Table146[Quantity],Table146[Company],$M$3,Table146[Date],$A111,Table146[Bill No.],$B111),""))))</f>
        <v>12000</v>
      </c>
      <c r="D111" s="346">
        <f>IF($A111="","",IF($J111="DIESEL",AVERAGEIFS(Table1[RSP],Table1[Customer],$M$3,Table1[Date],$A111,Table1[Bill No.],$B111),IF($J111="PETROL",AVERAGEIFS(Table14[RSP],Table14[Customer],$M$3,Table14[Date],$A111,Table14[Bill No.],$B111),IF($J111="XtraGreen",AVERAGEIFS(Table146[RSP],Table146[Company],$M$3,Table146[Date],$A111,Table146[Bill No.],$B111),IFERROR($E111/$C111,"")))))</f>
        <v>99.5</v>
      </c>
      <c r="E111" s="347">
        <f>IF($A111="","",IF($J111="DIESEL",SUMIFS(Table1[Amount],Table1[Customer],$M$3,Table1[Date],$A111,Table1[Bill No.],$B111),IF($J111="PETROL",SUMIFS(Table14[Amount],Table14[Customer],$M$3,Table14[Date],$A111,Table14[Bill No.],$B111),IF($J111="XtraGreen",SUMIFS(Table146[Amount],Table146[Company],$M$3,Table146[Date],$A111,Table146[Bill No.],$B111),SUMIFS('Other Sale'!$D:$D,'Other Sale'!$E:$E,$M$3,'Other Sale'!$C:$C,$J111,'Other Sale'!$A:$A,$A111)))))</f>
        <v>1194000</v>
      </c>
      <c r="F111" s="347" cm="1">
        <f t="array" ref="F111">IF($A111="","",IF($J111="Payment",IFERROR(INDEX(_xlfn._xlws.FILTER(MasterPaid[Amount Paid],(MasterPaid[Customer]=$M$3)*(MasterPaid[Date]=$A111)),COUNTIFS($A$6:$A111,$A111,$J$6:$J111,"Payment")),0),0))</f>
        <v>0</v>
      </c>
      <c r="G111" s="331"/>
      <c r="H111" s="427">
        <v>1791</v>
      </c>
      <c r="I111" s="330">
        <f t="shared" si="11"/>
        <v>2429813</v>
      </c>
      <c r="J111" s="344" t="str" cm="1">
        <f t="array" ref="J111">IFERROR(INDEX(_xlfn.ANCHORARRAY($P$6),ROW()-5,3),"")</f>
        <v>DIESEL</v>
      </c>
      <c r="K111" s="432" t="str" cm="1">
        <f t="array" ref="K111">IF(OR($A111="",$J111&lt;&gt;"DIESEL"),"",_xlfn.LET(_xlpm.qty,N($C111),_xlpm.pos,$T$5:$T$54,_xlpm.alo,IF($U$5:$U$54="",0,$U$5:$U$54),_xlpm.usd,SUMIFS($C$6:$C110,$K$6:$K110,_xlpm.pos&amp;""),_xlpm.bal,_xlpm.alo-_xlpm.usd,IFERROR(INDEX(_xlfn._xlws.FILTER(_xlpm.pos,(_xlpm.pos&lt;&gt;"")*(_xlpm.qty&gt;0)*(_xlpm.bal&gt;=_xlpm.qty)),1),"")))</f>
        <v>O326259113</v>
      </c>
      <c r="L111" s="348" t="s">
        <v>3531</v>
      </c>
      <c r="P111">
        <v>46242</v>
      </c>
      <c r="Q111" t="str">
        <v>2065</v>
      </c>
      <c r="R111" t="str">
        <v>DIESEL</v>
      </c>
    </row>
    <row r="112" spans="1:18" ht="21.75" x14ac:dyDescent="0.25">
      <c r="A112" s="217" cm="1">
        <f t="array" ref="A112">IFERROR(INDEX(_xlfn.ANCHORARRAY($P$6),ROW()-5,1),"")</f>
        <v>46244</v>
      </c>
      <c r="B112" s="344" t="str" cm="1">
        <f t="array" ref="B112">IFERROR(INDEX(_xlfn.ANCHORARRAY($P$6),ROW()-5,2),"")</f>
        <v>2102</v>
      </c>
      <c r="C112" s="345">
        <f>IF($A112="","",IF($J112="DIESEL",SUMIFS(Table1[Quantity],Table1[Customer],$M$3,Table1[Date],$A112,Table1[Bill No.],$B112),IF($J112="PETROL",SUMIFS(Table14[Quantity],Table14[Customer],$M$3,Table14[Date],$A112,Table14[Bill No.],$B112),IF($J112="XtraGreen",SUMIFS(Table146[Quantity],Table146[Company],$M$3,Table146[Date],$A112,Table146[Bill No.],$B112),""))))</f>
        <v>12000</v>
      </c>
      <c r="D112" s="346">
        <f>IF($A112="","",IF($J112="DIESEL",AVERAGEIFS(Table1[RSP],Table1[Customer],$M$3,Table1[Date],$A112,Table1[Bill No.],$B112),IF($J112="PETROL",AVERAGEIFS(Table14[RSP],Table14[Customer],$M$3,Table14[Date],$A112,Table14[Bill No.],$B112),IF($J112="XtraGreen",AVERAGEIFS(Table146[RSP],Table146[Company],$M$3,Table146[Date],$A112,Table146[Bill No.],$B112),IFERROR($E112/$C112,"")))))</f>
        <v>99.5</v>
      </c>
      <c r="E112" s="347">
        <f>IF($A112="","",IF($J112="DIESEL",SUMIFS(Table1[Amount],Table1[Customer],$M$3,Table1[Date],$A112,Table1[Bill No.],$B112),IF($J112="PETROL",SUMIFS(Table14[Amount],Table14[Customer],$M$3,Table14[Date],$A112,Table14[Bill No.],$B112),IF($J112="XtraGreen",SUMIFS(Table146[Amount],Table146[Company],$M$3,Table146[Date],$A112,Table146[Bill No.],$B112),SUMIFS('Other Sale'!$D:$D,'Other Sale'!$E:$E,$M$3,'Other Sale'!$C:$C,$J112,'Other Sale'!$A:$A,$A112)))))</f>
        <v>1194000</v>
      </c>
      <c r="F112" s="347" cm="1">
        <f t="array" ref="F112">IF($A112="","",IF($J112="Payment",IFERROR(INDEX(_xlfn._xlws.FILTER(MasterPaid[Amount Paid],(MasterPaid[Customer]=$M$3)*(MasterPaid[Date]=$A112)),COUNTIFS($A$6:$A112,$A112,$J$6:$J112,"Payment")),0),0))</f>
        <v>0</v>
      </c>
      <c r="G112" s="331"/>
      <c r="H112" s="427"/>
      <c r="I112" s="330">
        <f t="shared" si="11"/>
        <v>3623813</v>
      </c>
      <c r="J112" s="344" t="str" cm="1">
        <f t="array" ref="J112">IFERROR(INDEX(_xlfn.ANCHORARRAY($P$6),ROW()-5,3),"")</f>
        <v>DIESEL</v>
      </c>
      <c r="K112" s="432" t="str" cm="1">
        <f t="array" ref="K112">IF(OR($A112="",$J112&lt;&gt;"DIESEL"),"",_xlfn.LET(_xlpm.qty,N($C112),_xlpm.pos,$T$5:$T$54,_xlpm.alo,IF($U$5:$U$54="",0,$U$5:$U$54),_xlpm.usd,SUMIFS($C$6:$C111,$K$6:$K111,_xlpm.pos&amp;""),_xlpm.bal,_xlpm.alo-_xlpm.usd,IFERROR(INDEX(_xlfn._xlws.FILTER(_xlpm.pos,(_xlpm.pos&lt;&gt;"")*(_xlpm.qty&gt;0)*(_xlpm.bal&gt;=_xlpm.qty)),1),"")))</f>
        <v>O326259113</v>
      </c>
      <c r="L112" s="348"/>
      <c r="P112">
        <v>46244</v>
      </c>
      <c r="Q112" t="str">
        <v>2102</v>
      </c>
      <c r="R112" t="str">
        <v>DIESEL</v>
      </c>
    </row>
    <row r="113" spans="1:18" ht="21.75" x14ac:dyDescent="0.25">
      <c r="A113" s="217" cm="1">
        <f t="array" ref="A113">IFERROR(INDEX(_xlfn.ANCHORARRAY($P$6),ROW()-5,1),"")</f>
        <v>46244</v>
      </c>
      <c r="B113" s="344" t="str" cm="1">
        <f t="array" ref="B113">IFERROR(INDEX(_xlfn.ANCHORARRAY($P$6),ROW()-5,2),"")</f>
        <v/>
      </c>
      <c r="C113" s="345" t="str">
        <f>IF($A113="","",IF($J113="DIESEL",SUMIFS(Table1[Quantity],Table1[Customer],$M$3,Table1[Date],$A113,Table1[Bill No.],$B113),IF($J113="PETROL",SUMIFS(Table14[Quantity],Table14[Customer],$M$3,Table14[Date],$A113,Table14[Bill No.],$B113),IF($J113="XtraGreen",SUMIFS(Table146[Quantity],Table146[Company],$M$3,Table146[Date],$A113,Table146[Bill No.],$B113),""))))</f>
        <v/>
      </c>
      <c r="D113" s="346" t="str">
        <f>IF($A113="","",IF($J113="DIESEL",AVERAGEIFS(Table1[RSP],Table1[Customer],$M$3,Table1[Date],$A113,Table1[Bill No.],$B113),IF($J113="PETROL",AVERAGEIFS(Table14[RSP],Table14[Customer],$M$3,Table14[Date],$A113,Table14[Bill No.],$B113),IF($J113="XtraGreen",AVERAGEIFS(Table146[RSP],Table146[Company],$M$3,Table146[Date],$A113,Table146[Bill No.],$B113),IFERROR($E113/$C113,"")))))</f>
        <v/>
      </c>
      <c r="E113" s="347">
        <f>IF($A113="","",IF($J113="DIESEL",SUMIFS(Table1[Amount],Table1[Customer],$M$3,Table1[Date],$A113,Table1[Bill No.],$B113),IF($J113="PETROL",SUMIFS(Table14[Amount],Table14[Customer],$M$3,Table14[Date],$A113,Table14[Bill No.],$B113),IF($J113="XtraGreen",SUMIFS(Table146[Amount],Table146[Company],$M$3,Table146[Date],$A113,Table146[Bill No.],$B113),SUMIFS('Other Sale'!$D:$D,'Other Sale'!$E:$E,$M$3,'Other Sale'!$C:$C,$J113,'Other Sale'!$A:$A,$A113)))))</f>
        <v>0</v>
      </c>
      <c r="F113" s="347" cm="1">
        <f t="array" ref="F113">IF($A113="","",IF($J113="Payment",IFERROR(INDEX(_xlfn._xlws.FILTER(MasterPaid[Amount Paid],(MasterPaid[Customer]=$M$3)*(MasterPaid[Date]=$A113)),COUNTIFS($A$6:$A113,$A113,$J$6:$J113,"Payment")),0),0))</f>
        <v>1192806</v>
      </c>
      <c r="G113" s="331">
        <v>1194</v>
      </c>
      <c r="H113" s="427"/>
      <c r="I113" s="330">
        <f t="shared" si="11"/>
        <v>2429813</v>
      </c>
      <c r="J113" s="344" t="str" cm="1">
        <f t="array" ref="J113">IFERROR(INDEX(_xlfn.ANCHORARRAY($P$6),ROW()-5,3),"")</f>
        <v>Payment</v>
      </c>
      <c r="K113" s="432" t="str" cm="1">
        <f t="array" ref="K113">IF(OR($A113="",$J113&lt;&gt;"DIESEL"),"",_xlfn.LET(_xlpm.qty,N($C113),_xlpm.pos,$T$5:$T$54,_xlpm.alo,IF($U$5:$U$54="",0,$U$5:$U$54),_xlpm.usd,SUMIFS($C$6:$C112,$K$6:$K112,_xlpm.pos&amp;""),_xlpm.bal,_xlpm.alo-_xlpm.usd,IFERROR(INDEX(_xlfn._xlws.FILTER(_xlpm.pos,(_xlpm.pos&lt;&gt;"")*(_xlpm.qty&gt;0)*(_xlpm.bal&gt;=_xlpm.qty)),1),"")))</f>
        <v/>
      </c>
      <c r="L113" s="348"/>
      <c r="P113">
        <v>46244</v>
      </c>
      <c r="Q113" t="str">
        <v/>
      </c>
      <c r="R113" t="str">
        <v>Payment</v>
      </c>
    </row>
    <row r="114" spans="1:18" ht="21.75" x14ac:dyDescent="0.25">
      <c r="A114" s="217" cm="1">
        <f t="array" ref="A114">IFERROR(INDEX(_xlfn.ANCHORARRAY($P$6),ROW()-5,1),"")</f>
        <v>46245</v>
      </c>
      <c r="B114" s="344" t="str" cm="1">
        <f t="array" ref="B114">IFERROR(INDEX(_xlfn.ANCHORARRAY($P$6),ROW()-5,2),"")</f>
        <v/>
      </c>
      <c r="C114" s="345" t="str">
        <f>IF($A114="","",IF($J114="DIESEL",SUMIFS(Table1[Quantity],Table1[Customer],$M$3,Table1[Date],$A114,Table1[Bill No.],$B114),IF($J114="PETROL",SUMIFS(Table14[Quantity],Table14[Customer],$M$3,Table14[Date],$A114,Table14[Bill No.],$B114),IF($J114="XtraGreen",SUMIFS(Table146[Quantity],Table146[Company],$M$3,Table146[Date],$A114,Table146[Bill No.],$B114),""))))</f>
        <v/>
      </c>
      <c r="D114" s="346" t="str">
        <f>IF($A114="","",IF($J114="DIESEL",AVERAGEIFS(Table1[RSP],Table1[Customer],$M$3,Table1[Date],$A114,Table1[Bill No.],$B114),IF($J114="PETROL",AVERAGEIFS(Table14[RSP],Table14[Customer],$M$3,Table14[Date],$A114,Table14[Bill No.],$B114),IF($J114="XtraGreen",AVERAGEIFS(Table146[RSP],Table146[Company],$M$3,Table146[Date],$A114,Table146[Bill No.],$B114),IFERROR($E114/$C114,"")))))</f>
        <v/>
      </c>
      <c r="E114" s="347">
        <f>IF($A114="","",IF($J114="DIESEL",SUMIFS(Table1[Amount],Table1[Customer],$M$3,Table1[Date],$A114,Table1[Bill No.],$B114),IF($J114="PETROL",SUMIFS(Table14[Amount],Table14[Customer],$M$3,Table14[Date],$A114,Table14[Bill No.],$B114),IF($J114="XtraGreen",SUMIFS(Table146[Amount],Table146[Company],$M$3,Table146[Date],$A114,Table146[Bill No.],$B114),SUMIFS('Other Sale'!$D:$D,'Other Sale'!$E:$E,$M$3,'Other Sale'!$C:$C,$J114,'Other Sale'!$A:$A,$A114)))))</f>
        <v>0</v>
      </c>
      <c r="F114" s="347" cm="1">
        <f t="array" ref="F114">IF($A114="","",IF($J114="Payment",IFERROR(INDEX(_xlfn._xlws.FILTER(MasterPaid[Amount Paid],(MasterPaid[Customer]=$M$3)*(MasterPaid[Date]=$A114)),COUNTIFS($A$6:$A114,$A114,$J$6:$J114,"Payment")),0),0))</f>
        <v>1191015</v>
      </c>
      <c r="G114" s="331">
        <v>1194</v>
      </c>
      <c r="H114" s="427"/>
      <c r="I114" s="330">
        <f t="shared" si="11"/>
        <v>1237604</v>
      </c>
      <c r="J114" s="344" t="str" cm="1">
        <f t="array" ref="J114">IFERROR(INDEX(_xlfn.ANCHORARRAY($P$6),ROW()-5,3),"")</f>
        <v>Payment</v>
      </c>
      <c r="K114" s="432" t="str" cm="1">
        <f t="array" ref="K114">IF(OR($A114="",$J114&lt;&gt;"DIESEL"),"",_xlfn.LET(_xlpm.qty,N($C114),_xlpm.pos,$T$5:$T$54,_xlpm.alo,IF($U$5:$U$54="",0,$U$5:$U$54),_xlpm.usd,SUMIFS($C$6:$C113,$K$6:$K113,_xlpm.pos&amp;""),_xlpm.bal,_xlpm.alo-_xlpm.usd,IFERROR(INDEX(_xlfn._xlws.FILTER(_xlpm.pos,(_xlpm.pos&lt;&gt;"")*(_xlpm.qty&gt;0)*(_xlpm.bal&gt;=_xlpm.qty)),1),"")))</f>
        <v/>
      </c>
      <c r="L114" s="348"/>
      <c r="P114">
        <v>46245</v>
      </c>
      <c r="Q114" t="str">
        <v/>
      </c>
      <c r="R114" t="str">
        <v>Payment</v>
      </c>
    </row>
    <row r="115" spans="1:18" ht="21.75" x14ac:dyDescent="0.25">
      <c r="A115" s="217" cm="1">
        <f t="array" ref="A115">IFERROR(INDEX(_xlfn.ANCHORARRAY($P$6),ROW()-5,1),"")</f>
        <v>46246</v>
      </c>
      <c r="B115" s="344" t="str" cm="1">
        <f t="array" ref="B115">IFERROR(INDEX(_xlfn.ANCHORARRAY($P$6),ROW()-5,2),"")</f>
        <v>2139</v>
      </c>
      <c r="C115" s="345">
        <f>IF($A115="","",IF($J115="DIESEL",SUMIFS(Table1[Quantity],Table1[Customer],$M$3,Table1[Date],$A115,Table1[Bill No.],$B115),IF($J115="PETROL",SUMIFS(Table14[Quantity],Table14[Customer],$M$3,Table14[Date],$A115,Table14[Bill No.],$B115),IF($J115="XtraGreen",SUMIFS(Table146[Quantity],Table146[Company],$M$3,Table146[Date],$A115,Table146[Bill No.],$B115),""))))</f>
        <v>12000</v>
      </c>
      <c r="D115" s="346">
        <f>IF($A115="","",IF($J115="DIESEL",AVERAGEIFS(Table1[RSP],Table1[Customer],$M$3,Table1[Date],$A115,Table1[Bill No.],$B115),IF($J115="PETROL",AVERAGEIFS(Table14[RSP],Table14[Customer],$M$3,Table14[Date],$A115,Table14[Bill No.],$B115),IF($J115="XtraGreen",AVERAGEIFS(Table146[RSP],Table146[Company],$M$3,Table146[Date],$A115,Table146[Bill No.],$B115),IFERROR($E115/$C115,"")))))</f>
        <v>99.5</v>
      </c>
      <c r="E115" s="347">
        <f>IF($A115="","",IF($J115="DIESEL",SUMIFS(Table1[Amount],Table1[Customer],$M$3,Table1[Date],$A115,Table1[Bill No.],$B115),IF($J115="PETROL",SUMIFS(Table14[Amount],Table14[Customer],$M$3,Table14[Date],$A115,Table14[Bill No.],$B115),IF($J115="XtraGreen",SUMIFS(Table146[Amount],Table146[Company],$M$3,Table146[Date],$A115,Table146[Bill No.],$B115),SUMIFS('Other Sale'!$D:$D,'Other Sale'!$E:$E,$M$3,'Other Sale'!$C:$C,$J115,'Other Sale'!$A:$A,$A115)))))</f>
        <v>1194000</v>
      </c>
      <c r="F115" s="347" cm="1">
        <f t="array" ref="F115">IF($A115="","",IF($J115="Payment",IFERROR(INDEX(_xlfn._xlws.FILTER(MasterPaid[Amount Paid],(MasterPaid[Customer]=$M$3)*(MasterPaid[Date]=$A115)),COUNTIFS($A$6:$A115,$A115,$J$6:$J115,"Payment")),0),0))</f>
        <v>0</v>
      </c>
      <c r="G115" s="331"/>
      <c r="H115" s="427"/>
      <c r="I115" s="330">
        <f t="shared" si="11"/>
        <v>2431604</v>
      </c>
      <c r="J115" s="344" t="str" cm="1">
        <f t="array" ref="J115">IFERROR(INDEX(_xlfn.ANCHORARRAY($P$6),ROW()-5,3),"")</f>
        <v>DIESEL</v>
      </c>
      <c r="K115" s="432" t="str" cm="1">
        <f t="array" ref="K115">IF(OR($A115="",$J115&lt;&gt;"DIESEL"),"",_xlfn.LET(_xlpm.qty,N($C115),_xlpm.pos,$T$5:$T$54,_xlpm.alo,IF($U$5:$U$54="",0,$U$5:$U$54),_xlpm.usd,SUMIFS($C$6:$C114,$K$6:$K114,_xlpm.pos&amp;""),_xlpm.bal,_xlpm.alo-_xlpm.usd,IFERROR(INDEX(_xlfn._xlws.FILTER(_xlpm.pos,(_xlpm.pos&lt;&gt;"")*(_xlpm.qty&gt;0)*(_xlpm.bal&gt;=_xlpm.qty)),1),"")))</f>
        <v>O326259893</v>
      </c>
      <c r="L115" s="348"/>
      <c r="P115">
        <v>46246</v>
      </c>
      <c r="Q115" t="str">
        <v>2139</v>
      </c>
      <c r="R115" t="str">
        <v>DIESEL</v>
      </c>
    </row>
    <row r="116" spans="1:18" ht="21.75" x14ac:dyDescent="0.25">
      <c r="A116" s="217" cm="1">
        <f t="array" ref="A116">IFERROR(INDEX(_xlfn.ANCHORARRAY($P$6),ROW()-5,1),"")</f>
        <v>46247</v>
      </c>
      <c r="B116" s="344" t="str" cm="1">
        <f t="array" ref="B116">IFERROR(INDEX(_xlfn.ANCHORARRAY($P$6),ROW()-5,2),"")</f>
        <v/>
      </c>
      <c r="C116" s="345" t="str">
        <f>IF($A116="","",IF($J116="DIESEL",SUMIFS(Table1[Quantity],Table1[Customer],$M$3,Table1[Date],$A116,Table1[Bill No.],$B116),IF($J116="PETROL",SUMIFS(Table14[Quantity],Table14[Customer],$M$3,Table14[Date],$A116,Table14[Bill No.],$B116),IF($J116="XtraGreen",SUMIFS(Table146[Quantity],Table146[Company],$M$3,Table146[Date],$A116,Table146[Bill No.],$B116),""))))</f>
        <v/>
      </c>
      <c r="D116" s="346" t="str">
        <f>IF($A116="","",IF($J116="DIESEL",AVERAGEIFS(Table1[RSP],Table1[Customer],$M$3,Table1[Date],$A116,Table1[Bill No.],$B116),IF($J116="PETROL",AVERAGEIFS(Table14[RSP],Table14[Customer],$M$3,Table14[Date],$A116,Table14[Bill No.],$B116),IF($J116="XtraGreen",AVERAGEIFS(Table146[RSP],Table146[Company],$M$3,Table146[Date],$A116,Table146[Bill No.],$B116),IFERROR($E116/$C116,"")))))</f>
        <v/>
      </c>
      <c r="E116" s="347">
        <f>IF($A116="","",IF($J116="DIESEL",SUMIFS(Table1[Amount],Table1[Customer],$M$3,Table1[Date],$A116,Table1[Bill No.],$B116),IF($J116="PETROL",SUMIFS(Table14[Amount],Table14[Customer],$M$3,Table14[Date],$A116,Table14[Bill No.],$B116),IF($J116="XtraGreen",SUMIFS(Table146[Amount],Table146[Company],$M$3,Table146[Date],$A116,Table146[Bill No.],$B116),SUMIFS('Other Sale'!$D:$D,'Other Sale'!$E:$E,$M$3,'Other Sale'!$C:$C,$J116,'Other Sale'!$A:$A,$A116)))))</f>
        <v>0</v>
      </c>
      <c r="F116" s="347" cm="1">
        <f t="array" ref="F116">IF($A116="","",IF($J116="Payment",IFERROR(INDEX(_xlfn._xlws.FILTER(MasterPaid[Amount Paid],(MasterPaid[Customer]=$M$3)*(MasterPaid[Date]=$A116)),COUNTIFS($A$6:$A116,$A116,$J$6:$J116,"Payment")),0),0))</f>
        <v>1192806</v>
      </c>
      <c r="G116" s="331">
        <v>1194</v>
      </c>
      <c r="H116" s="427"/>
      <c r="I116" s="330">
        <f t="shared" si="11"/>
        <v>1237604</v>
      </c>
      <c r="J116" s="344" t="str" cm="1">
        <f t="array" ref="J116">IFERROR(INDEX(_xlfn.ANCHORARRAY($P$6),ROW()-5,3),"")</f>
        <v>Payment</v>
      </c>
      <c r="K116" s="432" t="str" cm="1">
        <f t="array" ref="K116">IF(OR($A116="",$J116&lt;&gt;"DIESEL"),"",_xlfn.LET(_xlpm.qty,N($C116),_xlpm.pos,$T$5:$T$54,_xlpm.alo,IF($U$5:$U$54="",0,$U$5:$U$54),_xlpm.usd,SUMIFS($C$6:$C115,$K$6:$K115,_xlpm.pos&amp;""),_xlpm.bal,_xlpm.alo-_xlpm.usd,IFERROR(INDEX(_xlfn._xlws.FILTER(_xlpm.pos,(_xlpm.pos&lt;&gt;"")*(_xlpm.qty&gt;0)*(_xlpm.bal&gt;=_xlpm.qty)),1),"")))</f>
        <v/>
      </c>
      <c r="L116" s="348"/>
      <c r="P116">
        <v>46247</v>
      </c>
      <c r="Q116" t="str">
        <v/>
      </c>
      <c r="R116" t="str">
        <v>Payment</v>
      </c>
    </row>
    <row r="117" spans="1:18" ht="21.75" x14ac:dyDescent="0.25">
      <c r="A117" s="217" cm="1">
        <f t="array" ref="A117">IFERROR(INDEX(_xlfn.ANCHORARRAY($P$6),ROW()-5,1),"")</f>
        <v>46250</v>
      </c>
      <c r="B117" s="344" t="str" cm="1">
        <f t="array" ref="B117">IFERROR(INDEX(_xlfn.ANCHORARRAY($P$6),ROW()-5,2),"")</f>
        <v>2211</v>
      </c>
      <c r="C117" s="345">
        <f>IF($A117="","",IF($J117="DIESEL",SUMIFS(Table1[Quantity],Table1[Customer],$M$3,Table1[Date],$A117,Table1[Bill No.],$B117),IF($J117="PETROL",SUMIFS(Table14[Quantity],Table14[Customer],$M$3,Table14[Date],$A117,Table14[Bill No.],$B117),IF($J117="XtraGreen",SUMIFS(Table146[Quantity],Table146[Company],$M$3,Table146[Date],$A117,Table146[Bill No.],$B117),""))))</f>
        <v>12000</v>
      </c>
      <c r="D117" s="346">
        <f>IF($A117="","",IF($J117="DIESEL",AVERAGEIFS(Table1[RSP],Table1[Customer],$M$3,Table1[Date],$A117,Table1[Bill No.],$B117),IF($J117="PETROL",AVERAGEIFS(Table14[RSP],Table14[Customer],$M$3,Table14[Date],$A117,Table14[Bill No.],$B117),IF($J117="XtraGreen",AVERAGEIFS(Table146[RSP],Table146[Company],$M$3,Table146[Date],$A117,Table146[Bill No.],$B117),IFERROR($E117/$C117,"")))))</f>
        <v>99.5</v>
      </c>
      <c r="E117" s="347">
        <f>IF($A117="","",IF($J117="DIESEL",SUMIFS(Table1[Amount],Table1[Customer],$M$3,Table1[Date],$A117,Table1[Bill No.],$B117),IF($J117="PETROL",SUMIFS(Table14[Amount],Table14[Customer],$M$3,Table14[Date],$A117,Table14[Bill No.],$B117),IF($J117="XtraGreen",SUMIFS(Table146[Amount],Table146[Company],$M$3,Table146[Date],$A117,Table146[Bill No.],$B117),SUMIFS('Other Sale'!$D:$D,'Other Sale'!$E:$E,$M$3,'Other Sale'!$C:$C,$J117,'Other Sale'!$A:$A,$A117)))))</f>
        <v>1194000</v>
      </c>
      <c r="F117" s="347" cm="1">
        <f t="array" ref="F117">IF($A117="","",IF($J117="Payment",IFERROR(INDEX(_xlfn._xlws.FILTER(MasterPaid[Amount Paid],(MasterPaid[Customer]=$M$3)*(MasterPaid[Date]=$A117)),COUNTIFS($A$6:$A117,$A117,$J$6:$J117,"Payment")),0),0))</f>
        <v>0</v>
      </c>
      <c r="G117" s="331"/>
      <c r="H117" s="427"/>
      <c r="I117" s="330">
        <f t="shared" si="11"/>
        <v>2431604</v>
      </c>
      <c r="J117" s="344" t="str" cm="1">
        <f t="array" ref="J117">IFERROR(INDEX(_xlfn.ANCHORARRAY($P$6),ROW()-5,3),"")</f>
        <v>DIESEL</v>
      </c>
      <c r="K117" s="432" t="str" cm="1">
        <f t="array" ref="K117">IF(OR($A117="",$J117&lt;&gt;"DIESEL"),"",_xlfn.LET(_xlpm.qty,N($C117),_xlpm.pos,$T$5:$T$54,_xlpm.alo,IF($U$5:$U$54="",0,$U$5:$U$54),_xlpm.usd,SUMIFS($C$6:$C116,$K$6:$K116,_xlpm.pos&amp;""),_xlpm.bal,_xlpm.alo-_xlpm.usd,IFERROR(INDEX(_xlfn._xlws.FILTER(_xlpm.pos,(_xlpm.pos&lt;&gt;"")*(_xlpm.qty&gt;0)*(_xlpm.bal&gt;=_xlpm.qty)),1),"")))</f>
        <v>O326259893</v>
      </c>
      <c r="L117" s="348"/>
      <c r="P117">
        <v>46250</v>
      </c>
      <c r="Q117" t="str">
        <v>2211</v>
      </c>
      <c r="R117" t="str">
        <v>DIESEL</v>
      </c>
    </row>
    <row r="118" spans="1:18" ht="21.75" x14ac:dyDescent="0.25">
      <c r="A118" s="217" cm="1">
        <f t="array" ref="A118">IFERROR(INDEX(_xlfn.ANCHORARRAY($P$6),ROW()-5,1),"")</f>
        <v>46251</v>
      </c>
      <c r="B118" s="344" t="str" cm="1">
        <f t="array" ref="B118">IFERROR(INDEX(_xlfn.ANCHORARRAY($P$6),ROW()-5,2),"")</f>
        <v/>
      </c>
      <c r="C118" s="345" t="str">
        <f>IF($A118="","",IF($J118="DIESEL",SUMIFS(Table1[Quantity],Table1[Customer],$M$3,Table1[Date],$A118,Table1[Bill No.],$B118),IF($J118="PETROL",SUMIFS(Table14[Quantity],Table14[Customer],$M$3,Table14[Date],$A118,Table14[Bill No.],$B118),IF($J118="XtraGreen",SUMIFS(Table146[Quantity],Table146[Company],$M$3,Table146[Date],$A118,Table146[Bill No.],$B118),""))))</f>
        <v/>
      </c>
      <c r="D118" s="346" t="str">
        <f>IF($A118="","",IF($J118="DIESEL",AVERAGEIFS(Table1[RSP],Table1[Customer],$M$3,Table1[Date],$A118,Table1[Bill No.],$B118),IF($J118="PETROL",AVERAGEIFS(Table14[RSP],Table14[Customer],$M$3,Table14[Date],$A118,Table14[Bill No.],$B118),IF($J118="XtraGreen",AVERAGEIFS(Table146[RSP],Table146[Company],$M$3,Table146[Date],$A118,Table146[Bill No.],$B118),IFERROR($E118/$C118,"")))))</f>
        <v/>
      </c>
      <c r="E118" s="347">
        <f>IF($A118="","",IF($J118="DIESEL",SUMIFS(Table1[Amount],Table1[Customer],$M$3,Table1[Date],$A118,Table1[Bill No.],$B118),IF($J118="PETROL",SUMIFS(Table14[Amount],Table14[Customer],$M$3,Table14[Date],$A118,Table14[Bill No.],$B118),IF($J118="XtraGreen",SUMIFS(Table146[Amount],Table146[Company],$M$3,Table146[Date],$A118,Table146[Bill No.],$B118),SUMIFS('Other Sale'!$D:$D,'Other Sale'!$E:$E,$M$3,'Other Sale'!$C:$C,$J118,'Other Sale'!$A:$A,$A118)))))</f>
        <v>0</v>
      </c>
      <c r="F118" s="347" cm="1">
        <f t="array" ref="F118">IF($A118="","",IF($J118="Payment",IFERROR(INDEX(_xlfn._xlws.FILTER(MasterPaid[Amount Paid],(MasterPaid[Customer]=$M$3)*(MasterPaid[Date]=$A118)),COUNTIFS($A$6:$A118,$A118,$J$6:$J118,"Payment")),0),0))</f>
        <v>1192806</v>
      </c>
      <c r="G118" s="331">
        <v>1194</v>
      </c>
      <c r="H118" s="427"/>
      <c r="I118" s="330">
        <f t="shared" si="11"/>
        <v>1237604</v>
      </c>
      <c r="J118" s="344" t="str" cm="1">
        <f t="array" ref="J118">IFERROR(INDEX(_xlfn.ANCHORARRAY($P$6),ROW()-5,3),"")</f>
        <v>Payment</v>
      </c>
      <c r="K118" s="432" t="str" cm="1">
        <f t="array" ref="K118">IF(OR($A118="",$J118&lt;&gt;"DIESEL"),"",_xlfn.LET(_xlpm.qty,N($C118),_xlpm.pos,$T$5:$T$54,_xlpm.alo,IF($U$5:$U$54="",0,$U$5:$U$54),_xlpm.usd,SUMIFS($C$6:$C117,$K$6:$K117,_xlpm.pos&amp;""),_xlpm.bal,_xlpm.alo-_xlpm.usd,IFERROR(INDEX(_xlfn._xlws.FILTER(_xlpm.pos,(_xlpm.pos&lt;&gt;"")*(_xlpm.qty&gt;0)*(_xlpm.bal&gt;=_xlpm.qty)),1),"")))</f>
        <v/>
      </c>
      <c r="L118" s="348"/>
      <c r="P118">
        <v>46251</v>
      </c>
      <c r="Q118" t="str">
        <v/>
      </c>
      <c r="R118" t="str">
        <v>Payment</v>
      </c>
    </row>
    <row r="119" spans="1:18" ht="21.75" x14ac:dyDescent="0.25">
      <c r="A119" s="217" cm="1">
        <f t="array" ref="A119">IFERROR(INDEX(_xlfn.ANCHORARRAY($P$6),ROW()-5,1),"")</f>
        <v>46252</v>
      </c>
      <c r="B119" s="344" t="str" cm="1">
        <f t="array" ref="B119">IFERROR(INDEX(_xlfn.ANCHORARRAY($P$6),ROW()-5,2),"")</f>
        <v>2237</v>
      </c>
      <c r="C119" s="345">
        <f>IF($A119="","",IF($J119="DIESEL",SUMIFS(Table1[Quantity],Table1[Customer],$M$3,Table1[Date],$A119,Table1[Bill No.],$B119),IF($J119="PETROL",SUMIFS(Table14[Quantity],Table14[Customer],$M$3,Table14[Date],$A119,Table14[Bill No.],$B119),IF($J119="XtraGreen",SUMIFS(Table146[Quantity],Table146[Company],$M$3,Table146[Date],$A119,Table146[Bill No.],$B119),""))))</f>
        <v>12000</v>
      </c>
      <c r="D119" s="346">
        <f>IF($A119="","",IF($J119="DIESEL",AVERAGEIFS(Table1[RSP],Table1[Customer],$M$3,Table1[Date],$A119,Table1[Bill No.],$B119),IF($J119="PETROL",AVERAGEIFS(Table14[RSP],Table14[Customer],$M$3,Table14[Date],$A119,Table14[Bill No.],$B119),IF($J119="XtraGreen",AVERAGEIFS(Table146[RSP],Table146[Company],$M$3,Table146[Date],$A119,Table146[Bill No.],$B119),IFERROR($E119/$C119,"")))))</f>
        <v>99.5</v>
      </c>
      <c r="E119" s="347">
        <f>IF($A119="","",IF($J119="DIESEL",SUMIFS(Table1[Amount],Table1[Customer],$M$3,Table1[Date],$A119,Table1[Bill No.],$B119),IF($J119="PETROL",SUMIFS(Table14[Amount],Table14[Customer],$M$3,Table14[Date],$A119,Table14[Bill No.],$B119),IF($J119="XtraGreen",SUMIFS(Table146[Amount],Table146[Company],$M$3,Table146[Date],$A119,Table146[Bill No.],$B119),SUMIFS('Other Sale'!$D:$D,'Other Sale'!$E:$E,$M$3,'Other Sale'!$C:$C,$J119,'Other Sale'!$A:$A,$A119)))))</f>
        <v>1194000</v>
      </c>
      <c r="F119" s="347" cm="1">
        <f t="array" ref="F119">IF($A119="","",IF($J119="Payment",IFERROR(INDEX(_xlfn._xlws.FILTER(MasterPaid[Amount Paid],(MasterPaid[Customer]=$M$3)*(MasterPaid[Date]=$A119)),COUNTIFS($A$6:$A119,$A119,$J$6:$J119,"Payment")),0),0))</f>
        <v>0</v>
      </c>
      <c r="G119" s="331"/>
      <c r="H119" s="427"/>
      <c r="I119" s="330">
        <f t="shared" si="11"/>
        <v>2431604</v>
      </c>
      <c r="J119" s="344" t="str" cm="1">
        <f t="array" ref="J119">IFERROR(INDEX(_xlfn.ANCHORARRAY($P$6),ROW()-5,3),"")</f>
        <v>DIESEL</v>
      </c>
      <c r="K119" s="432" t="str" cm="1">
        <f t="array" ref="K119">IF(OR($A119="",$J119&lt;&gt;"DIESEL"),"",_xlfn.LET(_xlpm.qty,N($C119),_xlpm.pos,$T$5:$T$54,_xlpm.alo,IF($U$5:$U$54="",0,$U$5:$U$54),_xlpm.usd,SUMIFS($C$6:$C118,$K$6:$K118,_xlpm.pos&amp;""),_xlpm.bal,_xlpm.alo-_xlpm.usd,IFERROR(INDEX(_xlfn._xlws.FILTER(_xlpm.pos,(_xlpm.pos&lt;&gt;"")*(_xlpm.qty&gt;0)*(_xlpm.bal&gt;=_xlpm.qty)),1),"")))</f>
        <v>O326259893</v>
      </c>
      <c r="L119" s="348"/>
      <c r="P119">
        <v>46252</v>
      </c>
      <c r="Q119" t="str">
        <v>2237</v>
      </c>
      <c r="R119" t="str">
        <v>DIESEL</v>
      </c>
    </row>
    <row r="120" spans="1:18" ht="21.75" x14ac:dyDescent="0.25">
      <c r="A120" s="217" cm="1">
        <f t="array" ref="A120">IFERROR(INDEX(_xlfn.ANCHORARRAY($P$6),ROW()-5,1),"")</f>
        <v>46252</v>
      </c>
      <c r="B120" s="344" t="str" cm="1">
        <f t="array" ref="B120">IFERROR(INDEX(_xlfn.ANCHORARRAY($P$6),ROW()-5,2),"")</f>
        <v/>
      </c>
      <c r="C120" s="345" t="str">
        <f>IF($A120="","",IF($J120="DIESEL",SUMIFS(Table1[Quantity],Table1[Customer],$M$3,Table1[Date],$A120,Table1[Bill No.],$B120),IF($J120="PETROL",SUMIFS(Table14[Quantity],Table14[Customer],$M$3,Table14[Date],$A120,Table14[Bill No.],$B120),IF($J120="XtraGreen",SUMIFS(Table146[Quantity],Table146[Company],$M$3,Table146[Date],$A120,Table146[Bill No.],$B120),""))))</f>
        <v/>
      </c>
      <c r="D120" s="346" t="str">
        <f>IF($A120="","",IF($J120="DIESEL",AVERAGEIFS(Table1[RSP],Table1[Customer],$M$3,Table1[Date],$A120,Table1[Bill No.],$B120),IF($J120="PETROL",AVERAGEIFS(Table14[RSP],Table14[Customer],$M$3,Table14[Date],$A120,Table14[Bill No.],$B120),IF($J120="XtraGreen",AVERAGEIFS(Table146[RSP],Table146[Company],$M$3,Table146[Date],$A120,Table146[Bill No.],$B120),IFERROR($E120/$C120,"")))))</f>
        <v/>
      </c>
      <c r="E120" s="347">
        <f>IF($A120="","",IF($J120="DIESEL",SUMIFS(Table1[Amount],Table1[Customer],$M$3,Table1[Date],$A120,Table1[Bill No.],$B120),IF($J120="PETROL",SUMIFS(Table14[Amount],Table14[Customer],$M$3,Table14[Date],$A120,Table14[Bill No.],$B120),IF($J120="XtraGreen",SUMIFS(Table146[Amount],Table146[Company],$M$3,Table146[Date],$A120,Table146[Bill No.],$B120),SUMIFS('Other Sale'!$D:$D,'Other Sale'!$E:$E,$M$3,'Other Sale'!$C:$C,$J120,'Other Sale'!$A:$A,$A120)))))</f>
        <v>0</v>
      </c>
      <c r="F120" s="347" cm="1">
        <f t="array" ref="F120">IF($A120="","",IF($J120="Payment",IFERROR(INDEX(_xlfn._xlws.FILTER(MasterPaid[Amount Paid],(MasterPaid[Customer]=$M$3)*(MasterPaid[Date]=$A120)),COUNTIFS($A$6:$A120,$A120,$J$6:$J120,"Payment")),0),0))</f>
        <v>1192806</v>
      </c>
      <c r="G120" s="331">
        <v>1194</v>
      </c>
      <c r="H120" s="427"/>
      <c r="I120" s="330">
        <f t="shared" si="11"/>
        <v>1237604</v>
      </c>
      <c r="J120" s="344" t="str" cm="1">
        <f t="array" ref="J120">IFERROR(INDEX(_xlfn.ANCHORARRAY($P$6),ROW()-5,3),"")</f>
        <v>Payment</v>
      </c>
      <c r="K120" s="432" t="str" cm="1">
        <f t="array" ref="K120">IF(OR($A120="",$J120&lt;&gt;"DIESEL"),"",_xlfn.LET(_xlpm.qty,N($C120),_xlpm.pos,$T$5:$T$54,_xlpm.alo,IF($U$5:$U$54="",0,$U$5:$U$54),_xlpm.usd,SUMIFS($C$6:$C119,$K$6:$K119,_xlpm.pos&amp;""),_xlpm.bal,_xlpm.alo-_xlpm.usd,IFERROR(INDEX(_xlfn._xlws.FILTER(_xlpm.pos,(_xlpm.pos&lt;&gt;"")*(_xlpm.qty&gt;0)*(_xlpm.bal&gt;=_xlpm.qty)),1),"")))</f>
        <v/>
      </c>
      <c r="L120" s="348"/>
      <c r="P120">
        <v>46252</v>
      </c>
      <c r="Q120" t="str">
        <v/>
      </c>
      <c r="R120" t="str">
        <v>Payment</v>
      </c>
    </row>
    <row r="121" spans="1:18" ht="21.75" x14ac:dyDescent="0.25">
      <c r="A121" s="217" cm="1">
        <f t="array" ref="A121">IFERROR(INDEX(_xlfn.ANCHORARRAY($P$6),ROW()-5,1),"")</f>
        <v>46253</v>
      </c>
      <c r="B121" s="344" t="str" cm="1">
        <f t="array" ref="B121">IFERROR(INDEX(_xlfn.ANCHORARRAY($P$6),ROW()-5,2),"")</f>
        <v/>
      </c>
      <c r="C121" s="345" t="str">
        <f>IF($A121="","",IF($J121="DIESEL",SUMIFS(Table1[Quantity],Table1[Customer],$M$3,Table1[Date],$A121,Table1[Bill No.],$B121),IF($J121="PETROL",SUMIFS(Table14[Quantity],Table14[Customer],$M$3,Table14[Date],$A121,Table14[Bill No.],$B121),IF($J121="XtraGreen",SUMIFS(Table146[Quantity],Table146[Company],$M$3,Table146[Date],$A121,Table146[Bill No.],$B121),""))))</f>
        <v/>
      </c>
      <c r="D121" s="346" t="str">
        <f>IF($A121="","",IF($J121="DIESEL",AVERAGEIFS(Table1[RSP],Table1[Customer],$M$3,Table1[Date],$A121,Table1[Bill No.],$B121),IF($J121="PETROL",AVERAGEIFS(Table14[RSP],Table14[Customer],$M$3,Table14[Date],$A121,Table14[Bill No.],$B121),IF($J121="XtraGreen",AVERAGEIFS(Table146[RSP],Table146[Company],$M$3,Table146[Date],$A121,Table146[Bill No.],$B121),IFERROR($E121/$C121,"")))))</f>
        <v/>
      </c>
      <c r="E121" s="347">
        <f>IF($A121="","",IF($J121="DIESEL",SUMIFS(Table1[Amount],Table1[Customer],$M$3,Table1[Date],$A121,Table1[Bill No.],$B121),IF($J121="PETROL",SUMIFS(Table14[Amount],Table14[Customer],$M$3,Table14[Date],$A121,Table14[Bill No.],$B121),IF($J121="XtraGreen",SUMIFS(Table146[Amount],Table146[Company],$M$3,Table146[Date],$A121,Table146[Bill No.],$B121),SUMIFS('Other Sale'!$D:$D,'Other Sale'!$E:$E,$M$3,'Other Sale'!$C:$C,$J121,'Other Sale'!$A:$A,$A121)))))</f>
        <v>0</v>
      </c>
      <c r="F121" s="347" cm="1">
        <f t="array" ref="F121">IF($A121="","",IF($J121="Payment",IFERROR(INDEX(_xlfn._xlws.FILTER(MasterPaid[Amount Paid],(MasterPaid[Customer]=$M$3)*(MasterPaid[Date]=$A121)),COUNTIFS($A$6:$A121,$A121,$J$6:$J121,"Payment")),0),0))</f>
        <v>21780</v>
      </c>
      <c r="G121" s="331">
        <v>22</v>
      </c>
      <c r="H121" s="427"/>
      <c r="I121" s="330">
        <f t="shared" si="11"/>
        <v>1215802</v>
      </c>
      <c r="J121" s="344" t="str" cm="1">
        <f t="array" ref="J121">IFERROR(INDEX(_xlfn.ANCHORARRAY($P$6),ROW()-5,3),"")</f>
        <v>Payment</v>
      </c>
      <c r="K121" s="432" t="str" cm="1">
        <f t="array" ref="K121">IF(OR($A121="",$J121&lt;&gt;"DIESEL"),"",_xlfn.LET(_xlpm.qty,N($C121),_xlpm.pos,$T$5:$T$54,_xlpm.alo,IF($U$5:$U$54="",0,$U$5:$U$54),_xlpm.usd,SUMIFS($C$6:$C120,$K$6:$K120,_xlpm.pos&amp;""),_xlpm.bal,_xlpm.alo-_xlpm.usd,IFERROR(INDEX(_xlfn._xlws.FILTER(_xlpm.pos,(_xlpm.pos&lt;&gt;"")*(_xlpm.qty&gt;0)*(_xlpm.bal&gt;=_xlpm.qty)),1),"")))</f>
        <v/>
      </c>
      <c r="L121" s="348"/>
      <c r="P121">
        <v>46253</v>
      </c>
      <c r="Q121" t="str">
        <v/>
      </c>
      <c r="R121" t="str">
        <v>Payment</v>
      </c>
    </row>
    <row r="122" spans="1:18" ht="21.75" x14ac:dyDescent="0.25">
      <c r="A122" s="217" cm="1">
        <f t="array" ref="A122">IFERROR(INDEX(_xlfn.ANCHORARRAY($P$6),ROW()-5,1),"")</f>
        <v>46254</v>
      </c>
      <c r="B122" s="344" t="str" cm="1">
        <f t="array" ref="B122">IFERROR(INDEX(_xlfn.ANCHORARRAY($P$6),ROW()-5,2),"")</f>
        <v/>
      </c>
      <c r="C122" s="345" t="str">
        <f>IF($A122="","",IF($J122="DIESEL",SUMIFS(Table1[Quantity],Table1[Customer],$M$3,Table1[Date],$A122,Table1[Bill No.],$B122),IF($J122="PETROL",SUMIFS(Table14[Quantity],Table14[Customer],$M$3,Table14[Date],$A122,Table14[Bill No.],$B122),IF($J122="XtraGreen",SUMIFS(Table146[Quantity],Table146[Company],$M$3,Table146[Date],$A122,Table146[Bill No.],$B122),""))))</f>
        <v/>
      </c>
      <c r="D122" s="346" t="str">
        <f>IF($A122="","",IF($J122="DIESEL",AVERAGEIFS(Table1[RSP],Table1[Customer],$M$3,Table1[Date],$A122,Table1[Bill No.],$B122),IF($J122="PETROL",AVERAGEIFS(Table14[RSP],Table14[Customer],$M$3,Table14[Date],$A122,Table14[Bill No.],$B122),IF($J122="XtraGreen",AVERAGEIFS(Table146[RSP],Table146[Company],$M$3,Table146[Date],$A122,Table146[Bill No.],$B122),IFERROR($E122/$C122,"")))))</f>
        <v/>
      </c>
      <c r="E122" s="347">
        <f>IF($A122="","",IF($J122="DIESEL",SUMIFS(Table1[Amount],Table1[Customer],$M$3,Table1[Date],$A122,Table1[Bill No.],$B122),IF($J122="PETROL",SUMIFS(Table14[Amount],Table14[Customer],$M$3,Table14[Date],$A122,Table14[Bill No.],$B122),IF($J122="XtraGreen",SUMIFS(Table146[Amount],Table146[Company],$M$3,Table146[Date],$A122,Table146[Bill No.],$B122),SUMIFS('Other Sale'!$D:$D,'Other Sale'!$E:$E,$M$3,'Other Sale'!$C:$C,$J122,'Other Sale'!$A:$A,$A122)))))</f>
        <v>0</v>
      </c>
      <c r="F122" s="347" cm="1">
        <f t="array" ref="F122">IF($A122="","",IF($J122="Payment",IFERROR(INDEX(_xlfn._xlws.FILTER(MasterPaid[Amount Paid],(MasterPaid[Customer]=$M$3)*(MasterPaid[Date]=$A122)),COUNTIFS($A$6:$A122,$A122,$J$6:$J122,"Payment")),0),0))</f>
        <v>1192806</v>
      </c>
      <c r="G122" s="331">
        <v>1194</v>
      </c>
      <c r="H122" s="427"/>
      <c r="I122" s="330">
        <f t="shared" si="11"/>
        <v>21802</v>
      </c>
      <c r="J122" s="344" t="str" cm="1">
        <f t="array" ref="J122">IFERROR(INDEX(_xlfn.ANCHORARRAY($P$6),ROW()-5,3),"")</f>
        <v>Payment</v>
      </c>
      <c r="K122" s="432" t="str" cm="1">
        <f t="array" ref="K122">IF(OR($A122="",$J122&lt;&gt;"DIESEL"),"",_xlfn.LET(_xlpm.qty,N($C122),_xlpm.pos,$T$5:$T$54,_xlpm.alo,IF($U$5:$U$54="",0,$U$5:$U$54),_xlpm.usd,SUMIFS($C$6:$C121,$K$6:$K121,_xlpm.pos&amp;""),_xlpm.bal,_xlpm.alo-_xlpm.usd,IFERROR(INDEX(_xlfn._xlws.FILTER(_xlpm.pos,(_xlpm.pos&lt;&gt;"")*(_xlpm.qty&gt;0)*(_xlpm.bal&gt;=_xlpm.qty)),1),"")))</f>
        <v/>
      </c>
      <c r="L122" s="348"/>
      <c r="P122">
        <v>46254</v>
      </c>
      <c r="Q122" t="str">
        <v/>
      </c>
      <c r="R122" t="str">
        <v>Payment</v>
      </c>
    </row>
    <row r="123" spans="1:18" ht="21.75" x14ac:dyDescent="0.25">
      <c r="A123" s="217" cm="1">
        <f t="array" ref="A123">IFERROR(INDEX(_xlfn.ANCHORARRAY($P$6),ROW()-5,1),"")</f>
        <v>46255</v>
      </c>
      <c r="B123" s="344" t="str" cm="1">
        <f t="array" ref="B123">IFERROR(INDEX(_xlfn.ANCHORARRAY($P$6),ROW()-5,2),"")</f>
        <v>2277</v>
      </c>
      <c r="C123" s="345">
        <f>IF($A123="","",IF($J123="DIESEL",SUMIFS(Table1[Quantity],Table1[Customer],$M$3,Table1[Date],$A123,Table1[Bill No.],$B123),IF($J123="PETROL",SUMIFS(Table14[Quantity],Table14[Customer],$M$3,Table14[Date],$A123,Table14[Bill No.],$B123),IF($J123="XtraGreen",SUMIFS(Table146[Quantity],Table146[Company],$M$3,Table146[Date],$A123,Table146[Bill No.],$B123),""))))</f>
        <v>12000</v>
      </c>
      <c r="D123" s="346">
        <f>IF($A123="","",IF($J123="DIESEL",AVERAGEIFS(Table1[RSP],Table1[Customer],$M$3,Table1[Date],$A123,Table1[Bill No.],$B123),IF($J123="PETROL",AVERAGEIFS(Table14[RSP],Table14[Customer],$M$3,Table14[Date],$A123,Table14[Bill No.],$B123),IF($J123="XtraGreen",AVERAGEIFS(Table146[RSP],Table146[Company],$M$3,Table146[Date],$A123,Table146[Bill No.],$B123),IFERROR($E123/$C123,"")))))</f>
        <v>99.5</v>
      </c>
      <c r="E123" s="347">
        <f>IF($A123="","",IF($J123="DIESEL",SUMIFS(Table1[Amount],Table1[Customer],$M$3,Table1[Date],$A123,Table1[Bill No.],$B123),IF($J123="PETROL",SUMIFS(Table14[Amount],Table14[Customer],$M$3,Table14[Date],$A123,Table14[Bill No.],$B123),IF($J123="XtraGreen",SUMIFS(Table146[Amount],Table146[Company],$M$3,Table146[Date],$A123,Table146[Bill No.],$B123),SUMIFS('Other Sale'!$D:$D,'Other Sale'!$E:$E,$M$3,'Other Sale'!$C:$C,$J123,'Other Sale'!$A:$A,$A123)))))</f>
        <v>1194000</v>
      </c>
      <c r="F123" s="347" cm="1">
        <f t="array" ref="F123">IF($A123="","",IF($J123="Payment",IFERROR(INDEX(_xlfn._xlws.FILTER(MasterPaid[Amount Paid],(MasterPaid[Customer]=$M$3)*(MasterPaid[Date]=$A123)),COUNTIFS($A$6:$A123,$A123,$J$6:$J123,"Payment")),0),0))</f>
        <v>0</v>
      </c>
      <c r="G123" s="331"/>
      <c r="H123" s="427"/>
      <c r="I123" s="330">
        <f t="shared" si="11"/>
        <v>1215802</v>
      </c>
      <c r="J123" s="344" t="str" cm="1">
        <f t="array" ref="J123">IFERROR(INDEX(_xlfn.ANCHORARRAY($P$6),ROW()-5,3),"")</f>
        <v>DIESEL</v>
      </c>
      <c r="K123" s="432" t="str" cm="1">
        <f t="array" ref="K123">IF(OR($A123="",$J123&lt;&gt;"DIESEL"),"",_xlfn.LET(_xlpm.qty,N($C123),_xlpm.pos,$T$5:$T$54,_xlpm.alo,IF($U$5:$U$54="",0,$U$5:$U$54),_xlpm.usd,SUMIFS($C$6:$C122,$K$6:$K122,_xlpm.pos&amp;""),_xlpm.bal,_xlpm.alo-_xlpm.usd,IFERROR(INDEX(_xlfn._xlws.FILTER(_xlpm.pos,(_xlpm.pos&lt;&gt;"")*(_xlpm.qty&gt;0)*(_xlpm.bal&gt;=_xlpm.qty)),1),"")))</f>
        <v>O326211096</v>
      </c>
      <c r="L123" s="348"/>
      <c r="P123">
        <v>46255</v>
      </c>
      <c r="Q123" t="str">
        <v>2277</v>
      </c>
      <c r="R123" t="str">
        <v>DIESEL</v>
      </c>
    </row>
    <row r="124" spans="1:18" ht="21.75" x14ac:dyDescent="0.25">
      <c r="A124" s="217" cm="1">
        <f t="array" ref="A124">IFERROR(INDEX(_xlfn.ANCHORARRAY($P$6),ROW()-5,1),"")</f>
        <v>46258</v>
      </c>
      <c r="B124" s="344" t="str" cm="1">
        <f t="array" ref="B124">IFERROR(INDEX(_xlfn.ANCHORARRAY($P$6),ROW()-5,2),"")</f>
        <v>2330</v>
      </c>
      <c r="C124" s="345">
        <f>IF($A124="","",IF($J124="DIESEL",SUMIFS(Table1[Quantity],Table1[Customer],$M$3,Table1[Date],$A124,Table1[Bill No.],$B124),IF($J124="PETROL",SUMIFS(Table14[Quantity],Table14[Customer],$M$3,Table14[Date],$A124,Table14[Bill No.],$B124),IF($J124="XtraGreen",SUMIFS(Table146[Quantity],Table146[Company],$M$3,Table146[Date],$A124,Table146[Bill No.],$B124),""))))</f>
        <v>12000</v>
      </c>
      <c r="D124" s="346">
        <f>IF($A124="","",IF($J124="DIESEL",AVERAGEIFS(Table1[RSP],Table1[Customer],$M$3,Table1[Date],$A124,Table1[Bill No.],$B124),IF($J124="PETROL",AVERAGEIFS(Table14[RSP],Table14[Customer],$M$3,Table14[Date],$A124,Table14[Bill No.],$B124),IF($J124="XtraGreen",AVERAGEIFS(Table146[RSP],Table146[Company],$M$3,Table146[Date],$A124,Table146[Bill No.],$B124),IFERROR($E124/$C124,"")))))</f>
        <v>99.5</v>
      </c>
      <c r="E124" s="347">
        <f>IF($A124="","",IF($J124="DIESEL",SUMIFS(Table1[Amount],Table1[Customer],$M$3,Table1[Date],$A124,Table1[Bill No.],$B124),IF($J124="PETROL",SUMIFS(Table14[Amount],Table14[Customer],$M$3,Table14[Date],$A124,Table14[Bill No.],$B124),IF($J124="XtraGreen",SUMIFS(Table146[Amount],Table146[Company],$M$3,Table146[Date],$A124,Table146[Bill No.],$B124),SUMIFS('Other Sale'!$D:$D,'Other Sale'!$E:$E,$M$3,'Other Sale'!$C:$C,$J124,'Other Sale'!$A:$A,$A124)))))</f>
        <v>1194000</v>
      </c>
      <c r="F124" s="347" cm="1">
        <f t="array" ref="F124">IF($A124="","",IF($J124="Payment",IFERROR(INDEX(_xlfn._xlws.FILTER(MasterPaid[Amount Paid],(MasterPaid[Customer]=$M$3)*(MasterPaid[Date]=$A124)),COUNTIFS($A$6:$A124,$A124,$J$6:$J124,"Payment")),0),0))</f>
        <v>0</v>
      </c>
      <c r="G124" s="331"/>
      <c r="H124" s="427"/>
      <c r="I124" s="330">
        <f t="shared" si="11"/>
        <v>2409802</v>
      </c>
      <c r="J124" s="344" t="str" cm="1">
        <f t="array" ref="J124">IFERROR(INDEX(_xlfn.ANCHORARRAY($P$6),ROW()-5,3),"")</f>
        <v>DIESEL</v>
      </c>
      <c r="K124" s="432" t="str" cm="1">
        <f t="array" ref="K124">IF(OR($A124="",$J124&lt;&gt;"DIESEL"),"",_xlfn.LET(_xlpm.qty,N($C124),_xlpm.pos,$T$5:$T$54,_xlpm.alo,IF($U$5:$U$54="",0,$U$5:$U$54),_xlpm.usd,SUMIFS($C$6:$C123,$K$6:$K123,_xlpm.pos&amp;""),_xlpm.bal,_xlpm.alo-_xlpm.usd,IFERROR(INDEX(_xlfn._xlws.FILTER(_xlpm.pos,(_xlpm.pos&lt;&gt;"")*(_xlpm.qty&gt;0)*(_xlpm.bal&gt;=_xlpm.qty)),1),"")))</f>
        <v>O326211096</v>
      </c>
      <c r="L124" s="348"/>
      <c r="P124">
        <v>46258</v>
      </c>
      <c r="Q124" t="str">
        <v>2330</v>
      </c>
      <c r="R124" t="str">
        <v>DIESEL</v>
      </c>
    </row>
    <row r="125" spans="1:18" ht="21.75" x14ac:dyDescent="0.25">
      <c r="A125" s="217" cm="1">
        <f t="array" ref="A125">IFERROR(INDEX(_xlfn.ANCHORARRAY($P$6),ROW()-5,1),"")</f>
        <v>46258</v>
      </c>
      <c r="B125" s="344" t="str" cm="1">
        <f t="array" ref="B125">IFERROR(INDEX(_xlfn.ANCHORARRAY($P$6),ROW()-5,2),"")</f>
        <v/>
      </c>
      <c r="C125" s="345" t="str">
        <f>IF($A125="","",IF($J125="DIESEL",SUMIFS(Table1[Quantity],Table1[Customer],$M$3,Table1[Date],$A125,Table1[Bill No.],$B125),IF($J125="PETROL",SUMIFS(Table14[Quantity],Table14[Customer],$M$3,Table14[Date],$A125,Table14[Bill No.],$B125),IF($J125="XtraGreen",SUMIFS(Table146[Quantity],Table146[Company],$M$3,Table146[Date],$A125,Table146[Bill No.],$B125),""))))</f>
        <v/>
      </c>
      <c r="D125" s="346" t="str">
        <f>IF($A125="","",IF($J125="DIESEL",AVERAGEIFS(Table1[RSP],Table1[Customer],$M$3,Table1[Date],$A125,Table1[Bill No.],$B125),IF($J125="PETROL",AVERAGEIFS(Table14[RSP],Table14[Customer],$M$3,Table14[Date],$A125,Table14[Bill No.],$B125),IF($J125="XtraGreen",AVERAGEIFS(Table146[RSP],Table146[Company],$M$3,Table146[Date],$A125,Table146[Bill No.],$B125),IFERROR($E125/$C125,"")))))</f>
        <v/>
      </c>
      <c r="E125" s="347">
        <f>IF($A125="","",IF($J125="DIESEL",SUMIFS(Table1[Amount],Table1[Customer],$M$3,Table1[Date],$A125,Table1[Bill No.],$B125),IF($J125="PETROL",SUMIFS(Table14[Amount],Table14[Customer],$M$3,Table14[Date],$A125,Table14[Bill No.],$B125),IF($J125="XtraGreen",SUMIFS(Table146[Amount],Table146[Company],$M$3,Table146[Date],$A125,Table146[Bill No.],$B125),SUMIFS('Other Sale'!$D:$D,'Other Sale'!$E:$E,$M$3,'Other Sale'!$C:$C,$J125,'Other Sale'!$A:$A,$A125)))))</f>
        <v>0</v>
      </c>
      <c r="F125" s="347" cm="1">
        <f t="array" ref="F125">IF($A125="","",IF($J125="Payment",IFERROR(INDEX(_xlfn._xlws.FILTER(MasterPaid[Amount Paid],(MasterPaid[Customer]=$M$3)*(MasterPaid[Date]=$A125)),COUNTIFS($A$6:$A125,$A125,$J$6:$J125,"Payment")),0),0))</f>
        <v>1192806</v>
      </c>
      <c r="G125" s="331">
        <v>1194</v>
      </c>
      <c r="H125" s="427"/>
      <c r="I125" s="330">
        <f t="shared" si="11"/>
        <v>1215802</v>
      </c>
      <c r="J125" s="344" t="str" cm="1">
        <f t="array" ref="J125">IFERROR(INDEX(_xlfn.ANCHORARRAY($P$6),ROW()-5,3),"")</f>
        <v>Payment</v>
      </c>
      <c r="K125" s="432" t="str" cm="1">
        <f t="array" ref="K125">IF(OR($A125="",$J125&lt;&gt;"DIESEL"),"",_xlfn.LET(_xlpm.qty,N($C125),_xlpm.pos,$T$5:$T$54,_xlpm.alo,IF($U$5:$U$54="",0,$U$5:$U$54),_xlpm.usd,SUMIFS($C$6:$C124,$K$6:$K124,_xlpm.pos&amp;""),_xlpm.bal,_xlpm.alo-_xlpm.usd,IFERROR(INDEX(_xlfn._xlws.FILTER(_xlpm.pos,(_xlpm.pos&lt;&gt;"")*(_xlpm.qty&gt;0)*(_xlpm.bal&gt;=_xlpm.qty)),1),"")))</f>
        <v/>
      </c>
      <c r="L125" s="348"/>
      <c r="P125">
        <v>46258</v>
      </c>
      <c r="Q125" t="str">
        <v/>
      </c>
      <c r="R125" t="str">
        <v>Payment</v>
      </c>
    </row>
    <row r="126" spans="1:18" ht="21.75" x14ac:dyDescent="0.25">
      <c r="A126" s="217" cm="1">
        <f t="array" ref="A126">IFERROR(INDEX(_xlfn.ANCHORARRAY($P$6),ROW()-5,1),"")</f>
        <v>46260</v>
      </c>
      <c r="B126" s="344" t="str" cm="1">
        <f t="array" ref="B126">IFERROR(INDEX(_xlfn.ANCHORARRAY($P$6),ROW()-5,2),"")</f>
        <v>2383</v>
      </c>
      <c r="C126" s="345">
        <f>IF($A126="","",IF($J126="DIESEL",SUMIFS(Table1[Quantity],Table1[Customer],$M$3,Table1[Date],$A126,Table1[Bill No.],$B126),IF($J126="PETROL",SUMIFS(Table14[Quantity],Table14[Customer],$M$3,Table14[Date],$A126,Table14[Bill No.],$B126),IF($J126="XtraGreen",SUMIFS(Table146[Quantity],Table146[Company],$M$3,Table146[Date],$A126,Table146[Bill No.],$B126),""))))</f>
        <v>12000</v>
      </c>
      <c r="D126" s="346">
        <f>IF($A126="","",IF($J126="DIESEL",AVERAGEIFS(Table1[RSP],Table1[Customer],$M$3,Table1[Date],$A126,Table1[Bill No.],$B126),IF($J126="PETROL",AVERAGEIFS(Table14[RSP],Table14[Customer],$M$3,Table14[Date],$A126,Table14[Bill No.],$B126),IF($J126="XtraGreen",AVERAGEIFS(Table146[RSP],Table146[Company],$M$3,Table146[Date],$A126,Table146[Bill No.],$B126),IFERROR($E126/$C126,"")))))</f>
        <v>99.5</v>
      </c>
      <c r="E126" s="347">
        <f>IF($A126="","",IF($J126="DIESEL",SUMIFS(Table1[Amount],Table1[Customer],$M$3,Table1[Date],$A126,Table1[Bill No.],$B126),IF($J126="PETROL",SUMIFS(Table14[Amount],Table14[Customer],$M$3,Table14[Date],$A126,Table14[Bill No.],$B126),IF($J126="XtraGreen",SUMIFS(Table146[Amount],Table146[Company],$M$3,Table146[Date],$A126,Table146[Bill No.],$B126),SUMIFS('Other Sale'!$D:$D,'Other Sale'!$E:$E,$M$3,'Other Sale'!$C:$C,$J126,'Other Sale'!$A:$A,$A126)))))</f>
        <v>1194000</v>
      </c>
      <c r="F126" s="347" cm="1">
        <f t="array" ref="F126">IF($A126="","",IF($J126="Payment",IFERROR(INDEX(_xlfn._xlws.FILTER(MasterPaid[Amount Paid],(MasterPaid[Customer]=$M$3)*(MasterPaid[Date]=$A126)),COUNTIFS($A$6:$A126,$A126,$J$6:$J126,"Payment")),0),0))</f>
        <v>0</v>
      </c>
      <c r="G126" s="331"/>
      <c r="H126" s="427"/>
      <c r="I126" s="330">
        <f t="shared" si="11"/>
        <v>2409802</v>
      </c>
      <c r="J126" s="344" t="str" cm="1">
        <f t="array" ref="J126">IFERROR(INDEX(_xlfn.ANCHORARRAY($P$6),ROW()-5,3),"")</f>
        <v>DIESEL</v>
      </c>
      <c r="K126" s="432" t="str" cm="1">
        <f t="array" ref="K126">IF(OR($A126="",$J126&lt;&gt;"DIESEL"),"",_xlfn.LET(_xlpm.qty,N($C126),_xlpm.pos,$T$5:$T$54,_xlpm.alo,IF($U$5:$U$54="",0,$U$5:$U$54),_xlpm.usd,SUMIFS($C$6:$C125,$K$6:$K125,_xlpm.pos&amp;""),_xlpm.bal,_xlpm.alo-_xlpm.usd,IFERROR(INDEX(_xlfn._xlws.FILTER(_xlpm.pos,(_xlpm.pos&lt;&gt;"")*(_xlpm.qty&gt;0)*(_xlpm.bal&gt;=_xlpm.qty)),1),"")))</f>
        <v>O326211096</v>
      </c>
      <c r="L126" s="348"/>
      <c r="P126">
        <v>46260</v>
      </c>
      <c r="Q126" t="str">
        <v>2383</v>
      </c>
      <c r="R126" t="str">
        <v>DIESEL</v>
      </c>
    </row>
    <row r="127" spans="1:18" ht="21.75" x14ac:dyDescent="0.25">
      <c r="A127" s="217" cm="1">
        <f t="array" ref="A127">IFERROR(INDEX(_xlfn.ANCHORARRAY($P$6),ROW()-5,1),"")</f>
        <v>46260</v>
      </c>
      <c r="B127" s="344" t="str" cm="1">
        <f t="array" ref="B127">IFERROR(INDEX(_xlfn.ANCHORARRAY($P$6),ROW()-5,2),"")</f>
        <v/>
      </c>
      <c r="C127" s="345" t="str">
        <f>IF($A127="","",IF($J127="DIESEL",SUMIFS(Table1[Quantity],Table1[Customer],$M$3,Table1[Date],$A127,Table1[Bill No.],$B127),IF($J127="PETROL",SUMIFS(Table14[Quantity],Table14[Customer],$M$3,Table14[Date],$A127,Table14[Bill No.],$B127),IF($J127="XtraGreen",SUMIFS(Table146[Quantity],Table146[Company],$M$3,Table146[Date],$A127,Table146[Bill No.],$B127),""))))</f>
        <v/>
      </c>
      <c r="D127" s="346" t="str">
        <f>IF($A127="","",IF($J127="DIESEL",AVERAGEIFS(Table1[RSP],Table1[Customer],$M$3,Table1[Date],$A127,Table1[Bill No.],$B127),IF($J127="PETROL",AVERAGEIFS(Table14[RSP],Table14[Customer],$M$3,Table14[Date],$A127,Table14[Bill No.],$B127),IF($J127="XtraGreen",AVERAGEIFS(Table146[RSP],Table146[Company],$M$3,Table146[Date],$A127,Table146[Bill No.],$B127),IFERROR($E127/$C127,"")))))</f>
        <v/>
      </c>
      <c r="E127" s="347">
        <f>IF($A127="","",IF($J127="DIESEL",SUMIFS(Table1[Amount],Table1[Customer],$M$3,Table1[Date],$A127,Table1[Bill No.],$B127),IF($J127="PETROL",SUMIFS(Table14[Amount],Table14[Customer],$M$3,Table14[Date],$A127,Table14[Bill No.],$B127),IF($J127="XtraGreen",SUMIFS(Table146[Amount],Table146[Company],$M$3,Table146[Date],$A127,Table146[Bill No.],$B127),SUMIFS('Other Sale'!$D:$D,'Other Sale'!$E:$E,$M$3,'Other Sale'!$C:$C,$J127,'Other Sale'!$A:$A,$A127)))))</f>
        <v>0</v>
      </c>
      <c r="F127" s="347" cm="1">
        <f t="array" ref="F127">IF($A127="","",IF($J127="Payment",IFERROR(INDEX(_xlfn._xlws.FILTER(MasterPaid[Amount Paid],(MasterPaid[Customer]=$M$3)*(MasterPaid[Date]=$A127)),COUNTIFS($A$6:$A127,$A127,$J$6:$J127,"Payment")),0),0))</f>
        <v>1192806</v>
      </c>
      <c r="G127" s="331">
        <v>1194</v>
      </c>
      <c r="H127" s="427"/>
      <c r="I127" s="330">
        <f t="shared" si="11"/>
        <v>1215802</v>
      </c>
      <c r="J127" s="344" t="str" cm="1">
        <f t="array" ref="J127">IFERROR(INDEX(_xlfn.ANCHORARRAY($P$6),ROW()-5,3),"")</f>
        <v>Payment</v>
      </c>
      <c r="K127" s="432" t="str" cm="1">
        <f t="array" ref="K127">IF(OR($A127="",$J127&lt;&gt;"DIESEL"),"",_xlfn.LET(_xlpm.qty,N($C127),_xlpm.pos,$T$5:$T$54,_xlpm.alo,IF($U$5:$U$54="",0,$U$5:$U$54),_xlpm.usd,SUMIFS($C$6:$C126,$K$6:$K126,_xlpm.pos&amp;""),_xlpm.bal,_xlpm.alo-_xlpm.usd,IFERROR(INDEX(_xlfn._xlws.FILTER(_xlpm.pos,(_xlpm.pos&lt;&gt;"")*(_xlpm.qty&gt;0)*(_xlpm.bal&gt;=_xlpm.qty)),1),"")))</f>
        <v/>
      </c>
      <c r="L127" s="348"/>
      <c r="P127">
        <v>46260</v>
      </c>
      <c r="Q127" t="str">
        <v/>
      </c>
      <c r="R127" t="str">
        <v>Payment</v>
      </c>
    </row>
    <row r="128" spans="1:18" ht="21.75" x14ac:dyDescent="0.25">
      <c r="A128" s="217" cm="1">
        <f t="array" ref="A128">IFERROR(INDEX(_xlfn.ANCHORARRAY($P$6),ROW()-5,1),"")</f>
        <v>46261</v>
      </c>
      <c r="B128" s="344" t="str" cm="1">
        <f t="array" ref="B128">IFERROR(INDEX(_xlfn.ANCHORARRAY($P$6),ROW()-5,2),"")</f>
        <v/>
      </c>
      <c r="C128" s="345" t="str">
        <f>IF($A128="","",IF($J128="DIESEL",SUMIFS(Table1[Quantity],Table1[Customer],$M$3,Table1[Date],$A128,Table1[Bill No.],$B128),IF($J128="PETROL",SUMIFS(Table14[Quantity],Table14[Customer],$M$3,Table14[Date],$A128,Table14[Bill No.],$B128),IF($J128="XtraGreen",SUMIFS(Table146[Quantity],Table146[Company],$M$3,Table146[Date],$A128,Table146[Bill No.],$B128),""))))</f>
        <v/>
      </c>
      <c r="D128" s="346" t="str">
        <f>IF($A128="","",IF($J128="DIESEL",AVERAGEIFS(Table1[RSP],Table1[Customer],$M$3,Table1[Date],$A128,Table1[Bill No.],$B128),IF($J128="PETROL",AVERAGEIFS(Table14[RSP],Table14[Customer],$M$3,Table14[Date],$A128,Table14[Bill No.],$B128),IF($J128="XtraGreen",AVERAGEIFS(Table146[RSP],Table146[Company],$M$3,Table146[Date],$A128,Table146[Bill No.],$B128),IFERROR($E128/$C128,"")))))</f>
        <v/>
      </c>
      <c r="E128" s="347">
        <f>IF($A128="","",IF($J128="DIESEL",SUMIFS(Table1[Amount],Table1[Customer],$M$3,Table1[Date],$A128,Table1[Bill No.],$B128),IF($J128="PETROL",SUMIFS(Table14[Amount],Table14[Customer],$M$3,Table14[Date],$A128,Table14[Bill No.],$B128),IF($J128="XtraGreen",SUMIFS(Table146[Amount],Table146[Company],$M$3,Table146[Date],$A128,Table146[Bill No.],$B128),SUMIFS('Other Sale'!$D:$D,'Other Sale'!$E:$E,$M$3,'Other Sale'!$C:$C,$J128,'Other Sale'!$A:$A,$A128)))))</f>
        <v>0</v>
      </c>
      <c r="F128" s="347" cm="1">
        <f t="array" ref="F128">IF($A128="","",IF($J128="Payment",IFERROR(INDEX(_xlfn._xlws.FILTER(MasterPaid[Amount Paid],(MasterPaid[Customer]=$M$3)*(MasterPaid[Date]=$A128)),COUNTIFS($A$6:$A128,$A128,$J$6:$J128,"Payment")),0),0))</f>
        <v>1192806</v>
      </c>
      <c r="G128" s="331">
        <v>1194</v>
      </c>
      <c r="H128" s="427"/>
      <c r="I128" s="330">
        <f t="shared" si="11"/>
        <v>21802</v>
      </c>
      <c r="J128" s="344" t="str" cm="1">
        <f t="array" ref="J128">IFERROR(INDEX(_xlfn.ANCHORARRAY($P$6),ROW()-5,3),"")</f>
        <v>Payment</v>
      </c>
      <c r="K128" s="432" t="str" cm="1">
        <f t="array" ref="K128">IF(OR($A128="",$J128&lt;&gt;"DIESEL"),"",_xlfn.LET(_xlpm.qty,N($C128),_xlpm.pos,$T$5:$T$54,_xlpm.alo,IF($U$5:$U$54="",0,$U$5:$U$54),_xlpm.usd,SUMIFS($C$6:$C127,$K$6:$K127,_xlpm.pos&amp;""),_xlpm.bal,_xlpm.alo-_xlpm.usd,IFERROR(INDEX(_xlfn._xlws.FILTER(_xlpm.pos,(_xlpm.pos&lt;&gt;"")*(_xlpm.qty&gt;0)*(_xlpm.bal&gt;=_xlpm.qty)),1),"")))</f>
        <v/>
      </c>
      <c r="L128" s="348"/>
      <c r="P128">
        <v>46261</v>
      </c>
      <c r="Q128" t="str">
        <v/>
      </c>
      <c r="R128" t="str">
        <v>Payment</v>
      </c>
    </row>
    <row r="129" spans="1:12" ht="21.75" x14ac:dyDescent="0.25">
      <c r="A129" s="217" t="str" cm="1">
        <f t="array" ref="A129">IFERROR(INDEX(_xlfn.ANCHORARRAY($P$6),ROW()-5,1),"")</f>
        <v/>
      </c>
      <c r="B129" s="344" t="str" cm="1">
        <f t="array" ref="B129">IFERROR(INDEX(_xlfn.ANCHORARRAY($P$6),ROW()-5,2),"")</f>
        <v/>
      </c>
      <c r="C129" s="345" t="str">
        <f>IF($A129="","",IF($J129="DIESEL",SUMIFS(Table1[Quantity],Table1[Customer],$M$3,Table1[Date],$A129,Table1[Bill No.],$B129),IF($J129="PETROL",SUMIFS(Table14[Quantity],Table14[Customer],$M$3,Table14[Date],$A129,Table14[Bill No.],$B129),IF($J129="XtraGreen",SUMIFS(Table146[Quantity],Table146[Company],$M$3,Table146[Date],$A129,Table146[Bill No.],$B129),""))))</f>
        <v/>
      </c>
      <c r="D129" s="346" t="str">
        <f>IF($A129="","",IF($J129="DIESEL",AVERAGEIFS(Table1[RSP],Table1[Customer],$M$3,Table1[Date],$A129,Table1[Bill No.],$B129),IF($J129="PETROL",AVERAGEIFS(Table14[RSP],Table14[Customer],$M$3,Table14[Date],$A129,Table14[Bill No.],$B129),IF($J129="XtraGreen",AVERAGEIFS(Table146[RSP],Table146[Company],$M$3,Table146[Date],$A129,Table146[Bill No.],$B129),IFERROR($E129/$C129,"")))))</f>
        <v/>
      </c>
      <c r="E129" s="347" t="str">
        <f>IF($A129="","",IF($J129="DIESEL",SUMIFS(Table1[Amount],Table1[Customer],$M$3,Table1[Date],$A129,Table1[Bill No.],$B129),IF($J129="PETROL",SUMIFS(Table14[Amount],Table14[Customer],$M$3,Table14[Date],$A129,Table14[Bill No.],$B129),IF($J129="XtraGreen",SUMIFS(Table146[Amount],Table146[Company],$M$3,Table146[Date],$A129,Table146[Bill No.],$B129),SUMIFS('Other Sale'!$D:$D,'Other Sale'!$E:$E,$M$3,'Other Sale'!$C:$C,$J129,'Other Sale'!$A:$A,$A129)))))</f>
        <v/>
      </c>
      <c r="F129" s="347" t="str" cm="1">
        <f t="array" ref="F129">IF($A129="","",IF($J129="Payment",IFERROR(INDEX(_xlfn._xlws.FILTER(MasterPaid[Amount Paid],(MasterPaid[Customer]=$M$3)*(MasterPaid[Date]=$A129)),COUNTIFS($A$6:$A129,$A129,$J$6:$J129,"Payment")),0),0))</f>
        <v/>
      </c>
      <c r="G129" s="331"/>
      <c r="H129" s="427"/>
      <c r="I129" s="330" t="str">
        <f t="shared" si="11"/>
        <v/>
      </c>
      <c r="J129" s="344" t="str" cm="1">
        <f t="array" ref="J129">IFERROR(INDEX(_xlfn.ANCHORARRAY($P$6),ROW()-5,3),"")</f>
        <v/>
      </c>
      <c r="K129" s="432" t="str" cm="1">
        <f t="array" ref="K129">IF(OR($A129="",$J129&lt;&gt;"DIESEL"),"",_xlfn.LET(_xlpm.qty,N($C129),_xlpm.pos,$T$5:$T$54,_xlpm.alo,IF($U$5:$U$54="",0,$U$5:$U$54),_xlpm.usd,SUMIFS($C$6:$C128,$K$6:$K128,_xlpm.pos&amp;""),_xlpm.bal,_xlpm.alo-_xlpm.usd,IFERROR(INDEX(_xlfn._xlws.FILTER(_xlpm.pos,(_xlpm.pos&lt;&gt;"")*(_xlpm.qty&gt;0)*(_xlpm.bal&gt;=_xlpm.qty)),1),"")))</f>
        <v/>
      </c>
      <c r="L129" s="348"/>
    </row>
    <row r="130" spans="1:12" ht="21.75" x14ac:dyDescent="0.25">
      <c r="A130" s="217" t="str" cm="1">
        <f t="array" ref="A130">IFERROR(INDEX(_xlfn.ANCHORARRAY($P$6),ROW()-5,1),"")</f>
        <v/>
      </c>
      <c r="B130" s="344" t="str" cm="1">
        <f t="array" ref="B130">IFERROR(INDEX(_xlfn.ANCHORARRAY($P$6),ROW()-5,2),"")</f>
        <v/>
      </c>
      <c r="C130" s="345" t="str">
        <f>IF($A130="","",IF($J130="DIESEL",SUMIFS(Table1[Quantity],Table1[Customer],$M$3,Table1[Date],$A130,Table1[Bill No.],$B130),IF($J130="PETROL",SUMIFS(Table14[Quantity],Table14[Customer],$M$3,Table14[Date],$A130,Table14[Bill No.],$B130),IF($J130="XtraGreen",SUMIFS(Table146[Quantity],Table146[Company],$M$3,Table146[Date],$A130,Table146[Bill No.],$B130),""))))</f>
        <v/>
      </c>
      <c r="D130" s="346" t="str">
        <f>IF($A130="","",IF($J130="DIESEL",AVERAGEIFS(Table1[RSP],Table1[Customer],$M$3,Table1[Date],$A130,Table1[Bill No.],$B130),IF($J130="PETROL",AVERAGEIFS(Table14[RSP],Table14[Customer],$M$3,Table14[Date],$A130,Table14[Bill No.],$B130),IF($J130="XtraGreen",AVERAGEIFS(Table146[RSP],Table146[Company],$M$3,Table146[Date],$A130,Table146[Bill No.],$B130),IFERROR($E130/$C130,"")))))</f>
        <v/>
      </c>
      <c r="E130" s="347" t="str">
        <f>IF($A130="","",IF($J130="DIESEL",SUMIFS(Table1[Amount],Table1[Customer],$M$3,Table1[Date],$A130,Table1[Bill No.],$B130),IF($J130="PETROL",SUMIFS(Table14[Amount],Table14[Customer],$M$3,Table14[Date],$A130,Table14[Bill No.],$B130),IF($J130="XtraGreen",SUMIFS(Table146[Amount],Table146[Company],$M$3,Table146[Date],$A130,Table146[Bill No.],$B130),SUMIFS('Other Sale'!$D:$D,'Other Sale'!$E:$E,$M$3,'Other Sale'!$C:$C,$J130,'Other Sale'!$A:$A,$A130)))))</f>
        <v/>
      </c>
      <c r="F130" s="347" t="str" cm="1">
        <f t="array" ref="F130">IF($A130="","",IF($J130="Payment",IFERROR(INDEX(_xlfn._xlws.FILTER(MasterPaid[Amount Paid],(MasterPaid[Customer]=$M$3)*(MasterPaid[Date]=$A130)),COUNTIFS($A$6:$A130,$A130,$J$6:$J130,"Payment")),0),0))</f>
        <v/>
      </c>
      <c r="G130" s="331"/>
      <c r="H130" s="427"/>
      <c r="I130" s="330" t="str">
        <f t="shared" si="11"/>
        <v/>
      </c>
      <c r="J130" s="344" t="str" cm="1">
        <f t="array" ref="J130">IFERROR(INDEX(_xlfn.ANCHORARRAY($P$6),ROW()-5,3),"")</f>
        <v/>
      </c>
      <c r="K130" s="432" t="str" cm="1">
        <f t="array" ref="K130">IF(OR($A130="",$J130&lt;&gt;"DIESEL"),"",_xlfn.LET(_xlpm.qty,N($C130),_xlpm.pos,$T$5:$T$54,_xlpm.alo,IF($U$5:$U$54="",0,$U$5:$U$54),_xlpm.usd,SUMIFS($C$6:$C129,$K$6:$K129,_xlpm.pos&amp;""),_xlpm.bal,_xlpm.alo-_xlpm.usd,IFERROR(INDEX(_xlfn._xlws.FILTER(_xlpm.pos,(_xlpm.pos&lt;&gt;"")*(_xlpm.qty&gt;0)*(_xlpm.bal&gt;=_xlpm.qty)),1),"")))</f>
        <v/>
      </c>
      <c r="L130" s="348"/>
    </row>
    <row r="131" spans="1:12" ht="21.75" x14ac:dyDescent="0.25">
      <c r="A131" s="217" t="str" cm="1">
        <f t="array" ref="A131">IFERROR(INDEX(_xlfn.ANCHORARRAY($P$6),ROW()-5,1),"")</f>
        <v/>
      </c>
      <c r="B131" s="344" t="str" cm="1">
        <f t="array" ref="B131">IFERROR(INDEX(_xlfn.ANCHORARRAY($P$6),ROW()-5,2),"")</f>
        <v/>
      </c>
      <c r="C131" s="345" t="str">
        <f>IF($A131="","",IF($J131="DIESEL",SUMIFS(Table1[Quantity],Table1[Customer],$M$3,Table1[Date],$A131,Table1[Bill No.],$B131),IF($J131="PETROL",SUMIFS(Table14[Quantity],Table14[Customer],$M$3,Table14[Date],$A131,Table14[Bill No.],$B131),IF($J131="XtraGreen",SUMIFS(Table146[Quantity],Table146[Company],$M$3,Table146[Date],$A131,Table146[Bill No.],$B131),""))))</f>
        <v/>
      </c>
      <c r="D131" s="346" t="str">
        <f>IF($A131="","",IF($J131="DIESEL",AVERAGEIFS(Table1[RSP],Table1[Customer],$M$3,Table1[Date],$A131,Table1[Bill No.],$B131),IF($J131="PETROL",AVERAGEIFS(Table14[RSP],Table14[Customer],$M$3,Table14[Date],$A131,Table14[Bill No.],$B131),IF($J131="XtraGreen",AVERAGEIFS(Table146[RSP],Table146[Company],$M$3,Table146[Date],$A131,Table146[Bill No.],$B131),IFERROR($E131/$C131,"")))))</f>
        <v/>
      </c>
      <c r="E131" s="347" t="str">
        <f>IF($A131="","",IF($J131="DIESEL",SUMIFS(Table1[Amount],Table1[Customer],$M$3,Table1[Date],$A131,Table1[Bill No.],$B131),IF($J131="PETROL",SUMIFS(Table14[Amount],Table14[Customer],$M$3,Table14[Date],$A131,Table14[Bill No.],$B131),IF($J131="XtraGreen",SUMIFS(Table146[Amount],Table146[Company],$M$3,Table146[Date],$A131,Table146[Bill No.],$B131),SUMIFS('Other Sale'!$D:$D,'Other Sale'!$E:$E,$M$3,'Other Sale'!$C:$C,$J131,'Other Sale'!$A:$A,$A131)))))</f>
        <v/>
      </c>
      <c r="F131" s="347" t="str" cm="1">
        <f t="array" ref="F131">IF($A131="","",IF($J131="Payment",IFERROR(INDEX(_xlfn._xlws.FILTER(MasterPaid[Amount Paid],(MasterPaid[Customer]=$M$3)*(MasterPaid[Date]=$A131)),COUNTIFS($A$6:$A131,$A131,$J$6:$J131,"Payment")),0),0))</f>
        <v/>
      </c>
      <c r="G131" s="331"/>
      <c r="H131" s="427"/>
      <c r="I131" s="330" t="str">
        <f t="shared" si="11"/>
        <v/>
      </c>
      <c r="J131" s="344" t="str" cm="1">
        <f t="array" ref="J131">IFERROR(INDEX(_xlfn.ANCHORARRAY($P$6),ROW()-5,3),"")</f>
        <v/>
      </c>
      <c r="K131" s="432" t="str" cm="1">
        <f t="array" ref="K131">IF(OR($A131="",$J131&lt;&gt;"DIESEL"),"",_xlfn.LET(_xlpm.qty,N($C131),_xlpm.pos,$T$5:$T$54,_xlpm.alo,IF($U$5:$U$54="",0,$U$5:$U$54),_xlpm.usd,SUMIFS($C$6:$C130,$K$6:$K130,_xlpm.pos&amp;""),_xlpm.bal,_xlpm.alo-_xlpm.usd,IFERROR(INDEX(_xlfn._xlws.FILTER(_xlpm.pos,(_xlpm.pos&lt;&gt;"")*(_xlpm.qty&gt;0)*(_xlpm.bal&gt;=_xlpm.qty)),1),"")))</f>
        <v/>
      </c>
      <c r="L131" s="348"/>
    </row>
    <row r="132" spans="1:12" ht="21.75" x14ac:dyDescent="0.25">
      <c r="A132" s="217" t="str" cm="1">
        <f t="array" ref="A132">IFERROR(INDEX(_xlfn.ANCHORARRAY($P$6),ROW()-5,1),"")</f>
        <v/>
      </c>
      <c r="B132" s="344" t="str" cm="1">
        <f t="array" ref="B132">IFERROR(INDEX(_xlfn.ANCHORARRAY($P$6),ROW()-5,2),"")</f>
        <v/>
      </c>
      <c r="C132" s="345" t="str">
        <f>IF($A132="","",IF($J132="DIESEL",SUMIFS(Table1[Quantity],Table1[Customer],$M$3,Table1[Date],$A132,Table1[Bill No.],$B132),IF($J132="PETROL",SUMIFS(Table14[Quantity],Table14[Customer],$M$3,Table14[Date],$A132,Table14[Bill No.],$B132),IF($J132="XtraGreen",SUMIFS(Table146[Quantity],Table146[Company],$M$3,Table146[Date],$A132,Table146[Bill No.],$B132),""))))</f>
        <v/>
      </c>
      <c r="D132" s="346" t="str">
        <f>IF($A132="","",IF($J132="DIESEL",AVERAGEIFS(Table1[RSP],Table1[Customer],$M$3,Table1[Date],$A132,Table1[Bill No.],$B132),IF($J132="PETROL",AVERAGEIFS(Table14[RSP],Table14[Customer],$M$3,Table14[Date],$A132,Table14[Bill No.],$B132),IF($J132="XtraGreen",AVERAGEIFS(Table146[RSP],Table146[Company],$M$3,Table146[Date],$A132,Table146[Bill No.],$B132),IFERROR($E132/$C132,"")))))</f>
        <v/>
      </c>
      <c r="E132" s="347" t="str">
        <f>IF($A132="","",IF($J132="DIESEL",SUMIFS(Table1[Amount],Table1[Customer],$M$3,Table1[Date],$A132,Table1[Bill No.],$B132),IF($J132="PETROL",SUMIFS(Table14[Amount],Table14[Customer],$M$3,Table14[Date],$A132,Table14[Bill No.],$B132),IF($J132="XtraGreen",SUMIFS(Table146[Amount],Table146[Company],$M$3,Table146[Date],$A132,Table146[Bill No.],$B132),SUMIFS('Other Sale'!$D:$D,'Other Sale'!$E:$E,$M$3,'Other Sale'!$C:$C,$J132,'Other Sale'!$A:$A,$A132)))))</f>
        <v/>
      </c>
      <c r="F132" s="347" t="str" cm="1">
        <f t="array" ref="F132">IF($A132="","",IF($J132="Payment",IFERROR(INDEX(_xlfn._xlws.FILTER(MasterPaid[Amount Paid],(MasterPaid[Customer]=$M$3)*(MasterPaid[Date]=$A132)),COUNTIFS($A$6:$A132,$A132,$J$6:$J132,"Payment")),0),0))</f>
        <v/>
      </c>
      <c r="G132" s="331"/>
      <c r="H132" s="427"/>
      <c r="I132" s="330" t="str">
        <f t="shared" si="11"/>
        <v/>
      </c>
      <c r="J132" s="344" t="str" cm="1">
        <f t="array" ref="J132">IFERROR(INDEX(_xlfn.ANCHORARRAY($P$6),ROW()-5,3),"")</f>
        <v/>
      </c>
      <c r="K132" s="432" t="str" cm="1">
        <f t="array" ref="K132">IF(OR($A132="",$J132&lt;&gt;"DIESEL"),"",_xlfn.LET(_xlpm.qty,N($C132),_xlpm.pos,$T$5:$T$54,_xlpm.alo,IF($U$5:$U$54="",0,$U$5:$U$54),_xlpm.usd,SUMIFS($C$6:$C131,$K$6:$K131,_xlpm.pos&amp;""),_xlpm.bal,_xlpm.alo-_xlpm.usd,IFERROR(INDEX(_xlfn._xlws.FILTER(_xlpm.pos,(_xlpm.pos&lt;&gt;"")*(_xlpm.qty&gt;0)*(_xlpm.bal&gt;=_xlpm.qty)),1),"")))</f>
        <v/>
      </c>
      <c r="L132" s="348"/>
    </row>
    <row r="133" spans="1:12" ht="21.75" x14ac:dyDescent="0.25">
      <c r="A133" s="217" t="str" cm="1">
        <f t="array" ref="A133">IFERROR(INDEX(_xlfn.ANCHORARRAY($P$6),ROW()-5,1),"")</f>
        <v/>
      </c>
      <c r="B133" s="344" t="str" cm="1">
        <f t="array" ref="B133">IFERROR(INDEX(_xlfn.ANCHORARRAY($P$6),ROW()-5,2),"")</f>
        <v/>
      </c>
      <c r="C133" s="345" t="str">
        <f>IF($A133="","",IF($J133="DIESEL",SUMIFS(Table1[Quantity],Table1[Customer],$M$3,Table1[Date],$A133,Table1[Bill No.],$B133),IF($J133="PETROL",SUMIFS(Table14[Quantity],Table14[Customer],$M$3,Table14[Date],$A133,Table14[Bill No.],$B133),IF($J133="XtraGreen",SUMIFS(Table146[Quantity],Table146[Company],$M$3,Table146[Date],$A133,Table146[Bill No.],$B133),""))))</f>
        <v/>
      </c>
      <c r="D133" s="346" t="str">
        <f>IF($A133="","",IF($J133="DIESEL",AVERAGEIFS(Table1[RSP],Table1[Customer],$M$3,Table1[Date],$A133,Table1[Bill No.],$B133),IF($J133="PETROL",AVERAGEIFS(Table14[RSP],Table14[Customer],$M$3,Table14[Date],$A133,Table14[Bill No.],$B133),IF($J133="XtraGreen",AVERAGEIFS(Table146[RSP],Table146[Company],$M$3,Table146[Date],$A133,Table146[Bill No.],$B133),IFERROR($E133/$C133,"")))))</f>
        <v/>
      </c>
      <c r="E133" s="347" t="str">
        <f>IF($A133="","",IF($J133="DIESEL",SUMIFS(Table1[Amount],Table1[Customer],$M$3,Table1[Date],$A133,Table1[Bill No.],$B133),IF($J133="PETROL",SUMIFS(Table14[Amount],Table14[Customer],$M$3,Table14[Date],$A133,Table14[Bill No.],$B133),IF($J133="XtraGreen",SUMIFS(Table146[Amount],Table146[Company],$M$3,Table146[Date],$A133,Table146[Bill No.],$B133),SUMIFS('Other Sale'!$D:$D,'Other Sale'!$E:$E,$M$3,'Other Sale'!$C:$C,$J133,'Other Sale'!$A:$A,$A133)))))</f>
        <v/>
      </c>
      <c r="F133" s="347" t="str" cm="1">
        <f t="array" ref="F133">IF($A133="","",IF($J133="Payment",IFERROR(INDEX(_xlfn._xlws.FILTER(MasterPaid[Amount Paid],(MasterPaid[Customer]=$M$3)*(MasterPaid[Date]=$A133)),COUNTIFS($A$6:$A133,$A133,$J$6:$J133,"Payment")),0),0))</f>
        <v/>
      </c>
      <c r="G133" s="331"/>
      <c r="H133" s="427"/>
      <c r="I133" s="330" t="str">
        <f t="shared" si="11"/>
        <v/>
      </c>
      <c r="J133" s="344" t="str" cm="1">
        <f t="array" ref="J133">IFERROR(INDEX(_xlfn.ANCHORARRAY($P$6),ROW()-5,3),"")</f>
        <v/>
      </c>
      <c r="K133" s="432" t="str" cm="1">
        <f t="array" ref="K133">IF(OR($A133="",$J133&lt;&gt;"DIESEL"),"",_xlfn.LET(_xlpm.qty,N($C133),_xlpm.pos,$T$5:$T$54,_xlpm.alo,IF($U$5:$U$54="",0,$U$5:$U$54),_xlpm.usd,SUMIFS($C$6:$C132,$K$6:$K132,_xlpm.pos&amp;""),_xlpm.bal,_xlpm.alo-_xlpm.usd,IFERROR(INDEX(_xlfn._xlws.FILTER(_xlpm.pos,(_xlpm.pos&lt;&gt;"")*(_xlpm.qty&gt;0)*(_xlpm.bal&gt;=_xlpm.qty)),1),"")))</f>
        <v/>
      </c>
      <c r="L133" s="348"/>
    </row>
    <row r="134" spans="1:12" ht="21.75" x14ac:dyDescent="0.25">
      <c r="A134" s="217" t="str" cm="1">
        <f t="array" ref="A134">IFERROR(INDEX(_xlfn.ANCHORARRAY($P$6),ROW()-5,1),"")</f>
        <v/>
      </c>
      <c r="B134" s="344" t="str" cm="1">
        <f t="array" ref="B134">IFERROR(INDEX(_xlfn.ANCHORARRAY($P$6),ROW()-5,2),"")</f>
        <v/>
      </c>
      <c r="C134" s="345" t="str">
        <f>IF($A134="","",IF($J134="DIESEL",SUMIFS(Table1[Quantity],Table1[Customer],$M$3,Table1[Date],$A134,Table1[Bill No.],$B134),IF($J134="PETROL",SUMIFS(Table14[Quantity],Table14[Customer],$M$3,Table14[Date],$A134,Table14[Bill No.],$B134),IF($J134="XtraGreen",SUMIFS(Table146[Quantity],Table146[Company],$M$3,Table146[Date],$A134,Table146[Bill No.],$B134),""))))</f>
        <v/>
      </c>
      <c r="D134" s="346" t="str">
        <f>IF($A134="","",IF($J134="DIESEL",AVERAGEIFS(Table1[RSP],Table1[Customer],$M$3,Table1[Date],$A134,Table1[Bill No.],$B134),IF($J134="PETROL",AVERAGEIFS(Table14[RSP],Table14[Customer],$M$3,Table14[Date],$A134,Table14[Bill No.],$B134),IF($J134="XtraGreen",AVERAGEIFS(Table146[RSP],Table146[Company],$M$3,Table146[Date],$A134,Table146[Bill No.],$B134),IFERROR($E134/$C134,"")))))</f>
        <v/>
      </c>
      <c r="E134" s="347" t="str">
        <f>IF($A134="","",IF($J134="DIESEL",SUMIFS(Table1[Amount],Table1[Customer],$M$3,Table1[Date],$A134,Table1[Bill No.],$B134),IF($J134="PETROL",SUMIFS(Table14[Amount],Table14[Customer],$M$3,Table14[Date],$A134,Table14[Bill No.],$B134),IF($J134="XtraGreen",SUMIFS(Table146[Amount],Table146[Company],$M$3,Table146[Date],$A134,Table146[Bill No.],$B134),SUMIFS('Other Sale'!$D:$D,'Other Sale'!$E:$E,$M$3,'Other Sale'!$C:$C,$J134,'Other Sale'!$A:$A,$A134)))))</f>
        <v/>
      </c>
      <c r="F134" s="347" t="str" cm="1">
        <f t="array" ref="F134">IF($A134="","",IF($J134="Payment",IFERROR(INDEX(_xlfn._xlws.FILTER(MasterPaid[Amount Paid],(MasterPaid[Customer]=$M$3)*(MasterPaid[Date]=$A134)),COUNTIFS($A$6:$A134,$A134,$J$6:$J134,"Payment")),0),0))</f>
        <v/>
      </c>
      <c r="G134" s="331"/>
      <c r="H134" s="427"/>
      <c r="I134" s="330" t="str">
        <f t="shared" si="11"/>
        <v/>
      </c>
      <c r="J134" s="344" t="str" cm="1">
        <f t="array" ref="J134">IFERROR(INDEX(_xlfn.ANCHORARRAY($P$6),ROW()-5,3),"")</f>
        <v/>
      </c>
      <c r="K134" s="432" t="str" cm="1">
        <f t="array" ref="K134">IF(OR($A134="",$J134&lt;&gt;"DIESEL"),"",_xlfn.LET(_xlpm.qty,N($C134),_xlpm.pos,$T$5:$T$54,_xlpm.alo,IF($U$5:$U$54="",0,$U$5:$U$54),_xlpm.usd,SUMIFS($C$6:$C133,$K$6:$K133,_xlpm.pos&amp;""),_xlpm.bal,_xlpm.alo-_xlpm.usd,IFERROR(INDEX(_xlfn._xlws.FILTER(_xlpm.pos,(_xlpm.pos&lt;&gt;"")*(_xlpm.qty&gt;0)*(_xlpm.bal&gt;=_xlpm.qty)),1),"")))</f>
        <v/>
      </c>
      <c r="L134" s="348"/>
    </row>
    <row r="135" spans="1:12" ht="21.75" x14ac:dyDescent="0.25">
      <c r="A135" s="217" t="str" cm="1">
        <f t="array" ref="A135">IFERROR(INDEX(_xlfn.ANCHORARRAY($P$6),ROW()-5,1),"")</f>
        <v/>
      </c>
      <c r="B135" s="344" t="str" cm="1">
        <f t="array" ref="B135">IFERROR(INDEX(_xlfn.ANCHORARRAY($P$6),ROW()-5,2),"")</f>
        <v/>
      </c>
      <c r="C135" s="345" t="str">
        <f>IF($A135="","",IF($J135="DIESEL",SUMIFS(Table1[Quantity],Table1[Customer],$M$3,Table1[Date],$A135,Table1[Bill No.],$B135),IF($J135="PETROL",SUMIFS(Table14[Quantity],Table14[Customer],$M$3,Table14[Date],$A135,Table14[Bill No.],$B135),IF($J135="XtraGreen",SUMIFS(Table146[Quantity],Table146[Company],$M$3,Table146[Date],$A135,Table146[Bill No.],$B135),""))))</f>
        <v/>
      </c>
      <c r="D135" s="346" t="str">
        <f>IF($A135="","",IF($J135="DIESEL",AVERAGEIFS(Table1[RSP],Table1[Customer],$M$3,Table1[Date],$A135,Table1[Bill No.],$B135),IF($J135="PETROL",AVERAGEIFS(Table14[RSP],Table14[Customer],$M$3,Table14[Date],$A135,Table14[Bill No.],$B135),IF($J135="XtraGreen",AVERAGEIFS(Table146[RSP],Table146[Company],$M$3,Table146[Date],$A135,Table146[Bill No.],$B135),IFERROR($E135/$C135,"")))))</f>
        <v/>
      </c>
      <c r="E135" s="347" t="str">
        <f>IF($A135="","",IF($J135="DIESEL",SUMIFS(Table1[Amount],Table1[Customer],$M$3,Table1[Date],$A135,Table1[Bill No.],$B135),IF($J135="PETROL",SUMIFS(Table14[Amount],Table14[Customer],$M$3,Table14[Date],$A135,Table14[Bill No.],$B135),IF($J135="XtraGreen",SUMIFS(Table146[Amount],Table146[Company],$M$3,Table146[Date],$A135,Table146[Bill No.],$B135),SUMIFS('Other Sale'!$D:$D,'Other Sale'!$E:$E,$M$3,'Other Sale'!$C:$C,$J135,'Other Sale'!$A:$A,$A135)))))</f>
        <v/>
      </c>
      <c r="F135" s="347" t="str" cm="1">
        <f t="array" ref="F135">IF($A135="","",IF($J135="Payment",IFERROR(INDEX(_xlfn._xlws.FILTER(MasterPaid[Amount Paid],(MasterPaid[Customer]=$M$3)*(MasterPaid[Date]=$A135)),COUNTIFS($A$6:$A135,$A135,$J$6:$J135,"Payment")),0),0))</f>
        <v/>
      </c>
      <c r="G135" s="331"/>
      <c r="H135" s="427"/>
      <c r="I135" s="330" t="str">
        <f t="shared" si="11"/>
        <v/>
      </c>
      <c r="J135" s="344" t="str" cm="1">
        <f t="array" ref="J135">IFERROR(INDEX(_xlfn.ANCHORARRAY($P$6),ROW()-5,3),"")</f>
        <v/>
      </c>
      <c r="K135" s="432" t="str" cm="1">
        <f t="array" ref="K135">IF(OR($A135="",$J135&lt;&gt;"DIESEL"),"",_xlfn.LET(_xlpm.qty,N($C135),_xlpm.pos,$T$5:$T$54,_xlpm.alo,IF($U$5:$U$54="",0,$U$5:$U$54),_xlpm.usd,SUMIFS($C$6:$C134,$K$6:$K134,_xlpm.pos&amp;""),_xlpm.bal,_xlpm.alo-_xlpm.usd,IFERROR(INDEX(_xlfn._xlws.FILTER(_xlpm.pos,(_xlpm.pos&lt;&gt;"")*(_xlpm.qty&gt;0)*(_xlpm.bal&gt;=_xlpm.qty)),1),"")))</f>
        <v/>
      </c>
      <c r="L135" s="348"/>
    </row>
    <row r="136" spans="1:12" ht="21.75" x14ac:dyDescent="0.25">
      <c r="A136" s="217" t="str" cm="1">
        <f t="array" ref="A136">IFERROR(INDEX(_xlfn.ANCHORARRAY($P$6),ROW()-5,1),"")</f>
        <v/>
      </c>
      <c r="B136" s="344" t="str" cm="1">
        <f t="array" ref="B136">IFERROR(INDEX(_xlfn.ANCHORARRAY($P$6),ROW()-5,2),"")</f>
        <v/>
      </c>
      <c r="C136" s="345" t="str">
        <f>IF($A136="","",IF($J136="DIESEL",SUMIFS(Table1[Quantity],Table1[Customer],$M$3,Table1[Date],$A136,Table1[Bill No.],$B136),IF($J136="PETROL",SUMIFS(Table14[Quantity],Table14[Customer],$M$3,Table14[Date],$A136,Table14[Bill No.],$B136),IF($J136="XtraGreen",SUMIFS(Table146[Quantity],Table146[Company],$M$3,Table146[Date],$A136,Table146[Bill No.],$B136),""))))</f>
        <v/>
      </c>
      <c r="D136" s="346" t="str">
        <f>IF($A136="","",IF($J136="DIESEL",AVERAGEIFS(Table1[RSP],Table1[Customer],$M$3,Table1[Date],$A136,Table1[Bill No.],$B136),IF($J136="PETROL",AVERAGEIFS(Table14[RSP],Table14[Customer],$M$3,Table14[Date],$A136,Table14[Bill No.],$B136),IF($J136="XtraGreen",AVERAGEIFS(Table146[RSP],Table146[Company],$M$3,Table146[Date],$A136,Table146[Bill No.],$B136),IFERROR($E136/$C136,"")))))</f>
        <v/>
      </c>
      <c r="E136" s="347" t="str">
        <f>IF($A136="","",IF($J136="DIESEL",SUMIFS(Table1[Amount],Table1[Customer],$M$3,Table1[Date],$A136,Table1[Bill No.],$B136),IF($J136="PETROL",SUMIFS(Table14[Amount],Table14[Customer],$M$3,Table14[Date],$A136,Table14[Bill No.],$B136),IF($J136="XtraGreen",SUMIFS(Table146[Amount],Table146[Company],$M$3,Table146[Date],$A136,Table146[Bill No.],$B136),SUMIFS('Other Sale'!$D:$D,'Other Sale'!$E:$E,$M$3,'Other Sale'!$C:$C,$J136,'Other Sale'!$A:$A,$A136)))))</f>
        <v/>
      </c>
      <c r="F136" s="347" t="str" cm="1">
        <f t="array" ref="F136">IF($A136="","",IF($J136="Payment",IFERROR(INDEX(_xlfn._xlws.FILTER(MasterPaid[Amount Paid],(MasterPaid[Customer]=$M$3)*(MasterPaid[Date]=$A136)),COUNTIFS($A$6:$A136,$A136,$J$6:$J136,"Payment")),0),0))</f>
        <v/>
      </c>
      <c r="G136" s="331"/>
      <c r="H136" s="427"/>
      <c r="I136" s="330" t="str">
        <f t="shared" si="11"/>
        <v/>
      </c>
      <c r="J136" s="344" t="str" cm="1">
        <f t="array" ref="J136">IFERROR(INDEX(_xlfn.ANCHORARRAY($P$6),ROW()-5,3),"")</f>
        <v/>
      </c>
      <c r="K136" s="432" t="str" cm="1">
        <f t="array" ref="K136">IF(OR($A136="",$J136&lt;&gt;"DIESEL"),"",_xlfn.LET(_xlpm.qty,N($C136),_xlpm.pos,$T$5:$T$54,_xlpm.alo,IF($U$5:$U$54="",0,$U$5:$U$54),_xlpm.usd,SUMIFS($C$6:$C135,$K$6:$K135,_xlpm.pos&amp;""),_xlpm.bal,_xlpm.alo-_xlpm.usd,IFERROR(INDEX(_xlfn._xlws.FILTER(_xlpm.pos,(_xlpm.pos&lt;&gt;"")*(_xlpm.qty&gt;0)*(_xlpm.bal&gt;=_xlpm.qty)),1),"")))</f>
        <v/>
      </c>
      <c r="L136" s="348"/>
    </row>
    <row r="137" spans="1:12" ht="21.75" x14ac:dyDescent="0.25">
      <c r="A137" s="217" t="str" cm="1">
        <f t="array" ref="A137">IFERROR(INDEX(_xlfn.ANCHORARRAY($P$6),ROW()-5,1),"")</f>
        <v/>
      </c>
      <c r="B137" s="344" t="str" cm="1">
        <f t="array" ref="B137">IFERROR(INDEX(_xlfn.ANCHORARRAY($P$6),ROW()-5,2),"")</f>
        <v/>
      </c>
      <c r="C137" s="345" t="str">
        <f>IF($A137="","",IF($J137="DIESEL",SUMIFS(Table1[Quantity],Table1[Customer],$M$3,Table1[Date],$A137,Table1[Bill No.],$B137),IF($J137="PETROL",SUMIFS(Table14[Quantity],Table14[Customer],$M$3,Table14[Date],$A137,Table14[Bill No.],$B137),IF($J137="XtraGreen",SUMIFS(Table146[Quantity],Table146[Company],$M$3,Table146[Date],$A137,Table146[Bill No.],$B137),""))))</f>
        <v/>
      </c>
      <c r="D137" s="346" t="str">
        <f>IF($A137="","",IF($J137="DIESEL",AVERAGEIFS(Table1[RSP],Table1[Customer],$M$3,Table1[Date],$A137,Table1[Bill No.],$B137),IF($J137="PETROL",AVERAGEIFS(Table14[RSP],Table14[Customer],$M$3,Table14[Date],$A137,Table14[Bill No.],$B137),IF($J137="XtraGreen",AVERAGEIFS(Table146[RSP],Table146[Company],$M$3,Table146[Date],$A137,Table146[Bill No.],$B137),IFERROR($E137/$C137,"")))))</f>
        <v/>
      </c>
      <c r="E137" s="347" t="str">
        <f>IF($A137="","",IF($J137="DIESEL",SUMIFS(Table1[Amount],Table1[Customer],$M$3,Table1[Date],$A137,Table1[Bill No.],$B137),IF($J137="PETROL",SUMIFS(Table14[Amount],Table14[Customer],$M$3,Table14[Date],$A137,Table14[Bill No.],$B137),IF($J137="XtraGreen",SUMIFS(Table146[Amount],Table146[Company],$M$3,Table146[Date],$A137,Table146[Bill No.],$B137),SUMIFS('Other Sale'!$D:$D,'Other Sale'!$E:$E,$M$3,'Other Sale'!$C:$C,$J137,'Other Sale'!$A:$A,$A137)))))</f>
        <v/>
      </c>
      <c r="F137" s="347" t="str" cm="1">
        <f t="array" ref="F137">IF($A137="","",IF($J137="Payment",IFERROR(INDEX(_xlfn._xlws.FILTER(MasterPaid[Amount Paid],(MasterPaid[Customer]=$M$3)*(MasterPaid[Date]=$A137)),COUNTIFS($A$6:$A137,$A137,$J$6:$J137,"Payment")),0),0))</f>
        <v/>
      </c>
      <c r="G137" s="331"/>
      <c r="H137" s="427"/>
      <c r="I137" s="330" t="str">
        <f t="shared" si="11"/>
        <v/>
      </c>
      <c r="J137" s="344" t="str" cm="1">
        <f t="array" ref="J137">IFERROR(INDEX(_xlfn.ANCHORARRAY($P$6),ROW()-5,3),"")</f>
        <v/>
      </c>
      <c r="K137" s="432" t="str" cm="1">
        <f t="array" ref="K137">IF(OR($A137="",$J137&lt;&gt;"DIESEL"),"",_xlfn.LET(_xlpm.qty,N($C137),_xlpm.pos,$T$5:$T$54,_xlpm.alo,IF($U$5:$U$54="",0,$U$5:$U$54),_xlpm.usd,SUMIFS($C$6:$C136,$K$6:$K136,_xlpm.pos&amp;""),_xlpm.bal,_xlpm.alo-_xlpm.usd,IFERROR(INDEX(_xlfn._xlws.FILTER(_xlpm.pos,(_xlpm.pos&lt;&gt;"")*(_xlpm.qty&gt;0)*(_xlpm.bal&gt;=_xlpm.qty)),1),"")))</f>
        <v/>
      </c>
      <c r="L137" s="348"/>
    </row>
    <row r="138" spans="1:12" ht="21.75" x14ac:dyDescent="0.25">
      <c r="A138" s="217" t="str" cm="1">
        <f t="array" ref="A138">IFERROR(INDEX(_xlfn.ANCHORARRAY($P$6),ROW()-5,1),"")</f>
        <v/>
      </c>
      <c r="B138" s="344" t="str" cm="1">
        <f t="array" ref="B138">IFERROR(INDEX(_xlfn.ANCHORARRAY($P$6),ROW()-5,2),"")</f>
        <v/>
      </c>
      <c r="C138" s="345" t="str">
        <f>IF($A138="","",IF($J138="DIESEL",SUMIFS(Table1[Quantity],Table1[Customer],$M$3,Table1[Date],$A138,Table1[Bill No.],$B138),IF($J138="PETROL",SUMIFS(Table14[Quantity],Table14[Customer],$M$3,Table14[Date],$A138,Table14[Bill No.],$B138),IF($J138="XtraGreen",SUMIFS(Table146[Quantity],Table146[Company],$M$3,Table146[Date],$A138,Table146[Bill No.],$B138),""))))</f>
        <v/>
      </c>
      <c r="D138" s="346" t="str">
        <f>IF($A138="","",IF($J138="DIESEL",AVERAGEIFS(Table1[RSP],Table1[Customer],$M$3,Table1[Date],$A138,Table1[Bill No.],$B138),IF($J138="PETROL",AVERAGEIFS(Table14[RSP],Table14[Customer],$M$3,Table14[Date],$A138,Table14[Bill No.],$B138),IF($J138="XtraGreen",AVERAGEIFS(Table146[RSP],Table146[Company],$M$3,Table146[Date],$A138,Table146[Bill No.],$B138),IFERROR($E138/$C138,"")))))</f>
        <v/>
      </c>
      <c r="E138" s="347" t="str">
        <f>IF($A138="","",IF($J138="DIESEL",SUMIFS(Table1[Amount],Table1[Customer],$M$3,Table1[Date],$A138,Table1[Bill No.],$B138),IF($J138="PETROL",SUMIFS(Table14[Amount],Table14[Customer],$M$3,Table14[Date],$A138,Table14[Bill No.],$B138),IF($J138="XtraGreen",SUMIFS(Table146[Amount],Table146[Company],$M$3,Table146[Date],$A138,Table146[Bill No.],$B138),SUMIFS('Other Sale'!$D:$D,'Other Sale'!$E:$E,$M$3,'Other Sale'!$C:$C,$J138,'Other Sale'!$A:$A,$A138)))))</f>
        <v/>
      </c>
      <c r="F138" s="347" t="str" cm="1">
        <f t="array" ref="F138">IF($A138="","",IF($J138="Payment",IFERROR(INDEX(_xlfn._xlws.FILTER(MasterPaid[Amount Paid],(MasterPaid[Customer]=$M$3)*(MasterPaid[Date]=$A138)),COUNTIFS($A$6:$A138,$A138,$J$6:$J138,"Payment")),0),0))</f>
        <v/>
      </c>
      <c r="G138" s="331"/>
      <c r="H138" s="427"/>
      <c r="I138" s="330" t="str">
        <f t="shared" si="11"/>
        <v/>
      </c>
      <c r="J138" s="344" t="str" cm="1">
        <f t="array" ref="J138">IFERROR(INDEX(_xlfn.ANCHORARRAY($P$6),ROW()-5,3),"")</f>
        <v/>
      </c>
      <c r="K138" s="432" t="str" cm="1">
        <f t="array" ref="K138">IF(OR($A138="",$J138&lt;&gt;"DIESEL"),"",_xlfn.LET(_xlpm.qty,N($C138),_xlpm.pos,$T$5:$T$54,_xlpm.alo,IF($U$5:$U$54="",0,$U$5:$U$54),_xlpm.usd,SUMIFS($C$6:$C137,$K$6:$K137,_xlpm.pos&amp;""),_xlpm.bal,_xlpm.alo-_xlpm.usd,IFERROR(INDEX(_xlfn._xlws.FILTER(_xlpm.pos,(_xlpm.pos&lt;&gt;"")*(_xlpm.qty&gt;0)*(_xlpm.bal&gt;=_xlpm.qty)),1),"")))</f>
        <v/>
      </c>
      <c r="L138" s="348"/>
    </row>
    <row r="139" spans="1:12" ht="21.75" x14ac:dyDescent="0.25">
      <c r="A139" s="217" t="str" cm="1">
        <f t="array" ref="A139">IFERROR(INDEX(_xlfn.ANCHORARRAY($P$6),ROW()-5,1),"")</f>
        <v/>
      </c>
      <c r="B139" s="344" t="str" cm="1">
        <f t="array" ref="B139">IFERROR(INDEX(_xlfn.ANCHORARRAY($P$6),ROW()-5,2),"")</f>
        <v/>
      </c>
      <c r="C139" s="345" t="str">
        <f>IF($A139="","",IF($J139="DIESEL",SUMIFS(Table1[Quantity],Table1[Customer],$M$3,Table1[Date],$A139,Table1[Bill No.],$B139),IF($J139="PETROL",SUMIFS(Table14[Quantity],Table14[Customer],$M$3,Table14[Date],$A139,Table14[Bill No.],$B139),IF($J139="XtraGreen",SUMIFS(Table146[Quantity],Table146[Company],$M$3,Table146[Date],$A139,Table146[Bill No.],$B139),""))))</f>
        <v/>
      </c>
      <c r="D139" s="346" t="str">
        <f>IF($A139="","",IF($J139="DIESEL",AVERAGEIFS(Table1[RSP],Table1[Customer],$M$3,Table1[Date],$A139,Table1[Bill No.],$B139),IF($J139="PETROL",AVERAGEIFS(Table14[RSP],Table14[Customer],$M$3,Table14[Date],$A139,Table14[Bill No.],$B139),IF($J139="XtraGreen",AVERAGEIFS(Table146[RSP],Table146[Company],$M$3,Table146[Date],$A139,Table146[Bill No.],$B139),IFERROR($E139/$C139,"")))))</f>
        <v/>
      </c>
      <c r="E139" s="347" t="str">
        <f>IF($A139="","",IF($J139="DIESEL",SUMIFS(Table1[Amount],Table1[Customer],$M$3,Table1[Date],$A139,Table1[Bill No.],$B139),IF($J139="PETROL",SUMIFS(Table14[Amount],Table14[Customer],$M$3,Table14[Date],$A139,Table14[Bill No.],$B139),IF($J139="XtraGreen",SUMIFS(Table146[Amount],Table146[Company],$M$3,Table146[Date],$A139,Table146[Bill No.],$B139),SUMIFS('Other Sale'!$D:$D,'Other Sale'!$E:$E,$M$3,'Other Sale'!$C:$C,$J139,'Other Sale'!$A:$A,$A139)))))</f>
        <v/>
      </c>
      <c r="F139" s="347" t="str" cm="1">
        <f t="array" ref="F139">IF($A139="","",IF($J139="Payment",IFERROR(INDEX(_xlfn._xlws.FILTER(MasterPaid[Amount Paid],(MasterPaid[Customer]=$M$3)*(MasterPaid[Date]=$A139)),COUNTIFS($A$6:$A139,$A139,$J$6:$J139,"Payment")),0),0))</f>
        <v/>
      </c>
      <c r="G139" s="331"/>
      <c r="H139" s="427"/>
      <c r="I139" s="330" t="str">
        <f t="shared" si="11"/>
        <v/>
      </c>
      <c r="J139" s="344" t="str" cm="1">
        <f t="array" ref="J139">IFERROR(INDEX(_xlfn.ANCHORARRAY($P$6),ROW()-5,3),"")</f>
        <v/>
      </c>
      <c r="K139" s="432" t="str" cm="1">
        <f t="array" ref="K139">IF(OR($A139="",$J139&lt;&gt;"DIESEL"),"",_xlfn.LET(_xlpm.qty,N($C139),_xlpm.pos,$T$5:$T$54,_xlpm.alo,IF($U$5:$U$54="",0,$U$5:$U$54),_xlpm.usd,SUMIFS($C$6:$C138,$K$6:$K138,_xlpm.pos&amp;""),_xlpm.bal,_xlpm.alo-_xlpm.usd,IFERROR(INDEX(_xlfn._xlws.FILTER(_xlpm.pos,(_xlpm.pos&lt;&gt;"")*(_xlpm.qty&gt;0)*(_xlpm.bal&gt;=_xlpm.qty)),1),"")))</f>
        <v/>
      </c>
      <c r="L139" s="348"/>
    </row>
    <row r="140" spans="1:12" ht="21.75" x14ac:dyDescent="0.25">
      <c r="A140" s="217" t="str" cm="1">
        <f t="array" ref="A140">IFERROR(INDEX(_xlfn.ANCHORARRAY($P$6),ROW()-5,1),"")</f>
        <v/>
      </c>
      <c r="B140" s="344" t="str" cm="1">
        <f t="array" ref="B140">IFERROR(INDEX(_xlfn.ANCHORARRAY($P$6),ROW()-5,2),"")</f>
        <v/>
      </c>
      <c r="C140" s="345" t="str">
        <f>IF($A140="","",IF($J140="DIESEL",SUMIFS(Table1[Quantity],Table1[Customer],$M$3,Table1[Date],$A140,Table1[Bill No.],$B140),IF($J140="PETROL",SUMIFS(Table14[Quantity],Table14[Customer],$M$3,Table14[Date],$A140,Table14[Bill No.],$B140),IF($J140="XtraGreen",SUMIFS(Table146[Quantity],Table146[Company],$M$3,Table146[Date],$A140,Table146[Bill No.],$B140),""))))</f>
        <v/>
      </c>
      <c r="D140" s="346" t="str">
        <f>IF($A140="","",IF($J140="DIESEL",AVERAGEIFS(Table1[RSP],Table1[Customer],$M$3,Table1[Date],$A140,Table1[Bill No.],$B140),IF($J140="PETROL",AVERAGEIFS(Table14[RSP],Table14[Customer],$M$3,Table14[Date],$A140,Table14[Bill No.],$B140),IF($J140="XtraGreen",AVERAGEIFS(Table146[RSP],Table146[Company],$M$3,Table146[Date],$A140,Table146[Bill No.],$B140),IFERROR($E140/$C140,"")))))</f>
        <v/>
      </c>
      <c r="E140" s="347" t="str">
        <f>IF($A140="","",IF($J140="DIESEL",SUMIFS(Table1[Amount],Table1[Customer],$M$3,Table1[Date],$A140,Table1[Bill No.],$B140),IF($J140="PETROL",SUMIFS(Table14[Amount],Table14[Customer],$M$3,Table14[Date],$A140,Table14[Bill No.],$B140),IF($J140="XtraGreen",SUMIFS(Table146[Amount],Table146[Company],$M$3,Table146[Date],$A140,Table146[Bill No.],$B140),SUMIFS('Other Sale'!$D:$D,'Other Sale'!$E:$E,$M$3,'Other Sale'!$C:$C,$J140,'Other Sale'!$A:$A,$A140)))))</f>
        <v/>
      </c>
      <c r="F140" s="347" t="str" cm="1">
        <f t="array" ref="F140">IF($A140="","",IF($J140="Payment",IFERROR(INDEX(_xlfn._xlws.FILTER(MasterPaid[Amount Paid],(MasterPaid[Customer]=$M$3)*(MasterPaid[Date]=$A140)),COUNTIFS($A$6:$A140,$A140,$J$6:$J140,"Payment")),0),0))</f>
        <v/>
      </c>
      <c r="G140" s="331"/>
      <c r="H140" s="427"/>
      <c r="I140" s="330" t="str">
        <f t="shared" si="11"/>
        <v/>
      </c>
      <c r="J140" s="344" t="str" cm="1">
        <f t="array" ref="J140">IFERROR(INDEX(_xlfn.ANCHORARRAY($P$6),ROW()-5,3),"")</f>
        <v/>
      </c>
      <c r="K140" s="432" t="str" cm="1">
        <f t="array" ref="K140">IF(OR($A140="",$J140&lt;&gt;"DIESEL"),"",_xlfn.LET(_xlpm.qty,N($C140),_xlpm.pos,$T$5:$T$54,_xlpm.alo,IF($U$5:$U$54="",0,$U$5:$U$54),_xlpm.usd,SUMIFS($C$6:$C139,$K$6:$K139,_xlpm.pos&amp;""),_xlpm.bal,_xlpm.alo-_xlpm.usd,IFERROR(INDEX(_xlfn._xlws.FILTER(_xlpm.pos,(_xlpm.pos&lt;&gt;"")*(_xlpm.qty&gt;0)*(_xlpm.bal&gt;=_xlpm.qty)),1),"")))</f>
        <v/>
      </c>
      <c r="L140" s="348"/>
    </row>
    <row r="141" spans="1:12" ht="21.75" x14ac:dyDescent="0.25">
      <c r="A141" s="217" t="str" cm="1">
        <f t="array" ref="A141">IFERROR(INDEX(_xlfn.ANCHORARRAY($P$6),ROW()-5,1),"")</f>
        <v/>
      </c>
      <c r="B141" s="344" t="str" cm="1">
        <f t="array" ref="B141">IFERROR(INDEX(_xlfn.ANCHORARRAY($P$6),ROW()-5,2),"")</f>
        <v/>
      </c>
      <c r="C141" s="345" t="str">
        <f>IF($A141="","",IF($J141="DIESEL",SUMIFS(Table1[Quantity],Table1[Customer],$M$3,Table1[Date],$A141,Table1[Bill No.],$B141),IF($J141="PETROL",SUMIFS(Table14[Quantity],Table14[Customer],$M$3,Table14[Date],$A141,Table14[Bill No.],$B141),IF($J141="XtraGreen",SUMIFS(Table146[Quantity],Table146[Company],$M$3,Table146[Date],$A141,Table146[Bill No.],$B141),""))))</f>
        <v/>
      </c>
      <c r="D141" s="346" t="str">
        <f>IF($A141="","",IF($J141="DIESEL",AVERAGEIFS(Table1[RSP],Table1[Customer],$M$3,Table1[Date],$A141,Table1[Bill No.],$B141),IF($J141="PETROL",AVERAGEIFS(Table14[RSP],Table14[Customer],$M$3,Table14[Date],$A141,Table14[Bill No.],$B141),IF($J141="XtraGreen",AVERAGEIFS(Table146[RSP],Table146[Company],$M$3,Table146[Date],$A141,Table146[Bill No.],$B141),IFERROR($E141/$C141,"")))))</f>
        <v/>
      </c>
      <c r="E141" s="347" t="str">
        <f>IF($A141="","",IF($J141="DIESEL",SUMIFS(Table1[Amount],Table1[Customer],$M$3,Table1[Date],$A141,Table1[Bill No.],$B141),IF($J141="PETROL",SUMIFS(Table14[Amount],Table14[Customer],$M$3,Table14[Date],$A141,Table14[Bill No.],$B141),IF($J141="XtraGreen",SUMIFS(Table146[Amount],Table146[Company],$M$3,Table146[Date],$A141,Table146[Bill No.],$B141),SUMIFS('Other Sale'!$D:$D,'Other Sale'!$E:$E,$M$3,'Other Sale'!$C:$C,$J141,'Other Sale'!$A:$A,$A141)))))</f>
        <v/>
      </c>
      <c r="F141" s="347" t="str" cm="1">
        <f t="array" ref="F141">IF($A141="","",IF($J141="Payment",IFERROR(INDEX(_xlfn._xlws.FILTER(MasterPaid[Amount Paid],(MasterPaid[Customer]=$M$3)*(MasterPaid[Date]=$A141)),COUNTIFS($A$6:$A141,$A141,$J$6:$J141,"Payment")),0),0))</f>
        <v/>
      </c>
      <c r="G141" s="331"/>
      <c r="H141" s="427"/>
      <c r="I141" s="330" t="str">
        <f t="shared" si="11"/>
        <v/>
      </c>
      <c r="J141" s="344" t="str" cm="1">
        <f t="array" ref="J141">IFERROR(INDEX(_xlfn.ANCHORARRAY($P$6),ROW()-5,3),"")</f>
        <v/>
      </c>
      <c r="K141" s="432" t="str" cm="1">
        <f t="array" ref="K141">IF(OR($A141="",$J141&lt;&gt;"DIESEL"),"",_xlfn.LET(_xlpm.qty,N($C141),_xlpm.pos,$T$5:$T$54,_xlpm.alo,IF($U$5:$U$54="",0,$U$5:$U$54),_xlpm.usd,SUMIFS($C$6:$C140,$K$6:$K140,_xlpm.pos&amp;""),_xlpm.bal,_xlpm.alo-_xlpm.usd,IFERROR(INDEX(_xlfn._xlws.FILTER(_xlpm.pos,(_xlpm.pos&lt;&gt;"")*(_xlpm.qty&gt;0)*(_xlpm.bal&gt;=_xlpm.qty)),1),"")))</f>
        <v/>
      </c>
      <c r="L141" s="348"/>
    </row>
    <row r="142" spans="1:12" ht="21.75" x14ac:dyDescent="0.25">
      <c r="A142" s="217" t="str" cm="1">
        <f t="array" ref="A142">IFERROR(INDEX(_xlfn.ANCHORARRAY($P$6),ROW()-5,1),"")</f>
        <v/>
      </c>
      <c r="B142" s="344" t="str" cm="1">
        <f t="array" ref="B142">IFERROR(INDEX(_xlfn.ANCHORARRAY($P$6),ROW()-5,2),"")</f>
        <v/>
      </c>
      <c r="C142" s="345" t="str">
        <f>IF($A142="","",IF($J142="DIESEL",SUMIFS(Table1[Quantity],Table1[Customer],$M$3,Table1[Date],$A142,Table1[Bill No.],$B142),IF($J142="PETROL",SUMIFS(Table14[Quantity],Table14[Customer],$M$3,Table14[Date],$A142,Table14[Bill No.],$B142),IF($J142="XtraGreen",SUMIFS(Table146[Quantity],Table146[Company],$M$3,Table146[Date],$A142,Table146[Bill No.],$B142),""))))</f>
        <v/>
      </c>
      <c r="D142" s="346" t="str">
        <f>IF($A142="","",IF($J142="DIESEL",AVERAGEIFS(Table1[RSP],Table1[Customer],$M$3,Table1[Date],$A142,Table1[Bill No.],$B142),IF($J142="PETROL",AVERAGEIFS(Table14[RSP],Table14[Customer],$M$3,Table14[Date],$A142,Table14[Bill No.],$B142),IF($J142="XtraGreen",AVERAGEIFS(Table146[RSP],Table146[Company],$M$3,Table146[Date],$A142,Table146[Bill No.],$B142),IFERROR($E142/$C142,"")))))</f>
        <v/>
      </c>
      <c r="E142" s="347" t="str">
        <f>IF($A142="","",IF($J142="DIESEL",SUMIFS(Table1[Amount],Table1[Customer],$M$3,Table1[Date],$A142,Table1[Bill No.],$B142),IF($J142="PETROL",SUMIFS(Table14[Amount],Table14[Customer],$M$3,Table14[Date],$A142,Table14[Bill No.],$B142),IF($J142="XtraGreen",SUMIFS(Table146[Amount],Table146[Company],$M$3,Table146[Date],$A142,Table146[Bill No.],$B142),SUMIFS('Other Sale'!$D:$D,'Other Sale'!$E:$E,$M$3,'Other Sale'!$C:$C,$J142,'Other Sale'!$A:$A,$A142)))))</f>
        <v/>
      </c>
      <c r="F142" s="347" t="str" cm="1">
        <f t="array" ref="F142">IF($A142="","",IF($J142="Payment",IFERROR(INDEX(_xlfn._xlws.FILTER(MasterPaid[Amount Paid],(MasterPaid[Customer]=$M$3)*(MasterPaid[Date]=$A142)),COUNTIFS($A$6:$A142,$A142,$J$6:$J142,"Payment")),0),0))</f>
        <v/>
      </c>
      <c r="G142" s="331"/>
      <c r="H142" s="427"/>
      <c r="I142" s="330" t="str">
        <f t="shared" si="11"/>
        <v/>
      </c>
      <c r="J142" s="344" t="str" cm="1">
        <f t="array" ref="J142">IFERROR(INDEX(_xlfn.ANCHORARRAY($P$6),ROW()-5,3),"")</f>
        <v/>
      </c>
      <c r="K142" s="432" t="str" cm="1">
        <f t="array" ref="K142">IF(OR($A142="",$J142&lt;&gt;"DIESEL"),"",_xlfn.LET(_xlpm.qty,N($C142),_xlpm.pos,$T$5:$T$54,_xlpm.alo,IF($U$5:$U$54="",0,$U$5:$U$54),_xlpm.usd,SUMIFS($C$6:$C141,$K$6:$K141,_xlpm.pos&amp;""),_xlpm.bal,_xlpm.alo-_xlpm.usd,IFERROR(INDEX(_xlfn._xlws.FILTER(_xlpm.pos,(_xlpm.pos&lt;&gt;"")*(_xlpm.qty&gt;0)*(_xlpm.bal&gt;=_xlpm.qty)),1),"")))</f>
        <v/>
      </c>
      <c r="L142" s="348"/>
    </row>
    <row r="143" spans="1:12" ht="21.75" x14ac:dyDescent="0.25">
      <c r="A143" s="217" t="str" cm="1">
        <f t="array" ref="A143">IFERROR(INDEX(_xlfn.ANCHORARRAY($P$6),ROW()-5,1),"")</f>
        <v/>
      </c>
      <c r="B143" s="344" t="str" cm="1">
        <f t="array" ref="B143">IFERROR(INDEX(_xlfn.ANCHORARRAY($P$6),ROW()-5,2),"")</f>
        <v/>
      </c>
      <c r="C143" s="345" t="str">
        <f>IF($A143="","",IF($J143="DIESEL",SUMIFS(Table1[Quantity],Table1[Customer],$M$3,Table1[Date],$A143,Table1[Bill No.],$B143),IF($J143="PETROL",SUMIFS(Table14[Quantity],Table14[Customer],$M$3,Table14[Date],$A143,Table14[Bill No.],$B143),IF($J143="XtraGreen",SUMIFS(Table146[Quantity],Table146[Company],$M$3,Table146[Date],$A143,Table146[Bill No.],$B143),""))))</f>
        <v/>
      </c>
      <c r="D143" s="346" t="str">
        <f>IF($A143="","",IF($J143="DIESEL",AVERAGEIFS(Table1[RSP],Table1[Customer],$M$3,Table1[Date],$A143,Table1[Bill No.],$B143),IF($J143="PETROL",AVERAGEIFS(Table14[RSP],Table14[Customer],$M$3,Table14[Date],$A143,Table14[Bill No.],$B143),IF($J143="XtraGreen",AVERAGEIFS(Table146[RSP],Table146[Company],$M$3,Table146[Date],$A143,Table146[Bill No.],$B143),IFERROR($E143/$C143,"")))))</f>
        <v/>
      </c>
      <c r="E143" s="347" t="str">
        <f>IF($A143="","",IF($J143="DIESEL",SUMIFS(Table1[Amount],Table1[Customer],$M$3,Table1[Date],$A143,Table1[Bill No.],$B143),IF($J143="PETROL",SUMIFS(Table14[Amount],Table14[Customer],$M$3,Table14[Date],$A143,Table14[Bill No.],$B143),IF($J143="XtraGreen",SUMIFS(Table146[Amount],Table146[Company],$M$3,Table146[Date],$A143,Table146[Bill No.],$B143),SUMIFS('Other Sale'!$D:$D,'Other Sale'!$E:$E,$M$3,'Other Sale'!$C:$C,$J143,'Other Sale'!$A:$A,$A143)))))</f>
        <v/>
      </c>
      <c r="F143" s="347" t="str" cm="1">
        <f t="array" ref="F143">IF($A143="","",IF($J143="Payment",IFERROR(INDEX(_xlfn._xlws.FILTER(MasterPaid[Amount Paid],(MasterPaid[Customer]=$M$3)*(MasterPaid[Date]=$A143)),COUNTIFS($A$6:$A143,$A143,$J$6:$J143,"Payment")),0),0))</f>
        <v/>
      </c>
      <c r="G143" s="331"/>
      <c r="H143" s="427"/>
      <c r="I143" s="330" t="str">
        <f t="shared" si="11"/>
        <v/>
      </c>
      <c r="J143" s="344" t="str" cm="1">
        <f t="array" ref="J143">IFERROR(INDEX(_xlfn.ANCHORARRAY($P$6),ROW()-5,3),"")</f>
        <v/>
      </c>
      <c r="K143" s="432" t="str" cm="1">
        <f t="array" ref="K143">IF(OR($A143="",$J143&lt;&gt;"DIESEL"),"",_xlfn.LET(_xlpm.qty,N($C143),_xlpm.pos,$T$5:$T$54,_xlpm.alo,IF($U$5:$U$54="",0,$U$5:$U$54),_xlpm.usd,SUMIFS($C$6:$C142,$K$6:$K142,_xlpm.pos&amp;""),_xlpm.bal,_xlpm.alo-_xlpm.usd,IFERROR(INDEX(_xlfn._xlws.FILTER(_xlpm.pos,(_xlpm.pos&lt;&gt;"")*(_xlpm.qty&gt;0)*(_xlpm.bal&gt;=_xlpm.qty)),1),"")))</f>
        <v/>
      </c>
      <c r="L143" s="348"/>
    </row>
    <row r="144" spans="1:12" ht="21.75" x14ac:dyDescent="0.25">
      <c r="A144" s="217" t="str" cm="1">
        <f t="array" ref="A144">IFERROR(INDEX(_xlfn.ANCHORARRAY($P$6),ROW()-5,1),"")</f>
        <v/>
      </c>
      <c r="B144" s="344" t="str" cm="1">
        <f t="array" ref="B144">IFERROR(INDEX(_xlfn.ANCHORARRAY($P$6),ROW()-5,2),"")</f>
        <v/>
      </c>
      <c r="C144" s="345" t="str">
        <f>IF($A144="","",IF($J144="DIESEL",SUMIFS(Table1[Quantity],Table1[Customer],$M$3,Table1[Date],$A144,Table1[Bill No.],$B144),IF($J144="PETROL",SUMIFS(Table14[Quantity],Table14[Customer],$M$3,Table14[Date],$A144,Table14[Bill No.],$B144),IF($J144="XtraGreen",SUMIFS(Table146[Quantity],Table146[Company],$M$3,Table146[Date],$A144,Table146[Bill No.],$B144),""))))</f>
        <v/>
      </c>
      <c r="D144" s="346" t="str">
        <f>IF($A144="","",IF($J144="DIESEL",AVERAGEIFS(Table1[RSP],Table1[Customer],$M$3,Table1[Date],$A144,Table1[Bill No.],$B144),IF($J144="PETROL",AVERAGEIFS(Table14[RSP],Table14[Customer],$M$3,Table14[Date],$A144,Table14[Bill No.],$B144),IF($J144="XtraGreen",AVERAGEIFS(Table146[RSP],Table146[Company],$M$3,Table146[Date],$A144,Table146[Bill No.],$B144),IFERROR($E144/$C144,"")))))</f>
        <v/>
      </c>
      <c r="E144" s="347" t="str">
        <f>IF($A144="","",IF($J144="DIESEL",SUMIFS(Table1[Amount],Table1[Customer],$M$3,Table1[Date],$A144,Table1[Bill No.],$B144),IF($J144="PETROL",SUMIFS(Table14[Amount],Table14[Customer],$M$3,Table14[Date],$A144,Table14[Bill No.],$B144),IF($J144="XtraGreen",SUMIFS(Table146[Amount],Table146[Company],$M$3,Table146[Date],$A144,Table146[Bill No.],$B144),SUMIFS('Other Sale'!$D:$D,'Other Sale'!$E:$E,$M$3,'Other Sale'!$C:$C,$J144,'Other Sale'!$A:$A,$A144)))))</f>
        <v/>
      </c>
      <c r="F144" s="347" t="str" cm="1">
        <f t="array" ref="F144">IF($A144="","",IF($J144="Payment",IFERROR(INDEX(_xlfn._xlws.FILTER(MasterPaid[Amount Paid],(MasterPaid[Customer]=$M$3)*(MasterPaid[Date]=$A144)),COUNTIFS($A$6:$A144,$A144,$J$6:$J144,"Payment")),0),0))</f>
        <v/>
      </c>
      <c r="G144" s="331"/>
      <c r="H144" s="427"/>
      <c r="I144" s="330" t="str">
        <f t="shared" si="11"/>
        <v/>
      </c>
      <c r="J144" s="344" t="str" cm="1">
        <f t="array" ref="J144">IFERROR(INDEX(_xlfn.ANCHORARRAY($P$6),ROW()-5,3),"")</f>
        <v/>
      </c>
      <c r="K144" s="432" t="str" cm="1">
        <f t="array" ref="K144">IF(OR($A144="",$J144&lt;&gt;"DIESEL"),"",_xlfn.LET(_xlpm.qty,N($C144),_xlpm.pos,$T$5:$T$54,_xlpm.alo,IF($U$5:$U$54="",0,$U$5:$U$54),_xlpm.usd,SUMIFS($C$6:$C143,$K$6:$K143,_xlpm.pos&amp;""),_xlpm.bal,_xlpm.alo-_xlpm.usd,IFERROR(INDEX(_xlfn._xlws.FILTER(_xlpm.pos,(_xlpm.pos&lt;&gt;"")*(_xlpm.qty&gt;0)*(_xlpm.bal&gt;=_xlpm.qty)),1),"")))</f>
        <v/>
      </c>
      <c r="L144" s="348"/>
    </row>
    <row r="145" spans="1:12" ht="21.75" x14ac:dyDescent="0.25">
      <c r="A145" s="217" t="str" cm="1">
        <f t="array" ref="A145">IFERROR(INDEX(_xlfn.ANCHORARRAY($P$6),ROW()-5,1),"")</f>
        <v/>
      </c>
      <c r="B145" s="344" t="str" cm="1">
        <f t="array" ref="B145">IFERROR(INDEX(_xlfn.ANCHORARRAY($P$6),ROW()-5,2),"")</f>
        <v/>
      </c>
      <c r="C145" s="345" t="str">
        <f>IF($A145="","",IF($J145="DIESEL",SUMIFS(Table1[Quantity],Table1[Customer],$M$3,Table1[Date],$A145,Table1[Bill No.],$B145),IF($J145="PETROL",SUMIFS(Table14[Quantity],Table14[Customer],$M$3,Table14[Date],$A145,Table14[Bill No.],$B145),IF($J145="XtraGreen",SUMIFS(Table146[Quantity],Table146[Company],$M$3,Table146[Date],$A145,Table146[Bill No.],$B145),""))))</f>
        <v/>
      </c>
      <c r="D145" s="346" t="str">
        <f>IF($A145="","",IF($J145="DIESEL",AVERAGEIFS(Table1[RSP],Table1[Customer],$M$3,Table1[Date],$A145,Table1[Bill No.],$B145),IF($J145="PETROL",AVERAGEIFS(Table14[RSP],Table14[Customer],$M$3,Table14[Date],$A145,Table14[Bill No.],$B145),IF($J145="XtraGreen",AVERAGEIFS(Table146[RSP],Table146[Company],$M$3,Table146[Date],$A145,Table146[Bill No.],$B145),IFERROR($E145/$C145,"")))))</f>
        <v/>
      </c>
      <c r="E145" s="347" t="str">
        <f>IF($A145="","",IF($J145="DIESEL",SUMIFS(Table1[Amount],Table1[Customer],$M$3,Table1[Date],$A145,Table1[Bill No.],$B145),IF($J145="PETROL",SUMIFS(Table14[Amount],Table14[Customer],$M$3,Table14[Date],$A145,Table14[Bill No.],$B145),IF($J145="XtraGreen",SUMIFS(Table146[Amount],Table146[Company],$M$3,Table146[Date],$A145,Table146[Bill No.],$B145),SUMIFS('Other Sale'!$D:$D,'Other Sale'!$E:$E,$M$3,'Other Sale'!$C:$C,$J145,'Other Sale'!$A:$A,$A145)))))</f>
        <v/>
      </c>
      <c r="F145" s="347" t="str" cm="1">
        <f t="array" ref="F145">IF($A145="","",IF($J145="Payment",IFERROR(INDEX(_xlfn._xlws.FILTER(MasterPaid[Amount Paid],(MasterPaid[Customer]=$M$3)*(MasterPaid[Date]=$A145)),COUNTIFS($A$6:$A145,$A145,$J$6:$J145,"Payment")),0),0))</f>
        <v/>
      </c>
      <c r="G145" s="331"/>
      <c r="H145" s="427"/>
      <c r="I145" s="330" t="str">
        <f t="shared" si="11"/>
        <v/>
      </c>
      <c r="J145" s="344" t="str" cm="1">
        <f t="array" ref="J145">IFERROR(INDEX(_xlfn.ANCHORARRAY($P$6),ROW()-5,3),"")</f>
        <v/>
      </c>
      <c r="K145" s="432" t="str" cm="1">
        <f t="array" ref="K145">IF(OR($A145="",$J145&lt;&gt;"DIESEL"),"",_xlfn.LET(_xlpm.qty,N($C145),_xlpm.pos,$T$5:$T$54,_xlpm.alo,IF($U$5:$U$54="",0,$U$5:$U$54),_xlpm.usd,SUMIFS($C$6:$C144,$K$6:$K144,_xlpm.pos&amp;""),_xlpm.bal,_xlpm.alo-_xlpm.usd,IFERROR(INDEX(_xlfn._xlws.FILTER(_xlpm.pos,(_xlpm.pos&lt;&gt;"")*(_xlpm.qty&gt;0)*(_xlpm.bal&gt;=_xlpm.qty)),1),"")))</f>
        <v/>
      </c>
      <c r="L145" s="348"/>
    </row>
    <row r="146" spans="1:12" ht="21.75" x14ac:dyDescent="0.25">
      <c r="A146" s="217" t="str" cm="1">
        <f t="array" ref="A146">IFERROR(INDEX(_xlfn.ANCHORARRAY($P$6),ROW()-5,1),"")</f>
        <v/>
      </c>
      <c r="B146" s="344" t="str" cm="1">
        <f t="array" ref="B146">IFERROR(INDEX(_xlfn.ANCHORARRAY($P$6),ROW()-5,2),"")</f>
        <v/>
      </c>
      <c r="C146" s="345" t="str">
        <f>IF($A146="","",IF($J146="DIESEL",SUMIFS(Table1[Quantity],Table1[Customer],$M$3,Table1[Date],$A146,Table1[Bill No.],$B146),IF($J146="PETROL",SUMIFS(Table14[Quantity],Table14[Customer],$M$3,Table14[Date],$A146,Table14[Bill No.],$B146),IF($J146="XtraGreen",SUMIFS(Table146[Quantity],Table146[Company],$M$3,Table146[Date],$A146,Table146[Bill No.],$B146),""))))</f>
        <v/>
      </c>
      <c r="D146" s="346" t="str">
        <f>IF($A146="","",IF($J146="DIESEL",AVERAGEIFS(Table1[RSP],Table1[Customer],$M$3,Table1[Date],$A146,Table1[Bill No.],$B146),IF($J146="PETROL",AVERAGEIFS(Table14[RSP],Table14[Customer],$M$3,Table14[Date],$A146,Table14[Bill No.],$B146),IF($J146="XtraGreen",AVERAGEIFS(Table146[RSP],Table146[Company],$M$3,Table146[Date],$A146,Table146[Bill No.],$B146),IFERROR($E146/$C146,"")))))</f>
        <v/>
      </c>
      <c r="E146" s="347" t="str">
        <f>IF($A146="","",IF($J146="DIESEL",SUMIFS(Table1[Amount],Table1[Customer],$M$3,Table1[Date],$A146,Table1[Bill No.],$B146),IF($J146="PETROL",SUMIFS(Table14[Amount],Table14[Customer],$M$3,Table14[Date],$A146,Table14[Bill No.],$B146),IF($J146="XtraGreen",SUMIFS(Table146[Amount],Table146[Company],$M$3,Table146[Date],$A146,Table146[Bill No.],$B146),SUMIFS('Other Sale'!$D:$D,'Other Sale'!$E:$E,$M$3,'Other Sale'!$C:$C,$J146,'Other Sale'!$A:$A,$A146)))))</f>
        <v/>
      </c>
      <c r="F146" s="347" t="str" cm="1">
        <f t="array" ref="F146">IF($A146="","",IF($J146="Payment",IFERROR(INDEX(_xlfn._xlws.FILTER(MasterPaid[Amount Paid],(MasterPaid[Customer]=$M$3)*(MasterPaid[Date]=$A146)),COUNTIFS($A$6:$A146,$A146,$J$6:$J146,"Payment")),0),0))</f>
        <v/>
      </c>
      <c r="G146" s="331"/>
      <c r="H146" s="427"/>
      <c r="I146" s="330" t="str">
        <f t="shared" si="11"/>
        <v/>
      </c>
      <c r="J146" s="344" t="str" cm="1">
        <f t="array" ref="J146">IFERROR(INDEX(_xlfn.ANCHORARRAY($P$6),ROW()-5,3),"")</f>
        <v/>
      </c>
      <c r="K146" s="432" t="str" cm="1">
        <f t="array" ref="K146">IF(OR($A146="",$J146&lt;&gt;"DIESEL"),"",_xlfn.LET(_xlpm.qty,N($C146),_xlpm.pos,$T$5:$T$54,_xlpm.alo,IF($U$5:$U$54="",0,$U$5:$U$54),_xlpm.usd,SUMIFS($C$6:$C145,$K$6:$K145,_xlpm.pos&amp;""),_xlpm.bal,_xlpm.alo-_xlpm.usd,IFERROR(INDEX(_xlfn._xlws.FILTER(_xlpm.pos,(_xlpm.pos&lt;&gt;"")*(_xlpm.qty&gt;0)*(_xlpm.bal&gt;=_xlpm.qty)),1),"")))</f>
        <v/>
      </c>
      <c r="L146" s="348"/>
    </row>
    <row r="147" spans="1:12" ht="21.75" x14ac:dyDescent="0.25">
      <c r="A147" s="217" t="str" cm="1">
        <f t="array" ref="A147">IFERROR(INDEX(_xlfn.ANCHORARRAY($P$6),ROW()-5,1),"")</f>
        <v/>
      </c>
      <c r="B147" s="344" t="str" cm="1">
        <f t="array" ref="B147">IFERROR(INDEX(_xlfn.ANCHORARRAY($P$6),ROW()-5,2),"")</f>
        <v/>
      </c>
      <c r="C147" s="345" t="str">
        <f>IF($A147="","",IF($J147="DIESEL",SUMIFS(Table1[Quantity],Table1[Customer],$M$3,Table1[Date],$A147,Table1[Bill No.],$B147),IF($J147="PETROL",SUMIFS(Table14[Quantity],Table14[Customer],$M$3,Table14[Date],$A147,Table14[Bill No.],$B147),IF($J147="XtraGreen",SUMIFS(Table146[Quantity],Table146[Company],$M$3,Table146[Date],$A147,Table146[Bill No.],$B147),""))))</f>
        <v/>
      </c>
      <c r="D147" s="346" t="str">
        <f>IF($A147="","",IF($J147="DIESEL",AVERAGEIFS(Table1[RSP],Table1[Customer],$M$3,Table1[Date],$A147,Table1[Bill No.],$B147),IF($J147="PETROL",AVERAGEIFS(Table14[RSP],Table14[Customer],$M$3,Table14[Date],$A147,Table14[Bill No.],$B147),IF($J147="XtraGreen",AVERAGEIFS(Table146[RSP],Table146[Company],$M$3,Table146[Date],$A147,Table146[Bill No.],$B147),IFERROR($E147/$C147,"")))))</f>
        <v/>
      </c>
      <c r="E147" s="347" t="str">
        <f>IF($A147="","",IF($J147="DIESEL",SUMIFS(Table1[Amount],Table1[Customer],$M$3,Table1[Date],$A147,Table1[Bill No.],$B147),IF($J147="PETROL",SUMIFS(Table14[Amount],Table14[Customer],$M$3,Table14[Date],$A147,Table14[Bill No.],$B147),IF($J147="XtraGreen",SUMIFS(Table146[Amount],Table146[Company],$M$3,Table146[Date],$A147,Table146[Bill No.],$B147),SUMIFS('Other Sale'!$D:$D,'Other Sale'!$E:$E,$M$3,'Other Sale'!$C:$C,$J147,'Other Sale'!$A:$A,$A147)))))</f>
        <v/>
      </c>
      <c r="F147" s="347" t="str" cm="1">
        <f t="array" ref="F147">IF($A147="","",IF($J147="Payment",IFERROR(INDEX(_xlfn._xlws.FILTER(MasterPaid[Amount Paid],(MasterPaid[Customer]=$M$3)*(MasterPaid[Date]=$A147)),COUNTIFS($A$6:$A147,$A147,$J$6:$J147,"Payment")),0),0))</f>
        <v/>
      </c>
      <c r="G147" s="331"/>
      <c r="H147" s="427"/>
      <c r="I147" s="330" t="str">
        <f t="shared" si="11"/>
        <v/>
      </c>
      <c r="J147" s="344" t="str" cm="1">
        <f t="array" ref="J147">IFERROR(INDEX(_xlfn.ANCHORARRAY($P$6),ROW()-5,3),"")</f>
        <v/>
      </c>
      <c r="K147" s="432" t="str" cm="1">
        <f t="array" ref="K147">IF(OR($A147="",$J147&lt;&gt;"DIESEL"),"",_xlfn.LET(_xlpm.qty,N($C147),_xlpm.pos,$T$5:$T$54,_xlpm.alo,IF($U$5:$U$54="",0,$U$5:$U$54),_xlpm.usd,SUMIFS($C$6:$C146,$K$6:$K146,_xlpm.pos&amp;""),_xlpm.bal,_xlpm.alo-_xlpm.usd,IFERROR(INDEX(_xlfn._xlws.FILTER(_xlpm.pos,(_xlpm.pos&lt;&gt;"")*(_xlpm.qty&gt;0)*(_xlpm.bal&gt;=_xlpm.qty)),1),"")))</f>
        <v/>
      </c>
      <c r="L147" s="348"/>
    </row>
    <row r="148" spans="1:12" ht="21.75" x14ac:dyDescent="0.25">
      <c r="A148" s="217" t="str" cm="1">
        <f t="array" ref="A148">IFERROR(INDEX(_xlfn.ANCHORARRAY($P$6),ROW()-5,1),"")</f>
        <v/>
      </c>
      <c r="B148" s="344" t="str" cm="1">
        <f t="array" ref="B148">IFERROR(INDEX(_xlfn.ANCHORARRAY($P$6),ROW()-5,2),"")</f>
        <v/>
      </c>
      <c r="C148" s="345" t="str">
        <f>IF($A148="","",IF($J148="DIESEL",SUMIFS(Table1[Quantity],Table1[Customer],$M$3,Table1[Date],$A148,Table1[Bill No.],$B148),IF($J148="PETROL",SUMIFS(Table14[Quantity],Table14[Customer],$M$3,Table14[Date],$A148,Table14[Bill No.],$B148),IF($J148="XtraGreen",SUMIFS(Table146[Quantity],Table146[Company],$M$3,Table146[Date],$A148,Table146[Bill No.],$B148),""))))</f>
        <v/>
      </c>
      <c r="D148" s="346" t="str">
        <f>IF($A148="","",IF($J148="DIESEL",AVERAGEIFS(Table1[RSP],Table1[Customer],$M$3,Table1[Date],$A148,Table1[Bill No.],$B148),IF($J148="PETROL",AVERAGEIFS(Table14[RSP],Table14[Customer],$M$3,Table14[Date],$A148,Table14[Bill No.],$B148),IF($J148="XtraGreen",AVERAGEIFS(Table146[RSP],Table146[Company],$M$3,Table146[Date],$A148,Table146[Bill No.],$B148),IFERROR($E148/$C148,"")))))</f>
        <v/>
      </c>
      <c r="E148" s="347" t="str">
        <f>IF($A148="","",IF($J148="DIESEL",SUMIFS(Table1[Amount],Table1[Customer],$M$3,Table1[Date],$A148,Table1[Bill No.],$B148),IF($J148="PETROL",SUMIFS(Table14[Amount],Table14[Customer],$M$3,Table14[Date],$A148,Table14[Bill No.],$B148),IF($J148="XtraGreen",SUMIFS(Table146[Amount],Table146[Company],$M$3,Table146[Date],$A148,Table146[Bill No.],$B148),SUMIFS('Other Sale'!$D:$D,'Other Sale'!$E:$E,$M$3,'Other Sale'!$C:$C,$J148,'Other Sale'!$A:$A,$A148)))))</f>
        <v/>
      </c>
      <c r="F148" s="347" t="str" cm="1">
        <f t="array" ref="F148">IF($A148="","",IF($J148="Payment",IFERROR(INDEX(_xlfn._xlws.FILTER(MasterPaid[Amount Paid],(MasterPaid[Customer]=$M$3)*(MasterPaid[Date]=$A148)),COUNTIFS($A$6:$A148,$A148,$J$6:$J148,"Payment")),0),0))</f>
        <v/>
      </c>
      <c r="G148" s="331"/>
      <c r="H148" s="427"/>
      <c r="I148" s="330" t="str">
        <f t="shared" si="11"/>
        <v/>
      </c>
      <c r="J148" s="344" t="str" cm="1">
        <f t="array" ref="J148">IFERROR(INDEX(_xlfn.ANCHORARRAY($P$6),ROW()-5,3),"")</f>
        <v/>
      </c>
      <c r="K148" s="432" t="str" cm="1">
        <f t="array" ref="K148">IF(OR($A148="",$J148&lt;&gt;"DIESEL"),"",_xlfn.LET(_xlpm.qty,N($C148),_xlpm.pos,$T$5:$T$54,_xlpm.alo,IF($U$5:$U$54="",0,$U$5:$U$54),_xlpm.usd,SUMIFS($C$6:$C147,$K$6:$K147,_xlpm.pos&amp;""),_xlpm.bal,_xlpm.alo-_xlpm.usd,IFERROR(INDEX(_xlfn._xlws.FILTER(_xlpm.pos,(_xlpm.pos&lt;&gt;"")*(_xlpm.qty&gt;0)*(_xlpm.bal&gt;=_xlpm.qty)),1),"")))</f>
        <v/>
      </c>
      <c r="L148" s="348"/>
    </row>
    <row r="149" spans="1:12" ht="21.75" x14ac:dyDescent="0.25">
      <c r="A149" s="217" t="str" cm="1">
        <f t="array" ref="A149">IFERROR(INDEX(_xlfn.ANCHORARRAY($P$6),ROW()-5,1),"")</f>
        <v/>
      </c>
      <c r="B149" s="344" t="str" cm="1">
        <f t="array" ref="B149">IFERROR(INDEX(_xlfn.ANCHORARRAY($P$6),ROW()-5,2),"")</f>
        <v/>
      </c>
      <c r="C149" s="345" t="str">
        <f>IF($A149="","",IF($J149="DIESEL",SUMIFS(Table1[Quantity],Table1[Customer],$M$3,Table1[Date],$A149,Table1[Bill No.],$B149),IF($J149="PETROL",SUMIFS(Table14[Quantity],Table14[Customer],$M$3,Table14[Date],$A149,Table14[Bill No.],$B149),IF($J149="XtraGreen",SUMIFS(Table146[Quantity],Table146[Company],$M$3,Table146[Date],$A149,Table146[Bill No.],$B149),""))))</f>
        <v/>
      </c>
      <c r="D149" s="346" t="str">
        <f>IF($A149="","",IF($J149="DIESEL",AVERAGEIFS(Table1[RSP],Table1[Customer],$M$3,Table1[Date],$A149,Table1[Bill No.],$B149),IF($J149="PETROL",AVERAGEIFS(Table14[RSP],Table14[Customer],$M$3,Table14[Date],$A149,Table14[Bill No.],$B149),IF($J149="XtraGreen",AVERAGEIFS(Table146[RSP],Table146[Company],$M$3,Table146[Date],$A149,Table146[Bill No.],$B149),IFERROR($E149/$C149,"")))))</f>
        <v/>
      </c>
      <c r="E149" s="347" t="str">
        <f>IF($A149="","",IF($J149="DIESEL",SUMIFS(Table1[Amount],Table1[Customer],$M$3,Table1[Date],$A149,Table1[Bill No.],$B149),IF($J149="PETROL",SUMIFS(Table14[Amount],Table14[Customer],$M$3,Table14[Date],$A149,Table14[Bill No.],$B149),IF($J149="XtraGreen",SUMIFS(Table146[Amount],Table146[Company],$M$3,Table146[Date],$A149,Table146[Bill No.],$B149),SUMIFS('Other Sale'!$D:$D,'Other Sale'!$E:$E,$M$3,'Other Sale'!$C:$C,$J149,'Other Sale'!$A:$A,$A149)))))</f>
        <v/>
      </c>
      <c r="F149" s="347" t="str" cm="1">
        <f t="array" ref="F149">IF($A149="","",IF($J149="Payment",IFERROR(INDEX(_xlfn._xlws.FILTER(MasterPaid[Amount Paid],(MasterPaid[Customer]=$M$3)*(MasterPaid[Date]=$A149)),COUNTIFS($A$6:$A149,$A149,$J$6:$J149,"Payment")),0),0))</f>
        <v/>
      </c>
      <c r="G149" s="331"/>
      <c r="H149" s="427"/>
      <c r="I149" s="330" t="str">
        <f t="shared" si="11"/>
        <v/>
      </c>
      <c r="J149" s="344" t="str" cm="1">
        <f t="array" ref="J149">IFERROR(INDEX(_xlfn.ANCHORARRAY($P$6),ROW()-5,3),"")</f>
        <v/>
      </c>
      <c r="K149" s="432" t="str" cm="1">
        <f t="array" ref="K149">IF(OR($A149="",$J149&lt;&gt;"DIESEL"),"",_xlfn.LET(_xlpm.qty,N($C149),_xlpm.pos,$T$5:$T$54,_xlpm.alo,IF($U$5:$U$54="",0,$U$5:$U$54),_xlpm.usd,SUMIFS($C$6:$C148,$K$6:$K148,_xlpm.pos&amp;""),_xlpm.bal,_xlpm.alo-_xlpm.usd,IFERROR(INDEX(_xlfn._xlws.FILTER(_xlpm.pos,(_xlpm.pos&lt;&gt;"")*(_xlpm.qty&gt;0)*(_xlpm.bal&gt;=_xlpm.qty)),1),"")))</f>
        <v/>
      </c>
      <c r="L149" s="348"/>
    </row>
    <row r="150" spans="1:12" ht="21.75" x14ac:dyDescent="0.25">
      <c r="A150" s="217" t="str" cm="1">
        <f t="array" ref="A150">IFERROR(INDEX(_xlfn.ANCHORARRAY($P$6),ROW()-5,1),"")</f>
        <v/>
      </c>
      <c r="B150" s="344" t="str" cm="1">
        <f t="array" ref="B150">IFERROR(INDEX(_xlfn.ANCHORARRAY($P$6),ROW()-5,2),"")</f>
        <v/>
      </c>
      <c r="C150" s="345" t="str">
        <f>IF($A150="","",IF($J150="DIESEL",SUMIFS(Table1[Quantity],Table1[Customer],$M$3,Table1[Date],$A150,Table1[Bill No.],$B150),IF($J150="PETROL",SUMIFS(Table14[Quantity],Table14[Customer],$M$3,Table14[Date],$A150,Table14[Bill No.],$B150),IF($J150="XtraGreen",SUMIFS(Table146[Quantity],Table146[Company],$M$3,Table146[Date],$A150,Table146[Bill No.],$B150),""))))</f>
        <v/>
      </c>
      <c r="D150" s="346" t="str">
        <f>IF($A150="","",IF($J150="DIESEL",AVERAGEIFS(Table1[RSP],Table1[Customer],$M$3,Table1[Date],$A150,Table1[Bill No.],$B150),IF($J150="PETROL",AVERAGEIFS(Table14[RSP],Table14[Customer],$M$3,Table14[Date],$A150,Table14[Bill No.],$B150),IF($J150="XtraGreen",AVERAGEIFS(Table146[RSP],Table146[Company],$M$3,Table146[Date],$A150,Table146[Bill No.],$B150),IFERROR($E150/$C150,"")))))</f>
        <v/>
      </c>
      <c r="E150" s="347" t="str">
        <f>IF($A150="","",IF($J150="DIESEL",SUMIFS(Table1[Amount],Table1[Customer],$M$3,Table1[Date],$A150,Table1[Bill No.],$B150),IF($J150="PETROL",SUMIFS(Table14[Amount],Table14[Customer],$M$3,Table14[Date],$A150,Table14[Bill No.],$B150),IF($J150="XtraGreen",SUMIFS(Table146[Amount],Table146[Company],$M$3,Table146[Date],$A150,Table146[Bill No.],$B150),SUMIFS('Other Sale'!$D:$D,'Other Sale'!$E:$E,$M$3,'Other Sale'!$C:$C,$J150,'Other Sale'!$A:$A,$A150)))))</f>
        <v/>
      </c>
      <c r="F150" s="347" t="str" cm="1">
        <f t="array" ref="F150">IF($A150="","",IF($J150="Payment",IFERROR(INDEX(_xlfn._xlws.FILTER(MasterPaid[Amount Paid],(MasterPaid[Customer]=$M$3)*(MasterPaid[Date]=$A150)),COUNTIFS($A$6:$A150,$A150,$J$6:$J150,"Payment")),0),0))</f>
        <v/>
      </c>
      <c r="G150" s="331"/>
      <c r="H150" s="427"/>
      <c r="I150" s="330" t="str">
        <f t="shared" ref="I150:I213" si="12">IF($A150="","",I149+N(E150)-N(F150)-N(G150)-N(H150))</f>
        <v/>
      </c>
      <c r="J150" s="344" t="str" cm="1">
        <f t="array" ref="J150">IFERROR(INDEX(_xlfn.ANCHORARRAY($P$6),ROW()-5,3),"")</f>
        <v/>
      </c>
      <c r="K150" s="432" t="str" cm="1">
        <f t="array" ref="K150">IF(OR($A150="",$J150&lt;&gt;"DIESEL"),"",_xlfn.LET(_xlpm.qty,N($C150),_xlpm.pos,$T$5:$T$54,_xlpm.alo,IF($U$5:$U$54="",0,$U$5:$U$54),_xlpm.usd,SUMIFS($C$6:$C149,$K$6:$K149,_xlpm.pos&amp;""),_xlpm.bal,_xlpm.alo-_xlpm.usd,IFERROR(INDEX(_xlfn._xlws.FILTER(_xlpm.pos,(_xlpm.pos&lt;&gt;"")*(_xlpm.qty&gt;0)*(_xlpm.bal&gt;=_xlpm.qty)),1),"")))</f>
        <v/>
      </c>
      <c r="L150" s="348"/>
    </row>
    <row r="151" spans="1:12" ht="21.75" x14ac:dyDescent="0.25">
      <c r="A151" s="217" t="str" cm="1">
        <f t="array" ref="A151">IFERROR(INDEX(_xlfn.ANCHORARRAY($P$6),ROW()-5,1),"")</f>
        <v/>
      </c>
      <c r="B151" s="344" t="str" cm="1">
        <f t="array" ref="B151">IFERROR(INDEX(_xlfn.ANCHORARRAY($P$6),ROW()-5,2),"")</f>
        <v/>
      </c>
      <c r="C151" s="345" t="str">
        <f>IF($A151="","",IF($J151="DIESEL",SUMIFS(Table1[Quantity],Table1[Customer],$M$3,Table1[Date],$A151,Table1[Bill No.],$B151),IF($J151="PETROL",SUMIFS(Table14[Quantity],Table14[Customer],$M$3,Table14[Date],$A151,Table14[Bill No.],$B151),IF($J151="XtraGreen",SUMIFS(Table146[Quantity],Table146[Company],$M$3,Table146[Date],$A151,Table146[Bill No.],$B151),""))))</f>
        <v/>
      </c>
      <c r="D151" s="346" t="str">
        <f>IF($A151="","",IF($J151="DIESEL",AVERAGEIFS(Table1[RSP],Table1[Customer],$M$3,Table1[Date],$A151,Table1[Bill No.],$B151),IF($J151="PETROL",AVERAGEIFS(Table14[RSP],Table14[Customer],$M$3,Table14[Date],$A151,Table14[Bill No.],$B151),IF($J151="XtraGreen",AVERAGEIFS(Table146[RSP],Table146[Company],$M$3,Table146[Date],$A151,Table146[Bill No.],$B151),IFERROR($E151/$C151,"")))))</f>
        <v/>
      </c>
      <c r="E151" s="347" t="str">
        <f>IF($A151="","",IF($J151="DIESEL",SUMIFS(Table1[Amount],Table1[Customer],$M$3,Table1[Date],$A151,Table1[Bill No.],$B151),IF($J151="PETROL",SUMIFS(Table14[Amount],Table14[Customer],$M$3,Table14[Date],$A151,Table14[Bill No.],$B151),IF($J151="XtraGreen",SUMIFS(Table146[Amount],Table146[Company],$M$3,Table146[Date],$A151,Table146[Bill No.],$B151),SUMIFS('Other Sale'!$D:$D,'Other Sale'!$E:$E,$M$3,'Other Sale'!$C:$C,$J151,'Other Sale'!$A:$A,$A151)))))</f>
        <v/>
      </c>
      <c r="F151" s="347" t="str" cm="1">
        <f t="array" ref="F151">IF($A151="","",IF($J151="Payment",IFERROR(INDEX(_xlfn._xlws.FILTER(MasterPaid[Amount Paid],(MasterPaid[Customer]=$M$3)*(MasterPaid[Date]=$A151)),COUNTIFS($A$6:$A151,$A151,$J$6:$J151,"Payment")),0),0))</f>
        <v/>
      </c>
      <c r="G151" s="331"/>
      <c r="H151" s="427"/>
      <c r="I151" s="330" t="str">
        <f t="shared" si="12"/>
        <v/>
      </c>
      <c r="J151" s="344" t="str" cm="1">
        <f t="array" ref="J151">IFERROR(INDEX(_xlfn.ANCHORARRAY($P$6),ROW()-5,3),"")</f>
        <v/>
      </c>
      <c r="K151" s="432" t="str" cm="1">
        <f t="array" ref="K151">IF(OR($A151="",$J151&lt;&gt;"DIESEL"),"",_xlfn.LET(_xlpm.qty,N($C151),_xlpm.pos,$T$5:$T$54,_xlpm.alo,IF($U$5:$U$54="",0,$U$5:$U$54),_xlpm.usd,SUMIFS($C$6:$C150,$K$6:$K150,_xlpm.pos&amp;""),_xlpm.bal,_xlpm.alo-_xlpm.usd,IFERROR(INDEX(_xlfn._xlws.FILTER(_xlpm.pos,(_xlpm.pos&lt;&gt;"")*(_xlpm.qty&gt;0)*(_xlpm.bal&gt;=_xlpm.qty)),1),"")))</f>
        <v/>
      </c>
      <c r="L151" s="348"/>
    </row>
    <row r="152" spans="1:12" ht="23" x14ac:dyDescent="0.25">
      <c r="A152" s="217" t="str" cm="1">
        <f t="array" ref="A152">IFERROR(INDEX(_xlfn.ANCHORARRAY($P$6),ROW()-5,1),"")</f>
        <v/>
      </c>
      <c r="B152" s="344" t="str" cm="1">
        <f t="array" ref="B152">IFERROR(INDEX(_xlfn.ANCHORARRAY($P$6),ROW()-5,2),"")</f>
        <v/>
      </c>
      <c r="C152" s="345" t="str">
        <f>IF($A152="","",IF($J152="DIESEL",SUMIFS(Table1[Quantity],Table1[Customer],$M$3,Table1[Date],$A152,Table1[Bill No.],$B152),IF($J152="PETROL",SUMIFS(Table14[Quantity],Table14[Customer],$M$3,Table14[Date],$A152,Table14[Bill No.],$B152),IF($J152="XtraGreen",SUMIFS(Table146[Quantity],Table146[Company],$M$3,Table146[Date],$A152,Table146[Bill No.],$B152),""))))</f>
        <v/>
      </c>
      <c r="D152" s="346" t="str">
        <f>IF($A152="","",IF($J152="DIESEL",AVERAGEIFS(Table1[RSP],Table1[Customer],$M$3,Table1[Date],$A152,Table1[Bill No.],$B152),IF($J152="PETROL",AVERAGEIFS(Table14[RSP],Table14[Customer],$M$3,Table14[Date],$A152,Table14[Bill No.],$B152),IF($J152="XtraGreen",AVERAGEIFS(Table146[RSP],Table146[Company],$M$3,Table146[Date],$A152,Table146[Bill No.],$B152),IFERROR($E152/$C152,"")))))</f>
        <v/>
      </c>
      <c r="E152" s="347" t="str">
        <f>IF($A152="","",IF($J152="DIESEL",SUMIFS(Table1[Amount],Table1[Customer],$M$3,Table1[Date],$A152,Table1[Bill No.],$B152),IF($J152="PETROL",SUMIFS(Table14[Amount],Table14[Customer],$M$3,Table14[Date],$A152,Table14[Bill No.],$B152),IF($J152="XtraGreen",SUMIFS(Table146[Amount],Table146[Company],$M$3,Table146[Date],$A152,Table146[Bill No.],$B152),SUMIFS('Other Sale'!$D:$D,'Other Sale'!$E:$E,$M$3,'Other Sale'!$C:$C,$J152,'Other Sale'!$A:$A,$A152)))))</f>
        <v/>
      </c>
      <c r="F152" s="347" t="str" cm="1">
        <f t="array" ref="F152">IF($A152="","",IF($J152="Payment",IFERROR(INDEX(_xlfn._xlws.FILTER(MasterPaid[Amount Paid],(MasterPaid[Customer]=$M$3)*(MasterPaid[Date]=$A152)),COUNTIFS($A$6:$A152,$A152,$J$6:$J152,"Payment")),0),0))</f>
        <v/>
      </c>
      <c r="G152" s="331"/>
      <c r="H152" s="427"/>
      <c r="I152" s="330" t="str">
        <f t="shared" si="12"/>
        <v/>
      </c>
      <c r="J152" s="344" t="str" cm="1">
        <f t="array" ref="J152">IFERROR(INDEX(_xlfn.ANCHORARRAY($P$6),ROW()-5,3),"")</f>
        <v/>
      </c>
      <c r="K152" s="432" t="str" cm="1">
        <f t="array" ref="K152">IF(OR($A152="",$J152&lt;&gt;"DIESEL"),"",_xlfn.LET(_xlpm.qty,N($C152),_xlpm.pos,$T$5:$T$54,_xlpm.alo,IF($U$5:$U$54="",0,$U$5:$U$54),_xlpm.usd,SUMIFS($C$6:$C151,$K$6:$K151,_xlpm.pos&amp;""),_xlpm.bal,_xlpm.alo-_xlpm.usd,IFERROR(INDEX(_xlfn._xlws.FILTER(_xlpm.pos,(_xlpm.pos&lt;&gt;"")*(_xlpm.qty&gt;0)*(_xlpm.bal&gt;=_xlpm.qty)),1),"")))</f>
        <v/>
      </c>
      <c r="L152" s="348"/>
    </row>
    <row r="153" spans="1:12" ht="23" x14ac:dyDescent="0.25">
      <c r="A153" s="217" t="str" cm="1">
        <f t="array" ref="A153">IFERROR(INDEX(_xlfn.ANCHORARRAY($P$6),ROW()-5,1),"")</f>
        <v/>
      </c>
      <c r="B153" s="344" t="str" cm="1">
        <f t="array" ref="B153">IFERROR(INDEX(_xlfn.ANCHORARRAY($P$6),ROW()-5,2),"")</f>
        <v/>
      </c>
      <c r="C153" s="345" t="str">
        <f>IF($A153="","",IF($J153="DIESEL",SUMIFS(Table1[Quantity],Table1[Customer],$M$3,Table1[Date],$A153,Table1[Bill No.],$B153),IF($J153="PETROL",SUMIFS(Table14[Quantity],Table14[Customer],$M$3,Table14[Date],$A153,Table14[Bill No.],$B153),IF($J153="XtraGreen",SUMIFS(Table146[Quantity],Table146[Company],$M$3,Table146[Date],$A153,Table146[Bill No.],$B153),""))))</f>
        <v/>
      </c>
      <c r="D153" s="346" t="str">
        <f>IF($A153="","",IF($J153="DIESEL",AVERAGEIFS(Table1[RSP],Table1[Customer],$M$3,Table1[Date],$A153,Table1[Bill No.],$B153),IF($J153="PETROL",AVERAGEIFS(Table14[RSP],Table14[Customer],$M$3,Table14[Date],$A153,Table14[Bill No.],$B153),IF($J153="XtraGreen",AVERAGEIFS(Table146[RSP],Table146[Company],$M$3,Table146[Date],$A153,Table146[Bill No.],$B153),IFERROR($E153/$C153,"")))))</f>
        <v/>
      </c>
      <c r="E153" s="347" t="str">
        <f>IF($A153="","",IF($J153="DIESEL",SUMIFS(Table1[Amount],Table1[Customer],$M$3,Table1[Date],$A153,Table1[Bill No.],$B153),IF($J153="PETROL",SUMIFS(Table14[Amount],Table14[Customer],$M$3,Table14[Date],$A153,Table14[Bill No.],$B153),IF($J153="XtraGreen",SUMIFS(Table146[Amount],Table146[Company],$M$3,Table146[Date],$A153,Table146[Bill No.],$B153),SUMIFS('Other Sale'!$D:$D,'Other Sale'!$E:$E,$M$3,'Other Sale'!$C:$C,$J153,'Other Sale'!$A:$A,$A153)))))</f>
        <v/>
      </c>
      <c r="F153" s="347" t="str" cm="1">
        <f t="array" ref="F153">IF($A153="","",IF($J153="Payment",IFERROR(INDEX(_xlfn._xlws.FILTER(MasterPaid[Amount Paid],(MasterPaid[Customer]=$M$3)*(MasterPaid[Date]=$A153)),COUNTIFS($A$6:$A153,$A153,$J$6:$J153,"Payment")),0),0))</f>
        <v/>
      </c>
      <c r="G153" s="331"/>
      <c r="H153" s="427"/>
      <c r="I153" s="330" t="str">
        <f t="shared" si="12"/>
        <v/>
      </c>
      <c r="J153" s="344" t="str" cm="1">
        <f t="array" ref="J153">IFERROR(INDEX(_xlfn.ANCHORARRAY($P$6),ROW()-5,3),"")</f>
        <v/>
      </c>
      <c r="K153" s="432" t="str" cm="1">
        <f t="array" ref="K153">IF(OR($A153="",$J153&lt;&gt;"DIESEL"),"",_xlfn.LET(_xlpm.qty,N($C153),_xlpm.pos,$T$5:$T$54,_xlpm.alo,IF($U$5:$U$54="",0,$U$5:$U$54),_xlpm.usd,SUMIFS($C$6:$C152,$K$6:$K152,_xlpm.pos&amp;""),_xlpm.bal,_xlpm.alo-_xlpm.usd,IFERROR(INDEX(_xlfn._xlws.FILTER(_xlpm.pos,(_xlpm.pos&lt;&gt;"")*(_xlpm.qty&gt;0)*(_xlpm.bal&gt;=_xlpm.qty)),1),"")))</f>
        <v/>
      </c>
      <c r="L153" s="348"/>
    </row>
    <row r="154" spans="1:12" ht="23" x14ac:dyDescent="0.25">
      <c r="A154" s="217" t="str" cm="1">
        <f t="array" ref="A154">IFERROR(INDEX(_xlfn.ANCHORARRAY($P$6),ROW()-5,1),"")</f>
        <v/>
      </c>
      <c r="B154" s="344" t="str" cm="1">
        <f t="array" ref="B154">IFERROR(INDEX(_xlfn.ANCHORARRAY($P$6),ROW()-5,2),"")</f>
        <v/>
      </c>
      <c r="C154" s="345" t="str">
        <f>IF($A154="","",IF($J154="DIESEL",SUMIFS(Table1[Quantity],Table1[Customer],$M$3,Table1[Date],$A154,Table1[Bill No.],$B154),IF($J154="PETROL",SUMIFS(Table14[Quantity],Table14[Customer],$M$3,Table14[Date],$A154,Table14[Bill No.],$B154),IF($J154="XtraGreen",SUMIFS(Table146[Quantity],Table146[Company],$M$3,Table146[Date],$A154,Table146[Bill No.],$B154),""))))</f>
        <v/>
      </c>
      <c r="D154" s="346" t="str">
        <f>IF($A154="","",IF($J154="DIESEL",AVERAGEIFS(Table1[RSP],Table1[Customer],$M$3,Table1[Date],$A154,Table1[Bill No.],$B154),IF($J154="PETROL",AVERAGEIFS(Table14[RSP],Table14[Customer],$M$3,Table14[Date],$A154,Table14[Bill No.],$B154),IF($J154="XtraGreen",AVERAGEIFS(Table146[RSP],Table146[Company],$M$3,Table146[Date],$A154,Table146[Bill No.],$B154),IFERROR($E154/$C154,"")))))</f>
        <v/>
      </c>
      <c r="E154" s="347" t="str">
        <f>IF($A154="","",IF($J154="DIESEL",SUMIFS(Table1[Amount],Table1[Customer],$M$3,Table1[Date],$A154,Table1[Bill No.],$B154),IF($J154="PETROL",SUMIFS(Table14[Amount],Table14[Customer],$M$3,Table14[Date],$A154,Table14[Bill No.],$B154),IF($J154="XtraGreen",SUMIFS(Table146[Amount],Table146[Company],$M$3,Table146[Date],$A154,Table146[Bill No.],$B154),SUMIFS('Other Sale'!$D:$D,'Other Sale'!$E:$E,$M$3,'Other Sale'!$C:$C,$J154,'Other Sale'!$A:$A,$A154)))))</f>
        <v/>
      </c>
      <c r="F154" s="347" t="str" cm="1">
        <f t="array" ref="F154">IF($A154="","",IF($J154="Payment",IFERROR(INDEX(_xlfn._xlws.FILTER(MasterPaid[Amount Paid],(MasterPaid[Customer]=$M$3)*(MasterPaid[Date]=$A154)),COUNTIFS($A$6:$A154,$A154,$J$6:$J154,"Payment")),0),0))</f>
        <v/>
      </c>
      <c r="G154" s="331"/>
      <c r="H154" s="427"/>
      <c r="I154" s="330" t="str">
        <f t="shared" si="12"/>
        <v/>
      </c>
      <c r="J154" s="344" t="str" cm="1">
        <f t="array" ref="J154">IFERROR(INDEX(_xlfn.ANCHORARRAY($P$6),ROW()-5,3),"")</f>
        <v/>
      </c>
      <c r="K154" s="432" t="str" cm="1">
        <f t="array" ref="K154">IF(OR($A154="",$J154&lt;&gt;"DIESEL"),"",_xlfn.LET(_xlpm.qty,N($C154),_xlpm.pos,$T$5:$T$54,_xlpm.alo,IF($U$5:$U$54="",0,$U$5:$U$54),_xlpm.usd,SUMIFS($C$6:$C153,$K$6:$K153,_xlpm.pos&amp;""),_xlpm.bal,_xlpm.alo-_xlpm.usd,IFERROR(INDEX(_xlfn._xlws.FILTER(_xlpm.pos,(_xlpm.pos&lt;&gt;"")*(_xlpm.qty&gt;0)*(_xlpm.bal&gt;=_xlpm.qty)),1),"")))</f>
        <v/>
      </c>
      <c r="L154" s="348"/>
    </row>
    <row r="155" spans="1:12" ht="23" x14ac:dyDescent="0.25">
      <c r="A155" s="217" t="str" cm="1">
        <f t="array" ref="A155">IFERROR(INDEX(_xlfn.ANCHORARRAY($P$6),ROW()-5,1),"")</f>
        <v/>
      </c>
      <c r="B155" s="344" t="str" cm="1">
        <f t="array" ref="B155">IFERROR(INDEX(_xlfn.ANCHORARRAY($P$6),ROW()-5,2),"")</f>
        <v/>
      </c>
      <c r="C155" s="345" t="str">
        <f>IF($A155="","",IF($J155="DIESEL",SUMIFS(Table1[Quantity],Table1[Customer],$M$3,Table1[Date],$A155,Table1[Bill No.],$B155),IF($J155="PETROL",SUMIFS(Table14[Quantity],Table14[Customer],$M$3,Table14[Date],$A155,Table14[Bill No.],$B155),IF($J155="XtraGreen",SUMIFS(Table146[Quantity],Table146[Company],$M$3,Table146[Date],$A155,Table146[Bill No.],$B155),""))))</f>
        <v/>
      </c>
      <c r="D155" s="346" t="str">
        <f>IF($A155="","",IF($J155="DIESEL",AVERAGEIFS(Table1[RSP],Table1[Customer],$M$3,Table1[Date],$A155,Table1[Bill No.],$B155),IF($J155="PETROL",AVERAGEIFS(Table14[RSP],Table14[Customer],$M$3,Table14[Date],$A155,Table14[Bill No.],$B155),IF($J155="XtraGreen",AVERAGEIFS(Table146[RSP],Table146[Company],$M$3,Table146[Date],$A155,Table146[Bill No.],$B155),IFERROR($E155/$C155,"")))))</f>
        <v/>
      </c>
      <c r="E155" s="347" t="str">
        <f>IF($A155="","",IF($J155="DIESEL",SUMIFS(Table1[Amount],Table1[Customer],$M$3,Table1[Date],$A155,Table1[Bill No.],$B155),IF($J155="PETROL",SUMIFS(Table14[Amount],Table14[Customer],$M$3,Table14[Date],$A155,Table14[Bill No.],$B155),IF($J155="XtraGreen",SUMIFS(Table146[Amount],Table146[Company],$M$3,Table146[Date],$A155,Table146[Bill No.],$B155),SUMIFS('Other Sale'!$D:$D,'Other Sale'!$E:$E,$M$3,'Other Sale'!$C:$C,$J155,'Other Sale'!$A:$A,$A155)))))</f>
        <v/>
      </c>
      <c r="F155" s="347" t="str" cm="1">
        <f t="array" ref="F155">IF($A155="","",IF($J155="Payment",IFERROR(INDEX(_xlfn._xlws.FILTER(MasterPaid[Amount Paid],(MasterPaid[Customer]=$M$3)*(MasterPaid[Date]=$A155)),COUNTIFS($A$6:$A155,$A155,$J$6:$J155,"Payment")),0),0))</f>
        <v/>
      </c>
      <c r="G155" s="331"/>
      <c r="H155" s="427"/>
      <c r="I155" s="330" t="str">
        <f t="shared" si="12"/>
        <v/>
      </c>
      <c r="J155" s="344" t="str" cm="1">
        <f t="array" ref="J155">IFERROR(INDEX(_xlfn.ANCHORARRAY($P$6),ROW()-5,3),"")</f>
        <v/>
      </c>
      <c r="K155" s="432" t="str" cm="1">
        <f t="array" ref="K155">IF(OR($A155="",$J155&lt;&gt;"DIESEL"),"",_xlfn.LET(_xlpm.qty,N($C155),_xlpm.pos,$T$5:$T$54,_xlpm.alo,IF($U$5:$U$54="",0,$U$5:$U$54),_xlpm.usd,SUMIFS($C$6:$C154,$K$6:$K154,_xlpm.pos&amp;""),_xlpm.bal,_xlpm.alo-_xlpm.usd,IFERROR(INDEX(_xlfn._xlws.FILTER(_xlpm.pos,(_xlpm.pos&lt;&gt;"")*(_xlpm.qty&gt;0)*(_xlpm.bal&gt;=_xlpm.qty)),1),"")))</f>
        <v/>
      </c>
      <c r="L155" s="348"/>
    </row>
    <row r="156" spans="1:12" ht="23" x14ac:dyDescent="0.25">
      <c r="A156" s="217" t="str" cm="1">
        <f t="array" ref="A156">IFERROR(INDEX(_xlfn.ANCHORARRAY($P$6),ROW()-5,1),"")</f>
        <v/>
      </c>
      <c r="B156" s="344" t="str" cm="1">
        <f t="array" ref="B156">IFERROR(INDEX(_xlfn.ANCHORARRAY($P$6),ROW()-5,2),"")</f>
        <v/>
      </c>
      <c r="C156" s="345" t="str">
        <f>IF($A156="","",IF($J156="DIESEL",SUMIFS(Table1[Quantity],Table1[Customer],$M$3,Table1[Date],$A156,Table1[Bill No.],$B156),IF($J156="PETROL",SUMIFS(Table14[Quantity],Table14[Customer],$M$3,Table14[Date],$A156,Table14[Bill No.],$B156),IF($J156="XtraGreen",SUMIFS(Table146[Quantity],Table146[Company],$M$3,Table146[Date],$A156,Table146[Bill No.],$B156),""))))</f>
        <v/>
      </c>
      <c r="D156" s="346" t="str">
        <f>IF($A156="","",IF($J156="DIESEL",AVERAGEIFS(Table1[RSP],Table1[Customer],$M$3,Table1[Date],$A156,Table1[Bill No.],$B156),IF($J156="PETROL",AVERAGEIFS(Table14[RSP],Table14[Customer],$M$3,Table14[Date],$A156,Table14[Bill No.],$B156),IF($J156="XtraGreen",AVERAGEIFS(Table146[RSP],Table146[Company],$M$3,Table146[Date],$A156,Table146[Bill No.],$B156),IFERROR($E156/$C156,"")))))</f>
        <v/>
      </c>
      <c r="E156" s="347" t="str">
        <f>IF($A156="","",IF($J156="DIESEL",SUMIFS(Table1[Amount],Table1[Customer],$M$3,Table1[Date],$A156,Table1[Bill No.],$B156),IF($J156="PETROL",SUMIFS(Table14[Amount],Table14[Customer],$M$3,Table14[Date],$A156,Table14[Bill No.],$B156),IF($J156="XtraGreen",SUMIFS(Table146[Amount],Table146[Company],$M$3,Table146[Date],$A156,Table146[Bill No.],$B156),SUMIFS('Other Sale'!$D:$D,'Other Sale'!$E:$E,$M$3,'Other Sale'!$C:$C,$J156,'Other Sale'!$A:$A,$A156)))))</f>
        <v/>
      </c>
      <c r="F156" s="347" t="str" cm="1">
        <f t="array" ref="F156">IF($A156="","",IF($J156="Payment",IFERROR(INDEX(_xlfn._xlws.FILTER(MasterPaid[Amount Paid],(MasterPaid[Customer]=$M$3)*(MasterPaid[Date]=$A156)),COUNTIFS($A$6:$A156,$A156,$J$6:$J156,"Payment")),0),0))</f>
        <v/>
      </c>
      <c r="G156" s="331"/>
      <c r="H156" s="427"/>
      <c r="I156" s="330" t="str">
        <f t="shared" si="12"/>
        <v/>
      </c>
      <c r="J156" s="344" t="str" cm="1">
        <f t="array" ref="J156">IFERROR(INDEX(_xlfn.ANCHORARRAY($P$6),ROW()-5,3),"")</f>
        <v/>
      </c>
      <c r="K156" s="432" t="str" cm="1">
        <f t="array" ref="K156">IF(OR($A156="",$J156&lt;&gt;"DIESEL"),"",_xlfn.LET(_xlpm.qty,N($C156),_xlpm.pos,$T$5:$T$54,_xlpm.alo,IF($U$5:$U$54="",0,$U$5:$U$54),_xlpm.usd,SUMIFS($C$6:$C155,$K$6:$K155,_xlpm.pos&amp;""),_xlpm.bal,_xlpm.alo-_xlpm.usd,IFERROR(INDEX(_xlfn._xlws.FILTER(_xlpm.pos,(_xlpm.pos&lt;&gt;"")*(_xlpm.qty&gt;0)*(_xlpm.bal&gt;=_xlpm.qty)),1),"")))</f>
        <v/>
      </c>
      <c r="L156" s="348"/>
    </row>
    <row r="157" spans="1:12" ht="23" x14ac:dyDescent="0.25">
      <c r="A157" s="217" t="str" cm="1">
        <f t="array" ref="A157">IFERROR(INDEX(_xlfn.ANCHORARRAY($P$6),ROW()-5,1),"")</f>
        <v/>
      </c>
      <c r="B157" s="344" t="str" cm="1">
        <f t="array" ref="B157">IFERROR(INDEX(_xlfn.ANCHORARRAY($P$6),ROW()-5,2),"")</f>
        <v/>
      </c>
      <c r="C157" s="345" t="str">
        <f>IF($A157="","",IF($J157="DIESEL",SUMIFS(Table1[Quantity],Table1[Customer],$M$3,Table1[Date],$A157,Table1[Bill No.],$B157),IF($J157="PETROL",SUMIFS(Table14[Quantity],Table14[Customer],$M$3,Table14[Date],$A157,Table14[Bill No.],$B157),IF($J157="XtraGreen",SUMIFS(Table146[Quantity],Table146[Company],$M$3,Table146[Date],$A157,Table146[Bill No.],$B157),""))))</f>
        <v/>
      </c>
      <c r="D157" s="346" t="str">
        <f>IF($A157="","",IF($J157="DIESEL",AVERAGEIFS(Table1[RSP],Table1[Customer],$M$3,Table1[Date],$A157,Table1[Bill No.],$B157),IF($J157="PETROL",AVERAGEIFS(Table14[RSP],Table14[Customer],$M$3,Table14[Date],$A157,Table14[Bill No.],$B157),IF($J157="XtraGreen",AVERAGEIFS(Table146[RSP],Table146[Company],$M$3,Table146[Date],$A157,Table146[Bill No.],$B157),IFERROR($E157/$C157,"")))))</f>
        <v/>
      </c>
      <c r="E157" s="347" t="str">
        <f>IF($A157="","",IF($J157="DIESEL",SUMIFS(Table1[Amount],Table1[Customer],$M$3,Table1[Date],$A157,Table1[Bill No.],$B157),IF($J157="PETROL",SUMIFS(Table14[Amount],Table14[Customer],$M$3,Table14[Date],$A157,Table14[Bill No.],$B157),IF($J157="XtraGreen",SUMIFS(Table146[Amount],Table146[Company],$M$3,Table146[Date],$A157,Table146[Bill No.],$B157),SUMIFS('Other Sale'!$D:$D,'Other Sale'!$E:$E,$M$3,'Other Sale'!$C:$C,$J157,'Other Sale'!$A:$A,$A157)))))</f>
        <v/>
      </c>
      <c r="F157" s="347" t="str" cm="1">
        <f t="array" ref="F157">IF($A157="","",IF($J157="Payment",IFERROR(INDEX(_xlfn._xlws.FILTER(MasterPaid[Amount Paid],(MasterPaid[Customer]=$M$3)*(MasterPaid[Date]=$A157)),COUNTIFS($A$6:$A157,$A157,$J$6:$J157,"Payment")),0),0))</f>
        <v/>
      </c>
      <c r="G157" s="331"/>
      <c r="H157" s="427"/>
      <c r="I157" s="330" t="str">
        <f t="shared" si="12"/>
        <v/>
      </c>
      <c r="J157" s="344" t="str" cm="1">
        <f t="array" ref="J157">IFERROR(INDEX(_xlfn.ANCHORARRAY($P$6),ROW()-5,3),"")</f>
        <v/>
      </c>
      <c r="K157" s="432" t="str" cm="1">
        <f t="array" ref="K157">IF(OR($A157="",$J157&lt;&gt;"DIESEL"),"",_xlfn.LET(_xlpm.qty,N($C157),_xlpm.pos,$T$5:$T$54,_xlpm.alo,IF($U$5:$U$54="",0,$U$5:$U$54),_xlpm.usd,SUMIFS($C$6:$C156,$K$6:$K156,_xlpm.pos&amp;""),_xlpm.bal,_xlpm.alo-_xlpm.usd,IFERROR(INDEX(_xlfn._xlws.FILTER(_xlpm.pos,(_xlpm.pos&lt;&gt;"")*(_xlpm.qty&gt;0)*(_xlpm.bal&gt;=_xlpm.qty)),1),"")))</f>
        <v/>
      </c>
      <c r="L157" s="348"/>
    </row>
    <row r="158" spans="1:12" ht="23" x14ac:dyDescent="0.25">
      <c r="A158" s="217" t="str" cm="1">
        <f t="array" ref="A158">IFERROR(INDEX(_xlfn.ANCHORARRAY($P$6),ROW()-5,1),"")</f>
        <v/>
      </c>
      <c r="B158" s="344" t="str" cm="1">
        <f t="array" ref="B158">IFERROR(INDEX(_xlfn.ANCHORARRAY($P$6),ROW()-5,2),"")</f>
        <v/>
      </c>
      <c r="C158" s="345" t="str">
        <f>IF($A158="","",IF($J158="DIESEL",SUMIFS(Table1[Quantity],Table1[Customer],$M$3,Table1[Date],$A158,Table1[Bill No.],$B158),IF($J158="PETROL",SUMIFS(Table14[Quantity],Table14[Customer],$M$3,Table14[Date],$A158,Table14[Bill No.],$B158),IF($J158="XtraGreen",SUMIFS(Table146[Quantity],Table146[Company],$M$3,Table146[Date],$A158,Table146[Bill No.],$B158),""))))</f>
        <v/>
      </c>
      <c r="D158" s="346" t="str">
        <f>IF($A158="","",IF($J158="DIESEL",AVERAGEIFS(Table1[RSP],Table1[Customer],$M$3,Table1[Date],$A158,Table1[Bill No.],$B158),IF($J158="PETROL",AVERAGEIFS(Table14[RSP],Table14[Customer],$M$3,Table14[Date],$A158,Table14[Bill No.],$B158),IF($J158="XtraGreen",AVERAGEIFS(Table146[RSP],Table146[Company],$M$3,Table146[Date],$A158,Table146[Bill No.],$B158),IFERROR($E158/$C158,"")))))</f>
        <v/>
      </c>
      <c r="E158" s="347" t="str">
        <f>IF($A158="","",IF($J158="DIESEL",SUMIFS(Table1[Amount],Table1[Customer],$M$3,Table1[Date],$A158,Table1[Bill No.],$B158),IF($J158="PETROL",SUMIFS(Table14[Amount],Table14[Customer],$M$3,Table14[Date],$A158,Table14[Bill No.],$B158),IF($J158="XtraGreen",SUMIFS(Table146[Amount],Table146[Company],$M$3,Table146[Date],$A158,Table146[Bill No.],$B158),SUMIFS('Other Sale'!$D:$D,'Other Sale'!$E:$E,$M$3,'Other Sale'!$C:$C,$J158,'Other Sale'!$A:$A,$A158)))))</f>
        <v/>
      </c>
      <c r="F158" s="347" t="str" cm="1">
        <f t="array" ref="F158">IF($A158="","",IF($J158="Payment",IFERROR(INDEX(_xlfn._xlws.FILTER(MasterPaid[Amount Paid],(MasterPaid[Customer]=$M$3)*(MasterPaid[Date]=$A158)),COUNTIFS($A$6:$A158,$A158,$J$6:$J158,"Payment")),0),0))</f>
        <v/>
      </c>
      <c r="G158" s="331"/>
      <c r="H158" s="427"/>
      <c r="I158" s="330" t="str">
        <f t="shared" si="12"/>
        <v/>
      </c>
      <c r="J158" s="344" t="str" cm="1">
        <f t="array" ref="J158">IFERROR(INDEX(_xlfn.ANCHORARRAY($P$6),ROW()-5,3),"")</f>
        <v/>
      </c>
      <c r="K158" s="432" t="str" cm="1">
        <f t="array" ref="K158">IF(OR($A158="",$J158&lt;&gt;"DIESEL"),"",_xlfn.LET(_xlpm.qty,N($C158),_xlpm.pos,$T$5:$T$54,_xlpm.alo,IF($U$5:$U$54="",0,$U$5:$U$54),_xlpm.usd,SUMIFS($C$6:$C157,$K$6:$K157,_xlpm.pos&amp;""),_xlpm.bal,_xlpm.alo-_xlpm.usd,IFERROR(INDEX(_xlfn._xlws.FILTER(_xlpm.pos,(_xlpm.pos&lt;&gt;"")*(_xlpm.qty&gt;0)*(_xlpm.bal&gt;=_xlpm.qty)),1),"")))</f>
        <v/>
      </c>
      <c r="L158" s="348"/>
    </row>
    <row r="159" spans="1:12" ht="23" x14ac:dyDescent="0.25">
      <c r="A159" s="217" t="str" cm="1">
        <f t="array" ref="A159">IFERROR(INDEX(_xlfn.ANCHORARRAY($P$6),ROW()-5,1),"")</f>
        <v/>
      </c>
      <c r="B159" s="344" t="str" cm="1">
        <f t="array" ref="B159">IFERROR(INDEX(_xlfn.ANCHORARRAY($P$6),ROW()-5,2),"")</f>
        <v/>
      </c>
      <c r="C159" s="345" t="str">
        <f>IF($A159="","",IF($J159="DIESEL",SUMIFS(Table1[Quantity],Table1[Customer],$M$3,Table1[Date],$A159,Table1[Bill No.],$B159),IF($J159="PETROL",SUMIFS(Table14[Quantity],Table14[Customer],$M$3,Table14[Date],$A159,Table14[Bill No.],$B159),IF($J159="XtraGreen",SUMIFS(Table146[Quantity],Table146[Company],$M$3,Table146[Date],$A159,Table146[Bill No.],$B159),""))))</f>
        <v/>
      </c>
      <c r="D159" s="346" t="str">
        <f>IF($A159="","",IF($J159="DIESEL",AVERAGEIFS(Table1[RSP],Table1[Customer],$M$3,Table1[Date],$A159,Table1[Bill No.],$B159),IF($J159="PETROL",AVERAGEIFS(Table14[RSP],Table14[Customer],$M$3,Table14[Date],$A159,Table14[Bill No.],$B159),IF($J159="XtraGreen",AVERAGEIFS(Table146[RSP],Table146[Company],$M$3,Table146[Date],$A159,Table146[Bill No.],$B159),IFERROR($E159/$C159,"")))))</f>
        <v/>
      </c>
      <c r="E159" s="347" t="str">
        <f>IF($A159="","",IF($J159="DIESEL",SUMIFS(Table1[Amount],Table1[Customer],$M$3,Table1[Date],$A159,Table1[Bill No.],$B159),IF($J159="PETROL",SUMIFS(Table14[Amount],Table14[Customer],$M$3,Table14[Date],$A159,Table14[Bill No.],$B159),IF($J159="XtraGreen",SUMIFS(Table146[Amount],Table146[Company],$M$3,Table146[Date],$A159,Table146[Bill No.],$B159),SUMIFS('Other Sale'!$D:$D,'Other Sale'!$E:$E,$M$3,'Other Sale'!$C:$C,$J159,'Other Sale'!$A:$A,$A159)))))</f>
        <v/>
      </c>
      <c r="F159" s="347" t="str" cm="1">
        <f t="array" ref="F159">IF($A159="","",IF($J159="Payment",IFERROR(INDEX(_xlfn._xlws.FILTER(MasterPaid[Amount Paid],(MasterPaid[Customer]=$M$3)*(MasterPaid[Date]=$A159)),COUNTIFS($A$6:$A159,$A159,$J$6:$J159,"Payment")),0),0))</f>
        <v/>
      </c>
      <c r="G159" s="331"/>
      <c r="H159" s="427"/>
      <c r="I159" s="330" t="str">
        <f t="shared" si="12"/>
        <v/>
      </c>
      <c r="J159" s="344" t="str" cm="1">
        <f t="array" ref="J159">IFERROR(INDEX(_xlfn.ANCHORARRAY($P$6),ROW()-5,3),"")</f>
        <v/>
      </c>
      <c r="K159" s="432" t="str" cm="1">
        <f t="array" ref="K159">IF(OR($A159="",$J159&lt;&gt;"DIESEL"),"",_xlfn.LET(_xlpm.qty,N($C159),_xlpm.pos,$T$5:$T$54,_xlpm.alo,IF($U$5:$U$54="",0,$U$5:$U$54),_xlpm.usd,SUMIFS($C$6:$C158,$K$6:$K158,_xlpm.pos&amp;""),_xlpm.bal,_xlpm.alo-_xlpm.usd,IFERROR(INDEX(_xlfn._xlws.FILTER(_xlpm.pos,(_xlpm.pos&lt;&gt;"")*(_xlpm.qty&gt;0)*(_xlpm.bal&gt;=_xlpm.qty)),1),"")))</f>
        <v/>
      </c>
      <c r="L159" s="348"/>
    </row>
    <row r="160" spans="1:12" ht="23" x14ac:dyDescent="0.25">
      <c r="A160" s="217" t="str" cm="1">
        <f t="array" ref="A160">IFERROR(INDEX(_xlfn.ANCHORARRAY($P$6),ROW()-5,1),"")</f>
        <v/>
      </c>
      <c r="B160" s="344" t="str" cm="1">
        <f t="array" ref="B160">IFERROR(INDEX(_xlfn.ANCHORARRAY($P$6),ROW()-5,2),"")</f>
        <v/>
      </c>
      <c r="C160" s="345" t="str">
        <f>IF($A160="","",IF($J160="DIESEL",SUMIFS(Table1[Quantity],Table1[Customer],$M$3,Table1[Date],$A160,Table1[Bill No.],$B160),IF($J160="PETROL",SUMIFS(Table14[Quantity],Table14[Customer],$M$3,Table14[Date],$A160,Table14[Bill No.],$B160),IF($J160="XtraGreen",SUMIFS(Table146[Quantity],Table146[Company],$M$3,Table146[Date],$A160,Table146[Bill No.],$B160),""))))</f>
        <v/>
      </c>
      <c r="D160" s="346" t="str">
        <f>IF($A160="","",IF($J160="DIESEL",AVERAGEIFS(Table1[RSP],Table1[Customer],$M$3,Table1[Date],$A160,Table1[Bill No.],$B160),IF($J160="PETROL",AVERAGEIFS(Table14[RSP],Table14[Customer],$M$3,Table14[Date],$A160,Table14[Bill No.],$B160),IF($J160="XtraGreen",AVERAGEIFS(Table146[RSP],Table146[Company],$M$3,Table146[Date],$A160,Table146[Bill No.],$B160),IFERROR($E160/$C160,"")))))</f>
        <v/>
      </c>
      <c r="E160" s="347" t="str">
        <f>IF($A160="","",IF($J160="DIESEL",SUMIFS(Table1[Amount],Table1[Customer],$M$3,Table1[Date],$A160,Table1[Bill No.],$B160),IF($J160="PETROL",SUMIFS(Table14[Amount],Table14[Customer],$M$3,Table14[Date],$A160,Table14[Bill No.],$B160),IF($J160="XtraGreen",SUMIFS(Table146[Amount],Table146[Company],$M$3,Table146[Date],$A160,Table146[Bill No.],$B160),SUMIFS('Other Sale'!$D:$D,'Other Sale'!$E:$E,$M$3,'Other Sale'!$C:$C,$J160,'Other Sale'!$A:$A,$A160)))))</f>
        <v/>
      </c>
      <c r="F160" s="347" t="str" cm="1">
        <f t="array" ref="F160">IF($A160="","",IF($J160="Payment",IFERROR(INDEX(_xlfn._xlws.FILTER(MasterPaid[Amount Paid],(MasterPaid[Customer]=$M$3)*(MasterPaid[Date]=$A160)),COUNTIFS($A$6:$A160,$A160,$J$6:$J160,"Payment")),0),0))</f>
        <v/>
      </c>
      <c r="G160" s="331"/>
      <c r="H160" s="427"/>
      <c r="I160" s="330" t="str">
        <f t="shared" si="12"/>
        <v/>
      </c>
      <c r="J160" s="344" t="str" cm="1">
        <f t="array" ref="J160">IFERROR(INDEX(_xlfn.ANCHORARRAY($P$6),ROW()-5,3),"")</f>
        <v/>
      </c>
      <c r="K160" s="432" t="str" cm="1">
        <f t="array" ref="K160">IF(OR($A160="",$J160&lt;&gt;"DIESEL"),"",_xlfn.LET(_xlpm.qty,N($C160),_xlpm.pos,$T$5:$T$54,_xlpm.alo,IF($U$5:$U$54="",0,$U$5:$U$54),_xlpm.usd,SUMIFS($C$6:$C159,$K$6:$K159,_xlpm.pos&amp;""),_xlpm.bal,_xlpm.alo-_xlpm.usd,IFERROR(INDEX(_xlfn._xlws.FILTER(_xlpm.pos,(_xlpm.pos&lt;&gt;"")*(_xlpm.qty&gt;0)*(_xlpm.bal&gt;=_xlpm.qty)),1),"")))</f>
        <v/>
      </c>
      <c r="L160" s="348"/>
    </row>
    <row r="161" spans="1:12" ht="23" x14ac:dyDescent="0.25">
      <c r="A161" s="217" t="str" cm="1">
        <f t="array" ref="A161">IFERROR(INDEX(_xlfn.ANCHORARRAY($P$6),ROW()-5,1),"")</f>
        <v/>
      </c>
      <c r="B161" s="344" t="str" cm="1">
        <f t="array" ref="B161">IFERROR(INDEX(_xlfn.ANCHORARRAY($P$6),ROW()-5,2),"")</f>
        <v/>
      </c>
      <c r="C161" s="345" t="str">
        <f>IF($A161="","",IF($J161="DIESEL",SUMIFS(Table1[Quantity],Table1[Customer],$M$3,Table1[Date],$A161,Table1[Bill No.],$B161),IF($J161="PETROL",SUMIFS(Table14[Quantity],Table14[Customer],$M$3,Table14[Date],$A161,Table14[Bill No.],$B161),IF($J161="XtraGreen",SUMIFS(Table146[Quantity],Table146[Company],$M$3,Table146[Date],$A161,Table146[Bill No.],$B161),""))))</f>
        <v/>
      </c>
      <c r="D161" s="346" t="str">
        <f>IF($A161="","",IF($J161="DIESEL",AVERAGEIFS(Table1[RSP],Table1[Customer],$M$3,Table1[Date],$A161,Table1[Bill No.],$B161),IF($J161="PETROL",AVERAGEIFS(Table14[RSP],Table14[Customer],$M$3,Table14[Date],$A161,Table14[Bill No.],$B161),IF($J161="XtraGreen",AVERAGEIFS(Table146[RSP],Table146[Company],$M$3,Table146[Date],$A161,Table146[Bill No.],$B161),IFERROR($E161/$C161,"")))))</f>
        <v/>
      </c>
      <c r="E161" s="347" t="str">
        <f>IF($A161="","",IF($J161="DIESEL",SUMIFS(Table1[Amount],Table1[Customer],$M$3,Table1[Date],$A161,Table1[Bill No.],$B161),IF($J161="PETROL",SUMIFS(Table14[Amount],Table14[Customer],$M$3,Table14[Date],$A161,Table14[Bill No.],$B161),IF($J161="XtraGreen",SUMIFS(Table146[Amount],Table146[Company],$M$3,Table146[Date],$A161,Table146[Bill No.],$B161),SUMIFS('Other Sale'!$D:$D,'Other Sale'!$E:$E,$M$3,'Other Sale'!$C:$C,$J161,'Other Sale'!$A:$A,$A161)))))</f>
        <v/>
      </c>
      <c r="F161" s="347" t="str" cm="1">
        <f t="array" ref="F161">IF($A161="","",IF($J161="Payment",IFERROR(INDEX(_xlfn._xlws.FILTER(MasterPaid[Amount Paid],(MasterPaid[Customer]=$M$3)*(MasterPaid[Date]=$A161)),COUNTIFS($A$6:$A161,$A161,$J$6:$J161,"Payment")),0),0))</f>
        <v/>
      </c>
      <c r="G161" s="331"/>
      <c r="H161" s="427"/>
      <c r="I161" s="330" t="str">
        <f t="shared" si="12"/>
        <v/>
      </c>
      <c r="J161" s="344" t="str" cm="1">
        <f t="array" ref="J161">IFERROR(INDEX(_xlfn.ANCHORARRAY($P$6),ROW()-5,3),"")</f>
        <v/>
      </c>
      <c r="K161" s="432" t="str" cm="1">
        <f t="array" ref="K161">IF(OR($A161="",$J161&lt;&gt;"DIESEL"),"",_xlfn.LET(_xlpm.qty,N($C161),_xlpm.pos,$T$5:$T$54,_xlpm.alo,IF($U$5:$U$54="",0,$U$5:$U$54),_xlpm.usd,SUMIFS($C$6:$C160,$K$6:$K160,_xlpm.pos&amp;""),_xlpm.bal,_xlpm.alo-_xlpm.usd,IFERROR(INDEX(_xlfn._xlws.FILTER(_xlpm.pos,(_xlpm.pos&lt;&gt;"")*(_xlpm.qty&gt;0)*(_xlpm.bal&gt;=_xlpm.qty)),1),"")))</f>
        <v/>
      </c>
      <c r="L161" s="348"/>
    </row>
    <row r="162" spans="1:12" ht="23" x14ac:dyDescent="0.25">
      <c r="A162" s="217" t="str" cm="1">
        <f t="array" ref="A162">IFERROR(INDEX(_xlfn.ANCHORARRAY($P$6),ROW()-5,1),"")</f>
        <v/>
      </c>
      <c r="B162" s="344" t="str" cm="1">
        <f t="array" ref="B162">IFERROR(INDEX(_xlfn.ANCHORARRAY($P$6),ROW()-5,2),"")</f>
        <v/>
      </c>
      <c r="C162" s="345" t="str">
        <f>IF($A162="","",IF($J162="DIESEL",SUMIFS(Table1[Quantity],Table1[Customer],$M$3,Table1[Date],$A162,Table1[Bill No.],$B162),IF($J162="PETROL",SUMIFS(Table14[Quantity],Table14[Customer],$M$3,Table14[Date],$A162,Table14[Bill No.],$B162),IF($J162="XtraGreen",SUMIFS(Table146[Quantity],Table146[Company],$M$3,Table146[Date],$A162,Table146[Bill No.],$B162),""))))</f>
        <v/>
      </c>
      <c r="D162" s="346" t="str">
        <f>IF($A162="","",IF($J162="DIESEL",AVERAGEIFS(Table1[RSP],Table1[Customer],$M$3,Table1[Date],$A162,Table1[Bill No.],$B162),IF($J162="PETROL",AVERAGEIFS(Table14[RSP],Table14[Customer],$M$3,Table14[Date],$A162,Table14[Bill No.],$B162),IF($J162="XtraGreen",AVERAGEIFS(Table146[RSP],Table146[Company],$M$3,Table146[Date],$A162,Table146[Bill No.],$B162),IFERROR($E162/$C162,"")))))</f>
        <v/>
      </c>
      <c r="E162" s="347" t="str">
        <f>IF($A162="","",IF($J162="DIESEL",SUMIFS(Table1[Amount],Table1[Customer],$M$3,Table1[Date],$A162,Table1[Bill No.],$B162),IF($J162="PETROL",SUMIFS(Table14[Amount],Table14[Customer],$M$3,Table14[Date],$A162,Table14[Bill No.],$B162),IF($J162="XtraGreen",SUMIFS(Table146[Amount],Table146[Company],$M$3,Table146[Date],$A162,Table146[Bill No.],$B162),SUMIFS('Other Sale'!$D:$D,'Other Sale'!$E:$E,$M$3,'Other Sale'!$C:$C,$J162,'Other Sale'!$A:$A,$A162)))))</f>
        <v/>
      </c>
      <c r="F162" s="347" t="str" cm="1">
        <f t="array" ref="F162">IF($A162="","",IF($J162="Payment",IFERROR(INDEX(_xlfn._xlws.FILTER(MasterPaid[Amount Paid],(MasterPaid[Customer]=$M$3)*(MasterPaid[Date]=$A162)),COUNTIFS($A$6:$A162,$A162,$J$6:$J162,"Payment")),0),0))</f>
        <v/>
      </c>
      <c r="G162" s="331"/>
      <c r="H162" s="427"/>
      <c r="I162" s="330" t="str">
        <f t="shared" si="12"/>
        <v/>
      </c>
      <c r="J162" s="344" t="str" cm="1">
        <f t="array" ref="J162">IFERROR(INDEX(_xlfn.ANCHORARRAY($P$6),ROW()-5,3),"")</f>
        <v/>
      </c>
      <c r="K162" s="432" t="str" cm="1">
        <f t="array" ref="K162">IF(OR($A162="",$J162&lt;&gt;"DIESEL"),"",_xlfn.LET(_xlpm.qty,N($C162),_xlpm.pos,$T$5:$T$54,_xlpm.alo,IF($U$5:$U$54="",0,$U$5:$U$54),_xlpm.usd,SUMIFS($C$6:$C161,$K$6:$K161,_xlpm.pos&amp;""),_xlpm.bal,_xlpm.alo-_xlpm.usd,IFERROR(INDEX(_xlfn._xlws.FILTER(_xlpm.pos,(_xlpm.pos&lt;&gt;"")*(_xlpm.qty&gt;0)*(_xlpm.bal&gt;=_xlpm.qty)),1),"")))</f>
        <v/>
      </c>
      <c r="L162" s="348"/>
    </row>
    <row r="163" spans="1:12" ht="23" x14ac:dyDescent="0.25">
      <c r="A163" s="217" t="str" cm="1">
        <f t="array" ref="A163">IFERROR(INDEX(_xlfn.ANCHORARRAY($P$6),ROW()-5,1),"")</f>
        <v/>
      </c>
      <c r="B163" s="344" t="str" cm="1">
        <f t="array" ref="B163">IFERROR(INDEX(_xlfn.ANCHORARRAY($P$6),ROW()-5,2),"")</f>
        <v/>
      </c>
      <c r="C163" s="345" t="str">
        <f>IF($A163="","",IF($J163="DIESEL",SUMIFS(Table1[Quantity],Table1[Customer],$M$3,Table1[Date],$A163,Table1[Bill No.],$B163),IF($J163="PETROL",SUMIFS(Table14[Quantity],Table14[Customer],$M$3,Table14[Date],$A163,Table14[Bill No.],$B163),IF($J163="XtraGreen",SUMIFS(Table146[Quantity],Table146[Company],$M$3,Table146[Date],$A163,Table146[Bill No.],$B163),""))))</f>
        <v/>
      </c>
      <c r="D163" s="346" t="str">
        <f>IF($A163="","",IF($J163="DIESEL",AVERAGEIFS(Table1[RSP],Table1[Customer],$M$3,Table1[Date],$A163,Table1[Bill No.],$B163),IF($J163="PETROL",AVERAGEIFS(Table14[RSP],Table14[Customer],$M$3,Table14[Date],$A163,Table14[Bill No.],$B163),IF($J163="XtraGreen",AVERAGEIFS(Table146[RSP],Table146[Company],$M$3,Table146[Date],$A163,Table146[Bill No.],$B163),IFERROR($E163/$C163,"")))))</f>
        <v/>
      </c>
      <c r="E163" s="347" t="str">
        <f>IF($A163="","",IF($J163="DIESEL",SUMIFS(Table1[Amount],Table1[Customer],$M$3,Table1[Date],$A163,Table1[Bill No.],$B163),IF($J163="PETROL",SUMIFS(Table14[Amount],Table14[Customer],$M$3,Table14[Date],$A163,Table14[Bill No.],$B163),IF($J163="XtraGreen",SUMIFS(Table146[Amount],Table146[Company],$M$3,Table146[Date],$A163,Table146[Bill No.],$B163),SUMIFS('Other Sale'!$D:$D,'Other Sale'!$E:$E,$M$3,'Other Sale'!$C:$C,$J163,'Other Sale'!$A:$A,$A163)))))</f>
        <v/>
      </c>
      <c r="F163" s="347" t="str" cm="1">
        <f t="array" ref="F163">IF($A163="","",IF($J163="Payment",IFERROR(INDEX(_xlfn._xlws.FILTER(MasterPaid[Amount Paid],(MasterPaid[Customer]=$M$3)*(MasterPaid[Date]=$A163)),COUNTIFS($A$6:$A163,$A163,$J$6:$J163,"Payment")),0),0))</f>
        <v/>
      </c>
      <c r="G163" s="331"/>
      <c r="H163" s="427"/>
      <c r="I163" s="330" t="str">
        <f t="shared" si="12"/>
        <v/>
      </c>
      <c r="J163" s="344" t="str" cm="1">
        <f t="array" ref="J163">IFERROR(INDEX(_xlfn.ANCHORARRAY($P$6),ROW()-5,3),"")</f>
        <v/>
      </c>
      <c r="K163" s="432" t="str" cm="1">
        <f t="array" ref="K163">IF(OR($A163="",$J163&lt;&gt;"DIESEL"),"",_xlfn.LET(_xlpm.qty,N($C163),_xlpm.pos,$T$5:$T$54,_xlpm.alo,IF($U$5:$U$54="",0,$U$5:$U$54),_xlpm.usd,SUMIFS($C$6:$C162,$K$6:$K162,_xlpm.pos&amp;""),_xlpm.bal,_xlpm.alo-_xlpm.usd,IFERROR(INDEX(_xlfn._xlws.FILTER(_xlpm.pos,(_xlpm.pos&lt;&gt;"")*(_xlpm.qty&gt;0)*(_xlpm.bal&gt;=_xlpm.qty)),1),"")))</f>
        <v/>
      </c>
      <c r="L163" s="348"/>
    </row>
    <row r="164" spans="1:12" ht="23" x14ac:dyDescent="0.25">
      <c r="A164" s="217" t="str" cm="1">
        <f t="array" ref="A164">IFERROR(INDEX(_xlfn.ANCHORARRAY($P$6),ROW()-5,1),"")</f>
        <v/>
      </c>
      <c r="B164" s="344" t="str" cm="1">
        <f t="array" ref="B164">IFERROR(INDEX(_xlfn.ANCHORARRAY($P$6),ROW()-5,2),"")</f>
        <v/>
      </c>
      <c r="C164" s="345" t="str">
        <f>IF($A164="","",IF($J164="DIESEL",SUMIFS(Table1[Quantity],Table1[Customer],$M$3,Table1[Date],$A164,Table1[Bill No.],$B164),IF($J164="PETROL",SUMIFS(Table14[Quantity],Table14[Customer],$M$3,Table14[Date],$A164,Table14[Bill No.],$B164),IF($J164="XtraGreen",SUMIFS(Table146[Quantity],Table146[Company],$M$3,Table146[Date],$A164,Table146[Bill No.],$B164),""))))</f>
        <v/>
      </c>
      <c r="D164" s="346" t="str">
        <f>IF($A164="","",IF($J164="DIESEL",AVERAGEIFS(Table1[RSP],Table1[Customer],$M$3,Table1[Date],$A164,Table1[Bill No.],$B164),IF($J164="PETROL",AVERAGEIFS(Table14[RSP],Table14[Customer],$M$3,Table14[Date],$A164,Table14[Bill No.],$B164),IF($J164="XtraGreen",AVERAGEIFS(Table146[RSP],Table146[Company],$M$3,Table146[Date],$A164,Table146[Bill No.],$B164),IFERROR($E164/$C164,"")))))</f>
        <v/>
      </c>
      <c r="E164" s="347" t="str">
        <f>IF($A164="","",IF($J164="DIESEL",SUMIFS(Table1[Amount],Table1[Customer],$M$3,Table1[Date],$A164,Table1[Bill No.],$B164),IF($J164="PETROL",SUMIFS(Table14[Amount],Table14[Customer],$M$3,Table14[Date],$A164,Table14[Bill No.],$B164),IF($J164="XtraGreen",SUMIFS(Table146[Amount],Table146[Company],$M$3,Table146[Date],$A164,Table146[Bill No.],$B164),SUMIFS('Other Sale'!$D:$D,'Other Sale'!$E:$E,$M$3,'Other Sale'!$C:$C,$J164,'Other Sale'!$A:$A,$A164)))))</f>
        <v/>
      </c>
      <c r="F164" s="347" t="str" cm="1">
        <f t="array" ref="F164">IF($A164="","",IF($J164="Payment",IFERROR(INDEX(_xlfn._xlws.FILTER(MasterPaid[Amount Paid],(MasterPaid[Customer]=$M$3)*(MasterPaid[Date]=$A164)),COUNTIFS($A$6:$A164,$A164,$J$6:$J164,"Payment")),0),0))</f>
        <v/>
      </c>
      <c r="G164" s="331"/>
      <c r="H164" s="427"/>
      <c r="I164" s="330" t="str">
        <f t="shared" si="12"/>
        <v/>
      </c>
      <c r="J164" s="344" t="str" cm="1">
        <f t="array" ref="J164">IFERROR(INDEX(_xlfn.ANCHORARRAY($P$6),ROW()-5,3),"")</f>
        <v/>
      </c>
      <c r="K164" s="432" t="str" cm="1">
        <f t="array" ref="K164">IF(OR($A164="",$J164&lt;&gt;"DIESEL"),"",_xlfn.LET(_xlpm.qty,N($C164),_xlpm.pos,$T$5:$T$54,_xlpm.alo,IF($U$5:$U$54="",0,$U$5:$U$54),_xlpm.usd,SUMIFS($C$6:$C163,$K$6:$K163,_xlpm.pos&amp;""),_xlpm.bal,_xlpm.alo-_xlpm.usd,IFERROR(INDEX(_xlfn._xlws.FILTER(_xlpm.pos,(_xlpm.pos&lt;&gt;"")*(_xlpm.qty&gt;0)*(_xlpm.bal&gt;=_xlpm.qty)),1),"")))</f>
        <v/>
      </c>
      <c r="L164" s="348"/>
    </row>
    <row r="165" spans="1:12" ht="23" x14ac:dyDescent="0.25">
      <c r="A165" s="217" t="str" cm="1">
        <f t="array" ref="A165">IFERROR(INDEX(_xlfn.ANCHORARRAY($P$6),ROW()-5,1),"")</f>
        <v/>
      </c>
      <c r="B165" s="344" t="str" cm="1">
        <f t="array" ref="B165">IFERROR(INDEX(_xlfn.ANCHORARRAY($P$6),ROW()-5,2),"")</f>
        <v/>
      </c>
      <c r="C165" s="345" t="str">
        <f>IF($A165="","",IF($J165="DIESEL",SUMIFS(Table1[Quantity],Table1[Customer],$M$3,Table1[Date],$A165,Table1[Bill No.],$B165),IF($J165="PETROL",SUMIFS(Table14[Quantity],Table14[Customer],$M$3,Table14[Date],$A165,Table14[Bill No.],$B165),IF($J165="XtraGreen",SUMIFS(Table146[Quantity],Table146[Company],$M$3,Table146[Date],$A165,Table146[Bill No.],$B165),""))))</f>
        <v/>
      </c>
      <c r="D165" s="346" t="str">
        <f>IF($A165="","",IF($J165="DIESEL",AVERAGEIFS(Table1[RSP],Table1[Customer],$M$3,Table1[Date],$A165,Table1[Bill No.],$B165),IF($J165="PETROL",AVERAGEIFS(Table14[RSP],Table14[Customer],$M$3,Table14[Date],$A165,Table14[Bill No.],$B165),IF($J165="XtraGreen",AVERAGEIFS(Table146[RSP],Table146[Company],$M$3,Table146[Date],$A165,Table146[Bill No.],$B165),IFERROR($E165/$C165,"")))))</f>
        <v/>
      </c>
      <c r="E165" s="347" t="str">
        <f>IF($A165="","",IF($J165="DIESEL",SUMIFS(Table1[Amount],Table1[Customer],$M$3,Table1[Date],$A165,Table1[Bill No.],$B165),IF($J165="PETROL",SUMIFS(Table14[Amount],Table14[Customer],$M$3,Table14[Date],$A165,Table14[Bill No.],$B165),IF($J165="XtraGreen",SUMIFS(Table146[Amount],Table146[Company],$M$3,Table146[Date],$A165,Table146[Bill No.],$B165),SUMIFS('Other Sale'!$D:$D,'Other Sale'!$E:$E,$M$3,'Other Sale'!$C:$C,$J165,'Other Sale'!$A:$A,$A165)))))</f>
        <v/>
      </c>
      <c r="F165" s="347" t="str" cm="1">
        <f t="array" ref="F165">IF($A165="","",IF($J165="Payment",IFERROR(INDEX(_xlfn._xlws.FILTER(MasterPaid[Amount Paid],(MasterPaid[Customer]=$M$3)*(MasterPaid[Date]=$A165)),COUNTIFS($A$6:$A165,$A165,$J$6:$J165,"Payment")),0),0))</f>
        <v/>
      </c>
      <c r="G165" s="331"/>
      <c r="H165" s="427"/>
      <c r="I165" s="330" t="str">
        <f t="shared" si="12"/>
        <v/>
      </c>
      <c r="J165" s="344" t="str" cm="1">
        <f t="array" ref="J165">IFERROR(INDEX(_xlfn.ANCHORARRAY($P$6),ROW()-5,3),"")</f>
        <v/>
      </c>
      <c r="K165" s="432" t="str" cm="1">
        <f t="array" ref="K165">IF(OR($A165="",$J165&lt;&gt;"DIESEL"),"",_xlfn.LET(_xlpm.qty,N($C165),_xlpm.pos,$T$5:$T$54,_xlpm.alo,IF($U$5:$U$54="",0,$U$5:$U$54),_xlpm.usd,SUMIFS($C$6:$C164,$K$6:$K164,_xlpm.pos&amp;""),_xlpm.bal,_xlpm.alo-_xlpm.usd,IFERROR(INDEX(_xlfn._xlws.FILTER(_xlpm.pos,(_xlpm.pos&lt;&gt;"")*(_xlpm.qty&gt;0)*(_xlpm.bal&gt;=_xlpm.qty)),1),"")))</f>
        <v/>
      </c>
      <c r="L165" s="348"/>
    </row>
    <row r="166" spans="1:12" ht="23" x14ac:dyDescent="0.25">
      <c r="A166" s="217" t="str" cm="1">
        <f t="array" ref="A166">IFERROR(INDEX(_xlfn.ANCHORARRAY($P$6),ROW()-5,1),"")</f>
        <v/>
      </c>
      <c r="B166" s="344" t="str" cm="1">
        <f t="array" ref="B166">IFERROR(INDEX(_xlfn.ANCHORARRAY($P$6),ROW()-5,2),"")</f>
        <v/>
      </c>
      <c r="C166" s="345" t="str">
        <f>IF($A166="","",IF($J166="DIESEL",SUMIFS(Table1[Quantity],Table1[Customer],$M$3,Table1[Date],$A166,Table1[Bill No.],$B166),IF($J166="PETROL",SUMIFS(Table14[Quantity],Table14[Customer],$M$3,Table14[Date],$A166,Table14[Bill No.],$B166),IF($J166="XtraGreen",SUMIFS(Table146[Quantity],Table146[Company],$M$3,Table146[Date],$A166,Table146[Bill No.],$B166),""))))</f>
        <v/>
      </c>
      <c r="D166" s="346" t="str">
        <f>IF($A166="","",IF($J166="DIESEL",AVERAGEIFS(Table1[RSP],Table1[Customer],$M$3,Table1[Date],$A166,Table1[Bill No.],$B166),IF($J166="PETROL",AVERAGEIFS(Table14[RSP],Table14[Customer],$M$3,Table14[Date],$A166,Table14[Bill No.],$B166),IF($J166="XtraGreen",AVERAGEIFS(Table146[RSP],Table146[Company],$M$3,Table146[Date],$A166,Table146[Bill No.],$B166),IFERROR($E166/$C166,"")))))</f>
        <v/>
      </c>
      <c r="E166" s="347" t="str">
        <f>IF($A166="","",IF($J166="DIESEL",SUMIFS(Table1[Amount],Table1[Customer],$M$3,Table1[Date],$A166,Table1[Bill No.],$B166),IF($J166="PETROL",SUMIFS(Table14[Amount],Table14[Customer],$M$3,Table14[Date],$A166,Table14[Bill No.],$B166),IF($J166="XtraGreen",SUMIFS(Table146[Amount],Table146[Company],$M$3,Table146[Date],$A166,Table146[Bill No.],$B166),SUMIFS('Other Sale'!$D:$D,'Other Sale'!$E:$E,$M$3,'Other Sale'!$C:$C,$J166,'Other Sale'!$A:$A,$A166)))))</f>
        <v/>
      </c>
      <c r="F166" s="347" t="str" cm="1">
        <f t="array" ref="F166">IF($A166="","",IF($J166="Payment",IFERROR(INDEX(_xlfn._xlws.FILTER(MasterPaid[Amount Paid],(MasterPaid[Customer]=$M$3)*(MasterPaid[Date]=$A166)),COUNTIFS($A$6:$A166,$A166,$J$6:$J166,"Payment")),0),0))</f>
        <v/>
      </c>
      <c r="G166" s="331"/>
      <c r="H166" s="427"/>
      <c r="I166" s="330" t="str">
        <f t="shared" si="12"/>
        <v/>
      </c>
      <c r="J166" s="344" t="str" cm="1">
        <f t="array" ref="J166">IFERROR(INDEX(_xlfn.ANCHORARRAY($P$6),ROW()-5,3),"")</f>
        <v/>
      </c>
      <c r="K166" s="432" t="str" cm="1">
        <f t="array" ref="K166">IF(OR($A166="",$J166&lt;&gt;"DIESEL"),"",_xlfn.LET(_xlpm.qty,N($C166),_xlpm.pos,$T$5:$T$54,_xlpm.alo,IF($U$5:$U$54="",0,$U$5:$U$54),_xlpm.usd,SUMIFS($C$6:$C165,$K$6:$K165,_xlpm.pos&amp;""),_xlpm.bal,_xlpm.alo-_xlpm.usd,IFERROR(INDEX(_xlfn._xlws.FILTER(_xlpm.pos,(_xlpm.pos&lt;&gt;"")*(_xlpm.qty&gt;0)*(_xlpm.bal&gt;=_xlpm.qty)),1),"")))</f>
        <v/>
      </c>
      <c r="L166" s="348"/>
    </row>
    <row r="167" spans="1:12" ht="23" x14ac:dyDescent="0.25">
      <c r="A167" s="217" t="str" cm="1">
        <f t="array" ref="A167">IFERROR(INDEX(_xlfn.ANCHORARRAY($P$6),ROW()-5,1),"")</f>
        <v/>
      </c>
      <c r="B167" s="344" t="str" cm="1">
        <f t="array" ref="B167">IFERROR(INDEX(_xlfn.ANCHORARRAY($P$6),ROW()-5,2),"")</f>
        <v/>
      </c>
      <c r="C167" s="345" t="str">
        <f>IF($A167="","",IF($J167="DIESEL",SUMIFS(Table1[Quantity],Table1[Customer],$M$3,Table1[Date],$A167,Table1[Bill No.],$B167),IF($J167="PETROL",SUMIFS(Table14[Quantity],Table14[Customer],$M$3,Table14[Date],$A167,Table14[Bill No.],$B167),IF($J167="XtraGreen",SUMIFS(Table146[Quantity],Table146[Company],$M$3,Table146[Date],$A167,Table146[Bill No.],$B167),""))))</f>
        <v/>
      </c>
      <c r="D167" s="346" t="str">
        <f>IF($A167="","",IF($J167="DIESEL",AVERAGEIFS(Table1[RSP],Table1[Customer],$M$3,Table1[Date],$A167,Table1[Bill No.],$B167),IF($J167="PETROL",AVERAGEIFS(Table14[RSP],Table14[Customer],$M$3,Table14[Date],$A167,Table14[Bill No.],$B167),IF($J167="XtraGreen",AVERAGEIFS(Table146[RSP],Table146[Company],$M$3,Table146[Date],$A167,Table146[Bill No.],$B167),IFERROR($E167/$C167,"")))))</f>
        <v/>
      </c>
      <c r="E167" s="347" t="str">
        <f>IF($A167="","",IF($J167="DIESEL",SUMIFS(Table1[Amount],Table1[Customer],$M$3,Table1[Date],$A167,Table1[Bill No.],$B167),IF($J167="PETROL",SUMIFS(Table14[Amount],Table14[Customer],$M$3,Table14[Date],$A167,Table14[Bill No.],$B167),IF($J167="XtraGreen",SUMIFS(Table146[Amount],Table146[Company],$M$3,Table146[Date],$A167,Table146[Bill No.],$B167),SUMIFS('Other Sale'!$D:$D,'Other Sale'!$E:$E,$M$3,'Other Sale'!$C:$C,$J167,'Other Sale'!$A:$A,$A167)))))</f>
        <v/>
      </c>
      <c r="F167" s="347" t="str" cm="1">
        <f t="array" ref="F167">IF($A167="","",IF($J167="Payment",IFERROR(INDEX(_xlfn._xlws.FILTER(MasterPaid[Amount Paid],(MasterPaid[Customer]=$M$3)*(MasterPaid[Date]=$A167)),COUNTIFS($A$6:$A167,$A167,$J$6:$J167,"Payment")),0),0))</f>
        <v/>
      </c>
      <c r="G167" s="331"/>
      <c r="H167" s="427"/>
      <c r="I167" s="330" t="str">
        <f t="shared" si="12"/>
        <v/>
      </c>
      <c r="J167" s="344" t="str" cm="1">
        <f t="array" ref="J167">IFERROR(INDEX(_xlfn.ANCHORARRAY($P$6),ROW()-5,3),"")</f>
        <v/>
      </c>
      <c r="K167" s="432" t="str" cm="1">
        <f t="array" ref="K167">IF(OR($A167="",$J167&lt;&gt;"DIESEL"),"",_xlfn.LET(_xlpm.qty,N($C167),_xlpm.pos,$T$5:$T$54,_xlpm.alo,IF($U$5:$U$54="",0,$U$5:$U$54),_xlpm.usd,SUMIFS($C$6:$C166,$K$6:$K166,_xlpm.pos&amp;""),_xlpm.bal,_xlpm.alo-_xlpm.usd,IFERROR(INDEX(_xlfn._xlws.FILTER(_xlpm.pos,(_xlpm.pos&lt;&gt;"")*(_xlpm.qty&gt;0)*(_xlpm.bal&gt;=_xlpm.qty)),1),"")))</f>
        <v/>
      </c>
      <c r="L167" s="348"/>
    </row>
    <row r="168" spans="1:12" ht="23" x14ac:dyDescent="0.25">
      <c r="A168" s="217" t="str" cm="1">
        <f t="array" ref="A168">IFERROR(INDEX(_xlfn.ANCHORARRAY($P$6),ROW()-5,1),"")</f>
        <v/>
      </c>
      <c r="B168" s="344" t="str" cm="1">
        <f t="array" ref="B168">IFERROR(INDEX(_xlfn.ANCHORARRAY($P$6),ROW()-5,2),"")</f>
        <v/>
      </c>
      <c r="C168" s="345" t="str">
        <f>IF($A168="","",IF($J168="DIESEL",SUMIFS(Table1[Quantity],Table1[Customer],$M$3,Table1[Date],$A168,Table1[Bill No.],$B168),IF($J168="PETROL",SUMIFS(Table14[Quantity],Table14[Customer],$M$3,Table14[Date],$A168,Table14[Bill No.],$B168),IF($J168="XtraGreen",SUMIFS(Table146[Quantity],Table146[Company],$M$3,Table146[Date],$A168,Table146[Bill No.],$B168),""))))</f>
        <v/>
      </c>
      <c r="D168" s="346" t="str">
        <f>IF($A168="","",IF($J168="DIESEL",AVERAGEIFS(Table1[RSP],Table1[Customer],$M$3,Table1[Date],$A168,Table1[Bill No.],$B168),IF($J168="PETROL",AVERAGEIFS(Table14[RSP],Table14[Customer],$M$3,Table14[Date],$A168,Table14[Bill No.],$B168),IF($J168="XtraGreen",AVERAGEIFS(Table146[RSP],Table146[Company],$M$3,Table146[Date],$A168,Table146[Bill No.],$B168),IFERROR($E168/$C168,"")))))</f>
        <v/>
      </c>
      <c r="E168" s="347" t="str">
        <f>IF($A168="","",IF($J168="DIESEL",SUMIFS(Table1[Amount],Table1[Customer],$M$3,Table1[Date],$A168,Table1[Bill No.],$B168),IF($J168="PETROL",SUMIFS(Table14[Amount],Table14[Customer],$M$3,Table14[Date],$A168,Table14[Bill No.],$B168),IF($J168="XtraGreen",SUMIFS(Table146[Amount],Table146[Company],$M$3,Table146[Date],$A168,Table146[Bill No.],$B168),SUMIFS('Other Sale'!$D:$D,'Other Sale'!$E:$E,$M$3,'Other Sale'!$C:$C,$J168,'Other Sale'!$A:$A,$A168)))))</f>
        <v/>
      </c>
      <c r="F168" s="347" t="str" cm="1">
        <f t="array" ref="F168">IF($A168="","",IF($J168="Payment",IFERROR(INDEX(_xlfn._xlws.FILTER(MasterPaid[Amount Paid],(MasterPaid[Customer]=$M$3)*(MasterPaid[Date]=$A168)),COUNTIFS($A$6:$A168,$A168,$J$6:$J168,"Payment")),0),0))</f>
        <v/>
      </c>
      <c r="G168" s="331"/>
      <c r="H168" s="427"/>
      <c r="I168" s="330" t="str">
        <f t="shared" si="12"/>
        <v/>
      </c>
      <c r="J168" s="344" t="str" cm="1">
        <f t="array" ref="J168">IFERROR(INDEX(_xlfn.ANCHORARRAY($P$6),ROW()-5,3),"")</f>
        <v/>
      </c>
      <c r="K168" s="432" t="str" cm="1">
        <f t="array" ref="K168">IF(OR($A168="",$J168&lt;&gt;"DIESEL"),"",_xlfn.LET(_xlpm.qty,N($C168),_xlpm.pos,$T$5:$T$54,_xlpm.alo,IF($U$5:$U$54="",0,$U$5:$U$54),_xlpm.usd,SUMIFS($C$6:$C167,$K$6:$K167,_xlpm.pos&amp;""),_xlpm.bal,_xlpm.alo-_xlpm.usd,IFERROR(INDEX(_xlfn._xlws.FILTER(_xlpm.pos,(_xlpm.pos&lt;&gt;"")*(_xlpm.qty&gt;0)*(_xlpm.bal&gt;=_xlpm.qty)),1),"")))</f>
        <v/>
      </c>
      <c r="L168" s="348"/>
    </row>
    <row r="169" spans="1:12" ht="23" x14ac:dyDescent="0.25">
      <c r="A169" s="217" t="str" cm="1">
        <f t="array" ref="A169">IFERROR(INDEX(_xlfn.ANCHORARRAY($P$6),ROW()-5,1),"")</f>
        <v/>
      </c>
      <c r="B169" s="344" t="str" cm="1">
        <f t="array" ref="B169">IFERROR(INDEX(_xlfn.ANCHORARRAY($P$6),ROW()-5,2),"")</f>
        <v/>
      </c>
      <c r="C169" s="345" t="str">
        <f>IF($A169="","",IF($J169="DIESEL",SUMIFS(Table1[Quantity],Table1[Customer],$M$3,Table1[Date],$A169,Table1[Bill No.],$B169),IF($J169="PETROL",SUMIFS(Table14[Quantity],Table14[Customer],$M$3,Table14[Date],$A169,Table14[Bill No.],$B169),IF($J169="XtraGreen",SUMIFS(Table146[Quantity],Table146[Company],$M$3,Table146[Date],$A169,Table146[Bill No.],$B169),""))))</f>
        <v/>
      </c>
      <c r="D169" s="346" t="str">
        <f>IF($A169="","",IF($J169="DIESEL",AVERAGEIFS(Table1[RSP],Table1[Customer],$M$3,Table1[Date],$A169,Table1[Bill No.],$B169),IF($J169="PETROL",AVERAGEIFS(Table14[RSP],Table14[Customer],$M$3,Table14[Date],$A169,Table14[Bill No.],$B169),IF($J169="XtraGreen",AVERAGEIFS(Table146[RSP],Table146[Company],$M$3,Table146[Date],$A169,Table146[Bill No.],$B169),IFERROR($E169/$C169,"")))))</f>
        <v/>
      </c>
      <c r="E169" s="347" t="str">
        <f>IF($A169="","",IF($J169="DIESEL",SUMIFS(Table1[Amount],Table1[Customer],$M$3,Table1[Date],$A169,Table1[Bill No.],$B169),IF($J169="PETROL",SUMIFS(Table14[Amount],Table14[Customer],$M$3,Table14[Date],$A169,Table14[Bill No.],$B169),IF($J169="XtraGreen",SUMIFS(Table146[Amount],Table146[Company],$M$3,Table146[Date],$A169,Table146[Bill No.],$B169),SUMIFS('Other Sale'!$D:$D,'Other Sale'!$E:$E,$M$3,'Other Sale'!$C:$C,$J169,'Other Sale'!$A:$A,$A169)))))</f>
        <v/>
      </c>
      <c r="F169" s="347" t="str" cm="1">
        <f t="array" ref="F169">IF($A169="","",IF($J169="Payment",IFERROR(INDEX(_xlfn._xlws.FILTER(MasterPaid[Amount Paid],(MasterPaid[Customer]=$M$3)*(MasterPaid[Date]=$A169)),COUNTIFS($A$6:$A169,$A169,$J$6:$J169,"Payment")),0),0))</f>
        <v/>
      </c>
      <c r="G169" s="331"/>
      <c r="H169" s="427"/>
      <c r="I169" s="330" t="str">
        <f t="shared" si="12"/>
        <v/>
      </c>
      <c r="J169" s="344" t="str" cm="1">
        <f t="array" ref="J169">IFERROR(INDEX(_xlfn.ANCHORARRAY($P$6),ROW()-5,3),"")</f>
        <v/>
      </c>
      <c r="K169" s="432" t="str" cm="1">
        <f t="array" ref="K169">IF(OR($A169="",$J169&lt;&gt;"DIESEL"),"",_xlfn.LET(_xlpm.qty,N($C169),_xlpm.pos,$T$5:$T$54,_xlpm.alo,IF($U$5:$U$54="",0,$U$5:$U$54),_xlpm.usd,SUMIFS($C$6:$C168,$K$6:$K168,_xlpm.pos&amp;""),_xlpm.bal,_xlpm.alo-_xlpm.usd,IFERROR(INDEX(_xlfn._xlws.FILTER(_xlpm.pos,(_xlpm.pos&lt;&gt;"")*(_xlpm.qty&gt;0)*(_xlpm.bal&gt;=_xlpm.qty)),1),"")))</f>
        <v/>
      </c>
      <c r="L169" s="348"/>
    </row>
    <row r="170" spans="1:12" ht="23" x14ac:dyDescent="0.25">
      <c r="A170" s="217" t="str" cm="1">
        <f t="array" ref="A170">IFERROR(INDEX(_xlfn.ANCHORARRAY($P$6),ROW()-5,1),"")</f>
        <v/>
      </c>
      <c r="B170" s="344" t="str" cm="1">
        <f t="array" ref="B170">IFERROR(INDEX(_xlfn.ANCHORARRAY($P$6),ROW()-5,2),"")</f>
        <v/>
      </c>
      <c r="C170" s="345" t="str">
        <f>IF($A170="","",IF($J170="DIESEL",SUMIFS(Table1[Quantity],Table1[Customer],$M$3,Table1[Date],$A170,Table1[Bill No.],$B170),IF($J170="PETROL",SUMIFS(Table14[Quantity],Table14[Customer],$M$3,Table14[Date],$A170,Table14[Bill No.],$B170),IF($J170="XtraGreen",SUMIFS(Table146[Quantity],Table146[Company],$M$3,Table146[Date],$A170,Table146[Bill No.],$B170),""))))</f>
        <v/>
      </c>
      <c r="D170" s="346" t="str">
        <f>IF($A170="","",IF($J170="DIESEL",AVERAGEIFS(Table1[RSP],Table1[Customer],$M$3,Table1[Date],$A170,Table1[Bill No.],$B170),IF($J170="PETROL",AVERAGEIFS(Table14[RSP],Table14[Customer],$M$3,Table14[Date],$A170,Table14[Bill No.],$B170),IF($J170="XtraGreen",AVERAGEIFS(Table146[RSP],Table146[Company],$M$3,Table146[Date],$A170,Table146[Bill No.],$B170),IFERROR($E170/$C170,"")))))</f>
        <v/>
      </c>
      <c r="E170" s="347" t="str">
        <f>IF($A170="","",IF($J170="DIESEL",SUMIFS(Table1[Amount],Table1[Customer],$M$3,Table1[Date],$A170,Table1[Bill No.],$B170),IF($J170="PETROL",SUMIFS(Table14[Amount],Table14[Customer],$M$3,Table14[Date],$A170,Table14[Bill No.],$B170),IF($J170="XtraGreen",SUMIFS(Table146[Amount],Table146[Company],$M$3,Table146[Date],$A170,Table146[Bill No.],$B170),SUMIFS('Other Sale'!$D:$D,'Other Sale'!$E:$E,$M$3,'Other Sale'!$C:$C,$J170,'Other Sale'!$A:$A,$A170)))))</f>
        <v/>
      </c>
      <c r="F170" s="347" t="str" cm="1">
        <f t="array" ref="F170">IF($A170="","",IF($J170="Payment",IFERROR(INDEX(_xlfn._xlws.FILTER(MasterPaid[Amount Paid],(MasterPaid[Customer]=$M$3)*(MasterPaid[Date]=$A170)),COUNTIFS($A$6:$A170,$A170,$J$6:$J170,"Payment")),0),0))</f>
        <v/>
      </c>
      <c r="G170" s="331"/>
      <c r="H170" s="427"/>
      <c r="I170" s="330" t="str">
        <f t="shared" si="12"/>
        <v/>
      </c>
      <c r="J170" s="344" t="str" cm="1">
        <f t="array" ref="J170">IFERROR(INDEX(_xlfn.ANCHORARRAY($P$6),ROW()-5,3),"")</f>
        <v/>
      </c>
      <c r="K170" s="432" t="str" cm="1">
        <f t="array" ref="K170">IF(OR($A170="",$J170&lt;&gt;"DIESEL"),"",_xlfn.LET(_xlpm.qty,N($C170),_xlpm.pos,$T$5:$T$54,_xlpm.alo,IF($U$5:$U$54="",0,$U$5:$U$54),_xlpm.usd,SUMIFS($C$6:$C169,$K$6:$K169,_xlpm.pos&amp;""),_xlpm.bal,_xlpm.alo-_xlpm.usd,IFERROR(INDEX(_xlfn._xlws.FILTER(_xlpm.pos,(_xlpm.pos&lt;&gt;"")*(_xlpm.qty&gt;0)*(_xlpm.bal&gt;=_xlpm.qty)),1),"")))</f>
        <v/>
      </c>
      <c r="L170" s="348"/>
    </row>
    <row r="171" spans="1:12" ht="23" x14ac:dyDescent="0.25">
      <c r="A171" s="217" t="str" cm="1">
        <f t="array" ref="A171">IFERROR(INDEX(_xlfn.ANCHORARRAY($P$6),ROW()-5,1),"")</f>
        <v/>
      </c>
      <c r="B171" s="344" t="str" cm="1">
        <f t="array" ref="B171">IFERROR(INDEX(_xlfn.ANCHORARRAY($P$6),ROW()-5,2),"")</f>
        <v/>
      </c>
      <c r="C171" s="345" t="str">
        <f>IF($A171="","",IF($J171="DIESEL",SUMIFS(Table1[Quantity],Table1[Customer],$M$3,Table1[Date],$A171,Table1[Bill No.],$B171),IF($J171="PETROL",SUMIFS(Table14[Quantity],Table14[Customer],$M$3,Table14[Date],$A171,Table14[Bill No.],$B171),IF($J171="XtraGreen",SUMIFS(Table146[Quantity],Table146[Company],$M$3,Table146[Date],$A171,Table146[Bill No.],$B171),""))))</f>
        <v/>
      </c>
      <c r="D171" s="346" t="str">
        <f>IF($A171="","",IF($J171="DIESEL",AVERAGEIFS(Table1[RSP],Table1[Customer],$M$3,Table1[Date],$A171,Table1[Bill No.],$B171),IF($J171="PETROL",AVERAGEIFS(Table14[RSP],Table14[Customer],$M$3,Table14[Date],$A171,Table14[Bill No.],$B171),IF($J171="XtraGreen",AVERAGEIFS(Table146[RSP],Table146[Company],$M$3,Table146[Date],$A171,Table146[Bill No.],$B171),IFERROR($E171/$C171,"")))))</f>
        <v/>
      </c>
      <c r="E171" s="347" t="str">
        <f>IF($A171="","",IF($J171="DIESEL",SUMIFS(Table1[Amount],Table1[Customer],$M$3,Table1[Date],$A171,Table1[Bill No.],$B171),IF($J171="PETROL",SUMIFS(Table14[Amount],Table14[Customer],$M$3,Table14[Date],$A171,Table14[Bill No.],$B171),IF($J171="XtraGreen",SUMIFS(Table146[Amount],Table146[Company],$M$3,Table146[Date],$A171,Table146[Bill No.],$B171),SUMIFS('Other Sale'!$D:$D,'Other Sale'!$E:$E,$M$3,'Other Sale'!$C:$C,$J171,'Other Sale'!$A:$A,$A171)))))</f>
        <v/>
      </c>
      <c r="F171" s="347" t="str" cm="1">
        <f t="array" ref="F171">IF($A171="","",IF($J171="Payment",IFERROR(INDEX(_xlfn._xlws.FILTER(MasterPaid[Amount Paid],(MasterPaid[Customer]=$M$3)*(MasterPaid[Date]=$A171)),COUNTIFS($A$6:$A171,$A171,$J$6:$J171,"Payment")),0),0))</f>
        <v/>
      </c>
      <c r="G171" s="331"/>
      <c r="H171" s="427"/>
      <c r="I171" s="330" t="str">
        <f t="shared" si="12"/>
        <v/>
      </c>
      <c r="J171" s="344" t="str" cm="1">
        <f t="array" ref="J171">IFERROR(INDEX(_xlfn.ANCHORARRAY($P$6),ROW()-5,3),"")</f>
        <v/>
      </c>
      <c r="K171" s="432" t="str" cm="1">
        <f t="array" ref="K171">IF(OR($A171="",$J171&lt;&gt;"DIESEL"),"",_xlfn.LET(_xlpm.qty,N($C171),_xlpm.pos,$T$5:$T$54,_xlpm.alo,IF($U$5:$U$54="",0,$U$5:$U$54),_xlpm.usd,SUMIFS($C$6:$C170,$K$6:$K170,_xlpm.pos&amp;""),_xlpm.bal,_xlpm.alo-_xlpm.usd,IFERROR(INDEX(_xlfn._xlws.FILTER(_xlpm.pos,(_xlpm.pos&lt;&gt;"")*(_xlpm.qty&gt;0)*(_xlpm.bal&gt;=_xlpm.qty)),1),"")))</f>
        <v/>
      </c>
      <c r="L171" s="348"/>
    </row>
    <row r="172" spans="1:12" ht="23" x14ac:dyDescent="0.25">
      <c r="A172" s="217" t="str" cm="1">
        <f t="array" ref="A172">IFERROR(INDEX(_xlfn.ANCHORARRAY($P$6),ROW()-5,1),"")</f>
        <v/>
      </c>
      <c r="B172" s="344" t="str" cm="1">
        <f t="array" ref="B172">IFERROR(INDEX(_xlfn.ANCHORARRAY($P$6),ROW()-5,2),"")</f>
        <v/>
      </c>
      <c r="C172" s="345" t="str">
        <f>IF($A172="","",IF($J172="DIESEL",SUMIFS(Table1[Quantity],Table1[Customer],$M$3,Table1[Date],$A172,Table1[Bill No.],$B172),IF($J172="PETROL",SUMIFS(Table14[Quantity],Table14[Customer],$M$3,Table14[Date],$A172,Table14[Bill No.],$B172),IF($J172="XtraGreen",SUMIFS(Table146[Quantity],Table146[Company],$M$3,Table146[Date],$A172,Table146[Bill No.],$B172),""))))</f>
        <v/>
      </c>
      <c r="D172" s="346" t="str">
        <f>IF($A172="","",IF($J172="DIESEL",AVERAGEIFS(Table1[RSP],Table1[Customer],$M$3,Table1[Date],$A172,Table1[Bill No.],$B172),IF($J172="PETROL",AVERAGEIFS(Table14[RSP],Table14[Customer],$M$3,Table14[Date],$A172,Table14[Bill No.],$B172),IF($J172="XtraGreen",AVERAGEIFS(Table146[RSP],Table146[Company],$M$3,Table146[Date],$A172,Table146[Bill No.],$B172),IFERROR($E172/$C172,"")))))</f>
        <v/>
      </c>
      <c r="E172" s="347" t="str">
        <f>IF($A172="","",IF($J172="DIESEL",SUMIFS(Table1[Amount],Table1[Customer],$M$3,Table1[Date],$A172,Table1[Bill No.],$B172),IF($J172="PETROL",SUMIFS(Table14[Amount],Table14[Customer],$M$3,Table14[Date],$A172,Table14[Bill No.],$B172),IF($J172="XtraGreen",SUMIFS(Table146[Amount],Table146[Company],$M$3,Table146[Date],$A172,Table146[Bill No.],$B172),SUMIFS('Other Sale'!$D:$D,'Other Sale'!$E:$E,$M$3,'Other Sale'!$C:$C,$J172,'Other Sale'!$A:$A,$A172)))))</f>
        <v/>
      </c>
      <c r="F172" s="347" t="str" cm="1">
        <f t="array" ref="F172">IF($A172="","",IF($J172="Payment",IFERROR(INDEX(_xlfn._xlws.FILTER(MasterPaid[Amount Paid],(MasterPaid[Customer]=$M$3)*(MasterPaid[Date]=$A172)),COUNTIFS($A$6:$A172,$A172,$J$6:$J172,"Payment")),0),0))</f>
        <v/>
      </c>
      <c r="G172" s="331"/>
      <c r="H172" s="427"/>
      <c r="I172" s="330" t="str">
        <f t="shared" si="12"/>
        <v/>
      </c>
      <c r="J172" s="344" t="str" cm="1">
        <f t="array" ref="J172">IFERROR(INDEX(_xlfn.ANCHORARRAY($P$6),ROW()-5,3),"")</f>
        <v/>
      </c>
      <c r="K172" s="432" t="str" cm="1">
        <f t="array" ref="K172">IF(OR($A172="",$J172&lt;&gt;"DIESEL"),"",_xlfn.LET(_xlpm.qty,N($C172),_xlpm.pos,$T$5:$T$54,_xlpm.alo,IF($U$5:$U$54="",0,$U$5:$U$54),_xlpm.usd,SUMIFS($C$6:$C171,$K$6:$K171,_xlpm.pos&amp;""),_xlpm.bal,_xlpm.alo-_xlpm.usd,IFERROR(INDEX(_xlfn._xlws.FILTER(_xlpm.pos,(_xlpm.pos&lt;&gt;"")*(_xlpm.qty&gt;0)*(_xlpm.bal&gt;=_xlpm.qty)),1),"")))</f>
        <v/>
      </c>
      <c r="L172" s="348"/>
    </row>
    <row r="173" spans="1:12" ht="23" x14ac:dyDescent="0.25">
      <c r="A173" s="217" t="str" cm="1">
        <f t="array" ref="A173">IFERROR(INDEX(_xlfn.ANCHORARRAY($P$6),ROW()-5,1),"")</f>
        <v/>
      </c>
      <c r="B173" s="344" t="str" cm="1">
        <f t="array" ref="B173">IFERROR(INDEX(_xlfn.ANCHORARRAY($P$6),ROW()-5,2),"")</f>
        <v/>
      </c>
      <c r="C173" s="345" t="str">
        <f>IF($A173="","",IF($J173="DIESEL",SUMIFS(Table1[Quantity],Table1[Customer],$M$3,Table1[Date],$A173,Table1[Bill No.],$B173),IF($J173="PETROL",SUMIFS(Table14[Quantity],Table14[Customer],$M$3,Table14[Date],$A173,Table14[Bill No.],$B173),IF($J173="XtraGreen",SUMIFS(Table146[Quantity],Table146[Company],$M$3,Table146[Date],$A173,Table146[Bill No.],$B173),""))))</f>
        <v/>
      </c>
      <c r="D173" s="346" t="str">
        <f>IF($A173="","",IF($J173="DIESEL",AVERAGEIFS(Table1[RSP],Table1[Customer],$M$3,Table1[Date],$A173,Table1[Bill No.],$B173),IF($J173="PETROL",AVERAGEIFS(Table14[RSP],Table14[Customer],$M$3,Table14[Date],$A173,Table14[Bill No.],$B173),IF($J173="XtraGreen",AVERAGEIFS(Table146[RSP],Table146[Company],$M$3,Table146[Date],$A173,Table146[Bill No.],$B173),IFERROR($E173/$C173,"")))))</f>
        <v/>
      </c>
      <c r="E173" s="347" t="str">
        <f>IF($A173="","",IF($J173="DIESEL",SUMIFS(Table1[Amount],Table1[Customer],$M$3,Table1[Date],$A173,Table1[Bill No.],$B173),IF($J173="PETROL",SUMIFS(Table14[Amount],Table14[Customer],$M$3,Table14[Date],$A173,Table14[Bill No.],$B173),IF($J173="XtraGreen",SUMIFS(Table146[Amount],Table146[Company],$M$3,Table146[Date],$A173,Table146[Bill No.],$B173),SUMIFS('Other Sale'!$D:$D,'Other Sale'!$E:$E,$M$3,'Other Sale'!$C:$C,$J173,'Other Sale'!$A:$A,$A173)))))</f>
        <v/>
      </c>
      <c r="F173" s="347" t="str" cm="1">
        <f t="array" ref="F173">IF($A173="","",IF($J173="Payment",IFERROR(INDEX(_xlfn._xlws.FILTER(MasterPaid[Amount Paid],(MasterPaid[Customer]=$M$3)*(MasterPaid[Date]=$A173)),COUNTIFS($A$6:$A173,$A173,$J$6:$J173,"Payment")),0),0))</f>
        <v/>
      </c>
      <c r="G173" s="331"/>
      <c r="H173" s="427"/>
      <c r="I173" s="330" t="str">
        <f t="shared" si="12"/>
        <v/>
      </c>
      <c r="J173" s="344" t="str" cm="1">
        <f t="array" ref="J173">IFERROR(INDEX(_xlfn.ANCHORARRAY($P$6),ROW()-5,3),"")</f>
        <v/>
      </c>
      <c r="K173" s="432" t="str" cm="1">
        <f t="array" ref="K173">IF(OR($A173="",$J173&lt;&gt;"DIESEL"),"",_xlfn.LET(_xlpm.qty,N($C173),_xlpm.pos,$T$5:$T$54,_xlpm.alo,IF($U$5:$U$54="",0,$U$5:$U$54),_xlpm.usd,SUMIFS($C$6:$C172,$K$6:$K172,_xlpm.pos&amp;""),_xlpm.bal,_xlpm.alo-_xlpm.usd,IFERROR(INDEX(_xlfn._xlws.FILTER(_xlpm.pos,(_xlpm.pos&lt;&gt;"")*(_xlpm.qty&gt;0)*(_xlpm.bal&gt;=_xlpm.qty)),1),"")))</f>
        <v/>
      </c>
      <c r="L173" s="348"/>
    </row>
    <row r="174" spans="1:12" ht="23" x14ac:dyDescent="0.25">
      <c r="A174" s="217" t="str" cm="1">
        <f t="array" ref="A174">IFERROR(INDEX(_xlfn.ANCHORARRAY($P$6),ROW()-5,1),"")</f>
        <v/>
      </c>
      <c r="B174" s="344" t="str" cm="1">
        <f t="array" ref="B174">IFERROR(INDEX(_xlfn.ANCHORARRAY($P$6),ROW()-5,2),"")</f>
        <v/>
      </c>
      <c r="C174" s="345" t="str">
        <f>IF($A174="","",IF($J174="DIESEL",SUMIFS(Table1[Quantity],Table1[Customer],$M$3,Table1[Date],$A174,Table1[Bill No.],$B174),IF($J174="PETROL",SUMIFS(Table14[Quantity],Table14[Customer],$M$3,Table14[Date],$A174,Table14[Bill No.],$B174),IF($J174="XtraGreen",SUMIFS(Table146[Quantity],Table146[Company],$M$3,Table146[Date],$A174,Table146[Bill No.],$B174),""))))</f>
        <v/>
      </c>
      <c r="D174" s="346" t="str">
        <f>IF($A174="","",IF($J174="DIESEL",AVERAGEIFS(Table1[RSP],Table1[Customer],$M$3,Table1[Date],$A174,Table1[Bill No.],$B174),IF($J174="PETROL",AVERAGEIFS(Table14[RSP],Table14[Customer],$M$3,Table14[Date],$A174,Table14[Bill No.],$B174),IF($J174="XtraGreen",AVERAGEIFS(Table146[RSP],Table146[Company],$M$3,Table146[Date],$A174,Table146[Bill No.],$B174),IFERROR($E174/$C174,"")))))</f>
        <v/>
      </c>
      <c r="E174" s="347" t="str">
        <f>IF($A174="","",IF($J174="DIESEL",SUMIFS(Table1[Amount],Table1[Customer],$M$3,Table1[Date],$A174,Table1[Bill No.],$B174),IF($J174="PETROL",SUMIFS(Table14[Amount],Table14[Customer],$M$3,Table14[Date],$A174,Table14[Bill No.],$B174),IF($J174="XtraGreen",SUMIFS(Table146[Amount],Table146[Company],$M$3,Table146[Date],$A174,Table146[Bill No.],$B174),SUMIFS('Other Sale'!$D:$D,'Other Sale'!$E:$E,$M$3,'Other Sale'!$C:$C,$J174,'Other Sale'!$A:$A,$A174)))))</f>
        <v/>
      </c>
      <c r="F174" s="347" t="str" cm="1">
        <f t="array" ref="F174">IF($A174="","",IF($J174="Payment",IFERROR(INDEX(_xlfn._xlws.FILTER(MasterPaid[Amount Paid],(MasterPaid[Customer]=$M$3)*(MasterPaid[Date]=$A174)),COUNTIFS($A$6:$A174,$A174,$J$6:$J174,"Payment")),0),0))</f>
        <v/>
      </c>
      <c r="G174" s="331"/>
      <c r="H174" s="427"/>
      <c r="I174" s="330" t="str">
        <f t="shared" si="12"/>
        <v/>
      </c>
      <c r="J174" s="344" t="str" cm="1">
        <f t="array" ref="J174">IFERROR(INDEX(_xlfn.ANCHORARRAY($P$6),ROW()-5,3),"")</f>
        <v/>
      </c>
      <c r="K174" s="432" t="str" cm="1">
        <f t="array" ref="K174">IF(OR($A174="",$J174&lt;&gt;"DIESEL"),"",_xlfn.LET(_xlpm.qty,N($C174),_xlpm.pos,$T$5:$T$54,_xlpm.alo,IF($U$5:$U$54="",0,$U$5:$U$54),_xlpm.usd,SUMIFS($C$6:$C173,$K$6:$K173,_xlpm.pos&amp;""),_xlpm.bal,_xlpm.alo-_xlpm.usd,IFERROR(INDEX(_xlfn._xlws.FILTER(_xlpm.pos,(_xlpm.pos&lt;&gt;"")*(_xlpm.qty&gt;0)*(_xlpm.bal&gt;=_xlpm.qty)),1),"")))</f>
        <v/>
      </c>
      <c r="L174" s="348"/>
    </row>
    <row r="175" spans="1:12" ht="23" x14ac:dyDescent="0.25">
      <c r="A175" s="217" t="str" cm="1">
        <f t="array" ref="A175">IFERROR(INDEX(_xlfn.ANCHORARRAY($P$6),ROW()-5,1),"")</f>
        <v/>
      </c>
      <c r="B175" s="344" t="str" cm="1">
        <f t="array" ref="B175">IFERROR(INDEX(_xlfn.ANCHORARRAY($P$6),ROW()-5,2),"")</f>
        <v/>
      </c>
      <c r="C175" s="345" t="str">
        <f>IF($A175="","",IF($J175="DIESEL",SUMIFS(Table1[Quantity],Table1[Customer],$M$3,Table1[Date],$A175,Table1[Bill No.],$B175),IF($J175="PETROL",SUMIFS(Table14[Quantity],Table14[Customer],$M$3,Table14[Date],$A175,Table14[Bill No.],$B175),IF($J175="XtraGreen",SUMIFS(Table146[Quantity],Table146[Company],$M$3,Table146[Date],$A175,Table146[Bill No.],$B175),""))))</f>
        <v/>
      </c>
      <c r="D175" s="346" t="str">
        <f>IF($A175="","",IF($J175="DIESEL",AVERAGEIFS(Table1[RSP],Table1[Customer],$M$3,Table1[Date],$A175,Table1[Bill No.],$B175),IF($J175="PETROL",AVERAGEIFS(Table14[RSP],Table14[Customer],$M$3,Table14[Date],$A175,Table14[Bill No.],$B175),IF($J175="XtraGreen",AVERAGEIFS(Table146[RSP],Table146[Company],$M$3,Table146[Date],$A175,Table146[Bill No.],$B175),IFERROR($E175/$C175,"")))))</f>
        <v/>
      </c>
      <c r="E175" s="347" t="str">
        <f>IF($A175="","",IF($J175="DIESEL",SUMIFS(Table1[Amount],Table1[Customer],$M$3,Table1[Date],$A175,Table1[Bill No.],$B175),IF($J175="PETROL",SUMIFS(Table14[Amount],Table14[Customer],$M$3,Table14[Date],$A175,Table14[Bill No.],$B175),IF($J175="XtraGreen",SUMIFS(Table146[Amount],Table146[Company],$M$3,Table146[Date],$A175,Table146[Bill No.],$B175),SUMIFS('Other Sale'!$D:$D,'Other Sale'!$E:$E,$M$3,'Other Sale'!$C:$C,$J175,'Other Sale'!$A:$A,$A175)))))</f>
        <v/>
      </c>
      <c r="F175" s="347" t="str" cm="1">
        <f t="array" ref="F175">IF($A175="","",IF($J175="Payment",IFERROR(INDEX(_xlfn._xlws.FILTER(MasterPaid[Amount Paid],(MasterPaid[Customer]=$M$3)*(MasterPaid[Date]=$A175)),COUNTIFS($A$6:$A175,$A175,$J$6:$J175,"Payment")),0),0))</f>
        <v/>
      </c>
      <c r="G175" s="331"/>
      <c r="H175" s="427"/>
      <c r="I175" s="330" t="str">
        <f t="shared" si="12"/>
        <v/>
      </c>
      <c r="J175" s="344" t="str" cm="1">
        <f t="array" ref="J175">IFERROR(INDEX(_xlfn.ANCHORARRAY($P$6),ROW()-5,3),"")</f>
        <v/>
      </c>
      <c r="K175" s="432" t="str" cm="1">
        <f t="array" ref="K175">IF(OR($A175="",$J175&lt;&gt;"DIESEL"),"",_xlfn.LET(_xlpm.qty,N($C175),_xlpm.pos,$T$5:$T$54,_xlpm.alo,IF($U$5:$U$54="",0,$U$5:$U$54),_xlpm.usd,SUMIFS($C$6:$C174,$K$6:$K174,_xlpm.pos&amp;""),_xlpm.bal,_xlpm.alo-_xlpm.usd,IFERROR(INDEX(_xlfn._xlws.FILTER(_xlpm.pos,(_xlpm.pos&lt;&gt;"")*(_xlpm.qty&gt;0)*(_xlpm.bal&gt;=_xlpm.qty)),1),"")))</f>
        <v/>
      </c>
      <c r="L175" s="348"/>
    </row>
    <row r="176" spans="1:12" ht="23" x14ac:dyDescent="0.25">
      <c r="A176" s="217" t="str" cm="1">
        <f t="array" ref="A176">IFERROR(INDEX(_xlfn.ANCHORARRAY($P$6),ROW()-5,1),"")</f>
        <v/>
      </c>
      <c r="B176" s="344" t="str" cm="1">
        <f t="array" ref="B176">IFERROR(INDEX(_xlfn.ANCHORARRAY($P$6),ROW()-5,2),"")</f>
        <v/>
      </c>
      <c r="C176" s="345" t="str">
        <f>IF($A176="","",IF($J176="DIESEL",SUMIFS(Table1[Quantity],Table1[Customer],$M$3,Table1[Date],$A176,Table1[Bill No.],$B176),IF($J176="PETROL",SUMIFS(Table14[Quantity],Table14[Customer],$M$3,Table14[Date],$A176,Table14[Bill No.],$B176),IF($J176="XtraGreen",SUMIFS(Table146[Quantity],Table146[Company],$M$3,Table146[Date],$A176,Table146[Bill No.],$B176),""))))</f>
        <v/>
      </c>
      <c r="D176" s="346" t="str">
        <f>IF($A176="","",IF($J176="DIESEL",AVERAGEIFS(Table1[RSP],Table1[Customer],$M$3,Table1[Date],$A176,Table1[Bill No.],$B176),IF($J176="PETROL",AVERAGEIFS(Table14[RSP],Table14[Customer],$M$3,Table14[Date],$A176,Table14[Bill No.],$B176),IF($J176="XtraGreen",AVERAGEIFS(Table146[RSP],Table146[Company],$M$3,Table146[Date],$A176,Table146[Bill No.],$B176),IFERROR($E176/$C176,"")))))</f>
        <v/>
      </c>
      <c r="E176" s="347" t="str">
        <f>IF($A176="","",IF($J176="DIESEL",SUMIFS(Table1[Amount],Table1[Customer],$M$3,Table1[Date],$A176,Table1[Bill No.],$B176),IF($J176="PETROL",SUMIFS(Table14[Amount],Table14[Customer],$M$3,Table14[Date],$A176,Table14[Bill No.],$B176),IF($J176="XtraGreen",SUMIFS(Table146[Amount],Table146[Company],$M$3,Table146[Date],$A176,Table146[Bill No.],$B176),SUMIFS('Other Sale'!$D:$D,'Other Sale'!$E:$E,$M$3,'Other Sale'!$C:$C,$J176,'Other Sale'!$A:$A,$A176)))))</f>
        <v/>
      </c>
      <c r="F176" s="347" t="str" cm="1">
        <f t="array" ref="F176">IF($A176="","",IF($J176="Payment",IFERROR(INDEX(_xlfn._xlws.FILTER(MasterPaid[Amount Paid],(MasterPaid[Customer]=$M$3)*(MasterPaid[Date]=$A176)),COUNTIFS($A$6:$A176,$A176,$J$6:$J176,"Payment")),0),0))</f>
        <v/>
      </c>
      <c r="G176" s="331"/>
      <c r="H176" s="427"/>
      <c r="I176" s="330" t="str">
        <f t="shared" si="12"/>
        <v/>
      </c>
      <c r="J176" s="344" t="str" cm="1">
        <f t="array" ref="J176">IFERROR(INDEX(_xlfn.ANCHORARRAY($P$6),ROW()-5,3),"")</f>
        <v/>
      </c>
      <c r="K176" s="432" t="str" cm="1">
        <f t="array" ref="K176">IF(OR($A176="",$J176&lt;&gt;"DIESEL"),"",_xlfn.LET(_xlpm.qty,N($C176),_xlpm.pos,$T$5:$T$54,_xlpm.alo,IF($U$5:$U$54="",0,$U$5:$U$54),_xlpm.usd,SUMIFS($C$6:$C175,$K$6:$K175,_xlpm.pos&amp;""),_xlpm.bal,_xlpm.alo-_xlpm.usd,IFERROR(INDEX(_xlfn._xlws.FILTER(_xlpm.pos,(_xlpm.pos&lt;&gt;"")*(_xlpm.qty&gt;0)*(_xlpm.bal&gt;=_xlpm.qty)),1),"")))</f>
        <v/>
      </c>
      <c r="L176" s="348"/>
    </row>
    <row r="177" spans="1:12" ht="23" x14ac:dyDescent="0.25">
      <c r="A177" s="217" t="str" cm="1">
        <f t="array" ref="A177">IFERROR(INDEX(_xlfn.ANCHORARRAY($P$6),ROW()-5,1),"")</f>
        <v/>
      </c>
      <c r="B177" s="344" t="str" cm="1">
        <f t="array" ref="B177">IFERROR(INDEX(_xlfn.ANCHORARRAY($P$6),ROW()-5,2),"")</f>
        <v/>
      </c>
      <c r="C177" s="345" t="str">
        <f>IF($A177="","",IF($J177="DIESEL",SUMIFS(Table1[Quantity],Table1[Customer],$M$3,Table1[Date],$A177,Table1[Bill No.],$B177),IF($J177="PETROL",SUMIFS(Table14[Quantity],Table14[Customer],$M$3,Table14[Date],$A177,Table14[Bill No.],$B177),IF($J177="XtraGreen",SUMIFS(Table146[Quantity],Table146[Company],$M$3,Table146[Date],$A177,Table146[Bill No.],$B177),""))))</f>
        <v/>
      </c>
      <c r="D177" s="346" t="str">
        <f>IF($A177="","",IF($J177="DIESEL",AVERAGEIFS(Table1[RSP],Table1[Customer],$M$3,Table1[Date],$A177,Table1[Bill No.],$B177),IF($J177="PETROL",AVERAGEIFS(Table14[RSP],Table14[Customer],$M$3,Table14[Date],$A177,Table14[Bill No.],$B177),IF($J177="XtraGreen",AVERAGEIFS(Table146[RSP],Table146[Company],$M$3,Table146[Date],$A177,Table146[Bill No.],$B177),IFERROR($E177/$C177,"")))))</f>
        <v/>
      </c>
      <c r="E177" s="347" t="str">
        <f>IF($A177="","",IF($J177="DIESEL",SUMIFS(Table1[Amount],Table1[Customer],$M$3,Table1[Date],$A177,Table1[Bill No.],$B177),IF($J177="PETROL",SUMIFS(Table14[Amount],Table14[Customer],$M$3,Table14[Date],$A177,Table14[Bill No.],$B177),IF($J177="XtraGreen",SUMIFS(Table146[Amount],Table146[Company],$M$3,Table146[Date],$A177,Table146[Bill No.],$B177),SUMIFS('Other Sale'!$D:$D,'Other Sale'!$E:$E,$M$3,'Other Sale'!$C:$C,$J177,'Other Sale'!$A:$A,$A177)))))</f>
        <v/>
      </c>
      <c r="F177" s="347" t="str" cm="1">
        <f t="array" ref="F177">IF($A177="","",IF($J177="Payment",IFERROR(INDEX(_xlfn._xlws.FILTER(MasterPaid[Amount Paid],(MasterPaid[Customer]=$M$3)*(MasterPaid[Date]=$A177)),COUNTIFS($A$6:$A177,$A177,$J$6:$J177,"Payment")),0),0))</f>
        <v/>
      </c>
      <c r="G177" s="331"/>
      <c r="H177" s="427"/>
      <c r="I177" s="330" t="str">
        <f t="shared" si="12"/>
        <v/>
      </c>
      <c r="J177" s="344" t="str" cm="1">
        <f t="array" ref="J177">IFERROR(INDEX(_xlfn.ANCHORARRAY($P$6),ROW()-5,3),"")</f>
        <v/>
      </c>
      <c r="K177" s="432" t="str" cm="1">
        <f t="array" ref="K177">IF(OR($A177="",$J177&lt;&gt;"DIESEL"),"",_xlfn.LET(_xlpm.qty,N($C177),_xlpm.pos,$T$5:$T$54,_xlpm.alo,IF($U$5:$U$54="",0,$U$5:$U$54),_xlpm.usd,SUMIFS($C$6:$C176,$K$6:$K176,_xlpm.pos&amp;""),_xlpm.bal,_xlpm.alo-_xlpm.usd,IFERROR(INDEX(_xlfn._xlws.FILTER(_xlpm.pos,(_xlpm.pos&lt;&gt;"")*(_xlpm.qty&gt;0)*(_xlpm.bal&gt;=_xlpm.qty)),1),"")))</f>
        <v/>
      </c>
      <c r="L177" s="348"/>
    </row>
    <row r="178" spans="1:12" ht="23" x14ac:dyDescent="0.25">
      <c r="A178" s="217" t="str" cm="1">
        <f t="array" ref="A178">IFERROR(INDEX(_xlfn.ANCHORARRAY($P$6),ROW()-5,1),"")</f>
        <v/>
      </c>
      <c r="B178" s="344" t="str" cm="1">
        <f t="array" ref="B178">IFERROR(INDEX(_xlfn.ANCHORARRAY($P$6),ROW()-5,2),"")</f>
        <v/>
      </c>
      <c r="C178" s="345" t="str">
        <f>IF($A178="","",IF($J178="DIESEL",SUMIFS(Table1[Quantity],Table1[Customer],$M$3,Table1[Date],$A178,Table1[Bill No.],$B178),IF($J178="PETROL",SUMIFS(Table14[Quantity],Table14[Customer],$M$3,Table14[Date],$A178,Table14[Bill No.],$B178),IF($J178="XtraGreen",SUMIFS(Table146[Quantity],Table146[Company],$M$3,Table146[Date],$A178,Table146[Bill No.],$B178),""))))</f>
        <v/>
      </c>
      <c r="D178" s="346" t="str">
        <f>IF($A178="","",IF($J178="DIESEL",AVERAGEIFS(Table1[RSP],Table1[Customer],$M$3,Table1[Date],$A178,Table1[Bill No.],$B178),IF($J178="PETROL",AVERAGEIFS(Table14[RSP],Table14[Customer],$M$3,Table14[Date],$A178,Table14[Bill No.],$B178),IF($J178="XtraGreen",AVERAGEIFS(Table146[RSP],Table146[Company],$M$3,Table146[Date],$A178,Table146[Bill No.],$B178),IFERROR($E178/$C178,"")))))</f>
        <v/>
      </c>
      <c r="E178" s="347" t="str">
        <f>IF($A178="","",IF($J178="DIESEL",SUMIFS(Table1[Amount],Table1[Customer],$M$3,Table1[Date],$A178,Table1[Bill No.],$B178),IF($J178="PETROL",SUMIFS(Table14[Amount],Table14[Customer],$M$3,Table14[Date],$A178,Table14[Bill No.],$B178),IF($J178="XtraGreen",SUMIFS(Table146[Amount],Table146[Company],$M$3,Table146[Date],$A178,Table146[Bill No.],$B178),SUMIFS('Other Sale'!$D:$D,'Other Sale'!$E:$E,$M$3,'Other Sale'!$C:$C,$J178,'Other Sale'!$A:$A,$A178)))))</f>
        <v/>
      </c>
      <c r="F178" s="347" t="str" cm="1">
        <f t="array" ref="F178">IF($A178="","",IF($J178="Payment",IFERROR(INDEX(_xlfn._xlws.FILTER(MasterPaid[Amount Paid],(MasterPaid[Customer]=$M$3)*(MasterPaid[Date]=$A178)),COUNTIFS($A$6:$A178,$A178,$J$6:$J178,"Payment")),0),0))</f>
        <v/>
      </c>
      <c r="G178" s="331"/>
      <c r="H178" s="427"/>
      <c r="I178" s="330" t="str">
        <f t="shared" si="12"/>
        <v/>
      </c>
      <c r="J178" s="344" t="str" cm="1">
        <f t="array" ref="J178">IFERROR(INDEX(_xlfn.ANCHORARRAY($P$6),ROW()-5,3),"")</f>
        <v/>
      </c>
      <c r="K178" s="432" t="str" cm="1">
        <f t="array" ref="K178">IF(OR($A178="",$J178&lt;&gt;"DIESEL"),"",_xlfn.LET(_xlpm.qty,N($C178),_xlpm.pos,$T$5:$T$54,_xlpm.alo,IF($U$5:$U$54="",0,$U$5:$U$54),_xlpm.usd,SUMIFS($C$6:$C177,$K$6:$K177,_xlpm.pos&amp;""),_xlpm.bal,_xlpm.alo-_xlpm.usd,IFERROR(INDEX(_xlfn._xlws.FILTER(_xlpm.pos,(_xlpm.pos&lt;&gt;"")*(_xlpm.qty&gt;0)*(_xlpm.bal&gt;=_xlpm.qty)),1),"")))</f>
        <v/>
      </c>
      <c r="L178" s="348"/>
    </row>
    <row r="179" spans="1:12" ht="23" x14ac:dyDescent="0.25">
      <c r="A179" s="217" t="str" cm="1">
        <f t="array" ref="A179">IFERROR(INDEX(_xlfn.ANCHORARRAY($P$6),ROW()-5,1),"")</f>
        <v/>
      </c>
      <c r="B179" s="344" t="str" cm="1">
        <f t="array" ref="B179">IFERROR(INDEX(_xlfn.ANCHORARRAY($P$6),ROW()-5,2),"")</f>
        <v/>
      </c>
      <c r="C179" s="345" t="str">
        <f>IF($A179="","",IF($J179="DIESEL",SUMIFS(Table1[Quantity],Table1[Customer],$M$3,Table1[Date],$A179,Table1[Bill No.],$B179),IF($J179="PETROL",SUMIFS(Table14[Quantity],Table14[Customer],$M$3,Table14[Date],$A179,Table14[Bill No.],$B179),IF($J179="XtraGreen",SUMIFS(Table146[Quantity],Table146[Company],$M$3,Table146[Date],$A179,Table146[Bill No.],$B179),""))))</f>
        <v/>
      </c>
      <c r="D179" s="346" t="str">
        <f>IF($A179="","",IF($J179="DIESEL",AVERAGEIFS(Table1[RSP],Table1[Customer],$M$3,Table1[Date],$A179,Table1[Bill No.],$B179),IF($J179="PETROL",AVERAGEIFS(Table14[RSP],Table14[Customer],$M$3,Table14[Date],$A179,Table14[Bill No.],$B179),IF($J179="XtraGreen",AVERAGEIFS(Table146[RSP],Table146[Company],$M$3,Table146[Date],$A179,Table146[Bill No.],$B179),IFERROR($E179/$C179,"")))))</f>
        <v/>
      </c>
      <c r="E179" s="347" t="str">
        <f>IF($A179="","",IF($J179="DIESEL",SUMIFS(Table1[Amount],Table1[Customer],$M$3,Table1[Date],$A179,Table1[Bill No.],$B179),IF($J179="PETROL",SUMIFS(Table14[Amount],Table14[Customer],$M$3,Table14[Date],$A179,Table14[Bill No.],$B179),IF($J179="XtraGreen",SUMIFS(Table146[Amount],Table146[Company],$M$3,Table146[Date],$A179,Table146[Bill No.],$B179),SUMIFS('Other Sale'!$D:$D,'Other Sale'!$E:$E,$M$3,'Other Sale'!$C:$C,$J179,'Other Sale'!$A:$A,$A179)))))</f>
        <v/>
      </c>
      <c r="F179" s="347" t="str" cm="1">
        <f t="array" ref="F179">IF($A179="","",IF($J179="Payment",IFERROR(INDEX(_xlfn._xlws.FILTER(MasterPaid[Amount Paid],(MasterPaid[Customer]=$M$3)*(MasterPaid[Date]=$A179)),COUNTIFS($A$6:$A179,$A179,$J$6:$J179,"Payment")),0),0))</f>
        <v/>
      </c>
      <c r="G179" s="331"/>
      <c r="H179" s="427"/>
      <c r="I179" s="330" t="str">
        <f t="shared" si="12"/>
        <v/>
      </c>
      <c r="J179" s="344" t="str" cm="1">
        <f t="array" ref="J179">IFERROR(INDEX(_xlfn.ANCHORARRAY($P$6),ROW()-5,3),"")</f>
        <v/>
      </c>
      <c r="K179" s="432" t="str" cm="1">
        <f t="array" ref="K179">IF(OR($A179="",$J179&lt;&gt;"DIESEL"),"",_xlfn.LET(_xlpm.qty,N($C179),_xlpm.pos,$T$5:$T$54,_xlpm.alo,IF($U$5:$U$54="",0,$U$5:$U$54),_xlpm.usd,SUMIFS($C$6:$C178,$K$6:$K178,_xlpm.pos&amp;""),_xlpm.bal,_xlpm.alo-_xlpm.usd,IFERROR(INDEX(_xlfn._xlws.FILTER(_xlpm.pos,(_xlpm.pos&lt;&gt;"")*(_xlpm.qty&gt;0)*(_xlpm.bal&gt;=_xlpm.qty)),1),"")))</f>
        <v/>
      </c>
      <c r="L179" s="348"/>
    </row>
    <row r="180" spans="1:12" ht="23" x14ac:dyDescent="0.25">
      <c r="A180" s="217" t="str" cm="1">
        <f t="array" ref="A180">IFERROR(INDEX(_xlfn.ANCHORARRAY($P$6),ROW()-5,1),"")</f>
        <v/>
      </c>
      <c r="B180" s="344" t="str" cm="1">
        <f t="array" ref="B180">IFERROR(INDEX(_xlfn.ANCHORARRAY($P$6),ROW()-5,2),"")</f>
        <v/>
      </c>
      <c r="C180" s="345" t="str">
        <f>IF($A180="","",IF($J180="DIESEL",SUMIFS(Table1[Quantity],Table1[Customer],$M$3,Table1[Date],$A180,Table1[Bill No.],$B180),IF($J180="PETROL",SUMIFS(Table14[Quantity],Table14[Customer],$M$3,Table14[Date],$A180,Table14[Bill No.],$B180),IF($J180="XtraGreen",SUMIFS(Table146[Quantity],Table146[Company],$M$3,Table146[Date],$A180,Table146[Bill No.],$B180),""))))</f>
        <v/>
      </c>
      <c r="D180" s="346" t="str">
        <f>IF($A180="","",IF($J180="DIESEL",AVERAGEIFS(Table1[RSP],Table1[Customer],$M$3,Table1[Date],$A180,Table1[Bill No.],$B180),IF($J180="PETROL",AVERAGEIFS(Table14[RSP],Table14[Customer],$M$3,Table14[Date],$A180,Table14[Bill No.],$B180),IF($J180="XtraGreen",AVERAGEIFS(Table146[RSP],Table146[Company],$M$3,Table146[Date],$A180,Table146[Bill No.],$B180),IFERROR($E180/$C180,"")))))</f>
        <v/>
      </c>
      <c r="E180" s="347" t="str">
        <f>IF($A180="","",IF($J180="DIESEL",SUMIFS(Table1[Amount],Table1[Customer],$M$3,Table1[Date],$A180,Table1[Bill No.],$B180),IF($J180="PETROL",SUMIFS(Table14[Amount],Table14[Customer],$M$3,Table14[Date],$A180,Table14[Bill No.],$B180),IF($J180="XtraGreen",SUMIFS(Table146[Amount],Table146[Company],$M$3,Table146[Date],$A180,Table146[Bill No.],$B180),SUMIFS('Other Sale'!$D:$D,'Other Sale'!$E:$E,$M$3,'Other Sale'!$C:$C,$J180,'Other Sale'!$A:$A,$A180)))))</f>
        <v/>
      </c>
      <c r="F180" s="347" t="str" cm="1">
        <f t="array" ref="F180">IF($A180="","",IF($J180="Payment",IFERROR(INDEX(_xlfn._xlws.FILTER(MasterPaid[Amount Paid],(MasterPaid[Customer]=$M$3)*(MasterPaid[Date]=$A180)),COUNTIFS($A$6:$A180,$A180,$J$6:$J180,"Payment")),0),0))</f>
        <v/>
      </c>
      <c r="G180" s="331"/>
      <c r="H180" s="427"/>
      <c r="I180" s="330" t="str">
        <f t="shared" si="12"/>
        <v/>
      </c>
      <c r="J180" s="344" t="str" cm="1">
        <f t="array" ref="J180">IFERROR(INDEX(_xlfn.ANCHORARRAY($P$6),ROW()-5,3),"")</f>
        <v/>
      </c>
      <c r="K180" s="432" t="str" cm="1">
        <f t="array" ref="K180">IF(OR($A180="",$J180&lt;&gt;"DIESEL"),"",_xlfn.LET(_xlpm.qty,N($C180),_xlpm.pos,$T$5:$T$54,_xlpm.alo,IF($U$5:$U$54="",0,$U$5:$U$54),_xlpm.usd,SUMIFS($C$6:$C179,$K$6:$K179,_xlpm.pos&amp;""),_xlpm.bal,_xlpm.alo-_xlpm.usd,IFERROR(INDEX(_xlfn._xlws.FILTER(_xlpm.pos,(_xlpm.pos&lt;&gt;"")*(_xlpm.qty&gt;0)*(_xlpm.bal&gt;=_xlpm.qty)),1),"")))</f>
        <v/>
      </c>
      <c r="L180" s="348"/>
    </row>
    <row r="181" spans="1:12" ht="23" x14ac:dyDescent="0.25">
      <c r="A181" s="217" t="str" cm="1">
        <f t="array" ref="A181">IFERROR(INDEX(_xlfn.ANCHORARRAY($P$6),ROW()-5,1),"")</f>
        <v/>
      </c>
      <c r="B181" s="344" t="str" cm="1">
        <f t="array" ref="B181">IFERROR(INDEX(_xlfn.ANCHORARRAY($P$6),ROW()-5,2),"")</f>
        <v/>
      </c>
      <c r="C181" s="345" t="str">
        <f>IF($A181="","",IF($J181="DIESEL",SUMIFS(Table1[Quantity],Table1[Customer],$M$3,Table1[Date],$A181,Table1[Bill No.],$B181),IF($J181="PETROL",SUMIFS(Table14[Quantity],Table14[Customer],$M$3,Table14[Date],$A181,Table14[Bill No.],$B181),IF($J181="XtraGreen",SUMIFS(Table146[Quantity],Table146[Company],$M$3,Table146[Date],$A181,Table146[Bill No.],$B181),""))))</f>
        <v/>
      </c>
      <c r="D181" s="346" t="str">
        <f>IF($A181="","",IF($J181="DIESEL",AVERAGEIFS(Table1[RSP],Table1[Customer],$M$3,Table1[Date],$A181,Table1[Bill No.],$B181),IF($J181="PETROL",AVERAGEIFS(Table14[RSP],Table14[Customer],$M$3,Table14[Date],$A181,Table14[Bill No.],$B181),IF($J181="XtraGreen",AVERAGEIFS(Table146[RSP],Table146[Company],$M$3,Table146[Date],$A181,Table146[Bill No.],$B181),IFERROR($E181/$C181,"")))))</f>
        <v/>
      </c>
      <c r="E181" s="347" t="str">
        <f>IF($A181="","",IF($J181="DIESEL",SUMIFS(Table1[Amount],Table1[Customer],$M$3,Table1[Date],$A181,Table1[Bill No.],$B181),IF($J181="PETROL",SUMIFS(Table14[Amount],Table14[Customer],$M$3,Table14[Date],$A181,Table14[Bill No.],$B181),IF($J181="XtraGreen",SUMIFS(Table146[Amount],Table146[Company],$M$3,Table146[Date],$A181,Table146[Bill No.],$B181),SUMIFS('Other Sale'!$D:$D,'Other Sale'!$E:$E,$M$3,'Other Sale'!$C:$C,$J181,'Other Sale'!$A:$A,$A181)))))</f>
        <v/>
      </c>
      <c r="F181" s="347" t="str" cm="1">
        <f t="array" ref="F181">IF($A181="","",IF($J181="Payment",IFERROR(INDEX(_xlfn._xlws.FILTER(MasterPaid[Amount Paid],(MasterPaid[Customer]=$M$3)*(MasterPaid[Date]=$A181)),COUNTIFS($A$6:$A181,$A181,$J$6:$J181,"Payment")),0),0))</f>
        <v/>
      </c>
      <c r="G181" s="331"/>
      <c r="H181" s="427"/>
      <c r="I181" s="330" t="str">
        <f t="shared" si="12"/>
        <v/>
      </c>
      <c r="J181" s="344" t="str" cm="1">
        <f t="array" ref="J181">IFERROR(INDEX(_xlfn.ANCHORARRAY($P$6),ROW()-5,3),"")</f>
        <v/>
      </c>
      <c r="K181" s="432" t="str" cm="1">
        <f t="array" ref="K181">IF(OR($A181="",$J181&lt;&gt;"DIESEL"),"",_xlfn.LET(_xlpm.qty,N($C181),_xlpm.pos,$T$5:$T$54,_xlpm.alo,IF($U$5:$U$54="",0,$U$5:$U$54),_xlpm.usd,SUMIFS($C$6:$C180,$K$6:$K180,_xlpm.pos&amp;""),_xlpm.bal,_xlpm.alo-_xlpm.usd,IFERROR(INDEX(_xlfn._xlws.FILTER(_xlpm.pos,(_xlpm.pos&lt;&gt;"")*(_xlpm.qty&gt;0)*(_xlpm.bal&gt;=_xlpm.qty)),1),"")))</f>
        <v/>
      </c>
      <c r="L181" s="348"/>
    </row>
    <row r="182" spans="1:12" ht="23" x14ac:dyDescent="0.25">
      <c r="A182" s="217" t="str" cm="1">
        <f t="array" ref="A182">IFERROR(INDEX(_xlfn.ANCHORARRAY($P$6),ROW()-5,1),"")</f>
        <v/>
      </c>
      <c r="B182" s="344" t="str" cm="1">
        <f t="array" ref="B182">IFERROR(INDEX(_xlfn.ANCHORARRAY($P$6),ROW()-5,2),"")</f>
        <v/>
      </c>
      <c r="C182" s="345" t="str">
        <f>IF($A182="","",IF($J182="DIESEL",SUMIFS(Table1[Quantity],Table1[Customer],$M$3,Table1[Date],$A182,Table1[Bill No.],$B182),IF($J182="PETROL",SUMIFS(Table14[Quantity],Table14[Customer],$M$3,Table14[Date],$A182,Table14[Bill No.],$B182),IF($J182="XtraGreen",SUMIFS(Table146[Quantity],Table146[Company],$M$3,Table146[Date],$A182,Table146[Bill No.],$B182),""))))</f>
        <v/>
      </c>
      <c r="D182" s="346" t="str">
        <f>IF($A182="","",IF($J182="DIESEL",AVERAGEIFS(Table1[RSP],Table1[Customer],$M$3,Table1[Date],$A182,Table1[Bill No.],$B182),IF($J182="PETROL",AVERAGEIFS(Table14[RSP],Table14[Customer],$M$3,Table14[Date],$A182,Table14[Bill No.],$B182),IF($J182="XtraGreen",AVERAGEIFS(Table146[RSP],Table146[Company],$M$3,Table146[Date],$A182,Table146[Bill No.],$B182),IFERROR($E182/$C182,"")))))</f>
        <v/>
      </c>
      <c r="E182" s="347" t="str">
        <f>IF($A182="","",IF($J182="DIESEL",SUMIFS(Table1[Amount],Table1[Customer],$M$3,Table1[Date],$A182,Table1[Bill No.],$B182),IF($J182="PETROL",SUMIFS(Table14[Amount],Table14[Customer],$M$3,Table14[Date],$A182,Table14[Bill No.],$B182),IF($J182="XtraGreen",SUMIFS(Table146[Amount],Table146[Company],$M$3,Table146[Date],$A182,Table146[Bill No.],$B182),SUMIFS('Other Sale'!$D:$D,'Other Sale'!$E:$E,$M$3,'Other Sale'!$C:$C,$J182,'Other Sale'!$A:$A,$A182)))))</f>
        <v/>
      </c>
      <c r="F182" s="347" t="str" cm="1">
        <f t="array" ref="F182">IF($A182="","",IF($J182="Payment",IFERROR(INDEX(_xlfn._xlws.FILTER(MasterPaid[Amount Paid],(MasterPaid[Customer]=$M$3)*(MasterPaid[Date]=$A182)),COUNTIFS($A$6:$A182,$A182,$J$6:$J182,"Payment")),0),0))</f>
        <v/>
      </c>
      <c r="G182" s="331"/>
      <c r="H182" s="427"/>
      <c r="I182" s="330" t="str">
        <f t="shared" si="12"/>
        <v/>
      </c>
      <c r="J182" s="344" t="str" cm="1">
        <f t="array" ref="J182">IFERROR(INDEX(_xlfn.ANCHORARRAY($P$6),ROW()-5,3),"")</f>
        <v/>
      </c>
      <c r="K182" s="432" t="str" cm="1">
        <f t="array" ref="K182">IF(OR($A182="",$J182&lt;&gt;"DIESEL"),"",_xlfn.LET(_xlpm.qty,N($C182),_xlpm.pos,$T$5:$T$54,_xlpm.alo,IF($U$5:$U$54="",0,$U$5:$U$54),_xlpm.usd,SUMIFS($C$6:$C181,$K$6:$K181,_xlpm.pos&amp;""),_xlpm.bal,_xlpm.alo-_xlpm.usd,IFERROR(INDEX(_xlfn._xlws.FILTER(_xlpm.pos,(_xlpm.pos&lt;&gt;"")*(_xlpm.qty&gt;0)*(_xlpm.bal&gt;=_xlpm.qty)),1),"")))</f>
        <v/>
      </c>
      <c r="L182" s="348"/>
    </row>
    <row r="183" spans="1:12" ht="23" x14ac:dyDescent="0.25">
      <c r="A183" s="217" t="str" cm="1">
        <f t="array" ref="A183">IFERROR(INDEX(_xlfn.ANCHORARRAY($P$6),ROW()-5,1),"")</f>
        <v/>
      </c>
      <c r="B183" s="344" t="str" cm="1">
        <f t="array" ref="B183">IFERROR(INDEX(_xlfn.ANCHORARRAY($P$6),ROW()-5,2),"")</f>
        <v/>
      </c>
      <c r="C183" s="345" t="str">
        <f>IF($A183="","",IF($J183="DIESEL",SUMIFS(Table1[Quantity],Table1[Customer],$M$3,Table1[Date],$A183,Table1[Bill No.],$B183),IF($J183="PETROL",SUMIFS(Table14[Quantity],Table14[Customer],$M$3,Table14[Date],$A183,Table14[Bill No.],$B183),IF($J183="XtraGreen",SUMIFS(Table146[Quantity],Table146[Company],$M$3,Table146[Date],$A183,Table146[Bill No.],$B183),""))))</f>
        <v/>
      </c>
      <c r="D183" s="346" t="str">
        <f>IF($A183="","",IF($J183="DIESEL",AVERAGEIFS(Table1[RSP],Table1[Customer],$M$3,Table1[Date],$A183,Table1[Bill No.],$B183),IF($J183="PETROL",AVERAGEIFS(Table14[RSP],Table14[Customer],$M$3,Table14[Date],$A183,Table14[Bill No.],$B183),IF($J183="XtraGreen",AVERAGEIFS(Table146[RSP],Table146[Company],$M$3,Table146[Date],$A183,Table146[Bill No.],$B183),IFERROR($E183/$C183,"")))))</f>
        <v/>
      </c>
      <c r="E183" s="347" t="str">
        <f>IF($A183="","",IF($J183="DIESEL",SUMIFS(Table1[Amount],Table1[Customer],$M$3,Table1[Date],$A183,Table1[Bill No.],$B183),IF($J183="PETROL",SUMIFS(Table14[Amount],Table14[Customer],$M$3,Table14[Date],$A183,Table14[Bill No.],$B183),IF($J183="XtraGreen",SUMIFS(Table146[Amount],Table146[Company],$M$3,Table146[Date],$A183,Table146[Bill No.],$B183),SUMIFS('Other Sale'!$D:$D,'Other Sale'!$E:$E,$M$3,'Other Sale'!$C:$C,$J183,'Other Sale'!$A:$A,$A183)))))</f>
        <v/>
      </c>
      <c r="F183" s="347" t="str" cm="1">
        <f t="array" ref="F183">IF($A183="","",IF($J183="Payment",IFERROR(INDEX(_xlfn._xlws.FILTER(MasterPaid[Amount Paid],(MasterPaid[Customer]=$M$3)*(MasterPaid[Date]=$A183)),COUNTIFS($A$6:$A183,$A183,$J$6:$J183,"Payment")),0),0))</f>
        <v/>
      </c>
      <c r="G183" s="331"/>
      <c r="H183" s="427"/>
      <c r="I183" s="330" t="str">
        <f t="shared" si="12"/>
        <v/>
      </c>
      <c r="J183" s="344" t="str" cm="1">
        <f t="array" ref="J183">IFERROR(INDEX(_xlfn.ANCHORARRAY($P$6),ROW()-5,3),"")</f>
        <v/>
      </c>
      <c r="K183" s="432" t="str" cm="1">
        <f t="array" ref="K183">IF(OR($A183="",$J183&lt;&gt;"DIESEL"),"",_xlfn.LET(_xlpm.qty,N($C183),_xlpm.pos,$T$5:$T$54,_xlpm.alo,IF($U$5:$U$54="",0,$U$5:$U$54),_xlpm.usd,SUMIFS($C$6:$C182,$K$6:$K182,_xlpm.pos&amp;""),_xlpm.bal,_xlpm.alo-_xlpm.usd,IFERROR(INDEX(_xlfn._xlws.FILTER(_xlpm.pos,(_xlpm.pos&lt;&gt;"")*(_xlpm.qty&gt;0)*(_xlpm.bal&gt;=_xlpm.qty)),1),"")))</f>
        <v/>
      </c>
      <c r="L183" s="348"/>
    </row>
    <row r="184" spans="1:12" ht="23" x14ac:dyDescent="0.25">
      <c r="A184" s="217" t="str" cm="1">
        <f t="array" ref="A184">IFERROR(INDEX(_xlfn.ANCHORARRAY($P$6),ROW()-5,1),"")</f>
        <v/>
      </c>
      <c r="B184" s="344" t="str" cm="1">
        <f t="array" ref="B184">IFERROR(INDEX(_xlfn.ANCHORARRAY($P$6),ROW()-5,2),"")</f>
        <v/>
      </c>
      <c r="C184" s="345" t="str">
        <f>IF($A184="","",IF($J184="DIESEL",SUMIFS(Table1[Quantity],Table1[Customer],$M$3,Table1[Date],$A184,Table1[Bill No.],$B184),IF($J184="PETROL",SUMIFS(Table14[Quantity],Table14[Customer],$M$3,Table14[Date],$A184,Table14[Bill No.],$B184),IF($J184="XtraGreen",SUMIFS(Table146[Quantity],Table146[Company],$M$3,Table146[Date],$A184,Table146[Bill No.],$B184),""))))</f>
        <v/>
      </c>
      <c r="D184" s="346" t="str">
        <f>IF($A184="","",IF($J184="DIESEL",AVERAGEIFS(Table1[RSP],Table1[Customer],$M$3,Table1[Date],$A184,Table1[Bill No.],$B184),IF($J184="PETROL",AVERAGEIFS(Table14[RSP],Table14[Customer],$M$3,Table14[Date],$A184,Table14[Bill No.],$B184),IF($J184="XtraGreen",AVERAGEIFS(Table146[RSP],Table146[Company],$M$3,Table146[Date],$A184,Table146[Bill No.],$B184),IFERROR($E184/$C184,"")))))</f>
        <v/>
      </c>
      <c r="E184" s="347" t="str">
        <f>IF($A184="","",IF($J184="DIESEL",SUMIFS(Table1[Amount],Table1[Customer],$M$3,Table1[Date],$A184,Table1[Bill No.],$B184),IF($J184="PETROL",SUMIFS(Table14[Amount],Table14[Customer],$M$3,Table14[Date],$A184,Table14[Bill No.],$B184),IF($J184="XtraGreen",SUMIFS(Table146[Amount],Table146[Company],$M$3,Table146[Date],$A184,Table146[Bill No.],$B184),SUMIFS('Other Sale'!$D:$D,'Other Sale'!$E:$E,$M$3,'Other Sale'!$C:$C,$J184,'Other Sale'!$A:$A,$A184)))))</f>
        <v/>
      </c>
      <c r="F184" s="347" t="str" cm="1">
        <f t="array" ref="F184">IF($A184="","",IF($J184="Payment",IFERROR(INDEX(_xlfn._xlws.FILTER(MasterPaid[Amount Paid],(MasterPaid[Customer]=$M$3)*(MasterPaid[Date]=$A184)),COUNTIFS($A$6:$A184,$A184,$J$6:$J184,"Payment")),0),0))</f>
        <v/>
      </c>
      <c r="G184" s="331"/>
      <c r="H184" s="427"/>
      <c r="I184" s="330" t="str">
        <f t="shared" si="12"/>
        <v/>
      </c>
      <c r="J184" s="344" t="str" cm="1">
        <f t="array" ref="J184">IFERROR(INDEX(_xlfn.ANCHORARRAY($P$6),ROW()-5,3),"")</f>
        <v/>
      </c>
      <c r="K184" s="432" t="str" cm="1">
        <f t="array" ref="K184">IF(OR($A184="",$J184&lt;&gt;"DIESEL"),"",_xlfn.LET(_xlpm.qty,N($C184),_xlpm.pos,$T$5:$T$54,_xlpm.alo,IF($U$5:$U$54="",0,$U$5:$U$54),_xlpm.usd,SUMIFS($C$6:$C183,$K$6:$K183,_xlpm.pos&amp;""),_xlpm.bal,_xlpm.alo-_xlpm.usd,IFERROR(INDEX(_xlfn._xlws.FILTER(_xlpm.pos,(_xlpm.pos&lt;&gt;"")*(_xlpm.qty&gt;0)*(_xlpm.bal&gt;=_xlpm.qty)),1),"")))</f>
        <v/>
      </c>
      <c r="L184" s="348"/>
    </row>
    <row r="185" spans="1:12" ht="23" x14ac:dyDescent="0.25">
      <c r="A185" s="217" t="str" cm="1">
        <f t="array" ref="A185">IFERROR(INDEX(_xlfn.ANCHORARRAY($P$6),ROW()-5,1),"")</f>
        <v/>
      </c>
      <c r="B185" s="344" t="str" cm="1">
        <f t="array" ref="B185">IFERROR(INDEX(_xlfn.ANCHORARRAY($P$6),ROW()-5,2),"")</f>
        <v/>
      </c>
      <c r="C185" s="345" t="str">
        <f>IF($A185="","",IF($J185="DIESEL",SUMIFS(Table1[Quantity],Table1[Customer],$M$3,Table1[Date],$A185,Table1[Bill No.],$B185),IF($J185="PETROL",SUMIFS(Table14[Quantity],Table14[Customer],$M$3,Table14[Date],$A185,Table14[Bill No.],$B185),IF($J185="XtraGreen",SUMIFS(Table146[Quantity],Table146[Company],$M$3,Table146[Date],$A185,Table146[Bill No.],$B185),""))))</f>
        <v/>
      </c>
      <c r="D185" s="346" t="str">
        <f>IF($A185="","",IF($J185="DIESEL",AVERAGEIFS(Table1[RSP],Table1[Customer],$M$3,Table1[Date],$A185,Table1[Bill No.],$B185),IF($J185="PETROL",AVERAGEIFS(Table14[RSP],Table14[Customer],$M$3,Table14[Date],$A185,Table14[Bill No.],$B185),IF($J185="XtraGreen",AVERAGEIFS(Table146[RSP],Table146[Company],$M$3,Table146[Date],$A185,Table146[Bill No.],$B185),IFERROR($E185/$C185,"")))))</f>
        <v/>
      </c>
      <c r="E185" s="347" t="str">
        <f>IF($A185="","",IF($J185="DIESEL",SUMIFS(Table1[Amount],Table1[Customer],$M$3,Table1[Date],$A185,Table1[Bill No.],$B185),IF($J185="PETROL",SUMIFS(Table14[Amount],Table14[Customer],$M$3,Table14[Date],$A185,Table14[Bill No.],$B185),IF($J185="XtraGreen",SUMIFS(Table146[Amount],Table146[Company],$M$3,Table146[Date],$A185,Table146[Bill No.],$B185),SUMIFS('Other Sale'!$D:$D,'Other Sale'!$E:$E,$M$3,'Other Sale'!$C:$C,$J185,'Other Sale'!$A:$A,$A185)))))</f>
        <v/>
      </c>
      <c r="F185" s="347" t="str" cm="1">
        <f t="array" ref="F185">IF($A185="","",IF($J185="Payment",IFERROR(INDEX(_xlfn._xlws.FILTER(MasterPaid[Amount Paid],(MasterPaid[Customer]=$M$3)*(MasterPaid[Date]=$A185)),COUNTIFS($A$6:$A185,$A185,$J$6:$J185,"Payment")),0),0))</f>
        <v/>
      </c>
      <c r="G185" s="331"/>
      <c r="H185" s="427"/>
      <c r="I185" s="330" t="str">
        <f t="shared" si="12"/>
        <v/>
      </c>
      <c r="J185" s="344" t="str" cm="1">
        <f t="array" ref="J185">IFERROR(INDEX(_xlfn.ANCHORARRAY($P$6),ROW()-5,3),"")</f>
        <v/>
      </c>
      <c r="K185" s="432" t="str" cm="1">
        <f t="array" ref="K185">IF(OR($A185="",$J185&lt;&gt;"DIESEL"),"",_xlfn.LET(_xlpm.qty,N($C185),_xlpm.pos,$T$5:$T$54,_xlpm.alo,IF($U$5:$U$54="",0,$U$5:$U$54),_xlpm.usd,SUMIFS($C$6:$C184,$K$6:$K184,_xlpm.pos&amp;""),_xlpm.bal,_xlpm.alo-_xlpm.usd,IFERROR(INDEX(_xlfn._xlws.FILTER(_xlpm.pos,(_xlpm.pos&lt;&gt;"")*(_xlpm.qty&gt;0)*(_xlpm.bal&gt;=_xlpm.qty)),1),"")))</f>
        <v/>
      </c>
      <c r="L185" s="348"/>
    </row>
    <row r="186" spans="1:12" ht="23" x14ac:dyDescent="0.25">
      <c r="A186" s="217" t="str" cm="1">
        <f t="array" ref="A186">IFERROR(INDEX(_xlfn.ANCHORARRAY($P$6),ROW()-5,1),"")</f>
        <v/>
      </c>
      <c r="B186" s="344" t="str" cm="1">
        <f t="array" ref="B186">IFERROR(INDEX(_xlfn.ANCHORARRAY($P$6),ROW()-5,2),"")</f>
        <v/>
      </c>
      <c r="C186" s="345" t="str">
        <f>IF($A186="","",IF($J186="DIESEL",SUMIFS(Table1[Quantity],Table1[Customer],$M$3,Table1[Date],$A186,Table1[Bill No.],$B186),IF($J186="PETROL",SUMIFS(Table14[Quantity],Table14[Customer],$M$3,Table14[Date],$A186,Table14[Bill No.],$B186),IF($J186="XtraGreen",SUMIFS(Table146[Quantity],Table146[Company],$M$3,Table146[Date],$A186,Table146[Bill No.],$B186),""))))</f>
        <v/>
      </c>
      <c r="D186" s="346" t="str">
        <f>IF($A186="","",IF($J186="DIESEL",AVERAGEIFS(Table1[RSP],Table1[Customer],$M$3,Table1[Date],$A186,Table1[Bill No.],$B186),IF($J186="PETROL",AVERAGEIFS(Table14[RSP],Table14[Customer],$M$3,Table14[Date],$A186,Table14[Bill No.],$B186),IF($J186="XtraGreen",AVERAGEIFS(Table146[RSP],Table146[Company],$M$3,Table146[Date],$A186,Table146[Bill No.],$B186),IFERROR($E186/$C186,"")))))</f>
        <v/>
      </c>
      <c r="E186" s="347" t="str">
        <f>IF($A186="","",IF($J186="DIESEL",SUMIFS(Table1[Amount],Table1[Customer],$M$3,Table1[Date],$A186,Table1[Bill No.],$B186),IF($J186="PETROL",SUMIFS(Table14[Amount],Table14[Customer],$M$3,Table14[Date],$A186,Table14[Bill No.],$B186),IF($J186="XtraGreen",SUMIFS(Table146[Amount],Table146[Company],$M$3,Table146[Date],$A186,Table146[Bill No.],$B186),SUMIFS('Other Sale'!$D:$D,'Other Sale'!$E:$E,$M$3,'Other Sale'!$C:$C,$J186,'Other Sale'!$A:$A,$A186)))))</f>
        <v/>
      </c>
      <c r="F186" s="347" t="str" cm="1">
        <f t="array" ref="F186">IF($A186="","",IF($J186="Payment",IFERROR(INDEX(_xlfn._xlws.FILTER(MasterPaid[Amount Paid],(MasterPaid[Customer]=$M$3)*(MasterPaid[Date]=$A186)),COUNTIFS($A$6:$A186,$A186,$J$6:$J186,"Payment")),0),0))</f>
        <v/>
      </c>
      <c r="G186" s="331"/>
      <c r="H186" s="427"/>
      <c r="I186" s="330" t="str">
        <f t="shared" si="12"/>
        <v/>
      </c>
      <c r="J186" s="344" t="str" cm="1">
        <f t="array" ref="J186">IFERROR(INDEX(_xlfn.ANCHORARRAY($P$6),ROW()-5,3),"")</f>
        <v/>
      </c>
      <c r="K186" s="432" t="str" cm="1">
        <f t="array" ref="K186">IF(OR($A186="",$J186&lt;&gt;"DIESEL"),"",_xlfn.LET(_xlpm.qty,N($C186),_xlpm.pos,$T$5:$T$54,_xlpm.alo,IF($U$5:$U$54="",0,$U$5:$U$54),_xlpm.usd,SUMIFS($C$6:$C185,$K$6:$K185,_xlpm.pos&amp;""),_xlpm.bal,_xlpm.alo-_xlpm.usd,IFERROR(INDEX(_xlfn._xlws.FILTER(_xlpm.pos,(_xlpm.pos&lt;&gt;"")*(_xlpm.qty&gt;0)*(_xlpm.bal&gt;=_xlpm.qty)),1),"")))</f>
        <v/>
      </c>
      <c r="L186" s="348"/>
    </row>
    <row r="187" spans="1:12" ht="23" x14ac:dyDescent="0.25">
      <c r="A187" s="217" t="str" cm="1">
        <f t="array" ref="A187">IFERROR(INDEX(_xlfn.ANCHORARRAY($P$6),ROW()-5,1),"")</f>
        <v/>
      </c>
      <c r="B187" s="344" t="str" cm="1">
        <f t="array" ref="B187">IFERROR(INDEX(_xlfn.ANCHORARRAY($P$6),ROW()-5,2),"")</f>
        <v/>
      </c>
      <c r="C187" s="345" t="str">
        <f>IF($A187="","",IF($J187="DIESEL",SUMIFS(Table1[Quantity],Table1[Customer],$M$3,Table1[Date],$A187,Table1[Bill No.],$B187),IF($J187="PETROL",SUMIFS(Table14[Quantity],Table14[Customer],$M$3,Table14[Date],$A187,Table14[Bill No.],$B187),IF($J187="XtraGreen",SUMIFS(Table146[Quantity],Table146[Company],$M$3,Table146[Date],$A187,Table146[Bill No.],$B187),""))))</f>
        <v/>
      </c>
      <c r="D187" s="346" t="str">
        <f>IF($A187="","",IF($J187="DIESEL",AVERAGEIFS(Table1[RSP],Table1[Customer],$M$3,Table1[Date],$A187,Table1[Bill No.],$B187),IF($J187="PETROL",AVERAGEIFS(Table14[RSP],Table14[Customer],$M$3,Table14[Date],$A187,Table14[Bill No.],$B187),IF($J187="XtraGreen",AVERAGEIFS(Table146[RSP],Table146[Company],$M$3,Table146[Date],$A187,Table146[Bill No.],$B187),IFERROR($E187/$C187,"")))))</f>
        <v/>
      </c>
      <c r="E187" s="347" t="str">
        <f>IF($A187="","",IF($J187="DIESEL",SUMIFS(Table1[Amount],Table1[Customer],$M$3,Table1[Date],$A187,Table1[Bill No.],$B187),IF($J187="PETROL",SUMIFS(Table14[Amount],Table14[Customer],$M$3,Table14[Date],$A187,Table14[Bill No.],$B187),IF($J187="XtraGreen",SUMIFS(Table146[Amount],Table146[Company],$M$3,Table146[Date],$A187,Table146[Bill No.],$B187),SUMIFS('Other Sale'!$D:$D,'Other Sale'!$E:$E,$M$3,'Other Sale'!$C:$C,$J187,'Other Sale'!$A:$A,$A187)))))</f>
        <v/>
      </c>
      <c r="F187" s="347" t="str" cm="1">
        <f t="array" ref="F187">IF($A187="","",IF($J187="Payment",IFERROR(INDEX(_xlfn._xlws.FILTER(MasterPaid[Amount Paid],(MasterPaid[Customer]=$M$3)*(MasterPaid[Date]=$A187)),COUNTIFS($A$6:$A187,$A187,$J$6:$J187,"Payment")),0),0))</f>
        <v/>
      </c>
      <c r="G187" s="331"/>
      <c r="H187" s="427"/>
      <c r="I187" s="330" t="str">
        <f t="shared" si="12"/>
        <v/>
      </c>
      <c r="J187" s="344" t="str" cm="1">
        <f t="array" ref="J187">IFERROR(INDEX(_xlfn.ANCHORARRAY($P$6),ROW()-5,3),"")</f>
        <v/>
      </c>
      <c r="K187" s="432" t="str" cm="1">
        <f t="array" ref="K187">IF(OR($A187="",$J187&lt;&gt;"DIESEL"),"",_xlfn.LET(_xlpm.qty,N($C187),_xlpm.pos,$T$5:$T$54,_xlpm.alo,IF($U$5:$U$54="",0,$U$5:$U$54),_xlpm.usd,SUMIFS($C$6:$C186,$K$6:$K186,_xlpm.pos&amp;""),_xlpm.bal,_xlpm.alo-_xlpm.usd,IFERROR(INDEX(_xlfn._xlws.FILTER(_xlpm.pos,(_xlpm.pos&lt;&gt;"")*(_xlpm.qty&gt;0)*(_xlpm.bal&gt;=_xlpm.qty)),1),"")))</f>
        <v/>
      </c>
      <c r="L187" s="348"/>
    </row>
    <row r="188" spans="1:12" ht="23" x14ac:dyDescent="0.25">
      <c r="A188" s="217" t="str" cm="1">
        <f t="array" ref="A188">IFERROR(INDEX(_xlfn.ANCHORARRAY($P$6),ROW()-5,1),"")</f>
        <v/>
      </c>
      <c r="B188" s="344" t="str" cm="1">
        <f t="array" ref="B188">IFERROR(INDEX(_xlfn.ANCHORARRAY($P$6),ROW()-5,2),"")</f>
        <v/>
      </c>
      <c r="C188" s="345" t="str">
        <f>IF($A188="","",IF($J188="DIESEL",SUMIFS(Table1[Quantity],Table1[Customer],$M$3,Table1[Date],$A188,Table1[Bill No.],$B188),IF($J188="PETROL",SUMIFS(Table14[Quantity],Table14[Customer],$M$3,Table14[Date],$A188,Table14[Bill No.],$B188),IF($J188="XtraGreen",SUMIFS(Table146[Quantity],Table146[Company],$M$3,Table146[Date],$A188,Table146[Bill No.],$B188),""))))</f>
        <v/>
      </c>
      <c r="D188" s="346" t="str">
        <f>IF($A188="","",IF($J188="DIESEL",AVERAGEIFS(Table1[RSP],Table1[Customer],$M$3,Table1[Date],$A188,Table1[Bill No.],$B188),IF($J188="PETROL",AVERAGEIFS(Table14[RSP],Table14[Customer],$M$3,Table14[Date],$A188,Table14[Bill No.],$B188),IF($J188="XtraGreen",AVERAGEIFS(Table146[RSP],Table146[Company],$M$3,Table146[Date],$A188,Table146[Bill No.],$B188),IFERROR($E188/$C188,"")))))</f>
        <v/>
      </c>
      <c r="E188" s="347" t="str">
        <f>IF($A188="","",IF($J188="DIESEL",SUMIFS(Table1[Amount],Table1[Customer],$M$3,Table1[Date],$A188,Table1[Bill No.],$B188),IF($J188="PETROL",SUMIFS(Table14[Amount],Table14[Customer],$M$3,Table14[Date],$A188,Table14[Bill No.],$B188),IF($J188="XtraGreen",SUMIFS(Table146[Amount],Table146[Company],$M$3,Table146[Date],$A188,Table146[Bill No.],$B188),SUMIFS('Other Sale'!$D:$D,'Other Sale'!$E:$E,$M$3,'Other Sale'!$C:$C,$J188,'Other Sale'!$A:$A,$A188)))))</f>
        <v/>
      </c>
      <c r="F188" s="347" t="str" cm="1">
        <f t="array" ref="F188">IF($A188="","",IF($J188="Payment",IFERROR(INDEX(_xlfn._xlws.FILTER(MasterPaid[Amount Paid],(MasterPaid[Customer]=$M$3)*(MasterPaid[Date]=$A188)),COUNTIFS($A$6:$A188,$A188,$J$6:$J188,"Payment")),0),0))</f>
        <v/>
      </c>
      <c r="G188" s="331"/>
      <c r="H188" s="427"/>
      <c r="I188" s="330" t="str">
        <f t="shared" si="12"/>
        <v/>
      </c>
      <c r="J188" s="344" t="str" cm="1">
        <f t="array" ref="J188">IFERROR(INDEX(_xlfn.ANCHORARRAY($P$6),ROW()-5,3),"")</f>
        <v/>
      </c>
      <c r="K188" s="432" t="str" cm="1">
        <f t="array" ref="K188">IF(OR($A188="",$J188&lt;&gt;"DIESEL"),"",_xlfn.LET(_xlpm.qty,N($C188),_xlpm.pos,$T$5:$T$54,_xlpm.alo,IF($U$5:$U$54="",0,$U$5:$U$54),_xlpm.usd,SUMIFS($C$6:$C187,$K$6:$K187,_xlpm.pos&amp;""),_xlpm.bal,_xlpm.alo-_xlpm.usd,IFERROR(INDEX(_xlfn._xlws.FILTER(_xlpm.pos,(_xlpm.pos&lt;&gt;"")*(_xlpm.qty&gt;0)*(_xlpm.bal&gt;=_xlpm.qty)),1),"")))</f>
        <v/>
      </c>
      <c r="L188" s="348"/>
    </row>
    <row r="189" spans="1:12" ht="23" x14ac:dyDescent="0.25">
      <c r="A189" s="217" t="str" cm="1">
        <f t="array" ref="A189">IFERROR(INDEX(_xlfn.ANCHORARRAY($P$6),ROW()-5,1),"")</f>
        <v/>
      </c>
      <c r="B189" s="344" t="str" cm="1">
        <f t="array" ref="B189">IFERROR(INDEX(_xlfn.ANCHORARRAY($P$6),ROW()-5,2),"")</f>
        <v/>
      </c>
      <c r="C189" s="345" t="str">
        <f>IF($A189="","",IF($J189="DIESEL",SUMIFS(Table1[Quantity],Table1[Customer],$M$3,Table1[Date],$A189,Table1[Bill No.],$B189),IF($J189="PETROL",SUMIFS(Table14[Quantity],Table14[Customer],$M$3,Table14[Date],$A189,Table14[Bill No.],$B189),IF($J189="XtraGreen",SUMIFS(Table146[Quantity],Table146[Company],$M$3,Table146[Date],$A189,Table146[Bill No.],$B189),""))))</f>
        <v/>
      </c>
      <c r="D189" s="346" t="str">
        <f>IF($A189="","",IF($J189="DIESEL",AVERAGEIFS(Table1[RSP],Table1[Customer],$M$3,Table1[Date],$A189,Table1[Bill No.],$B189),IF($J189="PETROL",AVERAGEIFS(Table14[RSP],Table14[Customer],$M$3,Table14[Date],$A189,Table14[Bill No.],$B189),IF($J189="XtraGreen",AVERAGEIFS(Table146[RSP],Table146[Company],$M$3,Table146[Date],$A189,Table146[Bill No.],$B189),IFERROR($E189/$C189,"")))))</f>
        <v/>
      </c>
      <c r="E189" s="347" t="str">
        <f>IF($A189="","",IF($J189="DIESEL",SUMIFS(Table1[Amount],Table1[Customer],$M$3,Table1[Date],$A189,Table1[Bill No.],$B189),IF($J189="PETROL",SUMIFS(Table14[Amount],Table14[Customer],$M$3,Table14[Date],$A189,Table14[Bill No.],$B189),IF($J189="XtraGreen",SUMIFS(Table146[Amount],Table146[Company],$M$3,Table146[Date],$A189,Table146[Bill No.],$B189),SUMIFS('Other Sale'!$D:$D,'Other Sale'!$E:$E,$M$3,'Other Sale'!$C:$C,$J189,'Other Sale'!$A:$A,$A189)))))</f>
        <v/>
      </c>
      <c r="F189" s="347" t="str" cm="1">
        <f t="array" ref="F189">IF($A189="","",IF($J189="Payment",IFERROR(INDEX(_xlfn._xlws.FILTER(MasterPaid[Amount Paid],(MasterPaid[Customer]=$M$3)*(MasterPaid[Date]=$A189)),COUNTIFS($A$6:$A189,$A189,$J$6:$J189,"Payment")),0),0))</f>
        <v/>
      </c>
      <c r="G189" s="331"/>
      <c r="H189" s="427"/>
      <c r="I189" s="330" t="str">
        <f t="shared" si="12"/>
        <v/>
      </c>
      <c r="J189" s="344" t="str" cm="1">
        <f t="array" ref="J189">IFERROR(INDEX(_xlfn.ANCHORARRAY($P$6),ROW()-5,3),"")</f>
        <v/>
      </c>
      <c r="K189" s="432" t="str" cm="1">
        <f t="array" ref="K189">IF(OR($A189="",$J189&lt;&gt;"DIESEL"),"",_xlfn.LET(_xlpm.qty,N($C189),_xlpm.pos,$T$5:$T$54,_xlpm.alo,IF($U$5:$U$54="",0,$U$5:$U$54),_xlpm.usd,SUMIFS($C$6:$C188,$K$6:$K188,_xlpm.pos&amp;""),_xlpm.bal,_xlpm.alo-_xlpm.usd,IFERROR(INDEX(_xlfn._xlws.FILTER(_xlpm.pos,(_xlpm.pos&lt;&gt;"")*(_xlpm.qty&gt;0)*(_xlpm.bal&gt;=_xlpm.qty)),1),"")))</f>
        <v/>
      </c>
      <c r="L189" s="348"/>
    </row>
    <row r="190" spans="1:12" ht="23" x14ac:dyDescent="0.25">
      <c r="A190" s="217" t="str" cm="1">
        <f t="array" ref="A190">IFERROR(INDEX(_xlfn.ANCHORARRAY($P$6),ROW()-5,1),"")</f>
        <v/>
      </c>
      <c r="B190" s="344" t="str" cm="1">
        <f t="array" ref="B190">IFERROR(INDEX(_xlfn.ANCHORARRAY($P$6),ROW()-5,2),"")</f>
        <v/>
      </c>
      <c r="C190" s="345" t="str">
        <f>IF($A190="","",IF($J190="DIESEL",SUMIFS(Table1[Quantity],Table1[Customer],$M$3,Table1[Date],$A190,Table1[Bill No.],$B190),IF($J190="PETROL",SUMIFS(Table14[Quantity],Table14[Customer],$M$3,Table14[Date],$A190,Table14[Bill No.],$B190),IF($J190="XtraGreen",SUMIFS(Table146[Quantity],Table146[Company],$M$3,Table146[Date],$A190,Table146[Bill No.],$B190),""))))</f>
        <v/>
      </c>
      <c r="D190" s="346" t="str">
        <f>IF($A190="","",IF($J190="DIESEL",AVERAGEIFS(Table1[RSP],Table1[Customer],$M$3,Table1[Date],$A190,Table1[Bill No.],$B190),IF($J190="PETROL",AVERAGEIFS(Table14[RSP],Table14[Customer],$M$3,Table14[Date],$A190,Table14[Bill No.],$B190),IF($J190="XtraGreen",AVERAGEIFS(Table146[RSP],Table146[Company],$M$3,Table146[Date],$A190,Table146[Bill No.],$B190),IFERROR($E190/$C190,"")))))</f>
        <v/>
      </c>
      <c r="E190" s="347" t="str">
        <f>IF($A190="","",IF($J190="DIESEL",SUMIFS(Table1[Amount],Table1[Customer],$M$3,Table1[Date],$A190,Table1[Bill No.],$B190),IF($J190="PETROL",SUMIFS(Table14[Amount],Table14[Customer],$M$3,Table14[Date],$A190,Table14[Bill No.],$B190),IF($J190="XtraGreen",SUMIFS(Table146[Amount],Table146[Company],$M$3,Table146[Date],$A190,Table146[Bill No.],$B190),SUMIFS('Other Sale'!$D:$D,'Other Sale'!$E:$E,$M$3,'Other Sale'!$C:$C,$J190,'Other Sale'!$A:$A,$A190)))))</f>
        <v/>
      </c>
      <c r="F190" s="347" t="str" cm="1">
        <f t="array" ref="F190">IF($A190="","",IF($J190="Payment",IFERROR(INDEX(_xlfn._xlws.FILTER(MasterPaid[Amount Paid],(MasterPaid[Customer]=$M$3)*(MasterPaid[Date]=$A190)),COUNTIFS($A$6:$A190,$A190,$J$6:$J190,"Payment")),0),0))</f>
        <v/>
      </c>
      <c r="G190" s="331"/>
      <c r="H190" s="427"/>
      <c r="I190" s="330" t="str">
        <f t="shared" si="12"/>
        <v/>
      </c>
      <c r="J190" s="344" t="str" cm="1">
        <f t="array" ref="J190">IFERROR(INDEX(_xlfn.ANCHORARRAY($P$6),ROW()-5,3),"")</f>
        <v/>
      </c>
      <c r="K190" s="432" t="str" cm="1">
        <f t="array" ref="K190">IF(OR($A190="",$J190&lt;&gt;"DIESEL"),"",_xlfn.LET(_xlpm.qty,N($C190),_xlpm.pos,$T$5:$T$54,_xlpm.alo,IF($U$5:$U$54="",0,$U$5:$U$54),_xlpm.usd,SUMIFS($C$6:$C189,$K$6:$K189,_xlpm.pos&amp;""),_xlpm.bal,_xlpm.alo-_xlpm.usd,IFERROR(INDEX(_xlfn._xlws.FILTER(_xlpm.pos,(_xlpm.pos&lt;&gt;"")*(_xlpm.qty&gt;0)*(_xlpm.bal&gt;=_xlpm.qty)),1),"")))</f>
        <v/>
      </c>
      <c r="L190" s="348"/>
    </row>
    <row r="191" spans="1:12" ht="23" x14ac:dyDescent="0.25">
      <c r="A191" s="217" t="str" cm="1">
        <f t="array" ref="A191">IFERROR(INDEX(_xlfn.ANCHORARRAY($P$6),ROW()-5,1),"")</f>
        <v/>
      </c>
      <c r="B191" s="344" t="str" cm="1">
        <f t="array" ref="B191">IFERROR(INDEX(_xlfn.ANCHORARRAY($P$6),ROW()-5,2),"")</f>
        <v/>
      </c>
      <c r="C191" s="345" t="str">
        <f>IF($A191="","",IF($J191="DIESEL",SUMIFS(Table1[Quantity],Table1[Customer],$M$3,Table1[Date],$A191,Table1[Bill No.],$B191),IF($J191="PETROL",SUMIFS(Table14[Quantity],Table14[Customer],$M$3,Table14[Date],$A191,Table14[Bill No.],$B191),IF($J191="XtraGreen",SUMIFS(Table146[Quantity],Table146[Company],$M$3,Table146[Date],$A191,Table146[Bill No.],$B191),""))))</f>
        <v/>
      </c>
      <c r="D191" s="346" t="str">
        <f>IF($A191="","",IF($J191="DIESEL",AVERAGEIFS(Table1[RSP],Table1[Customer],$M$3,Table1[Date],$A191,Table1[Bill No.],$B191),IF($J191="PETROL",AVERAGEIFS(Table14[RSP],Table14[Customer],$M$3,Table14[Date],$A191,Table14[Bill No.],$B191),IF($J191="XtraGreen",AVERAGEIFS(Table146[RSP],Table146[Company],$M$3,Table146[Date],$A191,Table146[Bill No.],$B191),IFERROR($E191/$C191,"")))))</f>
        <v/>
      </c>
      <c r="E191" s="347" t="str">
        <f>IF($A191="","",IF($J191="DIESEL",SUMIFS(Table1[Amount],Table1[Customer],$M$3,Table1[Date],$A191,Table1[Bill No.],$B191),IF($J191="PETROL",SUMIFS(Table14[Amount],Table14[Customer],$M$3,Table14[Date],$A191,Table14[Bill No.],$B191),IF($J191="XtraGreen",SUMIFS(Table146[Amount],Table146[Company],$M$3,Table146[Date],$A191,Table146[Bill No.],$B191),SUMIFS('Other Sale'!$D:$D,'Other Sale'!$E:$E,$M$3,'Other Sale'!$C:$C,$J191,'Other Sale'!$A:$A,$A191)))))</f>
        <v/>
      </c>
      <c r="F191" s="347" t="str" cm="1">
        <f t="array" ref="F191">IF($A191="","",IF($J191="Payment",IFERROR(INDEX(_xlfn._xlws.FILTER(MasterPaid[Amount Paid],(MasterPaid[Customer]=$M$3)*(MasterPaid[Date]=$A191)),COUNTIFS($A$6:$A191,$A191,$J$6:$J191,"Payment")),0),0))</f>
        <v/>
      </c>
      <c r="G191" s="331"/>
      <c r="H191" s="427"/>
      <c r="I191" s="330" t="str">
        <f t="shared" si="12"/>
        <v/>
      </c>
      <c r="J191" s="344" t="str" cm="1">
        <f t="array" ref="J191">IFERROR(INDEX(_xlfn.ANCHORARRAY($P$6),ROW()-5,3),"")</f>
        <v/>
      </c>
      <c r="K191" s="432" t="str" cm="1">
        <f t="array" ref="K191">IF(OR($A191="",$J191&lt;&gt;"DIESEL"),"",_xlfn.LET(_xlpm.qty,N($C191),_xlpm.pos,$T$5:$T$54,_xlpm.alo,IF($U$5:$U$54="",0,$U$5:$U$54),_xlpm.usd,SUMIFS($C$6:$C190,$K$6:$K190,_xlpm.pos&amp;""),_xlpm.bal,_xlpm.alo-_xlpm.usd,IFERROR(INDEX(_xlfn._xlws.FILTER(_xlpm.pos,(_xlpm.pos&lt;&gt;"")*(_xlpm.qty&gt;0)*(_xlpm.bal&gt;=_xlpm.qty)),1),"")))</f>
        <v/>
      </c>
      <c r="L191" s="348"/>
    </row>
    <row r="192" spans="1:12" ht="23" x14ac:dyDescent="0.25">
      <c r="A192" s="217" t="str" cm="1">
        <f t="array" ref="A192">IFERROR(INDEX(_xlfn.ANCHORARRAY($P$6),ROW()-5,1),"")</f>
        <v/>
      </c>
      <c r="B192" s="344" t="str" cm="1">
        <f t="array" ref="B192">IFERROR(INDEX(_xlfn.ANCHORARRAY($P$6),ROW()-5,2),"")</f>
        <v/>
      </c>
      <c r="C192" s="345" t="str">
        <f>IF($A192="","",IF($J192="DIESEL",SUMIFS(Table1[Quantity],Table1[Customer],$M$3,Table1[Date],$A192,Table1[Bill No.],$B192),IF($J192="PETROL",SUMIFS(Table14[Quantity],Table14[Customer],$M$3,Table14[Date],$A192,Table14[Bill No.],$B192),IF($J192="XtraGreen",SUMIFS(Table146[Quantity],Table146[Company],$M$3,Table146[Date],$A192,Table146[Bill No.],$B192),""))))</f>
        <v/>
      </c>
      <c r="D192" s="346" t="str">
        <f>IF($A192="","",IF($J192="DIESEL",AVERAGEIFS(Table1[RSP],Table1[Customer],$M$3,Table1[Date],$A192,Table1[Bill No.],$B192),IF($J192="PETROL",AVERAGEIFS(Table14[RSP],Table14[Customer],$M$3,Table14[Date],$A192,Table14[Bill No.],$B192),IF($J192="XtraGreen",AVERAGEIFS(Table146[RSP],Table146[Company],$M$3,Table146[Date],$A192,Table146[Bill No.],$B192),IFERROR($E192/$C192,"")))))</f>
        <v/>
      </c>
      <c r="E192" s="347" t="str">
        <f>IF($A192="","",IF($J192="DIESEL",SUMIFS(Table1[Amount],Table1[Customer],$M$3,Table1[Date],$A192,Table1[Bill No.],$B192),IF($J192="PETROL",SUMIFS(Table14[Amount],Table14[Customer],$M$3,Table14[Date],$A192,Table14[Bill No.],$B192),IF($J192="XtraGreen",SUMIFS(Table146[Amount],Table146[Company],$M$3,Table146[Date],$A192,Table146[Bill No.],$B192),SUMIFS('Other Sale'!$D:$D,'Other Sale'!$E:$E,$M$3,'Other Sale'!$C:$C,$J192,'Other Sale'!$A:$A,$A192)))))</f>
        <v/>
      </c>
      <c r="F192" s="347" t="str" cm="1">
        <f t="array" ref="F192">IF($A192="","",IF($J192="Payment",IFERROR(INDEX(_xlfn._xlws.FILTER(MasterPaid[Amount Paid],(MasterPaid[Customer]=$M$3)*(MasterPaid[Date]=$A192)),COUNTIFS($A$6:$A192,$A192,$J$6:$J192,"Payment")),0),0))</f>
        <v/>
      </c>
      <c r="G192" s="331"/>
      <c r="H192" s="427"/>
      <c r="I192" s="330" t="str">
        <f t="shared" si="12"/>
        <v/>
      </c>
      <c r="J192" s="344" t="str" cm="1">
        <f t="array" ref="J192">IFERROR(INDEX(_xlfn.ANCHORARRAY($P$6),ROW()-5,3),"")</f>
        <v/>
      </c>
      <c r="K192" s="432" t="str" cm="1">
        <f t="array" ref="K192">IF(OR($A192="",$J192&lt;&gt;"DIESEL"),"",_xlfn.LET(_xlpm.qty,N($C192),_xlpm.pos,$T$5:$T$54,_xlpm.alo,IF($U$5:$U$54="",0,$U$5:$U$54),_xlpm.usd,SUMIFS($C$6:$C191,$K$6:$K191,_xlpm.pos&amp;""),_xlpm.bal,_xlpm.alo-_xlpm.usd,IFERROR(INDEX(_xlfn._xlws.FILTER(_xlpm.pos,(_xlpm.pos&lt;&gt;"")*(_xlpm.qty&gt;0)*(_xlpm.bal&gt;=_xlpm.qty)),1),"")))</f>
        <v/>
      </c>
      <c r="L192" s="348"/>
    </row>
    <row r="193" spans="1:12" ht="23" x14ac:dyDescent="0.25">
      <c r="A193" s="217" t="str" cm="1">
        <f t="array" ref="A193">IFERROR(INDEX(_xlfn.ANCHORARRAY($P$6),ROW()-5,1),"")</f>
        <v/>
      </c>
      <c r="B193" s="344" t="str" cm="1">
        <f t="array" ref="B193">IFERROR(INDEX(_xlfn.ANCHORARRAY($P$6),ROW()-5,2),"")</f>
        <v/>
      </c>
      <c r="C193" s="345" t="str">
        <f>IF($A193="","",IF($J193="DIESEL",SUMIFS(Table1[Quantity],Table1[Customer],$M$3,Table1[Date],$A193,Table1[Bill No.],$B193),IF($J193="PETROL",SUMIFS(Table14[Quantity],Table14[Customer],$M$3,Table14[Date],$A193,Table14[Bill No.],$B193),IF($J193="XtraGreen",SUMIFS(Table146[Quantity],Table146[Company],$M$3,Table146[Date],$A193,Table146[Bill No.],$B193),""))))</f>
        <v/>
      </c>
      <c r="D193" s="346" t="str">
        <f>IF($A193="","",IF($J193="DIESEL",AVERAGEIFS(Table1[RSP],Table1[Customer],$M$3,Table1[Date],$A193,Table1[Bill No.],$B193),IF($J193="PETROL",AVERAGEIFS(Table14[RSP],Table14[Customer],$M$3,Table14[Date],$A193,Table14[Bill No.],$B193),IF($J193="XtraGreen",AVERAGEIFS(Table146[RSP],Table146[Company],$M$3,Table146[Date],$A193,Table146[Bill No.],$B193),IFERROR($E193/$C193,"")))))</f>
        <v/>
      </c>
      <c r="E193" s="347" t="str">
        <f>IF($A193="","",IF($J193="DIESEL",SUMIFS(Table1[Amount],Table1[Customer],$M$3,Table1[Date],$A193,Table1[Bill No.],$B193),IF($J193="PETROL",SUMIFS(Table14[Amount],Table14[Customer],$M$3,Table14[Date],$A193,Table14[Bill No.],$B193),IF($J193="XtraGreen",SUMIFS(Table146[Amount],Table146[Company],$M$3,Table146[Date],$A193,Table146[Bill No.],$B193),SUMIFS('Other Sale'!$D:$D,'Other Sale'!$E:$E,$M$3,'Other Sale'!$C:$C,$J193,'Other Sale'!$A:$A,$A193)))))</f>
        <v/>
      </c>
      <c r="F193" s="347" t="str" cm="1">
        <f t="array" ref="F193">IF($A193="","",IF($J193="Payment",IFERROR(INDEX(_xlfn._xlws.FILTER(MasterPaid[Amount Paid],(MasterPaid[Customer]=$M$3)*(MasterPaid[Date]=$A193)),COUNTIFS($A$6:$A193,$A193,$J$6:$J193,"Payment")),0),0))</f>
        <v/>
      </c>
      <c r="G193" s="331"/>
      <c r="H193" s="427"/>
      <c r="I193" s="330" t="str">
        <f t="shared" si="12"/>
        <v/>
      </c>
      <c r="J193" s="344" t="str" cm="1">
        <f t="array" ref="J193">IFERROR(INDEX(_xlfn.ANCHORARRAY($P$6),ROW()-5,3),"")</f>
        <v/>
      </c>
      <c r="K193" s="432" t="str" cm="1">
        <f t="array" ref="K193">IF(OR($A193="",$J193&lt;&gt;"DIESEL"),"",_xlfn.LET(_xlpm.qty,N($C193),_xlpm.pos,$T$5:$T$54,_xlpm.alo,IF($U$5:$U$54="",0,$U$5:$U$54),_xlpm.usd,SUMIFS($C$6:$C192,$K$6:$K192,_xlpm.pos&amp;""),_xlpm.bal,_xlpm.alo-_xlpm.usd,IFERROR(INDEX(_xlfn._xlws.FILTER(_xlpm.pos,(_xlpm.pos&lt;&gt;"")*(_xlpm.qty&gt;0)*(_xlpm.bal&gt;=_xlpm.qty)),1),"")))</f>
        <v/>
      </c>
      <c r="L193" s="348"/>
    </row>
    <row r="194" spans="1:12" ht="23" x14ac:dyDescent="0.25">
      <c r="A194" s="217" t="str" cm="1">
        <f t="array" ref="A194">IFERROR(INDEX(_xlfn.ANCHORARRAY($P$6),ROW()-5,1),"")</f>
        <v/>
      </c>
      <c r="B194" s="344" t="str" cm="1">
        <f t="array" ref="B194">IFERROR(INDEX(_xlfn.ANCHORARRAY($P$6),ROW()-5,2),"")</f>
        <v/>
      </c>
      <c r="C194" s="345" t="str">
        <f>IF($A194="","",IF($J194="DIESEL",SUMIFS(Table1[Quantity],Table1[Customer],$M$3,Table1[Date],$A194,Table1[Bill No.],$B194),IF($J194="PETROL",SUMIFS(Table14[Quantity],Table14[Customer],$M$3,Table14[Date],$A194,Table14[Bill No.],$B194),IF($J194="XtraGreen",SUMIFS(Table146[Quantity],Table146[Company],$M$3,Table146[Date],$A194,Table146[Bill No.],$B194),""))))</f>
        <v/>
      </c>
      <c r="D194" s="346" t="str">
        <f>IF($A194="","",IF($J194="DIESEL",AVERAGEIFS(Table1[RSP],Table1[Customer],$M$3,Table1[Date],$A194,Table1[Bill No.],$B194),IF($J194="PETROL",AVERAGEIFS(Table14[RSP],Table14[Customer],$M$3,Table14[Date],$A194,Table14[Bill No.],$B194),IF($J194="XtraGreen",AVERAGEIFS(Table146[RSP],Table146[Company],$M$3,Table146[Date],$A194,Table146[Bill No.],$B194),IFERROR($E194/$C194,"")))))</f>
        <v/>
      </c>
      <c r="E194" s="347" t="str">
        <f>IF($A194="","",IF($J194="DIESEL",SUMIFS(Table1[Amount],Table1[Customer],$M$3,Table1[Date],$A194,Table1[Bill No.],$B194),IF($J194="PETROL",SUMIFS(Table14[Amount],Table14[Customer],$M$3,Table14[Date],$A194,Table14[Bill No.],$B194),IF($J194="XtraGreen",SUMIFS(Table146[Amount],Table146[Company],$M$3,Table146[Date],$A194,Table146[Bill No.],$B194),SUMIFS('Other Sale'!$D:$D,'Other Sale'!$E:$E,$M$3,'Other Sale'!$C:$C,$J194,'Other Sale'!$A:$A,$A194)))))</f>
        <v/>
      </c>
      <c r="F194" s="347" t="str" cm="1">
        <f t="array" ref="F194">IF($A194="","",IF($J194="Payment",IFERROR(INDEX(_xlfn._xlws.FILTER(MasterPaid[Amount Paid],(MasterPaid[Customer]=$M$3)*(MasterPaid[Date]=$A194)),COUNTIFS($A$6:$A194,$A194,$J$6:$J194,"Payment")),0),0))</f>
        <v/>
      </c>
      <c r="G194" s="331"/>
      <c r="H194" s="427"/>
      <c r="I194" s="330" t="str">
        <f t="shared" si="12"/>
        <v/>
      </c>
      <c r="J194" s="344" t="str" cm="1">
        <f t="array" ref="J194">IFERROR(INDEX(_xlfn.ANCHORARRAY($P$6),ROW()-5,3),"")</f>
        <v/>
      </c>
      <c r="K194" s="432" t="str" cm="1">
        <f t="array" ref="K194">IF(OR($A194="",$J194&lt;&gt;"DIESEL"),"",_xlfn.LET(_xlpm.qty,N($C194),_xlpm.pos,$T$5:$T$54,_xlpm.alo,IF($U$5:$U$54="",0,$U$5:$U$54),_xlpm.usd,SUMIFS($C$6:$C193,$K$6:$K193,_xlpm.pos&amp;""),_xlpm.bal,_xlpm.alo-_xlpm.usd,IFERROR(INDEX(_xlfn._xlws.FILTER(_xlpm.pos,(_xlpm.pos&lt;&gt;"")*(_xlpm.qty&gt;0)*(_xlpm.bal&gt;=_xlpm.qty)),1),"")))</f>
        <v/>
      </c>
      <c r="L194" s="348"/>
    </row>
    <row r="195" spans="1:12" ht="23" x14ac:dyDescent="0.25">
      <c r="A195" s="217" t="str" cm="1">
        <f t="array" ref="A195">IFERROR(INDEX(_xlfn.ANCHORARRAY($P$6),ROW()-5,1),"")</f>
        <v/>
      </c>
      <c r="B195" s="344" t="str" cm="1">
        <f t="array" ref="B195">IFERROR(INDEX(_xlfn.ANCHORARRAY($P$6),ROW()-5,2),"")</f>
        <v/>
      </c>
      <c r="C195" s="345" t="str">
        <f>IF($A195="","",IF($J195="DIESEL",SUMIFS(Table1[Quantity],Table1[Customer],$M$3,Table1[Date],$A195,Table1[Bill No.],$B195),IF($J195="PETROL",SUMIFS(Table14[Quantity],Table14[Customer],$M$3,Table14[Date],$A195,Table14[Bill No.],$B195),IF($J195="XtraGreen",SUMIFS(Table146[Quantity],Table146[Company],$M$3,Table146[Date],$A195,Table146[Bill No.],$B195),""))))</f>
        <v/>
      </c>
      <c r="D195" s="346" t="str">
        <f>IF($A195="","",IF($J195="DIESEL",AVERAGEIFS(Table1[RSP],Table1[Customer],$M$3,Table1[Date],$A195,Table1[Bill No.],$B195),IF($J195="PETROL",AVERAGEIFS(Table14[RSP],Table14[Customer],$M$3,Table14[Date],$A195,Table14[Bill No.],$B195),IF($J195="XtraGreen",AVERAGEIFS(Table146[RSP],Table146[Company],$M$3,Table146[Date],$A195,Table146[Bill No.],$B195),IFERROR($E195/$C195,"")))))</f>
        <v/>
      </c>
      <c r="E195" s="347" t="str">
        <f>IF($A195="","",IF($J195="DIESEL",SUMIFS(Table1[Amount],Table1[Customer],$M$3,Table1[Date],$A195,Table1[Bill No.],$B195),IF($J195="PETROL",SUMIFS(Table14[Amount],Table14[Customer],$M$3,Table14[Date],$A195,Table14[Bill No.],$B195),IF($J195="XtraGreen",SUMIFS(Table146[Amount],Table146[Company],$M$3,Table146[Date],$A195,Table146[Bill No.],$B195),SUMIFS('Other Sale'!$D:$D,'Other Sale'!$E:$E,$M$3,'Other Sale'!$C:$C,$J195,'Other Sale'!$A:$A,$A195)))))</f>
        <v/>
      </c>
      <c r="F195" s="347" t="str" cm="1">
        <f t="array" ref="F195">IF($A195="","",IF($J195="Payment",IFERROR(INDEX(_xlfn._xlws.FILTER(MasterPaid[Amount Paid],(MasterPaid[Customer]=$M$3)*(MasterPaid[Date]=$A195)),COUNTIFS($A$6:$A195,$A195,$J$6:$J195,"Payment")),0),0))</f>
        <v/>
      </c>
      <c r="G195" s="331"/>
      <c r="H195" s="427"/>
      <c r="I195" s="330" t="str">
        <f t="shared" si="12"/>
        <v/>
      </c>
      <c r="J195" s="344" t="str" cm="1">
        <f t="array" ref="J195">IFERROR(INDEX(_xlfn.ANCHORARRAY($P$6),ROW()-5,3),"")</f>
        <v/>
      </c>
      <c r="K195" s="432" t="str" cm="1">
        <f t="array" ref="K195">IF(OR($A195="",$J195&lt;&gt;"DIESEL"),"",_xlfn.LET(_xlpm.qty,N($C195),_xlpm.pos,$T$5:$T$54,_xlpm.alo,IF($U$5:$U$54="",0,$U$5:$U$54),_xlpm.usd,SUMIFS($C$6:$C194,$K$6:$K194,_xlpm.pos&amp;""),_xlpm.bal,_xlpm.alo-_xlpm.usd,IFERROR(INDEX(_xlfn._xlws.FILTER(_xlpm.pos,(_xlpm.pos&lt;&gt;"")*(_xlpm.qty&gt;0)*(_xlpm.bal&gt;=_xlpm.qty)),1),"")))</f>
        <v/>
      </c>
      <c r="L195" s="348"/>
    </row>
    <row r="196" spans="1:12" ht="23" x14ac:dyDescent="0.25">
      <c r="A196" s="217" t="str" cm="1">
        <f t="array" ref="A196">IFERROR(INDEX(_xlfn.ANCHORARRAY($P$6),ROW()-5,1),"")</f>
        <v/>
      </c>
      <c r="B196" s="344" t="str" cm="1">
        <f t="array" ref="B196">IFERROR(INDEX(_xlfn.ANCHORARRAY($P$6),ROW()-5,2),"")</f>
        <v/>
      </c>
      <c r="C196" s="345" t="str">
        <f>IF($A196="","",IF($J196="DIESEL",SUMIFS(Table1[Quantity],Table1[Customer],$M$3,Table1[Date],$A196,Table1[Bill No.],$B196),IF($J196="PETROL",SUMIFS(Table14[Quantity],Table14[Customer],$M$3,Table14[Date],$A196,Table14[Bill No.],$B196),IF($J196="XtraGreen",SUMIFS(Table146[Quantity],Table146[Company],$M$3,Table146[Date],$A196,Table146[Bill No.],$B196),""))))</f>
        <v/>
      </c>
      <c r="D196" s="346" t="str">
        <f>IF($A196="","",IF($J196="DIESEL",AVERAGEIFS(Table1[RSP],Table1[Customer],$M$3,Table1[Date],$A196,Table1[Bill No.],$B196),IF($J196="PETROL",AVERAGEIFS(Table14[RSP],Table14[Customer],$M$3,Table14[Date],$A196,Table14[Bill No.],$B196),IF($J196="XtraGreen",AVERAGEIFS(Table146[RSP],Table146[Company],$M$3,Table146[Date],$A196,Table146[Bill No.],$B196),IFERROR($E196/$C196,"")))))</f>
        <v/>
      </c>
      <c r="E196" s="347" t="str">
        <f>IF($A196="","",IF($J196="DIESEL",SUMIFS(Table1[Amount],Table1[Customer],$M$3,Table1[Date],$A196,Table1[Bill No.],$B196),IF($J196="PETROL",SUMIFS(Table14[Amount],Table14[Customer],$M$3,Table14[Date],$A196,Table14[Bill No.],$B196),IF($J196="XtraGreen",SUMIFS(Table146[Amount],Table146[Company],$M$3,Table146[Date],$A196,Table146[Bill No.],$B196),SUMIFS('Other Sale'!$D:$D,'Other Sale'!$E:$E,$M$3,'Other Sale'!$C:$C,$J196,'Other Sale'!$A:$A,$A196)))))</f>
        <v/>
      </c>
      <c r="F196" s="347" t="str" cm="1">
        <f t="array" ref="F196">IF($A196="","",IF($J196="Payment",IFERROR(INDEX(_xlfn._xlws.FILTER(MasterPaid[Amount Paid],(MasterPaid[Customer]=$M$3)*(MasterPaid[Date]=$A196)),COUNTIFS($A$6:$A196,$A196,$J$6:$J196,"Payment")),0),0))</f>
        <v/>
      </c>
      <c r="G196" s="331"/>
      <c r="H196" s="427"/>
      <c r="I196" s="330" t="str">
        <f t="shared" si="12"/>
        <v/>
      </c>
      <c r="J196" s="344" t="str" cm="1">
        <f t="array" ref="J196">IFERROR(INDEX(_xlfn.ANCHORARRAY($P$6),ROW()-5,3),"")</f>
        <v/>
      </c>
      <c r="K196" s="432" t="str" cm="1">
        <f t="array" ref="K196">IF(OR($A196="",$J196&lt;&gt;"DIESEL"),"",_xlfn.LET(_xlpm.qty,N($C196),_xlpm.pos,$T$5:$T$54,_xlpm.alo,IF($U$5:$U$54="",0,$U$5:$U$54),_xlpm.usd,SUMIFS($C$6:$C195,$K$6:$K195,_xlpm.pos&amp;""),_xlpm.bal,_xlpm.alo-_xlpm.usd,IFERROR(INDEX(_xlfn._xlws.FILTER(_xlpm.pos,(_xlpm.pos&lt;&gt;"")*(_xlpm.qty&gt;0)*(_xlpm.bal&gt;=_xlpm.qty)),1),"")))</f>
        <v/>
      </c>
      <c r="L196" s="348"/>
    </row>
    <row r="197" spans="1:12" ht="23" x14ac:dyDescent="0.25">
      <c r="A197" s="217" t="str" cm="1">
        <f t="array" ref="A197">IFERROR(INDEX(_xlfn.ANCHORARRAY($P$6),ROW()-5,1),"")</f>
        <v/>
      </c>
      <c r="B197" s="344" t="str" cm="1">
        <f t="array" ref="B197">IFERROR(INDEX(_xlfn.ANCHORARRAY($P$6),ROW()-5,2),"")</f>
        <v/>
      </c>
      <c r="C197" s="345" t="str">
        <f>IF($A197="","",IF($J197="DIESEL",SUMIFS(Table1[Quantity],Table1[Customer],$M$3,Table1[Date],$A197,Table1[Bill No.],$B197),IF($J197="PETROL",SUMIFS(Table14[Quantity],Table14[Customer],$M$3,Table14[Date],$A197,Table14[Bill No.],$B197),IF($J197="XtraGreen",SUMIFS(Table146[Quantity],Table146[Company],$M$3,Table146[Date],$A197,Table146[Bill No.],$B197),""))))</f>
        <v/>
      </c>
      <c r="D197" s="346" t="str">
        <f>IF($A197="","",IF($J197="DIESEL",AVERAGEIFS(Table1[RSP],Table1[Customer],$M$3,Table1[Date],$A197,Table1[Bill No.],$B197),IF($J197="PETROL",AVERAGEIFS(Table14[RSP],Table14[Customer],$M$3,Table14[Date],$A197,Table14[Bill No.],$B197),IF($J197="XtraGreen",AVERAGEIFS(Table146[RSP],Table146[Company],$M$3,Table146[Date],$A197,Table146[Bill No.],$B197),IFERROR($E197/$C197,"")))))</f>
        <v/>
      </c>
      <c r="E197" s="347" t="str">
        <f>IF($A197="","",IF($J197="DIESEL",SUMIFS(Table1[Amount],Table1[Customer],$M$3,Table1[Date],$A197,Table1[Bill No.],$B197),IF($J197="PETROL",SUMIFS(Table14[Amount],Table14[Customer],$M$3,Table14[Date],$A197,Table14[Bill No.],$B197),IF($J197="XtraGreen",SUMIFS(Table146[Amount],Table146[Company],$M$3,Table146[Date],$A197,Table146[Bill No.],$B197),SUMIFS('Other Sale'!$D:$D,'Other Sale'!$E:$E,$M$3,'Other Sale'!$C:$C,$J197,'Other Sale'!$A:$A,$A197)))))</f>
        <v/>
      </c>
      <c r="F197" s="347" t="str" cm="1">
        <f t="array" ref="F197">IF($A197="","",IF($J197="Payment",IFERROR(INDEX(_xlfn._xlws.FILTER(MasterPaid[Amount Paid],(MasterPaid[Customer]=$M$3)*(MasterPaid[Date]=$A197)),COUNTIFS($A$6:$A197,$A197,$J$6:$J197,"Payment")),0),0))</f>
        <v/>
      </c>
      <c r="G197" s="331"/>
      <c r="H197" s="427"/>
      <c r="I197" s="330" t="str">
        <f t="shared" si="12"/>
        <v/>
      </c>
      <c r="J197" s="344" t="str" cm="1">
        <f t="array" ref="J197">IFERROR(INDEX(_xlfn.ANCHORARRAY($P$6),ROW()-5,3),"")</f>
        <v/>
      </c>
      <c r="K197" s="432" t="str" cm="1">
        <f t="array" ref="K197">IF(OR($A197="",$J197&lt;&gt;"DIESEL"),"",_xlfn.LET(_xlpm.qty,N($C197),_xlpm.pos,$T$5:$T$54,_xlpm.alo,IF($U$5:$U$54="",0,$U$5:$U$54),_xlpm.usd,SUMIFS($C$6:$C196,$K$6:$K196,_xlpm.pos&amp;""),_xlpm.bal,_xlpm.alo-_xlpm.usd,IFERROR(INDEX(_xlfn._xlws.FILTER(_xlpm.pos,(_xlpm.pos&lt;&gt;"")*(_xlpm.qty&gt;0)*(_xlpm.bal&gt;=_xlpm.qty)),1),"")))</f>
        <v/>
      </c>
      <c r="L197" s="348"/>
    </row>
    <row r="198" spans="1:12" ht="23" x14ac:dyDescent="0.25">
      <c r="A198" s="217" t="str" cm="1">
        <f t="array" ref="A198">IFERROR(INDEX(_xlfn.ANCHORARRAY($P$6),ROW()-5,1),"")</f>
        <v/>
      </c>
      <c r="B198" s="344" t="str" cm="1">
        <f t="array" ref="B198">IFERROR(INDEX(_xlfn.ANCHORARRAY($P$6),ROW()-5,2),"")</f>
        <v/>
      </c>
      <c r="C198" s="345" t="str">
        <f>IF($A198="","",IF($J198="DIESEL",SUMIFS(Table1[Quantity],Table1[Customer],$M$3,Table1[Date],$A198,Table1[Bill No.],$B198),IF($J198="PETROL",SUMIFS(Table14[Quantity],Table14[Customer],$M$3,Table14[Date],$A198,Table14[Bill No.],$B198),IF($J198="XtraGreen",SUMIFS(Table146[Quantity],Table146[Company],$M$3,Table146[Date],$A198,Table146[Bill No.],$B198),""))))</f>
        <v/>
      </c>
      <c r="D198" s="346" t="str">
        <f>IF($A198="","",IF($J198="DIESEL",AVERAGEIFS(Table1[RSP],Table1[Customer],$M$3,Table1[Date],$A198,Table1[Bill No.],$B198),IF($J198="PETROL",AVERAGEIFS(Table14[RSP],Table14[Customer],$M$3,Table14[Date],$A198,Table14[Bill No.],$B198),IF($J198="XtraGreen",AVERAGEIFS(Table146[RSP],Table146[Company],$M$3,Table146[Date],$A198,Table146[Bill No.],$B198),IFERROR($E198/$C198,"")))))</f>
        <v/>
      </c>
      <c r="E198" s="347" t="str">
        <f>IF($A198="","",IF($J198="DIESEL",SUMIFS(Table1[Amount],Table1[Customer],$M$3,Table1[Date],$A198,Table1[Bill No.],$B198),IF($J198="PETROL",SUMIFS(Table14[Amount],Table14[Customer],$M$3,Table14[Date],$A198,Table14[Bill No.],$B198),IF($J198="XtraGreen",SUMIFS(Table146[Amount],Table146[Company],$M$3,Table146[Date],$A198,Table146[Bill No.],$B198),SUMIFS('Other Sale'!$D:$D,'Other Sale'!$E:$E,$M$3,'Other Sale'!$C:$C,$J198,'Other Sale'!$A:$A,$A198)))))</f>
        <v/>
      </c>
      <c r="F198" s="347" t="str" cm="1">
        <f t="array" ref="F198">IF($A198="","",IF($J198="Payment",IFERROR(INDEX(_xlfn._xlws.FILTER(MasterPaid[Amount Paid],(MasterPaid[Customer]=$M$3)*(MasterPaid[Date]=$A198)),COUNTIFS($A$6:$A198,$A198,$J$6:$J198,"Payment")),0),0))</f>
        <v/>
      </c>
      <c r="G198" s="331"/>
      <c r="H198" s="427"/>
      <c r="I198" s="330" t="str">
        <f t="shared" si="12"/>
        <v/>
      </c>
      <c r="J198" s="344" t="str" cm="1">
        <f t="array" ref="J198">IFERROR(INDEX(_xlfn.ANCHORARRAY($P$6),ROW()-5,3),"")</f>
        <v/>
      </c>
      <c r="K198" s="432" t="str" cm="1">
        <f t="array" ref="K198">IF(OR($A198="",$J198&lt;&gt;"DIESEL"),"",_xlfn.LET(_xlpm.qty,N($C198),_xlpm.pos,$T$5:$T$54,_xlpm.alo,IF($U$5:$U$54="",0,$U$5:$U$54),_xlpm.usd,SUMIFS($C$6:$C197,$K$6:$K197,_xlpm.pos&amp;""),_xlpm.bal,_xlpm.alo-_xlpm.usd,IFERROR(INDEX(_xlfn._xlws.FILTER(_xlpm.pos,(_xlpm.pos&lt;&gt;"")*(_xlpm.qty&gt;0)*(_xlpm.bal&gt;=_xlpm.qty)),1),"")))</f>
        <v/>
      </c>
      <c r="L198" s="348"/>
    </row>
    <row r="199" spans="1:12" ht="23" x14ac:dyDescent="0.25">
      <c r="A199" s="217" t="str" cm="1">
        <f t="array" ref="A199">IFERROR(INDEX(_xlfn.ANCHORARRAY($P$6),ROW()-5,1),"")</f>
        <v/>
      </c>
      <c r="B199" s="344" t="str" cm="1">
        <f t="array" ref="B199">IFERROR(INDEX(_xlfn.ANCHORARRAY($P$6),ROW()-5,2),"")</f>
        <v/>
      </c>
      <c r="C199" s="345" t="str">
        <f>IF($A199="","",IF($J199="DIESEL",SUMIFS(Table1[Quantity],Table1[Customer],$M$3,Table1[Date],$A199,Table1[Bill No.],$B199),IF($J199="PETROL",SUMIFS(Table14[Quantity],Table14[Customer],$M$3,Table14[Date],$A199,Table14[Bill No.],$B199),IF($J199="XtraGreen",SUMIFS(Table146[Quantity],Table146[Company],$M$3,Table146[Date],$A199,Table146[Bill No.],$B199),""))))</f>
        <v/>
      </c>
      <c r="D199" s="346" t="str">
        <f>IF($A199="","",IF($J199="DIESEL",AVERAGEIFS(Table1[RSP],Table1[Customer],$M$3,Table1[Date],$A199,Table1[Bill No.],$B199),IF($J199="PETROL",AVERAGEIFS(Table14[RSP],Table14[Customer],$M$3,Table14[Date],$A199,Table14[Bill No.],$B199),IF($J199="XtraGreen",AVERAGEIFS(Table146[RSP],Table146[Company],$M$3,Table146[Date],$A199,Table146[Bill No.],$B199),IFERROR($E199/$C199,"")))))</f>
        <v/>
      </c>
      <c r="E199" s="347" t="str">
        <f>IF($A199="","",IF($J199="DIESEL",SUMIFS(Table1[Amount],Table1[Customer],$M$3,Table1[Date],$A199,Table1[Bill No.],$B199),IF($J199="PETROL",SUMIFS(Table14[Amount],Table14[Customer],$M$3,Table14[Date],$A199,Table14[Bill No.],$B199),IF($J199="XtraGreen",SUMIFS(Table146[Amount],Table146[Company],$M$3,Table146[Date],$A199,Table146[Bill No.],$B199),SUMIFS('Other Sale'!$D:$D,'Other Sale'!$E:$E,$M$3,'Other Sale'!$C:$C,$J199,'Other Sale'!$A:$A,$A199)))))</f>
        <v/>
      </c>
      <c r="F199" s="347" t="str" cm="1">
        <f t="array" ref="F199">IF($A199="","",IF($J199="Payment",IFERROR(INDEX(_xlfn._xlws.FILTER(MasterPaid[Amount Paid],(MasterPaid[Customer]=$M$3)*(MasterPaid[Date]=$A199)),COUNTIFS($A$6:$A199,$A199,$J$6:$J199,"Payment")),0),0))</f>
        <v/>
      </c>
      <c r="G199" s="331"/>
      <c r="H199" s="427"/>
      <c r="I199" s="330" t="str">
        <f t="shared" si="12"/>
        <v/>
      </c>
      <c r="J199" s="344" t="str" cm="1">
        <f t="array" ref="J199">IFERROR(INDEX(_xlfn.ANCHORARRAY($P$6),ROW()-5,3),"")</f>
        <v/>
      </c>
      <c r="K199" s="432" t="str" cm="1">
        <f t="array" ref="K199">IF(OR($A199="",$J199&lt;&gt;"DIESEL"),"",_xlfn.LET(_xlpm.qty,N($C199),_xlpm.pos,$T$5:$T$54,_xlpm.alo,IF($U$5:$U$54="",0,$U$5:$U$54),_xlpm.usd,SUMIFS($C$6:$C198,$K$6:$K198,_xlpm.pos&amp;""),_xlpm.bal,_xlpm.alo-_xlpm.usd,IFERROR(INDEX(_xlfn._xlws.FILTER(_xlpm.pos,(_xlpm.pos&lt;&gt;"")*(_xlpm.qty&gt;0)*(_xlpm.bal&gt;=_xlpm.qty)),1),"")))</f>
        <v/>
      </c>
      <c r="L199" s="348"/>
    </row>
    <row r="200" spans="1:12" ht="23" x14ac:dyDescent="0.25">
      <c r="A200" s="217" t="str" cm="1">
        <f t="array" ref="A200">IFERROR(INDEX(_xlfn.ANCHORARRAY($P$6),ROW()-5,1),"")</f>
        <v/>
      </c>
      <c r="B200" s="344" t="str" cm="1">
        <f t="array" ref="B200">IFERROR(INDEX(_xlfn.ANCHORARRAY($P$6),ROW()-5,2),"")</f>
        <v/>
      </c>
      <c r="C200" s="345" t="str">
        <f>IF($A200="","",IF($J200="DIESEL",SUMIFS(Table1[Quantity],Table1[Customer],$M$3,Table1[Date],$A200,Table1[Bill No.],$B200),IF($J200="PETROL",SUMIFS(Table14[Quantity],Table14[Customer],$M$3,Table14[Date],$A200,Table14[Bill No.],$B200),IF($J200="XtraGreen",SUMIFS(Table146[Quantity],Table146[Company],$M$3,Table146[Date],$A200,Table146[Bill No.],$B200),""))))</f>
        <v/>
      </c>
      <c r="D200" s="346" t="str">
        <f>IF($A200="","",IF($J200="DIESEL",AVERAGEIFS(Table1[RSP],Table1[Customer],$M$3,Table1[Date],$A200,Table1[Bill No.],$B200),IF($J200="PETROL",AVERAGEIFS(Table14[RSP],Table14[Customer],$M$3,Table14[Date],$A200,Table14[Bill No.],$B200),IF($J200="XtraGreen",AVERAGEIFS(Table146[RSP],Table146[Company],$M$3,Table146[Date],$A200,Table146[Bill No.],$B200),IFERROR($E200/$C200,"")))))</f>
        <v/>
      </c>
      <c r="E200" s="347" t="str">
        <f>IF($A200="","",IF($J200="DIESEL",SUMIFS(Table1[Amount],Table1[Customer],$M$3,Table1[Date],$A200,Table1[Bill No.],$B200),IF($J200="PETROL",SUMIFS(Table14[Amount],Table14[Customer],$M$3,Table14[Date],$A200,Table14[Bill No.],$B200),IF($J200="XtraGreen",SUMIFS(Table146[Amount],Table146[Company],$M$3,Table146[Date],$A200,Table146[Bill No.],$B200),SUMIFS('Other Sale'!$D:$D,'Other Sale'!$E:$E,$M$3,'Other Sale'!$C:$C,$J200,'Other Sale'!$A:$A,$A200)))))</f>
        <v/>
      </c>
      <c r="F200" s="347" t="str" cm="1">
        <f t="array" ref="F200">IF($A200="","",IF($J200="Payment",IFERROR(INDEX(_xlfn._xlws.FILTER(MasterPaid[Amount Paid],(MasterPaid[Customer]=$M$3)*(MasterPaid[Date]=$A200)),COUNTIFS($A$6:$A200,$A200,$J$6:$J200,"Payment")),0),0))</f>
        <v/>
      </c>
      <c r="G200" s="331"/>
      <c r="H200" s="427"/>
      <c r="I200" s="330" t="str">
        <f t="shared" si="12"/>
        <v/>
      </c>
      <c r="J200" s="344" t="str" cm="1">
        <f t="array" ref="J200">IFERROR(INDEX(_xlfn.ANCHORARRAY($P$6),ROW()-5,3),"")</f>
        <v/>
      </c>
      <c r="K200" s="432" t="str" cm="1">
        <f t="array" ref="K200">IF(OR($A200="",$J200&lt;&gt;"DIESEL"),"",_xlfn.LET(_xlpm.qty,N($C200),_xlpm.pos,$T$5:$T$54,_xlpm.alo,IF($U$5:$U$54="",0,$U$5:$U$54),_xlpm.usd,SUMIFS($C$6:$C199,$K$6:$K199,_xlpm.pos&amp;""),_xlpm.bal,_xlpm.alo-_xlpm.usd,IFERROR(INDEX(_xlfn._xlws.FILTER(_xlpm.pos,(_xlpm.pos&lt;&gt;"")*(_xlpm.qty&gt;0)*(_xlpm.bal&gt;=_xlpm.qty)),1),"")))</f>
        <v/>
      </c>
      <c r="L200" s="348"/>
    </row>
    <row r="201" spans="1:12" ht="23" x14ac:dyDescent="0.25">
      <c r="A201" s="217" t="str" cm="1">
        <f t="array" ref="A201">IFERROR(INDEX(_xlfn.ANCHORARRAY($P$6),ROW()-5,1),"")</f>
        <v/>
      </c>
      <c r="B201" s="344" t="str" cm="1">
        <f t="array" ref="B201">IFERROR(INDEX(_xlfn.ANCHORARRAY($P$6),ROW()-5,2),"")</f>
        <v/>
      </c>
      <c r="C201" s="345" t="str">
        <f>IF($A201="","",IF($J201="DIESEL",SUMIFS(Table1[Quantity],Table1[Customer],$M$3,Table1[Date],$A201,Table1[Bill No.],$B201),IF($J201="PETROL",SUMIFS(Table14[Quantity],Table14[Customer],$M$3,Table14[Date],$A201,Table14[Bill No.],$B201),IF($J201="XtraGreen",SUMIFS(Table146[Quantity],Table146[Company],$M$3,Table146[Date],$A201,Table146[Bill No.],$B201),""))))</f>
        <v/>
      </c>
      <c r="D201" s="346" t="str">
        <f>IF($A201="","",IF($J201="DIESEL",AVERAGEIFS(Table1[RSP],Table1[Customer],$M$3,Table1[Date],$A201,Table1[Bill No.],$B201),IF($J201="PETROL",AVERAGEIFS(Table14[RSP],Table14[Customer],$M$3,Table14[Date],$A201,Table14[Bill No.],$B201),IF($J201="XtraGreen",AVERAGEIFS(Table146[RSP],Table146[Company],$M$3,Table146[Date],$A201,Table146[Bill No.],$B201),IFERROR($E201/$C201,"")))))</f>
        <v/>
      </c>
      <c r="E201" s="347" t="str">
        <f>IF($A201="","",IF($J201="DIESEL",SUMIFS(Table1[Amount],Table1[Customer],$M$3,Table1[Date],$A201,Table1[Bill No.],$B201),IF($J201="PETROL",SUMIFS(Table14[Amount],Table14[Customer],$M$3,Table14[Date],$A201,Table14[Bill No.],$B201),IF($J201="XtraGreen",SUMIFS(Table146[Amount],Table146[Company],$M$3,Table146[Date],$A201,Table146[Bill No.],$B201),SUMIFS('Other Sale'!$D:$D,'Other Sale'!$E:$E,$M$3,'Other Sale'!$C:$C,$J201,'Other Sale'!$A:$A,$A201)))))</f>
        <v/>
      </c>
      <c r="F201" s="347" t="str" cm="1">
        <f t="array" ref="F201">IF($A201="","",IF($J201="Payment",IFERROR(INDEX(_xlfn._xlws.FILTER(MasterPaid[Amount Paid],(MasterPaid[Customer]=$M$3)*(MasterPaid[Date]=$A201)),COUNTIFS($A$6:$A201,$A201,$J$6:$J201,"Payment")),0),0))</f>
        <v/>
      </c>
      <c r="G201" s="331"/>
      <c r="H201" s="427"/>
      <c r="I201" s="330" t="str">
        <f t="shared" si="12"/>
        <v/>
      </c>
      <c r="J201" s="344" t="str" cm="1">
        <f t="array" ref="J201">IFERROR(INDEX(_xlfn.ANCHORARRAY($P$6),ROW()-5,3),"")</f>
        <v/>
      </c>
      <c r="K201" s="432" t="str" cm="1">
        <f t="array" ref="K201">IF(OR($A201="",$J201&lt;&gt;"DIESEL"),"",_xlfn.LET(_xlpm.qty,N($C201),_xlpm.pos,$T$5:$T$54,_xlpm.alo,IF($U$5:$U$54="",0,$U$5:$U$54),_xlpm.usd,SUMIFS($C$6:$C200,$K$6:$K200,_xlpm.pos&amp;""),_xlpm.bal,_xlpm.alo-_xlpm.usd,IFERROR(INDEX(_xlfn._xlws.FILTER(_xlpm.pos,(_xlpm.pos&lt;&gt;"")*(_xlpm.qty&gt;0)*(_xlpm.bal&gt;=_xlpm.qty)),1),"")))</f>
        <v/>
      </c>
      <c r="L201" s="348"/>
    </row>
    <row r="202" spans="1:12" ht="23" x14ac:dyDescent="0.25">
      <c r="A202" s="217" t="str" cm="1">
        <f t="array" ref="A202">IFERROR(INDEX(_xlfn.ANCHORARRAY($P$6),ROW()-5,1),"")</f>
        <v/>
      </c>
      <c r="B202" s="344" t="str" cm="1">
        <f t="array" ref="B202">IFERROR(INDEX(_xlfn.ANCHORARRAY($P$6),ROW()-5,2),"")</f>
        <v/>
      </c>
      <c r="C202" s="345" t="str">
        <f>IF($A202="","",IF($J202="DIESEL",SUMIFS(Table1[Quantity],Table1[Customer],$M$3,Table1[Date],$A202,Table1[Bill No.],$B202),IF($J202="PETROL",SUMIFS(Table14[Quantity],Table14[Customer],$M$3,Table14[Date],$A202,Table14[Bill No.],$B202),IF($J202="XtraGreen",SUMIFS(Table146[Quantity],Table146[Company],$M$3,Table146[Date],$A202,Table146[Bill No.],$B202),""))))</f>
        <v/>
      </c>
      <c r="D202" s="346" t="str">
        <f>IF($A202="","",IF($J202="DIESEL",AVERAGEIFS(Table1[RSP],Table1[Customer],$M$3,Table1[Date],$A202,Table1[Bill No.],$B202),IF($J202="PETROL",AVERAGEIFS(Table14[RSP],Table14[Customer],$M$3,Table14[Date],$A202,Table14[Bill No.],$B202),IF($J202="XtraGreen",AVERAGEIFS(Table146[RSP],Table146[Company],$M$3,Table146[Date],$A202,Table146[Bill No.],$B202),IFERROR($E202/$C202,"")))))</f>
        <v/>
      </c>
      <c r="E202" s="347" t="str">
        <f>IF($A202="","",IF($J202="DIESEL",SUMIFS(Table1[Amount],Table1[Customer],$M$3,Table1[Date],$A202,Table1[Bill No.],$B202),IF($J202="PETROL",SUMIFS(Table14[Amount],Table14[Customer],$M$3,Table14[Date],$A202,Table14[Bill No.],$B202),IF($J202="XtraGreen",SUMIFS(Table146[Amount],Table146[Company],$M$3,Table146[Date],$A202,Table146[Bill No.],$B202),SUMIFS('Other Sale'!$D:$D,'Other Sale'!$E:$E,$M$3,'Other Sale'!$C:$C,$J202,'Other Sale'!$A:$A,$A202)))))</f>
        <v/>
      </c>
      <c r="F202" s="347" t="str" cm="1">
        <f t="array" ref="F202">IF($A202="","",IF($J202="Payment",IFERROR(INDEX(_xlfn._xlws.FILTER(MasterPaid[Amount Paid],(MasterPaid[Customer]=$M$3)*(MasterPaid[Date]=$A202)),COUNTIFS($A$6:$A202,$A202,$J$6:$J202,"Payment")),0),0))</f>
        <v/>
      </c>
      <c r="G202" s="331"/>
      <c r="H202" s="427"/>
      <c r="I202" s="330" t="str">
        <f t="shared" si="12"/>
        <v/>
      </c>
      <c r="J202" s="344" t="str" cm="1">
        <f t="array" ref="J202">IFERROR(INDEX(_xlfn.ANCHORARRAY($P$6),ROW()-5,3),"")</f>
        <v/>
      </c>
      <c r="K202" s="432" t="str" cm="1">
        <f t="array" ref="K202">IF(OR($A202="",$J202&lt;&gt;"DIESEL"),"",_xlfn.LET(_xlpm.qty,N($C202),_xlpm.pos,$T$5:$T$54,_xlpm.alo,IF($U$5:$U$54="",0,$U$5:$U$54),_xlpm.usd,SUMIFS($C$6:$C201,$K$6:$K201,_xlpm.pos&amp;""),_xlpm.bal,_xlpm.alo-_xlpm.usd,IFERROR(INDEX(_xlfn._xlws.FILTER(_xlpm.pos,(_xlpm.pos&lt;&gt;"")*(_xlpm.qty&gt;0)*(_xlpm.bal&gt;=_xlpm.qty)),1),"")))</f>
        <v/>
      </c>
      <c r="L202" s="348"/>
    </row>
    <row r="203" spans="1:12" ht="23" x14ac:dyDescent="0.25">
      <c r="A203" s="217" t="str" cm="1">
        <f t="array" ref="A203">IFERROR(INDEX(_xlfn.ANCHORARRAY($P$6),ROW()-5,1),"")</f>
        <v/>
      </c>
      <c r="B203" s="344" t="str" cm="1">
        <f t="array" ref="B203">IFERROR(INDEX(_xlfn.ANCHORARRAY($P$6),ROW()-5,2),"")</f>
        <v/>
      </c>
      <c r="C203" s="345" t="str">
        <f>IF($A203="","",IF($J203="DIESEL",SUMIFS(Table1[Quantity],Table1[Customer],$M$3,Table1[Date],$A203,Table1[Bill No.],$B203),IF($J203="PETROL",SUMIFS(Table14[Quantity],Table14[Customer],$M$3,Table14[Date],$A203,Table14[Bill No.],$B203),IF($J203="XtraGreen",SUMIFS(Table146[Quantity],Table146[Company],$M$3,Table146[Date],$A203,Table146[Bill No.],$B203),""))))</f>
        <v/>
      </c>
      <c r="D203" s="346" t="str">
        <f>IF($A203="","",IF($J203="DIESEL",AVERAGEIFS(Table1[RSP],Table1[Customer],$M$3,Table1[Date],$A203,Table1[Bill No.],$B203),IF($J203="PETROL",AVERAGEIFS(Table14[RSP],Table14[Customer],$M$3,Table14[Date],$A203,Table14[Bill No.],$B203),IF($J203="XtraGreen",AVERAGEIFS(Table146[RSP],Table146[Company],$M$3,Table146[Date],$A203,Table146[Bill No.],$B203),IFERROR($E203/$C203,"")))))</f>
        <v/>
      </c>
      <c r="E203" s="347" t="str">
        <f>IF($A203="","",IF($J203="DIESEL",SUMIFS(Table1[Amount],Table1[Customer],$M$3,Table1[Date],$A203,Table1[Bill No.],$B203),IF($J203="PETROL",SUMIFS(Table14[Amount],Table14[Customer],$M$3,Table14[Date],$A203,Table14[Bill No.],$B203),IF($J203="XtraGreen",SUMIFS(Table146[Amount],Table146[Company],$M$3,Table146[Date],$A203,Table146[Bill No.],$B203),SUMIFS('Other Sale'!$D:$D,'Other Sale'!$E:$E,$M$3,'Other Sale'!$C:$C,$J203,'Other Sale'!$A:$A,$A203)))))</f>
        <v/>
      </c>
      <c r="F203" s="347" t="str" cm="1">
        <f t="array" ref="F203">IF($A203="","",IF($J203="Payment",IFERROR(INDEX(_xlfn._xlws.FILTER(MasterPaid[Amount Paid],(MasterPaid[Customer]=$M$3)*(MasterPaid[Date]=$A203)),COUNTIFS($A$6:$A203,$A203,$J$6:$J203,"Payment")),0),0))</f>
        <v/>
      </c>
      <c r="G203" s="331"/>
      <c r="H203" s="427"/>
      <c r="I203" s="330" t="str">
        <f t="shared" si="12"/>
        <v/>
      </c>
      <c r="J203" s="344" t="str" cm="1">
        <f t="array" ref="J203">IFERROR(INDEX(_xlfn.ANCHORARRAY($P$6),ROW()-5,3),"")</f>
        <v/>
      </c>
      <c r="K203" s="432" t="str" cm="1">
        <f t="array" ref="K203">IF(OR($A203="",$J203&lt;&gt;"DIESEL"),"",_xlfn.LET(_xlpm.qty,N($C203),_xlpm.pos,$T$5:$T$54,_xlpm.alo,IF($U$5:$U$54="",0,$U$5:$U$54),_xlpm.usd,SUMIFS($C$6:$C202,$K$6:$K202,_xlpm.pos&amp;""),_xlpm.bal,_xlpm.alo-_xlpm.usd,IFERROR(INDEX(_xlfn._xlws.FILTER(_xlpm.pos,(_xlpm.pos&lt;&gt;"")*(_xlpm.qty&gt;0)*(_xlpm.bal&gt;=_xlpm.qty)),1),"")))</f>
        <v/>
      </c>
      <c r="L203" s="348"/>
    </row>
    <row r="204" spans="1:12" ht="23" x14ac:dyDescent="0.25">
      <c r="A204" s="217" t="str" cm="1">
        <f t="array" ref="A204">IFERROR(INDEX(_xlfn.ANCHORARRAY($P$6),ROW()-5,1),"")</f>
        <v/>
      </c>
      <c r="B204" s="344" t="str" cm="1">
        <f t="array" ref="B204">IFERROR(INDEX(_xlfn.ANCHORARRAY($P$6),ROW()-5,2),"")</f>
        <v/>
      </c>
      <c r="C204" s="345" t="str">
        <f>IF($A204="","",IF($J204="DIESEL",SUMIFS(Table1[Quantity],Table1[Customer],$M$3,Table1[Date],$A204,Table1[Bill No.],$B204),IF($J204="PETROL",SUMIFS(Table14[Quantity],Table14[Customer],$M$3,Table14[Date],$A204,Table14[Bill No.],$B204),IF($J204="XtraGreen",SUMIFS(Table146[Quantity],Table146[Company],$M$3,Table146[Date],$A204,Table146[Bill No.],$B204),""))))</f>
        <v/>
      </c>
      <c r="D204" s="346" t="str">
        <f>IF($A204="","",IF($J204="DIESEL",AVERAGEIFS(Table1[RSP],Table1[Customer],$M$3,Table1[Date],$A204,Table1[Bill No.],$B204),IF($J204="PETROL",AVERAGEIFS(Table14[RSP],Table14[Customer],$M$3,Table14[Date],$A204,Table14[Bill No.],$B204),IF($J204="XtraGreen",AVERAGEIFS(Table146[RSP],Table146[Company],$M$3,Table146[Date],$A204,Table146[Bill No.],$B204),IFERROR($E204/$C204,"")))))</f>
        <v/>
      </c>
      <c r="E204" s="347" t="str">
        <f>IF($A204="","",IF($J204="DIESEL",SUMIFS(Table1[Amount],Table1[Customer],$M$3,Table1[Date],$A204,Table1[Bill No.],$B204),IF($J204="PETROL",SUMIFS(Table14[Amount],Table14[Customer],$M$3,Table14[Date],$A204,Table14[Bill No.],$B204),IF($J204="XtraGreen",SUMIFS(Table146[Amount],Table146[Company],$M$3,Table146[Date],$A204,Table146[Bill No.],$B204),SUMIFS('Other Sale'!$D:$D,'Other Sale'!$E:$E,$M$3,'Other Sale'!$C:$C,$J204,'Other Sale'!$A:$A,$A204)))))</f>
        <v/>
      </c>
      <c r="F204" s="347" t="str" cm="1">
        <f t="array" ref="F204">IF($A204="","",IF($J204="Payment",IFERROR(INDEX(_xlfn._xlws.FILTER(MasterPaid[Amount Paid],(MasterPaid[Customer]=$M$3)*(MasterPaid[Date]=$A204)),COUNTIFS($A$6:$A204,$A204,$J$6:$J204,"Payment")),0),0))</f>
        <v/>
      </c>
      <c r="G204" s="331"/>
      <c r="H204" s="427"/>
      <c r="I204" s="330" t="str">
        <f t="shared" si="12"/>
        <v/>
      </c>
      <c r="J204" s="344" t="str" cm="1">
        <f t="array" ref="J204">IFERROR(INDEX(_xlfn.ANCHORARRAY($P$6),ROW()-5,3),"")</f>
        <v/>
      </c>
      <c r="K204" s="432" t="str" cm="1">
        <f t="array" ref="K204">IF(OR($A204="",$J204&lt;&gt;"DIESEL"),"",_xlfn.LET(_xlpm.qty,N($C204),_xlpm.pos,$T$5:$T$54,_xlpm.alo,IF($U$5:$U$54="",0,$U$5:$U$54),_xlpm.usd,SUMIFS($C$6:$C203,$K$6:$K203,_xlpm.pos&amp;""),_xlpm.bal,_xlpm.alo-_xlpm.usd,IFERROR(INDEX(_xlfn._xlws.FILTER(_xlpm.pos,(_xlpm.pos&lt;&gt;"")*(_xlpm.qty&gt;0)*(_xlpm.bal&gt;=_xlpm.qty)),1),"")))</f>
        <v/>
      </c>
      <c r="L204" s="348"/>
    </row>
    <row r="205" spans="1:12" ht="23" x14ac:dyDescent="0.25">
      <c r="A205" s="217" t="str" cm="1">
        <f t="array" ref="A205">IFERROR(INDEX(_xlfn.ANCHORARRAY($P$6),ROW()-5,1),"")</f>
        <v/>
      </c>
      <c r="B205" s="344" t="str" cm="1">
        <f t="array" ref="B205">IFERROR(INDEX(_xlfn.ANCHORARRAY($P$6),ROW()-5,2),"")</f>
        <v/>
      </c>
      <c r="C205" s="345" t="str">
        <f>IF($A205="","",IF($J205="DIESEL",SUMIFS(Table1[Quantity],Table1[Customer],$M$3,Table1[Date],$A205,Table1[Bill No.],$B205),IF($J205="PETROL",SUMIFS(Table14[Quantity],Table14[Customer],$M$3,Table14[Date],$A205,Table14[Bill No.],$B205),IF($J205="XtraGreen",SUMIFS(Table146[Quantity],Table146[Company],$M$3,Table146[Date],$A205,Table146[Bill No.],$B205),""))))</f>
        <v/>
      </c>
      <c r="D205" s="346" t="str">
        <f>IF($A205="","",IF($J205="DIESEL",AVERAGEIFS(Table1[RSP],Table1[Customer],$M$3,Table1[Date],$A205,Table1[Bill No.],$B205),IF($J205="PETROL",AVERAGEIFS(Table14[RSP],Table14[Customer],$M$3,Table14[Date],$A205,Table14[Bill No.],$B205),IF($J205="XtraGreen",AVERAGEIFS(Table146[RSP],Table146[Company],$M$3,Table146[Date],$A205,Table146[Bill No.],$B205),IFERROR($E205/$C205,"")))))</f>
        <v/>
      </c>
      <c r="E205" s="347" t="str">
        <f>IF($A205="","",IF($J205="DIESEL",SUMIFS(Table1[Amount],Table1[Customer],$M$3,Table1[Date],$A205,Table1[Bill No.],$B205),IF($J205="PETROL",SUMIFS(Table14[Amount],Table14[Customer],$M$3,Table14[Date],$A205,Table14[Bill No.],$B205),IF($J205="XtraGreen",SUMIFS(Table146[Amount],Table146[Company],$M$3,Table146[Date],$A205,Table146[Bill No.],$B205),SUMIFS('Other Sale'!$D:$D,'Other Sale'!$E:$E,$M$3,'Other Sale'!$C:$C,$J205,'Other Sale'!$A:$A,$A205)))))</f>
        <v/>
      </c>
      <c r="F205" s="347" t="str" cm="1">
        <f t="array" ref="F205">IF($A205="","",IF($J205="Payment",IFERROR(INDEX(_xlfn._xlws.FILTER(MasterPaid[Amount Paid],(MasterPaid[Customer]=$M$3)*(MasterPaid[Date]=$A205)),COUNTIFS($A$6:$A205,$A205,$J$6:$J205,"Payment")),0),0))</f>
        <v/>
      </c>
      <c r="G205" s="331"/>
      <c r="H205" s="427"/>
      <c r="I205" s="330" t="str">
        <f t="shared" si="12"/>
        <v/>
      </c>
      <c r="J205" s="344" t="str" cm="1">
        <f t="array" ref="J205">IFERROR(INDEX(_xlfn.ANCHORARRAY($P$6),ROW()-5,3),"")</f>
        <v/>
      </c>
      <c r="K205" s="432" t="str" cm="1">
        <f t="array" ref="K205">IF(OR($A205="",$J205&lt;&gt;"DIESEL"),"",_xlfn.LET(_xlpm.qty,N($C205),_xlpm.pos,$T$5:$T$54,_xlpm.alo,IF($U$5:$U$54="",0,$U$5:$U$54),_xlpm.usd,SUMIFS($C$6:$C204,$K$6:$K204,_xlpm.pos&amp;""),_xlpm.bal,_xlpm.alo-_xlpm.usd,IFERROR(INDEX(_xlfn._xlws.FILTER(_xlpm.pos,(_xlpm.pos&lt;&gt;"")*(_xlpm.qty&gt;0)*(_xlpm.bal&gt;=_xlpm.qty)),1),"")))</f>
        <v/>
      </c>
      <c r="L205" s="348"/>
    </row>
    <row r="206" spans="1:12" ht="23" x14ac:dyDescent="0.25">
      <c r="A206" s="217" t="str" cm="1">
        <f t="array" ref="A206">IFERROR(INDEX(_xlfn.ANCHORARRAY($P$6),ROW()-5,1),"")</f>
        <v/>
      </c>
      <c r="B206" s="344" t="str" cm="1">
        <f t="array" ref="B206">IFERROR(INDEX(_xlfn.ANCHORARRAY($P$6),ROW()-5,2),"")</f>
        <v/>
      </c>
      <c r="C206" s="345" t="str">
        <f>IF($A206="","",IF($J206="DIESEL",SUMIFS(Table1[Quantity],Table1[Customer],$M$3,Table1[Date],$A206,Table1[Bill No.],$B206),IF($J206="PETROL",SUMIFS(Table14[Quantity],Table14[Customer],$M$3,Table14[Date],$A206,Table14[Bill No.],$B206),IF($J206="XtraGreen",SUMIFS(Table146[Quantity],Table146[Company],$M$3,Table146[Date],$A206,Table146[Bill No.],$B206),""))))</f>
        <v/>
      </c>
      <c r="D206" s="346" t="str">
        <f>IF($A206="","",IF($J206="DIESEL",AVERAGEIFS(Table1[RSP],Table1[Customer],$M$3,Table1[Date],$A206,Table1[Bill No.],$B206),IF($J206="PETROL",AVERAGEIFS(Table14[RSP],Table14[Customer],$M$3,Table14[Date],$A206,Table14[Bill No.],$B206),IF($J206="XtraGreen",AVERAGEIFS(Table146[RSP],Table146[Company],$M$3,Table146[Date],$A206,Table146[Bill No.],$B206),IFERROR($E206/$C206,"")))))</f>
        <v/>
      </c>
      <c r="E206" s="347" t="str">
        <f>IF($A206="","",IF($J206="DIESEL",SUMIFS(Table1[Amount],Table1[Customer],$M$3,Table1[Date],$A206,Table1[Bill No.],$B206),IF($J206="PETROL",SUMIFS(Table14[Amount],Table14[Customer],$M$3,Table14[Date],$A206,Table14[Bill No.],$B206),IF($J206="XtraGreen",SUMIFS(Table146[Amount],Table146[Company],$M$3,Table146[Date],$A206,Table146[Bill No.],$B206),SUMIFS('Other Sale'!$D:$D,'Other Sale'!$E:$E,$M$3,'Other Sale'!$C:$C,$J206,'Other Sale'!$A:$A,$A206)))))</f>
        <v/>
      </c>
      <c r="F206" s="347" t="str" cm="1">
        <f t="array" ref="F206">IF($A206="","",IF($J206="Payment",IFERROR(INDEX(_xlfn._xlws.FILTER(MasterPaid[Amount Paid],(MasterPaid[Customer]=$M$3)*(MasterPaid[Date]=$A206)),COUNTIFS($A$6:$A206,$A206,$J$6:$J206,"Payment")),0),0))</f>
        <v/>
      </c>
      <c r="G206" s="331"/>
      <c r="H206" s="427"/>
      <c r="I206" s="330" t="str">
        <f t="shared" si="12"/>
        <v/>
      </c>
      <c r="J206" s="344" t="str" cm="1">
        <f t="array" ref="J206">IFERROR(INDEX(_xlfn.ANCHORARRAY($P$6),ROW()-5,3),"")</f>
        <v/>
      </c>
      <c r="K206" s="432" t="str" cm="1">
        <f t="array" ref="K206">IF(OR($A206="",$J206&lt;&gt;"DIESEL"),"",_xlfn.LET(_xlpm.qty,N($C206),_xlpm.pos,$T$5:$T$54,_xlpm.alo,IF($U$5:$U$54="",0,$U$5:$U$54),_xlpm.usd,SUMIFS($C$6:$C205,$K$6:$K205,_xlpm.pos&amp;""),_xlpm.bal,_xlpm.alo-_xlpm.usd,IFERROR(INDEX(_xlfn._xlws.FILTER(_xlpm.pos,(_xlpm.pos&lt;&gt;"")*(_xlpm.qty&gt;0)*(_xlpm.bal&gt;=_xlpm.qty)),1),"")))</f>
        <v/>
      </c>
      <c r="L206" s="348"/>
    </row>
    <row r="207" spans="1:12" ht="23" x14ac:dyDescent="0.25">
      <c r="A207" s="217" t="str" cm="1">
        <f t="array" ref="A207">IFERROR(INDEX(_xlfn.ANCHORARRAY($P$6),ROW()-5,1),"")</f>
        <v/>
      </c>
      <c r="B207" s="344" t="str" cm="1">
        <f t="array" ref="B207">IFERROR(INDEX(_xlfn.ANCHORARRAY($P$6),ROW()-5,2),"")</f>
        <v/>
      </c>
      <c r="C207" s="345" t="str">
        <f>IF($A207="","",IF($J207="DIESEL",SUMIFS(Table1[Quantity],Table1[Customer],$M$3,Table1[Date],$A207,Table1[Bill No.],$B207),IF($J207="PETROL",SUMIFS(Table14[Quantity],Table14[Customer],$M$3,Table14[Date],$A207,Table14[Bill No.],$B207),IF($J207="XtraGreen",SUMIFS(Table146[Quantity],Table146[Company],$M$3,Table146[Date],$A207,Table146[Bill No.],$B207),""))))</f>
        <v/>
      </c>
      <c r="D207" s="346" t="str">
        <f>IF($A207="","",IF($J207="DIESEL",AVERAGEIFS(Table1[RSP],Table1[Customer],$M$3,Table1[Date],$A207,Table1[Bill No.],$B207),IF($J207="PETROL",AVERAGEIFS(Table14[RSP],Table14[Customer],$M$3,Table14[Date],$A207,Table14[Bill No.],$B207),IF($J207="XtraGreen",AVERAGEIFS(Table146[RSP],Table146[Company],$M$3,Table146[Date],$A207,Table146[Bill No.],$B207),IFERROR($E207/$C207,"")))))</f>
        <v/>
      </c>
      <c r="E207" s="347" t="str">
        <f>IF($A207="","",IF($J207="DIESEL",SUMIFS(Table1[Amount],Table1[Customer],$M$3,Table1[Date],$A207,Table1[Bill No.],$B207),IF($J207="PETROL",SUMIFS(Table14[Amount],Table14[Customer],$M$3,Table14[Date],$A207,Table14[Bill No.],$B207),IF($J207="XtraGreen",SUMIFS(Table146[Amount],Table146[Company],$M$3,Table146[Date],$A207,Table146[Bill No.],$B207),SUMIFS('Other Sale'!$D:$D,'Other Sale'!$E:$E,$M$3,'Other Sale'!$C:$C,$J207,'Other Sale'!$A:$A,$A207)))))</f>
        <v/>
      </c>
      <c r="F207" s="347" t="str" cm="1">
        <f t="array" ref="F207">IF($A207="","",IF($J207="Payment",IFERROR(INDEX(_xlfn._xlws.FILTER(MasterPaid[Amount Paid],(MasterPaid[Customer]=$M$3)*(MasterPaid[Date]=$A207)),COUNTIFS($A$6:$A207,$A207,$J$6:$J207,"Payment")),0),0))</f>
        <v/>
      </c>
      <c r="G207" s="331"/>
      <c r="H207" s="427"/>
      <c r="I207" s="330" t="str">
        <f t="shared" si="12"/>
        <v/>
      </c>
      <c r="J207" s="344" t="str" cm="1">
        <f t="array" ref="J207">IFERROR(INDEX(_xlfn.ANCHORARRAY($P$6),ROW()-5,3),"")</f>
        <v/>
      </c>
      <c r="K207" s="432" t="str" cm="1">
        <f t="array" ref="K207">IF(OR($A207="",$J207&lt;&gt;"DIESEL"),"",_xlfn.LET(_xlpm.qty,N($C207),_xlpm.pos,$T$5:$T$54,_xlpm.alo,IF($U$5:$U$54="",0,$U$5:$U$54),_xlpm.usd,SUMIFS($C$6:$C206,$K$6:$K206,_xlpm.pos&amp;""),_xlpm.bal,_xlpm.alo-_xlpm.usd,IFERROR(INDEX(_xlfn._xlws.FILTER(_xlpm.pos,(_xlpm.pos&lt;&gt;"")*(_xlpm.qty&gt;0)*(_xlpm.bal&gt;=_xlpm.qty)),1),"")))</f>
        <v/>
      </c>
      <c r="L207" s="348"/>
    </row>
    <row r="208" spans="1:12" ht="23" x14ac:dyDescent="0.25">
      <c r="A208" s="217" t="str" cm="1">
        <f t="array" ref="A208">IFERROR(INDEX(_xlfn.ANCHORARRAY($P$6),ROW()-5,1),"")</f>
        <v/>
      </c>
      <c r="B208" s="344" t="str" cm="1">
        <f t="array" ref="B208">IFERROR(INDEX(_xlfn.ANCHORARRAY($P$6),ROW()-5,2),"")</f>
        <v/>
      </c>
      <c r="C208" s="345" t="str">
        <f>IF($A208="","",IF($J208="DIESEL",SUMIFS(Table1[Quantity],Table1[Customer],$M$3,Table1[Date],$A208,Table1[Bill No.],$B208),IF($J208="PETROL",SUMIFS(Table14[Quantity],Table14[Customer],$M$3,Table14[Date],$A208,Table14[Bill No.],$B208),IF($J208="XtraGreen",SUMIFS(Table146[Quantity],Table146[Company],$M$3,Table146[Date],$A208,Table146[Bill No.],$B208),""))))</f>
        <v/>
      </c>
      <c r="D208" s="346" t="str">
        <f>IF($A208="","",IF($J208="DIESEL",AVERAGEIFS(Table1[RSP],Table1[Customer],$M$3,Table1[Date],$A208,Table1[Bill No.],$B208),IF($J208="PETROL",AVERAGEIFS(Table14[RSP],Table14[Customer],$M$3,Table14[Date],$A208,Table14[Bill No.],$B208),IF($J208="XtraGreen",AVERAGEIFS(Table146[RSP],Table146[Company],$M$3,Table146[Date],$A208,Table146[Bill No.],$B208),IFERROR($E208/$C208,"")))))</f>
        <v/>
      </c>
      <c r="E208" s="347" t="str">
        <f>IF($A208="","",IF($J208="DIESEL",SUMIFS(Table1[Amount],Table1[Customer],$M$3,Table1[Date],$A208,Table1[Bill No.],$B208),IF($J208="PETROL",SUMIFS(Table14[Amount],Table14[Customer],$M$3,Table14[Date],$A208,Table14[Bill No.],$B208),IF($J208="XtraGreen",SUMIFS(Table146[Amount],Table146[Company],$M$3,Table146[Date],$A208,Table146[Bill No.],$B208),SUMIFS('Other Sale'!$D:$D,'Other Sale'!$E:$E,$M$3,'Other Sale'!$C:$C,$J208,'Other Sale'!$A:$A,$A208)))))</f>
        <v/>
      </c>
      <c r="F208" s="347" t="str" cm="1">
        <f t="array" ref="F208">IF($A208="","",IF($J208="Payment",IFERROR(INDEX(_xlfn._xlws.FILTER(MasterPaid[Amount Paid],(MasterPaid[Customer]=$M$3)*(MasterPaid[Date]=$A208)),COUNTIFS($A$6:$A208,$A208,$J$6:$J208,"Payment")),0),0))</f>
        <v/>
      </c>
      <c r="G208" s="331"/>
      <c r="H208" s="427"/>
      <c r="I208" s="330" t="str">
        <f t="shared" si="12"/>
        <v/>
      </c>
      <c r="J208" s="344" t="str" cm="1">
        <f t="array" ref="J208">IFERROR(INDEX(_xlfn.ANCHORARRAY($P$6),ROW()-5,3),"")</f>
        <v/>
      </c>
      <c r="K208" s="432" t="str" cm="1">
        <f t="array" ref="K208">IF(OR($A208="",$J208&lt;&gt;"DIESEL"),"",_xlfn.LET(_xlpm.qty,N($C208),_xlpm.pos,$T$5:$T$54,_xlpm.alo,IF($U$5:$U$54="",0,$U$5:$U$54),_xlpm.usd,SUMIFS($C$6:$C207,$K$6:$K207,_xlpm.pos&amp;""),_xlpm.bal,_xlpm.alo-_xlpm.usd,IFERROR(INDEX(_xlfn._xlws.FILTER(_xlpm.pos,(_xlpm.pos&lt;&gt;"")*(_xlpm.qty&gt;0)*(_xlpm.bal&gt;=_xlpm.qty)),1),"")))</f>
        <v/>
      </c>
      <c r="L208" s="348"/>
    </row>
    <row r="209" spans="1:12" ht="23" x14ac:dyDescent="0.25">
      <c r="A209" s="217" t="str" cm="1">
        <f t="array" ref="A209">IFERROR(INDEX(_xlfn.ANCHORARRAY($P$6),ROW()-5,1),"")</f>
        <v/>
      </c>
      <c r="B209" s="344" t="str" cm="1">
        <f t="array" ref="B209">IFERROR(INDEX(_xlfn.ANCHORARRAY($P$6),ROW()-5,2),"")</f>
        <v/>
      </c>
      <c r="C209" s="345" t="str">
        <f>IF($A209="","",IF($J209="DIESEL",SUMIFS(Table1[Quantity],Table1[Customer],$M$3,Table1[Date],$A209,Table1[Bill No.],$B209),IF($J209="PETROL",SUMIFS(Table14[Quantity],Table14[Customer],$M$3,Table14[Date],$A209,Table14[Bill No.],$B209),IF($J209="XtraGreen",SUMIFS(Table146[Quantity],Table146[Company],$M$3,Table146[Date],$A209,Table146[Bill No.],$B209),""))))</f>
        <v/>
      </c>
      <c r="D209" s="346" t="str">
        <f>IF($A209="","",IF($J209="DIESEL",AVERAGEIFS(Table1[RSP],Table1[Customer],$M$3,Table1[Date],$A209,Table1[Bill No.],$B209),IF($J209="PETROL",AVERAGEIFS(Table14[RSP],Table14[Customer],$M$3,Table14[Date],$A209,Table14[Bill No.],$B209),IF($J209="XtraGreen",AVERAGEIFS(Table146[RSP],Table146[Company],$M$3,Table146[Date],$A209,Table146[Bill No.],$B209),IFERROR($E209/$C209,"")))))</f>
        <v/>
      </c>
      <c r="E209" s="347" t="str">
        <f>IF($A209="","",IF($J209="DIESEL",SUMIFS(Table1[Amount],Table1[Customer],$M$3,Table1[Date],$A209,Table1[Bill No.],$B209),IF($J209="PETROL",SUMIFS(Table14[Amount],Table14[Customer],$M$3,Table14[Date],$A209,Table14[Bill No.],$B209),IF($J209="XtraGreen",SUMIFS(Table146[Amount],Table146[Company],$M$3,Table146[Date],$A209,Table146[Bill No.],$B209),SUMIFS('Other Sale'!$D:$D,'Other Sale'!$E:$E,$M$3,'Other Sale'!$C:$C,$J209,'Other Sale'!$A:$A,$A209)))))</f>
        <v/>
      </c>
      <c r="F209" s="347" t="str" cm="1">
        <f t="array" ref="F209">IF($A209="","",IF($J209="Payment",IFERROR(INDEX(_xlfn._xlws.FILTER(MasterPaid[Amount Paid],(MasterPaid[Customer]=$M$3)*(MasterPaid[Date]=$A209)),COUNTIFS($A$6:$A209,$A209,$J$6:$J209,"Payment")),0),0))</f>
        <v/>
      </c>
      <c r="G209" s="331"/>
      <c r="H209" s="427"/>
      <c r="I209" s="330" t="str">
        <f t="shared" si="12"/>
        <v/>
      </c>
      <c r="J209" s="344" t="str" cm="1">
        <f t="array" ref="J209">IFERROR(INDEX(_xlfn.ANCHORARRAY($P$6),ROW()-5,3),"")</f>
        <v/>
      </c>
      <c r="K209" s="432" t="str" cm="1">
        <f t="array" ref="K209">IF(OR($A209="",$J209&lt;&gt;"DIESEL"),"",_xlfn.LET(_xlpm.qty,N($C209),_xlpm.pos,$T$5:$T$54,_xlpm.alo,IF($U$5:$U$54="",0,$U$5:$U$54),_xlpm.usd,SUMIFS($C$6:$C208,$K$6:$K208,_xlpm.pos&amp;""),_xlpm.bal,_xlpm.alo-_xlpm.usd,IFERROR(INDEX(_xlfn._xlws.FILTER(_xlpm.pos,(_xlpm.pos&lt;&gt;"")*(_xlpm.qty&gt;0)*(_xlpm.bal&gt;=_xlpm.qty)),1),"")))</f>
        <v/>
      </c>
      <c r="L209" s="348"/>
    </row>
    <row r="210" spans="1:12" ht="23" x14ac:dyDescent="0.25">
      <c r="A210" s="217" t="str" cm="1">
        <f t="array" ref="A210">IFERROR(INDEX(_xlfn.ANCHORARRAY($P$6),ROW()-5,1),"")</f>
        <v/>
      </c>
      <c r="B210" s="344" t="str" cm="1">
        <f t="array" ref="B210">IFERROR(INDEX(_xlfn.ANCHORARRAY($P$6),ROW()-5,2),"")</f>
        <v/>
      </c>
      <c r="C210" s="345" t="str">
        <f>IF($A210="","",IF($J210="DIESEL",SUMIFS(Table1[Quantity],Table1[Customer],$M$3,Table1[Date],$A210,Table1[Bill No.],$B210),IF($J210="PETROL",SUMIFS(Table14[Quantity],Table14[Customer],$M$3,Table14[Date],$A210,Table14[Bill No.],$B210),IF($J210="XtraGreen",SUMIFS(Table146[Quantity],Table146[Company],$M$3,Table146[Date],$A210,Table146[Bill No.],$B210),""))))</f>
        <v/>
      </c>
      <c r="D210" s="346" t="str">
        <f>IF($A210="","",IF($J210="DIESEL",AVERAGEIFS(Table1[RSP],Table1[Customer],$M$3,Table1[Date],$A210,Table1[Bill No.],$B210),IF($J210="PETROL",AVERAGEIFS(Table14[RSP],Table14[Customer],$M$3,Table14[Date],$A210,Table14[Bill No.],$B210),IF($J210="XtraGreen",AVERAGEIFS(Table146[RSP],Table146[Company],$M$3,Table146[Date],$A210,Table146[Bill No.],$B210),IFERROR($E210/$C210,"")))))</f>
        <v/>
      </c>
      <c r="E210" s="347" t="str">
        <f>IF($A210="","",IF($J210="DIESEL",SUMIFS(Table1[Amount],Table1[Customer],$M$3,Table1[Date],$A210,Table1[Bill No.],$B210),IF($J210="PETROL",SUMIFS(Table14[Amount],Table14[Customer],$M$3,Table14[Date],$A210,Table14[Bill No.],$B210),IF($J210="XtraGreen",SUMIFS(Table146[Amount],Table146[Company],$M$3,Table146[Date],$A210,Table146[Bill No.],$B210),SUMIFS('Other Sale'!$D:$D,'Other Sale'!$E:$E,$M$3,'Other Sale'!$C:$C,$J210,'Other Sale'!$A:$A,$A210)))))</f>
        <v/>
      </c>
      <c r="F210" s="347" t="str" cm="1">
        <f t="array" ref="F210">IF($A210="","",IF($J210="Payment",IFERROR(INDEX(_xlfn._xlws.FILTER(MasterPaid[Amount Paid],(MasterPaid[Customer]=$M$3)*(MasterPaid[Date]=$A210)),COUNTIFS($A$6:$A210,$A210,$J$6:$J210,"Payment")),0),0))</f>
        <v/>
      </c>
      <c r="G210" s="331"/>
      <c r="H210" s="427"/>
      <c r="I210" s="330" t="str">
        <f t="shared" si="12"/>
        <v/>
      </c>
      <c r="J210" s="344" t="str" cm="1">
        <f t="array" ref="J210">IFERROR(INDEX(_xlfn.ANCHORARRAY($P$6),ROW()-5,3),"")</f>
        <v/>
      </c>
      <c r="K210" s="432" t="str" cm="1">
        <f t="array" ref="K210">IF(OR($A210="",$J210&lt;&gt;"DIESEL"),"",_xlfn.LET(_xlpm.qty,N($C210),_xlpm.pos,$T$5:$T$54,_xlpm.alo,IF($U$5:$U$54="",0,$U$5:$U$54),_xlpm.usd,SUMIFS($C$6:$C209,$K$6:$K209,_xlpm.pos&amp;""),_xlpm.bal,_xlpm.alo-_xlpm.usd,IFERROR(INDEX(_xlfn._xlws.FILTER(_xlpm.pos,(_xlpm.pos&lt;&gt;"")*(_xlpm.qty&gt;0)*(_xlpm.bal&gt;=_xlpm.qty)),1),"")))</f>
        <v/>
      </c>
      <c r="L210" s="348"/>
    </row>
    <row r="211" spans="1:12" ht="23" x14ac:dyDescent="0.25">
      <c r="A211" s="217" t="str" cm="1">
        <f t="array" ref="A211">IFERROR(INDEX(_xlfn.ANCHORARRAY($P$6),ROW()-5,1),"")</f>
        <v/>
      </c>
      <c r="B211" s="344" t="str" cm="1">
        <f t="array" ref="B211">IFERROR(INDEX(_xlfn.ANCHORARRAY($P$6),ROW()-5,2),"")</f>
        <v/>
      </c>
      <c r="C211" s="345" t="str">
        <f>IF($A211="","",IF($J211="DIESEL",SUMIFS(Table1[Quantity],Table1[Customer],$M$3,Table1[Date],$A211,Table1[Bill No.],$B211),IF($J211="PETROL",SUMIFS(Table14[Quantity],Table14[Customer],$M$3,Table14[Date],$A211,Table14[Bill No.],$B211),IF($J211="XtraGreen",SUMIFS(Table146[Quantity],Table146[Company],$M$3,Table146[Date],$A211,Table146[Bill No.],$B211),""))))</f>
        <v/>
      </c>
      <c r="D211" s="346" t="str">
        <f>IF($A211="","",IF($J211="DIESEL",AVERAGEIFS(Table1[RSP],Table1[Customer],$M$3,Table1[Date],$A211,Table1[Bill No.],$B211),IF($J211="PETROL",AVERAGEIFS(Table14[RSP],Table14[Customer],$M$3,Table14[Date],$A211,Table14[Bill No.],$B211),IF($J211="XtraGreen",AVERAGEIFS(Table146[RSP],Table146[Company],$M$3,Table146[Date],$A211,Table146[Bill No.],$B211),IFERROR($E211/$C211,"")))))</f>
        <v/>
      </c>
      <c r="E211" s="347" t="str">
        <f>IF($A211="","",IF($J211="DIESEL",SUMIFS(Table1[Amount],Table1[Customer],$M$3,Table1[Date],$A211,Table1[Bill No.],$B211),IF($J211="PETROL",SUMIFS(Table14[Amount],Table14[Customer],$M$3,Table14[Date],$A211,Table14[Bill No.],$B211),IF($J211="XtraGreen",SUMIFS(Table146[Amount],Table146[Company],$M$3,Table146[Date],$A211,Table146[Bill No.],$B211),SUMIFS('Other Sale'!$D:$D,'Other Sale'!$E:$E,$M$3,'Other Sale'!$C:$C,$J211,'Other Sale'!$A:$A,$A211)))))</f>
        <v/>
      </c>
      <c r="F211" s="347" t="str" cm="1">
        <f t="array" ref="F211">IF($A211="","",IF($J211="Payment",IFERROR(INDEX(_xlfn._xlws.FILTER(MasterPaid[Amount Paid],(MasterPaid[Customer]=$M$3)*(MasterPaid[Date]=$A211)),COUNTIFS($A$6:$A211,$A211,$J$6:$J211,"Payment")),0),0))</f>
        <v/>
      </c>
      <c r="G211" s="331"/>
      <c r="H211" s="427"/>
      <c r="I211" s="330" t="str">
        <f t="shared" si="12"/>
        <v/>
      </c>
      <c r="J211" s="344" t="str" cm="1">
        <f t="array" ref="J211">IFERROR(INDEX(_xlfn.ANCHORARRAY($P$6),ROW()-5,3),"")</f>
        <v/>
      </c>
      <c r="K211" s="432" t="str" cm="1">
        <f t="array" ref="K211">IF(OR($A211="",$J211&lt;&gt;"DIESEL"),"",_xlfn.LET(_xlpm.qty,N($C211),_xlpm.pos,$T$5:$T$54,_xlpm.alo,IF($U$5:$U$54="",0,$U$5:$U$54),_xlpm.usd,SUMIFS($C$6:$C210,$K$6:$K210,_xlpm.pos&amp;""),_xlpm.bal,_xlpm.alo-_xlpm.usd,IFERROR(INDEX(_xlfn._xlws.FILTER(_xlpm.pos,(_xlpm.pos&lt;&gt;"")*(_xlpm.qty&gt;0)*(_xlpm.bal&gt;=_xlpm.qty)),1),"")))</f>
        <v/>
      </c>
      <c r="L211" s="348"/>
    </row>
    <row r="212" spans="1:12" ht="23" x14ac:dyDescent="0.25">
      <c r="A212" s="217" t="str" cm="1">
        <f t="array" ref="A212">IFERROR(INDEX(_xlfn.ANCHORARRAY($P$6),ROW()-5,1),"")</f>
        <v/>
      </c>
      <c r="B212" s="344" t="str" cm="1">
        <f t="array" ref="B212">IFERROR(INDEX(_xlfn.ANCHORARRAY($P$6),ROW()-5,2),"")</f>
        <v/>
      </c>
      <c r="C212" s="345" t="str">
        <f>IF($A212="","",IF($J212="DIESEL",SUMIFS(Table1[Quantity],Table1[Customer],$M$3,Table1[Date],$A212,Table1[Bill No.],$B212),IF($J212="PETROL",SUMIFS(Table14[Quantity],Table14[Customer],$M$3,Table14[Date],$A212,Table14[Bill No.],$B212),IF($J212="XtraGreen",SUMIFS(Table146[Quantity],Table146[Company],$M$3,Table146[Date],$A212,Table146[Bill No.],$B212),""))))</f>
        <v/>
      </c>
      <c r="D212" s="346" t="str">
        <f>IF($A212="","",IF($J212="DIESEL",AVERAGEIFS(Table1[RSP],Table1[Customer],$M$3,Table1[Date],$A212,Table1[Bill No.],$B212),IF($J212="PETROL",AVERAGEIFS(Table14[RSP],Table14[Customer],$M$3,Table14[Date],$A212,Table14[Bill No.],$B212),IF($J212="XtraGreen",AVERAGEIFS(Table146[RSP],Table146[Company],$M$3,Table146[Date],$A212,Table146[Bill No.],$B212),IFERROR($E212/$C212,"")))))</f>
        <v/>
      </c>
      <c r="E212" s="347" t="str">
        <f>IF($A212="","",IF($J212="DIESEL",SUMIFS(Table1[Amount],Table1[Customer],$M$3,Table1[Date],$A212,Table1[Bill No.],$B212),IF($J212="PETROL",SUMIFS(Table14[Amount],Table14[Customer],$M$3,Table14[Date],$A212,Table14[Bill No.],$B212),IF($J212="XtraGreen",SUMIFS(Table146[Amount],Table146[Company],$M$3,Table146[Date],$A212,Table146[Bill No.],$B212),SUMIFS('Other Sale'!$D:$D,'Other Sale'!$E:$E,$M$3,'Other Sale'!$C:$C,$J212,'Other Sale'!$A:$A,$A212)))))</f>
        <v/>
      </c>
      <c r="F212" s="347" t="str" cm="1">
        <f t="array" ref="F212">IF($A212="","",IF($J212="Payment",IFERROR(INDEX(_xlfn._xlws.FILTER(MasterPaid[Amount Paid],(MasterPaid[Customer]=$M$3)*(MasterPaid[Date]=$A212)),COUNTIFS($A$6:$A212,$A212,$J$6:$J212,"Payment")),0),0))</f>
        <v/>
      </c>
      <c r="G212" s="331"/>
      <c r="H212" s="427"/>
      <c r="I212" s="330" t="str">
        <f t="shared" si="12"/>
        <v/>
      </c>
      <c r="J212" s="344" t="str" cm="1">
        <f t="array" ref="J212">IFERROR(INDEX(_xlfn.ANCHORARRAY($P$6),ROW()-5,3),"")</f>
        <v/>
      </c>
      <c r="K212" s="432" t="str" cm="1">
        <f t="array" ref="K212">IF(OR($A212="",$J212&lt;&gt;"DIESEL"),"",_xlfn.LET(_xlpm.qty,N($C212),_xlpm.pos,$T$5:$T$54,_xlpm.alo,IF($U$5:$U$54="",0,$U$5:$U$54),_xlpm.usd,SUMIFS($C$6:$C211,$K$6:$K211,_xlpm.pos&amp;""),_xlpm.bal,_xlpm.alo-_xlpm.usd,IFERROR(INDEX(_xlfn._xlws.FILTER(_xlpm.pos,(_xlpm.pos&lt;&gt;"")*(_xlpm.qty&gt;0)*(_xlpm.bal&gt;=_xlpm.qty)),1),"")))</f>
        <v/>
      </c>
      <c r="L212" s="348"/>
    </row>
    <row r="213" spans="1:12" ht="23" x14ac:dyDescent="0.25">
      <c r="A213" s="217" t="str" cm="1">
        <f t="array" ref="A213">IFERROR(INDEX(_xlfn.ANCHORARRAY($P$6),ROW()-5,1),"")</f>
        <v/>
      </c>
      <c r="B213" s="344" t="str" cm="1">
        <f t="array" ref="B213">IFERROR(INDEX(_xlfn.ANCHORARRAY($P$6),ROW()-5,2),"")</f>
        <v/>
      </c>
      <c r="C213" s="345" t="str">
        <f>IF($A213="","",IF($J213="DIESEL",SUMIFS(Table1[Quantity],Table1[Customer],$M$3,Table1[Date],$A213,Table1[Bill No.],$B213),IF($J213="PETROL",SUMIFS(Table14[Quantity],Table14[Customer],$M$3,Table14[Date],$A213,Table14[Bill No.],$B213),IF($J213="XtraGreen",SUMIFS(Table146[Quantity],Table146[Company],$M$3,Table146[Date],$A213,Table146[Bill No.],$B213),""))))</f>
        <v/>
      </c>
      <c r="D213" s="346" t="str">
        <f>IF($A213="","",IF($J213="DIESEL",AVERAGEIFS(Table1[RSP],Table1[Customer],$M$3,Table1[Date],$A213,Table1[Bill No.],$B213),IF($J213="PETROL",AVERAGEIFS(Table14[RSP],Table14[Customer],$M$3,Table14[Date],$A213,Table14[Bill No.],$B213),IF($J213="XtraGreen",AVERAGEIFS(Table146[RSP],Table146[Company],$M$3,Table146[Date],$A213,Table146[Bill No.],$B213),IFERROR($E213/$C213,"")))))</f>
        <v/>
      </c>
      <c r="E213" s="347" t="str">
        <f>IF($A213="","",IF($J213="DIESEL",SUMIFS(Table1[Amount],Table1[Customer],$M$3,Table1[Date],$A213,Table1[Bill No.],$B213),IF($J213="PETROL",SUMIFS(Table14[Amount],Table14[Customer],$M$3,Table14[Date],$A213,Table14[Bill No.],$B213),IF($J213="XtraGreen",SUMIFS(Table146[Amount],Table146[Company],$M$3,Table146[Date],$A213,Table146[Bill No.],$B213),SUMIFS('Other Sale'!$D:$D,'Other Sale'!$E:$E,$M$3,'Other Sale'!$C:$C,$J213,'Other Sale'!$A:$A,$A213)))))</f>
        <v/>
      </c>
      <c r="F213" s="347" t="str" cm="1">
        <f t="array" ref="F213">IF($A213="","",IF($J213="Payment",IFERROR(INDEX(_xlfn._xlws.FILTER(MasterPaid[Amount Paid],(MasterPaid[Customer]=$M$3)*(MasterPaid[Date]=$A213)),COUNTIFS($A$6:$A213,$A213,$J$6:$J213,"Payment")),0),0))</f>
        <v/>
      </c>
      <c r="G213" s="331"/>
      <c r="H213" s="427"/>
      <c r="I213" s="330" t="str">
        <f t="shared" si="12"/>
        <v/>
      </c>
      <c r="J213" s="344" t="str" cm="1">
        <f t="array" ref="J213">IFERROR(INDEX(_xlfn.ANCHORARRAY($P$6),ROW()-5,3),"")</f>
        <v/>
      </c>
      <c r="K213" s="432" t="str" cm="1">
        <f t="array" ref="K213">IF(OR($A213="",$J213&lt;&gt;"DIESEL"),"",_xlfn.LET(_xlpm.qty,N($C213),_xlpm.pos,$T$5:$T$54,_xlpm.alo,IF($U$5:$U$54="",0,$U$5:$U$54),_xlpm.usd,SUMIFS($C$6:$C212,$K$6:$K212,_xlpm.pos&amp;""),_xlpm.bal,_xlpm.alo-_xlpm.usd,IFERROR(INDEX(_xlfn._xlws.FILTER(_xlpm.pos,(_xlpm.pos&lt;&gt;"")*(_xlpm.qty&gt;0)*(_xlpm.bal&gt;=_xlpm.qty)),1),"")))</f>
        <v/>
      </c>
      <c r="L213" s="348"/>
    </row>
    <row r="214" spans="1:12" ht="23" x14ac:dyDescent="0.25">
      <c r="A214" s="217" t="str" cm="1">
        <f t="array" ref="A214">IFERROR(INDEX(_xlfn.ANCHORARRAY($P$6),ROW()-5,1),"")</f>
        <v/>
      </c>
      <c r="B214" s="344" t="str" cm="1">
        <f t="array" ref="B214">IFERROR(INDEX(_xlfn.ANCHORARRAY($P$6),ROW()-5,2),"")</f>
        <v/>
      </c>
      <c r="C214" s="345" t="str">
        <f>IF($A214="","",IF($J214="DIESEL",SUMIFS(Table1[Quantity],Table1[Customer],$M$3,Table1[Date],$A214,Table1[Bill No.],$B214),IF($J214="PETROL",SUMIFS(Table14[Quantity],Table14[Customer],$M$3,Table14[Date],$A214,Table14[Bill No.],$B214),IF($J214="XtraGreen",SUMIFS(Table146[Quantity],Table146[Company],$M$3,Table146[Date],$A214,Table146[Bill No.],$B214),""))))</f>
        <v/>
      </c>
      <c r="D214" s="346" t="str">
        <f>IF($A214="","",IF($J214="DIESEL",AVERAGEIFS(Table1[RSP],Table1[Customer],$M$3,Table1[Date],$A214,Table1[Bill No.],$B214),IF($J214="PETROL",AVERAGEIFS(Table14[RSP],Table14[Customer],$M$3,Table14[Date],$A214,Table14[Bill No.],$B214),IF($J214="XtraGreen",AVERAGEIFS(Table146[RSP],Table146[Company],$M$3,Table146[Date],$A214,Table146[Bill No.],$B214),IFERROR($E214/$C214,"")))))</f>
        <v/>
      </c>
      <c r="E214" s="347" t="str">
        <f>IF($A214="","",IF($J214="DIESEL",SUMIFS(Table1[Amount],Table1[Customer],$M$3,Table1[Date],$A214,Table1[Bill No.],$B214),IF($J214="PETROL",SUMIFS(Table14[Amount],Table14[Customer],$M$3,Table14[Date],$A214,Table14[Bill No.],$B214),IF($J214="XtraGreen",SUMIFS(Table146[Amount],Table146[Company],$M$3,Table146[Date],$A214,Table146[Bill No.],$B214),SUMIFS('Other Sale'!$D:$D,'Other Sale'!$E:$E,$M$3,'Other Sale'!$C:$C,$J214,'Other Sale'!$A:$A,$A214)))))</f>
        <v/>
      </c>
      <c r="F214" s="347" t="str" cm="1">
        <f t="array" ref="F214">IF($A214="","",IF($J214="Payment",IFERROR(INDEX(_xlfn._xlws.FILTER(MasterPaid[Amount Paid],(MasterPaid[Customer]=$M$3)*(MasterPaid[Date]=$A214)),COUNTIFS($A$6:$A214,$A214,$J$6:$J214,"Payment")),0),0))</f>
        <v/>
      </c>
      <c r="G214" s="331"/>
      <c r="H214" s="427"/>
      <c r="I214" s="330" t="str">
        <f t="shared" ref="I214:I277" si="13">IF($A214="","",I213+N(E214)-N(F214)-N(G214)-N(H214))</f>
        <v/>
      </c>
      <c r="J214" s="344" t="str" cm="1">
        <f t="array" ref="J214">IFERROR(INDEX(_xlfn.ANCHORARRAY($P$6),ROW()-5,3),"")</f>
        <v/>
      </c>
      <c r="K214" s="432" t="str" cm="1">
        <f t="array" ref="K214">IF(OR($A214="",$J214&lt;&gt;"DIESEL"),"",_xlfn.LET(_xlpm.qty,N($C214),_xlpm.pos,$T$5:$T$54,_xlpm.alo,IF($U$5:$U$54="",0,$U$5:$U$54),_xlpm.usd,SUMIFS($C$6:$C213,$K$6:$K213,_xlpm.pos&amp;""),_xlpm.bal,_xlpm.alo-_xlpm.usd,IFERROR(INDEX(_xlfn._xlws.FILTER(_xlpm.pos,(_xlpm.pos&lt;&gt;"")*(_xlpm.qty&gt;0)*(_xlpm.bal&gt;=_xlpm.qty)),1),"")))</f>
        <v/>
      </c>
      <c r="L214" s="348"/>
    </row>
    <row r="215" spans="1:12" ht="23" x14ac:dyDescent="0.25">
      <c r="A215" s="217" t="str" cm="1">
        <f t="array" ref="A215">IFERROR(INDEX(_xlfn.ANCHORARRAY($P$6),ROW()-5,1),"")</f>
        <v/>
      </c>
      <c r="B215" s="344" t="str" cm="1">
        <f t="array" ref="B215">IFERROR(INDEX(_xlfn.ANCHORARRAY($P$6),ROW()-5,2),"")</f>
        <v/>
      </c>
      <c r="C215" s="345" t="str">
        <f>IF($A215="","",IF($J215="DIESEL",SUMIFS(Table1[Quantity],Table1[Customer],$M$3,Table1[Date],$A215,Table1[Bill No.],$B215),IF($J215="PETROL",SUMIFS(Table14[Quantity],Table14[Customer],$M$3,Table14[Date],$A215,Table14[Bill No.],$B215),IF($J215="XtraGreen",SUMIFS(Table146[Quantity],Table146[Company],$M$3,Table146[Date],$A215,Table146[Bill No.],$B215),""))))</f>
        <v/>
      </c>
      <c r="D215" s="346" t="str">
        <f>IF($A215="","",IF($J215="DIESEL",AVERAGEIFS(Table1[RSP],Table1[Customer],$M$3,Table1[Date],$A215,Table1[Bill No.],$B215),IF($J215="PETROL",AVERAGEIFS(Table14[RSP],Table14[Customer],$M$3,Table14[Date],$A215,Table14[Bill No.],$B215),IF($J215="XtraGreen",AVERAGEIFS(Table146[RSP],Table146[Company],$M$3,Table146[Date],$A215,Table146[Bill No.],$B215),IFERROR($E215/$C215,"")))))</f>
        <v/>
      </c>
      <c r="E215" s="347" t="str">
        <f>IF($A215="","",IF($J215="DIESEL",SUMIFS(Table1[Amount],Table1[Customer],$M$3,Table1[Date],$A215,Table1[Bill No.],$B215),IF($J215="PETROL",SUMIFS(Table14[Amount],Table14[Customer],$M$3,Table14[Date],$A215,Table14[Bill No.],$B215),IF($J215="XtraGreen",SUMIFS(Table146[Amount],Table146[Company],$M$3,Table146[Date],$A215,Table146[Bill No.],$B215),SUMIFS('Other Sale'!$D:$D,'Other Sale'!$E:$E,$M$3,'Other Sale'!$C:$C,$J215,'Other Sale'!$A:$A,$A215)))))</f>
        <v/>
      </c>
      <c r="F215" s="347" t="str" cm="1">
        <f t="array" ref="F215">IF($A215="","",IF($J215="Payment",IFERROR(INDEX(_xlfn._xlws.FILTER(MasterPaid[Amount Paid],(MasterPaid[Customer]=$M$3)*(MasterPaid[Date]=$A215)),COUNTIFS($A$6:$A215,$A215,$J$6:$J215,"Payment")),0),0))</f>
        <v/>
      </c>
      <c r="G215" s="331"/>
      <c r="H215" s="427"/>
      <c r="I215" s="330" t="str">
        <f t="shared" si="13"/>
        <v/>
      </c>
      <c r="J215" s="344" t="str" cm="1">
        <f t="array" ref="J215">IFERROR(INDEX(_xlfn.ANCHORARRAY($P$6),ROW()-5,3),"")</f>
        <v/>
      </c>
      <c r="K215" s="432" t="str" cm="1">
        <f t="array" ref="K215">IF(OR($A215="",$J215&lt;&gt;"DIESEL"),"",_xlfn.LET(_xlpm.qty,N($C215),_xlpm.pos,$T$5:$T$54,_xlpm.alo,IF($U$5:$U$54="",0,$U$5:$U$54),_xlpm.usd,SUMIFS($C$6:$C214,$K$6:$K214,_xlpm.pos&amp;""),_xlpm.bal,_xlpm.alo-_xlpm.usd,IFERROR(INDEX(_xlfn._xlws.FILTER(_xlpm.pos,(_xlpm.pos&lt;&gt;"")*(_xlpm.qty&gt;0)*(_xlpm.bal&gt;=_xlpm.qty)),1),"")))</f>
        <v/>
      </c>
      <c r="L215" s="348"/>
    </row>
    <row r="216" spans="1:12" ht="23" x14ac:dyDescent="0.25">
      <c r="A216" s="217" t="str" cm="1">
        <f t="array" ref="A216">IFERROR(INDEX(_xlfn.ANCHORARRAY($P$6),ROW()-5,1),"")</f>
        <v/>
      </c>
      <c r="B216" s="344" t="str" cm="1">
        <f t="array" ref="B216">IFERROR(INDEX(_xlfn.ANCHORARRAY($P$6),ROW()-5,2),"")</f>
        <v/>
      </c>
      <c r="C216" s="345" t="str">
        <f>IF($A216="","",IF($J216="DIESEL",SUMIFS(Table1[Quantity],Table1[Customer],$M$3,Table1[Date],$A216,Table1[Bill No.],$B216),IF($J216="PETROL",SUMIFS(Table14[Quantity],Table14[Customer],$M$3,Table14[Date],$A216,Table14[Bill No.],$B216),IF($J216="XtraGreen",SUMIFS(Table146[Quantity],Table146[Company],$M$3,Table146[Date],$A216,Table146[Bill No.],$B216),""))))</f>
        <v/>
      </c>
      <c r="D216" s="346" t="str">
        <f>IF($A216="","",IF($J216="DIESEL",AVERAGEIFS(Table1[RSP],Table1[Customer],$M$3,Table1[Date],$A216,Table1[Bill No.],$B216),IF($J216="PETROL",AVERAGEIFS(Table14[RSP],Table14[Customer],$M$3,Table14[Date],$A216,Table14[Bill No.],$B216),IF($J216="XtraGreen",AVERAGEIFS(Table146[RSP],Table146[Company],$M$3,Table146[Date],$A216,Table146[Bill No.],$B216),IFERROR($E216/$C216,"")))))</f>
        <v/>
      </c>
      <c r="E216" s="347" t="str">
        <f>IF($A216="","",IF($J216="DIESEL",SUMIFS(Table1[Amount],Table1[Customer],$M$3,Table1[Date],$A216,Table1[Bill No.],$B216),IF($J216="PETROL",SUMIFS(Table14[Amount],Table14[Customer],$M$3,Table14[Date],$A216,Table14[Bill No.],$B216),IF($J216="XtraGreen",SUMIFS(Table146[Amount],Table146[Company],$M$3,Table146[Date],$A216,Table146[Bill No.],$B216),SUMIFS('Other Sale'!$D:$D,'Other Sale'!$E:$E,$M$3,'Other Sale'!$C:$C,$J216,'Other Sale'!$A:$A,$A216)))))</f>
        <v/>
      </c>
      <c r="F216" s="347" t="str" cm="1">
        <f t="array" ref="F216">IF($A216="","",IF($J216="Payment",IFERROR(INDEX(_xlfn._xlws.FILTER(MasterPaid[Amount Paid],(MasterPaid[Customer]=$M$3)*(MasterPaid[Date]=$A216)),COUNTIFS($A$6:$A216,$A216,$J$6:$J216,"Payment")),0),0))</f>
        <v/>
      </c>
      <c r="G216" s="331"/>
      <c r="H216" s="427"/>
      <c r="I216" s="330" t="str">
        <f t="shared" si="13"/>
        <v/>
      </c>
      <c r="J216" s="344" t="str" cm="1">
        <f t="array" ref="J216">IFERROR(INDEX(_xlfn.ANCHORARRAY($P$6),ROW()-5,3),"")</f>
        <v/>
      </c>
      <c r="K216" s="432" t="str" cm="1">
        <f t="array" ref="K216">IF(OR($A216="",$J216&lt;&gt;"DIESEL"),"",_xlfn.LET(_xlpm.qty,N($C216),_xlpm.pos,$T$5:$T$54,_xlpm.alo,IF($U$5:$U$54="",0,$U$5:$U$54),_xlpm.usd,SUMIFS($C$6:$C215,$K$6:$K215,_xlpm.pos&amp;""),_xlpm.bal,_xlpm.alo-_xlpm.usd,IFERROR(INDEX(_xlfn._xlws.FILTER(_xlpm.pos,(_xlpm.pos&lt;&gt;"")*(_xlpm.qty&gt;0)*(_xlpm.bal&gt;=_xlpm.qty)),1),"")))</f>
        <v/>
      </c>
      <c r="L216" s="348"/>
    </row>
    <row r="217" spans="1:12" ht="23" x14ac:dyDescent="0.25">
      <c r="A217" s="217" t="str" cm="1">
        <f t="array" ref="A217">IFERROR(INDEX(_xlfn.ANCHORARRAY($P$6),ROW()-5,1),"")</f>
        <v/>
      </c>
      <c r="B217" s="344" t="str" cm="1">
        <f t="array" ref="B217">IFERROR(INDEX(_xlfn.ANCHORARRAY($P$6),ROW()-5,2),"")</f>
        <v/>
      </c>
      <c r="C217" s="345" t="str">
        <f>IF($A217="","",IF($J217="DIESEL",SUMIFS(Table1[Quantity],Table1[Customer],$M$3,Table1[Date],$A217,Table1[Bill No.],$B217),IF($J217="PETROL",SUMIFS(Table14[Quantity],Table14[Customer],$M$3,Table14[Date],$A217,Table14[Bill No.],$B217),IF($J217="XtraGreen",SUMIFS(Table146[Quantity],Table146[Company],$M$3,Table146[Date],$A217,Table146[Bill No.],$B217),""))))</f>
        <v/>
      </c>
      <c r="D217" s="346" t="str">
        <f>IF($A217="","",IF($J217="DIESEL",AVERAGEIFS(Table1[RSP],Table1[Customer],$M$3,Table1[Date],$A217,Table1[Bill No.],$B217),IF($J217="PETROL",AVERAGEIFS(Table14[RSP],Table14[Customer],$M$3,Table14[Date],$A217,Table14[Bill No.],$B217),IF($J217="XtraGreen",AVERAGEIFS(Table146[RSP],Table146[Company],$M$3,Table146[Date],$A217,Table146[Bill No.],$B217),IFERROR($E217/$C217,"")))))</f>
        <v/>
      </c>
      <c r="E217" s="347" t="str">
        <f>IF($A217="","",IF($J217="DIESEL",SUMIFS(Table1[Amount],Table1[Customer],$M$3,Table1[Date],$A217,Table1[Bill No.],$B217),IF($J217="PETROL",SUMIFS(Table14[Amount],Table14[Customer],$M$3,Table14[Date],$A217,Table14[Bill No.],$B217),IF($J217="XtraGreen",SUMIFS(Table146[Amount],Table146[Company],$M$3,Table146[Date],$A217,Table146[Bill No.],$B217),SUMIFS('Other Sale'!$D:$D,'Other Sale'!$E:$E,$M$3,'Other Sale'!$C:$C,$J217,'Other Sale'!$A:$A,$A217)))))</f>
        <v/>
      </c>
      <c r="F217" s="347" t="str" cm="1">
        <f t="array" ref="F217">IF($A217="","",IF($J217="Payment",IFERROR(INDEX(_xlfn._xlws.FILTER(MasterPaid[Amount Paid],(MasterPaid[Customer]=$M$3)*(MasterPaid[Date]=$A217)),COUNTIFS($A$6:$A217,$A217,$J$6:$J217,"Payment")),0),0))</f>
        <v/>
      </c>
      <c r="G217" s="331"/>
      <c r="H217" s="427"/>
      <c r="I217" s="330" t="str">
        <f t="shared" si="13"/>
        <v/>
      </c>
      <c r="J217" s="344" t="str" cm="1">
        <f t="array" ref="J217">IFERROR(INDEX(_xlfn.ANCHORARRAY($P$6),ROW()-5,3),"")</f>
        <v/>
      </c>
      <c r="K217" s="432" t="str" cm="1">
        <f t="array" ref="K217">IF(OR($A217="",$J217&lt;&gt;"DIESEL"),"",_xlfn.LET(_xlpm.qty,N($C217),_xlpm.pos,$T$5:$T$54,_xlpm.alo,IF($U$5:$U$54="",0,$U$5:$U$54),_xlpm.usd,SUMIFS($C$6:$C216,$K$6:$K216,_xlpm.pos&amp;""),_xlpm.bal,_xlpm.alo-_xlpm.usd,IFERROR(INDEX(_xlfn._xlws.FILTER(_xlpm.pos,(_xlpm.pos&lt;&gt;"")*(_xlpm.qty&gt;0)*(_xlpm.bal&gt;=_xlpm.qty)),1),"")))</f>
        <v/>
      </c>
      <c r="L217" s="348"/>
    </row>
    <row r="218" spans="1:12" ht="23" x14ac:dyDescent="0.25">
      <c r="A218" s="217" t="str" cm="1">
        <f t="array" ref="A218">IFERROR(INDEX(_xlfn.ANCHORARRAY($P$6),ROW()-5,1),"")</f>
        <v/>
      </c>
      <c r="B218" s="344" t="str" cm="1">
        <f t="array" ref="B218">IFERROR(INDEX(_xlfn.ANCHORARRAY($P$6),ROW()-5,2),"")</f>
        <v/>
      </c>
      <c r="C218" s="345" t="str">
        <f>IF($A218="","",IF($J218="DIESEL",SUMIFS(Table1[Quantity],Table1[Customer],$M$3,Table1[Date],$A218,Table1[Bill No.],$B218),IF($J218="PETROL",SUMIFS(Table14[Quantity],Table14[Customer],$M$3,Table14[Date],$A218,Table14[Bill No.],$B218),IF($J218="XtraGreen",SUMIFS(Table146[Quantity],Table146[Company],$M$3,Table146[Date],$A218,Table146[Bill No.],$B218),""))))</f>
        <v/>
      </c>
      <c r="D218" s="346" t="str">
        <f>IF($A218="","",IF($J218="DIESEL",AVERAGEIFS(Table1[RSP],Table1[Customer],$M$3,Table1[Date],$A218,Table1[Bill No.],$B218),IF($J218="PETROL",AVERAGEIFS(Table14[RSP],Table14[Customer],$M$3,Table14[Date],$A218,Table14[Bill No.],$B218),IF($J218="XtraGreen",AVERAGEIFS(Table146[RSP],Table146[Company],$M$3,Table146[Date],$A218,Table146[Bill No.],$B218),IFERROR($E218/$C218,"")))))</f>
        <v/>
      </c>
      <c r="E218" s="347" t="str">
        <f>IF($A218="","",IF($J218="DIESEL",SUMIFS(Table1[Amount],Table1[Customer],$M$3,Table1[Date],$A218,Table1[Bill No.],$B218),IF($J218="PETROL",SUMIFS(Table14[Amount],Table14[Customer],$M$3,Table14[Date],$A218,Table14[Bill No.],$B218),IF($J218="XtraGreen",SUMIFS(Table146[Amount],Table146[Company],$M$3,Table146[Date],$A218,Table146[Bill No.],$B218),SUMIFS('Other Sale'!$D:$D,'Other Sale'!$E:$E,$M$3,'Other Sale'!$C:$C,$J218,'Other Sale'!$A:$A,$A218)))))</f>
        <v/>
      </c>
      <c r="F218" s="347" t="str" cm="1">
        <f t="array" ref="F218">IF($A218="","",IF($J218="Payment",IFERROR(INDEX(_xlfn._xlws.FILTER(MasterPaid[Amount Paid],(MasterPaid[Customer]=$M$3)*(MasterPaid[Date]=$A218)),COUNTIFS($A$6:$A218,$A218,$J$6:$J218,"Payment")),0),0))</f>
        <v/>
      </c>
      <c r="G218" s="331"/>
      <c r="H218" s="427"/>
      <c r="I218" s="330" t="str">
        <f t="shared" si="13"/>
        <v/>
      </c>
      <c r="J218" s="344" t="str" cm="1">
        <f t="array" ref="J218">IFERROR(INDEX(_xlfn.ANCHORARRAY($P$6),ROW()-5,3),"")</f>
        <v/>
      </c>
      <c r="K218" s="432" t="str" cm="1">
        <f t="array" ref="K218">IF(OR($A218="",$J218&lt;&gt;"DIESEL"),"",_xlfn.LET(_xlpm.qty,N($C218),_xlpm.pos,$T$5:$T$54,_xlpm.alo,IF($U$5:$U$54="",0,$U$5:$U$54),_xlpm.usd,SUMIFS($C$6:$C217,$K$6:$K217,_xlpm.pos&amp;""),_xlpm.bal,_xlpm.alo-_xlpm.usd,IFERROR(INDEX(_xlfn._xlws.FILTER(_xlpm.pos,(_xlpm.pos&lt;&gt;"")*(_xlpm.qty&gt;0)*(_xlpm.bal&gt;=_xlpm.qty)),1),"")))</f>
        <v/>
      </c>
      <c r="L218" s="348"/>
    </row>
    <row r="219" spans="1:12" ht="23" x14ac:dyDescent="0.25">
      <c r="A219" s="217" t="str" cm="1">
        <f t="array" ref="A219">IFERROR(INDEX(_xlfn.ANCHORARRAY($P$6),ROW()-5,1),"")</f>
        <v/>
      </c>
      <c r="B219" s="344" t="str" cm="1">
        <f t="array" ref="B219">IFERROR(INDEX(_xlfn.ANCHORARRAY($P$6),ROW()-5,2),"")</f>
        <v/>
      </c>
      <c r="C219" s="345" t="str">
        <f>IF($A219="","",IF($J219="DIESEL",SUMIFS(Table1[Quantity],Table1[Customer],$M$3,Table1[Date],$A219,Table1[Bill No.],$B219),IF($J219="PETROL",SUMIFS(Table14[Quantity],Table14[Customer],$M$3,Table14[Date],$A219,Table14[Bill No.],$B219),IF($J219="XtraGreen",SUMIFS(Table146[Quantity],Table146[Company],$M$3,Table146[Date],$A219,Table146[Bill No.],$B219),""))))</f>
        <v/>
      </c>
      <c r="D219" s="346" t="str">
        <f>IF($A219="","",IF($J219="DIESEL",AVERAGEIFS(Table1[RSP],Table1[Customer],$M$3,Table1[Date],$A219,Table1[Bill No.],$B219),IF($J219="PETROL",AVERAGEIFS(Table14[RSP],Table14[Customer],$M$3,Table14[Date],$A219,Table14[Bill No.],$B219),IF($J219="XtraGreen",AVERAGEIFS(Table146[RSP],Table146[Company],$M$3,Table146[Date],$A219,Table146[Bill No.],$B219),IFERROR($E219/$C219,"")))))</f>
        <v/>
      </c>
      <c r="E219" s="347" t="str">
        <f>IF($A219="","",IF($J219="DIESEL",SUMIFS(Table1[Amount],Table1[Customer],$M$3,Table1[Date],$A219,Table1[Bill No.],$B219),IF($J219="PETROL",SUMIFS(Table14[Amount],Table14[Customer],$M$3,Table14[Date],$A219,Table14[Bill No.],$B219),IF($J219="XtraGreen",SUMIFS(Table146[Amount],Table146[Company],$M$3,Table146[Date],$A219,Table146[Bill No.],$B219),SUMIFS('Other Sale'!$D:$D,'Other Sale'!$E:$E,$M$3,'Other Sale'!$C:$C,$J219,'Other Sale'!$A:$A,$A219)))))</f>
        <v/>
      </c>
      <c r="F219" s="347" t="str" cm="1">
        <f t="array" ref="F219">IF($A219="","",IF($J219="Payment",IFERROR(INDEX(_xlfn._xlws.FILTER(MasterPaid[Amount Paid],(MasterPaid[Customer]=$M$3)*(MasterPaid[Date]=$A219)),COUNTIFS($A$6:$A219,$A219,$J$6:$J219,"Payment")),0),0))</f>
        <v/>
      </c>
      <c r="G219" s="331"/>
      <c r="H219" s="427"/>
      <c r="I219" s="330" t="str">
        <f t="shared" si="13"/>
        <v/>
      </c>
      <c r="J219" s="344" t="str" cm="1">
        <f t="array" ref="J219">IFERROR(INDEX(_xlfn.ANCHORARRAY($P$6),ROW()-5,3),"")</f>
        <v/>
      </c>
      <c r="K219" s="432" t="str" cm="1">
        <f t="array" ref="K219">IF(OR($A219="",$J219&lt;&gt;"DIESEL"),"",_xlfn.LET(_xlpm.qty,N($C219),_xlpm.pos,$T$5:$T$54,_xlpm.alo,IF($U$5:$U$54="",0,$U$5:$U$54),_xlpm.usd,SUMIFS($C$6:$C218,$K$6:$K218,_xlpm.pos&amp;""),_xlpm.bal,_xlpm.alo-_xlpm.usd,IFERROR(INDEX(_xlfn._xlws.FILTER(_xlpm.pos,(_xlpm.pos&lt;&gt;"")*(_xlpm.qty&gt;0)*(_xlpm.bal&gt;=_xlpm.qty)),1),"")))</f>
        <v/>
      </c>
      <c r="L219" s="348"/>
    </row>
    <row r="220" spans="1:12" ht="23" x14ac:dyDescent="0.25">
      <c r="A220" s="217" t="str" cm="1">
        <f t="array" ref="A220">IFERROR(INDEX(_xlfn.ANCHORARRAY($P$6),ROW()-5,1),"")</f>
        <v/>
      </c>
      <c r="B220" s="344" t="str" cm="1">
        <f t="array" ref="B220">IFERROR(INDEX(_xlfn.ANCHORARRAY($P$6),ROW()-5,2),"")</f>
        <v/>
      </c>
      <c r="C220" s="345" t="str">
        <f>IF($A220="","",IF($J220="DIESEL",SUMIFS(Table1[Quantity],Table1[Customer],$M$3,Table1[Date],$A220,Table1[Bill No.],$B220),IF($J220="PETROL",SUMIFS(Table14[Quantity],Table14[Customer],$M$3,Table14[Date],$A220,Table14[Bill No.],$B220),IF($J220="XtraGreen",SUMIFS(Table146[Quantity],Table146[Company],$M$3,Table146[Date],$A220,Table146[Bill No.],$B220),""))))</f>
        <v/>
      </c>
      <c r="D220" s="346" t="str">
        <f>IF($A220="","",IF($J220="DIESEL",AVERAGEIFS(Table1[RSP],Table1[Customer],$M$3,Table1[Date],$A220,Table1[Bill No.],$B220),IF($J220="PETROL",AVERAGEIFS(Table14[RSP],Table14[Customer],$M$3,Table14[Date],$A220,Table14[Bill No.],$B220),IF($J220="XtraGreen",AVERAGEIFS(Table146[RSP],Table146[Company],$M$3,Table146[Date],$A220,Table146[Bill No.],$B220),IFERROR($E220/$C220,"")))))</f>
        <v/>
      </c>
      <c r="E220" s="347" t="str">
        <f>IF($A220="","",IF($J220="DIESEL",SUMIFS(Table1[Amount],Table1[Customer],$M$3,Table1[Date],$A220,Table1[Bill No.],$B220),IF($J220="PETROL",SUMIFS(Table14[Amount],Table14[Customer],$M$3,Table14[Date],$A220,Table14[Bill No.],$B220),IF($J220="XtraGreen",SUMIFS(Table146[Amount],Table146[Company],$M$3,Table146[Date],$A220,Table146[Bill No.],$B220),SUMIFS('Other Sale'!$D:$D,'Other Sale'!$E:$E,$M$3,'Other Sale'!$C:$C,$J220,'Other Sale'!$A:$A,$A220)))))</f>
        <v/>
      </c>
      <c r="F220" s="347" t="str" cm="1">
        <f t="array" ref="F220">IF($A220="","",IF($J220="Payment",IFERROR(INDEX(_xlfn._xlws.FILTER(MasterPaid[Amount Paid],(MasterPaid[Customer]=$M$3)*(MasterPaid[Date]=$A220)),COUNTIFS($A$6:$A220,$A220,$J$6:$J220,"Payment")),0),0))</f>
        <v/>
      </c>
      <c r="G220" s="331"/>
      <c r="H220" s="427"/>
      <c r="I220" s="330" t="str">
        <f t="shared" si="13"/>
        <v/>
      </c>
      <c r="J220" s="344" t="str" cm="1">
        <f t="array" ref="J220">IFERROR(INDEX(_xlfn.ANCHORARRAY($P$6),ROW()-5,3),"")</f>
        <v/>
      </c>
      <c r="K220" s="432" t="str" cm="1">
        <f t="array" ref="K220">IF(OR($A220="",$J220&lt;&gt;"DIESEL"),"",_xlfn.LET(_xlpm.qty,N($C220),_xlpm.pos,$T$5:$T$54,_xlpm.alo,IF($U$5:$U$54="",0,$U$5:$U$54),_xlpm.usd,SUMIFS($C$6:$C219,$K$6:$K219,_xlpm.pos&amp;""),_xlpm.bal,_xlpm.alo-_xlpm.usd,IFERROR(INDEX(_xlfn._xlws.FILTER(_xlpm.pos,(_xlpm.pos&lt;&gt;"")*(_xlpm.qty&gt;0)*(_xlpm.bal&gt;=_xlpm.qty)),1),"")))</f>
        <v/>
      </c>
      <c r="L220" s="348"/>
    </row>
    <row r="221" spans="1:12" ht="23" x14ac:dyDescent="0.25">
      <c r="A221" s="217" t="str" cm="1">
        <f t="array" ref="A221">IFERROR(INDEX(_xlfn.ANCHORARRAY($P$6),ROW()-5,1),"")</f>
        <v/>
      </c>
      <c r="B221" s="344" t="str" cm="1">
        <f t="array" ref="B221">IFERROR(INDEX(_xlfn.ANCHORARRAY($P$6),ROW()-5,2),"")</f>
        <v/>
      </c>
      <c r="C221" s="345" t="str">
        <f>IF($A221="","",IF($J221="DIESEL",SUMIFS(Table1[Quantity],Table1[Customer],$M$3,Table1[Date],$A221,Table1[Bill No.],$B221),IF($J221="PETROL",SUMIFS(Table14[Quantity],Table14[Customer],$M$3,Table14[Date],$A221,Table14[Bill No.],$B221),IF($J221="XtraGreen",SUMIFS(Table146[Quantity],Table146[Company],$M$3,Table146[Date],$A221,Table146[Bill No.],$B221),""))))</f>
        <v/>
      </c>
      <c r="D221" s="346" t="str">
        <f>IF($A221="","",IF($J221="DIESEL",AVERAGEIFS(Table1[RSP],Table1[Customer],$M$3,Table1[Date],$A221,Table1[Bill No.],$B221),IF($J221="PETROL",AVERAGEIFS(Table14[RSP],Table14[Customer],$M$3,Table14[Date],$A221,Table14[Bill No.],$B221),IF($J221="XtraGreen",AVERAGEIFS(Table146[RSP],Table146[Company],$M$3,Table146[Date],$A221,Table146[Bill No.],$B221),IFERROR($E221/$C221,"")))))</f>
        <v/>
      </c>
      <c r="E221" s="347" t="str">
        <f>IF($A221="","",IF($J221="DIESEL",SUMIFS(Table1[Amount],Table1[Customer],$M$3,Table1[Date],$A221,Table1[Bill No.],$B221),IF($J221="PETROL",SUMIFS(Table14[Amount],Table14[Customer],$M$3,Table14[Date],$A221,Table14[Bill No.],$B221),IF($J221="XtraGreen",SUMIFS(Table146[Amount],Table146[Company],$M$3,Table146[Date],$A221,Table146[Bill No.],$B221),SUMIFS('Other Sale'!$D:$D,'Other Sale'!$E:$E,$M$3,'Other Sale'!$C:$C,$J221,'Other Sale'!$A:$A,$A221)))))</f>
        <v/>
      </c>
      <c r="F221" s="347" t="str" cm="1">
        <f t="array" ref="F221">IF($A221="","",IF($J221="Payment",IFERROR(INDEX(_xlfn._xlws.FILTER(MasterPaid[Amount Paid],(MasterPaid[Customer]=$M$3)*(MasterPaid[Date]=$A221)),COUNTIFS($A$6:$A221,$A221,$J$6:$J221,"Payment")),0),0))</f>
        <v/>
      </c>
      <c r="G221" s="331"/>
      <c r="H221" s="427"/>
      <c r="I221" s="330" t="str">
        <f t="shared" si="13"/>
        <v/>
      </c>
      <c r="J221" s="344" t="str" cm="1">
        <f t="array" ref="J221">IFERROR(INDEX(_xlfn.ANCHORARRAY($P$6),ROW()-5,3),"")</f>
        <v/>
      </c>
      <c r="K221" s="432" t="str" cm="1">
        <f t="array" ref="K221">IF(OR($A221="",$J221&lt;&gt;"DIESEL"),"",_xlfn.LET(_xlpm.qty,N($C221),_xlpm.pos,$T$5:$T$54,_xlpm.alo,IF($U$5:$U$54="",0,$U$5:$U$54),_xlpm.usd,SUMIFS($C$6:$C220,$K$6:$K220,_xlpm.pos&amp;""),_xlpm.bal,_xlpm.alo-_xlpm.usd,IFERROR(INDEX(_xlfn._xlws.FILTER(_xlpm.pos,(_xlpm.pos&lt;&gt;"")*(_xlpm.qty&gt;0)*(_xlpm.bal&gt;=_xlpm.qty)),1),"")))</f>
        <v/>
      </c>
      <c r="L221" s="348"/>
    </row>
    <row r="222" spans="1:12" ht="23" x14ac:dyDescent="0.25">
      <c r="A222" s="217" t="str" cm="1">
        <f t="array" ref="A222">IFERROR(INDEX(_xlfn.ANCHORARRAY($P$6),ROW()-5,1),"")</f>
        <v/>
      </c>
      <c r="B222" s="344" t="str" cm="1">
        <f t="array" ref="B222">IFERROR(INDEX(_xlfn.ANCHORARRAY($P$6),ROW()-5,2),"")</f>
        <v/>
      </c>
      <c r="C222" s="345" t="str">
        <f>IF($A222="","",IF($J222="DIESEL",SUMIFS(Table1[Quantity],Table1[Customer],$M$3,Table1[Date],$A222,Table1[Bill No.],$B222),IF($J222="PETROL",SUMIFS(Table14[Quantity],Table14[Customer],$M$3,Table14[Date],$A222,Table14[Bill No.],$B222),IF($J222="XtraGreen",SUMIFS(Table146[Quantity],Table146[Company],$M$3,Table146[Date],$A222,Table146[Bill No.],$B222),""))))</f>
        <v/>
      </c>
      <c r="D222" s="346" t="str">
        <f>IF($A222="","",IF($J222="DIESEL",AVERAGEIFS(Table1[RSP],Table1[Customer],$M$3,Table1[Date],$A222,Table1[Bill No.],$B222),IF($J222="PETROL",AVERAGEIFS(Table14[RSP],Table14[Customer],$M$3,Table14[Date],$A222,Table14[Bill No.],$B222),IF($J222="XtraGreen",AVERAGEIFS(Table146[RSP],Table146[Company],$M$3,Table146[Date],$A222,Table146[Bill No.],$B222),IFERROR($E222/$C222,"")))))</f>
        <v/>
      </c>
      <c r="E222" s="347" t="str">
        <f>IF($A222="","",IF($J222="DIESEL",SUMIFS(Table1[Amount],Table1[Customer],$M$3,Table1[Date],$A222,Table1[Bill No.],$B222),IF($J222="PETROL",SUMIFS(Table14[Amount],Table14[Customer],$M$3,Table14[Date],$A222,Table14[Bill No.],$B222),IF($J222="XtraGreen",SUMIFS(Table146[Amount],Table146[Company],$M$3,Table146[Date],$A222,Table146[Bill No.],$B222),SUMIFS('Other Sale'!$D:$D,'Other Sale'!$E:$E,$M$3,'Other Sale'!$C:$C,$J222,'Other Sale'!$A:$A,$A222)))))</f>
        <v/>
      </c>
      <c r="F222" s="347" t="str" cm="1">
        <f t="array" ref="F222">IF($A222="","",IF($J222="Payment",IFERROR(INDEX(_xlfn._xlws.FILTER(MasterPaid[Amount Paid],(MasterPaid[Customer]=$M$3)*(MasterPaid[Date]=$A222)),COUNTIFS($A$6:$A222,$A222,$J$6:$J222,"Payment")),0),0))</f>
        <v/>
      </c>
      <c r="G222" s="331"/>
      <c r="H222" s="427"/>
      <c r="I222" s="330" t="str">
        <f t="shared" si="13"/>
        <v/>
      </c>
      <c r="J222" s="344" t="str" cm="1">
        <f t="array" ref="J222">IFERROR(INDEX(_xlfn.ANCHORARRAY($P$6),ROW()-5,3),"")</f>
        <v/>
      </c>
      <c r="K222" s="432" t="str" cm="1">
        <f t="array" ref="K222">IF(OR($A222="",$J222&lt;&gt;"DIESEL"),"",_xlfn.LET(_xlpm.qty,N($C222),_xlpm.pos,$T$5:$T$54,_xlpm.alo,IF($U$5:$U$54="",0,$U$5:$U$54),_xlpm.usd,SUMIFS($C$6:$C221,$K$6:$K221,_xlpm.pos&amp;""),_xlpm.bal,_xlpm.alo-_xlpm.usd,IFERROR(INDEX(_xlfn._xlws.FILTER(_xlpm.pos,(_xlpm.pos&lt;&gt;"")*(_xlpm.qty&gt;0)*(_xlpm.bal&gt;=_xlpm.qty)),1),"")))</f>
        <v/>
      </c>
      <c r="L222" s="348"/>
    </row>
    <row r="223" spans="1:12" ht="23" x14ac:dyDescent="0.25">
      <c r="A223" s="217" t="str" cm="1">
        <f t="array" ref="A223">IFERROR(INDEX(_xlfn.ANCHORARRAY($P$6),ROW()-5,1),"")</f>
        <v/>
      </c>
      <c r="B223" s="344" t="str" cm="1">
        <f t="array" ref="B223">IFERROR(INDEX(_xlfn.ANCHORARRAY($P$6),ROW()-5,2),"")</f>
        <v/>
      </c>
      <c r="C223" s="345" t="str">
        <f>IF($A223="","",IF($J223="DIESEL",SUMIFS(Table1[Quantity],Table1[Customer],$M$3,Table1[Date],$A223,Table1[Bill No.],$B223),IF($J223="PETROL",SUMIFS(Table14[Quantity],Table14[Customer],$M$3,Table14[Date],$A223,Table14[Bill No.],$B223),IF($J223="XtraGreen",SUMIFS(Table146[Quantity],Table146[Company],$M$3,Table146[Date],$A223,Table146[Bill No.],$B223),""))))</f>
        <v/>
      </c>
      <c r="D223" s="346" t="str">
        <f>IF($A223="","",IF($J223="DIESEL",AVERAGEIFS(Table1[RSP],Table1[Customer],$M$3,Table1[Date],$A223,Table1[Bill No.],$B223),IF($J223="PETROL",AVERAGEIFS(Table14[RSP],Table14[Customer],$M$3,Table14[Date],$A223,Table14[Bill No.],$B223),IF($J223="XtraGreen",AVERAGEIFS(Table146[RSP],Table146[Company],$M$3,Table146[Date],$A223,Table146[Bill No.],$B223),IFERROR($E223/$C223,"")))))</f>
        <v/>
      </c>
      <c r="E223" s="347" t="str">
        <f>IF($A223="","",IF($J223="DIESEL",SUMIFS(Table1[Amount],Table1[Customer],$M$3,Table1[Date],$A223,Table1[Bill No.],$B223),IF($J223="PETROL",SUMIFS(Table14[Amount],Table14[Customer],$M$3,Table14[Date],$A223,Table14[Bill No.],$B223),IF($J223="XtraGreen",SUMIFS(Table146[Amount],Table146[Company],$M$3,Table146[Date],$A223,Table146[Bill No.],$B223),SUMIFS('Other Sale'!$D:$D,'Other Sale'!$E:$E,$M$3,'Other Sale'!$C:$C,$J223,'Other Sale'!$A:$A,$A223)))))</f>
        <v/>
      </c>
      <c r="F223" s="347" t="str" cm="1">
        <f t="array" ref="F223">IF($A223="","",IF($J223="Payment",IFERROR(INDEX(_xlfn._xlws.FILTER(MasterPaid[Amount Paid],(MasterPaid[Customer]=$M$3)*(MasterPaid[Date]=$A223)),COUNTIFS($A$6:$A223,$A223,$J$6:$J223,"Payment")),0),0))</f>
        <v/>
      </c>
      <c r="G223" s="331"/>
      <c r="H223" s="427"/>
      <c r="I223" s="330" t="str">
        <f t="shared" si="13"/>
        <v/>
      </c>
      <c r="J223" s="344" t="str" cm="1">
        <f t="array" ref="J223">IFERROR(INDEX(_xlfn.ANCHORARRAY($P$6),ROW()-5,3),"")</f>
        <v/>
      </c>
      <c r="K223" s="432" t="str" cm="1">
        <f t="array" ref="K223">IF(OR($A223="",$J223&lt;&gt;"DIESEL"),"",_xlfn.LET(_xlpm.qty,N($C223),_xlpm.pos,$T$5:$T$54,_xlpm.alo,IF($U$5:$U$54="",0,$U$5:$U$54),_xlpm.usd,SUMIFS($C$6:$C222,$K$6:$K222,_xlpm.pos&amp;""),_xlpm.bal,_xlpm.alo-_xlpm.usd,IFERROR(INDEX(_xlfn._xlws.FILTER(_xlpm.pos,(_xlpm.pos&lt;&gt;"")*(_xlpm.qty&gt;0)*(_xlpm.bal&gt;=_xlpm.qty)),1),"")))</f>
        <v/>
      </c>
      <c r="L223" s="348"/>
    </row>
    <row r="224" spans="1:12" ht="23" x14ac:dyDescent="0.25">
      <c r="A224" s="217" t="str" cm="1">
        <f t="array" ref="A224">IFERROR(INDEX(_xlfn.ANCHORARRAY($P$6),ROW()-5,1),"")</f>
        <v/>
      </c>
      <c r="B224" s="344" t="str" cm="1">
        <f t="array" ref="B224">IFERROR(INDEX(_xlfn.ANCHORARRAY($P$6),ROW()-5,2),"")</f>
        <v/>
      </c>
      <c r="C224" s="345" t="str">
        <f>IF($A224="","",IF($J224="DIESEL",SUMIFS(Table1[Quantity],Table1[Customer],$M$3,Table1[Date],$A224,Table1[Bill No.],$B224),IF($J224="PETROL",SUMIFS(Table14[Quantity],Table14[Customer],$M$3,Table14[Date],$A224,Table14[Bill No.],$B224),IF($J224="XtraGreen",SUMIFS(Table146[Quantity],Table146[Company],$M$3,Table146[Date],$A224,Table146[Bill No.],$B224),""))))</f>
        <v/>
      </c>
      <c r="D224" s="346" t="str">
        <f>IF($A224="","",IF($J224="DIESEL",AVERAGEIFS(Table1[RSP],Table1[Customer],$M$3,Table1[Date],$A224,Table1[Bill No.],$B224),IF($J224="PETROL",AVERAGEIFS(Table14[RSP],Table14[Customer],$M$3,Table14[Date],$A224,Table14[Bill No.],$B224),IF($J224="XtraGreen",AVERAGEIFS(Table146[RSP],Table146[Company],$M$3,Table146[Date],$A224,Table146[Bill No.],$B224),IFERROR($E224/$C224,"")))))</f>
        <v/>
      </c>
      <c r="E224" s="347" t="str">
        <f>IF($A224="","",IF($J224="DIESEL",SUMIFS(Table1[Amount],Table1[Customer],$M$3,Table1[Date],$A224,Table1[Bill No.],$B224),IF($J224="PETROL",SUMIFS(Table14[Amount],Table14[Customer],$M$3,Table14[Date],$A224,Table14[Bill No.],$B224),IF($J224="XtraGreen",SUMIFS(Table146[Amount],Table146[Company],$M$3,Table146[Date],$A224,Table146[Bill No.],$B224),SUMIFS('Other Sale'!$D:$D,'Other Sale'!$E:$E,$M$3,'Other Sale'!$C:$C,$J224,'Other Sale'!$A:$A,$A224)))))</f>
        <v/>
      </c>
      <c r="F224" s="347" t="str" cm="1">
        <f t="array" ref="F224">IF($A224="","",IF($J224="Payment",IFERROR(INDEX(_xlfn._xlws.FILTER(MasterPaid[Amount Paid],(MasterPaid[Customer]=$M$3)*(MasterPaid[Date]=$A224)),COUNTIFS($A$6:$A224,$A224,$J$6:$J224,"Payment")),0),0))</f>
        <v/>
      </c>
      <c r="G224" s="331"/>
      <c r="H224" s="427"/>
      <c r="I224" s="330" t="str">
        <f t="shared" si="13"/>
        <v/>
      </c>
      <c r="J224" s="344" t="str" cm="1">
        <f t="array" ref="J224">IFERROR(INDEX(_xlfn.ANCHORARRAY($P$6),ROW()-5,3),"")</f>
        <v/>
      </c>
      <c r="K224" s="432" t="str" cm="1">
        <f t="array" ref="K224">IF(OR($A224="",$J224&lt;&gt;"DIESEL"),"",_xlfn.LET(_xlpm.qty,N($C224),_xlpm.pos,$T$5:$T$54,_xlpm.alo,IF($U$5:$U$54="",0,$U$5:$U$54),_xlpm.usd,SUMIFS($C$6:$C223,$K$6:$K223,_xlpm.pos&amp;""),_xlpm.bal,_xlpm.alo-_xlpm.usd,IFERROR(INDEX(_xlfn._xlws.FILTER(_xlpm.pos,(_xlpm.pos&lt;&gt;"")*(_xlpm.qty&gt;0)*(_xlpm.bal&gt;=_xlpm.qty)),1),"")))</f>
        <v/>
      </c>
      <c r="L224" s="348"/>
    </row>
    <row r="225" spans="1:12" ht="23" x14ac:dyDescent="0.25">
      <c r="A225" s="217" t="str" cm="1">
        <f t="array" ref="A225">IFERROR(INDEX(_xlfn.ANCHORARRAY($P$6),ROW()-5,1),"")</f>
        <v/>
      </c>
      <c r="B225" s="344" t="str" cm="1">
        <f t="array" ref="B225">IFERROR(INDEX(_xlfn.ANCHORARRAY($P$6),ROW()-5,2),"")</f>
        <v/>
      </c>
      <c r="C225" s="345" t="str">
        <f>IF($A225="","",IF($J225="DIESEL",SUMIFS(Table1[Quantity],Table1[Customer],$M$3,Table1[Date],$A225,Table1[Bill No.],$B225),IF($J225="PETROL",SUMIFS(Table14[Quantity],Table14[Customer],$M$3,Table14[Date],$A225,Table14[Bill No.],$B225),IF($J225="XtraGreen",SUMIFS(Table146[Quantity],Table146[Company],$M$3,Table146[Date],$A225,Table146[Bill No.],$B225),""))))</f>
        <v/>
      </c>
      <c r="D225" s="346" t="str">
        <f>IF($A225="","",IF($J225="DIESEL",AVERAGEIFS(Table1[RSP],Table1[Customer],$M$3,Table1[Date],$A225,Table1[Bill No.],$B225),IF($J225="PETROL",AVERAGEIFS(Table14[RSP],Table14[Customer],$M$3,Table14[Date],$A225,Table14[Bill No.],$B225),IF($J225="XtraGreen",AVERAGEIFS(Table146[RSP],Table146[Company],$M$3,Table146[Date],$A225,Table146[Bill No.],$B225),IFERROR($E225/$C225,"")))))</f>
        <v/>
      </c>
      <c r="E225" s="347" t="str">
        <f>IF($A225="","",IF($J225="DIESEL",SUMIFS(Table1[Amount],Table1[Customer],$M$3,Table1[Date],$A225,Table1[Bill No.],$B225),IF($J225="PETROL",SUMIFS(Table14[Amount],Table14[Customer],$M$3,Table14[Date],$A225,Table14[Bill No.],$B225),IF($J225="XtraGreen",SUMIFS(Table146[Amount],Table146[Company],$M$3,Table146[Date],$A225,Table146[Bill No.],$B225),SUMIFS('Other Sale'!$D:$D,'Other Sale'!$E:$E,$M$3,'Other Sale'!$C:$C,$J225,'Other Sale'!$A:$A,$A225)))))</f>
        <v/>
      </c>
      <c r="F225" s="347" t="str" cm="1">
        <f t="array" ref="F225">IF($A225="","",IF($J225="Payment",IFERROR(INDEX(_xlfn._xlws.FILTER(MasterPaid[Amount Paid],(MasterPaid[Customer]=$M$3)*(MasterPaid[Date]=$A225)),COUNTIFS($A$6:$A225,$A225,$J$6:$J225,"Payment")),0),0))</f>
        <v/>
      </c>
      <c r="G225" s="331"/>
      <c r="H225" s="427"/>
      <c r="I225" s="330" t="str">
        <f t="shared" si="13"/>
        <v/>
      </c>
      <c r="J225" s="344" t="str" cm="1">
        <f t="array" ref="J225">IFERROR(INDEX(_xlfn.ANCHORARRAY($P$6),ROW()-5,3),"")</f>
        <v/>
      </c>
      <c r="K225" s="432" t="str" cm="1">
        <f t="array" ref="K225">IF(OR($A225="",$J225&lt;&gt;"DIESEL"),"",_xlfn.LET(_xlpm.qty,N($C225),_xlpm.pos,$T$5:$T$54,_xlpm.alo,IF($U$5:$U$54="",0,$U$5:$U$54),_xlpm.usd,SUMIFS($C$6:$C224,$K$6:$K224,_xlpm.pos&amp;""),_xlpm.bal,_xlpm.alo-_xlpm.usd,IFERROR(INDEX(_xlfn._xlws.FILTER(_xlpm.pos,(_xlpm.pos&lt;&gt;"")*(_xlpm.qty&gt;0)*(_xlpm.bal&gt;=_xlpm.qty)),1),"")))</f>
        <v/>
      </c>
      <c r="L225" s="348"/>
    </row>
    <row r="226" spans="1:12" ht="23" x14ac:dyDescent="0.25">
      <c r="A226" s="217" t="str" cm="1">
        <f t="array" ref="A226">IFERROR(INDEX(_xlfn.ANCHORARRAY($P$6),ROW()-5,1),"")</f>
        <v/>
      </c>
      <c r="B226" s="344" t="str" cm="1">
        <f t="array" ref="B226">IFERROR(INDEX(_xlfn.ANCHORARRAY($P$6),ROW()-5,2),"")</f>
        <v/>
      </c>
      <c r="C226" s="345" t="str">
        <f>IF($A226="","",IF($J226="DIESEL",SUMIFS(Table1[Quantity],Table1[Customer],$M$3,Table1[Date],$A226,Table1[Bill No.],$B226),IF($J226="PETROL",SUMIFS(Table14[Quantity],Table14[Customer],$M$3,Table14[Date],$A226,Table14[Bill No.],$B226),IF($J226="XtraGreen",SUMIFS(Table146[Quantity],Table146[Company],$M$3,Table146[Date],$A226,Table146[Bill No.],$B226),""))))</f>
        <v/>
      </c>
      <c r="D226" s="346" t="str">
        <f>IF($A226="","",IF($J226="DIESEL",AVERAGEIFS(Table1[RSP],Table1[Customer],$M$3,Table1[Date],$A226,Table1[Bill No.],$B226),IF($J226="PETROL",AVERAGEIFS(Table14[RSP],Table14[Customer],$M$3,Table14[Date],$A226,Table14[Bill No.],$B226),IF($J226="XtraGreen",AVERAGEIFS(Table146[RSP],Table146[Company],$M$3,Table146[Date],$A226,Table146[Bill No.],$B226),IFERROR($E226/$C226,"")))))</f>
        <v/>
      </c>
      <c r="E226" s="347" t="str">
        <f>IF($A226="","",IF($J226="DIESEL",SUMIFS(Table1[Amount],Table1[Customer],$M$3,Table1[Date],$A226,Table1[Bill No.],$B226),IF($J226="PETROL",SUMIFS(Table14[Amount],Table14[Customer],$M$3,Table14[Date],$A226,Table14[Bill No.],$B226),IF($J226="XtraGreen",SUMIFS(Table146[Amount],Table146[Company],$M$3,Table146[Date],$A226,Table146[Bill No.],$B226),SUMIFS('Other Sale'!$D:$D,'Other Sale'!$E:$E,$M$3,'Other Sale'!$C:$C,$J226,'Other Sale'!$A:$A,$A226)))))</f>
        <v/>
      </c>
      <c r="F226" s="347" t="str" cm="1">
        <f t="array" ref="F226">IF($A226="","",IF($J226="Payment",IFERROR(INDEX(_xlfn._xlws.FILTER(MasterPaid[Amount Paid],(MasterPaid[Customer]=$M$3)*(MasterPaid[Date]=$A226)),COUNTIFS($A$6:$A226,$A226,$J$6:$J226,"Payment")),0),0))</f>
        <v/>
      </c>
      <c r="G226" s="331"/>
      <c r="H226" s="427"/>
      <c r="I226" s="330" t="str">
        <f t="shared" si="13"/>
        <v/>
      </c>
      <c r="J226" s="344" t="str" cm="1">
        <f t="array" ref="J226">IFERROR(INDEX(_xlfn.ANCHORARRAY($P$6),ROW()-5,3),"")</f>
        <v/>
      </c>
      <c r="K226" s="432" t="str" cm="1">
        <f t="array" ref="K226">IF(OR($A226="",$J226&lt;&gt;"DIESEL"),"",_xlfn.LET(_xlpm.qty,N($C226),_xlpm.pos,$T$5:$T$54,_xlpm.alo,IF($U$5:$U$54="",0,$U$5:$U$54),_xlpm.usd,SUMIFS($C$6:$C225,$K$6:$K225,_xlpm.pos&amp;""),_xlpm.bal,_xlpm.alo-_xlpm.usd,IFERROR(INDEX(_xlfn._xlws.FILTER(_xlpm.pos,(_xlpm.pos&lt;&gt;"")*(_xlpm.qty&gt;0)*(_xlpm.bal&gt;=_xlpm.qty)),1),"")))</f>
        <v/>
      </c>
      <c r="L226" s="348"/>
    </row>
    <row r="227" spans="1:12" ht="23" x14ac:dyDescent="0.25">
      <c r="A227" s="217" t="str" cm="1">
        <f t="array" ref="A227">IFERROR(INDEX(_xlfn.ANCHORARRAY($P$6),ROW()-5,1),"")</f>
        <v/>
      </c>
      <c r="B227" s="344" t="str" cm="1">
        <f t="array" ref="B227">IFERROR(INDEX(_xlfn.ANCHORARRAY($P$6),ROW()-5,2),"")</f>
        <v/>
      </c>
      <c r="C227" s="345" t="str">
        <f>IF($A227="","",IF($J227="DIESEL",SUMIFS(Table1[Quantity],Table1[Customer],$M$3,Table1[Date],$A227,Table1[Bill No.],$B227),IF($J227="PETROL",SUMIFS(Table14[Quantity],Table14[Customer],$M$3,Table14[Date],$A227,Table14[Bill No.],$B227),IF($J227="XtraGreen",SUMIFS(Table146[Quantity],Table146[Company],$M$3,Table146[Date],$A227,Table146[Bill No.],$B227),""))))</f>
        <v/>
      </c>
      <c r="D227" s="346" t="str">
        <f>IF($A227="","",IF($J227="DIESEL",AVERAGEIFS(Table1[RSP],Table1[Customer],$M$3,Table1[Date],$A227,Table1[Bill No.],$B227),IF($J227="PETROL",AVERAGEIFS(Table14[RSP],Table14[Customer],$M$3,Table14[Date],$A227,Table14[Bill No.],$B227),IF($J227="XtraGreen",AVERAGEIFS(Table146[RSP],Table146[Company],$M$3,Table146[Date],$A227,Table146[Bill No.],$B227),IFERROR($E227/$C227,"")))))</f>
        <v/>
      </c>
      <c r="E227" s="347" t="str">
        <f>IF($A227="","",IF($J227="DIESEL",SUMIFS(Table1[Amount],Table1[Customer],$M$3,Table1[Date],$A227,Table1[Bill No.],$B227),IF($J227="PETROL",SUMIFS(Table14[Amount],Table14[Customer],$M$3,Table14[Date],$A227,Table14[Bill No.],$B227),IF($J227="XtraGreen",SUMIFS(Table146[Amount],Table146[Company],$M$3,Table146[Date],$A227,Table146[Bill No.],$B227),SUMIFS('Other Sale'!$D:$D,'Other Sale'!$E:$E,$M$3,'Other Sale'!$C:$C,$J227,'Other Sale'!$A:$A,$A227)))))</f>
        <v/>
      </c>
      <c r="F227" s="347" t="str" cm="1">
        <f t="array" ref="F227">IF($A227="","",IF($J227="Payment",IFERROR(INDEX(_xlfn._xlws.FILTER(MasterPaid[Amount Paid],(MasterPaid[Customer]=$M$3)*(MasterPaid[Date]=$A227)),COUNTIFS($A$6:$A227,$A227,$J$6:$J227,"Payment")),0),0))</f>
        <v/>
      </c>
      <c r="G227" s="331"/>
      <c r="H227" s="427"/>
      <c r="I227" s="330" t="str">
        <f t="shared" si="13"/>
        <v/>
      </c>
      <c r="J227" s="344" t="str" cm="1">
        <f t="array" ref="J227">IFERROR(INDEX(_xlfn.ANCHORARRAY($P$6),ROW()-5,3),"")</f>
        <v/>
      </c>
      <c r="K227" s="432" t="str" cm="1">
        <f t="array" ref="K227">IF(OR($A227="",$J227&lt;&gt;"DIESEL"),"",_xlfn.LET(_xlpm.qty,N($C227),_xlpm.pos,$T$5:$T$54,_xlpm.alo,IF($U$5:$U$54="",0,$U$5:$U$54),_xlpm.usd,SUMIFS($C$6:$C226,$K$6:$K226,_xlpm.pos&amp;""),_xlpm.bal,_xlpm.alo-_xlpm.usd,IFERROR(INDEX(_xlfn._xlws.FILTER(_xlpm.pos,(_xlpm.pos&lt;&gt;"")*(_xlpm.qty&gt;0)*(_xlpm.bal&gt;=_xlpm.qty)),1),"")))</f>
        <v/>
      </c>
      <c r="L227" s="348"/>
    </row>
    <row r="228" spans="1:12" ht="23" x14ac:dyDescent="0.25">
      <c r="A228" s="217" t="str" cm="1">
        <f t="array" ref="A228">IFERROR(INDEX(_xlfn.ANCHORARRAY($P$6),ROW()-5,1),"")</f>
        <v/>
      </c>
      <c r="B228" s="344" t="str" cm="1">
        <f t="array" ref="B228">IFERROR(INDEX(_xlfn.ANCHORARRAY($P$6),ROW()-5,2),"")</f>
        <v/>
      </c>
      <c r="C228" s="345" t="str">
        <f>IF($A228="","",IF($J228="DIESEL",SUMIFS(Table1[Quantity],Table1[Customer],$M$3,Table1[Date],$A228,Table1[Bill No.],$B228),IF($J228="PETROL",SUMIFS(Table14[Quantity],Table14[Customer],$M$3,Table14[Date],$A228,Table14[Bill No.],$B228),IF($J228="XtraGreen",SUMIFS(Table146[Quantity],Table146[Company],$M$3,Table146[Date],$A228,Table146[Bill No.],$B228),""))))</f>
        <v/>
      </c>
      <c r="D228" s="346" t="str">
        <f>IF($A228="","",IF($J228="DIESEL",AVERAGEIFS(Table1[RSP],Table1[Customer],$M$3,Table1[Date],$A228,Table1[Bill No.],$B228),IF($J228="PETROL",AVERAGEIFS(Table14[RSP],Table14[Customer],$M$3,Table14[Date],$A228,Table14[Bill No.],$B228),IF($J228="XtraGreen",AVERAGEIFS(Table146[RSP],Table146[Company],$M$3,Table146[Date],$A228,Table146[Bill No.],$B228),IFERROR($E228/$C228,"")))))</f>
        <v/>
      </c>
      <c r="E228" s="347" t="str">
        <f>IF($A228="","",IF($J228="DIESEL",SUMIFS(Table1[Amount],Table1[Customer],$M$3,Table1[Date],$A228,Table1[Bill No.],$B228),IF($J228="PETROL",SUMIFS(Table14[Amount],Table14[Customer],$M$3,Table14[Date],$A228,Table14[Bill No.],$B228),IF($J228="XtraGreen",SUMIFS(Table146[Amount],Table146[Company],$M$3,Table146[Date],$A228,Table146[Bill No.],$B228),SUMIFS('Other Sale'!$D:$D,'Other Sale'!$E:$E,$M$3,'Other Sale'!$C:$C,$J228,'Other Sale'!$A:$A,$A228)))))</f>
        <v/>
      </c>
      <c r="F228" s="347" t="str" cm="1">
        <f t="array" ref="F228">IF($A228="","",IF($J228="Payment",IFERROR(INDEX(_xlfn._xlws.FILTER(MasterPaid[Amount Paid],(MasterPaid[Customer]=$M$3)*(MasterPaid[Date]=$A228)),COUNTIFS($A$6:$A228,$A228,$J$6:$J228,"Payment")),0),0))</f>
        <v/>
      </c>
      <c r="G228" s="331"/>
      <c r="H228" s="427"/>
      <c r="I228" s="330" t="str">
        <f t="shared" si="13"/>
        <v/>
      </c>
      <c r="J228" s="344" t="str" cm="1">
        <f t="array" ref="J228">IFERROR(INDEX(_xlfn.ANCHORARRAY($P$6),ROW()-5,3),"")</f>
        <v/>
      </c>
      <c r="K228" s="432" t="str" cm="1">
        <f t="array" ref="K228">IF(OR($A228="",$J228&lt;&gt;"DIESEL"),"",_xlfn.LET(_xlpm.qty,N($C228),_xlpm.pos,$T$5:$T$54,_xlpm.alo,IF($U$5:$U$54="",0,$U$5:$U$54),_xlpm.usd,SUMIFS($C$6:$C227,$K$6:$K227,_xlpm.pos&amp;""),_xlpm.bal,_xlpm.alo-_xlpm.usd,IFERROR(INDEX(_xlfn._xlws.FILTER(_xlpm.pos,(_xlpm.pos&lt;&gt;"")*(_xlpm.qty&gt;0)*(_xlpm.bal&gt;=_xlpm.qty)),1),"")))</f>
        <v/>
      </c>
      <c r="L228" s="348"/>
    </row>
    <row r="229" spans="1:12" ht="23" x14ac:dyDescent="0.25">
      <c r="A229" s="217" t="str" cm="1">
        <f t="array" ref="A229">IFERROR(INDEX(_xlfn.ANCHORARRAY($P$6),ROW()-5,1),"")</f>
        <v/>
      </c>
      <c r="B229" s="344" t="str" cm="1">
        <f t="array" ref="B229">IFERROR(INDEX(_xlfn.ANCHORARRAY($P$6),ROW()-5,2),"")</f>
        <v/>
      </c>
      <c r="C229" s="345" t="str">
        <f>IF($A229="","",IF($J229="DIESEL",SUMIFS(Table1[Quantity],Table1[Customer],$M$3,Table1[Date],$A229,Table1[Bill No.],$B229),IF($J229="PETROL",SUMIFS(Table14[Quantity],Table14[Customer],$M$3,Table14[Date],$A229,Table14[Bill No.],$B229),IF($J229="XtraGreen",SUMIFS(Table146[Quantity],Table146[Company],$M$3,Table146[Date],$A229,Table146[Bill No.],$B229),""))))</f>
        <v/>
      </c>
      <c r="D229" s="346" t="str">
        <f>IF($A229="","",IF($J229="DIESEL",AVERAGEIFS(Table1[RSP],Table1[Customer],$M$3,Table1[Date],$A229,Table1[Bill No.],$B229),IF($J229="PETROL",AVERAGEIFS(Table14[RSP],Table14[Customer],$M$3,Table14[Date],$A229,Table14[Bill No.],$B229),IF($J229="XtraGreen",AVERAGEIFS(Table146[RSP],Table146[Company],$M$3,Table146[Date],$A229,Table146[Bill No.],$B229),IFERROR($E229/$C229,"")))))</f>
        <v/>
      </c>
      <c r="E229" s="347" t="str">
        <f>IF($A229="","",IF($J229="DIESEL",SUMIFS(Table1[Amount],Table1[Customer],$M$3,Table1[Date],$A229,Table1[Bill No.],$B229),IF($J229="PETROL",SUMIFS(Table14[Amount],Table14[Customer],$M$3,Table14[Date],$A229,Table14[Bill No.],$B229),IF($J229="XtraGreen",SUMIFS(Table146[Amount],Table146[Company],$M$3,Table146[Date],$A229,Table146[Bill No.],$B229),SUMIFS('Other Sale'!$D:$D,'Other Sale'!$E:$E,$M$3,'Other Sale'!$C:$C,$J229,'Other Sale'!$A:$A,$A229)))))</f>
        <v/>
      </c>
      <c r="F229" s="347" t="str" cm="1">
        <f t="array" ref="F229">IF($A229="","",IF($J229="Payment",IFERROR(INDEX(_xlfn._xlws.FILTER(MasterPaid[Amount Paid],(MasterPaid[Customer]=$M$3)*(MasterPaid[Date]=$A229)),COUNTIFS($A$6:$A229,$A229,$J$6:$J229,"Payment")),0),0))</f>
        <v/>
      </c>
      <c r="G229" s="331"/>
      <c r="H229" s="427"/>
      <c r="I229" s="330" t="str">
        <f t="shared" si="13"/>
        <v/>
      </c>
      <c r="J229" s="344" t="str" cm="1">
        <f t="array" ref="J229">IFERROR(INDEX(_xlfn.ANCHORARRAY($P$6),ROW()-5,3),"")</f>
        <v/>
      </c>
      <c r="K229" s="432" t="str" cm="1">
        <f t="array" ref="K229">IF(OR($A229="",$J229&lt;&gt;"DIESEL"),"",_xlfn.LET(_xlpm.qty,N($C229),_xlpm.pos,$T$5:$T$54,_xlpm.alo,IF($U$5:$U$54="",0,$U$5:$U$54),_xlpm.usd,SUMIFS($C$6:$C228,$K$6:$K228,_xlpm.pos&amp;""),_xlpm.bal,_xlpm.alo-_xlpm.usd,IFERROR(INDEX(_xlfn._xlws.FILTER(_xlpm.pos,(_xlpm.pos&lt;&gt;"")*(_xlpm.qty&gt;0)*(_xlpm.bal&gt;=_xlpm.qty)),1),"")))</f>
        <v/>
      </c>
      <c r="L229" s="348"/>
    </row>
    <row r="230" spans="1:12" ht="23" x14ac:dyDescent="0.25">
      <c r="A230" s="217" t="str" cm="1">
        <f t="array" ref="A230">IFERROR(INDEX(_xlfn.ANCHORARRAY($P$6),ROW()-5,1),"")</f>
        <v/>
      </c>
      <c r="B230" s="344" t="str" cm="1">
        <f t="array" ref="B230">IFERROR(INDEX(_xlfn.ANCHORARRAY($P$6),ROW()-5,2),"")</f>
        <v/>
      </c>
      <c r="C230" s="345" t="str">
        <f>IF($A230="","",IF($J230="DIESEL",SUMIFS(Table1[Quantity],Table1[Customer],$M$3,Table1[Date],$A230,Table1[Bill No.],$B230),IF($J230="PETROL",SUMIFS(Table14[Quantity],Table14[Customer],$M$3,Table14[Date],$A230,Table14[Bill No.],$B230),IF($J230="XtraGreen",SUMIFS(Table146[Quantity],Table146[Company],$M$3,Table146[Date],$A230,Table146[Bill No.],$B230),""))))</f>
        <v/>
      </c>
      <c r="D230" s="346" t="str">
        <f>IF($A230="","",IF($J230="DIESEL",AVERAGEIFS(Table1[RSP],Table1[Customer],$M$3,Table1[Date],$A230,Table1[Bill No.],$B230),IF($J230="PETROL",AVERAGEIFS(Table14[RSP],Table14[Customer],$M$3,Table14[Date],$A230,Table14[Bill No.],$B230),IF($J230="XtraGreen",AVERAGEIFS(Table146[RSP],Table146[Company],$M$3,Table146[Date],$A230,Table146[Bill No.],$B230),IFERROR($E230/$C230,"")))))</f>
        <v/>
      </c>
      <c r="E230" s="347" t="str">
        <f>IF($A230="","",IF($J230="DIESEL",SUMIFS(Table1[Amount],Table1[Customer],$M$3,Table1[Date],$A230,Table1[Bill No.],$B230),IF($J230="PETROL",SUMIFS(Table14[Amount],Table14[Customer],$M$3,Table14[Date],$A230,Table14[Bill No.],$B230),IF($J230="XtraGreen",SUMIFS(Table146[Amount],Table146[Company],$M$3,Table146[Date],$A230,Table146[Bill No.],$B230),SUMIFS('Other Sale'!$D:$D,'Other Sale'!$E:$E,$M$3,'Other Sale'!$C:$C,$J230,'Other Sale'!$A:$A,$A230)))))</f>
        <v/>
      </c>
      <c r="F230" s="347" t="str" cm="1">
        <f t="array" ref="F230">IF($A230="","",IF($J230="Payment",IFERROR(INDEX(_xlfn._xlws.FILTER(MasterPaid[Amount Paid],(MasterPaid[Customer]=$M$3)*(MasterPaid[Date]=$A230)),COUNTIFS($A$6:$A230,$A230,$J$6:$J230,"Payment")),0),0))</f>
        <v/>
      </c>
      <c r="G230" s="331"/>
      <c r="H230" s="427"/>
      <c r="I230" s="330" t="str">
        <f t="shared" si="13"/>
        <v/>
      </c>
      <c r="J230" s="344" t="str" cm="1">
        <f t="array" ref="J230">IFERROR(INDEX(_xlfn.ANCHORARRAY($P$6),ROW()-5,3),"")</f>
        <v/>
      </c>
      <c r="K230" s="432" t="str" cm="1">
        <f t="array" ref="K230">IF(OR($A230="",$J230&lt;&gt;"DIESEL"),"",_xlfn.LET(_xlpm.qty,N($C230),_xlpm.pos,$T$5:$T$54,_xlpm.alo,IF($U$5:$U$54="",0,$U$5:$U$54),_xlpm.usd,SUMIFS($C$6:$C229,$K$6:$K229,_xlpm.pos&amp;""),_xlpm.bal,_xlpm.alo-_xlpm.usd,IFERROR(INDEX(_xlfn._xlws.FILTER(_xlpm.pos,(_xlpm.pos&lt;&gt;"")*(_xlpm.qty&gt;0)*(_xlpm.bal&gt;=_xlpm.qty)),1),"")))</f>
        <v/>
      </c>
      <c r="L230" s="348"/>
    </row>
    <row r="231" spans="1:12" ht="23" x14ac:dyDescent="0.25">
      <c r="A231" s="217" t="str" cm="1">
        <f t="array" ref="A231">IFERROR(INDEX(_xlfn.ANCHORARRAY($P$6),ROW()-5,1),"")</f>
        <v/>
      </c>
      <c r="B231" s="344" t="str" cm="1">
        <f t="array" ref="B231">IFERROR(INDEX(_xlfn.ANCHORARRAY($P$6),ROW()-5,2),"")</f>
        <v/>
      </c>
      <c r="C231" s="345" t="str">
        <f>IF($A231="","",IF($J231="DIESEL",SUMIFS(Table1[Quantity],Table1[Customer],$M$3,Table1[Date],$A231,Table1[Bill No.],$B231),IF($J231="PETROL",SUMIFS(Table14[Quantity],Table14[Customer],$M$3,Table14[Date],$A231,Table14[Bill No.],$B231),IF($J231="XtraGreen",SUMIFS(Table146[Quantity],Table146[Company],$M$3,Table146[Date],$A231,Table146[Bill No.],$B231),""))))</f>
        <v/>
      </c>
      <c r="D231" s="346" t="str">
        <f>IF($A231="","",IF($J231="DIESEL",AVERAGEIFS(Table1[RSP],Table1[Customer],$M$3,Table1[Date],$A231,Table1[Bill No.],$B231),IF($J231="PETROL",AVERAGEIFS(Table14[RSP],Table14[Customer],$M$3,Table14[Date],$A231,Table14[Bill No.],$B231),IF($J231="XtraGreen",AVERAGEIFS(Table146[RSP],Table146[Company],$M$3,Table146[Date],$A231,Table146[Bill No.],$B231),IFERROR($E231/$C231,"")))))</f>
        <v/>
      </c>
      <c r="E231" s="347" t="str">
        <f>IF($A231="","",IF($J231="DIESEL",SUMIFS(Table1[Amount],Table1[Customer],$M$3,Table1[Date],$A231,Table1[Bill No.],$B231),IF($J231="PETROL",SUMIFS(Table14[Amount],Table14[Customer],$M$3,Table14[Date],$A231,Table14[Bill No.],$B231),IF($J231="XtraGreen",SUMIFS(Table146[Amount],Table146[Company],$M$3,Table146[Date],$A231,Table146[Bill No.],$B231),SUMIFS('Other Sale'!$D:$D,'Other Sale'!$E:$E,$M$3,'Other Sale'!$C:$C,$J231,'Other Sale'!$A:$A,$A231)))))</f>
        <v/>
      </c>
      <c r="F231" s="347" t="str" cm="1">
        <f t="array" ref="F231">IF($A231="","",IF($J231="Payment",IFERROR(INDEX(_xlfn._xlws.FILTER(MasterPaid[Amount Paid],(MasterPaid[Customer]=$M$3)*(MasterPaid[Date]=$A231)),COUNTIFS($A$6:$A231,$A231,$J$6:$J231,"Payment")),0),0))</f>
        <v/>
      </c>
      <c r="G231" s="331"/>
      <c r="H231" s="427"/>
      <c r="I231" s="330" t="str">
        <f t="shared" si="13"/>
        <v/>
      </c>
      <c r="J231" s="344" t="str" cm="1">
        <f t="array" ref="J231">IFERROR(INDEX(_xlfn.ANCHORARRAY($P$6),ROW()-5,3),"")</f>
        <v/>
      </c>
      <c r="K231" s="432" t="str" cm="1">
        <f t="array" ref="K231">IF(OR($A231="",$J231&lt;&gt;"DIESEL"),"",_xlfn.LET(_xlpm.qty,N($C231),_xlpm.pos,$T$5:$T$54,_xlpm.alo,IF($U$5:$U$54="",0,$U$5:$U$54),_xlpm.usd,SUMIFS($C$6:$C230,$K$6:$K230,_xlpm.pos&amp;""),_xlpm.bal,_xlpm.alo-_xlpm.usd,IFERROR(INDEX(_xlfn._xlws.FILTER(_xlpm.pos,(_xlpm.pos&lt;&gt;"")*(_xlpm.qty&gt;0)*(_xlpm.bal&gt;=_xlpm.qty)),1),"")))</f>
        <v/>
      </c>
      <c r="L231" s="348"/>
    </row>
    <row r="232" spans="1:12" ht="23" x14ac:dyDescent="0.25">
      <c r="A232" s="217" t="str" cm="1">
        <f t="array" ref="A232">IFERROR(INDEX(_xlfn.ANCHORARRAY($P$6),ROW()-5,1),"")</f>
        <v/>
      </c>
      <c r="B232" s="344" t="str" cm="1">
        <f t="array" ref="B232">IFERROR(INDEX(_xlfn.ANCHORARRAY($P$6),ROW()-5,2),"")</f>
        <v/>
      </c>
      <c r="C232" s="345" t="str">
        <f>IF($A232="","",IF($J232="DIESEL",SUMIFS(Table1[Quantity],Table1[Customer],$M$3,Table1[Date],$A232,Table1[Bill No.],$B232),IF($J232="PETROL",SUMIFS(Table14[Quantity],Table14[Customer],$M$3,Table14[Date],$A232,Table14[Bill No.],$B232),IF($J232="XtraGreen",SUMIFS(Table146[Quantity],Table146[Company],$M$3,Table146[Date],$A232,Table146[Bill No.],$B232),""))))</f>
        <v/>
      </c>
      <c r="D232" s="346" t="str">
        <f>IF($A232="","",IF($J232="DIESEL",AVERAGEIFS(Table1[RSP],Table1[Customer],$M$3,Table1[Date],$A232,Table1[Bill No.],$B232),IF($J232="PETROL",AVERAGEIFS(Table14[RSP],Table14[Customer],$M$3,Table14[Date],$A232,Table14[Bill No.],$B232),IF($J232="XtraGreen",AVERAGEIFS(Table146[RSP],Table146[Company],$M$3,Table146[Date],$A232,Table146[Bill No.],$B232),IFERROR($E232/$C232,"")))))</f>
        <v/>
      </c>
      <c r="E232" s="347" t="str">
        <f>IF($A232="","",IF($J232="DIESEL",SUMIFS(Table1[Amount],Table1[Customer],$M$3,Table1[Date],$A232,Table1[Bill No.],$B232),IF($J232="PETROL",SUMIFS(Table14[Amount],Table14[Customer],$M$3,Table14[Date],$A232,Table14[Bill No.],$B232),IF($J232="XtraGreen",SUMIFS(Table146[Amount],Table146[Company],$M$3,Table146[Date],$A232,Table146[Bill No.],$B232),SUMIFS('Other Sale'!$D:$D,'Other Sale'!$E:$E,$M$3,'Other Sale'!$C:$C,$J232,'Other Sale'!$A:$A,$A232)))))</f>
        <v/>
      </c>
      <c r="F232" s="347" t="str" cm="1">
        <f t="array" ref="F232">IF($A232="","",IF($J232="Payment",IFERROR(INDEX(_xlfn._xlws.FILTER(MasterPaid[Amount Paid],(MasterPaid[Customer]=$M$3)*(MasterPaid[Date]=$A232)),COUNTIFS($A$6:$A232,$A232,$J$6:$J232,"Payment")),0),0))</f>
        <v/>
      </c>
      <c r="G232" s="331"/>
      <c r="H232" s="427"/>
      <c r="I232" s="330" t="str">
        <f t="shared" si="13"/>
        <v/>
      </c>
      <c r="J232" s="344" t="str" cm="1">
        <f t="array" ref="J232">IFERROR(INDEX(_xlfn.ANCHORARRAY($P$6),ROW()-5,3),"")</f>
        <v/>
      </c>
      <c r="K232" s="432" t="str" cm="1">
        <f t="array" ref="K232">IF(OR($A232="",$J232&lt;&gt;"DIESEL"),"",_xlfn.LET(_xlpm.qty,N($C232),_xlpm.pos,$T$5:$T$54,_xlpm.alo,IF($U$5:$U$54="",0,$U$5:$U$54),_xlpm.usd,SUMIFS($C$6:$C231,$K$6:$K231,_xlpm.pos&amp;""),_xlpm.bal,_xlpm.alo-_xlpm.usd,IFERROR(INDEX(_xlfn._xlws.FILTER(_xlpm.pos,(_xlpm.pos&lt;&gt;"")*(_xlpm.qty&gt;0)*(_xlpm.bal&gt;=_xlpm.qty)),1),"")))</f>
        <v/>
      </c>
      <c r="L232" s="348"/>
    </row>
    <row r="233" spans="1:12" ht="23" x14ac:dyDescent="0.25">
      <c r="A233" s="217" t="str" cm="1">
        <f t="array" ref="A233">IFERROR(INDEX(_xlfn.ANCHORARRAY($P$6),ROW()-5,1),"")</f>
        <v/>
      </c>
      <c r="B233" s="344" t="str" cm="1">
        <f t="array" ref="B233">IFERROR(INDEX(_xlfn.ANCHORARRAY($P$6),ROW()-5,2),"")</f>
        <v/>
      </c>
      <c r="C233" s="345" t="str">
        <f>IF($A233="","",IF($J233="DIESEL",SUMIFS(Table1[Quantity],Table1[Customer],$M$3,Table1[Date],$A233,Table1[Bill No.],$B233),IF($J233="PETROL",SUMIFS(Table14[Quantity],Table14[Customer],$M$3,Table14[Date],$A233,Table14[Bill No.],$B233),IF($J233="XtraGreen",SUMIFS(Table146[Quantity],Table146[Company],$M$3,Table146[Date],$A233,Table146[Bill No.],$B233),""))))</f>
        <v/>
      </c>
      <c r="D233" s="346" t="str">
        <f>IF($A233="","",IF($J233="DIESEL",AVERAGEIFS(Table1[RSP],Table1[Customer],$M$3,Table1[Date],$A233,Table1[Bill No.],$B233),IF($J233="PETROL",AVERAGEIFS(Table14[RSP],Table14[Customer],$M$3,Table14[Date],$A233,Table14[Bill No.],$B233),IF($J233="XtraGreen",AVERAGEIFS(Table146[RSP],Table146[Company],$M$3,Table146[Date],$A233,Table146[Bill No.],$B233),IFERROR($E233/$C233,"")))))</f>
        <v/>
      </c>
      <c r="E233" s="347" t="str">
        <f>IF($A233="","",IF($J233="DIESEL",SUMIFS(Table1[Amount],Table1[Customer],$M$3,Table1[Date],$A233,Table1[Bill No.],$B233),IF($J233="PETROL",SUMIFS(Table14[Amount],Table14[Customer],$M$3,Table14[Date],$A233,Table14[Bill No.],$B233),IF($J233="XtraGreen",SUMIFS(Table146[Amount],Table146[Company],$M$3,Table146[Date],$A233,Table146[Bill No.],$B233),SUMIFS('Other Sale'!$D:$D,'Other Sale'!$E:$E,$M$3,'Other Sale'!$C:$C,$J233,'Other Sale'!$A:$A,$A233)))))</f>
        <v/>
      </c>
      <c r="F233" s="347" t="str" cm="1">
        <f t="array" ref="F233">IF($A233="","",IF($J233="Payment",IFERROR(INDEX(_xlfn._xlws.FILTER(MasterPaid[Amount Paid],(MasterPaid[Customer]=$M$3)*(MasterPaid[Date]=$A233)),COUNTIFS($A$6:$A233,$A233,$J$6:$J233,"Payment")),0),0))</f>
        <v/>
      </c>
      <c r="G233" s="331"/>
      <c r="H233" s="427"/>
      <c r="I233" s="330" t="str">
        <f t="shared" si="13"/>
        <v/>
      </c>
      <c r="J233" s="344" t="str" cm="1">
        <f t="array" ref="J233">IFERROR(INDEX(_xlfn.ANCHORARRAY($P$6),ROW()-5,3),"")</f>
        <v/>
      </c>
      <c r="K233" s="432" t="str" cm="1">
        <f t="array" ref="K233">IF(OR($A233="",$J233&lt;&gt;"DIESEL"),"",_xlfn.LET(_xlpm.qty,N($C233),_xlpm.pos,$T$5:$T$54,_xlpm.alo,IF($U$5:$U$54="",0,$U$5:$U$54),_xlpm.usd,SUMIFS($C$6:$C232,$K$6:$K232,_xlpm.pos&amp;""),_xlpm.bal,_xlpm.alo-_xlpm.usd,IFERROR(INDEX(_xlfn._xlws.FILTER(_xlpm.pos,(_xlpm.pos&lt;&gt;"")*(_xlpm.qty&gt;0)*(_xlpm.bal&gt;=_xlpm.qty)),1),"")))</f>
        <v/>
      </c>
      <c r="L233" s="348"/>
    </row>
    <row r="234" spans="1:12" ht="23" x14ac:dyDescent="0.25">
      <c r="A234" s="217" t="str" cm="1">
        <f t="array" ref="A234">IFERROR(INDEX(_xlfn.ANCHORARRAY($P$6),ROW()-5,1),"")</f>
        <v/>
      </c>
      <c r="B234" s="344" t="str" cm="1">
        <f t="array" ref="B234">IFERROR(INDEX(_xlfn.ANCHORARRAY($P$6),ROW()-5,2),"")</f>
        <v/>
      </c>
      <c r="C234" s="345" t="str">
        <f>IF($A234="","",IF($J234="DIESEL",SUMIFS(Table1[Quantity],Table1[Customer],$M$3,Table1[Date],$A234,Table1[Bill No.],$B234),IF($J234="PETROL",SUMIFS(Table14[Quantity],Table14[Customer],$M$3,Table14[Date],$A234,Table14[Bill No.],$B234),IF($J234="XtraGreen",SUMIFS(Table146[Quantity],Table146[Company],$M$3,Table146[Date],$A234,Table146[Bill No.],$B234),""))))</f>
        <v/>
      </c>
      <c r="D234" s="346" t="str">
        <f>IF($A234="","",IF($J234="DIESEL",AVERAGEIFS(Table1[RSP],Table1[Customer],$M$3,Table1[Date],$A234,Table1[Bill No.],$B234),IF($J234="PETROL",AVERAGEIFS(Table14[RSP],Table14[Customer],$M$3,Table14[Date],$A234,Table14[Bill No.],$B234),IF($J234="XtraGreen",AVERAGEIFS(Table146[RSP],Table146[Company],$M$3,Table146[Date],$A234,Table146[Bill No.],$B234),IFERROR($E234/$C234,"")))))</f>
        <v/>
      </c>
      <c r="E234" s="347" t="str">
        <f>IF($A234="","",IF($J234="DIESEL",SUMIFS(Table1[Amount],Table1[Customer],$M$3,Table1[Date],$A234,Table1[Bill No.],$B234),IF($J234="PETROL",SUMIFS(Table14[Amount],Table14[Customer],$M$3,Table14[Date],$A234,Table14[Bill No.],$B234),IF($J234="XtraGreen",SUMIFS(Table146[Amount],Table146[Company],$M$3,Table146[Date],$A234,Table146[Bill No.],$B234),SUMIFS('Other Sale'!$D:$D,'Other Sale'!$E:$E,$M$3,'Other Sale'!$C:$C,$J234,'Other Sale'!$A:$A,$A234)))))</f>
        <v/>
      </c>
      <c r="F234" s="347" t="str" cm="1">
        <f t="array" ref="F234">IF($A234="","",IF($J234="Payment",IFERROR(INDEX(_xlfn._xlws.FILTER(MasterPaid[Amount Paid],(MasterPaid[Customer]=$M$3)*(MasterPaid[Date]=$A234)),COUNTIFS($A$6:$A234,$A234,$J$6:$J234,"Payment")),0),0))</f>
        <v/>
      </c>
      <c r="G234" s="331"/>
      <c r="H234" s="427"/>
      <c r="I234" s="330" t="str">
        <f t="shared" si="13"/>
        <v/>
      </c>
      <c r="J234" s="344" t="str" cm="1">
        <f t="array" ref="J234">IFERROR(INDEX(_xlfn.ANCHORARRAY($P$6),ROW()-5,3),"")</f>
        <v/>
      </c>
      <c r="K234" s="432" t="str" cm="1">
        <f t="array" ref="K234">IF(OR($A234="",$J234&lt;&gt;"DIESEL"),"",_xlfn.LET(_xlpm.qty,N($C234),_xlpm.pos,$T$5:$T$54,_xlpm.alo,IF($U$5:$U$54="",0,$U$5:$U$54),_xlpm.usd,SUMIFS($C$6:$C233,$K$6:$K233,_xlpm.pos&amp;""),_xlpm.bal,_xlpm.alo-_xlpm.usd,IFERROR(INDEX(_xlfn._xlws.FILTER(_xlpm.pos,(_xlpm.pos&lt;&gt;"")*(_xlpm.qty&gt;0)*(_xlpm.bal&gt;=_xlpm.qty)),1),"")))</f>
        <v/>
      </c>
      <c r="L234" s="348"/>
    </row>
    <row r="235" spans="1:12" ht="23" x14ac:dyDescent="0.25">
      <c r="A235" s="217" t="str" cm="1">
        <f t="array" ref="A235">IFERROR(INDEX(_xlfn.ANCHORARRAY($P$6),ROW()-5,1),"")</f>
        <v/>
      </c>
      <c r="B235" s="344" t="str" cm="1">
        <f t="array" ref="B235">IFERROR(INDEX(_xlfn.ANCHORARRAY($P$6),ROW()-5,2),"")</f>
        <v/>
      </c>
      <c r="C235" s="345" t="str">
        <f>IF($A235="","",IF($J235="DIESEL",SUMIFS(Table1[Quantity],Table1[Customer],$M$3,Table1[Date],$A235,Table1[Bill No.],$B235),IF($J235="PETROL",SUMIFS(Table14[Quantity],Table14[Customer],$M$3,Table14[Date],$A235,Table14[Bill No.],$B235),IF($J235="XtraGreen",SUMIFS(Table146[Quantity],Table146[Company],$M$3,Table146[Date],$A235,Table146[Bill No.],$B235),""))))</f>
        <v/>
      </c>
      <c r="D235" s="346" t="str">
        <f>IF($A235="","",IF($J235="DIESEL",AVERAGEIFS(Table1[RSP],Table1[Customer],$M$3,Table1[Date],$A235,Table1[Bill No.],$B235),IF($J235="PETROL",AVERAGEIFS(Table14[RSP],Table14[Customer],$M$3,Table14[Date],$A235,Table14[Bill No.],$B235),IF($J235="XtraGreen",AVERAGEIFS(Table146[RSP],Table146[Company],$M$3,Table146[Date],$A235,Table146[Bill No.],$B235),IFERROR($E235/$C235,"")))))</f>
        <v/>
      </c>
      <c r="E235" s="347" t="str">
        <f>IF($A235="","",IF($J235="DIESEL",SUMIFS(Table1[Amount],Table1[Customer],$M$3,Table1[Date],$A235,Table1[Bill No.],$B235),IF($J235="PETROL",SUMIFS(Table14[Amount],Table14[Customer],$M$3,Table14[Date],$A235,Table14[Bill No.],$B235),IF($J235="XtraGreen",SUMIFS(Table146[Amount],Table146[Company],$M$3,Table146[Date],$A235,Table146[Bill No.],$B235),SUMIFS('Other Sale'!$D:$D,'Other Sale'!$E:$E,$M$3,'Other Sale'!$C:$C,$J235,'Other Sale'!$A:$A,$A235)))))</f>
        <v/>
      </c>
      <c r="F235" s="347" t="str" cm="1">
        <f t="array" ref="F235">IF($A235="","",IF($J235="Payment",IFERROR(INDEX(_xlfn._xlws.FILTER(MasterPaid[Amount Paid],(MasterPaid[Customer]=$M$3)*(MasterPaid[Date]=$A235)),COUNTIFS($A$6:$A235,$A235,$J$6:$J235,"Payment")),0),0))</f>
        <v/>
      </c>
      <c r="G235" s="331"/>
      <c r="H235" s="427"/>
      <c r="I235" s="330" t="str">
        <f t="shared" si="13"/>
        <v/>
      </c>
      <c r="J235" s="344" t="str" cm="1">
        <f t="array" ref="J235">IFERROR(INDEX(_xlfn.ANCHORARRAY($P$6),ROW()-5,3),"")</f>
        <v/>
      </c>
      <c r="K235" s="432" t="str" cm="1">
        <f t="array" ref="K235">IF(OR($A235="",$J235&lt;&gt;"DIESEL"),"",_xlfn.LET(_xlpm.qty,N($C235),_xlpm.pos,$T$5:$T$54,_xlpm.alo,IF($U$5:$U$54="",0,$U$5:$U$54),_xlpm.usd,SUMIFS($C$6:$C234,$K$6:$K234,_xlpm.pos&amp;""),_xlpm.bal,_xlpm.alo-_xlpm.usd,IFERROR(INDEX(_xlfn._xlws.FILTER(_xlpm.pos,(_xlpm.pos&lt;&gt;"")*(_xlpm.qty&gt;0)*(_xlpm.bal&gt;=_xlpm.qty)),1),"")))</f>
        <v/>
      </c>
      <c r="L235" s="348"/>
    </row>
    <row r="236" spans="1:12" ht="23" x14ac:dyDescent="0.25">
      <c r="A236" s="217" t="str" cm="1">
        <f t="array" ref="A236">IFERROR(INDEX(_xlfn.ANCHORARRAY($P$6),ROW()-5,1),"")</f>
        <v/>
      </c>
      <c r="B236" s="344" t="str" cm="1">
        <f t="array" ref="B236">IFERROR(INDEX(_xlfn.ANCHORARRAY($P$6),ROW()-5,2),"")</f>
        <v/>
      </c>
      <c r="C236" s="345" t="str">
        <f>IF($A236="","",IF($J236="DIESEL",SUMIFS(Table1[Quantity],Table1[Customer],$M$3,Table1[Date],$A236,Table1[Bill No.],$B236),IF($J236="PETROL",SUMIFS(Table14[Quantity],Table14[Customer],$M$3,Table14[Date],$A236,Table14[Bill No.],$B236),IF($J236="XtraGreen",SUMIFS(Table146[Quantity],Table146[Company],$M$3,Table146[Date],$A236,Table146[Bill No.],$B236),""))))</f>
        <v/>
      </c>
      <c r="D236" s="346" t="str">
        <f>IF($A236="","",IF($J236="DIESEL",AVERAGEIFS(Table1[RSP],Table1[Customer],$M$3,Table1[Date],$A236,Table1[Bill No.],$B236),IF($J236="PETROL",AVERAGEIFS(Table14[RSP],Table14[Customer],$M$3,Table14[Date],$A236,Table14[Bill No.],$B236),IF($J236="XtraGreen",AVERAGEIFS(Table146[RSP],Table146[Company],$M$3,Table146[Date],$A236,Table146[Bill No.],$B236),IFERROR($E236/$C236,"")))))</f>
        <v/>
      </c>
      <c r="E236" s="347" t="str">
        <f>IF($A236="","",IF($J236="DIESEL",SUMIFS(Table1[Amount],Table1[Customer],$M$3,Table1[Date],$A236,Table1[Bill No.],$B236),IF($J236="PETROL",SUMIFS(Table14[Amount],Table14[Customer],$M$3,Table14[Date],$A236,Table14[Bill No.],$B236),IF($J236="XtraGreen",SUMIFS(Table146[Amount],Table146[Company],$M$3,Table146[Date],$A236,Table146[Bill No.],$B236),SUMIFS('Other Sale'!$D:$D,'Other Sale'!$E:$E,$M$3,'Other Sale'!$C:$C,$J236,'Other Sale'!$A:$A,$A236)))))</f>
        <v/>
      </c>
      <c r="F236" s="347" t="str" cm="1">
        <f t="array" ref="F236">IF($A236="","",IF($J236="Payment",IFERROR(INDEX(_xlfn._xlws.FILTER(MasterPaid[Amount Paid],(MasterPaid[Customer]=$M$3)*(MasterPaid[Date]=$A236)),COUNTIFS($A$6:$A236,$A236,$J$6:$J236,"Payment")),0),0))</f>
        <v/>
      </c>
      <c r="G236" s="331"/>
      <c r="H236" s="427"/>
      <c r="I236" s="330" t="str">
        <f t="shared" si="13"/>
        <v/>
      </c>
      <c r="J236" s="344" t="str" cm="1">
        <f t="array" ref="J236">IFERROR(INDEX(_xlfn.ANCHORARRAY($P$6),ROW()-5,3),"")</f>
        <v/>
      </c>
      <c r="K236" s="432" t="str" cm="1">
        <f t="array" ref="K236">IF(OR($A236="",$J236&lt;&gt;"DIESEL"),"",_xlfn.LET(_xlpm.qty,N($C236),_xlpm.pos,$T$5:$T$54,_xlpm.alo,IF($U$5:$U$54="",0,$U$5:$U$54),_xlpm.usd,SUMIFS($C$6:$C235,$K$6:$K235,_xlpm.pos&amp;""),_xlpm.bal,_xlpm.alo-_xlpm.usd,IFERROR(INDEX(_xlfn._xlws.FILTER(_xlpm.pos,(_xlpm.pos&lt;&gt;"")*(_xlpm.qty&gt;0)*(_xlpm.bal&gt;=_xlpm.qty)),1),"")))</f>
        <v/>
      </c>
      <c r="L236" s="348"/>
    </row>
    <row r="237" spans="1:12" ht="23" x14ac:dyDescent="0.25">
      <c r="A237" s="217" t="str" cm="1">
        <f t="array" ref="A237">IFERROR(INDEX(_xlfn.ANCHORARRAY($P$6),ROW()-5,1),"")</f>
        <v/>
      </c>
      <c r="B237" s="344" t="str" cm="1">
        <f t="array" ref="B237">IFERROR(INDEX(_xlfn.ANCHORARRAY($P$6),ROW()-5,2),"")</f>
        <v/>
      </c>
      <c r="C237" s="345" t="str">
        <f>IF($A237="","",IF($J237="DIESEL",SUMIFS(Table1[Quantity],Table1[Customer],$M$3,Table1[Date],$A237,Table1[Bill No.],$B237),IF($J237="PETROL",SUMIFS(Table14[Quantity],Table14[Customer],$M$3,Table14[Date],$A237,Table14[Bill No.],$B237),IF($J237="XtraGreen",SUMIFS(Table146[Quantity],Table146[Company],$M$3,Table146[Date],$A237,Table146[Bill No.],$B237),""))))</f>
        <v/>
      </c>
      <c r="D237" s="346" t="str">
        <f>IF($A237="","",IF($J237="DIESEL",AVERAGEIFS(Table1[RSP],Table1[Customer],$M$3,Table1[Date],$A237,Table1[Bill No.],$B237),IF($J237="PETROL",AVERAGEIFS(Table14[RSP],Table14[Customer],$M$3,Table14[Date],$A237,Table14[Bill No.],$B237),IF($J237="XtraGreen",AVERAGEIFS(Table146[RSP],Table146[Company],$M$3,Table146[Date],$A237,Table146[Bill No.],$B237),IFERROR($E237/$C237,"")))))</f>
        <v/>
      </c>
      <c r="E237" s="347" t="str">
        <f>IF($A237="","",IF($J237="DIESEL",SUMIFS(Table1[Amount],Table1[Customer],$M$3,Table1[Date],$A237,Table1[Bill No.],$B237),IF($J237="PETROL",SUMIFS(Table14[Amount],Table14[Customer],$M$3,Table14[Date],$A237,Table14[Bill No.],$B237),IF($J237="XtraGreen",SUMIFS(Table146[Amount],Table146[Company],$M$3,Table146[Date],$A237,Table146[Bill No.],$B237),SUMIFS('Other Sale'!$D:$D,'Other Sale'!$E:$E,$M$3,'Other Sale'!$C:$C,$J237,'Other Sale'!$A:$A,$A237)))))</f>
        <v/>
      </c>
      <c r="F237" s="347" t="str" cm="1">
        <f t="array" ref="F237">IF($A237="","",IF($J237="Payment",IFERROR(INDEX(_xlfn._xlws.FILTER(MasterPaid[Amount Paid],(MasterPaid[Customer]=$M$3)*(MasterPaid[Date]=$A237)),COUNTIFS($A$6:$A237,$A237,$J$6:$J237,"Payment")),0),0))</f>
        <v/>
      </c>
      <c r="G237" s="331"/>
      <c r="H237" s="427"/>
      <c r="I237" s="330" t="str">
        <f t="shared" si="13"/>
        <v/>
      </c>
      <c r="J237" s="344" t="str" cm="1">
        <f t="array" ref="J237">IFERROR(INDEX(_xlfn.ANCHORARRAY($P$6),ROW()-5,3),"")</f>
        <v/>
      </c>
      <c r="K237" s="432" t="str" cm="1">
        <f t="array" ref="K237">IF(OR($A237="",$J237&lt;&gt;"DIESEL"),"",_xlfn.LET(_xlpm.qty,N($C237),_xlpm.pos,$T$5:$T$54,_xlpm.alo,IF($U$5:$U$54="",0,$U$5:$U$54),_xlpm.usd,SUMIFS($C$6:$C236,$K$6:$K236,_xlpm.pos&amp;""),_xlpm.bal,_xlpm.alo-_xlpm.usd,IFERROR(INDEX(_xlfn._xlws.FILTER(_xlpm.pos,(_xlpm.pos&lt;&gt;"")*(_xlpm.qty&gt;0)*(_xlpm.bal&gt;=_xlpm.qty)),1),"")))</f>
        <v/>
      </c>
      <c r="L237" s="348"/>
    </row>
    <row r="238" spans="1:12" ht="23" x14ac:dyDescent="0.25">
      <c r="A238" s="217" t="str" cm="1">
        <f t="array" ref="A238">IFERROR(INDEX(_xlfn.ANCHORARRAY($P$6),ROW()-5,1),"")</f>
        <v/>
      </c>
      <c r="B238" s="344" t="str" cm="1">
        <f t="array" ref="B238">IFERROR(INDEX(_xlfn.ANCHORARRAY($P$6),ROW()-5,2),"")</f>
        <v/>
      </c>
      <c r="C238" s="345" t="str">
        <f>IF($A238="","",IF($J238="DIESEL",SUMIFS(Table1[Quantity],Table1[Customer],$M$3,Table1[Date],$A238,Table1[Bill No.],$B238),IF($J238="PETROL",SUMIFS(Table14[Quantity],Table14[Customer],$M$3,Table14[Date],$A238,Table14[Bill No.],$B238),IF($J238="XtraGreen",SUMIFS(Table146[Quantity],Table146[Company],$M$3,Table146[Date],$A238,Table146[Bill No.],$B238),""))))</f>
        <v/>
      </c>
      <c r="D238" s="346" t="str">
        <f>IF($A238="","",IF($J238="DIESEL",AVERAGEIFS(Table1[RSP],Table1[Customer],$M$3,Table1[Date],$A238,Table1[Bill No.],$B238),IF($J238="PETROL",AVERAGEIFS(Table14[RSP],Table14[Customer],$M$3,Table14[Date],$A238,Table14[Bill No.],$B238),IF($J238="XtraGreen",AVERAGEIFS(Table146[RSP],Table146[Company],$M$3,Table146[Date],$A238,Table146[Bill No.],$B238),IFERROR($E238/$C238,"")))))</f>
        <v/>
      </c>
      <c r="E238" s="347" t="str">
        <f>IF($A238="","",IF($J238="DIESEL",SUMIFS(Table1[Amount],Table1[Customer],$M$3,Table1[Date],$A238,Table1[Bill No.],$B238),IF($J238="PETROL",SUMIFS(Table14[Amount],Table14[Customer],$M$3,Table14[Date],$A238,Table14[Bill No.],$B238),IF($J238="XtraGreen",SUMIFS(Table146[Amount],Table146[Company],$M$3,Table146[Date],$A238,Table146[Bill No.],$B238),SUMIFS('Other Sale'!$D:$D,'Other Sale'!$E:$E,$M$3,'Other Sale'!$C:$C,$J238,'Other Sale'!$A:$A,$A238)))))</f>
        <v/>
      </c>
      <c r="F238" s="347" t="str" cm="1">
        <f t="array" ref="F238">IF($A238="","",IF($J238="Payment",IFERROR(INDEX(_xlfn._xlws.FILTER(MasterPaid[Amount Paid],(MasterPaid[Customer]=$M$3)*(MasterPaid[Date]=$A238)),COUNTIFS($A$6:$A238,$A238,$J$6:$J238,"Payment")),0),0))</f>
        <v/>
      </c>
      <c r="G238" s="331"/>
      <c r="H238" s="427"/>
      <c r="I238" s="330" t="str">
        <f t="shared" si="13"/>
        <v/>
      </c>
      <c r="J238" s="344" t="str" cm="1">
        <f t="array" ref="J238">IFERROR(INDEX(_xlfn.ANCHORARRAY($P$6),ROW()-5,3),"")</f>
        <v/>
      </c>
      <c r="K238" s="432" t="str" cm="1">
        <f t="array" ref="K238">IF(OR($A238="",$J238&lt;&gt;"DIESEL"),"",_xlfn.LET(_xlpm.qty,N($C238),_xlpm.pos,$T$5:$T$54,_xlpm.alo,IF($U$5:$U$54="",0,$U$5:$U$54),_xlpm.usd,SUMIFS($C$6:$C237,$K$6:$K237,_xlpm.pos&amp;""),_xlpm.bal,_xlpm.alo-_xlpm.usd,IFERROR(INDEX(_xlfn._xlws.FILTER(_xlpm.pos,(_xlpm.pos&lt;&gt;"")*(_xlpm.qty&gt;0)*(_xlpm.bal&gt;=_xlpm.qty)),1),"")))</f>
        <v/>
      </c>
      <c r="L238" s="348"/>
    </row>
    <row r="239" spans="1:12" ht="23" x14ac:dyDescent="0.25">
      <c r="A239" s="217" t="str" cm="1">
        <f t="array" ref="A239">IFERROR(INDEX(_xlfn.ANCHORARRAY($P$6),ROW()-5,1),"")</f>
        <v/>
      </c>
      <c r="B239" s="344" t="str" cm="1">
        <f t="array" ref="B239">IFERROR(INDEX(_xlfn.ANCHORARRAY($P$6),ROW()-5,2),"")</f>
        <v/>
      </c>
      <c r="C239" s="345" t="str">
        <f>IF($A239="","",IF($J239="DIESEL",SUMIFS(Table1[Quantity],Table1[Customer],$M$3,Table1[Date],$A239,Table1[Bill No.],$B239),IF($J239="PETROL",SUMIFS(Table14[Quantity],Table14[Customer],$M$3,Table14[Date],$A239,Table14[Bill No.],$B239),IF($J239="XtraGreen",SUMIFS(Table146[Quantity],Table146[Company],$M$3,Table146[Date],$A239,Table146[Bill No.],$B239),""))))</f>
        <v/>
      </c>
      <c r="D239" s="346" t="str">
        <f>IF($A239="","",IF($J239="DIESEL",AVERAGEIFS(Table1[RSP],Table1[Customer],$M$3,Table1[Date],$A239,Table1[Bill No.],$B239),IF($J239="PETROL",AVERAGEIFS(Table14[RSP],Table14[Customer],$M$3,Table14[Date],$A239,Table14[Bill No.],$B239),IF($J239="XtraGreen",AVERAGEIFS(Table146[RSP],Table146[Company],$M$3,Table146[Date],$A239,Table146[Bill No.],$B239),IFERROR($E239/$C239,"")))))</f>
        <v/>
      </c>
      <c r="E239" s="347" t="str">
        <f>IF($A239="","",IF($J239="DIESEL",SUMIFS(Table1[Amount],Table1[Customer],$M$3,Table1[Date],$A239,Table1[Bill No.],$B239),IF($J239="PETROL",SUMIFS(Table14[Amount],Table14[Customer],$M$3,Table14[Date],$A239,Table14[Bill No.],$B239),IF($J239="XtraGreen",SUMIFS(Table146[Amount],Table146[Company],$M$3,Table146[Date],$A239,Table146[Bill No.],$B239),SUMIFS('Other Sale'!$D:$D,'Other Sale'!$E:$E,$M$3,'Other Sale'!$C:$C,$J239,'Other Sale'!$A:$A,$A239)))))</f>
        <v/>
      </c>
      <c r="F239" s="347" t="str" cm="1">
        <f t="array" ref="F239">IF($A239="","",IF($J239="Payment",IFERROR(INDEX(_xlfn._xlws.FILTER(MasterPaid[Amount Paid],(MasterPaid[Customer]=$M$3)*(MasterPaid[Date]=$A239)),COUNTIFS($A$6:$A239,$A239,$J$6:$J239,"Payment")),0),0))</f>
        <v/>
      </c>
      <c r="G239" s="331"/>
      <c r="H239" s="427"/>
      <c r="I239" s="330" t="str">
        <f t="shared" si="13"/>
        <v/>
      </c>
      <c r="J239" s="344" t="str" cm="1">
        <f t="array" ref="J239">IFERROR(INDEX(_xlfn.ANCHORARRAY($P$6),ROW()-5,3),"")</f>
        <v/>
      </c>
      <c r="K239" s="432" t="str" cm="1">
        <f t="array" ref="K239">IF(OR($A239="",$J239&lt;&gt;"DIESEL"),"",_xlfn.LET(_xlpm.qty,N($C239),_xlpm.pos,$T$5:$T$54,_xlpm.alo,IF($U$5:$U$54="",0,$U$5:$U$54),_xlpm.usd,SUMIFS($C$6:$C238,$K$6:$K238,_xlpm.pos&amp;""),_xlpm.bal,_xlpm.alo-_xlpm.usd,IFERROR(INDEX(_xlfn._xlws.FILTER(_xlpm.pos,(_xlpm.pos&lt;&gt;"")*(_xlpm.qty&gt;0)*(_xlpm.bal&gt;=_xlpm.qty)),1),"")))</f>
        <v/>
      </c>
      <c r="L239" s="348"/>
    </row>
    <row r="240" spans="1:12" ht="23" x14ac:dyDescent="0.25">
      <c r="A240" s="217" t="str" cm="1">
        <f t="array" ref="A240">IFERROR(INDEX(_xlfn.ANCHORARRAY($P$6),ROW()-5,1),"")</f>
        <v/>
      </c>
      <c r="B240" s="344" t="str" cm="1">
        <f t="array" ref="B240">IFERROR(INDEX(_xlfn.ANCHORARRAY($P$6),ROW()-5,2),"")</f>
        <v/>
      </c>
      <c r="C240" s="345" t="str">
        <f>IF($A240="","",IF($J240="DIESEL",SUMIFS(Table1[Quantity],Table1[Customer],$M$3,Table1[Date],$A240,Table1[Bill No.],$B240),IF($J240="PETROL",SUMIFS(Table14[Quantity],Table14[Customer],$M$3,Table14[Date],$A240,Table14[Bill No.],$B240),IF($J240="XtraGreen",SUMIFS(Table146[Quantity],Table146[Company],$M$3,Table146[Date],$A240,Table146[Bill No.],$B240),""))))</f>
        <v/>
      </c>
      <c r="D240" s="346" t="str">
        <f>IF($A240="","",IF($J240="DIESEL",AVERAGEIFS(Table1[RSP],Table1[Customer],$M$3,Table1[Date],$A240,Table1[Bill No.],$B240),IF($J240="PETROL",AVERAGEIFS(Table14[RSP],Table14[Customer],$M$3,Table14[Date],$A240,Table14[Bill No.],$B240),IF($J240="XtraGreen",AVERAGEIFS(Table146[RSP],Table146[Company],$M$3,Table146[Date],$A240,Table146[Bill No.],$B240),IFERROR($E240/$C240,"")))))</f>
        <v/>
      </c>
      <c r="E240" s="347" t="str">
        <f>IF($A240="","",IF($J240="DIESEL",SUMIFS(Table1[Amount],Table1[Customer],$M$3,Table1[Date],$A240,Table1[Bill No.],$B240),IF($J240="PETROL",SUMIFS(Table14[Amount],Table14[Customer],$M$3,Table14[Date],$A240,Table14[Bill No.],$B240),IF($J240="XtraGreen",SUMIFS(Table146[Amount],Table146[Company],$M$3,Table146[Date],$A240,Table146[Bill No.],$B240),SUMIFS('Other Sale'!$D:$D,'Other Sale'!$E:$E,$M$3,'Other Sale'!$C:$C,$J240,'Other Sale'!$A:$A,$A240)))))</f>
        <v/>
      </c>
      <c r="F240" s="347" t="str" cm="1">
        <f t="array" ref="F240">IF($A240="","",IF($J240="Payment",IFERROR(INDEX(_xlfn._xlws.FILTER(MasterPaid[Amount Paid],(MasterPaid[Customer]=$M$3)*(MasterPaid[Date]=$A240)),COUNTIFS($A$6:$A240,$A240,$J$6:$J240,"Payment")),0),0))</f>
        <v/>
      </c>
      <c r="G240" s="331"/>
      <c r="H240" s="427"/>
      <c r="I240" s="330" t="str">
        <f t="shared" si="13"/>
        <v/>
      </c>
      <c r="J240" s="344" t="str" cm="1">
        <f t="array" ref="J240">IFERROR(INDEX(_xlfn.ANCHORARRAY($P$6),ROW()-5,3),"")</f>
        <v/>
      </c>
      <c r="K240" s="432" t="str" cm="1">
        <f t="array" ref="K240">IF(OR($A240="",$J240&lt;&gt;"DIESEL"),"",_xlfn.LET(_xlpm.qty,N($C240),_xlpm.pos,$T$5:$T$54,_xlpm.alo,IF($U$5:$U$54="",0,$U$5:$U$54),_xlpm.usd,SUMIFS($C$6:$C239,$K$6:$K239,_xlpm.pos&amp;""),_xlpm.bal,_xlpm.alo-_xlpm.usd,IFERROR(INDEX(_xlfn._xlws.FILTER(_xlpm.pos,(_xlpm.pos&lt;&gt;"")*(_xlpm.qty&gt;0)*(_xlpm.bal&gt;=_xlpm.qty)),1),"")))</f>
        <v/>
      </c>
      <c r="L240" s="348"/>
    </row>
    <row r="241" spans="1:12" ht="23" x14ac:dyDescent="0.25">
      <c r="A241" s="217" t="str" cm="1">
        <f t="array" ref="A241">IFERROR(INDEX(_xlfn.ANCHORARRAY($P$6),ROW()-5,1),"")</f>
        <v/>
      </c>
      <c r="B241" s="344" t="str" cm="1">
        <f t="array" ref="B241">IFERROR(INDEX(_xlfn.ANCHORARRAY($P$6),ROW()-5,2),"")</f>
        <v/>
      </c>
      <c r="C241" s="345" t="str">
        <f>IF($A241="","",IF($J241="DIESEL",SUMIFS(Table1[Quantity],Table1[Customer],$M$3,Table1[Date],$A241,Table1[Bill No.],$B241),IF($J241="PETROL",SUMIFS(Table14[Quantity],Table14[Customer],$M$3,Table14[Date],$A241,Table14[Bill No.],$B241),IF($J241="XtraGreen",SUMIFS(Table146[Quantity],Table146[Company],$M$3,Table146[Date],$A241,Table146[Bill No.],$B241),""))))</f>
        <v/>
      </c>
      <c r="D241" s="346" t="str">
        <f>IF($A241="","",IF($J241="DIESEL",AVERAGEIFS(Table1[RSP],Table1[Customer],$M$3,Table1[Date],$A241,Table1[Bill No.],$B241),IF($J241="PETROL",AVERAGEIFS(Table14[RSP],Table14[Customer],$M$3,Table14[Date],$A241,Table14[Bill No.],$B241),IF($J241="XtraGreen",AVERAGEIFS(Table146[RSP],Table146[Company],$M$3,Table146[Date],$A241,Table146[Bill No.],$B241),IFERROR($E241/$C241,"")))))</f>
        <v/>
      </c>
      <c r="E241" s="347" t="str">
        <f>IF($A241="","",IF($J241="DIESEL",SUMIFS(Table1[Amount],Table1[Customer],$M$3,Table1[Date],$A241,Table1[Bill No.],$B241),IF($J241="PETROL",SUMIFS(Table14[Amount],Table14[Customer],$M$3,Table14[Date],$A241,Table14[Bill No.],$B241),IF($J241="XtraGreen",SUMIFS(Table146[Amount],Table146[Company],$M$3,Table146[Date],$A241,Table146[Bill No.],$B241),SUMIFS('Other Sale'!$D:$D,'Other Sale'!$E:$E,$M$3,'Other Sale'!$C:$C,$J241,'Other Sale'!$A:$A,$A241)))))</f>
        <v/>
      </c>
      <c r="F241" s="347" t="str" cm="1">
        <f t="array" ref="F241">IF($A241="","",IF($J241="Payment",IFERROR(INDEX(_xlfn._xlws.FILTER(MasterPaid[Amount Paid],(MasterPaid[Customer]=$M$3)*(MasterPaid[Date]=$A241)),COUNTIFS($A$6:$A241,$A241,$J$6:$J241,"Payment")),0),0))</f>
        <v/>
      </c>
      <c r="G241" s="331"/>
      <c r="H241" s="427"/>
      <c r="I241" s="330" t="str">
        <f t="shared" si="13"/>
        <v/>
      </c>
      <c r="J241" s="344" t="str" cm="1">
        <f t="array" ref="J241">IFERROR(INDEX(_xlfn.ANCHORARRAY($P$6),ROW()-5,3),"")</f>
        <v/>
      </c>
      <c r="K241" s="432" t="str" cm="1">
        <f t="array" ref="K241">IF(OR($A241="",$J241&lt;&gt;"DIESEL"),"",_xlfn.LET(_xlpm.qty,N($C241),_xlpm.pos,$T$5:$T$54,_xlpm.alo,IF($U$5:$U$54="",0,$U$5:$U$54),_xlpm.usd,SUMIFS($C$6:$C240,$K$6:$K240,_xlpm.pos&amp;""),_xlpm.bal,_xlpm.alo-_xlpm.usd,IFERROR(INDEX(_xlfn._xlws.FILTER(_xlpm.pos,(_xlpm.pos&lt;&gt;"")*(_xlpm.qty&gt;0)*(_xlpm.bal&gt;=_xlpm.qty)),1),"")))</f>
        <v/>
      </c>
      <c r="L241" s="348"/>
    </row>
    <row r="242" spans="1:12" ht="23" x14ac:dyDescent="0.25">
      <c r="A242" s="217" t="str" cm="1">
        <f t="array" ref="A242">IFERROR(INDEX(_xlfn.ANCHORARRAY($P$6),ROW()-5,1),"")</f>
        <v/>
      </c>
      <c r="B242" s="344" t="str" cm="1">
        <f t="array" ref="B242">IFERROR(INDEX(_xlfn.ANCHORARRAY($P$6),ROW()-5,2),"")</f>
        <v/>
      </c>
      <c r="C242" s="345" t="str">
        <f>IF($A242="","",IF($J242="DIESEL",SUMIFS(Table1[Quantity],Table1[Customer],$M$3,Table1[Date],$A242,Table1[Bill No.],$B242),IF($J242="PETROL",SUMIFS(Table14[Quantity],Table14[Customer],$M$3,Table14[Date],$A242,Table14[Bill No.],$B242),IF($J242="XtraGreen",SUMIFS(Table146[Quantity],Table146[Company],$M$3,Table146[Date],$A242,Table146[Bill No.],$B242),""))))</f>
        <v/>
      </c>
      <c r="D242" s="346" t="str">
        <f>IF($A242="","",IF($J242="DIESEL",AVERAGEIFS(Table1[RSP],Table1[Customer],$M$3,Table1[Date],$A242,Table1[Bill No.],$B242),IF($J242="PETROL",AVERAGEIFS(Table14[RSP],Table14[Customer],$M$3,Table14[Date],$A242,Table14[Bill No.],$B242),IF($J242="XtraGreen",AVERAGEIFS(Table146[RSP],Table146[Company],$M$3,Table146[Date],$A242,Table146[Bill No.],$B242),IFERROR($E242/$C242,"")))))</f>
        <v/>
      </c>
      <c r="E242" s="347" t="str">
        <f>IF($A242="","",IF($J242="DIESEL",SUMIFS(Table1[Amount],Table1[Customer],$M$3,Table1[Date],$A242,Table1[Bill No.],$B242),IF($J242="PETROL",SUMIFS(Table14[Amount],Table14[Customer],$M$3,Table14[Date],$A242,Table14[Bill No.],$B242),IF($J242="XtraGreen",SUMIFS(Table146[Amount],Table146[Company],$M$3,Table146[Date],$A242,Table146[Bill No.],$B242),SUMIFS('Other Sale'!$D:$D,'Other Sale'!$E:$E,$M$3,'Other Sale'!$C:$C,$J242,'Other Sale'!$A:$A,$A242)))))</f>
        <v/>
      </c>
      <c r="F242" s="347" t="str" cm="1">
        <f t="array" ref="F242">IF($A242="","",IF($J242="Payment",IFERROR(INDEX(_xlfn._xlws.FILTER(MasterPaid[Amount Paid],(MasterPaid[Customer]=$M$3)*(MasterPaid[Date]=$A242)),COUNTIFS($A$6:$A242,$A242,$J$6:$J242,"Payment")),0),0))</f>
        <v/>
      </c>
      <c r="G242" s="331"/>
      <c r="H242" s="427"/>
      <c r="I242" s="330" t="str">
        <f t="shared" si="13"/>
        <v/>
      </c>
      <c r="J242" s="344" t="str" cm="1">
        <f t="array" ref="J242">IFERROR(INDEX(_xlfn.ANCHORARRAY($P$6),ROW()-5,3),"")</f>
        <v/>
      </c>
      <c r="K242" s="432" t="str" cm="1">
        <f t="array" ref="K242">IF(OR($A242="",$J242&lt;&gt;"DIESEL"),"",_xlfn.LET(_xlpm.qty,N($C242),_xlpm.pos,$T$5:$T$54,_xlpm.alo,IF($U$5:$U$54="",0,$U$5:$U$54),_xlpm.usd,SUMIFS($C$6:$C241,$K$6:$K241,_xlpm.pos&amp;""),_xlpm.bal,_xlpm.alo-_xlpm.usd,IFERROR(INDEX(_xlfn._xlws.FILTER(_xlpm.pos,(_xlpm.pos&lt;&gt;"")*(_xlpm.qty&gt;0)*(_xlpm.bal&gt;=_xlpm.qty)),1),"")))</f>
        <v/>
      </c>
      <c r="L242" s="348"/>
    </row>
    <row r="243" spans="1:12" ht="23" x14ac:dyDescent="0.25">
      <c r="A243" s="217" t="str" cm="1">
        <f t="array" ref="A243">IFERROR(INDEX(_xlfn.ANCHORARRAY($P$6),ROW()-5,1),"")</f>
        <v/>
      </c>
      <c r="B243" s="344" t="str" cm="1">
        <f t="array" ref="B243">IFERROR(INDEX(_xlfn.ANCHORARRAY($P$6),ROW()-5,2),"")</f>
        <v/>
      </c>
      <c r="C243" s="345" t="str">
        <f>IF($A243="","",IF($J243="DIESEL",SUMIFS(Table1[Quantity],Table1[Customer],$M$3,Table1[Date],$A243,Table1[Bill No.],$B243),IF($J243="PETROL",SUMIFS(Table14[Quantity],Table14[Customer],$M$3,Table14[Date],$A243,Table14[Bill No.],$B243),IF($J243="XtraGreen",SUMIFS(Table146[Quantity],Table146[Company],$M$3,Table146[Date],$A243,Table146[Bill No.],$B243),""))))</f>
        <v/>
      </c>
      <c r="D243" s="346" t="str">
        <f>IF($A243="","",IF($J243="DIESEL",AVERAGEIFS(Table1[RSP],Table1[Customer],$M$3,Table1[Date],$A243,Table1[Bill No.],$B243),IF($J243="PETROL",AVERAGEIFS(Table14[RSP],Table14[Customer],$M$3,Table14[Date],$A243,Table14[Bill No.],$B243),IF($J243="XtraGreen",AVERAGEIFS(Table146[RSP],Table146[Company],$M$3,Table146[Date],$A243,Table146[Bill No.],$B243),IFERROR($E243/$C243,"")))))</f>
        <v/>
      </c>
      <c r="E243" s="347" t="str">
        <f>IF($A243="","",IF($J243="DIESEL",SUMIFS(Table1[Amount],Table1[Customer],$M$3,Table1[Date],$A243,Table1[Bill No.],$B243),IF($J243="PETROL",SUMIFS(Table14[Amount],Table14[Customer],$M$3,Table14[Date],$A243,Table14[Bill No.],$B243),IF($J243="XtraGreen",SUMIFS(Table146[Amount],Table146[Company],$M$3,Table146[Date],$A243,Table146[Bill No.],$B243),SUMIFS('Other Sale'!$D:$D,'Other Sale'!$E:$E,$M$3,'Other Sale'!$C:$C,$J243,'Other Sale'!$A:$A,$A243)))))</f>
        <v/>
      </c>
      <c r="F243" s="347" t="str" cm="1">
        <f t="array" ref="F243">IF($A243="","",IF($J243="Payment",IFERROR(INDEX(_xlfn._xlws.FILTER(MasterPaid[Amount Paid],(MasterPaid[Customer]=$M$3)*(MasterPaid[Date]=$A243)),COUNTIFS($A$6:$A243,$A243,$J$6:$J243,"Payment")),0),0))</f>
        <v/>
      </c>
      <c r="G243" s="331"/>
      <c r="H243" s="427"/>
      <c r="I243" s="330" t="str">
        <f t="shared" si="13"/>
        <v/>
      </c>
      <c r="J243" s="344" t="str" cm="1">
        <f t="array" ref="J243">IFERROR(INDEX(_xlfn.ANCHORARRAY($P$6),ROW()-5,3),"")</f>
        <v/>
      </c>
      <c r="K243" s="432" t="str" cm="1">
        <f t="array" ref="K243">IF(OR($A243="",$J243&lt;&gt;"DIESEL"),"",_xlfn.LET(_xlpm.qty,N($C243),_xlpm.pos,$T$5:$T$54,_xlpm.alo,IF($U$5:$U$54="",0,$U$5:$U$54),_xlpm.usd,SUMIFS($C$6:$C242,$K$6:$K242,_xlpm.pos&amp;""),_xlpm.bal,_xlpm.alo-_xlpm.usd,IFERROR(INDEX(_xlfn._xlws.FILTER(_xlpm.pos,(_xlpm.pos&lt;&gt;"")*(_xlpm.qty&gt;0)*(_xlpm.bal&gt;=_xlpm.qty)),1),"")))</f>
        <v/>
      </c>
      <c r="L243" s="348"/>
    </row>
    <row r="244" spans="1:12" ht="23" x14ac:dyDescent="0.25">
      <c r="A244" s="217" t="str" cm="1">
        <f t="array" ref="A244">IFERROR(INDEX(_xlfn.ANCHORARRAY($P$6),ROW()-5,1),"")</f>
        <v/>
      </c>
      <c r="B244" s="344" t="str" cm="1">
        <f t="array" ref="B244">IFERROR(INDEX(_xlfn.ANCHORARRAY($P$6),ROW()-5,2),"")</f>
        <v/>
      </c>
      <c r="C244" s="345" t="str">
        <f>IF($A244="","",IF($J244="DIESEL",SUMIFS(Table1[Quantity],Table1[Customer],$M$3,Table1[Date],$A244,Table1[Bill No.],$B244),IF($J244="PETROL",SUMIFS(Table14[Quantity],Table14[Customer],$M$3,Table14[Date],$A244,Table14[Bill No.],$B244),IF($J244="XtraGreen",SUMIFS(Table146[Quantity],Table146[Company],$M$3,Table146[Date],$A244,Table146[Bill No.],$B244),""))))</f>
        <v/>
      </c>
      <c r="D244" s="346" t="str">
        <f>IF($A244="","",IF($J244="DIESEL",AVERAGEIFS(Table1[RSP],Table1[Customer],$M$3,Table1[Date],$A244,Table1[Bill No.],$B244),IF($J244="PETROL",AVERAGEIFS(Table14[RSP],Table14[Customer],$M$3,Table14[Date],$A244,Table14[Bill No.],$B244),IF($J244="XtraGreen",AVERAGEIFS(Table146[RSP],Table146[Company],$M$3,Table146[Date],$A244,Table146[Bill No.],$B244),IFERROR($E244/$C244,"")))))</f>
        <v/>
      </c>
      <c r="E244" s="347" t="str">
        <f>IF($A244="","",IF($J244="DIESEL",SUMIFS(Table1[Amount],Table1[Customer],$M$3,Table1[Date],$A244,Table1[Bill No.],$B244),IF($J244="PETROL",SUMIFS(Table14[Amount],Table14[Customer],$M$3,Table14[Date],$A244,Table14[Bill No.],$B244),IF($J244="XtraGreen",SUMIFS(Table146[Amount],Table146[Company],$M$3,Table146[Date],$A244,Table146[Bill No.],$B244),SUMIFS('Other Sale'!$D:$D,'Other Sale'!$E:$E,$M$3,'Other Sale'!$C:$C,$J244,'Other Sale'!$A:$A,$A244)))))</f>
        <v/>
      </c>
      <c r="F244" s="347" t="str" cm="1">
        <f t="array" ref="F244">IF($A244="","",IF($J244="Payment",IFERROR(INDEX(_xlfn._xlws.FILTER(MasterPaid[Amount Paid],(MasterPaid[Customer]=$M$3)*(MasterPaid[Date]=$A244)),COUNTIFS($A$6:$A244,$A244,$J$6:$J244,"Payment")),0),0))</f>
        <v/>
      </c>
      <c r="G244" s="331"/>
      <c r="H244" s="427"/>
      <c r="I244" s="330" t="str">
        <f t="shared" si="13"/>
        <v/>
      </c>
      <c r="J244" s="344" t="str" cm="1">
        <f t="array" ref="J244">IFERROR(INDEX(_xlfn.ANCHORARRAY($P$6),ROW()-5,3),"")</f>
        <v/>
      </c>
      <c r="K244" s="432" t="str" cm="1">
        <f t="array" ref="K244">IF(OR($A244="",$J244&lt;&gt;"DIESEL"),"",_xlfn.LET(_xlpm.qty,N($C244),_xlpm.pos,$T$5:$T$54,_xlpm.alo,IF($U$5:$U$54="",0,$U$5:$U$54),_xlpm.usd,SUMIFS($C$6:$C243,$K$6:$K243,_xlpm.pos&amp;""),_xlpm.bal,_xlpm.alo-_xlpm.usd,IFERROR(INDEX(_xlfn._xlws.FILTER(_xlpm.pos,(_xlpm.pos&lt;&gt;"")*(_xlpm.qty&gt;0)*(_xlpm.bal&gt;=_xlpm.qty)),1),"")))</f>
        <v/>
      </c>
      <c r="L244" s="348"/>
    </row>
    <row r="245" spans="1:12" ht="23" x14ac:dyDescent="0.25">
      <c r="A245" s="217" t="str" cm="1">
        <f t="array" ref="A245">IFERROR(INDEX(_xlfn.ANCHORARRAY($P$6),ROW()-5,1),"")</f>
        <v/>
      </c>
      <c r="B245" s="344" t="str" cm="1">
        <f t="array" ref="B245">IFERROR(INDEX(_xlfn.ANCHORARRAY($P$6),ROW()-5,2),"")</f>
        <v/>
      </c>
      <c r="C245" s="345" t="str">
        <f>IF($A245="","",IF($J245="DIESEL",SUMIFS(Table1[Quantity],Table1[Customer],$M$3,Table1[Date],$A245,Table1[Bill No.],$B245),IF($J245="PETROL",SUMIFS(Table14[Quantity],Table14[Customer],$M$3,Table14[Date],$A245,Table14[Bill No.],$B245),IF($J245="XtraGreen",SUMIFS(Table146[Quantity],Table146[Company],$M$3,Table146[Date],$A245,Table146[Bill No.],$B245),""))))</f>
        <v/>
      </c>
      <c r="D245" s="346" t="str">
        <f>IF($A245="","",IF($J245="DIESEL",AVERAGEIFS(Table1[RSP],Table1[Customer],$M$3,Table1[Date],$A245,Table1[Bill No.],$B245),IF($J245="PETROL",AVERAGEIFS(Table14[RSP],Table14[Customer],$M$3,Table14[Date],$A245,Table14[Bill No.],$B245),IF($J245="XtraGreen",AVERAGEIFS(Table146[RSP],Table146[Company],$M$3,Table146[Date],$A245,Table146[Bill No.],$B245),IFERROR($E245/$C245,"")))))</f>
        <v/>
      </c>
      <c r="E245" s="347" t="str">
        <f>IF($A245="","",IF($J245="DIESEL",SUMIFS(Table1[Amount],Table1[Customer],$M$3,Table1[Date],$A245,Table1[Bill No.],$B245),IF($J245="PETROL",SUMIFS(Table14[Amount],Table14[Customer],$M$3,Table14[Date],$A245,Table14[Bill No.],$B245),IF($J245="XtraGreen",SUMIFS(Table146[Amount],Table146[Company],$M$3,Table146[Date],$A245,Table146[Bill No.],$B245),SUMIFS('Other Sale'!$D:$D,'Other Sale'!$E:$E,$M$3,'Other Sale'!$C:$C,$J245,'Other Sale'!$A:$A,$A245)))))</f>
        <v/>
      </c>
      <c r="F245" s="347" t="str" cm="1">
        <f t="array" ref="F245">IF($A245="","",IF($J245="Payment",IFERROR(INDEX(_xlfn._xlws.FILTER(MasterPaid[Amount Paid],(MasterPaid[Customer]=$M$3)*(MasterPaid[Date]=$A245)),COUNTIFS($A$6:$A245,$A245,$J$6:$J245,"Payment")),0),0))</f>
        <v/>
      </c>
      <c r="G245" s="331"/>
      <c r="H245" s="427"/>
      <c r="I245" s="330" t="str">
        <f t="shared" si="13"/>
        <v/>
      </c>
      <c r="J245" s="344" t="str" cm="1">
        <f t="array" ref="J245">IFERROR(INDEX(_xlfn.ANCHORARRAY($P$6),ROW()-5,3),"")</f>
        <v/>
      </c>
      <c r="K245" s="432" t="str" cm="1">
        <f t="array" ref="K245">IF(OR($A245="",$J245&lt;&gt;"DIESEL"),"",_xlfn.LET(_xlpm.qty,N($C245),_xlpm.pos,$T$5:$T$54,_xlpm.alo,IF($U$5:$U$54="",0,$U$5:$U$54),_xlpm.usd,SUMIFS($C$6:$C244,$K$6:$K244,_xlpm.pos&amp;""),_xlpm.bal,_xlpm.alo-_xlpm.usd,IFERROR(INDEX(_xlfn._xlws.FILTER(_xlpm.pos,(_xlpm.pos&lt;&gt;"")*(_xlpm.qty&gt;0)*(_xlpm.bal&gt;=_xlpm.qty)),1),"")))</f>
        <v/>
      </c>
      <c r="L245" s="348"/>
    </row>
    <row r="246" spans="1:12" ht="23" x14ac:dyDescent="0.25">
      <c r="A246" s="217" t="str" cm="1">
        <f t="array" ref="A246">IFERROR(INDEX(_xlfn.ANCHORARRAY($P$6),ROW()-5,1),"")</f>
        <v/>
      </c>
      <c r="B246" s="344" t="str" cm="1">
        <f t="array" ref="B246">IFERROR(INDEX(_xlfn.ANCHORARRAY($P$6),ROW()-5,2),"")</f>
        <v/>
      </c>
      <c r="C246" s="345" t="str">
        <f>IF($A246="","",IF($J246="DIESEL",SUMIFS(Table1[Quantity],Table1[Customer],$M$3,Table1[Date],$A246,Table1[Bill No.],$B246),IF($J246="PETROL",SUMIFS(Table14[Quantity],Table14[Customer],$M$3,Table14[Date],$A246,Table14[Bill No.],$B246),IF($J246="XtraGreen",SUMIFS(Table146[Quantity],Table146[Company],$M$3,Table146[Date],$A246,Table146[Bill No.],$B246),""))))</f>
        <v/>
      </c>
      <c r="D246" s="346" t="str">
        <f>IF($A246="","",IF($J246="DIESEL",AVERAGEIFS(Table1[RSP],Table1[Customer],$M$3,Table1[Date],$A246,Table1[Bill No.],$B246),IF($J246="PETROL",AVERAGEIFS(Table14[RSP],Table14[Customer],$M$3,Table14[Date],$A246,Table14[Bill No.],$B246),IF($J246="XtraGreen",AVERAGEIFS(Table146[RSP],Table146[Company],$M$3,Table146[Date],$A246,Table146[Bill No.],$B246),IFERROR($E246/$C246,"")))))</f>
        <v/>
      </c>
      <c r="E246" s="347" t="str">
        <f>IF($A246="","",IF($J246="DIESEL",SUMIFS(Table1[Amount],Table1[Customer],$M$3,Table1[Date],$A246,Table1[Bill No.],$B246),IF($J246="PETROL",SUMIFS(Table14[Amount],Table14[Customer],$M$3,Table14[Date],$A246,Table14[Bill No.],$B246),IF($J246="XtraGreen",SUMIFS(Table146[Amount],Table146[Company],$M$3,Table146[Date],$A246,Table146[Bill No.],$B246),SUMIFS('Other Sale'!$D:$D,'Other Sale'!$E:$E,$M$3,'Other Sale'!$C:$C,$J246,'Other Sale'!$A:$A,$A246)))))</f>
        <v/>
      </c>
      <c r="F246" s="347" t="str" cm="1">
        <f t="array" ref="F246">IF($A246="","",IF($J246="Payment",IFERROR(INDEX(_xlfn._xlws.FILTER(MasterPaid[Amount Paid],(MasterPaid[Customer]=$M$3)*(MasterPaid[Date]=$A246)),COUNTIFS($A$6:$A246,$A246,$J$6:$J246,"Payment")),0),0))</f>
        <v/>
      </c>
      <c r="G246" s="331"/>
      <c r="H246" s="427"/>
      <c r="I246" s="330" t="str">
        <f t="shared" si="13"/>
        <v/>
      </c>
      <c r="J246" s="344" t="str" cm="1">
        <f t="array" ref="J246">IFERROR(INDEX(_xlfn.ANCHORARRAY($P$6),ROW()-5,3),"")</f>
        <v/>
      </c>
      <c r="K246" s="432" t="str" cm="1">
        <f t="array" ref="K246">IF(OR($A246="",$J246&lt;&gt;"DIESEL"),"",_xlfn.LET(_xlpm.qty,N($C246),_xlpm.pos,$T$5:$T$54,_xlpm.alo,IF($U$5:$U$54="",0,$U$5:$U$54),_xlpm.usd,SUMIFS($C$6:$C245,$K$6:$K245,_xlpm.pos&amp;""),_xlpm.bal,_xlpm.alo-_xlpm.usd,IFERROR(INDEX(_xlfn._xlws.FILTER(_xlpm.pos,(_xlpm.pos&lt;&gt;"")*(_xlpm.qty&gt;0)*(_xlpm.bal&gt;=_xlpm.qty)),1),"")))</f>
        <v/>
      </c>
      <c r="L246" s="348"/>
    </row>
    <row r="247" spans="1:12" ht="23" x14ac:dyDescent="0.25">
      <c r="A247" s="217" t="str" cm="1">
        <f t="array" ref="A247">IFERROR(INDEX(_xlfn.ANCHORARRAY($P$6),ROW()-5,1),"")</f>
        <v/>
      </c>
      <c r="B247" s="344" t="str" cm="1">
        <f t="array" ref="B247">IFERROR(INDEX(_xlfn.ANCHORARRAY($P$6),ROW()-5,2),"")</f>
        <v/>
      </c>
      <c r="C247" s="345" t="str">
        <f>IF($A247="","",IF($J247="DIESEL",SUMIFS(Table1[Quantity],Table1[Customer],$M$3,Table1[Date],$A247,Table1[Bill No.],$B247),IF($J247="PETROL",SUMIFS(Table14[Quantity],Table14[Customer],$M$3,Table14[Date],$A247,Table14[Bill No.],$B247),IF($J247="XtraGreen",SUMIFS(Table146[Quantity],Table146[Company],$M$3,Table146[Date],$A247,Table146[Bill No.],$B247),""))))</f>
        <v/>
      </c>
      <c r="D247" s="346" t="str">
        <f>IF($A247="","",IF($J247="DIESEL",AVERAGEIFS(Table1[RSP],Table1[Customer],$M$3,Table1[Date],$A247,Table1[Bill No.],$B247),IF($J247="PETROL",AVERAGEIFS(Table14[RSP],Table14[Customer],$M$3,Table14[Date],$A247,Table14[Bill No.],$B247),IF($J247="XtraGreen",AVERAGEIFS(Table146[RSP],Table146[Company],$M$3,Table146[Date],$A247,Table146[Bill No.],$B247),IFERROR($E247/$C247,"")))))</f>
        <v/>
      </c>
      <c r="E247" s="347" t="str">
        <f>IF($A247="","",IF($J247="DIESEL",SUMIFS(Table1[Amount],Table1[Customer],$M$3,Table1[Date],$A247,Table1[Bill No.],$B247),IF($J247="PETROL",SUMIFS(Table14[Amount],Table14[Customer],$M$3,Table14[Date],$A247,Table14[Bill No.],$B247),IF($J247="XtraGreen",SUMIFS(Table146[Amount],Table146[Company],$M$3,Table146[Date],$A247,Table146[Bill No.],$B247),SUMIFS('Other Sale'!$D:$D,'Other Sale'!$E:$E,$M$3,'Other Sale'!$C:$C,$J247,'Other Sale'!$A:$A,$A247)))))</f>
        <v/>
      </c>
      <c r="F247" s="347" t="str" cm="1">
        <f t="array" ref="F247">IF($A247="","",IF($J247="Payment",IFERROR(INDEX(_xlfn._xlws.FILTER(MasterPaid[Amount Paid],(MasterPaid[Customer]=$M$3)*(MasterPaid[Date]=$A247)),COUNTIFS($A$6:$A247,$A247,$J$6:$J247,"Payment")),0),0))</f>
        <v/>
      </c>
      <c r="G247" s="331"/>
      <c r="H247" s="427"/>
      <c r="I247" s="330" t="str">
        <f t="shared" si="13"/>
        <v/>
      </c>
      <c r="J247" s="344" t="str" cm="1">
        <f t="array" ref="J247">IFERROR(INDEX(_xlfn.ANCHORARRAY($P$6),ROW()-5,3),"")</f>
        <v/>
      </c>
      <c r="K247" s="432" t="str" cm="1">
        <f t="array" ref="K247">IF(OR($A247="",$J247&lt;&gt;"DIESEL"),"",_xlfn.LET(_xlpm.qty,N($C247),_xlpm.pos,$T$5:$T$54,_xlpm.alo,IF($U$5:$U$54="",0,$U$5:$U$54),_xlpm.usd,SUMIFS($C$6:$C246,$K$6:$K246,_xlpm.pos&amp;""),_xlpm.bal,_xlpm.alo-_xlpm.usd,IFERROR(INDEX(_xlfn._xlws.FILTER(_xlpm.pos,(_xlpm.pos&lt;&gt;"")*(_xlpm.qty&gt;0)*(_xlpm.bal&gt;=_xlpm.qty)),1),"")))</f>
        <v/>
      </c>
      <c r="L247" s="348"/>
    </row>
    <row r="248" spans="1:12" ht="23" x14ac:dyDescent="0.25">
      <c r="A248" s="217" t="str" cm="1">
        <f t="array" ref="A248">IFERROR(INDEX(_xlfn.ANCHORARRAY($P$6),ROW()-5,1),"")</f>
        <v/>
      </c>
      <c r="B248" s="344" t="str" cm="1">
        <f t="array" ref="B248">IFERROR(INDEX(_xlfn.ANCHORARRAY($P$6),ROW()-5,2),"")</f>
        <v/>
      </c>
      <c r="C248" s="345" t="str">
        <f>IF($A248="","",IF($J248="DIESEL",SUMIFS(Table1[Quantity],Table1[Customer],$M$3,Table1[Date],$A248,Table1[Bill No.],$B248),IF($J248="PETROL",SUMIFS(Table14[Quantity],Table14[Customer],$M$3,Table14[Date],$A248,Table14[Bill No.],$B248),IF($J248="XtraGreen",SUMIFS(Table146[Quantity],Table146[Company],$M$3,Table146[Date],$A248,Table146[Bill No.],$B248),""))))</f>
        <v/>
      </c>
      <c r="D248" s="346" t="str">
        <f>IF($A248="","",IF($J248="DIESEL",AVERAGEIFS(Table1[RSP],Table1[Customer],$M$3,Table1[Date],$A248,Table1[Bill No.],$B248),IF($J248="PETROL",AVERAGEIFS(Table14[RSP],Table14[Customer],$M$3,Table14[Date],$A248,Table14[Bill No.],$B248),IF($J248="XtraGreen",AVERAGEIFS(Table146[RSP],Table146[Company],$M$3,Table146[Date],$A248,Table146[Bill No.],$B248),IFERROR($E248/$C248,"")))))</f>
        <v/>
      </c>
      <c r="E248" s="347" t="str">
        <f>IF($A248="","",IF($J248="DIESEL",SUMIFS(Table1[Amount],Table1[Customer],$M$3,Table1[Date],$A248,Table1[Bill No.],$B248),IF($J248="PETROL",SUMIFS(Table14[Amount],Table14[Customer],$M$3,Table14[Date],$A248,Table14[Bill No.],$B248),IF($J248="XtraGreen",SUMIFS(Table146[Amount],Table146[Company],$M$3,Table146[Date],$A248,Table146[Bill No.],$B248),SUMIFS('Other Sale'!$D:$D,'Other Sale'!$E:$E,$M$3,'Other Sale'!$C:$C,$J248,'Other Sale'!$A:$A,$A248)))))</f>
        <v/>
      </c>
      <c r="F248" s="347" t="str" cm="1">
        <f t="array" ref="F248">IF($A248="","",IF($J248="Payment",IFERROR(INDEX(_xlfn._xlws.FILTER(MasterPaid[Amount Paid],(MasterPaid[Customer]=$M$3)*(MasterPaid[Date]=$A248)),COUNTIFS($A$6:$A248,$A248,$J$6:$J248,"Payment")),0),0))</f>
        <v/>
      </c>
      <c r="G248" s="331"/>
      <c r="H248" s="427"/>
      <c r="I248" s="330" t="str">
        <f t="shared" si="13"/>
        <v/>
      </c>
      <c r="J248" s="344" t="str" cm="1">
        <f t="array" ref="J248">IFERROR(INDEX(_xlfn.ANCHORARRAY($P$6),ROW()-5,3),"")</f>
        <v/>
      </c>
      <c r="K248" s="432" t="str" cm="1">
        <f t="array" ref="K248">IF(OR($A248="",$J248&lt;&gt;"DIESEL"),"",_xlfn.LET(_xlpm.qty,N($C248),_xlpm.pos,$T$5:$T$54,_xlpm.alo,IF($U$5:$U$54="",0,$U$5:$U$54),_xlpm.usd,SUMIFS($C$6:$C247,$K$6:$K247,_xlpm.pos&amp;""),_xlpm.bal,_xlpm.alo-_xlpm.usd,IFERROR(INDEX(_xlfn._xlws.FILTER(_xlpm.pos,(_xlpm.pos&lt;&gt;"")*(_xlpm.qty&gt;0)*(_xlpm.bal&gt;=_xlpm.qty)),1),"")))</f>
        <v/>
      </c>
      <c r="L248" s="348"/>
    </row>
    <row r="249" spans="1:12" ht="23" x14ac:dyDescent="0.25">
      <c r="A249" s="217" t="str" cm="1">
        <f t="array" ref="A249">IFERROR(INDEX(_xlfn.ANCHORARRAY($P$6),ROW()-5,1),"")</f>
        <v/>
      </c>
      <c r="B249" s="344" t="str" cm="1">
        <f t="array" ref="B249">IFERROR(INDEX(_xlfn.ANCHORARRAY($P$6),ROW()-5,2),"")</f>
        <v/>
      </c>
      <c r="C249" s="345" t="str">
        <f>IF($A249="","",IF($J249="DIESEL",SUMIFS(Table1[Quantity],Table1[Customer],$M$3,Table1[Date],$A249,Table1[Bill No.],$B249),IF($J249="PETROL",SUMIFS(Table14[Quantity],Table14[Customer],$M$3,Table14[Date],$A249,Table14[Bill No.],$B249),IF($J249="XtraGreen",SUMIFS(Table146[Quantity],Table146[Company],$M$3,Table146[Date],$A249,Table146[Bill No.],$B249),""))))</f>
        <v/>
      </c>
      <c r="D249" s="346" t="str">
        <f>IF($A249="","",IF($J249="DIESEL",AVERAGEIFS(Table1[RSP],Table1[Customer],$M$3,Table1[Date],$A249,Table1[Bill No.],$B249),IF($J249="PETROL",AVERAGEIFS(Table14[RSP],Table14[Customer],$M$3,Table14[Date],$A249,Table14[Bill No.],$B249),IF($J249="XtraGreen",AVERAGEIFS(Table146[RSP],Table146[Company],$M$3,Table146[Date],$A249,Table146[Bill No.],$B249),IFERROR($E249/$C249,"")))))</f>
        <v/>
      </c>
      <c r="E249" s="347" t="str">
        <f>IF($A249="","",IF($J249="DIESEL",SUMIFS(Table1[Amount],Table1[Customer],$M$3,Table1[Date],$A249,Table1[Bill No.],$B249),IF($J249="PETROL",SUMIFS(Table14[Amount],Table14[Customer],$M$3,Table14[Date],$A249,Table14[Bill No.],$B249),IF($J249="XtraGreen",SUMIFS(Table146[Amount],Table146[Company],$M$3,Table146[Date],$A249,Table146[Bill No.],$B249),SUMIFS('Other Sale'!$D:$D,'Other Sale'!$E:$E,$M$3,'Other Sale'!$C:$C,$J249,'Other Sale'!$A:$A,$A249)))))</f>
        <v/>
      </c>
      <c r="F249" s="347" t="str" cm="1">
        <f t="array" ref="F249">IF($A249="","",IF($J249="Payment",IFERROR(INDEX(_xlfn._xlws.FILTER(MasterPaid[Amount Paid],(MasterPaid[Customer]=$M$3)*(MasterPaid[Date]=$A249)),COUNTIFS($A$6:$A249,$A249,$J$6:$J249,"Payment")),0),0))</f>
        <v/>
      </c>
      <c r="G249" s="331"/>
      <c r="H249" s="427"/>
      <c r="I249" s="330" t="str">
        <f t="shared" si="13"/>
        <v/>
      </c>
      <c r="J249" s="344" t="str" cm="1">
        <f t="array" ref="J249">IFERROR(INDEX(_xlfn.ANCHORARRAY($P$6),ROW()-5,3),"")</f>
        <v/>
      </c>
      <c r="K249" s="432" t="str" cm="1">
        <f t="array" ref="K249">IF(OR($A249="",$J249&lt;&gt;"DIESEL"),"",_xlfn.LET(_xlpm.qty,N($C249),_xlpm.pos,$T$5:$T$54,_xlpm.alo,IF($U$5:$U$54="",0,$U$5:$U$54),_xlpm.usd,SUMIFS($C$6:$C248,$K$6:$K248,_xlpm.pos&amp;""),_xlpm.bal,_xlpm.alo-_xlpm.usd,IFERROR(INDEX(_xlfn._xlws.FILTER(_xlpm.pos,(_xlpm.pos&lt;&gt;"")*(_xlpm.qty&gt;0)*(_xlpm.bal&gt;=_xlpm.qty)),1),"")))</f>
        <v/>
      </c>
      <c r="L249" s="348"/>
    </row>
    <row r="250" spans="1:12" ht="23" x14ac:dyDescent="0.25">
      <c r="A250" s="217" t="str" cm="1">
        <f t="array" ref="A250">IFERROR(INDEX(_xlfn.ANCHORARRAY($P$6),ROW()-5,1),"")</f>
        <v/>
      </c>
      <c r="B250" s="344" t="str" cm="1">
        <f t="array" ref="B250">IFERROR(INDEX(_xlfn.ANCHORARRAY($P$6),ROW()-5,2),"")</f>
        <v/>
      </c>
      <c r="C250" s="345" t="str">
        <f>IF($A250="","",IF($J250="DIESEL",SUMIFS(Table1[Quantity],Table1[Customer],$M$3,Table1[Date],$A250,Table1[Bill No.],$B250),IF($J250="PETROL",SUMIFS(Table14[Quantity],Table14[Customer],$M$3,Table14[Date],$A250,Table14[Bill No.],$B250),IF($J250="XtraGreen",SUMIFS(Table146[Quantity],Table146[Company],$M$3,Table146[Date],$A250,Table146[Bill No.],$B250),""))))</f>
        <v/>
      </c>
      <c r="D250" s="346" t="str">
        <f>IF($A250="","",IF($J250="DIESEL",AVERAGEIFS(Table1[RSP],Table1[Customer],$M$3,Table1[Date],$A250,Table1[Bill No.],$B250),IF($J250="PETROL",AVERAGEIFS(Table14[RSP],Table14[Customer],$M$3,Table14[Date],$A250,Table14[Bill No.],$B250),IF($J250="XtraGreen",AVERAGEIFS(Table146[RSP],Table146[Company],$M$3,Table146[Date],$A250,Table146[Bill No.],$B250),IFERROR($E250/$C250,"")))))</f>
        <v/>
      </c>
      <c r="E250" s="347" t="str">
        <f>IF($A250="","",IF($J250="DIESEL",SUMIFS(Table1[Amount],Table1[Customer],$M$3,Table1[Date],$A250,Table1[Bill No.],$B250),IF($J250="PETROL",SUMIFS(Table14[Amount],Table14[Customer],$M$3,Table14[Date],$A250,Table14[Bill No.],$B250),IF($J250="XtraGreen",SUMIFS(Table146[Amount],Table146[Company],$M$3,Table146[Date],$A250,Table146[Bill No.],$B250),SUMIFS('Other Sale'!$D:$D,'Other Sale'!$E:$E,$M$3,'Other Sale'!$C:$C,$J250,'Other Sale'!$A:$A,$A250)))))</f>
        <v/>
      </c>
      <c r="F250" s="347" t="str" cm="1">
        <f t="array" ref="F250">IF($A250="","",IF($J250="Payment",IFERROR(INDEX(_xlfn._xlws.FILTER(MasterPaid[Amount Paid],(MasterPaid[Customer]=$M$3)*(MasterPaid[Date]=$A250)),COUNTIFS($A$6:$A250,$A250,$J$6:$J250,"Payment")),0),0))</f>
        <v/>
      </c>
      <c r="G250" s="331"/>
      <c r="H250" s="427"/>
      <c r="I250" s="330" t="str">
        <f t="shared" si="13"/>
        <v/>
      </c>
      <c r="J250" s="344" t="str" cm="1">
        <f t="array" ref="J250">IFERROR(INDEX(_xlfn.ANCHORARRAY($P$6),ROW()-5,3),"")</f>
        <v/>
      </c>
      <c r="K250" s="432" t="str" cm="1">
        <f t="array" ref="K250">IF(OR($A250="",$J250&lt;&gt;"DIESEL"),"",_xlfn.LET(_xlpm.qty,N($C250),_xlpm.pos,$T$5:$T$54,_xlpm.alo,IF($U$5:$U$54="",0,$U$5:$U$54),_xlpm.usd,SUMIFS($C$6:$C249,$K$6:$K249,_xlpm.pos&amp;""),_xlpm.bal,_xlpm.alo-_xlpm.usd,IFERROR(INDEX(_xlfn._xlws.FILTER(_xlpm.pos,(_xlpm.pos&lt;&gt;"")*(_xlpm.qty&gt;0)*(_xlpm.bal&gt;=_xlpm.qty)),1),"")))</f>
        <v/>
      </c>
      <c r="L250" s="348"/>
    </row>
    <row r="251" spans="1:12" ht="23" x14ac:dyDescent="0.25">
      <c r="A251" s="217" t="str" cm="1">
        <f t="array" ref="A251">IFERROR(INDEX(_xlfn.ANCHORARRAY($P$6),ROW()-5,1),"")</f>
        <v/>
      </c>
      <c r="B251" s="344" t="str" cm="1">
        <f t="array" ref="B251">IFERROR(INDEX(_xlfn.ANCHORARRAY($P$6),ROW()-5,2),"")</f>
        <v/>
      </c>
      <c r="C251" s="345" t="str">
        <f>IF($A251="","",IF($J251="DIESEL",SUMIFS(Table1[Quantity],Table1[Customer],$M$3,Table1[Date],$A251,Table1[Bill No.],$B251),IF($J251="PETROL",SUMIFS(Table14[Quantity],Table14[Customer],$M$3,Table14[Date],$A251,Table14[Bill No.],$B251),IF($J251="XtraGreen",SUMIFS(Table146[Quantity],Table146[Company],$M$3,Table146[Date],$A251,Table146[Bill No.],$B251),""))))</f>
        <v/>
      </c>
      <c r="D251" s="346" t="str">
        <f>IF($A251="","",IF($J251="DIESEL",AVERAGEIFS(Table1[RSP],Table1[Customer],$M$3,Table1[Date],$A251,Table1[Bill No.],$B251),IF($J251="PETROL",AVERAGEIFS(Table14[RSP],Table14[Customer],$M$3,Table14[Date],$A251,Table14[Bill No.],$B251),IF($J251="XtraGreen",AVERAGEIFS(Table146[RSP],Table146[Company],$M$3,Table146[Date],$A251,Table146[Bill No.],$B251),IFERROR($E251/$C251,"")))))</f>
        <v/>
      </c>
      <c r="E251" s="347" t="str">
        <f>IF($A251="","",IF($J251="DIESEL",SUMIFS(Table1[Amount],Table1[Customer],$M$3,Table1[Date],$A251,Table1[Bill No.],$B251),IF($J251="PETROL",SUMIFS(Table14[Amount],Table14[Customer],$M$3,Table14[Date],$A251,Table14[Bill No.],$B251),IF($J251="XtraGreen",SUMIFS(Table146[Amount],Table146[Company],$M$3,Table146[Date],$A251,Table146[Bill No.],$B251),SUMIFS('Other Sale'!$D:$D,'Other Sale'!$E:$E,$M$3,'Other Sale'!$C:$C,$J251,'Other Sale'!$A:$A,$A251)))))</f>
        <v/>
      </c>
      <c r="F251" s="347" t="str" cm="1">
        <f t="array" ref="F251">IF($A251="","",IF($J251="Payment",IFERROR(INDEX(_xlfn._xlws.FILTER(MasterPaid[Amount Paid],(MasterPaid[Customer]=$M$3)*(MasterPaid[Date]=$A251)),COUNTIFS($A$6:$A251,$A251,$J$6:$J251,"Payment")),0),0))</f>
        <v/>
      </c>
      <c r="G251" s="331"/>
      <c r="H251" s="427"/>
      <c r="I251" s="330" t="str">
        <f t="shared" si="13"/>
        <v/>
      </c>
      <c r="J251" s="344" t="str" cm="1">
        <f t="array" ref="J251">IFERROR(INDEX(_xlfn.ANCHORARRAY($P$6),ROW()-5,3),"")</f>
        <v/>
      </c>
      <c r="K251" s="432" t="str" cm="1">
        <f t="array" ref="K251">IF(OR($A251="",$J251&lt;&gt;"DIESEL"),"",_xlfn.LET(_xlpm.qty,N($C251),_xlpm.pos,$T$5:$T$54,_xlpm.alo,IF($U$5:$U$54="",0,$U$5:$U$54),_xlpm.usd,SUMIFS($C$6:$C250,$K$6:$K250,_xlpm.pos&amp;""),_xlpm.bal,_xlpm.alo-_xlpm.usd,IFERROR(INDEX(_xlfn._xlws.FILTER(_xlpm.pos,(_xlpm.pos&lt;&gt;"")*(_xlpm.qty&gt;0)*(_xlpm.bal&gt;=_xlpm.qty)),1),"")))</f>
        <v/>
      </c>
      <c r="L251" s="348"/>
    </row>
    <row r="252" spans="1:12" ht="23" x14ac:dyDescent="0.25">
      <c r="A252" s="217" t="str" cm="1">
        <f t="array" ref="A252">IFERROR(INDEX(_xlfn.ANCHORARRAY($P$6),ROW()-5,1),"")</f>
        <v/>
      </c>
      <c r="B252" s="344" t="str" cm="1">
        <f t="array" ref="B252">IFERROR(INDEX(_xlfn.ANCHORARRAY($P$6),ROW()-5,2),"")</f>
        <v/>
      </c>
      <c r="C252" s="345" t="str">
        <f>IF($A252="","",IF($J252="DIESEL",SUMIFS(Table1[Quantity],Table1[Customer],$M$3,Table1[Date],$A252,Table1[Bill No.],$B252),IF($J252="PETROL",SUMIFS(Table14[Quantity],Table14[Customer],$M$3,Table14[Date],$A252,Table14[Bill No.],$B252),IF($J252="XtraGreen",SUMIFS(Table146[Quantity],Table146[Company],$M$3,Table146[Date],$A252,Table146[Bill No.],$B252),""))))</f>
        <v/>
      </c>
      <c r="D252" s="346" t="str">
        <f>IF($A252="","",IF($J252="DIESEL",AVERAGEIFS(Table1[RSP],Table1[Customer],$M$3,Table1[Date],$A252,Table1[Bill No.],$B252),IF($J252="PETROL",AVERAGEIFS(Table14[RSP],Table14[Customer],$M$3,Table14[Date],$A252,Table14[Bill No.],$B252),IF($J252="XtraGreen",AVERAGEIFS(Table146[RSP],Table146[Company],$M$3,Table146[Date],$A252,Table146[Bill No.],$B252),IFERROR($E252/$C252,"")))))</f>
        <v/>
      </c>
      <c r="E252" s="347" t="str">
        <f>IF($A252="","",IF($J252="DIESEL",SUMIFS(Table1[Amount],Table1[Customer],$M$3,Table1[Date],$A252,Table1[Bill No.],$B252),IF($J252="PETROL",SUMIFS(Table14[Amount],Table14[Customer],$M$3,Table14[Date],$A252,Table14[Bill No.],$B252),IF($J252="XtraGreen",SUMIFS(Table146[Amount],Table146[Company],$M$3,Table146[Date],$A252,Table146[Bill No.],$B252),SUMIFS('Other Sale'!$D:$D,'Other Sale'!$E:$E,$M$3,'Other Sale'!$C:$C,$J252,'Other Sale'!$A:$A,$A252)))))</f>
        <v/>
      </c>
      <c r="F252" s="347" t="str" cm="1">
        <f t="array" ref="F252">IF($A252="","",IF($J252="Payment",IFERROR(INDEX(_xlfn._xlws.FILTER(MasterPaid[Amount Paid],(MasterPaid[Customer]=$M$3)*(MasterPaid[Date]=$A252)),COUNTIFS($A$6:$A252,$A252,$J$6:$J252,"Payment")),0),0))</f>
        <v/>
      </c>
      <c r="G252" s="331"/>
      <c r="H252" s="427"/>
      <c r="I252" s="330" t="str">
        <f t="shared" si="13"/>
        <v/>
      </c>
      <c r="J252" s="344" t="str" cm="1">
        <f t="array" ref="J252">IFERROR(INDEX(_xlfn.ANCHORARRAY($P$6),ROW()-5,3),"")</f>
        <v/>
      </c>
      <c r="K252" s="432" t="str" cm="1">
        <f t="array" ref="K252">IF(OR($A252="",$J252&lt;&gt;"DIESEL"),"",_xlfn.LET(_xlpm.qty,N($C252),_xlpm.pos,$T$5:$T$54,_xlpm.alo,IF($U$5:$U$54="",0,$U$5:$U$54),_xlpm.usd,SUMIFS($C$6:$C251,$K$6:$K251,_xlpm.pos&amp;""),_xlpm.bal,_xlpm.alo-_xlpm.usd,IFERROR(INDEX(_xlfn._xlws.FILTER(_xlpm.pos,(_xlpm.pos&lt;&gt;"")*(_xlpm.qty&gt;0)*(_xlpm.bal&gt;=_xlpm.qty)),1),"")))</f>
        <v/>
      </c>
      <c r="L252" s="348"/>
    </row>
    <row r="253" spans="1:12" ht="23" x14ac:dyDescent="0.25">
      <c r="A253" s="217" t="str" cm="1">
        <f t="array" ref="A253">IFERROR(INDEX(_xlfn.ANCHORARRAY($P$6),ROW()-5,1),"")</f>
        <v/>
      </c>
      <c r="B253" s="344" t="str" cm="1">
        <f t="array" ref="B253">IFERROR(INDEX(_xlfn.ANCHORARRAY($P$6),ROW()-5,2),"")</f>
        <v/>
      </c>
      <c r="C253" s="345" t="str">
        <f>IF($A253="","",IF($J253="DIESEL",SUMIFS(Table1[Quantity],Table1[Customer],$M$3,Table1[Date],$A253,Table1[Bill No.],$B253),IF($J253="PETROL",SUMIFS(Table14[Quantity],Table14[Customer],$M$3,Table14[Date],$A253,Table14[Bill No.],$B253),IF($J253="XtraGreen",SUMIFS(Table146[Quantity],Table146[Company],$M$3,Table146[Date],$A253,Table146[Bill No.],$B253),""))))</f>
        <v/>
      </c>
      <c r="D253" s="346" t="str">
        <f>IF($A253="","",IF($J253="DIESEL",AVERAGEIFS(Table1[RSP],Table1[Customer],$M$3,Table1[Date],$A253,Table1[Bill No.],$B253),IF($J253="PETROL",AVERAGEIFS(Table14[RSP],Table14[Customer],$M$3,Table14[Date],$A253,Table14[Bill No.],$B253),IF($J253="XtraGreen",AVERAGEIFS(Table146[RSP],Table146[Company],$M$3,Table146[Date],$A253,Table146[Bill No.],$B253),IFERROR($E253/$C253,"")))))</f>
        <v/>
      </c>
      <c r="E253" s="347" t="str">
        <f>IF($A253="","",IF($J253="DIESEL",SUMIFS(Table1[Amount],Table1[Customer],$M$3,Table1[Date],$A253,Table1[Bill No.],$B253),IF($J253="PETROL",SUMIFS(Table14[Amount],Table14[Customer],$M$3,Table14[Date],$A253,Table14[Bill No.],$B253),IF($J253="XtraGreen",SUMIFS(Table146[Amount],Table146[Company],$M$3,Table146[Date],$A253,Table146[Bill No.],$B253),SUMIFS('Other Sale'!$D:$D,'Other Sale'!$E:$E,$M$3,'Other Sale'!$C:$C,$J253,'Other Sale'!$A:$A,$A253)))))</f>
        <v/>
      </c>
      <c r="F253" s="347" t="str" cm="1">
        <f t="array" ref="F253">IF($A253="","",IF($J253="Payment",IFERROR(INDEX(_xlfn._xlws.FILTER(MasterPaid[Amount Paid],(MasterPaid[Customer]=$M$3)*(MasterPaid[Date]=$A253)),COUNTIFS($A$6:$A253,$A253,$J$6:$J253,"Payment")),0),0))</f>
        <v/>
      </c>
      <c r="G253" s="331"/>
      <c r="H253" s="427"/>
      <c r="I253" s="330" t="str">
        <f t="shared" si="13"/>
        <v/>
      </c>
      <c r="J253" s="344" t="str" cm="1">
        <f t="array" ref="J253">IFERROR(INDEX(_xlfn.ANCHORARRAY($P$6),ROW()-5,3),"")</f>
        <v/>
      </c>
      <c r="K253" s="432" t="str" cm="1">
        <f t="array" ref="K253">IF(OR($A253="",$J253&lt;&gt;"DIESEL"),"",_xlfn.LET(_xlpm.qty,N($C253),_xlpm.pos,$T$5:$T$54,_xlpm.alo,IF($U$5:$U$54="",0,$U$5:$U$54),_xlpm.usd,SUMIFS($C$6:$C252,$K$6:$K252,_xlpm.pos&amp;""),_xlpm.bal,_xlpm.alo-_xlpm.usd,IFERROR(INDEX(_xlfn._xlws.FILTER(_xlpm.pos,(_xlpm.pos&lt;&gt;"")*(_xlpm.qty&gt;0)*(_xlpm.bal&gt;=_xlpm.qty)),1),"")))</f>
        <v/>
      </c>
      <c r="L253" s="348"/>
    </row>
    <row r="254" spans="1:12" ht="23" x14ac:dyDescent="0.25">
      <c r="A254" s="217" t="str" cm="1">
        <f t="array" ref="A254">IFERROR(INDEX(_xlfn.ANCHORARRAY($P$6),ROW()-5,1),"")</f>
        <v/>
      </c>
      <c r="B254" s="344" t="str" cm="1">
        <f t="array" ref="B254">IFERROR(INDEX(_xlfn.ANCHORARRAY($P$6),ROW()-5,2),"")</f>
        <v/>
      </c>
      <c r="C254" s="345" t="str">
        <f>IF($A254="","",IF($J254="DIESEL",SUMIFS(Table1[Quantity],Table1[Customer],$M$3,Table1[Date],$A254,Table1[Bill No.],$B254),IF($J254="PETROL",SUMIFS(Table14[Quantity],Table14[Customer],$M$3,Table14[Date],$A254,Table14[Bill No.],$B254),IF($J254="XtraGreen",SUMIFS(Table146[Quantity],Table146[Company],$M$3,Table146[Date],$A254,Table146[Bill No.],$B254),""))))</f>
        <v/>
      </c>
      <c r="D254" s="346" t="str">
        <f>IF($A254="","",IF($J254="DIESEL",AVERAGEIFS(Table1[RSP],Table1[Customer],$M$3,Table1[Date],$A254,Table1[Bill No.],$B254),IF($J254="PETROL",AVERAGEIFS(Table14[RSP],Table14[Customer],$M$3,Table14[Date],$A254,Table14[Bill No.],$B254),IF($J254="XtraGreen",AVERAGEIFS(Table146[RSP],Table146[Company],$M$3,Table146[Date],$A254,Table146[Bill No.],$B254),IFERROR($E254/$C254,"")))))</f>
        <v/>
      </c>
      <c r="E254" s="347" t="str">
        <f>IF($A254="","",IF($J254="DIESEL",SUMIFS(Table1[Amount],Table1[Customer],$M$3,Table1[Date],$A254,Table1[Bill No.],$B254),IF($J254="PETROL",SUMIFS(Table14[Amount],Table14[Customer],$M$3,Table14[Date],$A254,Table14[Bill No.],$B254),IF($J254="XtraGreen",SUMIFS(Table146[Amount],Table146[Company],$M$3,Table146[Date],$A254,Table146[Bill No.],$B254),SUMIFS('Other Sale'!$D:$D,'Other Sale'!$E:$E,$M$3,'Other Sale'!$C:$C,$J254,'Other Sale'!$A:$A,$A254)))))</f>
        <v/>
      </c>
      <c r="F254" s="347" t="str" cm="1">
        <f t="array" ref="F254">IF($A254="","",IF($J254="Payment",IFERROR(INDEX(_xlfn._xlws.FILTER(MasterPaid[Amount Paid],(MasterPaid[Customer]=$M$3)*(MasterPaid[Date]=$A254)),COUNTIFS($A$6:$A254,$A254,$J$6:$J254,"Payment")),0),0))</f>
        <v/>
      </c>
      <c r="G254" s="331"/>
      <c r="H254" s="427"/>
      <c r="I254" s="330" t="str">
        <f t="shared" si="13"/>
        <v/>
      </c>
      <c r="J254" s="344" t="str" cm="1">
        <f t="array" ref="J254">IFERROR(INDEX(_xlfn.ANCHORARRAY($P$6),ROW()-5,3),"")</f>
        <v/>
      </c>
      <c r="K254" s="432" t="str" cm="1">
        <f t="array" ref="K254">IF(OR($A254="",$J254&lt;&gt;"DIESEL"),"",_xlfn.LET(_xlpm.qty,N($C254),_xlpm.pos,$T$5:$T$54,_xlpm.alo,IF($U$5:$U$54="",0,$U$5:$U$54),_xlpm.usd,SUMIFS($C$6:$C253,$K$6:$K253,_xlpm.pos&amp;""),_xlpm.bal,_xlpm.alo-_xlpm.usd,IFERROR(INDEX(_xlfn._xlws.FILTER(_xlpm.pos,(_xlpm.pos&lt;&gt;"")*(_xlpm.qty&gt;0)*(_xlpm.bal&gt;=_xlpm.qty)),1),"")))</f>
        <v/>
      </c>
      <c r="L254" s="348"/>
    </row>
    <row r="255" spans="1:12" ht="23" x14ac:dyDescent="0.25">
      <c r="A255" s="217" t="str" cm="1">
        <f t="array" ref="A255">IFERROR(INDEX(_xlfn.ANCHORARRAY($P$6),ROW()-5,1),"")</f>
        <v/>
      </c>
      <c r="B255" s="344" t="str" cm="1">
        <f t="array" ref="B255">IFERROR(INDEX(_xlfn.ANCHORARRAY($P$6),ROW()-5,2),"")</f>
        <v/>
      </c>
      <c r="C255" s="345" t="str">
        <f>IF($A255="","",IF($J255="DIESEL",SUMIFS(Table1[Quantity],Table1[Customer],$M$3,Table1[Date],$A255,Table1[Bill No.],$B255),IF($J255="PETROL",SUMIFS(Table14[Quantity],Table14[Customer],$M$3,Table14[Date],$A255,Table14[Bill No.],$B255),IF($J255="XtraGreen",SUMIFS(Table146[Quantity],Table146[Company],$M$3,Table146[Date],$A255,Table146[Bill No.],$B255),""))))</f>
        <v/>
      </c>
      <c r="D255" s="346" t="str">
        <f>IF($A255="","",IF($J255="DIESEL",AVERAGEIFS(Table1[RSP],Table1[Customer],$M$3,Table1[Date],$A255,Table1[Bill No.],$B255),IF($J255="PETROL",AVERAGEIFS(Table14[RSP],Table14[Customer],$M$3,Table14[Date],$A255,Table14[Bill No.],$B255),IF($J255="XtraGreen",AVERAGEIFS(Table146[RSP],Table146[Company],$M$3,Table146[Date],$A255,Table146[Bill No.],$B255),IFERROR($E255/$C255,"")))))</f>
        <v/>
      </c>
      <c r="E255" s="347" t="str">
        <f>IF($A255="","",IF($J255="DIESEL",SUMIFS(Table1[Amount],Table1[Customer],$M$3,Table1[Date],$A255,Table1[Bill No.],$B255),IF($J255="PETROL",SUMIFS(Table14[Amount],Table14[Customer],$M$3,Table14[Date],$A255,Table14[Bill No.],$B255),IF($J255="XtraGreen",SUMIFS(Table146[Amount],Table146[Company],$M$3,Table146[Date],$A255,Table146[Bill No.],$B255),SUMIFS('Other Sale'!$D:$D,'Other Sale'!$E:$E,$M$3,'Other Sale'!$C:$C,$J255,'Other Sale'!$A:$A,$A255)))))</f>
        <v/>
      </c>
      <c r="F255" s="347" t="str" cm="1">
        <f t="array" ref="F255">IF($A255="","",IF($J255="Payment",IFERROR(INDEX(_xlfn._xlws.FILTER(MasterPaid[Amount Paid],(MasterPaid[Customer]=$M$3)*(MasterPaid[Date]=$A255)),COUNTIFS($A$6:$A255,$A255,$J$6:$J255,"Payment")),0),0))</f>
        <v/>
      </c>
      <c r="G255" s="331"/>
      <c r="H255" s="427"/>
      <c r="I255" s="330" t="str">
        <f t="shared" si="13"/>
        <v/>
      </c>
      <c r="J255" s="344" t="str" cm="1">
        <f t="array" ref="J255">IFERROR(INDEX(_xlfn.ANCHORARRAY($P$6),ROW()-5,3),"")</f>
        <v/>
      </c>
      <c r="K255" s="432" t="str" cm="1">
        <f t="array" ref="K255">IF(OR($A255="",$J255&lt;&gt;"DIESEL"),"",_xlfn.LET(_xlpm.qty,N($C255),_xlpm.pos,$T$5:$T$54,_xlpm.alo,IF($U$5:$U$54="",0,$U$5:$U$54),_xlpm.usd,SUMIFS($C$6:$C254,$K$6:$K254,_xlpm.pos&amp;""),_xlpm.bal,_xlpm.alo-_xlpm.usd,IFERROR(INDEX(_xlfn._xlws.FILTER(_xlpm.pos,(_xlpm.pos&lt;&gt;"")*(_xlpm.qty&gt;0)*(_xlpm.bal&gt;=_xlpm.qty)),1),"")))</f>
        <v/>
      </c>
      <c r="L255" s="348"/>
    </row>
    <row r="256" spans="1:12" ht="23" x14ac:dyDescent="0.25">
      <c r="A256" s="217" t="str" cm="1">
        <f t="array" ref="A256">IFERROR(INDEX(_xlfn.ANCHORARRAY($P$6),ROW()-5,1),"")</f>
        <v/>
      </c>
      <c r="B256" s="344" t="str" cm="1">
        <f t="array" ref="B256">IFERROR(INDEX(_xlfn.ANCHORARRAY($P$6),ROW()-5,2),"")</f>
        <v/>
      </c>
      <c r="C256" s="345" t="str">
        <f>IF($A256="","",IF($J256="DIESEL",SUMIFS(Table1[Quantity],Table1[Customer],$M$3,Table1[Date],$A256,Table1[Bill No.],$B256),IF($J256="PETROL",SUMIFS(Table14[Quantity],Table14[Customer],$M$3,Table14[Date],$A256,Table14[Bill No.],$B256),IF($J256="XtraGreen",SUMIFS(Table146[Quantity],Table146[Company],$M$3,Table146[Date],$A256,Table146[Bill No.],$B256),""))))</f>
        <v/>
      </c>
      <c r="D256" s="346" t="str">
        <f>IF($A256="","",IF($J256="DIESEL",AVERAGEIFS(Table1[RSP],Table1[Customer],$M$3,Table1[Date],$A256,Table1[Bill No.],$B256),IF($J256="PETROL",AVERAGEIFS(Table14[RSP],Table14[Customer],$M$3,Table14[Date],$A256,Table14[Bill No.],$B256),IF($J256="XtraGreen",AVERAGEIFS(Table146[RSP],Table146[Company],$M$3,Table146[Date],$A256,Table146[Bill No.],$B256),IFERROR($E256/$C256,"")))))</f>
        <v/>
      </c>
      <c r="E256" s="347" t="str">
        <f>IF($A256="","",IF($J256="DIESEL",SUMIFS(Table1[Amount],Table1[Customer],$M$3,Table1[Date],$A256,Table1[Bill No.],$B256),IF($J256="PETROL",SUMIFS(Table14[Amount],Table14[Customer],$M$3,Table14[Date],$A256,Table14[Bill No.],$B256),IF($J256="XtraGreen",SUMIFS(Table146[Amount],Table146[Company],$M$3,Table146[Date],$A256,Table146[Bill No.],$B256),SUMIFS('Other Sale'!$D:$D,'Other Sale'!$E:$E,$M$3,'Other Sale'!$C:$C,$J256,'Other Sale'!$A:$A,$A256)))))</f>
        <v/>
      </c>
      <c r="F256" s="347" t="str" cm="1">
        <f t="array" ref="F256">IF($A256="","",IF($J256="Payment",IFERROR(INDEX(_xlfn._xlws.FILTER(MasterPaid[Amount Paid],(MasterPaid[Customer]=$M$3)*(MasterPaid[Date]=$A256)),COUNTIFS($A$6:$A256,$A256,$J$6:$J256,"Payment")),0),0))</f>
        <v/>
      </c>
      <c r="G256" s="331"/>
      <c r="H256" s="427"/>
      <c r="I256" s="330" t="str">
        <f t="shared" si="13"/>
        <v/>
      </c>
      <c r="J256" s="344" t="str" cm="1">
        <f t="array" ref="J256">IFERROR(INDEX(_xlfn.ANCHORARRAY($P$6),ROW()-5,3),"")</f>
        <v/>
      </c>
      <c r="K256" s="432" t="str" cm="1">
        <f t="array" ref="K256">IF(OR($A256="",$J256&lt;&gt;"DIESEL"),"",_xlfn.LET(_xlpm.qty,N($C256),_xlpm.pos,$T$5:$T$54,_xlpm.alo,IF($U$5:$U$54="",0,$U$5:$U$54),_xlpm.usd,SUMIFS($C$6:$C255,$K$6:$K255,_xlpm.pos&amp;""),_xlpm.bal,_xlpm.alo-_xlpm.usd,IFERROR(INDEX(_xlfn._xlws.FILTER(_xlpm.pos,(_xlpm.pos&lt;&gt;"")*(_xlpm.qty&gt;0)*(_xlpm.bal&gt;=_xlpm.qty)),1),"")))</f>
        <v/>
      </c>
      <c r="L256" s="348"/>
    </row>
    <row r="257" spans="1:12" ht="23" x14ac:dyDescent="0.25">
      <c r="A257" s="217" t="str" cm="1">
        <f t="array" ref="A257">IFERROR(INDEX(_xlfn.ANCHORARRAY($P$6),ROW()-5,1),"")</f>
        <v/>
      </c>
      <c r="B257" s="344" t="str" cm="1">
        <f t="array" ref="B257">IFERROR(INDEX(_xlfn.ANCHORARRAY($P$6),ROW()-5,2),"")</f>
        <v/>
      </c>
      <c r="C257" s="345" t="str">
        <f>IF($A257="","",IF($J257="DIESEL",SUMIFS(Table1[Quantity],Table1[Customer],$M$3,Table1[Date],$A257,Table1[Bill No.],$B257),IF($J257="PETROL",SUMIFS(Table14[Quantity],Table14[Customer],$M$3,Table14[Date],$A257,Table14[Bill No.],$B257),IF($J257="XtraGreen",SUMIFS(Table146[Quantity],Table146[Company],$M$3,Table146[Date],$A257,Table146[Bill No.],$B257),""))))</f>
        <v/>
      </c>
      <c r="D257" s="346" t="str">
        <f>IF($A257="","",IF($J257="DIESEL",AVERAGEIFS(Table1[RSP],Table1[Customer],$M$3,Table1[Date],$A257,Table1[Bill No.],$B257),IF($J257="PETROL",AVERAGEIFS(Table14[RSP],Table14[Customer],$M$3,Table14[Date],$A257,Table14[Bill No.],$B257),IF($J257="XtraGreen",AVERAGEIFS(Table146[RSP],Table146[Company],$M$3,Table146[Date],$A257,Table146[Bill No.],$B257),IFERROR($E257/$C257,"")))))</f>
        <v/>
      </c>
      <c r="E257" s="347" t="str">
        <f>IF($A257="","",IF($J257="DIESEL",SUMIFS(Table1[Amount],Table1[Customer],$M$3,Table1[Date],$A257,Table1[Bill No.],$B257),IF($J257="PETROL",SUMIFS(Table14[Amount],Table14[Customer],$M$3,Table14[Date],$A257,Table14[Bill No.],$B257),IF($J257="XtraGreen",SUMIFS(Table146[Amount],Table146[Company],$M$3,Table146[Date],$A257,Table146[Bill No.],$B257),SUMIFS('Other Sale'!$D:$D,'Other Sale'!$E:$E,$M$3,'Other Sale'!$C:$C,$J257,'Other Sale'!$A:$A,$A257)))))</f>
        <v/>
      </c>
      <c r="F257" s="347" t="str" cm="1">
        <f t="array" ref="F257">IF($A257="","",IF($J257="Payment",IFERROR(INDEX(_xlfn._xlws.FILTER(MasterPaid[Amount Paid],(MasterPaid[Customer]=$M$3)*(MasterPaid[Date]=$A257)),COUNTIFS($A$6:$A257,$A257,$J$6:$J257,"Payment")),0),0))</f>
        <v/>
      </c>
      <c r="G257" s="331"/>
      <c r="H257" s="427"/>
      <c r="I257" s="330" t="str">
        <f t="shared" si="13"/>
        <v/>
      </c>
      <c r="J257" s="344" t="str" cm="1">
        <f t="array" ref="J257">IFERROR(INDEX(_xlfn.ANCHORARRAY($P$6),ROW()-5,3),"")</f>
        <v/>
      </c>
      <c r="K257" s="432" t="str" cm="1">
        <f t="array" ref="K257">IF(OR($A257="",$J257&lt;&gt;"DIESEL"),"",_xlfn.LET(_xlpm.qty,N($C257),_xlpm.pos,$T$5:$T$54,_xlpm.alo,IF($U$5:$U$54="",0,$U$5:$U$54),_xlpm.usd,SUMIFS($C$6:$C256,$K$6:$K256,_xlpm.pos&amp;""),_xlpm.bal,_xlpm.alo-_xlpm.usd,IFERROR(INDEX(_xlfn._xlws.FILTER(_xlpm.pos,(_xlpm.pos&lt;&gt;"")*(_xlpm.qty&gt;0)*(_xlpm.bal&gt;=_xlpm.qty)),1),"")))</f>
        <v/>
      </c>
      <c r="L257" s="348"/>
    </row>
    <row r="258" spans="1:12" ht="23" x14ac:dyDescent="0.25">
      <c r="A258" s="217" t="str" cm="1">
        <f t="array" ref="A258">IFERROR(INDEX(_xlfn.ANCHORARRAY($P$6),ROW()-5,1),"")</f>
        <v/>
      </c>
      <c r="B258" s="344" t="str" cm="1">
        <f t="array" ref="B258">IFERROR(INDEX(_xlfn.ANCHORARRAY($P$6),ROW()-5,2),"")</f>
        <v/>
      </c>
      <c r="C258" s="345" t="str">
        <f>IF($A258="","",IF($J258="DIESEL",SUMIFS(Table1[Quantity],Table1[Customer],$M$3,Table1[Date],$A258,Table1[Bill No.],$B258),IF($J258="PETROL",SUMIFS(Table14[Quantity],Table14[Customer],$M$3,Table14[Date],$A258,Table14[Bill No.],$B258),IF($J258="XtraGreen",SUMIFS(Table146[Quantity],Table146[Company],$M$3,Table146[Date],$A258,Table146[Bill No.],$B258),""))))</f>
        <v/>
      </c>
      <c r="D258" s="346" t="str">
        <f>IF($A258="","",IF($J258="DIESEL",AVERAGEIFS(Table1[RSP],Table1[Customer],$M$3,Table1[Date],$A258,Table1[Bill No.],$B258),IF($J258="PETROL",AVERAGEIFS(Table14[RSP],Table14[Customer],$M$3,Table14[Date],$A258,Table14[Bill No.],$B258),IF($J258="XtraGreen",AVERAGEIFS(Table146[RSP],Table146[Company],$M$3,Table146[Date],$A258,Table146[Bill No.],$B258),IFERROR($E258/$C258,"")))))</f>
        <v/>
      </c>
      <c r="E258" s="347" t="str">
        <f>IF($A258="","",IF($J258="DIESEL",SUMIFS(Table1[Amount],Table1[Customer],$M$3,Table1[Date],$A258,Table1[Bill No.],$B258),IF($J258="PETROL",SUMIFS(Table14[Amount],Table14[Customer],$M$3,Table14[Date],$A258,Table14[Bill No.],$B258),IF($J258="XtraGreen",SUMIFS(Table146[Amount],Table146[Company],$M$3,Table146[Date],$A258,Table146[Bill No.],$B258),SUMIFS('Other Sale'!$D:$D,'Other Sale'!$E:$E,$M$3,'Other Sale'!$C:$C,$J258,'Other Sale'!$A:$A,$A258)))))</f>
        <v/>
      </c>
      <c r="F258" s="347" t="str" cm="1">
        <f t="array" ref="F258">IF($A258="","",IF($J258="Payment",IFERROR(INDEX(_xlfn._xlws.FILTER(MasterPaid[Amount Paid],(MasterPaid[Customer]=$M$3)*(MasterPaid[Date]=$A258)),COUNTIFS($A$6:$A258,$A258,$J$6:$J258,"Payment")),0),0))</f>
        <v/>
      </c>
      <c r="G258" s="331"/>
      <c r="H258" s="427"/>
      <c r="I258" s="330" t="str">
        <f t="shared" si="13"/>
        <v/>
      </c>
      <c r="J258" s="344" t="str" cm="1">
        <f t="array" ref="J258">IFERROR(INDEX(_xlfn.ANCHORARRAY($P$6),ROW()-5,3),"")</f>
        <v/>
      </c>
      <c r="K258" s="432" t="str" cm="1">
        <f t="array" ref="K258">IF(OR($A258="",$J258&lt;&gt;"DIESEL"),"",_xlfn.LET(_xlpm.qty,N($C258),_xlpm.pos,$T$5:$T$54,_xlpm.alo,IF($U$5:$U$54="",0,$U$5:$U$54),_xlpm.usd,SUMIFS($C$6:$C257,$K$6:$K257,_xlpm.pos&amp;""),_xlpm.bal,_xlpm.alo-_xlpm.usd,IFERROR(INDEX(_xlfn._xlws.FILTER(_xlpm.pos,(_xlpm.pos&lt;&gt;"")*(_xlpm.qty&gt;0)*(_xlpm.bal&gt;=_xlpm.qty)),1),"")))</f>
        <v/>
      </c>
      <c r="L258" s="348"/>
    </row>
    <row r="259" spans="1:12" ht="23" x14ac:dyDescent="0.25">
      <c r="A259" s="217" t="str" cm="1">
        <f t="array" ref="A259">IFERROR(INDEX(_xlfn.ANCHORARRAY($P$6),ROW()-5,1),"")</f>
        <v/>
      </c>
      <c r="B259" s="344" t="str" cm="1">
        <f t="array" ref="B259">IFERROR(INDEX(_xlfn.ANCHORARRAY($P$6),ROW()-5,2),"")</f>
        <v/>
      </c>
      <c r="C259" s="345" t="str">
        <f>IF($A259="","",IF($J259="DIESEL",SUMIFS(Table1[Quantity],Table1[Customer],$M$3,Table1[Date],$A259,Table1[Bill No.],$B259),IF($J259="PETROL",SUMIFS(Table14[Quantity],Table14[Customer],$M$3,Table14[Date],$A259,Table14[Bill No.],$B259),IF($J259="XtraGreen",SUMIFS(Table146[Quantity],Table146[Company],$M$3,Table146[Date],$A259,Table146[Bill No.],$B259),""))))</f>
        <v/>
      </c>
      <c r="D259" s="346" t="str">
        <f>IF($A259="","",IF($J259="DIESEL",AVERAGEIFS(Table1[RSP],Table1[Customer],$M$3,Table1[Date],$A259,Table1[Bill No.],$B259),IF($J259="PETROL",AVERAGEIFS(Table14[RSP],Table14[Customer],$M$3,Table14[Date],$A259,Table14[Bill No.],$B259),IF($J259="XtraGreen",AVERAGEIFS(Table146[RSP],Table146[Company],$M$3,Table146[Date],$A259,Table146[Bill No.],$B259),IFERROR($E259/$C259,"")))))</f>
        <v/>
      </c>
      <c r="E259" s="347" t="str">
        <f>IF($A259="","",IF($J259="DIESEL",SUMIFS(Table1[Amount],Table1[Customer],$M$3,Table1[Date],$A259,Table1[Bill No.],$B259),IF($J259="PETROL",SUMIFS(Table14[Amount],Table14[Customer],$M$3,Table14[Date],$A259,Table14[Bill No.],$B259),IF($J259="XtraGreen",SUMIFS(Table146[Amount],Table146[Company],$M$3,Table146[Date],$A259,Table146[Bill No.],$B259),SUMIFS('Other Sale'!$D:$D,'Other Sale'!$E:$E,$M$3,'Other Sale'!$C:$C,$J259,'Other Sale'!$A:$A,$A259)))))</f>
        <v/>
      </c>
      <c r="F259" s="347" t="str" cm="1">
        <f t="array" ref="F259">IF($A259="","",IF($J259="Payment",IFERROR(INDEX(_xlfn._xlws.FILTER(MasterPaid[Amount Paid],(MasterPaid[Customer]=$M$3)*(MasterPaid[Date]=$A259)),COUNTIFS($A$6:$A259,$A259,$J$6:$J259,"Payment")),0),0))</f>
        <v/>
      </c>
      <c r="G259" s="331"/>
      <c r="H259" s="427"/>
      <c r="I259" s="330" t="str">
        <f t="shared" si="13"/>
        <v/>
      </c>
      <c r="J259" s="344" t="str" cm="1">
        <f t="array" ref="J259">IFERROR(INDEX(_xlfn.ANCHORARRAY($P$6),ROW()-5,3),"")</f>
        <v/>
      </c>
      <c r="K259" s="432" t="str" cm="1">
        <f t="array" ref="K259">IF(OR($A259="",$J259&lt;&gt;"DIESEL"),"",_xlfn.LET(_xlpm.qty,N($C259),_xlpm.pos,$T$5:$T$54,_xlpm.alo,IF($U$5:$U$54="",0,$U$5:$U$54),_xlpm.usd,SUMIFS($C$6:$C258,$K$6:$K258,_xlpm.pos&amp;""),_xlpm.bal,_xlpm.alo-_xlpm.usd,IFERROR(INDEX(_xlfn._xlws.FILTER(_xlpm.pos,(_xlpm.pos&lt;&gt;"")*(_xlpm.qty&gt;0)*(_xlpm.bal&gt;=_xlpm.qty)),1),"")))</f>
        <v/>
      </c>
      <c r="L259" s="348"/>
    </row>
    <row r="260" spans="1:12" ht="23" x14ac:dyDescent="0.25">
      <c r="A260" s="217" t="str" cm="1">
        <f t="array" ref="A260">IFERROR(INDEX(_xlfn.ANCHORARRAY($P$6),ROW()-5,1),"")</f>
        <v/>
      </c>
      <c r="B260" s="344" t="str" cm="1">
        <f t="array" ref="B260">IFERROR(INDEX(_xlfn.ANCHORARRAY($P$6),ROW()-5,2),"")</f>
        <v/>
      </c>
      <c r="C260" s="345" t="str">
        <f>IF($A260="","",IF($J260="DIESEL",SUMIFS(Table1[Quantity],Table1[Customer],$M$3,Table1[Date],$A260,Table1[Bill No.],$B260),IF($J260="PETROL",SUMIFS(Table14[Quantity],Table14[Customer],$M$3,Table14[Date],$A260,Table14[Bill No.],$B260),IF($J260="XtraGreen",SUMIFS(Table146[Quantity],Table146[Company],$M$3,Table146[Date],$A260,Table146[Bill No.],$B260),""))))</f>
        <v/>
      </c>
      <c r="D260" s="346" t="str">
        <f>IF($A260="","",IF($J260="DIESEL",AVERAGEIFS(Table1[RSP],Table1[Customer],$M$3,Table1[Date],$A260,Table1[Bill No.],$B260),IF($J260="PETROL",AVERAGEIFS(Table14[RSP],Table14[Customer],$M$3,Table14[Date],$A260,Table14[Bill No.],$B260),IF($J260="XtraGreen",AVERAGEIFS(Table146[RSP],Table146[Company],$M$3,Table146[Date],$A260,Table146[Bill No.],$B260),IFERROR($E260/$C260,"")))))</f>
        <v/>
      </c>
      <c r="E260" s="347" t="str">
        <f>IF($A260="","",IF($J260="DIESEL",SUMIFS(Table1[Amount],Table1[Customer],$M$3,Table1[Date],$A260,Table1[Bill No.],$B260),IF($J260="PETROL",SUMIFS(Table14[Amount],Table14[Customer],$M$3,Table14[Date],$A260,Table14[Bill No.],$B260),IF($J260="XtraGreen",SUMIFS(Table146[Amount],Table146[Company],$M$3,Table146[Date],$A260,Table146[Bill No.],$B260),SUMIFS('Other Sale'!$D:$D,'Other Sale'!$E:$E,$M$3,'Other Sale'!$C:$C,$J260,'Other Sale'!$A:$A,$A260)))))</f>
        <v/>
      </c>
      <c r="F260" s="347" t="str" cm="1">
        <f t="array" ref="F260">IF($A260="","",IF($J260="Payment",IFERROR(INDEX(_xlfn._xlws.FILTER(MasterPaid[Amount Paid],(MasterPaid[Customer]=$M$3)*(MasterPaid[Date]=$A260)),COUNTIFS($A$6:$A260,$A260,$J$6:$J260,"Payment")),0),0))</f>
        <v/>
      </c>
      <c r="G260" s="331"/>
      <c r="H260" s="427"/>
      <c r="I260" s="330" t="str">
        <f t="shared" si="13"/>
        <v/>
      </c>
      <c r="J260" s="344" t="str" cm="1">
        <f t="array" ref="J260">IFERROR(INDEX(_xlfn.ANCHORARRAY($P$6),ROW()-5,3),"")</f>
        <v/>
      </c>
      <c r="K260" s="432" t="str" cm="1">
        <f t="array" ref="K260">IF(OR($A260="",$J260&lt;&gt;"DIESEL"),"",_xlfn.LET(_xlpm.qty,N($C260),_xlpm.pos,$T$5:$T$54,_xlpm.alo,IF($U$5:$U$54="",0,$U$5:$U$54),_xlpm.usd,SUMIFS($C$6:$C259,$K$6:$K259,_xlpm.pos&amp;""),_xlpm.bal,_xlpm.alo-_xlpm.usd,IFERROR(INDEX(_xlfn._xlws.FILTER(_xlpm.pos,(_xlpm.pos&lt;&gt;"")*(_xlpm.qty&gt;0)*(_xlpm.bal&gt;=_xlpm.qty)),1),"")))</f>
        <v/>
      </c>
      <c r="L260" s="348"/>
    </row>
    <row r="261" spans="1:12" ht="23" x14ac:dyDescent="0.25">
      <c r="A261" s="217" t="str" cm="1">
        <f t="array" ref="A261">IFERROR(INDEX(_xlfn.ANCHORARRAY($P$6),ROW()-5,1),"")</f>
        <v/>
      </c>
      <c r="B261" s="344" t="str" cm="1">
        <f t="array" ref="B261">IFERROR(INDEX(_xlfn.ANCHORARRAY($P$6),ROW()-5,2),"")</f>
        <v/>
      </c>
      <c r="C261" s="345" t="str">
        <f>IF($A261="","",IF($J261="DIESEL",SUMIFS(Table1[Quantity],Table1[Customer],$M$3,Table1[Date],$A261,Table1[Bill No.],$B261),IF($J261="PETROL",SUMIFS(Table14[Quantity],Table14[Customer],$M$3,Table14[Date],$A261,Table14[Bill No.],$B261),IF($J261="XtraGreen",SUMIFS(Table146[Quantity],Table146[Company],$M$3,Table146[Date],$A261,Table146[Bill No.],$B261),""))))</f>
        <v/>
      </c>
      <c r="D261" s="346" t="str">
        <f>IF($A261="","",IF($J261="DIESEL",AVERAGEIFS(Table1[RSP],Table1[Customer],$M$3,Table1[Date],$A261,Table1[Bill No.],$B261),IF($J261="PETROL",AVERAGEIFS(Table14[RSP],Table14[Customer],$M$3,Table14[Date],$A261,Table14[Bill No.],$B261),IF($J261="XtraGreen",AVERAGEIFS(Table146[RSP],Table146[Company],$M$3,Table146[Date],$A261,Table146[Bill No.],$B261),IFERROR($E261/$C261,"")))))</f>
        <v/>
      </c>
      <c r="E261" s="347" t="str">
        <f>IF($A261="","",IF($J261="DIESEL",SUMIFS(Table1[Amount],Table1[Customer],$M$3,Table1[Date],$A261,Table1[Bill No.],$B261),IF($J261="PETROL",SUMIFS(Table14[Amount],Table14[Customer],$M$3,Table14[Date],$A261,Table14[Bill No.],$B261),IF($J261="XtraGreen",SUMIFS(Table146[Amount],Table146[Company],$M$3,Table146[Date],$A261,Table146[Bill No.],$B261),SUMIFS('Other Sale'!$D:$D,'Other Sale'!$E:$E,$M$3,'Other Sale'!$C:$C,$J261,'Other Sale'!$A:$A,$A261)))))</f>
        <v/>
      </c>
      <c r="F261" s="347" t="str" cm="1">
        <f t="array" ref="F261">IF($A261="","",IF($J261="Payment",IFERROR(INDEX(_xlfn._xlws.FILTER(MasterPaid[Amount Paid],(MasterPaid[Customer]=$M$3)*(MasterPaid[Date]=$A261)),COUNTIFS($A$6:$A261,$A261,$J$6:$J261,"Payment")),0),0))</f>
        <v/>
      </c>
      <c r="G261" s="331"/>
      <c r="H261" s="427"/>
      <c r="I261" s="330" t="str">
        <f t="shared" si="13"/>
        <v/>
      </c>
      <c r="J261" s="344" t="str" cm="1">
        <f t="array" ref="J261">IFERROR(INDEX(_xlfn.ANCHORARRAY($P$6),ROW()-5,3),"")</f>
        <v/>
      </c>
      <c r="K261" s="432" t="str" cm="1">
        <f t="array" ref="K261">IF(OR($A261="",$J261&lt;&gt;"DIESEL"),"",_xlfn.LET(_xlpm.qty,N($C261),_xlpm.pos,$T$5:$T$54,_xlpm.alo,IF($U$5:$U$54="",0,$U$5:$U$54),_xlpm.usd,SUMIFS($C$6:$C260,$K$6:$K260,_xlpm.pos&amp;""),_xlpm.bal,_xlpm.alo-_xlpm.usd,IFERROR(INDEX(_xlfn._xlws.FILTER(_xlpm.pos,(_xlpm.pos&lt;&gt;"")*(_xlpm.qty&gt;0)*(_xlpm.bal&gt;=_xlpm.qty)),1),"")))</f>
        <v/>
      </c>
      <c r="L261" s="348"/>
    </row>
    <row r="262" spans="1:12" ht="23" x14ac:dyDescent="0.25">
      <c r="A262" s="217" t="str" cm="1">
        <f t="array" ref="A262">IFERROR(INDEX(_xlfn.ANCHORARRAY($P$6),ROW()-5,1),"")</f>
        <v/>
      </c>
      <c r="B262" s="344" t="str" cm="1">
        <f t="array" ref="B262">IFERROR(INDEX(_xlfn.ANCHORARRAY($P$6),ROW()-5,2),"")</f>
        <v/>
      </c>
      <c r="C262" s="345" t="str">
        <f>IF($A262="","",IF($J262="DIESEL",SUMIFS(Table1[Quantity],Table1[Customer],$M$3,Table1[Date],$A262,Table1[Bill No.],$B262),IF($J262="PETROL",SUMIFS(Table14[Quantity],Table14[Customer],$M$3,Table14[Date],$A262,Table14[Bill No.],$B262),IF($J262="XtraGreen",SUMIFS(Table146[Quantity],Table146[Company],$M$3,Table146[Date],$A262,Table146[Bill No.],$B262),""))))</f>
        <v/>
      </c>
      <c r="D262" s="346" t="str">
        <f>IF($A262="","",IF($J262="DIESEL",AVERAGEIFS(Table1[RSP],Table1[Customer],$M$3,Table1[Date],$A262,Table1[Bill No.],$B262),IF($J262="PETROL",AVERAGEIFS(Table14[RSP],Table14[Customer],$M$3,Table14[Date],$A262,Table14[Bill No.],$B262),IF($J262="XtraGreen",AVERAGEIFS(Table146[RSP],Table146[Company],$M$3,Table146[Date],$A262,Table146[Bill No.],$B262),IFERROR($E262/$C262,"")))))</f>
        <v/>
      </c>
      <c r="E262" s="347" t="str">
        <f>IF($A262="","",IF($J262="DIESEL",SUMIFS(Table1[Amount],Table1[Customer],$M$3,Table1[Date],$A262,Table1[Bill No.],$B262),IF($J262="PETROL",SUMIFS(Table14[Amount],Table14[Customer],$M$3,Table14[Date],$A262,Table14[Bill No.],$B262),IF($J262="XtraGreen",SUMIFS(Table146[Amount],Table146[Company],$M$3,Table146[Date],$A262,Table146[Bill No.],$B262),SUMIFS('Other Sale'!$D:$D,'Other Sale'!$E:$E,$M$3,'Other Sale'!$C:$C,$J262,'Other Sale'!$A:$A,$A262)))))</f>
        <v/>
      </c>
      <c r="F262" s="347" t="str" cm="1">
        <f t="array" ref="F262">IF($A262="","",IF($J262="Payment",IFERROR(INDEX(_xlfn._xlws.FILTER(MasterPaid[Amount Paid],(MasterPaid[Customer]=$M$3)*(MasterPaid[Date]=$A262)),COUNTIFS($A$6:$A262,$A262,$J$6:$J262,"Payment")),0),0))</f>
        <v/>
      </c>
      <c r="G262" s="331"/>
      <c r="H262" s="427"/>
      <c r="I262" s="330" t="str">
        <f t="shared" si="13"/>
        <v/>
      </c>
      <c r="J262" s="344" t="str" cm="1">
        <f t="array" ref="J262">IFERROR(INDEX(_xlfn.ANCHORARRAY($P$6),ROW()-5,3),"")</f>
        <v/>
      </c>
      <c r="K262" s="432" t="str" cm="1">
        <f t="array" ref="K262">IF(OR($A262="",$J262&lt;&gt;"DIESEL"),"",_xlfn.LET(_xlpm.qty,N($C262),_xlpm.pos,$T$5:$T$54,_xlpm.alo,IF($U$5:$U$54="",0,$U$5:$U$54),_xlpm.usd,SUMIFS($C$6:$C261,$K$6:$K261,_xlpm.pos&amp;""),_xlpm.bal,_xlpm.alo-_xlpm.usd,IFERROR(INDEX(_xlfn._xlws.FILTER(_xlpm.pos,(_xlpm.pos&lt;&gt;"")*(_xlpm.qty&gt;0)*(_xlpm.bal&gt;=_xlpm.qty)),1),"")))</f>
        <v/>
      </c>
      <c r="L262" s="348"/>
    </row>
    <row r="263" spans="1:12" ht="23" x14ac:dyDescent="0.25">
      <c r="A263" s="217" t="str" cm="1">
        <f t="array" ref="A263">IFERROR(INDEX(_xlfn.ANCHORARRAY($P$6),ROW()-5,1),"")</f>
        <v/>
      </c>
      <c r="B263" s="344" t="str" cm="1">
        <f t="array" ref="B263">IFERROR(INDEX(_xlfn.ANCHORARRAY($P$6),ROW()-5,2),"")</f>
        <v/>
      </c>
      <c r="C263" s="345" t="str">
        <f>IF($A263="","",IF($J263="DIESEL",SUMIFS(Table1[Quantity],Table1[Customer],$M$3,Table1[Date],$A263,Table1[Bill No.],$B263),IF($J263="PETROL",SUMIFS(Table14[Quantity],Table14[Customer],$M$3,Table14[Date],$A263,Table14[Bill No.],$B263),IF($J263="XtraGreen",SUMIFS(Table146[Quantity],Table146[Company],$M$3,Table146[Date],$A263,Table146[Bill No.],$B263),""))))</f>
        <v/>
      </c>
      <c r="D263" s="346" t="str">
        <f>IF($A263="","",IF($J263="DIESEL",AVERAGEIFS(Table1[RSP],Table1[Customer],$M$3,Table1[Date],$A263,Table1[Bill No.],$B263),IF($J263="PETROL",AVERAGEIFS(Table14[RSP],Table14[Customer],$M$3,Table14[Date],$A263,Table14[Bill No.],$B263),IF($J263="XtraGreen",AVERAGEIFS(Table146[RSP],Table146[Company],$M$3,Table146[Date],$A263,Table146[Bill No.],$B263),IFERROR($E263/$C263,"")))))</f>
        <v/>
      </c>
      <c r="E263" s="347" t="str">
        <f>IF($A263="","",IF($J263="DIESEL",SUMIFS(Table1[Amount],Table1[Customer],$M$3,Table1[Date],$A263,Table1[Bill No.],$B263),IF($J263="PETROL",SUMIFS(Table14[Amount],Table14[Customer],$M$3,Table14[Date],$A263,Table14[Bill No.],$B263),IF($J263="XtraGreen",SUMIFS(Table146[Amount],Table146[Company],$M$3,Table146[Date],$A263,Table146[Bill No.],$B263),SUMIFS('Other Sale'!$D:$D,'Other Sale'!$E:$E,$M$3,'Other Sale'!$C:$C,$J263,'Other Sale'!$A:$A,$A263)))))</f>
        <v/>
      </c>
      <c r="F263" s="347" t="str" cm="1">
        <f t="array" ref="F263">IF($A263="","",IF($J263="Payment",IFERROR(INDEX(_xlfn._xlws.FILTER(MasterPaid[Amount Paid],(MasterPaid[Customer]=$M$3)*(MasterPaid[Date]=$A263)),COUNTIFS($A$6:$A263,$A263,$J$6:$J263,"Payment")),0),0))</f>
        <v/>
      </c>
      <c r="G263" s="331"/>
      <c r="H263" s="427"/>
      <c r="I263" s="330" t="str">
        <f t="shared" si="13"/>
        <v/>
      </c>
      <c r="J263" s="344" t="str" cm="1">
        <f t="array" ref="J263">IFERROR(INDEX(_xlfn.ANCHORARRAY($P$6),ROW()-5,3),"")</f>
        <v/>
      </c>
      <c r="K263" s="432" t="str" cm="1">
        <f t="array" ref="K263">IF(OR($A263="",$J263&lt;&gt;"DIESEL"),"",_xlfn.LET(_xlpm.qty,N($C263),_xlpm.pos,$T$5:$T$54,_xlpm.alo,IF($U$5:$U$54="",0,$U$5:$U$54),_xlpm.usd,SUMIFS($C$6:$C262,$K$6:$K262,_xlpm.pos&amp;""),_xlpm.bal,_xlpm.alo-_xlpm.usd,IFERROR(INDEX(_xlfn._xlws.FILTER(_xlpm.pos,(_xlpm.pos&lt;&gt;"")*(_xlpm.qty&gt;0)*(_xlpm.bal&gt;=_xlpm.qty)),1),"")))</f>
        <v/>
      </c>
      <c r="L263" s="348"/>
    </row>
    <row r="264" spans="1:12" ht="23" x14ac:dyDescent="0.25">
      <c r="A264" s="217" t="str" cm="1">
        <f t="array" ref="A264">IFERROR(INDEX(_xlfn.ANCHORARRAY($P$6),ROW()-5,1),"")</f>
        <v/>
      </c>
      <c r="B264" s="344" t="str" cm="1">
        <f t="array" ref="B264">IFERROR(INDEX(_xlfn.ANCHORARRAY($P$6),ROW()-5,2),"")</f>
        <v/>
      </c>
      <c r="C264" s="345" t="str">
        <f>IF($A264="","",IF($J264="DIESEL",SUMIFS(Table1[Quantity],Table1[Customer],$M$3,Table1[Date],$A264,Table1[Bill No.],$B264),IF($J264="PETROL",SUMIFS(Table14[Quantity],Table14[Customer],$M$3,Table14[Date],$A264,Table14[Bill No.],$B264),IF($J264="XtraGreen",SUMIFS(Table146[Quantity],Table146[Company],$M$3,Table146[Date],$A264,Table146[Bill No.],$B264),""))))</f>
        <v/>
      </c>
      <c r="D264" s="346" t="str">
        <f>IF($A264="","",IF($J264="DIESEL",AVERAGEIFS(Table1[RSP],Table1[Customer],$M$3,Table1[Date],$A264,Table1[Bill No.],$B264),IF($J264="PETROL",AVERAGEIFS(Table14[RSP],Table14[Customer],$M$3,Table14[Date],$A264,Table14[Bill No.],$B264),IF($J264="XtraGreen",AVERAGEIFS(Table146[RSP],Table146[Company],$M$3,Table146[Date],$A264,Table146[Bill No.],$B264),IFERROR($E264/$C264,"")))))</f>
        <v/>
      </c>
      <c r="E264" s="347" t="str">
        <f>IF($A264="","",IF($J264="DIESEL",SUMIFS(Table1[Amount],Table1[Customer],$M$3,Table1[Date],$A264,Table1[Bill No.],$B264),IF($J264="PETROL",SUMIFS(Table14[Amount],Table14[Customer],$M$3,Table14[Date],$A264,Table14[Bill No.],$B264),IF($J264="XtraGreen",SUMIFS(Table146[Amount],Table146[Company],$M$3,Table146[Date],$A264,Table146[Bill No.],$B264),SUMIFS('Other Sale'!$D:$D,'Other Sale'!$E:$E,$M$3,'Other Sale'!$C:$C,$J264,'Other Sale'!$A:$A,$A264)))))</f>
        <v/>
      </c>
      <c r="F264" s="347" t="str" cm="1">
        <f t="array" ref="F264">IF($A264="","",IF($J264="Payment",IFERROR(INDEX(_xlfn._xlws.FILTER(MasterPaid[Amount Paid],(MasterPaid[Customer]=$M$3)*(MasterPaid[Date]=$A264)),COUNTIFS($A$6:$A264,$A264,$J$6:$J264,"Payment")),0),0))</f>
        <v/>
      </c>
      <c r="G264" s="331"/>
      <c r="H264" s="427"/>
      <c r="I264" s="330" t="str">
        <f t="shared" si="13"/>
        <v/>
      </c>
      <c r="J264" s="344" t="str" cm="1">
        <f t="array" ref="J264">IFERROR(INDEX(_xlfn.ANCHORARRAY($P$6),ROW()-5,3),"")</f>
        <v/>
      </c>
      <c r="K264" s="432" t="str" cm="1">
        <f t="array" ref="K264">IF(OR($A264="",$J264&lt;&gt;"DIESEL"),"",_xlfn.LET(_xlpm.qty,N($C264),_xlpm.pos,$T$5:$T$54,_xlpm.alo,IF($U$5:$U$54="",0,$U$5:$U$54),_xlpm.usd,SUMIFS($C$6:$C263,$K$6:$K263,_xlpm.pos&amp;""),_xlpm.bal,_xlpm.alo-_xlpm.usd,IFERROR(INDEX(_xlfn._xlws.FILTER(_xlpm.pos,(_xlpm.pos&lt;&gt;"")*(_xlpm.qty&gt;0)*(_xlpm.bal&gt;=_xlpm.qty)),1),"")))</f>
        <v/>
      </c>
      <c r="L264" s="348"/>
    </row>
    <row r="265" spans="1:12" ht="23" x14ac:dyDescent="0.25">
      <c r="A265" s="217" t="str" cm="1">
        <f t="array" ref="A265">IFERROR(INDEX(_xlfn.ANCHORARRAY($P$6),ROW()-5,1),"")</f>
        <v/>
      </c>
      <c r="B265" s="344" t="str" cm="1">
        <f t="array" ref="B265">IFERROR(INDEX(_xlfn.ANCHORARRAY($P$6),ROW()-5,2),"")</f>
        <v/>
      </c>
      <c r="C265" s="345" t="str">
        <f>IF($A265="","",IF($J265="DIESEL",SUMIFS(Table1[Quantity],Table1[Customer],$M$3,Table1[Date],$A265,Table1[Bill No.],$B265),IF($J265="PETROL",SUMIFS(Table14[Quantity],Table14[Customer],$M$3,Table14[Date],$A265,Table14[Bill No.],$B265),IF($J265="XtraGreen",SUMIFS(Table146[Quantity],Table146[Company],$M$3,Table146[Date],$A265,Table146[Bill No.],$B265),""))))</f>
        <v/>
      </c>
      <c r="D265" s="346" t="str">
        <f>IF($A265="","",IF($J265="DIESEL",AVERAGEIFS(Table1[RSP],Table1[Customer],$M$3,Table1[Date],$A265,Table1[Bill No.],$B265),IF($J265="PETROL",AVERAGEIFS(Table14[RSP],Table14[Customer],$M$3,Table14[Date],$A265,Table14[Bill No.],$B265),IF($J265="XtraGreen",AVERAGEIFS(Table146[RSP],Table146[Company],$M$3,Table146[Date],$A265,Table146[Bill No.],$B265),IFERROR($E265/$C265,"")))))</f>
        <v/>
      </c>
      <c r="E265" s="347" t="str">
        <f>IF($A265="","",IF($J265="DIESEL",SUMIFS(Table1[Amount],Table1[Customer],$M$3,Table1[Date],$A265,Table1[Bill No.],$B265),IF($J265="PETROL",SUMIFS(Table14[Amount],Table14[Customer],$M$3,Table14[Date],$A265,Table14[Bill No.],$B265),IF($J265="XtraGreen",SUMIFS(Table146[Amount],Table146[Company],$M$3,Table146[Date],$A265,Table146[Bill No.],$B265),SUMIFS('Other Sale'!$D:$D,'Other Sale'!$E:$E,$M$3,'Other Sale'!$C:$C,$J265,'Other Sale'!$A:$A,$A265)))))</f>
        <v/>
      </c>
      <c r="F265" s="347" t="str" cm="1">
        <f t="array" ref="F265">IF($A265="","",IF($J265="Payment",IFERROR(INDEX(_xlfn._xlws.FILTER(MasterPaid[Amount Paid],(MasterPaid[Customer]=$M$3)*(MasterPaid[Date]=$A265)),COUNTIFS($A$6:$A265,$A265,$J$6:$J265,"Payment")),0),0))</f>
        <v/>
      </c>
      <c r="G265" s="331"/>
      <c r="H265" s="427"/>
      <c r="I265" s="330" t="str">
        <f t="shared" si="13"/>
        <v/>
      </c>
      <c r="J265" s="344" t="str" cm="1">
        <f t="array" ref="J265">IFERROR(INDEX(_xlfn.ANCHORARRAY($P$6),ROW()-5,3),"")</f>
        <v/>
      </c>
      <c r="K265" s="432" t="str" cm="1">
        <f t="array" ref="K265">IF(OR($A265="",$J265&lt;&gt;"DIESEL"),"",_xlfn.LET(_xlpm.qty,N($C265),_xlpm.pos,$T$5:$T$54,_xlpm.alo,IF($U$5:$U$54="",0,$U$5:$U$54),_xlpm.usd,SUMIFS($C$6:$C264,$K$6:$K264,_xlpm.pos&amp;""),_xlpm.bal,_xlpm.alo-_xlpm.usd,IFERROR(INDEX(_xlfn._xlws.FILTER(_xlpm.pos,(_xlpm.pos&lt;&gt;"")*(_xlpm.qty&gt;0)*(_xlpm.bal&gt;=_xlpm.qty)),1),"")))</f>
        <v/>
      </c>
      <c r="L265" s="348"/>
    </row>
    <row r="266" spans="1:12" ht="23" x14ac:dyDescent="0.25">
      <c r="A266" s="217" t="str" cm="1">
        <f t="array" ref="A266">IFERROR(INDEX(_xlfn.ANCHORARRAY($P$6),ROW()-5,1),"")</f>
        <v/>
      </c>
      <c r="B266" s="344" t="str" cm="1">
        <f t="array" ref="B266">IFERROR(INDEX(_xlfn.ANCHORARRAY($P$6),ROW()-5,2),"")</f>
        <v/>
      </c>
      <c r="C266" s="345" t="str">
        <f>IF($A266="","",IF($J266="DIESEL",SUMIFS(Table1[Quantity],Table1[Customer],$M$3,Table1[Date],$A266,Table1[Bill No.],$B266),IF($J266="PETROL",SUMIFS(Table14[Quantity],Table14[Customer],$M$3,Table14[Date],$A266,Table14[Bill No.],$B266),IF($J266="XtraGreen",SUMIFS(Table146[Quantity],Table146[Company],$M$3,Table146[Date],$A266,Table146[Bill No.],$B266),""))))</f>
        <v/>
      </c>
      <c r="D266" s="346" t="str">
        <f>IF($A266="","",IF($J266="DIESEL",AVERAGEIFS(Table1[RSP],Table1[Customer],$M$3,Table1[Date],$A266,Table1[Bill No.],$B266),IF($J266="PETROL",AVERAGEIFS(Table14[RSP],Table14[Customer],$M$3,Table14[Date],$A266,Table14[Bill No.],$B266),IF($J266="XtraGreen",AVERAGEIFS(Table146[RSP],Table146[Company],$M$3,Table146[Date],$A266,Table146[Bill No.],$B266),IFERROR($E266/$C266,"")))))</f>
        <v/>
      </c>
      <c r="E266" s="347" t="str">
        <f>IF($A266="","",IF($J266="DIESEL",SUMIFS(Table1[Amount],Table1[Customer],$M$3,Table1[Date],$A266,Table1[Bill No.],$B266),IF($J266="PETROL",SUMIFS(Table14[Amount],Table14[Customer],$M$3,Table14[Date],$A266,Table14[Bill No.],$B266),IF($J266="XtraGreen",SUMIFS(Table146[Amount],Table146[Company],$M$3,Table146[Date],$A266,Table146[Bill No.],$B266),SUMIFS('Other Sale'!$D:$D,'Other Sale'!$E:$E,$M$3,'Other Sale'!$C:$C,$J266,'Other Sale'!$A:$A,$A266)))))</f>
        <v/>
      </c>
      <c r="F266" s="347" t="str" cm="1">
        <f t="array" ref="F266">IF($A266="","",IF($J266="Payment",IFERROR(INDEX(_xlfn._xlws.FILTER(MasterPaid[Amount Paid],(MasterPaid[Customer]=$M$3)*(MasterPaid[Date]=$A266)),COUNTIFS($A$6:$A266,$A266,$J$6:$J266,"Payment")),0),0))</f>
        <v/>
      </c>
      <c r="G266" s="331"/>
      <c r="H266" s="427"/>
      <c r="I266" s="330" t="str">
        <f t="shared" si="13"/>
        <v/>
      </c>
      <c r="J266" s="344" t="str" cm="1">
        <f t="array" ref="J266">IFERROR(INDEX(_xlfn.ANCHORARRAY($P$6),ROW()-5,3),"")</f>
        <v/>
      </c>
      <c r="K266" s="432" t="str" cm="1">
        <f t="array" ref="K266">IF(OR($A266="",$J266&lt;&gt;"DIESEL"),"",_xlfn.LET(_xlpm.qty,N($C266),_xlpm.pos,$T$5:$T$54,_xlpm.alo,IF($U$5:$U$54="",0,$U$5:$U$54),_xlpm.usd,SUMIFS($C$6:$C265,$K$6:$K265,_xlpm.pos&amp;""),_xlpm.bal,_xlpm.alo-_xlpm.usd,IFERROR(INDEX(_xlfn._xlws.FILTER(_xlpm.pos,(_xlpm.pos&lt;&gt;"")*(_xlpm.qty&gt;0)*(_xlpm.bal&gt;=_xlpm.qty)),1),"")))</f>
        <v/>
      </c>
      <c r="L266" s="348"/>
    </row>
    <row r="267" spans="1:12" ht="23" x14ac:dyDescent="0.25">
      <c r="A267" s="217" t="str" cm="1">
        <f t="array" ref="A267">IFERROR(INDEX(_xlfn.ANCHORARRAY($P$6),ROW()-5,1),"")</f>
        <v/>
      </c>
      <c r="B267" s="344" t="str" cm="1">
        <f t="array" ref="B267">IFERROR(INDEX(_xlfn.ANCHORARRAY($P$6),ROW()-5,2),"")</f>
        <v/>
      </c>
      <c r="C267" s="345" t="str">
        <f>IF($A267="","",IF($J267="DIESEL",SUMIFS(Table1[Quantity],Table1[Customer],$M$3,Table1[Date],$A267,Table1[Bill No.],$B267),IF($J267="PETROL",SUMIFS(Table14[Quantity],Table14[Customer],$M$3,Table14[Date],$A267,Table14[Bill No.],$B267),IF($J267="XtraGreen",SUMIFS(Table146[Quantity],Table146[Company],$M$3,Table146[Date],$A267,Table146[Bill No.],$B267),""))))</f>
        <v/>
      </c>
      <c r="D267" s="346" t="str">
        <f>IF($A267="","",IF($J267="DIESEL",AVERAGEIFS(Table1[RSP],Table1[Customer],$M$3,Table1[Date],$A267,Table1[Bill No.],$B267),IF($J267="PETROL",AVERAGEIFS(Table14[RSP],Table14[Customer],$M$3,Table14[Date],$A267,Table14[Bill No.],$B267),IF($J267="XtraGreen",AVERAGEIFS(Table146[RSP],Table146[Company],$M$3,Table146[Date],$A267,Table146[Bill No.],$B267),IFERROR($E267/$C267,"")))))</f>
        <v/>
      </c>
      <c r="E267" s="347" t="str">
        <f>IF($A267="","",IF($J267="DIESEL",SUMIFS(Table1[Amount],Table1[Customer],$M$3,Table1[Date],$A267,Table1[Bill No.],$B267),IF($J267="PETROL",SUMIFS(Table14[Amount],Table14[Customer],$M$3,Table14[Date],$A267,Table14[Bill No.],$B267),IF($J267="XtraGreen",SUMIFS(Table146[Amount],Table146[Company],$M$3,Table146[Date],$A267,Table146[Bill No.],$B267),SUMIFS('Other Sale'!$D:$D,'Other Sale'!$E:$E,$M$3,'Other Sale'!$C:$C,$J267,'Other Sale'!$A:$A,$A267)))))</f>
        <v/>
      </c>
      <c r="F267" s="347" t="str" cm="1">
        <f t="array" ref="F267">IF($A267="","",IF($J267="Payment",IFERROR(INDEX(_xlfn._xlws.FILTER(MasterPaid[Amount Paid],(MasterPaid[Customer]=$M$3)*(MasterPaid[Date]=$A267)),COUNTIFS($A$6:$A267,$A267,$J$6:$J267,"Payment")),0),0))</f>
        <v/>
      </c>
      <c r="G267" s="331"/>
      <c r="H267" s="427"/>
      <c r="I267" s="330" t="str">
        <f t="shared" si="13"/>
        <v/>
      </c>
      <c r="J267" s="344" t="str" cm="1">
        <f t="array" ref="J267">IFERROR(INDEX(_xlfn.ANCHORARRAY($P$6),ROW()-5,3),"")</f>
        <v/>
      </c>
      <c r="K267" s="432" t="str" cm="1">
        <f t="array" ref="K267">IF(OR($A267="",$J267&lt;&gt;"DIESEL"),"",_xlfn.LET(_xlpm.qty,N($C267),_xlpm.pos,$T$5:$T$54,_xlpm.alo,IF($U$5:$U$54="",0,$U$5:$U$54),_xlpm.usd,SUMIFS($C$6:$C266,$K$6:$K266,_xlpm.pos&amp;""),_xlpm.bal,_xlpm.alo-_xlpm.usd,IFERROR(INDEX(_xlfn._xlws.FILTER(_xlpm.pos,(_xlpm.pos&lt;&gt;"")*(_xlpm.qty&gt;0)*(_xlpm.bal&gt;=_xlpm.qty)),1),"")))</f>
        <v/>
      </c>
      <c r="L267" s="348"/>
    </row>
    <row r="268" spans="1:12" ht="23" x14ac:dyDescent="0.25">
      <c r="A268" s="217" t="str" cm="1">
        <f t="array" ref="A268">IFERROR(INDEX(_xlfn.ANCHORARRAY($P$6),ROW()-5,1),"")</f>
        <v/>
      </c>
      <c r="B268" s="344" t="str" cm="1">
        <f t="array" ref="B268">IFERROR(INDEX(_xlfn.ANCHORARRAY($P$6),ROW()-5,2),"")</f>
        <v/>
      </c>
      <c r="C268" s="345" t="str">
        <f>IF($A268="","",IF($J268="DIESEL",SUMIFS(Table1[Quantity],Table1[Customer],$M$3,Table1[Date],$A268,Table1[Bill No.],$B268),IF($J268="PETROL",SUMIFS(Table14[Quantity],Table14[Customer],$M$3,Table14[Date],$A268,Table14[Bill No.],$B268),IF($J268="XtraGreen",SUMIFS(Table146[Quantity],Table146[Company],$M$3,Table146[Date],$A268,Table146[Bill No.],$B268),""))))</f>
        <v/>
      </c>
      <c r="D268" s="346" t="str">
        <f>IF($A268="","",IF($J268="DIESEL",AVERAGEIFS(Table1[RSP],Table1[Customer],$M$3,Table1[Date],$A268,Table1[Bill No.],$B268),IF($J268="PETROL",AVERAGEIFS(Table14[RSP],Table14[Customer],$M$3,Table14[Date],$A268,Table14[Bill No.],$B268),IF($J268="XtraGreen",AVERAGEIFS(Table146[RSP],Table146[Company],$M$3,Table146[Date],$A268,Table146[Bill No.],$B268),IFERROR($E268/$C268,"")))))</f>
        <v/>
      </c>
      <c r="E268" s="347" t="str">
        <f>IF($A268="","",IF($J268="DIESEL",SUMIFS(Table1[Amount],Table1[Customer],$M$3,Table1[Date],$A268,Table1[Bill No.],$B268),IF($J268="PETROL",SUMIFS(Table14[Amount],Table14[Customer],$M$3,Table14[Date],$A268,Table14[Bill No.],$B268),IF($J268="XtraGreen",SUMIFS(Table146[Amount],Table146[Company],$M$3,Table146[Date],$A268,Table146[Bill No.],$B268),SUMIFS('Other Sale'!$D:$D,'Other Sale'!$E:$E,$M$3,'Other Sale'!$C:$C,$J268,'Other Sale'!$A:$A,$A268)))))</f>
        <v/>
      </c>
      <c r="F268" s="347" t="str" cm="1">
        <f t="array" ref="F268">IF($A268="","",IF($J268="Payment",IFERROR(INDEX(_xlfn._xlws.FILTER(MasterPaid[Amount Paid],(MasterPaid[Customer]=$M$3)*(MasterPaid[Date]=$A268)),COUNTIFS($A$6:$A268,$A268,$J$6:$J268,"Payment")),0),0))</f>
        <v/>
      </c>
      <c r="G268" s="331"/>
      <c r="H268" s="427"/>
      <c r="I268" s="330" t="str">
        <f t="shared" si="13"/>
        <v/>
      </c>
      <c r="J268" s="344" t="str" cm="1">
        <f t="array" ref="J268">IFERROR(INDEX(_xlfn.ANCHORARRAY($P$6),ROW()-5,3),"")</f>
        <v/>
      </c>
      <c r="K268" s="432" t="str" cm="1">
        <f t="array" ref="K268">IF(OR($A268="",$J268&lt;&gt;"DIESEL"),"",_xlfn.LET(_xlpm.qty,N($C268),_xlpm.pos,$T$5:$T$54,_xlpm.alo,IF($U$5:$U$54="",0,$U$5:$U$54),_xlpm.usd,SUMIFS($C$6:$C267,$K$6:$K267,_xlpm.pos&amp;""),_xlpm.bal,_xlpm.alo-_xlpm.usd,IFERROR(INDEX(_xlfn._xlws.FILTER(_xlpm.pos,(_xlpm.pos&lt;&gt;"")*(_xlpm.qty&gt;0)*(_xlpm.bal&gt;=_xlpm.qty)),1),"")))</f>
        <v/>
      </c>
      <c r="L268" s="348"/>
    </row>
    <row r="269" spans="1:12" ht="23" x14ac:dyDescent="0.25">
      <c r="A269" s="217" t="str" cm="1">
        <f t="array" ref="A269">IFERROR(INDEX(_xlfn.ANCHORARRAY($P$6),ROW()-5,1),"")</f>
        <v/>
      </c>
      <c r="B269" s="344" t="str" cm="1">
        <f t="array" ref="B269">IFERROR(INDEX(_xlfn.ANCHORARRAY($P$6),ROW()-5,2),"")</f>
        <v/>
      </c>
      <c r="C269" s="345" t="str">
        <f>IF($A269="","",IF($J269="DIESEL",SUMIFS(Table1[Quantity],Table1[Customer],$M$3,Table1[Date],$A269,Table1[Bill No.],$B269),IF($J269="PETROL",SUMIFS(Table14[Quantity],Table14[Customer],$M$3,Table14[Date],$A269,Table14[Bill No.],$B269),IF($J269="XtraGreen",SUMIFS(Table146[Quantity],Table146[Company],$M$3,Table146[Date],$A269,Table146[Bill No.],$B269),""))))</f>
        <v/>
      </c>
      <c r="D269" s="346" t="str">
        <f>IF($A269="","",IF($J269="DIESEL",AVERAGEIFS(Table1[RSP],Table1[Customer],$M$3,Table1[Date],$A269,Table1[Bill No.],$B269),IF($J269="PETROL",AVERAGEIFS(Table14[RSP],Table14[Customer],$M$3,Table14[Date],$A269,Table14[Bill No.],$B269),IF($J269="XtraGreen",AVERAGEIFS(Table146[RSP],Table146[Company],$M$3,Table146[Date],$A269,Table146[Bill No.],$B269),IFERROR($E269/$C269,"")))))</f>
        <v/>
      </c>
      <c r="E269" s="347" t="str">
        <f>IF($A269="","",IF($J269="DIESEL",SUMIFS(Table1[Amount],Table1[Customer],$M$3,Table1[Date],$A269,Table1[Bill No.],$B269),IF($J269="PETROL",SUMIFS(Table14[Amount],Table14[Customer],$M$3,Table14[Date],$A269,Table14[Bill No.],$B269),IF($J269="XtraGreen",SUMIFS(Table146[Amount],Table146[Company],$M$3,Table146[Date],$A269,Table146[Bill No.],$B269),SUMIFS('Other Sale'!$D:$D,'Other Sale'!$E:$E,$M$3,'Other Sale'!$C:$C,$J269,'Other Sale'!$A:$A,$A269)))))</f>
        <v/>
      </c>
      <c r="F269" s="347" t="str" cm="1">
        <f t="array" ref="F269">IF($A269="","",IF($J269="Payment",IFERROR(INDEX(_xlfn._xlws.FILTER(MasterPaid[Amount Paid],(MasterPaid[Customer]=$M$3)*(MasterPaid[Date]=$A269)),COUNTIFS($A$6:$A269,$A269,$J$6:$J269,"Payment")),0),0))</f>
        <v/>
      </c>
      <c r="G269" s="331"/>
      <c r="H269" s="427"/>
      <c r="I269" s="330" t="str">
        <f t="shared" si="13"/>
        <v/>
      </c>
      <c r="J269" s="344" t="str" cm="1">
        <f t="array" ref="J269">IFERROR(INDEX(_xlfn.ANCHORARRAY($P$6),ROW()-5,3),"")</f>
        <v/>
      </c>
      <c r="K269" s="432" t="str" cm="1">
        <f t="array" ref="K269">IF(OR($A269="",$J269&lt;&gt;"DIESEL"),"",_xlfn.LET(_xlpm.qty,N($C269),_xlpm.pos,$T$5:$T$54,_xlpm.alo,IF($U$5:$U$54="",0,$U$5:$U$54),_xlpm.usd,SUMIFS($C$6:$C268,$K$6:$K268,_xlpm.pos&amp;""),_xlpm.bal,_xlpm.alo-_xlpm.usd,IFERROR(INDEX(_xlfn._xlws.FILTER(_xlpm.pos,(_xlpm.pos&lt;&gt;"")*(_xlpm.qty&gt;0)*(_xlpm.bal&gt;=_xlpm.qty)),1),"")))</f>
        <v/>
      </c>
      <c r="L269" s="348"/>
    </row>
    <row r="270" spans="1:12" ht="23" x14ac:dyDescent="0.25">
      <c r="A270" s="217" t="str" cm="1">
        <f t="array" ref="A270">IFERROR(INDEX(_xlfn.ANCHORARRAY($P$6),ROW()-5,1),"")</f>
        <v/>
      </c>
      <c r="B270" s="344" t="str" cm="1">
        <f t="array" ref="B270">IFERROR(INDEX(_xlfn.ANCHORARRAY($P$6),ROW()-5,2),"")</f>
        <v/>
      </c>
      <c r="C270" s="345" t="str">
        <f>IF($A270="","",IF($J270="DIESEL",SUMIFS(Table1[Quantity],Table1[Customer],$M$3,Table1[Date],$A270,Table1[Bill No.],$B270),IF($J270="PETROL",SUMIFS(Table14[Quantity],Table14[Customer],$M$3,Table14[Date],$A270,Table14[Bill No.],$B270),IF($J270="XtraGreen",SUMIFS(Table146[Quantity],Table146[Company],$M$3,Table146[Date],$A270,Table146[Bill No.],$B270),""))))</f>
        <v/>
      </c>
      <c r="D270" s="346" t="str">
        <f>IF($A270="","",IF($J270="DIESEL",AVERAGEIFS(Table1[RSP],Table1[Customer],$M$3,Table1[Date],$A270,Table1[Bill No.],$B270),IF($J270="PETROL",AVERAGEIFS(Table14[RSP],Table14[Customer],$M$3,Table14[Date],$A270,Table14[Bill No.],$B270),IF($J270="XtraGreen",AVERAGEIFS(Table146[RSP],Table146[Company],$M$3,Table146[Date],$A270,Table146[Bill No.],$B270),IFERROR($E270/$C270,"")))))</f>
        <v/>
      </c>
      <c r="E270" s="347" t="str">
        <f>IF($A270="","",IF($J270="DIESEL",SUMIFS(Table1[Amount],Table1[Customer],$M$3,Table1[Date],$A270,Table1[Bill No.],$B270),IF($J270="PETROL",SUMIFS(Table14[Amount],Table14[Customer],$M$3,Table14[Date],$A270,Table14[Bill No.],$B270),IF($J270="XtraGreen",SUMIFS(Table146[Amount],Table146[Company],$M$3,Table146[Date],$A270,Table146[Bill No.],$B270),SUMIFS('Other Sale'!$D:$D,'Other Sale'!$E:$E,$M$3,'Other Sale'!$C:$C,$J270,'Other Sale'!$A:$A,$A270)))))</f>
        <v/>
      </c>
      <c r="F270" s="347" t="str" cm="1">
        <f t="array" ref="F270">IF($A270="","",IF($J270="Payment",IFERROR(INDEX(_xlfn._xlws.FILTER(MasterPaid[Amount Paid],(MasterPaid[Customer]=$M$3)*(MasterPaid[Date]=$A270)),COUNTIFS($A$6:$A270,$A270,$J$6:$J270,"Payment")),0),0))</f>
        <v/>
      </c>
      <c r="G270" s="331"/>
      <c r="H270" s="427"/>
      <c r="I270" s="330" t="str">
        <f t="shared" si="13"/>
        <v/>
      </c>
      <c r="J270" s="344" t="str" cm="1">
        <f t="array" ref="J270">IFERROR(INDEX(_xlfn.ANCHORARRAY($P$6),ROW()-5,3),"")</f>
        <v/>
      </c>
      <c r="K270" s="432" t="str" cm="1">
        <f t="array" ref="K270">IF(OR($A270="",$J270&lt;&gt;"DIESEL"),"",_xlfn.LET(_xlpm.qty,N($C270),_xlpm.pos,$T$5:$T$54,_xlpm.alo,IF($U$5:$U$54="",0,$U$5:$U$54),_xlpm.usd,SUMIFS($C$6:$C269,$K$6:$K269,_xlpm.pos&amp;""),_xlpm.bal,_xlpm.alo-_xlpm.usd,IFERROR(INDEX(_xlfn._xlws.FILTER(_xlpm.pos,(_xlpm.pos&lt;&gt;"")*(_xlpm.qty&gt;0)*(_xlpm.bal&gt;=_xlpm.qty)),1),"")))</f>
        <v/>
      </c>
      <c r="L270" s="348"/>
    </row>
    <row r="271" spans="1:12" ht="23" x14ac:dyDescent="0.25">
      <c r="A271" s="217" t="str" cm="1">
        <f t="array" ref="A271">IFERROR(INDEX(_xlfn.ANCHORARRAY($P$6),ROW()-5,1),"")</f>
        <v/>
      </c>
      <c r="B271" s="344" t="str" cm="1">
        <f t="array" ref="B271">IFERROR(INDEX(_xlfn.ANCHORARRAY($P$6),ROW()-5,2),"")</f>
        <v/>
      </c>
      <c r="C271" s="345" t="str">
        <f>IF($A271="","",IF($J271="DIESEL",SUMIFS(Table1[Quantity],Table1[Customer],$M$3,Table1[Date],$A271,Table1[Bill No.],$B271),IF($J271="PETROL",SUMIFS(Table14[Quantity],Table14[Customer],$M$3,Table14[Date],$A271,Table14[Bill No.],$B271),IF($J271="XtraGreen",SUMIFS(Table146[Quantity],Table146[Company],$M$3,Table146[Date],$A271,Table146[Bill No.],$B271),""))))</f>
        <v/>
      </c>
      <c r="D271" s="346" t="str">
        <f>IF($A271="","",IF($J271="DIESEL",AVERAGEIFS(Table1[RSP],Table1[Customer],$M$3,Table1[Date],$A271,Table1[Bill No.],$B271),IF($J271="PETROL",AVERAGEIFS(Table14[RSP],Table14[Customer],$M$3,Table14[Date],$A271,Table14[Bill No.],$B271),IF($J271="XtraGreen",AVERAGEIFS(Table146[RSP],Table146[Company],$M$3,Table146[Date],$A271,Table146[Bill No.],$B271),IFERROR($E271/$C271,"")))))</f>
        <v/>
      </c>
      <c r="E271" s="347" t="str">
        <f>IF($A271="","",IF($J271="DIESEL",SUMIFS(Table1[Amount],Table1[Customer],$M$3,Table1[Date],$A271,Table1[Bill No.],$B271),IF($J271="PETROL",SUMIFS(Table14[Amount],Table14[Customer],$M$3,Table14[Date],$A271,Table14[Bill No.],$B271),IF($J271="XtraGreen",SUMIFS(Table146[Amount],Table146[Company],$M$3,Table146[Date],$A271,Table146[Bill No.],$B271),SUMIFS('Other Sale'!$D:$D,'Other Sale'!$E:$E,$M$3,'Other Sale'!$C:$C,$J271,'Other Sale'!$A:$A,$A271)))))</f>
        <v/>
      </c>
      <c r="F271" s="347" t="str" cm="1">
        <f t="array" ref="F271">IF($A271="","",IF($J271="Payment",IFERROR(INDEX(_xlfn._xlws.FILTER(MasterPaid[Amount Paid],(MasterPaid[Customer]=$M$3)*(MasterPaid[Date]=$A271)),COUNTIFS($A$6:$A271,$A271,$J$6:$J271,"Payment")),0),0))</f>
        <v/>
      </c>
      <c r="G271" s="331"/>
      <c r="H271" s="427"/>
      <c r="I271" s="330" t="str">
        <f t="shared" si="13"/>
        <v/>
      </c>
      <c r="J271" s="344" t="str" cm="1">
        <f t="array" ref="J271">IFERROR(INDEX(_xlfn.ANCHORARRAY($P$6),ROW()-5,3),"")</f>
        <v/>
      </c>
      <c r="K271" s="432" t="str" cm="1">
        <f t="array" ref="K271">IF(OR($A271="",$J271&lt;&gt;"DIESEL"),"",_xlfn.LET(_xlpm.qty,N($C271),_xlpm.pos,$T$5:$T$54,_xlpm.alo,IF($U$5:$U$54="",0,$U$5:$U$54),_xlpm.usd,SUMIFS($C$6:$C270,$K$6:$K270,_xlpm.pos&amp;""),_xlpm.bal,_xlpm.alo-_xlpm.usd,IFERROR(INDEX(_xlfn._xlws.FILTER(_xlpm.pos,(_xlpm.pos&lt;&gt;"")*(_xlpm.qty&gt;0)*(_xlpm.bal&gt;=_xlpm.qty)),1),"")))</f>
        <v/>
      </c>
      <c r="L271" s="348"/>
    </row>
    <row r="272" spans="1:12" ht="23" x14ac:dyDescent="0.25">
      <c r="A272" s="217" t="str" cm="1">
        <f t="array" ref="A272">IFERROR(INDEX(_xlfn.ANCHORARRAY($P$6),ROW()-5,1),"")</f>
        <v/>
      </c>
      <c r="B272" s="344" t="str" cm="1">
        <f t="array" ref="B272">IFERROR(INDEX(_xlfn.ANCHORARRAY($P$6),ROW()-5,2),"")</f>
        <v/>
      </c>
      <c r="C272" s="345" t="str">
        <f>IF($A272="","",IF($J272="DIESEL",SUMIFS(Table1[Quantity],Table1[Customer],$M$3,Table1[Date],$A272,Table1[Bill No.],$B272),IF($J272="PETROL",SUMIFS(Table14[Quantity],Table14[Customer],$M$3,Table14[Date],$A272,Table14[Bill No.],$B272),IF($J272="XtraGreen",SUMIFS(Table146[Quantity],Table146[Company],$M$3,Table146[Date],$A272,Table146[Bill No.],$B272),""))))</f>
        <v/>
      </c>
      <c r="D272" s="346" t="str">
        <f>IF($A272="","",IF($J272="DIESEL",AVERAGEIFS(Table1[RSP],Table1[Customer],$M$3,Table1[Date],$A272,Table1[Bill No.],$B272),IF($J272="PETROL",AVERAGEIFS(Table14[RSP],Table14[Customer],$M$3,Table14[Date],$A272,Table14[Bill No.],$B272),IF($J272="XtraGreen",AVERAGEIFS(Table146[RSP],Table146[Company],$M$3,Table146[Date],$A272,Table146[Bill No.],$B272),IFERROR($E272/$C272,"")))))</f>
        <v/>
      </c>
      <c r="E272" s="347" t="str">
        <f>IF($A272="","",IF($J272="DIESEL",SUMIFS(Table1[Amount],Table1[Customer],$M$3,Table1[Date],$A272,Table1[Bill No.],$B272),IF($J272="PETROL",SUMIFS(Table14[Amount],Table14[Customer],$M$3,Table14[Date],$A272,Table14[Bill No.],$B272),IF($J272="XtraGreen",SUMIFS(Table146[Amount],Table146[Company],$M$3,Table146[Date],$A272,Table146[Bill No.],$B272),SUMIFS('Other Sale'!$D:$D,'Other Sale'!$E:$E,$M$3,'Other Sale'!$C:$C,$J272,'Other Sale'!$A:$A,$A272)))))</f>
        <v/>
      </c>
      <c r="F272" s="347" t="str" cm="1">
        <f t="array" ref="F272">IF($A272="","",IF($J272="Payment",IFERROR(INDEX(_xlfn._xlws.FILTER(MasterPaid[Amount Paid],(MasterPaid[Customer]=$M$3)*(MasterPaid[Date]=$A272)),COUNTIFS($A$6:$A272,$A272,$J$6:$J272,"Payment")),0),0))</f>
        <v/>
      </c>
      <c r="G272" s="331"/>
      <c r="H272" s="427"/>
      <c r="I272" s="330" t="str">
        <f t="shared" si="13"/>
        <v/>
      </c>
      <c r="J272" s="344" t="str" cm="1">
        <f t="array" ref="J272">IFERROR(INDEX(_xlfn.ANCHORARRAY($P$6),ROW()-5,3),"")</f>
        <v/>
      </c>
      <c r="K272" s="432" t="str" cm="1">
        <f t="array" ref="K272">IF(OR($A272="",$J272&lt;&gt;"DIESEL"),"",_xlfn.LET(_xlpm.qty,N($C272),_xlpm.pos,$T$5:$T$54,_xlpm.alo,IF($U$5:$U$54="",0,$U$5:$U$54),_xlpm.usd,SUMIFS($C$6:$C271,$K$6:$K271,_xlpm.pos&amp;""),_xlpm.bal,_xlpm.alo-_xlpm.usd,IFERROR(INDEX(_xlfn._xlws.FILTER(_xlpm.pos,(_xlpm.pos&lt;&gt;"")*(_xlpm.qty&gt;0)*(_xlpm.bal&gt;=_xlpm.qty)),1),"")))</f>
        <v/>
      </c>
      <c r="L272" s="348"/>
    </row>
    <row r="273" spans="1:12" ht="23" x14ac:dyDescent="0.25">
      <c r="A273" s="217" t="str" cm="1">
        <f t="array" ref="A273">IFERROR(INDEX(_xlfn.ANCHORARRAY($P$6),ROW()-5,1),"")</f>
        <v/>
      </c>
      <c r="B273" s="344" t="str" cm="1">
        <f t="array" ref="B273">IFERROR(INDEX(_xlfn.ANCHORARRAY($P$6),ROW()-5,2),"")</f>
        <v/>
      </c>
      <c r="C273" s="345" t="str">
        <f>IF($A273="","",IF($J273="DIESEL",SUMIFS(Table1[Quantity],Table1[Customer],$M$3,Table1[Date],$A273,Table1[Bill No.],$B273),IF($J273="PETROL",SUMIFS(Table14[Quantity],Table14[Customer],$M$3,Table14[Date],$A273,Table14[Bill No.],$B273),IF($J273="XtraGreen",SUMIFS(Table146[Quantity],Table146[Company],$M$3,Table146[Date],$A273,Table146[Bill No.],$B273),""))))</f>
        <v/>
      </c>
      <c r="D273" s="346" t="str">
        <f>IF($A273="","",IF($J273="DIESEL",AVERAGEIFS(Table1[RSP],Table1[Customer],$M$3,Table1[Date],$A273,Table1[Bill No.],$B273),IF($J273="PETROL",AVERAGEIFS(Table14[RSP],Table14[Customer],$M$3,Table14[Date],$A273,Table14[Bill No.],$B273),IF($J273="XtraGreen",AVERAGEIFS(Table146[RSP],Table146[Company],$M$3,Table146[Date],$A273,Table146[Bill No.],$B273),IFERROR($E273/$C273,"")))))</f>
        <v/>
      </c>
      <c r="E273" s="347" t="str">
        <f>IF($A273="","",IF($J273="DIESEL",SUMIFS(Table1[Amount],Table1[Customer],$M$3,Table1[Date],$A273,Table1[Bill No.],$B273),IF($J273="PETROL",SUMIFS(Table14[Amount],Table14[Customer],$M$3,Table14[Date],$A273,Table14[Bill No.],$B273),IF($J273="XtraGreen",SUMIFS(Table146[Amount],Table146[Company],$M$3,Table146[Date],$A273,Table146[Bill No.],$B273),SUMIFS('Other Sale'!$D:$D,'Other Sale'!$E:$E,$M$3,'Other Sale'!$C:$C,$J273,'Other Sale'!$A:$A,$A273)))))</f>
        <v/>
      </c>
      <c r="F273" s="347" t="str" cm="1">
        <f t="array" ref="F273">IF($A273="","",IF($J273="Payment",IFERROR(INDEX(_xlfn._xlws.FILTER(MasterPaid[Amount Paid],(MasterPaid[Customer]=$M$3)*(MasterPaid[Date]=$A273)),COUNTIFS($A$6:$A273,$A273,$J$6:$J273,"Payment")),0),0))</f>
        <v/>
      </c>
      <c r="G273" s="331"/>
      <c r="H273" s="427"/>
      <c r="I273" s="330" t="str">
        <f t="shared" si="13"/>
        <v/>
      </c>
      <c r="J273" s="344" t="str" cm="1">
        <f t="array" ref="J273">IFERROR(INDEX(_xlfn.ANCHORARRAY($P$6),ROW()-5,3),"")</f>
        <v/>
      </c>
      <c r="K273" s="432" t="str" cm="1">
        <f t="array" ref="K273">IF(OR($A273="",$J273&lt;&gt;"DIESEL"),"",_xlfn.LET(_xlpm.qty,N($C273),_xlpm.pos,$T$5:$T$54,_xlpm.alo,IF($U$5:$U$54="",0,$U$5:$U$54),_xlpm.usd,SUMIFS($C$6:$C272,$K$6:$K272,_xlpm.pos&amp;""),_xlpm.bal,_xlpm.alo-_xlpm.usd,IFERROR(INDEX(_xlfn._xlws.FILTER(_xlpm.pos,(_xlpm.pos&lt;&gt;"")*(_xlpm.qty&gt;0)*(_xlpm.bal&gt;=_xlpm.qty)),1),"")))</f>
        <v/>
      </c>
      <c r="L273" s="348"/>
    </row>
    <row r="274" spans="1:12" ht="23" x14ac:dyDescent="0.25">
      <c r="A274" s="217" t="str" cm="1">
        <f t="array" ref="A274">IFERROR(INDEX(_xlfn.ANCHORARRAY($P$6),ROW()-5,1),"")</f>
        <v/>
      </c>
      <c r="B274" s="344" t="str" cm="1">
        <f t="array" ref="B274">IFERROR(INDEX(_xlfn.ANCHORARRAY($P$6),ROW()-5,2),"")</f>
        <v/>
      </c>
      <c r="C274" s="345" t="str">
        <f>IF($A274="","",IF($J274="DIESEL",SUMIFS(Table1[Quantity],Table1[Customer],$M$3,Table1[Date],$A274,Table1[Bill No.],$B274),IF($J274="PETROL",SUMIFS(Table14[Quantity],Table14[Customer],$M$3,Table14[Date],$A274,Table14[Bill No.],$B274),IF($J274="XtraGreen",SUMIFS(Table146[Quantity],Table146[Company],$M$3,Table146[Date],$A274,Table146[Bill No.],$B274),""))))</f>
        <v/>
      </c>
      <c r="D274" s="346" t="str">
        <f>IF($A274="","",IF($J274="DIESEL",AVERAGEIFS(Table1[RSP],Table1[Customer],$M$3,Table1[Date],$A274,Table1[Bill No.],$B274),IF($J274="PETROL",AVERAGEIFS(Table14[RSP],Table14[Customer],$M$3,Table14[Date],$A274,Table14[Bill No.],$B274),IF($J274="XtraGreen",AVERAGEIFS(Table146[RSP],Table146[Company],$M$3,Table146[Date],$A274,Table146[Bill No.],$B274),IFERROR($E274/$C274,"")))))</f>
        <v/>
      </c>
      <c r="E274" s="347" t="str">
        <f>IF($A274="","",IF($J274="DIESEL",SUMIFS(Table1[Amount],Table1[Customer],$M$3,Table1[Date],$A274,Table1[Bill No.],$B274),IF($J274="PETROL",SUMIFS(Table14[Amount],Table14[Customer],$M$3,Table14[Date],$A274,Table14[Bill No.],$B274),IF($J274="XtraGreen",SUMIFS(Table146[Amount],Table146[Company],$M$3,Table146[Date],$A274,Table146[Bill No.],$B274),SUMIFS('Other Sale'!$D:$D,'Other Sale'!$E:$E,$M$3,'Other Sale'!$C:$C,$J274,'Other Sale'!$A:$A,$A274)))))</f>
        <v/>
      </c>
      <c r="F274" s="347" t="str" cm="1">
        <f t="array" ref="F274">IF($A274="","",IF($J274="Payment",IFERROR(INDEX(_xlfn._xlws.FILTER(MasterPaid[Amount Paid],(MasterPaid[Customer]=$M$3)*(MasterPaid[Date]=$A274)),COUNTIFS($A$6:$A274,$A274,$J$6:$J274,"Payment")),0),0))</f>
        <v/>
      </c>
      <c r="G274" s="331"/>
      <c r="H274" s="427"/>
      <c r="I274" s="330" t="str">
        <f t="shared" si="13"/>
        <v/>
      </c>
      <c r="J274" s="344" t="str" cm="1">
        <f t="array" ref="J274">IFERROR(INDEX(_xlfn.ANCHORARRAY($P$6),ROW()-5,3),"")</f>
        <v/>
      </c>
      <c r="K274" s="432" t="str" cm="1">
        <f t="array" ref="K274">IF(OR($A274="",$J274&lt;&gt;"DIESEL"),"",_xlfn.LET(_xlpm.qty,N($C274),_xlpm.pos,$T$5:$T$54,_xlpm.alo,IF($U$5:$U$54="",0,$U$5:$U$54),_xlpm.usd,SUMIFS($C$6:$C273,$K$6:$K273,_xlpm.pos&amp;""),_xlpm.bal,_xlpm.alo-_xlpm.usd,IFERROR(INDEX(_xlfn._xlws.FILTER(_xlpm.pos,(_xlpm.pos&lt;&gt;"")*(_xlpm.qty&gt;0)*(_xlpm.bal&gt;=_xlpm.qty)),1),"")))</f>
        <v/>
      </c>
      <c r="L274" s="348"/>
    </row>
    <row r="275" spans="1:12" ht="23" x14ac:dyDescent="0.25">
      <c r="A275" s="217" t="str" cm="1">
        <f t="array" ref="A275">IFERROR(INDEX(_xlfn.ANCHORARRAY($P$6),ROW()-5,1),"")</f>
        <v/>
      </c>
      <c r="B275" s="344" t="str" cm="1">
        <f t="array" ref="B275">IFERROR(INDEX(_xlfn.ANCHORARRAY($P$6),ROW()-5,2),"")</f>
        <v/>
      </c>
      <c r="C275" s="345" t="str">
        <f>IF($A275="","",IF($J275="DIESEL",SUMIFS(Table1[Quantity],Table1[Customer],$M$3,Table1[Date],$A275,Table1[Bill No.],$B275),IF($J275="PETROL",SUMIFS(Table14[Quantity],Table14[Customer],$M$3,Table14[Date],$A275,Table14[Bill No.],$B275),IF($J275="XtraGreen",SUMIFS(Table146[Quantity],Table146[Company],$M$3,Table146[Date],$A275,Table146[Bill No.],$B275),""))))</f>
        <v/>
      </c>
      <c r="D275" s="346" t="str">
        <f>IF($A275="","",IF($J275="DIESEL",AVERAGEIFS(Table1[RSP],Table1[Customer],$M$3,Table1[Date],$A275,Table1[Bill No.],$B275),IF($J275="PETROL",AVERAGEIFS(Table14[RSP],Table14[Customer],$M$3,Table14[Date],$A275,Table14[Bill No.],$B275),IF($J275="XtraGreen",AVERAGEIFS(Table146[RSP],Table146[Company],$M$3,Table146[Date],$A275,Table146[Bill No.],$B275),IFERROR($E275/$C275,"")))))</f>
        <v/>
      </c>
      <c r="E275" s="347" t="str">
        <f>IF($A275="","",IF($J275="DIESEL",SUMIFS(Table1[Amount],Table1[Customer],$M$3,Table1[Date],$A275,Table1[Bill No.],$B275),IF($J275="PETROL",SUMIFS(Table14[Amount],Table14[Customer],$M$3,Table14[Date],$A275,Table14[Bill No.],$B275),IF($J275="XtraGreen",SUMIFS(Table146[Amount],Table146[Company],$M$3,Table146[Date],$A275,Table146[Bill No.],$B275),SUMIFS('Other Sale'!$D:$D,'Other Sale'!$E:$E,$M$3,'Other Sale'!$C:$C,$J275,'Other Sale'!$A:$A,$A275)))))</f>
        <v/>
      </c>
      <c r="F275" s="347" t="str" cm="1">
        <f t="array" ref="F275">IF($A275="","",IF($J275="Payment",IFERROR(INDEX(_xlfn._xlws.FILTER(MasterPaid[Amount Paid],(MasterPaid[Customer]=$M$3)*(MasterPaid[Date]=$A275)),COUNTIFS($A$6:$A275,$A275,$J$6:$J275,"Payment")),0),0))</f>
        <v/>
      </c>
      <c r="G275" s="331"/>
      <c r="H275" s="427"/>
      <c r="I275" s="330" t="str">
        <f t="shared" si="13"/>
        <v/>
      </c>
      <c r="J275" s="344" t="str" cm="1">
        <f t="array" ref="J275">IFERROR(INDEX(_xlfn.ANCHORARRAY($P$6),ROW()-5,3),"")</f>
        <v/>
      </c>
      <c r="K275" s="432" t="str" cm="1">
        <f t="array" ref="K275">IF(OR($A275="",$J275&lt;&gt;"DIESEL"),"",_xlfn.LET(_xlpm.qty,N($C275),_xlpm.pos,$T$5:$T$54,_xlpm.alo,IF($U$5:$U$54="",0,$U$5:$U$54),_xlpm.usd,SUMIFS($C$6:$C274,$K$6:$K274,_xlpm.pos&amp;""),_xlpm.bal,_xlpm.alo-_xlpm.usd,IFERROR(INDEX(_xlfn._xlws.FILTER(_xlpm.pos,(_xlpm.pos&lt;&gt;"")*(_xlpm.qty&gt;0)*(_xlpm.bal&gt;=_xlpm.qty)),1),"")))</f>
        <v/>
      </c>
      <c r="L275" s="348"/>
    </row>
    <row r="276" spans="1:12" ht="23" x14ac:dyDescent="0.25">
      <c r="A276" s="217" t="str" cm="1">
        <f t="array" ref="A276">IFERROR(INDEX(_xlfn.ANCHORARRAY($P$6),ROW()-5,1),"")</f>
        <v/>
      </c>
      <c r="B276" s="344" t="str" cm="1">
        <f t="array" ref="B276">IFERROR(INDEX(_xlfn.ANCHORARRAY($P$6),ROW()-5,2),"")</f>
        <v/>
      </c>
      <c r="C276" s="345" t="str">
        <f>IF($A276="","",IF($J276="DIESEL",SUMIFS(Table1[Quantity],Table1[Customer],$M$3,Table1[Date],$A276,Table1[Bill No.],$B276),IF($J276="PETROL",SUMIFS(Table14[Quantity],Table14[Customer],$M$3,Table14[Date],$A276,Table14[Bill No.],$B276),IF($J276="XtraGreen",SUMIFS(Table146[Quantity],Table146[Company],$M$3,Table146[Date],$A276,Table146[Bill No.],$B276),""))))</f>
        <v/>
      </c>
      <c r="D276" s="346" t="str">
        <f>IF($A276="","",IF($J276="DIESEL",AVERAGEIFS(Table1[RSP],Table1[Customer],$M$3,Table1[Date],$A276,Table1[Bill No.],$B276),IF($J276="PETROL",AVERAGEIFS(Table14[RSP],Table14[Customer],$M$3,Table14[Date],$A276,Table14[Bill No.],$B276),IF($J276="XtraGreen",AVERAGEIFS(Table146[RSP],Table146[Company],$M$3,Table146[Date],$A276,Table146[Bill No.],$B276),IFERROR($E276/$C276,"")))))</f>
        <v/>
      </c>
      <c r="E276" s="347" t="str">
        <f>IF($A276="","",IF($J276="DIESEL",SUMIFS(Table1[Amount],Table1[Customer],$M$3,Table1[Date],$A276,Table1[Bill No.],$B276),IF($J276="PETROL",SUMIFS(Table14[Amount],Table14[Customer],$M$3,Table14[Date],$A276,Table14[Bill No.],$B276),IF($J276="XtraGreen",SUMIFS(Table146[Amount],Table146[Company],$M$3,Table146[Date],$A276,Table146[Bill No.],$B276),SUMIFS('Other Sale'!$D:$D,'Other Sale'!$E:$E,$M$3,'Other Sale'!$C:$C,$J276,'Other Sale'!$A:$A,$A276)))))</f>
        <v/>
      </c>
      <c r="F276" s="347" t="str" cm="1">
        <f t="array" ref="F276">IF($A276="","",IF($J276="Payment",IFERROR(INDEX(_xlfn._xlws.FILTER(MasterPaid[Amount Paid],(MasterPaid[Customer]=$M$3)*(MasterPaid[Date]=$A276)),COUNTIFS($A$6:$A276,$A276,$J$6:$J276,"Payment")),0),0))</f>
        <v/>
      </c>
      <c r="G276" s="331"/>
      <c r="H276" s="427"/>
      <c r="I276" s="330" t="str">
        <f t="shared" si="13"/>
        <v/>
      </c>
      <c r="J276" s="344" t="str" cm="1">
        <f t="array" ref="J276">IFERROR(INDEX(_xlfn.ANCHORARRAY($P$6),ROW()-5,3),"")</f>
        <v/>
      </c>
      <c r="K276" s="432" t="str" cm="1">
        <f t="array" ref="K276">IF(OR($A276="",$J276&lt;&gt;"DIESEL"),"",_xlfn.LET(_xlpm.qty,N($C276),_xlpm.pos,$T$5:$T$54,_xlpm.alo,IF($U$5:$U$54="",0,$U$5:$U$54),_xlpm.usd,SUMIFS($C$6:$C275,$K$6:$K275,_xlpm.pos&amp;""),_xlpm.bal,_xlpm.alo-_xlpm.usd,IFERROR(INDEX(_xlfn._xlws.FILTER(_xlpm.pos,(_xlpm.pos&lt;&gt;"")*(_xlpm.qty&gt;0)*(_xlpm.bal&gt;=_xlpm.qty)),1),"")))</f>
        <v/>
      </c>
      <c r="L276" s="348"/>
    </row>
    <row r="277" spans="1:12" ht="23" x14ac:dyDescent="0.25">
      <c r="A277" s="217" t="str" cm="1">
        <f t="array" ref="A277">IFERROR(INDEX(_xlfn.ANCHORARRAY($P$6),ROW()-5,1),"")</f>
        <v/>
      </c>
      <c r="B277" s="344" t="str" cm="1">
        <f t="array" ref="B277">IFERROR(INDEX(_xlfn.ANCHORARRAY($P$6),ROW()-5,2),"")</f>
        <v/>
      </c>
      <c r="C277" s="345" t="str">
        <f>IF($A277="","",IF($J277="DIESEL",SUMIFS(Table1[Quantity],Table1[Customer],$M$3,Table1[Date],$A277,Table1[Bill No.],$B277),IF($J277="PETROL",SUMIFS(Table14[Quantity],Table14[Customer],$M$3,Table14[Date],$A277,Table14[Bill No.],$B277),IF($J277="XtraGreen",SUMIFS(Table146[Quantity],Table146[Company],$M$3,Table146[Date],$A277,Table146[Bill No.],$B277),""))))</f>
        <v/>
      </c>
      <c r="D277" s="346" t="str">
        <f>IF($A277="","",IF($J277="DIESEL",AVERAGEIFS(Table1[RSP],Table1[Customer],$M$3,Table1[Date],$A277,Table1[Bill No.],$B277),IF($J277="PETROL",AVERAGEIFS(Table14[RSP],Table14[Customer],$M$3,Table14[Date],$A277,Table14[Bill No.],$B277),IF($J277="XtraGreen",AVERAGEIFS(Table146[RSP],Table146[Company],$M$3,Table146[Date],$A277,Table146[Bill No.],$B277),IFERROR($E277/$C277,"")))))</f>
        <v/>
      </c>
      <c r="E277" s="347" t="str">
        <f>IF($A277="","",IF($J277="DIESEL",SUMIFS(Table1[Amount],Table1[Customer],$M$3,Table1[Date],$A277,Table1[Bill No.],$B277),IF($J277="PETROL",SUMIFS(Table14[Amount],Table14[Customer],$M$3,Table14[Date],$A277,Table14[Bill No.],$B277),IF($J277="XtraGreen",SUMIFS(Table146[Amount],Table146[Company],$M$3,Table146[Date],$A277,Table146[Bill No.],$B277),SUMIFS('Other Sale'!$D:$D,'Other Sale'!$E:$E,$M$3,'Other Sale'!$C:$C,$J277,'Other Sale'!$A:$A,$A277)))))</f>
        <v/>
      </c>
      <c r="F277" s="347" t="str" cm="1">
        <f t="array" ref="F277">IF($A277="","",IF($J277="Payment",IFERROR(INDEX(_xlfn._xlws.FILTER(MasterPaid[Amount Paid],(MasterPaid[Customer]=$M$3)*(MasterPaid[Date]=$A277)),COUNTIFS($A$6:$A277,$A277,$J$6:$J277,"Payment")),0),0))</f>
        <v/>
      </c>
      <c r="G277" s="331"/>
      <c r="H277" s="427"/>
      <c r="I277" s="330" t="str">
        <f t="shared" si="13"/>
        <v/>
      </c>
      <c r="J277" s="344" t="str" cm="1">
        <f t="array" ref="J277">IFERROR(INDEX(_xlfn.ANCHORARRAY($P$6),ROW()-5,3),"")</f>
        <v/>
      </c>
      <c r="K277" s="432" t="str" cm="1">
        <f t="array" ref="K277">IF(OR($A277="",$J277&lt;&gt;"DIESEL"),"",_xlfn.LET(_xlpm.qty,N($C277),_xlpm.pos,$T$5:$T$54,_xlpm.alo,IF($U$5:$U$54="",0,$U$5:$U$54),_xlpm.usd,SUMIFS($C$6:$C276,$K$6:$K276,_xlpm.pos&amp;""),_xlpm.bal,_xlpm.alo-_xlpm.usd,IFERROR(INDEX(_xlfn._xlws.FILTER(_xlpm.pos,(_xlpm.pos&lt;&gt;"")*(_xlpm.qty&gt;0)*(_xlpm.bal&gt;=_xlpm.qty)),1),"")))</f>
        <v/>
      </c>
      <c r="L277" s="348"/>
    </row>
    <row r="278" spans="1:12" ht="23" x14ac:dyDescent="0.25">
      <c r="A278" s="217" t="str" cm="1">
        <f t="array" ref="A278">IFERROR(INDEX(_xlfn.ANCHORARRAY($P$6),ROW()-5,1),"")</f>
        <v/>
      </c>
      <c r="B278" s="344" t="str" cm="1">
        <f t="array" ref="B278">IFERROR(INDEX(_xlfn.ANCHORARRAY($P$6),ROW()-5,2),"")</f>
        <v/>
      </c>
      <c r="C278" s="345" t="str">
        <f>IF($A278="","",IF($J278="DIESEL",SUMIFS(Table1[Quantity],Table1[Customer],$M$3,Table1[Date],$A278,Table1[Bill No.],$B278),IF($J278="PETROL",SUMIFS(Table14[Quantity],Table14[Customer],$M$3,Table14[Date],$A278,Table14[Bill No.],$B278),IF($J278="XtraGreen",SUMIFS(Table146[Quantity],Table146[Company],$M$3,Table146[Date],$A278,Table146[Bill No.],$B278),""))))</f>
        <v/>
      </c>
      <c r="D278" s="346" t="str">
        <f>IF($A278="","",IF($J278="DIESEL",AVERAGEIFS(Table1[RSP],Table1[Customer],$M$3,Table1[Date],$A278,Table1[Bill No.],$B278),IF($J278="PETROL",AVERAGEIFS(Table14[RSP],Table14[Customer],$M$3,Table14[Date],$A278,Table14[Bill No.],$B278),IF($J278="XtraGreen",AVERAGEIFS(Table146[RSP],Table146[Company],$M$3,Table146[Date],$A278,Table146[Bill No.],$B278),IFERROR($E278/$C278,"")))))</f>
        <v/>
      </c>
      <c r="E278" s="347" t="str">
        <f>IF($A278="","",IF($J278="DIESEL",SUMIFS(Table1[Amount],Table1[Customer],$M$3,Table1[Date],$A278,Table1[Bill No.],$B278),IF($J278="PETROL",SUMIFS(Table14[Amount],Table14[Customer],$M$3,Table14[Date],$A278,Table14[Bill No.],$B278),IF($J278="XtraGreen",SUMIFS(Table146[Amount],Table146[Company],$M$3,Table146[Date],$A278,Table146[Bill No.],$B278),SUMIFS('Other Sale'!$D:$D,'Other Sale'!$E:$E,$M$3,'Other Sale'!$C:$C,$J278,'Other Sale'!$A:$A,$A278)))))</f>
        <v/>
      </c>
      <c r="F278" s="347" t="str" cm="1">
        <f t="array" ref="F278">IF($A278="","",IF($J278="Payment",IFERROR(INDEX(_xlfn._xlws.FILTER(MasterPaid[Amount Paid],(MasterPaid[Customer]=$M$3)*(MasterPaid[Date]=$A278)),COUNTIFS($A$6:$A278,$A278,$J$6:$J278,"Payment")),0),0))</f>
        <v/>
      </c>
      <c r="G278" s="331"/>
      <c r="H278" s="427"/>
      <c r="I278" s="330" t="str">
        <f t="shared" ref="I278:I341" si="14">IF($A278="","",I277+N(E278)-N(F278)-N(G278)-N(H278))</f>
        <v/>
      </c>
      <c r="J278" s="344" t="str" cm="1">
        <f t="array" ref="J278">IFERROR(INDEX(_xlfn.ANCHORARRAY($P$6),ROW()-5,3),"")</f>
        <v/>
      </c>
      <c r="K278" s="432" t="str" cm="1">
        <f t="array" ref="K278">IF(OR($A278="",$J278&lt;&gt;"DIESEL"),"",_xlfn.LET(_xlpm.qty,N($C278),_xlpm.pos,$T$5:$T$54,_xlpm.alo,IF($U$5:$U$54="",0,$U$5:$U$54),_xlpm.usd,SUMIFS($C$6:$C277,$K$6:$K277,_xlpm.pos&amp;""),_xlpm.bal,_xlpm.alo-_xlpm.usd,IFERROR(INDEX(_xlfn._xlws.FILTER(_xlpm.pos,(_xlpm.pos&lt;&gt;"")*(_xlpm.qty&gt;0)*(_xlpm.bal&gt;=_xlpm.qty)),1),"")))</f>
        <v/>
      </c>
      <c r="L278" s="348"/>
    </row>
    <row r="279" spans="1:12" ht="23" x14ac:dyDescent="0.25">
      <c r="A279" s="217" t="str" cm="1">
        <f t="array" ref="A279">IFERROR(INDEX(_xlfn.ANCHORARRAY($P$6),ROW()-5,1),"")</f>
        <v/>
      </c>
      <c r="B279" s="344" t="str" cm="1">
        <f t="array" ref="B279">IFERROR(INDEX(_xlfn.ANCHORARRAY($P$6),ROW()-5,2),"")</f>
        <v/>
      </c>
      <c r="C279" s="345" t="str">
        <f>IF($A279="","",IF($J279="DIESEL",SUMIFS(Table1[Quantity],Table1[Customer],$M$3,Table1[Date],$A279,Table1[Bill No.],$B279),IF($J279="PETROL",SUMIFS(Table14[Quantity],Table14[Customer],$M$3,Table14[Date],$A279,Table14[Bill No.],$B279),IF($J279="XtraGreen",SUMIFS(Table146[Quantity],Table146[Company],$M$3,Table146[Date],$A279,Table146[Bill No.],$B279),""))))</f>
        <v/>
      </c>
      <c r="D279" s="346" t="str">
        <f>IF($A279="","",IF($J279="DIESEL",AVERAGEIFS(Table1[RSP],Table1[Customer],$M$3,Table1[Date],$A279,Table1[Bill No.],$B279),IF($J279="PETROL",AVERAGEIFS(Table14[RSP],Table14[Customer],$M$3,Table14[Date],$A279,Table14[Bill No.],$B279),IF($J279="XtraGreen",AVERAGEIFS(Table146[RSP],Table146[Company],$M$3,Table146[Date],$A279,Table146[Bill No.],$B279),IFERROR($E279/$C279,"")))))</f>
        <v/>
      </c>
      <c r="E279" s="347" t="str">
        <f>IF($A279="","",IF($J279="DIESEL",SUMIFS(Table1[Amount],Table1[Customer],$M$3,Table1[Date],$A279,Table1[Bill No.],$B279),IF($J279="PETROL",SUMIFS(Table14[Amount],Table14[Customer],$M$3,Table14[Date],$A279,Table14[Bill No.],$B279),IF($J279="XtraGreen",SUMIFS(Table146[Amount],Table146[Company],$M$3,Table146[Date],$A279,Table146[Bill No.],$B279),SUMIFS('Other Sale'!$D:$D,'Other Sale'!$E:$E,$M$3,'Other Sale'!$C:$C,$J279,'Other Sale'!$A:$A,$A279)))))</f>
        <v/>
      </c>
      <c r="F279" s="347" t="str" cm="1">
        <f t="array" ref="F279">IF($A279="","",IF($J279="Payment",IFERROR(INDEX(_xlfn._xlws.FILTER(MasterPaid[Amount Paid],(MasterPaid[Customer]=$M$3)*(MasterPaid[Date]=$A279)),COUNTIFS($A$6:$A279,$A279,$J$6:$J279,"Payment")),0),0))</f>
        <v/>
      </c>
      <c r="G279" s="331"/>
      <c r="H279" s="427"/>
      <c r="I279" s="330" t="str">
        <f t="shared" si="14"/>
        <v/>
      </c>
      <c r="J279" s="344" t="str" cm="1">
        <f t="array" ref="J279">IFERROR(INDEX(_xlfn.ANCHORARRAY($P$6),ROW()-5,3),"")</f>
        <v/>
      </c>
      <c r="K279" s="432" t="str" cm="1">
        <f t="array" ref="K279">IF(OR($A279="",$J279&lt;&gt;"DIESEL"),"",_xlfn.LET(_xlpm.qty,N($C279),_xlpm.pos,$T$5:$T$54,_xlpm.alo,IF($U$5:$U$54="",0,$U$5:$U$54),_xlpm.usd,SUMIFS($C$6:$C278,$K$6:$K278,_xlpm.pos&amp;""),_xlpm.bal,_xlpm.alo-_xlpm.usd,IFERROR(INDEX(_xlfn._xlws.FILTER(_xlpm.pos,(_xlpm.pos&lt;&gt;"")*(_xlpm.qty&gt;0)*(_xlpm.bal&gt;=_xlpm.qty)),1),"")))</f>
        <v/>
      </c>
      <c r="L279" s="348"/>
    </row>
    <row r="280" spans="1:12" ht="23" x14ac:dyDescent="0.25">
      <c r="A280" s="217" t="str" cm="1">
        <f t="array" ref="A280">IFERROR(INDEX(_xlfn.ANCHORARRAY($P$6),ROW()-5,1),"")</f>
        <v/>
      </c>
      <c r="B280" s="344" t="str" cm="1">
        <f t="array" ref="B280">IFERROR(INDEX(_xlfn.ANCHORARRAY($P$6),ROW()-5,2),"")</f>
        <v/>
      </c>
      <c r="C280" s="345" t="str">
        <f>IF($A280="","",IF($J280="DIESEL",SUMIFS(Table1[Quantity],Table1[Customer],$M$3,Table1[Date],$A280,Table1[Bill No.],$B280),IF($J280="PETROL",SUMIFS(Table14[Quantity],Table14[Customer],$M$3,Table14[Date],$A280,Table14[Bill No.],$B280),IF($J280="XtraGreen",SUMIFS(Table146[Quantity],Table146[Company],$M$3,Table146[Date],$A280,Table146[Bill No.],$B280),""))))</f>
        <v/>
      </c>
      <c r="D280" s="346" t="str">
        <f>IF($A280="","",IF($J280="DIESEL",AVERAGEIFS(Table1[RSP],Table1[Customer],$M$3,Table1[Date],$A280,Table1[Bill No.],$B280),IF($J280="PETROL",AVERAGEIFS(Table14[RSP],Table14[Customer],$M$3,Table14[Date],$A280,Table14[Bill No.],$B280),IF($J280="XtraGreen",AVERAGEIFS(Table146[RSP],Table146[Company],$M$3,Table146[Date],$A280,Table146[Bill No.],$B280),IFERROR($E280/$C280,"")))))</f>
        <v/>
      </c>
      <c r="E280" s="347" t="str">
        <f>IF($A280="","",IF($J280="DIESEL",SUMIFS(Table1[Amount],Table1[Customer],$M$3,Table1[Date],$A280,Table1[Bill No.],$B280),IF($J280="PETROL",SUMIFS(Table14[Amount],Table14[Customer],$M$3,Table14[Date],$A280,Table14[Bill No.],$B280),IF($J280="XtraGreen",SUMIFS(Table146[Amount],Table146[Company],$M$3,Table146[Date],$A280,Table146[Bill No.],$B280),SUMIFS('Other Sale'!$D:$D,'Other Sale'!$E:$E,$M$3,'Other Sale'!$C:$C,$J280,'Other Sale'!$A:$A,$A280)))))</f>
        <v/>
      </c>
      <c r="F280" s="347" t="str" cm="1">
        <f t="array" ref="F280">IF($A280="","",IF($J280="Payment",IFERROR(INDEX(_xlfn._xlws.FILTER(MasterPaid[Amount Paid],(MasterPaid[Customer]=$M$3)*(MasterPaid[Date]=$A280)),COUNTIFS($A$6:$A280,$A280,$J$6:$J280,"Payment")),0),0))</f>
        <v/>
      </c>
      <c r="G280" s="331"/>
      <c r="H280" s="427"/>
      <c r="I280" s="330" t="str">
        <f t="shared" si="14"/>
        <v/>
      </c>
      <c r="J280" s="344" t="str" cm="1">
        <f t="array" ref="J280">IFERROR(INDEX(_xlfn.ANCHORARRAY($P$6),ROW()-5,3),"")</f>
        <v/>
      </c>
      <c r="K280" s="432" t="str" cm="1">
        <f t="array" ref="K280">IF(OR($A280="",$J280&lt;&gt;"DIESEL"),"",_xlfn.LET(_xlpm.qty,N($C280),_xlpm.pos,$T$5:$T$54,_xlpm.alo,IF($U$5:$U$54="",0,$U$5:$U$54),_xlpm.usd,SUMIFS($C$6:$C279,$K$6:$K279,_xlpm.pos&amp;""),_xlpm.bal,_xlpm.alo-_xlpm.usd,IFERROR(INDEX(_xlfn._xlws.FILTER(_xlpm.pos,(_xlpm.pos&lt;&gt;"")*(_xlpm.qty&gt;0)*(_xlpm.bal&gt;=_xlpm.qty)),1),"")))</f>
        <v/>
      </c>
      <c r="L280" s="348"/>
    </row>
    <row r="281" spans="1:12" ht="23" x14ac:dyDescent="0.25">
      <c r="A281" s="217" t="str" cm="1">
        <f t="array" ref="A281">IFERROR(INDEX(_xlfn.ANCHORARRAY($P$6),ROW()-5,1),"")</f>
        <v/>
      </c>
      <c r="B281" s="344" t="str" cm="1">
        <f t="array" ref="B281">IFERROR(INDEX(_xlfn.ANCHORARRAY($P$6),ROW()-5,2),"")</f>
        <v/>
      </c>
      <c r="C281" s="345" t="str">
        <f>IF($A281="","",IF($J281="DIESEL",SUMIFS(Table1[Quantity],Table1[Customer],$M$3,Table1[Date],$A281,Table1[Bill No.],$B281),IF($J281="PETROL",SUMIFS(Table14[Quantity],Table14[Customer],$M$3,Table14[Date],$A281,Table14[Bill No.],$B281),IF($J281="XtraGreen",SUMIFS(Table146[Quantity],Table146[Company],$M$3,Table146[Date],$A281,Table146[Bill No.],$B281),""))))</f>
        <v/>
      </c>
      <c r="D281" s="346" t="str">
        <f>IF($A281="","",IF($J281="DIESEL",AVERAGEIFS(Table1[RSP],Table1[Customer],$M$3,Table1[Date],$A281,Table1[Bill No.],$B281),IF($J281="PETROL",AVERAGEIFS(Table14[RSP],Table14[Customer],$M$3,Table14[Date],$A281,Table14[Bill No.],$B281),IF($J281="XtraGreen",AVERAGEIFS(Table146[RSP],Table146[Company],$M$3,Table146[Date],$A281,Table146[Bill No.],$B281),IFERROR($E281/$C281,"")))))</f>
        <v/>
      </c>
      <c r="E281" s="347" t="str">
        <f>IF($A281="","",IF($J281="DIESEL",SUMIFS(Table1[Amount],Table1[Customer],$M$3,Table1[Date],$A281,Table1[Bill No.],$B281),IF($J281="PETROL",SUMIFS(Table14[Amount],Table14[Customer],$M$3,Table14[Date],$A281,Table14[Bill No.],$B281),IF($J281="XtraGreen",SUMIFS(Table146[Amount],Table146[Company],$M$3,Table146[Date],$A281,Table146[Bill No.],$B281),SUMIFS('Other Sale'!$D:$D,'Other Sale'!$E:$E,$M$3,'Other Sale'!$C:$C,$J281,'Other Sale'!$A:$A,$A281)))))</f>
        <v/>
      </c>
      <c r="F281" s="347" t="str" cm="1">
        <f t="array" ref="F281">IF($A281="","",IF($J281="Payment",IFERROR(INDEX(_xlfn._xlws.FILTER(MasterPaid[Amount Paid],(MasterPaid[Customer]=$M$3)*(MasterPaid[Date]=$A281)),COUNTIFS($A$6:$A281,$A281,$J$6:$J281,"Payment")),0),0))</f>
        <v/>
      </c>
      <c r="G281" s="331"/>
      <c r="H281" s="427"/>
      <c r="I281" s="330" t="str">
        <f t="shared" si="14"/>
        <v/>
      </c>
      <c r="J281" s="344" t="str" cm="1">
        <f t="array" ref="J281">IFERROR(INDEX(_xlfn.ANCHORARRAY($P$6),ROW()-5,3),"")</f>
        <v/>
      </c>
      <c r="K281" s="432" t="str" cm="1">
        <f t="array" ref="K281">IF(OR($A281="",$J281&lt;&gt;"DIESEL"),"",_xlfn.LET(_xlpm.qty,N($C281),_xlpm.pos,$T$5:$T$54,_xlpm.alo,IF($U$5:$U$54="",0,$U$5:$U$54),_xlpm.usd,SUMIFS($C$6:$C280,$K$6:$K280,_xlpm.pos&amp;""),_xlpm.bal,_xlpm.alo-_xlpm.usd,IFERROR(INDEX(_xlfn._xlws.FILTER(_xlpm.pos,(_xlpm.pos&lt;&gt;"")*(_xlpm.qty&gt;0)*(_xlpm.bal&gt;=_xlpm.qty)),1),"")))</f>
        <v/>
      </c>
      <c r="L281" s="348"/>
    </row>
    <row r="282" spans="1:12" ht="23" x14ac:dyDescent="0.25">
      <c r="A282" s="217" t="str" cm="1">
        <f t="array" ref="A282">IFERROR(INDEX(_xlfn.ANCHORARRAY($P$6),ROW()-5,1),"")</f>
        <v/>
      </c>
      <c r="B282" s="344" t="str" cm="1">
        <f t="array" ref="B282">IFERROR(INDEX(_xlfn.ANCHORARRAY($P$6),ROW()-5,2),"")</f>
        <v/>
      </c>
      <c r="C282" s="345" t="str">
        <f>IF($A282="","",IF($J282="DIESEL",SUMIFS(Table1[Quantity],Table1[Customer],$M$3,Table1[Date],$A282,Table1[Bill No.],$B282),IF($J282="PETROL",SUMIFS(Table14[Quantity],Table14[Customer],$M$3,Table14[Date],$A282,Table14[Bill No.],$B282),IF($J282="XtraGreen",SUMIFS(Table146[Quantity],Table146[Company],$M$3,Table146[Date],$A282,Table146[Bill No.],$B282),""))))</f>
        <v/>
      </c>
      <c r="D282" s="346" t="str">
        <f>IF($A282="","",IF($J282="DIESEL",AVERAGEIFS(Table1[RSP],Table1[Customer],$M$3,Table1[Date],$A282,Table1[Bill No.],$B282),IF($J282="PETROL",AVERAGEIFS(Table14[RSP],Table14[Customer],$M$3,Table14[Date],$A282,Table14[Bill No.],$B282),IF($J282="XtraGreen",AVERAGEIFS(Table146[RSP],Table146[Company],$M$3,Table146[Date],$A282,Table146[Bill No.],$B282),IFERROR($E282/$C282,"")))))</f>
        <v/>
      </c>
      <c r="E282" s="347" t="str">
        <f>IF($A282="","",IF($J282="DIESEL",SUMIFS(Table1[Amount],Table1[Customer],$M$3,Table1[Date],$A282,Table1[Bill No.],$B282),IF($J282="PETROL",SUMIFS(Table14[Amount],Table14[Customer],$M$3,Table14[Date],$A282,Table14[Bill No.],$B282),IF($J282="XtraGreen",SUMIFS(Table146[Amount],Table146[Company],$M$3,Table146[Date],$A282,Table146[Bill No.],$B282),SUMIFS('Other Sale'!$D:$D,'Other Sale'!$E:$E,$M$3,'Other Sale'!$C:$C,$J282,'Other Sale'!$A:$A,$A282)))))</f>
        <v/>
      </c>
      <c r="F282" s="347" t="str" cm="1">
        <f t="array" ref="F282">IF($A282="","",IF($J282="Payment",IFERROR(INDEX(_xlfn._xlws.FILTER(MasterPaid[Amount Paid],(MasterPaid[Customer]=$M$3)*(MasterPaid[Date]=$A282)),COUNTIFS($A$6:$A282,$A282,$J$6:$J282,"Payment")),0),0))</f>
        <v/>
      </c>
      <c r="G282" s="331"/>
      <c r="H282" s="427"/>
      <c r="I282" s="330" t="str">
        <f t="shared" si="14"/>
        <v/>
      </c>
      <c r="J282" s="344" t="str" cm="1">
        <f t="array" ref="J282">IFERROR(INDEX(_xlfn.ANCHORARRAY($P$6),ROW()-5,3),"")</f>
        <v/>
      </c>
      <c r="K282" s="432" t="str" cm="1">
        <f t="array" ref="K282">IF(OR($A282="",$J282&lt;&gt;"DIESEL"),"",_xlfn.LET(_xlpm.qty,N($C282),_xlpm.pos,$T$5:$T$54,_xlpm.alo,IF($U$5:$U$54="",0,$U$5:$U$54),_xlpm.usd,SUMIFS($C$6:$C281,$K$6:$K281,_xlpm.pos&amp;""),_xlpm.bal,_xlpm.alo-_xlpm.usd,IFERROR(INDEX(_xlfn._xlws.FILTER(_xlpm.pos,(_xlpm.pos&lt;&gt;"")*(_xlpm.qty&gt;0)*(_xlpm.bal&gt;=_xlpm.qty)),1),"")))</f>
        <v/>
      </c>
      <c r="L282" s="348"/>
    </row>
    <row r="283" spans="1:12" ht="23" x14ac:dyDescent="0.25">
      <c r="A283" s="217" t="str" cm="1">
        <f t="array" ref="A283">IFERROR(INDEX(_xlfn.ANCHORARRAY($P$6),ROW()-5,1),"")</f>
        <v/>
      </c>
      <c r="B283" s="344" t="str" cm="1">
        <f t="array" ref="B283">IFERROR(INDEX(_xlfn.ANCHORARRAY($P$6),ROW()-5,2),"")</f>
        <v/>
      </c>
      <c r="C283" s="345" t="str">
        <f>IF($A283="","",IF($J283="DIESEL",SUMIFS(Table1[Quantity],Table1[Customer],$M$3,Table1[Date],$A283,Table1[Bill No.],$B283),IF($J283="PETROL",SUMIFS(Table14[Quantity],Table14[Customer],$M$3,Table14[Date],$A283,Table14[Bill No.],$B283),IF($J283="XtraGreen",SUMIFS(Table146[Quantity],Table146[Company],$M$3,Table146[Date],$A283,Table146[Bill No.],$B283),""))))</f>
        <v/>
      </c>
      <c r="D283" s="346" t="str">
        <f>IF($A283="","",IF($J283="DIESEL",AVERAGEIFS(Table1[RSP],Table1[Customer],$M$3,Table1[Date],$A283,Table1[Bill No.],$B283),IF($J283="PETROL",AVERAGEIFS(Table14[RSP],Table14[Customer],$M$3,Table14[Date],$A283,Table14[Bill No.],$B283),IF($J283="XtraGreen",AVERAGEIFS(Table146[RSP],Table146[Company],$M$3,Table146[Date],$A283,Table146[Bill No.],$B283),IFERROR($E283/$C283,"")))))</f>
        <v/>
      </c>
      <c r="E283" s="347" t="str">
        <f>IF($A283="","",IF($J283="DIESEL",SUMIFS(Table1[Amount],Table1[Customer],$M$3,Table1[Date],$A283,Table1[Bill No.],$B283),IF($J283="PETROL",SUMIFS(Table14[Amount],Table14[Customer],$M$3,Table14[Date],$A283,Table14[Bill No.],$B283),IF($J283="XtraGreen",SUMIFS(Table146[Amount],Table146[Company],$M$3,Table146[Date],$A283,Table146[Bill No.],$B283),SUMIFS('Other Sale'!$D:$D,'Other Sale'!$E:$E,$M$3,'Other Sale'!$C:$C,$J283,'Other Sale'!$A:$A,$A283)))))</f>
        <v/>
      </c>
      <c r="F283" s="347" t="str" cm="1">
        <f t="array" ref="F283">IF($A283="","",IF($J283="Payment",IFERROR(INDEX(_xlfn._xlws.FILTER(MasterPaid[Amount Paid],(MasterPaid[Customer]=$M$3)*(MasterPaid[Date]=$A283)),COUNTIFS($A$6:$A283,$A283,$J$6:$J283,"Payment")),0),0))</f>
        <v/>
      </c>
      <c r="G283" s="331"/>
      <c r="H283" s="427"/>
      <c r="I283" s="330" t="str">
        <f t="shared" si="14"/>
        <v/>
      </c>
      <c r="J283" s="344" t="str" cm="1">
        <f t="array" ref="J283">IFERROR(INDEX(_xlfn.ANCHORARRAY($P$6),ROW()-5,3),"")</f>
        <v/>
      </c>
      <c r="K283" s="432" t="str" cm="1">
        <f t="array" ref="K283">IF(OR($A283="",$J283&lt;&gt;"DIESEL"),"",_xlfn.LET(_xlpm.qty,N($C283),_xlpm.pos,$T$5:$T$54,_xlpm.alo,IF($U$5:$U$54="",0,$U$5:$U$54),_xlpm.usd,SUMIFS($C$6:$C282,$K$6:$K282,_xlpm.pos&amp;""),_xlpm.bal,_xlpm.alo-_xlpm.usd,IFERROR(INDEX(_xlfn._xlws.FILTER(_xlpm.pos,(_xlpm.pos&lt;&gt;"")*(_xlpm.qty&gt;0)*(_xlpm.bal&gt;=_xlpm.qty)),1),"")))</f>
        <v/>
      </c>
      <c r="L283" s="348"/>
    </row>
    <row r="284" spans="1:12" ht="23" x14ac:dyDescent="0.25">
      <c r="A284" s="217" t="str" cm="1">
        <f t="array" ref="A284">IFERROR(INDEX(_xlfn.ANCHORARRAY($P$6),ROW()-5,1),"")</f>
        <v/>
      </c>
      <c r="B284" s="344" t="str" cm="1">
        <f t="array" ref="B284">IFERROR(INDEX(_xlfn.ANCHORARRAY($P$6),ROW()-5,2),"")</f>
        <v/>
      </c>
      <c r="C284" s="345" t="str">
        <f>IF($A284="","",IF($J284="DIESEL",SUMIFS(Table1[Quantity],Table1[Customer],$M$3,Table1[Date],$A284,Table1[Bill No.],$B284),IF($J284="PETROL",SUMIFS(Table14[Quantity],Table14[Customer],$M$3,Table14[Date],$A284,Table14[Bill No.],$B284),IF($J284="XtraGreen",SUMIFS(Table146[Quantity],Table146[Company],$M$3,Table146[Date],$A284,Table146[Bill No.],$B284),""))))</f>
        <v/>
      </c>
      <c r="D284" s="346" t="str">
        <f>IF($A284="","",IF($J284="DIESEL",AVERAGEIFS(Table1[RSP],Table1[Customer],$M$3,Table1[Date],$A284,Table1[Bill No.],$B284),IF($J284="PETROL",AVERAGEIFS(Table14[RSP],Table14[Customer],$M$3,Table14[Date],$A284,Table14[Bill No.],$B284),IF($J284="XtraGreen",AVERAGEIFS(Table146[RSP],Table146[Company],$M$3,Table146[Date],$A284,Table146[Bill No.],$B284),IFERROR($E284/$C284,"")))))</f>
        <v/>
      </c>
      <c r="E284" s="347" t="str">
        <f>IF($A284="","",IF($J284="DIESEL",SUMIFS(Table1[Amount],Table1[Customer],$M$3,Table1[Date],$A284,Table1[Bill No.],$B284),IF($J284="PETROL",SUMIFS(Table14[Amount],Table14[Customer],$M$3,Table14[Date],$A284,Table14[Bill No.],$B284),IF($J284="XtraGreen",SUMIFS(Table146[Amount],Table146[Company],$M$3,Table146[Date],$A284,Table146[Bill No.],$B284),SUMIFS('Other Sale'!$D:$D,'Other Sale'!$E:$E,$M$3,'Other Sale'!$C:$C,$J284,'Other Sale'!$A:$A,$A284)))))</f>
        <v/>
      </c>
      <c r="F284" s="347" t="str" cm="1">
        <f t="array" ref="F284">IF($A284="","",IF($J284="Payment",IFERROR(INDEX(_xlfn._xlws.FILTER(MasterPaid[Amount Paid],(MasterPaid[Customer]=$M$3)*(MasterPaid[Date]=$A284)),COUNTIFS($A$6:$A284,$A284,$J$6:$J284,"Payment")),0),0))</f>
        <v/>
      </c>
      <c r="G284" s="331"/>
      <c r="H284" s="427"/>
      <c r="I284" s="330" t="str">
        <f t="shared" si="14"/>
        <v/>
      </c>
      <c r="J284" s="344" t="str" cm="1">
        <f t="array" ref="J284">IFERROR(INDEX(_xlfn.ANCHORARRAY($P$6),ROW()-5,3),"")</f>
        <v/>
      </c>
      <c r="K284" s="432" t="str" cm="1">
        <f t="array" ref="K284">IF(OR($A284="",$J284&lt;&gt;"DIESEL"),"",_xlfn.LET(_xlpm.qty,N($C284),_xlpm.pos,$T$5:$T$54,_xlpm.alo,IF($U$5:$U$54="",0,$U$5:$U$54),_xlpm.usd,SUMIFS($C$6:$C283,$K$6:$K283,_xlpm.pos&amp;""),_xlpm.bal,_xlpm.alo-_xlpm.usd,IFERROR(INDEX(_xlfn._xlws.FILTER(_xlpm.pos,(_xlpm.pos&lt;&gt;"")*(_xlpm.qty&gt;0)*(_xlpm.bal&gt;=_xlpm.qty)),1),"")))</f>
        <v/>
      </c>
      <c r="L284" s="348"/>
    </row>
    <row r="285" spans="1:12" ht="23" x14ac:dyDescent="0.25">
      <c r="A285" s="217" t="str" cm="1">
        <f t="array" ref="A285">IFERROR(INDEX(_xlfn.ANCHORARRAY($P$6),ROW()-5,1),"")</f>
        <v/>
      </c>
      <c r="B285" s="344" t="str" cm="1">
        <f t="array" ref="B285">IFERROR(INDEX(_xlfn.ANCHORARRAY($P$6),ROW()-5,2),"")</f>
        <v/>
      </c>
      <c r="C285" s="345" t="str">
        <f>IF($A285="","",IF($J285="DIESEL",SUMIFS(Table1[Quantity],Table1[Customer],$M$3,Table1[Date],$A285,Table1[Bill No.],$B285),IF($J285="PETROL",SUMIFS(Table14[Quantity],Table14[Customer],$M$3,Table14[Date],$A285,Table14[Bill No.],$B285),IF($J285="XtraGreen",SUMIFS(Table146[Quantity],Table146[Company],$M$3,Table146[Date],$A285,Table146[Bill No.],$B285),""))))</f>
        <v/>
      </c>
      <c r="D285" s="346" t="str">
        <f>IF($A285="","",IF($J285="DIESEL",AVERAGEIFS(Table1[RSP],Table1[Customer],$M$3,Table1[Date],$A285,Table1[Bill No.],$B285),IF($J285="PETROL",AVERAGEIFS(Table14[RSP],Table14[Customer],$M$3,Table14[Date],$A285,Table14[Bill No.],$B285),IF($J285="XtraGreen",AVERAGEIFS(Table146[RSP],Table146[Company],$M$3,Table146[Date],$A285,Table146[Bill No.],$B285),IFERROR($E285/$C285,"")))))</f>
        <v/>
      </c>
      <c r="E285" s="347" t="str">
        <f>IF($A285="","",IF($J285="DIESEL",SUMIFS(Table1[Amount],Table1[Customer],$M$3,Table1[Date],$A285,Table1[Bill No.],$B285),IF($J285="PETROL",SUMIFS(Table14[Amount],Table14[Customer],$M$3,Table14[Date],$A285,Table14[Bill No.],$B285),IF($J285="XtraGreen",SUMIFS(Table146[Amount],Table146[Company],$M$3,Table146[Date],$A285,Table146[Bill No.],$B285),SUMIFS('Other Sale'!$D:$D,'Other Sale'!$E:$E,$M$3,'Other Sale'!$C:$C,$J285,'Other Sale'!$A:$A,$A285)))))</f>
        <v/>
      </c>
      <c r="F285" s="347" t="str" cm="1">
        <f t="array" ref="F285">IF($A285="","",IF($J285="Payment",IFERROR(INDEX(_xlfn._xlws.FILTER(MasterPaid[Amount Paid],(MasterPaid[Customer]=$M$3)*(MasterPaid[Date]=$A285)),COUNTIFS($A$6:$A285,$A285,$J$6:$J285,"Payment")),0),0))</f>
        <v/>
      </c>
      <c r="G285" s="331"/>
      <c r="H285" s="427"/>
      <c r="I285" s="330" t="str">
        <f t="shared" si="14"/>
        <v/>
      </c>
      <c r="J285" s="344" t="str" cm="1">
        <f t="array" ref="J285">IFERROR(INDEX(_xlfn.ANCHORARRAY($P$6),ROW()-5,3),"")</f>
        <v/>
      </c>
      <c r="K285" s="432" t="str" cm="1">
        <f t="array" ref="K285">IF(OR($A285="",$J285&lt;&gt;"DIESEL"),"",_xlfn.LET(_xlpm.qty,N($C285),_xlpm.pos,$T$5:$T$54,_xlpm.alo,IF($U$5:$U$54="",0,$U$5:$U$54),_xlpm.usd,SUMIFS($C$6:$C284,$K$6:$K284,_xlpm.pos&amp;""),_xlpm.bal,_xlpm.alo-_xlpm.usd,IFERROR(INDEX(_xlfn._xlws.FILTER(_xlpm.pos,(_xlpm.pos&lt;&gt;"")*(_xlpm.qty&gt;0)*(_xlpm.bal&gt;=_xlpm.qty)),1),"")))</f>
        <v/>
      </c>
      <c r="L285" s="348"/>
    </row>
    <row r="286" spans="1:12" ht="23" x14ac:dyDescent="0.25">
      <c r="A286" s="217" t="str" cm="1">
        <f t="array" ref="A286">IFERROR(INDEX(_xlfn.ANCHORARRAY($P$6),ROW()-5,1),"")</f>
        <v/>
      </c>
      <c r="B286" s="344" t="str" cm="1">
        <f t="array" ref="B286">IFERROR(INDEX(_xlfn.ANCHORARRAY($P$6),ROW()-5,2),"")</f>
        <v/>
      </c>
      <c r="C286" s="345" t="str">
        <f>IF($A286="","",IF($J286="DIESEL",SUMIFS(Table1[Quantity],Table1[Customer],$M$3,Table1[Date],$A286,Table1[Bill No.],$B286),IF($J286="PETROL",SUMIFS(Table14[Quantity],Table14[Customer],$M$3,Table14[Date],$A286,Table14[Bill No.],$B286),IF($J286="XtraGreen",SUMIFS(Table146[Quantity],Table146[Company],$M$3,Table146[Date],$A286,Table146[Bill No.],$B286),""))))</f>
        <v/>
      </c>
      <c r="D286" s="346" t="str">
        <f>IF($A286="","",IF($J286="DIESEL",AVERAGEIFS(Table1[RSP],Table1[Customer],$M$3,Table1[Date],$A286,Table1[Bill No.],$B286),IF($J286="PETROL",AVERAGEIFS(Table14[RSP],Table14[Customer],$M$3,Table14[Date],$A286,Table14[Bill No.],$B286),IF($J286="XtraGreen",AVERAGEIFS(Table146[RSP],Table146[Company],$M$3,Table146[Date],$A286,Table146[Bill No.],$B286),IFERROR($E286/$C286,"")))))</f>
        <v/>
      </c>
      <c r="E286" s="347" t="str">
        <f>IF($A286="","",IF($J286="DIESEL",SUMIFS(Table1[Amount],Table1[Customer],$M$3,Table1[Date],$A286,Table1[Bill No.],$B286),IF($J286="PETROL",SUMIFS(Table14[Amount],Table14[Customer],$M$3,Table14[Date],$A286,Table14[Bill No.],$B286),IF($J286="XtraGreen",SUMIFS(Table146[Amount],Table146[Company],$M$3,Table146[Date],$A286,Table146[Bill No.],$B286),SUMIFS('Other Sale'!$D:$D,'Other Sale'!$E:$E,$M$3,'Other Sale'!$C:$C,$J286,'Other Sale'!$A:$A,$A286)))))</f>
        <v/>
      </c>
      <c r="F286" s="347" t="str" cm="1">
        <f t="array" ref="F286">IF($A286="","",IF($J286="Payment",IFERROR(INDEX(_xlfn._xlws.FILTER(MasterPaid[Amount Paid],(MasterPaid[Customer]=$M$3)*(MasterPaid[Date]=$A286)),COUNTIFS($A$6:$A286,$A286,$J$6:$J286,"Payment")),0),0))</f>
        <v/>
      </c>
      <c r="G286" s="331"/>
      <c r="H286" s="427"/>
      <c r="I286" s="330" t="str">
        <f t="shared" si="14"/>
        <v/>
      </c>
      <c r="J286" s="344" t="str" cm="1">
        <f t="array" ref="J286">IFERROR(INDEX(_xlfn.ANCHORARRAY($P$6),ROW()-5,3),"")</f>
        <v/>
      </c>
      <c r="K286" s="432" t="str" cm="1">
        <f t="array" ref="K286">IF(OR($A286="",$J286&lt;&gt;"DIESEL"),"",_xlfn.LET(_xlpm.qty,N($C286),_xlpm.pos,$T$5:$T$54,_xlpm.alo,IF($U$5:$U$54="",0,$U$5:$U$54),_xlpm.usd,SUMIFS($C$6:$C285,$K$6:$K285,_xlpm.pos&amp;""),_xlpm.bal,_xlpm.alo-_xlpm.usd,IFERROR(INDEX(_xlfn._xlws.FILTER(_xlpm.pos,(_xlpm.pos&lt;&gt;"")*(_xlpm.qty&gt;0)*(_xlpm.bal&gt;=_xlpm.qty)),1),"")))</f>
        <v/>
      </c>
      <c r="L286" s="348"/>
    </row>
    <row r="287" spans="1:12" ht="23" x14ac:dyDescent="0.25">
      <c r="A287" s="217" t="str" cm="1">
        <f t="array" ref="A287">IFERROR(INDEX(_xlfn.ANCHORARRAY($P$6),ROW()-5,1),"")</f>
        <v/>
      </c>
      <c r="B287" s="344" t="str" cm="1">
        <f t="array" ref="B287">IFERROR(INDEX(_xlfn.ANCHORARRAY($P$6),ROW()-5,2),"")</f>
        <v/>
      </c>
      <c r="C287" s="345" t="str">
        <f>IF($A287="","",IF($J287="DIESEL",SUMIFS(Table1[Quantity],Table1[Customer],$M$3,Table1[Date],$A287,Table1[Bill No.],$B287),IF($J287="PETROL",SUMIFS(Table14[Quantity],Table14[Customer],$M$3,Table14[Date],$A287,Table14[Bill No.],$B287),IF($J287="XtraGreen",SUMIFS(Table146[Quantity],Table146[Company],$M$3,Table146[Date],$A287,Table146[Bill No.],$B287),""))))</f>
        <v/>
      </c>
      <c r="D287" s="346" t="str">
        <f>IF($A287="","",IF($J287="DIESEL",AVERAGEIFS(Table1[RSP],Table1[Customer],$M$3,Table1[Date],$A287,Table1[Bill No.],$B287),IF($J287="PETROL",AVERAGEIFS(Table14[RSP],Table14[Customer],$M$3,Table14[Date],$A287,Table14[Bill No.],$B287),IF($J287="XtraGreen",AVERAGEIFS(Table146[RSP],Table146[Company],$M$3,Table146[Date],$A287,Table146[Bill No.],$B287),IFERROR($E287/$C287,"")))))</f>
        <v/>
      </c>
      <c r="E287" s="347" t="str">
        <f>IF($A287="","",IF($J287="DIESEL",SUMIFS(Table1[Amount],Table1[Customer],$M$3,Table1[Date],$A287,Table1[Bill No.],$B287),IF($J287="PETROL",SUMIFS(Table14[Amount],Table14[Customer],$M$3,Table14[Date],$A287,Table14[Bill No.],$B287),IF($J287="XtraGreen",SUMIFS(Table146[Amount],Table146[Company],$M$3,Table146[Date],$A287,Table146[Bill No.],$B287),SUMIFS('Other Sale'!$D:$D,'Other Sale'!$E:$E,$M$3,'Other Sale'!$C:$C,$J287,'Other Sale'!$A:$A,$A287)))))</f>
        <v/>
      </c>
      <c r="F287" s="347" t="str" cm="1">
        <f t="array" ref="F287">IF($A287="","",IF($J287="Payment",IFERROR(INDEX(_xlfn._xlws.FILTER(MasterPaid[Amount Paid],(MasterPaid[Customer]=$M$3)*(MasterPaid[Date]=$A287)),COUNTIFS($A$6:$A287,$A287,$J$6:$J287,"Payment")),0),0))</f>
        <v/>
      </c>
      <c r="G287" s="331"/>
      <c r="H287" s="427"/>
      <c r="I287" s="330" t="str">
        <f t="shared" si="14"/>
        <v/>
      </c>
      <c r="J287" s="344" t="str" cm="1">
        <f t="array" ref="J287">IFERROR(INDEX(_xlfn.ANCHORARRAY($P$6),ROW()-5,3),"")</f>
        <v/>
      </c>
      <c r="K287" s="432" t="str" cm="1">
        <f t="array" ref="K287">IF(OR($A287="",$J287&lt;&gt;"DIESEL"),"",_xlfn.LET(_xlpm.qty,N($C287),_xlpm.pos,$T$5:$T$54,_xlpm.alo,IF($U$5:$U$54="",0,$U$5:$U$54),_xlpm.usd,SUMIFS($C$6:$C286,$K$6:$K286,_xlpm.pos&amp;""),_xlpm.bal,_xlpm.alo-_xlpm.usd,IFERROR(INDEX(_xlfn._xlws.FILTER(_xlpm.pos,(_xlpm.pos&lt;&gt;"")*(_xlpm.qty&gt;0)*(_xlpm.bal&gt;=_xlpm.qty)),1),"")))</f>
        <v/>
      </c>
      <c r="L287" s="348"/>
    </row>
    <row r="288" spans="1:12" ht="23" x14ac:dyDescent="0.25">
      <c r="A288" s="217" t="str" cm="1">
        <f t="array" ref="A288">IFERROR(INDEX(_xlfn.ANCHORARRAY($P$6),ROW()-5,1),"")</f>
        <v/>
      </c>
      <c r="B288" s="344" t="str" cm="1">
        <f t="array" ref="B288">IFERROR(INDEX(_xlfn.ANCHORARRAY($P$6),ROW()-5,2),"")</f>
        <v/>
      </c>
      <c r="C288" s="345" t="str">
        <f>IF($A288="","",IF($J288="DIESEL",SUMIFS(Table1[Quantity],Table1[Customer],$M$3,Table1[Date],$A288,Table1[Bill No.],$B288),IF($J288="PETROL",SUMIFS(Table14[Quantity],Table14[Customer],$M$3,Table14[Date],$A288,Table14[Bill No.],$B288),IF($J288="XtraGreen",SUMIFS(Table146[Quantity],Table146[Company],$M$3,Table146[Date],$A288,Table146[Bill No.],$B288),""))))</f>
        <v/>
      </c>
      <c r="D288" s="346" t="str">
        <f>IF($A288="","",IF($J288="DIESEL",AVERAGEIFS(Table1[RSP],Table1[Customer],$M$3,Table1[Date],$A288,Table1[Bill No.],$B288),IF($J288="PETROL",AVERAGEIFS(Table14[RSP],Table14[Customer],$M$3,Table14[Date],$A288,Table14[Bill No.],$B288),IF($J288="XtraGreen",AVERAGEIFS(Table146[RSP],Table146[Company],$M$3,Table146[Date],$A288,Table146[Bill No.],$B288),IFERROR($E288/$C288,"")))))</f>
        <v/>
      </c>
      <c r="E288" s="347" t="str">
        <f>IF($A288="","",IF($J288="DIESEL",SUMIFS(Table1[Amount],Table1[Customer],$M$3,Table1[Date],$A288,Table1[Bill No.],$B288),IF($J288="PETROL",SUMIFS(Table14[Amount],Table14[Customer],$M$3,Table14[Date],$A288,Table14[Bill No.],$B288),IF($J288="XtraGreen",SUMIFS(Table146[Amount],Table146[Company],$M$3,Table146[Date],$A288,Table146[Bill No.],$B288),SUMIFS('Other Sale'!$D:$D,'Other Sale'!$E:$E,$M$3,'Other Sale'!$C:$C,$J288,'Other Sale'!$A:$A,$A288)))))</f>
        <v/>
      </c>
      <c r="F288" s="347" t="str" cm="1">
        <f t="array" ref="F288">IF($A288="","",IF($J288="Payment",IFERROR(INDEX(_xlfn._xlws.FILTER(MasterPaid[Amount Paid],(MasterPaid[Customer]=$M$3)*(MasterPaid[Date]=$A288)),COUNTIFS($A$6:$A288,$A288,$J$6:$J288,"Payment")),0),0))</f>
        <v/>
      </c>
      <c r="G288" s="331"/>
      <c r="H288" s="427"/>
      <c r="I288" s="330" t="str">
        <f t="shared" si="14"/>
        <v/>
      </c>
      <c r="J288" s="344" t="str" cm="1">
        <f t="array" ref="J288">IFERROR(INDEX(_xlfn.ANCHORARRAY($P$6),ROW()-5,3),"")</f>
        <v/>
      </c>
      <c r="K288" s="432" t="str" cm="1">
        <f t="array" ref="K288">IF(OR($A288="",$J288&lt;&gt;"DIESEL"),"",_xlfn.LET(_xlpm.qty,N($C288),_xlpm.pos,$T$5:$T$54,_xlpm.alo,IF($U$5:$U$54="",0,$U$5:$U$54),_xlpm.usd,SUMIFS($C$6:$C287,$K$6:$K287,_xlpm.pos&amp;""),_xlpm.bal,_xlpm.alo-_xlpm.usd,IFERROR(INDEX(_xlfn._xlws.FILTER(_xlpm.pos,(_xlpm.pos&lt;&gt;"")*(_xlpm.qty&gt;0)*(_xlpm.bal&gt;=_xlpm.qty)),1),"")))</f>
        <v/>
      </c>
      <c r="L288" s="348"/>
    </row>
    <row r="289" spans="1:12" ht="23" x14ac:dyDescent="0.25">
      <c r="A289" s="217" t="str" cm="1">
        <f t="array" ref="A289">IFERROR(INDEX(_xlfn.ANCHORARRAY($P$6),ROW()-5,1),"")</f>
        <v/>
      </c>
      <c r="B289" s="344" t="str" cm="1">
        <f t="array" ref="B289">IFERROR(INDEX(_xlfn.ANCHORARRAY($P$6),ROW()-5,2),"")</f>
        <v/>
      </c>
      <c r="C289" s="345" t="str">
        <f>IF($A289="","",IF($J289="DIESEL",SUMIFS(Table1[Quantity],Table1[Customer],$M$3,Table1[Date],$A289,Table1[Bill No.],$B289),IF($J289="PETROL",SUMIFS(Table14[Quantity],Table14[Customer],$M$3,Table14[Date],$A289,Table14[Bill No.],$B289),IF($J289="XtraGreen",SUMIFS(Table146[Quantity],Table146[Company],$M$3,Table146[Date],$A289,Table146[Bill No.],$B289),""))))</f>
        <v/>
      </c>
      <c r="D289" s="346" t="str">
        <f>IF($A289="","",IF($J289="DIESEL",AVERAGEIFS(Table1[RSP],Table1[Customer],$M$3,Table1[Date],$A289,Table1[Bill No.],$B289),IF($J289="PETROL",AVERAGEIFS(Table14[RSP],Table14[Customer],$M$3,Table14[Date],$A289,Table14[Bill No.],$B289),IF($J289="XtraGreen",AVERAGEIFS(Table146[RSP],Table146[Company],$M$3,Table146[Date],$A289,Table146[Bill No.],$B289),IFERROR($E289/$C289,"")))))</f>
        <v/>
      </c>
      <c r="E289" s="347" t="str">
        <f>IF($A289="","",IF($J289="DIESEL",SUMIFS(Table1[Amount],Table1[Customer],$M$3,Table1[Date],$A289,Table1[Bill No.],$B289),IF($J289="PETROL",SUMIFS(Table14[Amount],Table14[Customer],$M$3,Table14[Date],$A289,Table14[Bill No.],$B289),IF($J289="XtraGreen",SUMIFS(Table146[Amount],Table146[Company],$M$3,Table146[Date],$A289,Table146[Bill No.],$B289),SUMIFS('Other Sale'!$D:$D,'Other Sale'!$E:$E,$M$3,'Other Sale'!$C:$C,$J289,'Other Sale'!$A:$A,$A289)))))</f>
        <v/>
      </c>
      <c r="F289" s="347" t="str" cm="1">
        <f t="array" ref="F289">IF($A289="","",IF($J289="Payment",IFERROR(INDEX(_xlfn._xlws.FILTER(MasterPaid[Amount Paid],(MasterPaid[Customer]=$M$3)*(MasterPaid[Date]=$A289)),COUNTIFS($A$6:$A289,$A289,$J$6:$J289,"Payment")),0),0))</f>
        <v/>
      </c>
      <c r="G289" s="331"/>
      <c r="H289" s="427"/>
      <c r="I289" s="330" t="str">
        <f t="shared" si="14"/>
        <v/>
      </c>
      <c r="J289" s="344" t="str" cm="1">
        <f t="array" ref="J289">IFERROR(INDEX(_xlfn.ANCHORARRAY($P$6),ROW()-5,3),"")</f>
        <v/>
      </c>
      <c r="K289" s="432" t="str" cm="1">
        <f t="array" ref="K289">IF(OR($A289="",$J289&lt;&gt;"DIESEL"),"",_xlfn.LET(_xlpm.qty,N($C289),_xlpm.pos,$T$5:$T$54,_xlpm.alo,IF($U$5:$U$54="",0,$U$5:$U$54),_xlpm.usd,SUMIFS($C$6:$C288,$K$6:$K288,_xlpm.pos&amp;""),_xlpm.bal,_xlpm.alo-_xlpm.usd,IFERROR(INDEX(_xlfn._xlws.FILTER(_xlpm.pos,(_xlpm.pos&lt;&gt;"")*(_xlpm.qty&gt;0)*(_xlpm.bal&gt;=_xlpm.qty)),1),"")))</f>
        <v/>
      </c>
      <c r="L289" s="348"/>
    </row>
    <row r="290" spans="1:12" ht="23" x14ac:dyDescent="0.25">
      <c r="A290" s="217" t="str" cm="1">
        <f t="array" ref="A290">IFERROR(INDEX(_xlfn.ANCHORARRAY($P$6),ROW()-5,1),"")</f>
        <v/>
      </c>
      <c r="B290" s="344" t="str" cm="1">
        <f t="array" ref="B290">IFERROR(INDEX(_xlfn.ANCHORARRAY($P$6),ROW()-5,2),"")</f>
        <v/>
      </c>
      <c r="C290" s="345" t="str">
        <f>IF($A290="","",IF($J290="DIESEL",SUMIFS(Table1[Quantity],Table1[Customer],$M$3,Table1[Date],$A290,Table1[Bill No.],$B290),IF($J290="PETROL",SUMIFS(Table14[Quantity],Table14[Customer],$M$3,Table14[Date],$A290,Table14[Bill No.],$B290),IF($J290="XtraGreen",SUMIFS(Table146[Quantity],Table146[Company],$M$3,Table146[Date],$A290,Table146[Bill No.],$B290),""))))</f>
        <v/>
      </c>
      <c r="D290" s="346" t="str">
        <f>IF($A290="","",IF($J290="DIESEL",AVERAGEIFS(Table1[RSP],Table1[Customer],$M$3,Table1[Date],$A290,Table1[Bill No.],$B290),IF($J290="PETROL",AVERAGEIFS(Table14[RSP],Table14[Customer],$M$3,Table14[Date],$A290,Table14[Bill No.],$B290),IF($J290="XtraGreen",AVERAGEIFS(Table146[RSP],Table146[Company],$M$3,Table146[Date],$A290,Table146[Bill No.],$B290),IFERROR($E290/$C290,"")))))</f>
        <v/>
      </c>
      <c r="E290" s="347" t="str">
        <f>IF($A290="","",IF($J290="DIESEL",SUMIFS(Table1[Amount],Table1[Customer],$M$3,Table1[Date],$A290,Table1[Bill No.],$B290),IF($J290="PETROL",SUMIFS(Table14[Amount],Table14[Customer],$M$3,Table14[Date],$A290,Table14[Bill No.],$B290),IF($J290="XtraGreen",SUMIFS(Table146[Amount],Table146[Company],$M$3,Table146[Date],$A290,Table146[Bill No.],$B290),SUMIFS('Other Sale'!$D:$D,'Other Sale'!$E:$E,$M$3,'Other Sale'!$C:$C,$J290,'Other Sale'!$A:$A,$A290)))))</f>
        <v/>
      </c>
      <c r="F290" s="347" t="str" cm="1">
        <f t="array" ref="F290">IF($A290="","",IF($J290="Payment",IFERROR(INDEX(_xlfn._xlws.FILTER(MasterPaid[Amount Paid],(MasterPaid[Customer]=$M$3)*(MasterPaid[Date]=$A290)),COUNTIFS($A$6:$A290,$A290,$J$6:$J290,"Payment")),0),0))</f>
        <v/>
      </c>
      <c r="G290" s="331"/>
      <c r="H290" s="427"/>
      <c r="I290" s="330" t="str">
        <f t="shared" si="14"/>
        <v/>
      </c>
      <c r="J290" s="344" t="str" cm="1">
        <f t="array" ref="J290">IFERROR(INDEX(_xlfn.ANCHORARRAY($P$6),ROW()-5,3),"")</f>
        <v/>
      </c>
      <c r="K290" s="432" t="str" cm="1">
        <f t="array" ref="K290">IF(OR($A290="",$J290&lt;&gt;"DIESEL"),"",_xlfn.LET(_xlpm.qty,N($C290),_xlpm.pos,$T$5:$T$54,_xlpm.alo,IF($U$5:$U$54="",0,$U$5:$U$54),_xlpm.usd,SUMIFS($C$6:$C289,$K$6:$K289,_xlpm.pos&amp;""),_xlpm.bal,_xlpm.alo-_xlpm.usd,IFERROR(INDEX(_xlfn._xlws.FILTER(_xlpm.pos,(_xlpm.pos&lt;&gt;"")*(_xlpm.qty&gt;0)*(_xlpm.bal&gt;=_xlpm.qty)),1),"")))</f>
        <v/>
      </c>
      <c r="L290" s="348"/>
    </row>
    <row r="291" spans="1:12" ht="23" x14ac:dyDescent="0.25">
      <c r="A291" s="217" t="str" cm="1">
        <f t="array" ref="A291">IFERROR(INDEX(_xlfn.ANCHORARRAY($P$6),ROW()-5,1),"")</f>
        <v/>
      </c>
      <c r="B291" s="344" t="str" cm="1">
        <f t="array" ref="B291">IFERROR(INDEX(_xlfn.ANCHORARRAY($P$6),ROW()-5,2),"")</f>
        <v/>
      </c>
      <c r="C291" s="345" t="str">
        <f>IF($A291="","",IF($J291="DIESEL",SUMIFS(Table1[Quantity],Table1[Customer],$M$3,Table1[Date],$A291,Table1[Bill No.],$B291),IF($J291="PETROL",SUMIFS(Table14[Quantity],Table14[Customer],$M$3,Table14[Date],$A291,Table14[Bill No.],$B291),IF($J291="XtraGreen",SUMIFS(Table146[Quantity],Table146[Company],$M$3,Table146[Date],$A291,Table146[Bill No.],$B291),""))))</f>
        <v/>
      </c>
      <c r="D291" s="346" t="str">
        <f>IF($A291="","",IF($J291="DIESEL",AVERAGEIFS(Table1[RSP],Table1[Customer],$M$3,Table1[Date],$A291,Table1[Bill No.],$B291),IF($J291="PETROL",AVERAGEIFS(Table14[RSP],Table14[Customer],$M$3,Table14[Date],$A291,Table14[Bill No.],$B291),IF($J291="XtraGreen",AVERAGEIFS(Table146[RSP],Table146[Company],$M$3,Table146[Date],$A291,Table146[Bill No.],$B291),IFERROR($E291/$C291,"")))))</f>
        <v/>
      </c>
      <c r="E291" s="347" t="str">
        <f>IF($A291="","",IF($J291="DIESEL",SUMIFS(Table1[Amount],Table1[Customer],$M$3,Table1[Date],$A291,Table1[Bill No.],$B291),IF($J291="PETROL",SUMIFS(Table14[Amount],Table14[Customer],$M$3,Table14[Date],$A291,Table14[Bill No.],$B291),IF($J291="XtraGreen",SUMIFS(Table146[Amount],Table146[Company],$M$3,Table146[Date],$A291,Table146[Bill No.],$B291),SUMIFS('Other Sale'!$D:$D,'Other Sale'!$E:$E,$M$3,'Other Sale'!$C:$C,$J291,'Other Sale'!$A:$A,$A291)))))</f>
        <v/>
      </c>
      <c r="F291" s="347" t="str" cm="1">
        <f t="array" ref="F291">IF($A291="","",IF($J291="Payment",IFERROR(INDEX(_xlfn._xlws.FILTER(MasterPaid[Amount Paid],(MasterPaid[Customer]=$M$3)*(MasterPaid[Date]=$A291)),COUNTIFS($A$6:$A291,$A291,$J$6:$J291,"Payment")),0),0))</f>
        <v/>
      </c>
      <c r="G291" s="331"/>
      <c r="H291" s="427"/>
      <c r="I291" s="330" t="str">
        <f t="shared" si="14"/>
        <v/>
      </c>
      <c r="J291" s="344" t="str" cm="1">
        <f t="array" ref="J291">IFERROR(INDEX(_xlfn.ANCHORARRAY($P$6),ROW()-5,3),"")</f>
        <v/>
      </c>
      <c r="K291" s="432" t="str" cm="1">
        <f t="array" ref="K291">IF(OR($A291="",$J291&lt;&gt;"DIESEL"),"",_xlfn.LET(_xlpm.qty,N($C291),_xlpm.pos,$T$5:$T$54,_xlpm.alo,IF($U$5:$U$54="",0,$U$5:$U$54),_xlpm.usd,SUMIFS($C$6:$C290,$K$6:$K290,_xlpm.pos&amp;""),_xlpm.bal,_xlpm.alo-_xlpm.usd,IFERROR(INDEX(_xlfn._xlws.FILTER(_xlpm.pos,(_xlpm.pos&lt;&gt;"")*(_xlpm.qty&gt;0)*(_xlpm.bal&gt;=_xlpm.qty)),1),"")))</f>
        <v/>
      </c>
      <c r="L291" s="348"/>
    </row>
    <row r="292" spans="1:12" ht="23" x14ac:dyDescent="0.25">
      <c r="A292" s="217" t="str" cm="1">
        <f t="array" ref="A292">IFERROR(INDEX(_xlfn.ANCHORARRAY($P$6),ROW()-5,1),"")</f>
        <v/>
      </c>
      <c r="B292" s="344" t="str" cm="1">
        <f t="array" ref="B292">IFERROR(INDEX(_xlfn.ANCHORARRAY($P$6),ROW()-5,2),"")</f>
        <v/>
      </c>
      <c r="C292" s="345" t="str">
        <f>IF($A292="","",IF($J292="DIESEL",SUMIFS(Table1[Quantity],Table1[Customer],$M$3,Table1[Date],$A292,Table1[Bill No.],$B292),IF($J292="PETROL",SUMIFS(Table14[Quantity],Table14[Customer],$M$3,Table14[Date],$A292,Table14[Bill No.],$B292),IF($J292="XtraGreen",SUMIFS(Table146[Quantity],Table146[Company],$M$3,Table146[Date],$A292,Table146[Bill No.],$B292),""))))</f>
        <v/>
      </c>
      <c r="D292" s="346" t="str">
        <f>IF($A292="","",IF($J292="DIESEL",AVERAGEIFS(Table1[RSP],Table1[Customer],$M$3,Table1[Date],$A292,Table1[Bill No.],$B292),IF($J292="PETROL",AVERAGEIFS(Table14[RSP],Table14[Customer],$M$3,Table14[Date],$A292,Table14[Bill No.],$B292),IF($J292="XtraGreen",AVERAGEIFS(Table146[RSP],Table146[Company],$M$3,Table146[Date],$A292,Table146[Bill No.],$B292),IFERROR($E292/$C292,"")))))</f>
        <v/>
      </c>
      <c r="E292" s="347" t="str">
        <f>IF($A292="","",IF($J292="DIESEL",SUMIFS(Table1[Amount],Table1[Customer],$M$3,Table1[Date],$A292,Table1[Bill No.],$B292),IF($J292="PETROL",SUMIFS(Table14[Amount],Table14[Customer],$M$3,Table14[Date],$A292,Table14[Bill No.],$B292),IF($J292="XtraGreen",SUMIFS(Table146[Amount],Table146[Company],$M$3,Table146[Date],$A292,Table146[Bill No.],$B292),SUMIFS('Other Sale'!$D:$D,'Other Sale'!$E:$E,$M$3,'Other Sale'!$C:$C,$J292,'Other Sale'!$A:$A,$A292)))))</f>
        <v/>
      </c>
      <c r="F292" s="347" t="str" cm="1">
        <f t="array" ref="F292">IF($A292="","",IF($J292="Payment",IFERROR(INDEX(_xlfn._xlws.FILTER(MasterPaid[Amount Paid],(MasterPaid[Customer]=$M$3)*(MasterPaid[Date]=$A292)),COUNTIFS($A$6:$A292,$A292,$J$6:$J292,"Payment")),0),0))</f>
        <v/>
      </c>
      <c r="G292" s="331"/>
      <c r="H292" s="427"/>
      <c r="I292" s="330" t="str">
        <f t="shared" si="14"/>
        <v/>
      </c>
      <c r="J292" s="344" t="str" cm="1">
        <f t="array" ref="J292">IFERROR(INDEX(_xlfn.ANCHORARRAY($P$6),ROW()-5,3),"")</f>
        <v/>
      </c>
      <c r="K292" s="432" t="str" cm="1">
        <f t="array" ref="K292">IF(OR($A292="",$J292&lt;&gt;"DIESEL"),"",_xlfn.LET(_xlpm.qty,N($C292),_xlpm.pos,$T$5:$T$54,_xlpm.alo,IF($U$5:$U$54="",0,$U$5:$U$54),_xlpm.usd,SUMIFS($C$6:$C291,$K$6:$K291,_xlpm.pos&amp;""),_xlpm.bal,_xlpm.alo-_xlpm.usd,IFERROR(INDEX(_xlfn._xlws.FILTER(_xlpm.pos,(_xlpm.pos&lt;&gt;"")*(_xlpm.qty&gt;0)*(_xlpm.bal&gt;=_xlpm.qty)),1),"")))</f>
        <v/>
      </c>
      <c r="L292" s="348"/>
    </row>
    <row r="293" spans="1:12" ht="23" x14ac:dyDescent="0.25">
      <c r="A293" s="217" t="str" cm="1">
        <f t="array" ref="A293">IFERROR(INDEX(_xlfn.ANCHORARRAY($P$6),ROW()-5,1),"")</f>
        <v/>
      </c>
      <c r="B293" s="344" t="str" cm="1">
        <f t="array" ref="B293">IFERROR(INDEX(_xlfn.ANCHORARRAY($P$6),ROW()-5,2),"")</f>
        <v/>
      </c>
      <c r="C293" s="345" t="str">
        <f>IF($A293="","",IF($J293="DIESEL",SUMIFS(Table1[Quantity],Table1[Customer],$M$3,Table1[Date],$A293,Table1[Bill No.],$B293),IF($J293="PETROL",SUMIFS(Table14[Quantity],Table14[Customer],$M$3,Table14[Date],$A293,Table14[Bill No.],$B293),IF($J293="XtraGreen",SUMIFS(Table146[Quantity],Table146[Company],$M$3,Table146[Date],$A293,Table146[Bill No.],$B293),""))))</f>
        <v/>
      </c>
      <c r="D293" s="346" t="str">
        <f>IF($A293="","",IF($J293="DIESEL",AVERAGEIFS(Table1[RSP],Table1[Customer],$M$3,Table1[Date],$A293,Table1[Bill No.],$B293),IF($J293="PETROL",AVERAGEIFS(Table14[RSP],Table14[Customer],$M$3,Table14[Date],$A293,Table14[Bill No.],$B293),IF($J293="XtraGreen",AVERAGEIFS(Table146[RSP],Table146[Company],$M$3,Table146[Date],$A293,Table146[Bill No.],$B293),IFERROR($E293/$C293,"")))))</f>
        <v/>
      </c>
      <c r="E293" s="347" t="str">
        <f>IF($A293="","",IF($J293="DIESEL",SUMIFS(Table1[Amount],Table1[Customer],$M$3,Table1[Date],$A293,Table1[Bill No.],$B293),IF($J293="PETROL",SUMIFS(Table14[Amount],Table14[Customer],$M$3,Table14[Date],$A293,Table14[Bill No.],$B293),IF($J293="XtraGreen",SUMIFS(Table146[Amount],Table146[Company],$M$3,Table146[Date],$A293,Table146[Bill No.],$B293),SUMIFS('Other Sale'!$D:$D,'Other Sale'!$E:$E,$M$3,'Other Sale'!$C:$C,$J293,'Other Sale'!$A:$A,$A293)))))</f>
        <v/>
      </c>
      <c r="F293" s="347" t="str" cm="1">
        <f t="array" ref="F293">IF($A293="","",IF($J293="Payment",IFERROR(INDEX(_xlfn._xlws.FILTER(MasterPaid[Amount Paid],(MasterPaid[Customer]=$M$3)*(MasterPaid[Date]=$A293)),COUNTIFS($A$6:$A293,$A293,$J$6:$J293,"Payment")),0),0))</f>
        <v/>
      </c>
      <c r="G293" s="331"/>
      <c r="H293" s="427"/>
      <c r="I293" s="330" t="str">
        <f t="shared" si="14"/>
        <v/>
      </c>
      <c r="J293" s="344" t="str" cm="1">
        <f t="array" ref="J293">IFERROR(INDEX(_xlfn.ANCHORARRAY($P$6),ROW()-5,3),"")</f>
        <v/>
      </c>
      <c r="K293" s="432" t="str" cm="1">
        <f t="array" ref="K293">IF(OR($A293="",$J293&lt;&gt;"DIESEL"),"",_xlfn.LET(_xlpm.qty,N($C293),_xlpm.pos,$T$5:$T$54,_xlpm.alo,IF($U$5:$U$54="",0,$U$5:$U$54),_xlpm.usd,SUMIFS($C$6:$C292,$K$6:$K292,_xlpm.pos&amp;""),_xlpm.bal,_xlpm.alo-_xlpm.usd,IFERROR(INDEX(_xlfn._xlws.FILTER(_xlpm.pos,(_xlpm.pos&lt;&gt;"")*(_xlpm.qty&gt;0)*(_xlpm.bal&gt;=_xlpm.qty)),1),"")))</f>
        <v/>
      </c>
      <c r="L293" s="348"/>
    </row>
    <row r="294" spans="1:12" ht="23" x14ac:dyDescent="0.25">
      <c r="A294" s="217" t="str" cm="1">
        <f t="array" ref="A294">IFERROR(INDEX(_xlfn.ANCHORARRAY($P$6),ROW()-5,1),"")</f>
        <v/>
      </c>
      <c r="B294" s="344" t="str" cm="1">
        <f t="array" ref="B294">IFERROR(INDEX(_xlfn.ANCHORARRAY($P$6),ROW()-5,2),"")</f>
        <v/>
      </c>
      <c r="C294" s="345" t="str">
        <f>IF($A294="","",IF($J294="DIESEL",SUMIFS(Table1[Quantity],Table1[Customer],$M$3,Table1[Date],$A294,Table1[Bill No.],$B294),IF($J294="PETROL",SUMIFS(Table14[Quantity],Table14[Customer],$M$3,Table14[Date],$A294,Table14[Bill No.],$B294),IF($J294="XtraGreen",SUMIFS(Table146[Quantity],Table146[Company],$M$3,Table146[Date],$A294,Table146[Bill No.],$B294),""))))</f>
        <v/>
      </c>
      <c r="D294" s="346" t="str">
        <f>IF($A294="","",IF($J294="DIESEL",AVERAGEIFS(Table1[RSP],Table1[Customer],$M$3,Table1[Date],$A294,Table1[Bill No.],$B294),IF($J294="PETROL",AVERAGEIFS(Table14[RSP],Table14[Customer],$M$3,Table14[Date],$A294,Table14[Bill No.],$B294),IF($J294="XtraGreen",AVERAGEIFS(Table146[RSP],Table146[Company],$M$3,Table146[Date],$A294,Table146[Bill No.],$B294),IFERROR($E294/$C294,"")))))</f>
        <v/>
      </c>
      <c r="E294" s="347" t="str">
        <f>IF($A294="","",IF($J294="DIESEL",SUMIFS(Table1[Amount],Table1[Customer],$M$3,Table1[Date],$A294,Table1[Bill No.],$B294),IF($J294="PETROL",SUMIFS(Table14[Amount],Table14[Customer],$M$3,Table14[Date],$A294,Table14[Bill No.],$B294),IF($J294="XtraGreen",SUMIFS(Table146[Amount],Table146[Company],$M$3,Table146[Date],$A294,Table146[Bill No.],$B294),SUMIFS('Other Sale'!$D:$D,'Other Sale'!$E:$E,$M$3,'Other Sale'!$C:$C,$J294,'Other Sale'!$A:$A,$A294)))))</f>
        <v/>
      </c>
      <c r="F294" s="347" t="str" cm="1">
        <f t="array" ref="F294">IF($A294="","",IF($J294="Payment",IFERROR(INDEX(_xlfn._xlws.FILTER(MasterPaid[Amount Paid],(MasterPaid[Customer]=$M$3)*(MasterPaid[Date]=$A294)),COUNTIFS($A$6:$A294,$A294,$J$6:$J294,"Payment")),0),0))</f>
        <v/>
      </c>
      <c r="G294" s="331"/>
      <c r="H294" s="427"/>
      <c r="I294" s="330" t="str">
        <f t="shared" si="14"/>
        <v/>
      </c>
      <c r="J294" s="344" t="str" cm="1">
        <f t="array" ref="J294">IFERROR(INDEX(_xlfn.ANCHORARRAY($P$6),ROW()-5,3),"")</f>
        <v/>
      </c>
      <c r="K294" s="432" t="str" cm="1">
        <f t="array" ref="K294">IF(OR($A294="",$J294&lt;&gt;"DIESEL"),"",_xlfn.LET(_xlpm.qty,N($C294),_xlpm.pos,$T$5:$T$54,_xlpm.alo,IF($U$5:$U$54="",0,$U$5:$U$54),_xlpm.usd,SUMIFS($C$6:$C293,$K$6:$K293,_xlpm.pos&amp;""),_xlpm.bal,_xlpm.alo-_xlpm.usd,IFERROR(INDEX(_xlfn._xlws.FILTER(_xlpm.pos,(_xlpm.pos&lt;&gt;"")*(_xlpm.qty&gt;0)*(_xlpm.bal&gt;=_xlpm.qty)),1),"")))</f>
        <v/>
      </c>
      <c r="L294" s="348"/>
    </row>
    <row r="295" spans="1:12" ht="23" x14ac:dyDescent="0.25">
      <c r="A295" s="217" t="str" cm="1">
        <f t="array" ref="A295">IFERROR(INDEX(_xlfn.ANCHORARRAY($P$6),ROW()-5,1),"")</f>
        <v/>
      </c>
      <c r="B295" s="344" t="str" cm="1">
        <f t="array" ref="B295">IFERROR(INDEX(_xlfn.ANCHORARRAY($P$6),ROW()-5,2),"")</f>
        <v/>
      </c>
      <c r="C295" s="345" t="str">
        <f>IF($A295="","",IF($J295="DIESEL",SUMIFS(Table1[Quantity],Table1[Customer],$M$3,Table1[Date],$A295,Table1[Bill No.],$B295),IF($J295="PETROL",SUMIFS(Table14[Quantity],Table14[Customer],$M$3,Table14[Date],$A295,Table14[Bill No.],$B295),IF($J295="XtraGreen",SUMIFS(Table146[Quantity],Table146[Company],$M$3,Table146[Date],$A295,Table146[Bill No.],$B295),""))))</f>
        <v/>
      </c>
      <c r="D295" s="346" t="str">
        <f>IF($A295="","",IF($J295="DIESEL",AVERAGEIFS(Table1[RSP],Table1[Customer],$M$3,Table1[Date],$A295,Table1[Bill No.],$B295),IF($J295="PETROL",AVERAGEIFS(Table14[RSP],Table14[Customer],$M$3,Table14[Date],$A295,Table14[Bill No.],$B295),IF($J295="XtraGreen",AVERAGEIFS(Table146[RSP],Table146[Company],$M$3,Table146[Date],$A295,Table146[Bill No.],$B295),IFERROR($E295/$C295,"")))))</f>
        <v/>
      </c>
      <c r="E295" s="347" t="str">
        <f>IF($A295="","",IF($J295="DIESEL",SUMIFS(Table1[Amount],Table1[Customer],$M$3,Table1[Date],$A295,Table1[Bill No.],$B295),IF($J295="PETROL",SUMIFS(Table14[Amount],Table14[Customer],$M$3,Table14[Date],$A295,Table14[Bill No.],$B295),IF($J295="XtraGreen",SUMIFS(Table146[Amount],Table146[Company],$M$3,Table146[Date],$A295,Table146[Bill No.],$B295),SUMIFS('Other Sale'!$D:$D,'Other Sale'!$E:$E,$M$3,'Other Sale'!$C:$C,$J295,'Other Sale'!$A:$A,$A295)))))</f>
        <v/>
      </c>
      <c r="F295" s="347" t="str" cm="1">
        <f t="array" ref="F295">IF($A295="","",IF($J295="Payment",IFERROR(INDEX(_xlfn._xlws.FILTER(MasterPaid[Amount Paid],(MasterPaid[Customer]=$M$3)*(MasterPaid[Date]=$A295)),COUNTIFS($A$6:$A295,$A295,$J$6:$J295,"Payment")),0),0))</f>
        <v/>
      </c>
      <c r="G295" s="331"/>
      <c r="H295" s="427"/>
      <c r="I295" s="330" t="str">
        <f t="shared" si="14"/>
        <v/>
      </c>
      <c r="J295" s="344" t="str" cm="1">
        <f t="array" ref="J295">IFERROR(INDEX(_xlfn.ANCHORARRAY($P$6),ROW()-5,3),"")</f>
        <v/>
      </c>
      <c r="K295" s="432" t="str" cm="1">
        <f t="array" ref="K295">IF(OR($A295="",$J295&lt;&gt;"DIESEL"),"",_xlfn.LET(_xlpm.qty,N($C295),_xlpm.pos,$T$5:$T$54,_xlpm.alo,IF($U$5:$U$54="",0,$U$5:$U$54),_xlpm.usd,SUMIFS($C$6:$C294,$K$6:$K294,_xlpm.pos&amp;""),_xlpm.bal,_xlpm.alo-_xlpm.usd,IFERROR(INDEX(_xlfn._xlws.FILTER(_xlpm.pos,(_xlpm.pos&lt;&gt;"")*(_xlpm.qty&gt;0)*(_xlpm.bal&gt;=_xlpm.qty)),1),"")))</f>
        <v/>
      </c>
      <c r="L295" s="348"/>
    </row>
    <row r="296" spans="1:12" ht="23" x14ac:dyDescent="0.25">
      <c r="A296" s="217" t="str" cm="1">
        <f t="array" ref="A296">IFERROR(INDEX(_xlfn.ANCHORARRAY($P$6),ROW()-5,1),"")</f>
        <v/>
      </c>
      <c r="B296" s="344" t="str" cm="1">
        <f t="array" ref="B296">IFERROR(INDEX(_xlfn.ANCHORARRAY($P$6),ROW()-5,2),"")</f>
        <v/>
      </c>
      <c r="C296" s="345" t="str">
        <f>IF($A296="","",IF($J296="DIESEL",SUMIFS(Table1[Quantity],Table1[Customer],$M$3,Table1[Date],$A296,Table1[Bill No.],$B296),IF($J296="PETROL",SUMIFS(Table14[Quantity],Table14[Customer],$M$3,Table14[Date],$A296,Table14[Bill No.],$B296),IF($J296="XtraGreen",SUMIFS(Table146[Quantity],Table146[Company],$M$3,Table146[Date],$A296,Table146[Bill No.],$B296),""))))</f>
        <v/>
      </c>
      <c r="D296" s="346" t="str">
        <f>IF($A296="","",IF($J296="DIESEL",AVERAGEIFS(Table1[RSP],Table1[Customer],$M$3,Table1[Date],$A296,Table1[Bill No.],$B296),IF($J296="PETROL",AVERAGEIFS(Table14[RSP],Table14[Customer],$M$3,Table14[Date],$A296,Table14[Bill No.],$B296),IF($J296="XtraGreen",AVERAGEIFS(Table146[RSP],Table146[Company],$M$3,Table146[Date],$A296,Table146[Bill No.],$B296),IFERROR($E296/$C296,"")))))</f>
        <v/>
      </c>
      <c r="E296" s="347" t="str">
        <f>IF($A296="","",IF($J296="DIESEL",SUMIFS(Table1[Amount],Table1[Customer],$M$3,Table1[Date],$A296,Table1[Bill No.],$B296),IF($J296="PETROL",SUMIFS(Table14[Amount],Table14[Customer],$M$3,Table14[Date],$A296,Table14[Bill No.],$B296),IF($J296="XtraGreen",SUMIFS(Table146[Amount],Table146[Company],$M$3,Table146[Date],$A296,Table146[Bill No.],$B296),SUMIFS('Other Sale'!$D:$D,'Other Sale'!$E:$E,$M$3,'Other Sale'!$C:$C,$J296,'Other Sale'!$A:$A,$A296)))))</f>
        <v/>
      </c>
      <c r="F296" s="347" t="str" cm="1">
        <f t="array" ref="F296">IF($A296="","",IF($J296="Payment",IFERROR(INDEX(_xlfn._xlws.FILTER(MasterPaid[Amount Paid],(MasterPaid[Customer]=$M$3)*(MasterPaid[Date]=$A296)),COUNTIFS($A$6:$A296,$A296,$J$6:$J296,"Payment")),0),0))</f>
        <v/>
      </c>
      <c r="G296" s="331"/>
      <c r="H296" s="427"/>
      <c r="I296" s="330" t="str">
        <f t="shared" si="14"/>
        <v/>
      </c>
      <c r="J296" s="344" t="str" cm="1">
        <f t="array" ref="J296">IFERROR(INDEX(_xlfn.ANCHORARRAY($P$6),ROW()-5,3),"")</f>
        <v/>
      </c>
      <c r="K296" s="432" t="str" cm="1">
        <f t="array" ref="K296">IF(OR($A296="",$J296&lt;&gt;"DIESEL"),"",_xlfn.LET(_xlpm.qty,N($C296),_xlpm.pos,$T$5:$T$54,_xlpm.alo,IF($U$5:$U$54="",0,$U$5:$U$54),_xlpm.usd,SUMIFS($C$6:$C295,$K$6:$K295,_xlpm.pos&amp;""),_xlpm.bal,_xlpm.alo-_xlpm.usd,IFERROR(INDEX(_xlfn._xlws.FILTER(_xlpm.pos,(_xlpm.pos&lt;&gt;"")*(_xlpm.qty&gt;0)*(_xlpm.bal&gt;=_xlpm.qty)),1),"")))</f>
        <v/>
      </c>
      <c r="L296" s="348"/>
    </row>
    <row r="297" spans="1:12" ht="23" x14ac:dyDescent="0.25">
      <c r="A297" s="217" t="str" cm="1">
        <f t="array" ref="A297">IFERROR(INDEX(_xlfn.ANCHORARRAY($P$6),ROW()-5,1),"")</f>
        <v/>
      </c>
      <c r="B297" s="344" t="str" cm="1">
        <f t="array" ref="B297">IFERROR(INDEX(_xlfn.ANCHORARRAY($P$6),ROW()-5,2),"")</f>
        <v/>
      </c>
      <c r="C297" s="345" t="str">
        <f>IF($A297="","",IF($J297="DIESEL",SUMIFS(Table1[Quantity],Table1[Customer],$M$3,Table1[Date],$A297,Table1[Bill No.],$B297),IF($J297="PETROL",SUMIFS(Table14[Quantity],Table14[Customer],$M$3,Table14[Date],$A297,Table14[Bill No.],$B297),IF($J297="XtraGreen",SUMIFS(Table146[Quantity],Table146[Company],$M$3,Table146[Date],$A297,Table146[Bill No.],$B297),""))))</f>
        <v/>
      </c>
      <c r="D297" s="346" t="str">
        <f>IF($A297="","",IF($J297="DIESEL",AVERAGEIFS(Table1[RSP],Table1[Customer],$M$3,Table1[Date],$A297,Table1[Bill No.],$B297),IF($J297="PETROL",AVERAGEIFS(Table14[RSP],Table14[Customer],$M$3,Table14[Date],$A297,Table14[Bill No.],$B297),IF($J297="XtraGreen",AVERAGEIFS(Table146[RSP],Table146[Company],$M$3,Table146[Date],$A297,Table146[Bill No.],$B297),IFERROR($E297/$C297,"")))))</f>
        <v/>
      </c>
      <c r="E297" s="347" t="str">
        <f>IF($A297="","",IF($J297="DIESEL",SUMIFS(Table1[Amount],Table1[Customer],$M$3,Table1[Date],$A297,Table1[Bill No.],$B297),IF($J297="PETROL",SUMIFS(Table14[Amount],Table14[Customer],$M$3,Table14[Date],$A297,Table14[Bill No.],$B297),IF($J297="XtraGreen",SUMIFS(Table146[Amount],Table146[Company],$M$3,Table146[Date],$A297,Table146[Bill No.],$B297),SUMIFS('Other Sale'!$D:$D,'Other Sale'!$E:$E,$M$3,'Other Sale'!$C:$C,$J297,'Other Sale'!$A:$A,$A297)))))</f>
        <v/>
      </c>
      <c r="F297" s="347" t="str" cm="1">
        <f t="array" ref="F297">IF($A297="","",IF($J297="Payment",IFERROR(INDEX(_xlfn._xlws.FILTER(MasterPaid[Amount Paid],(MasterPaid[Customer]=$M$3)*(MasterPaid[Date]=$A297)),COUNTIFS($A$6:$A297,$A297,$J$6:$J297,"Payment")),0),0))</f>
        <v/>
      </c>
      <c r="G297" s="331"/>
      <c r="H297" s="427"/>
      <c r="I297" s="330" t="str">
        <f t="shared" si="14"/>
        <v/>
      </c>
      <c r="J297" s="344" t="str" cm="1">
        <f t="array" ref="J297">IFERROR(INDEX(_xlfn.ANCHORARRAY($P$6),ROW()-5,3),"")</f>
        <v/>
      </c>
      <c r="K297" s="432" t="str" cm="1">
        <f t="array" ref="K297">IF(OR($A297="",$J297&lt;&gt;"DIESEL"),"",_xlfn.LET(_xlpm.qty,N($C297),_xlpm.pos,$T$5:$T$54,_xlpm.alo,IF($U$5:$U$54="",0,$U$5:$U$54),_xlpm.usd,SUMIFS($C$6:$C296,$K$6:$K296,_xlpm.pos&amp;""),_xlpm.bal,_xlpm.alo-_xlpm.usd,IFERROR(INDEX(_xlfn._xlws.FILTER(_xlpm.pos,(_xlpm.pos&lt;&gt;"")*(_xlpm.qty&gt;0)*(_xlpm.bal&gt;=_xlpm.qty)),1),"")))</f>
        <v/>
      </c>
      <c r="L297" s="348"/>
    </row>
    <row r="298" spans="1:12" ht="23" x14ac:dyDescent="0.25">
      <c r="A298" s="217" t="str" cm="1">
        <f t="array" ref="A298">IFERROR(INDEX(_xlfn.ANCHORARRAY($P$6),ROW()-5,1),"")</f>
        <v/>
      </c>
      <c r="B298" s="344" t="str" cm="1">
        <f t="array" ref="B298">IFERROR(INDEX(_xlfn.ANCHORARRAY($P$6),ROW()-5,2),"")</f>
        <v/>
      </c>
      <c r="C298" s="345" t="str">
        <f>IF($A298="","",IF($J298="DIESEL",SUMIFS(Table1[Quantity],Table1[Customer],$M$3,Table1[Date],$A298,Table1[Bill No.],$B298),IF($J298="PETROL",SUMIFS(Table14[Quantity],Table14[Customer],$M$3,Table14[Date],$A298,Table14[Bill No.],$B298),IF($J298="XtraGreen",SUMIFS(Table146[Quantity],Table146[Company],$M$3,Table146[Date],$A298,Table146[Bill No.],$B298),""))))</f>
        <v/>
      </c>
      <c r="D298" s="346" t="str">
        <f>IF($A298="","",IF($J298="DIESEL",AVERAGEIFS(Table1[RSP],Table1[Customer],$M$3,Table1[Date],$A298,Table1[Bill No.],$B298),IF($J298="PETROL",AVERAGEIFS(Table14[RSP],Table14[Customer],$M$3,Table14[Date],$A298,Table14[Bill No.],$B298),IF($J298="XtraGreen",AVERAGEIFS(Table146[RSP],Table146[Company],$M$3,Table146[Date],$A298,Table146[Bill No.],$B298),IFERROR($E298/$C298,"")))))</f>
        <v/>
      </c>
      <c r="E298" s="347" t="str">
        <f>IF($A298="","",IF($J298="DIESEL",SUMIFS(Table1[Amount],Table1[Customer],$M$3,Table1[Date],$A298,Table1[Bill No.],$B298),IF($J298="PETROL",SUMIFS(Table14[Amount],Table14[Customer],$M$3,Table14[Date],$A298,Table14[Bill No.],$B298),IF($J298="XtraGreen",SUMIFS(Table146[Amount],Table146[Company],$M$3,Table146[Date],$A298,Table146[Bill No.],$B298),SUMIFS('Other Sale'!$D:$D,'Other Sale'!$E:$E,$M$3,'Other Sale'!$C:$C,$J298,'Other Sale'!$A:$A,$A298)))))</f>
        <v/>
      </c>
      <c r="F298" s="347" t="str" cm="1">
        <f t="array" ref="F298">IF($A298="","",IF($J298="Payment",IFERROR(INDEX(_xlfn._xlws.FILTER(MasterPaid[Amount Paid],(MasterPaid[Customer]=$M$3)*(MasterPaid[Date]=$A298)),COUNTIFS($A$6:$A298,$A298,$J$6:$J298,"Payment")),0),0))</f>
        <v/>
      </c>
      <c r="G298" s="331"/>
      <c r="H298" s="427"/>
      <c r="I298" s="330" t="str">
        <f t="shared" si="14"/>
        <v/>
      </c>
      <c r="J298" s="344" t="str" cm="1">
        <f t="array" ref="J298">IFERROR(INDEX(_xlfn.ANCHORARRAY($P$6),ROW()-5,3),"")</f>
        <v/>
      </c>
      <c r="K298" s="432" t="str" cm="1">
        <f t="array" ref="K298">IF(OR($A298="",$J298&lt;&gt;"DIESEL"),"",_xlfn.LET(_xlpm.qty,N($C298),_xlpm.pos,$T$5:$T$54,_xlpm.alo,IF($U$5:$U$54="",0,$U$5:$U$54),_xlpm.usd,SUMIFS($C$6:$C297,$K$6:$K297,_xlpm.pos&amp;""),_xlpm.bal,_xlpm.alo-_xlpm.usd,IFERROR(INDEX(_xlfn._xlws.FILTER(_xlpm.pos,(_xlpm.pos&lt;&gt;"")*(_xlpm.qty&gt;0)*(_xlpm.bal&gt;=_xlpm.qty)),1),"")))</f>
        <v/>
      </c>
      <c r="L298" s="348"/>
    </row>
    <row r="299" spans="1:12" ht="23" x14ac:dyDescent="0.25">
      <c r="A299" s="217" t="str" cm="1">
        <f t="array" ref="A299">IFERROR(INDEX(_xlfn.ANCHORARRAY($P$6),ROW()-5,1),"")</f>
        <v/>
      </c>
      <c r="B299" s="344" t="str" cm="1">
        <f t="array" ref="B299">IFERROR(INDEX(_xlfn.ANCHORARRAY($P$6),ROW()-5,2),"")</f>
        <v/>
      </c>
      <c r="C299" s="345" t="str">
        <f>IF($A299="","",IF($J299="DIESEL",SUMIFS(Table1[Quantity],Table1[Customer],$M$3,Table1[Date],$A299,Table1[Bill No.],$B299),IF($J299="PETROL",SUMIFS(Table14[Quantity],Table14[Customer],$M$3,Table14[Date],$A299,Table14[Bill No.],$B299),IF($J299="XtraGreen",SUMIFS(Table146[Quantity],Table146[Company],$M$3,Table146[Date],$A299,Table146[Bill No.],$B299),""))))</f>
        <v/>
      </c>
      <c r="D299" s="346" t="str">
        <f>IF($A299="","",IF($J299="DIESEL",AVERAGEIFS(Table1[RSP],Table1[Customer],$M$3,Table1[Date],$A299,Table1[Bill No.],$B299),IF($J299="PETROL",AVERAGEIFS(Table14[RSP],Table14[Customer],$M$3,Table14[Date],$A299,Table14[Bill No.],$B299),IF($J299="XtraGreen",AVERAGEIFS(Table146[RSP],Table146[Company],$M$3,Table146[Date],$A299,Table146[Bill No.],$B299),IFERROR($E299/$C299,"")))))</f>
        <v/>
      </c>
      <c r="E299" s="347" t="str">
        <f>IF($A299="","",IF($J299="DIESEL",SUMIFS(Table1[Amount],Table1[Customer],$M$3,Table1[Date],$A299,Table1[Bill No.],$B299),IF($J299="PETROL",SUMIFS(Table14[Amount],Table14[Customer],$M$3,Table14[Date],$A299,Table14[Bill No.],$B299),IF($J299="XtraGreen",SUMIFS(Table146[Amount],Table146[Company],$M$3,Table146[Date],$A299,Table146[Bill No.],$B299),SUMIFS('Other Sale'!$D:$D,'Other Sale'!$E:$E,$M$3,'Other Sale'!$C:$C,$J299,'Other Sale'!$A:$A,$A299)))))</f>
        <v/>
      </c>
      <c r="F299" s="347" t="str" cm="1">
        <f t="array" ref="F299">IF($A299="","",IF($J299="Payment",IFERROR(INDEX(_xlfn._xlws.FILTER(MasterPaid[Amount Paid],(MasterPaid[Customer]=$M$3)*(MasterPaid[Date]=$A299)),COUNTIFS($A$6:$A299,$A299,$J$6:$J299,"Payment")),0),0))</f>
        <v/>
      </c>
      <c r="G299" s="331"/>
      <c r="H299" s="427"/>
      <c r="I299" s="330" t="str">
        <f t="shared" si="14"/>
        <v/>
      </c>
      <c r="J299" s="344" t="str" cm="1">
        <f t="array" ref="J299">IFERROR(INDEX(_xlfn.ANCHORARRAY($P$6),ROW()-5,3),"")</f>
        <v/>
      </c>
      <c r="K299" s="432" t="str" cm="1">
        <f t="array" ref="K299">IF(OR($A299="",$J299&lt;&gt;"DIESEL"),"",_xlfn.LET(_xlpm.qty,N($C299),_xlpm.pos,$T$5:$T$54,_xlpm.alo,IF($U$5:$U$54="",0,$U$5:$U$54),_xlpm.usd,SUMIFS($C$6:$C298,$K$6:$K298,_xlpm.pos&amp;""),_xlpm.bal,_xlpm.alo-_xlpm.usd,IFERROR(INDEX(_xlfn._xlws.FILTER(_xlpm.pos,(_xlpm.pos&lt;&gt;"")*(_xlpm.qty&gt;0)*(_xlpm.bal&gt;=_xlpm.qty)),1),"")))</f>
        <v/>
      </c>
      <c r="L299" s="348"/>
    </row>
    <row r="300" spans="1:12" ht="23" x14ac:dyDescent="0.25">
      <c r="A300" s="217" t="str" cm="1">
        <f t="array" ref="A300">IFERROR(INDEX(_xlfn.ANCHORARRAY($P$6),ROW()-5,1),"")</f>
        <v/>
      </c>
      <c r="B300" s="344" t="str" cm="1">
        <f t="array" ref="B300">IFERROR(INDEX(_xlfn.ANCHORARRAY($P$6),ROW()-5,2),"")</f>
        <v/>
      </c>
      <c r="C300" s="345" t="str">
        <f>IF($A300="","",IF($J300="DIESEL",SUMIFS(Table1[Quantity],Table1[Customer],$M$3,Table1[Date],$A300,Table1[Bill No.],$B300),IF($J300="PETROL",SUMIFS(Table14[Quantity],Table14[Customer],$M$3,Table14[Date],$A300,Table14[Bill No.],$B300),IF($J300="XtraGreen",SUMIFS(Table146[Quantity],Table146[Company],$M$3,Table146[Date],$A300,Table146[Bill No.],$B300),""))))</f>
        <v/>
      </c>
      <c r="D300" s="346" t="str">
        <f>IF($A300="","",IF($J300="DIESEL",AVERAGEIFS(Table1[RSP],Table1[Customer],$M$3,Table1[Date],$A300,Table1[Bill No.],$B300),IF($J300="PETROL",AVERAGEIFS(Table14[RSP],Table14[Customer],$M$3,Table14[Date],$A300,Table14[Bill No.],$B300),IF($J300="XtraGreen",AVERAGEIFS(Table146[RSP],Table146[Company],$M$3,Table146[Date],$A300,Table146[Bill No.],$B300),IFERROR($E300/$C300,"")))))</f>
        <v/>
      </c>
      <c r="E300" s="347" t="str">
        <f>IF($A300="","",IF($J300="DIESEL",SUMIFS(Table1[Amount],Table1[Customer],$M$3,Table1[Date],$A300,Table1[Bill No.],$B300),IF($J300="PETROL",SUMIFS(Table14[Amount],Table14[Customer],$M$3,Table14[Date],$A300,Table14[Bill No.],$B300),IF($J300="XtraGreen",SUMIFS(Table146[Amount],Table146[Company],$M$3,Table146[Date],$A300,Table146[Bill No.],$B300),SUMIFS('Other Sale'!$D:$D,'Other Sale'!$E:$E,$M$3,'Other Sale'!$C:$C,$J300,'Other Sale'!$A:$A,$A300)))))</f>
        <v/>
      </c>
      <c r="F300" s="347" t="str" cm="1">
        <f t="array" ref="F300">IF($A300="","",IF($J300="Payment",IFERROR(INDEX(_xlfn._xlws.FILTER(MasterPaid[Amount Paid],(MasterPaid[Customer]=$M$3)*(MasterPaid[Date]=$A300)),COUNTIFS($A$6:$A300,$A300,$J$6:$J300,"Payment")),0),0))</f>
        <v/>
      </c>
      <c r="G300" s="331"/>
      <c r="H300" s="427"/>
      <c r="I300" s="330" t="str">
        <f t="shared" si="14"/>
        <v/>
      </c>
      <c r="J300" s="344" t="str" cm="1">
        <f t="array" ref="J300">IFERROR(INDEX(_xlfn.ANCHORARRAY($P$6),ROW()-5,3),"")</f>
        <v/>
      </c>
      <c r="K300" s="432" t="str" cm="1">
        <f t="array" ref="K300">IF(OR($A300="",$J300&lt;&gt;"DIESEL"),"",_xlfn.LET(_xlpm.qty,N($C300),_xlpm.pos,$T$5:$T$54,_xlpm.alo,IF($U$5:$U$54="",0,$U$5:$U$54),_xlpm.usd,SUMIFS($C$6:$C299,$K$6:$K299,_xlpm.pos&amp;""),_xlpm.bal,_xlpm.alo-_xlpm.usd,IFERROR(INDEX(_xlfn._xlws.FILTER(_xlpm.pos,(_xlpm.pos&lt;&gt;"")*(_xlpm.qty&gt;0)*(_xlpm.bal&gt;=_xlpm.qty)),1),"")))</f>
        <v/>
      </c>
      <c r="L300" s="348"/>
    </row>
    <row r="301" spans="1:12" ht="23" x14ac:dyDescent="0.25">
      <c r="A301" s="217" t="str" cm="1">
        <f t="array" ref="A301">IFERROR(INDEX(_xlfn.ANCHORARRAY($P$6),ROW()-5,1),"")</f>
        <v/>
      </c>
      <c r="B301" s="344" t="str" cm="1">
        <f t="array" ref="B301">IFERROR(INDEX(_xlfn.ANCHORARRAY($P$6),ROW()-5,2),"")</f>
        <v/>
      </c>
      <c r="C301" s="345" t="str">
        <f>IF($A301="","",IF($J301="DIESEL",SUMIFS(Table1[Quantity],Table1[Customer],$M$3,Table1[Date],$A301,Table1[Bill No.],$B301),IF($J301="PETROL",SUMIFS(Table14[Quantity],Table14[Customer],$M$3,Table14[Date],$A301,Table14[Bill No.],$B301),IF($J301="XtraGreen",SUMIFS(Table146[Quantity],Table146[Company],$M$3,Table146[Date],$A301,Table146[Bill No.],$B301),""))))</f>
        <v/>
      </c>
      <c r="D301" s="346" t="str">
        <f>IF($A301="","",IF($J301="DIESEL",AVERAGEIFS(Table1[RSP],Table1[Customer],$M$3,Table1[Date],$A301,Table1[Bill No.],$B301),IF($J301="PETROL",AVERAGEIFS(Table14[RSP],Table14[Customer],$M$3,Table14[Date],$A301,Table14[Bill No.],$B301),IF($J301="XtraGreen",AVERAGEIFS(Table146[RSP],Table146[Company],$M$3,Table146[Date],$A301,Table146[Bill No.],$B301),IFERROR($E301/$C301,"")))))</f>
        <v/>
      </c>
      <c r="E301" s="347" t="str">
        <f>IF($A301="","",IF($J301="DIESEL",SUMIFS(Table1[Amount],Table1[Customer],$M$3,Table1[Date],$A301,Table1[Bill No.],$B301),IF($J301="PETROL",SUMIFS(Table14[Amount],Table14[Customer],$M$3,Table14[Date],$A301,Table14[Bill No.],$B301),IF($J301="XtraGreen",SUMIFS(Table146[Amount],Table146[Company],$M$3,Table146[Date],$A301,Table146[Bill No.],$B301),SUMIFS('Other Sale'!$D:$D,'Other Sale'!$E:$E,$M$3,'Other Sale'!$C:$C,$J301,'Other Sale'!$A:$A,$A301)))))</f>
        <v/>
      </c>
      <c r="F301" s="347" t="str" cm="1">
        <f t="array" ref="F301">IF($A301="","",IF($J301="Payment",IFERROR(INDEX(_xlfn._xlws.FILTER(MasterPaid[Amount Paid],(MasterPaid[Customer]=$M$3)*(MasterPaid[Date]=$A301)),COUNTIFS($A$6:$A301,$A301,$J$6:$J301,"Payment")),0),0))</f>
        <v/>
      </c>
      <c r="G301" s="331"/>
      <c r="H301" s="427"/>
      <c r="I301" s="330" t="str">
        <f t="shared" si="14"/>
        <v/>
      </c>
      <c r="J301" s="344" t="str" cm="1">
        <f t="array" ref="J301">IFERROR(INDEX(_xlfn.ANCHORARRAY($P$6),ROW()-5,3),"")</f>
        <v/>
      </c>
      <c r="K301" s="432" t="str" cm="1">
        <f t="array" ref="K301">IF(OR($A301="",$J301&lt;&gt;"DIESEL"),"",_xlfn.LET(_xlpm.qty,N($C301),_xlpm.pos,$T$5:$T$54,_xlpm.alo,IF($U$5:$U$54="",0,$U$5:$U$54),_xlpm.usd,SUMIFS($C$6:$C300,$K$6:$K300,_xlpm.pos&amp;""),_xlpm.bal,_xlpm.alo-_xlpm.usd,IFERROR(INDEX(_xlfn._xlws.FILTER(_xlpm.pos,(_xlpm.pos&lt;&gt;"")*(_xlpm.qty&gt;0)*(_xlpm.bal&gt;=_xlpm.qty)),1),"")))</f>
        <v/>
      </c>
      <c r="L301" s="348"/>
    </row>
    <row r="302" spans="1:12" ht="23" x14ac:dyDescent="0.25">
      <c r="A302" s="217" t="str" cm="1">
        <f t="array" ref="A302">IFERROR(INDEX(_xlfn.ANCHORARRAY($P$6),ROW()-5,1),"")</f>
        <v/>
      </c>
      <c r="B302" s="344" t="str" cm="1">
        <f t="array" ref="B302">IFERROR(INDEX(_xlfn.ANCHORARRAY($P$6),ROW()-5,2),"")</f>
        <v/>
      </c>
      <c r="C302" s="345" t="str">
        <f>IF($A302="","",IF($J302="DIESEL",SUMIFS(Table1[Quantity],Table1[Customer],$M$3,Table1[Date],$A302,Table1[Bill No.],$B302),IF($J302="PETROL",SUMIFS(Table14[Quantity],Table14[Customer],$M$3,Table14[Date],$A302,Table14[Bill No.],$B302),IF($J302="XtraGreen",SUMIFS(Table146[Quantity],Table146[Company],$M$3,Table146[Date],$A302,Table146[Bill No.],$B302),""))))</f>
        <v/>
      </c>
      <c r="D302" s="346" t="str">
        <f>IF($A302="","",IF($J302="DIESEL",AVERAGEIFS(Table1[RSP],Table1[Customer],$M$3,Table1[Date],$A302,Table1[Bill No.],$B302),IF($J302="PETROL",AVERAGEIFS(Table14[RSP],Table14[Customer],$M$3,Table14[Date],$A302,Table14[Bill No.],$B302),IF($J302="XtraGreen",AVERAGEIFS(Table146[RSP],Table146[Company],$M$3,Table146[Date],$A302,Table146[Bill No.],$B302),IFERROR($E302/$C302,"")))))</f>
        <v/>
      </c>
      <c r="E302" s="347" t="str">
        <f>IF($A302="","",IF($J302="DIESEL",SUMIFS(Table1[Amount],Table1[Customer],$M$3,Table1[Date],$A302,Table1[Bill No.],$B302),IF($J302="PETROL",SUMIFS(Table14[Amount],Table14[Customer],$M$3,Table14[Date],$A302,Table14[Bill No.],$B302),IF($J302="XtraGreen",SUMIFS(Table146[Amount],Table146[Company],$M$3,Table146[Date],$A302,Table146[Bill No.],$B302),SUMIFS('Other Sale'!$D:$D,'Other Sale'!$E:$E,$M$3,'Other Sale'!$C:$C,$J302,'Other Sale'!$A:$A,$A302)))))</f>
        <v/>
      </c>
      <c r="F302" s="347" t="str" cm="1">
        <f t="array" ref="F302">IF($A302="","",IF($J302="Payment",IFERROR(INDEX(_xlfn._xlws.FILTER(MasterPaid[Amount Paid],(MasterPaid[Customer]=$M$3)*(MasterPaid[Date]=$A302)),COUNTIFS($A$6:$A302,$A302,$J$6:$J302,"Payment")),0),0))</f>
        <v/>
      </c>
      <c r="G302" s="331"/>
      <c r="H302" s="427"/>
      <c r="I302" s="330" t="str">
        <f t="shared" si="14"/>
        <v/>
      </c>
      <c r="J302" s="344" t="str" cm="1">
        <f t="array" ref="J302">IFERROR(INDEX(_xlfn.ANCHORARRAY($P$6),ROW()-5,3),"")</f>
        <v/>
      </c>
      <c r="K302" s="432" t="str" cm="1">
        <f t="array" ref="K302">IF(OR($A302="",$J302&lt;&gt;"DIESEL"),"",_xlfn.LET(_xlpm.qty,N($C302),_xlpm.pos,$T$5:$T$54,_xlpm.alo,IF($U$5:$U$54="",0,$U$5:$U$54),_xlpm.usd,SUMIFS($C$6:$C301,$K$6:$K301,_xlpm.pos&amp;""),_xlpm.bal,_xlpm.alo-_xlpm.usd,IFERROR(INDEX(_xlfn._xlws.FILTER(_xlpm.pos,(_xlpm.pos&lt;&gt;"")*(_xlpm.qty&gt;0)*(_xlpm.bal&gt;=_xlpm.qty)),1),"")))</f>
        <v/>
      </c>
      <c r="L302" s="348"/>
    </row>
    <row r="303" spans="1:12" ht="23" x14ac:dyDescent="0.25">
      <c r="A303" s="217" t="str" cm="1">
        <f t="array" ref="A303">IFERROR(INDEX(_xlfn.ANCHORARRAY($P$6),ROW()-5,1),"")</f>
        <v/>
      </c>
      <c r="B303" s="344" t="str" cm="1">
        <f t="array" ref="B303">IFERROR(INDEX(_xlfn.ANCHORARRAY($P$6),ROW()-5,2),"")</f>
        <v/>
      </c>
      <c r="C303" s="345" t="str">
        <f>IF($A303="","",IF($J303="DIESEL",SUMIFS(Table1[Quantity],Table1[Customer],$M$3,Table1[Date],$A303,Table1[Bill No.],$B303),IF($J303="PETROL",SUMIFS(Table14[Quantity],Table14[Customer],$M$3,Table14[Date],$A303,Table14[Bill No.],$B303),IF($J303="XtraGreen",SUMIFS(Table146[Quantity],Table146[Company],$M$3,Table146[Date],$A303,Table146[Bill No.],$B303),""))))</f>
        <v/>
      </c>
      <c r="D303" s="346" t="str">
        <f>IF($A303="","",IF($J303="DIESEL",AVERAGEIFS(Table1[RSP],Table1[Customer],$M$3,Table1[Date],$A303,Table1[Bill No.],$B303),IF($J303="PETROL",AVERAGEIFS(Table14[RSP],Table14[Customer],$M$3,Table14[Date],$A303,Table14[Bill No.],$B303),IF($J303="XtraGreen",AVERAGEIFS(Table146[RSP],Table146[Company],$M$3,Table146[Date],$A303,Table146[Bill No.],$B303),IFERROR($E303/$C303,"")))))</f>
        <v/>
      </c>
      <c r="E303" s="347" t="str">
        <f>IF($A303="","",IF($J303="DIESEL",SUMIFS(Table1[Amount],Table1[Customer],$M$3,Table1[Date],$A303,Table1[Bill No.],$B303),IF($J303="PETROL",SUMIFS(Table14[Amount],Table14[Customer],$M$3,Table14[Date],$A303,Table14[Bill No.],$B303),IF($J303="XtraGreen",SUMIFS(Table146[Amount],Table146[Company],$M$3,Table146[Date],$A303,Table146[Bill No.],$B303),SUMIFS('Other Sale'!$D:$D,'Other Sale'!$E:$E,$M$3,'Other Sale'!$C:$C,$J303,'Other Sale'!$A:$A,$A303)))))</f>
        <v/>
      </c>
      <c r="F303" s="347" t="str" cm="1">
        <f t="array" ref="F303">IF($A303="","",IF($J303="Payment",IFERROR(INDEX(_xlfn._xlws.FILTER(MasterPaid[Amount Paid],(MasterPaid[Customer]=$M$3)*(MasterPaid[Date]=$A303)),COUNTIFS($A$6:$A303,$A303,$J$6:$J303,"Payment")),0),0))</f>
        <v/>
      </c>
      <c r="G303" s="331"/>
      <c r="H303" s="427"/>
      <c r="I303" s="330" t="str">
        <f t="shared" si="14"/>
        <v/>
      </c>
      <c r="J303" s="344" t="str" cm="1">
        <f t="array" ref="J303">IFERROR(INDEX(_xlfn.ANCHORARRAY($P$6),ROW()-5,3),"")</f>
        <v/>
      </c>
      <c r="K303" s="432" t="str" cm="1">
        <f t="array" ref="K303">IF(OR($A303="",$J303&lt;&gt;"DIESEL"),"",_xlfn.LET(_xlpm.qty,N($C303),_xlpm.pos,$T$5:$T$54,_xlpm.alo,IF($U$5:$U$54="",0,$U$5:$U$54),_xlpm.usd,SUMIFS($C$6:$C302,$K$6:$K302,_xlpm.pos&amp;""),_xlpm.bal,_xlpm.alo-_xlpm.usd,IFERROR(INDEX(_xlfn._xlws.FILTER(_xlpm.pos,(_xlpm.pos&lt;&gt;"")*(_xlpm.qty&gt;0)*(_xlpm.bal&gt;=_xlpm.qty)),1),"")))</f>
        <v/>
      </c>
      <c r="L303" s="348"/>
    </row>
    <row r="304" spans="1:12" ht="23" x14ac:dyDescent="0.25">
      <c r="A304" s="217" t="str" cm="1">
        <f t="array" ref="A304">IFERROR(INDEX(_xlfn.ANCHORARRAY($P$6),ROW()-5,1),"")</f>
        <v/>
      </c>
      <c r="B304" s="344" t="str" cm="1">
        <f t="array" ref="B304">IFERROR(INDEX(_xlfn.ANCHORARRAY($P$6),ROW()-5,2),"")</f>
        <v/>
      </c>
      <c r="C304" s="345" t="str">
        <f>IF($A304="","",IF($J304="DIESEL",SUMIFS(Table1[Quantity],Table1[Customer],$M$3,Table1[Date],$A304,Table1[Bill No.],$B304),IF($J304="PETROL",SUMIFS(Table14[Quantity],Table14[Customer],$M$3,Table14[Date],$A304,Table14[Bill No.],$B304),IF($J304="XtraGreen",SUMIFS(Table146[Quantity],Table146[Company],$M$3,Table146[Date],$A304,Table146[Bill No.],$B304),""))))</f>
        <v/>
      </c>
      <c r="D304" s="346" t="str">
        <f>IF($A304="","",IF($J304="DIESEL",AVERAGEIFS(Table1[RSP],Table1[Customer],$M$3,Table1[Date],$A304,Table1[Bill No.],$B304),IF($J304="PETROL",AVERAGEIFS(Table14[RSP],Table14[Customer],$M$3,Table14[Date],$A304,Table14[Bill No.],$B304),IF($J304="XtraGreen",AVERAGEIFS(Table146[RSP],Table146[Company],$M$3,Table146[Date],$A304,Table146[Bill No.],$B304),IFERROR($E304/$C304,"")))))</f>
        <v/>
      </c>
      <c r="E304" s="347" t="str">
        <f>IF($A304="","",IF($J304="DIESEL",SUMIFS(Table1[Amount],Table1[Customer],$M$3,Table1[Date],$A304,Table1[Bill No.],$B304),IF($J304="PETROL",SUMIFS(Table14[Amount],Table14[Customer],$M$3,Table14[Date],$A304,Table14[Bill No.],$B304),IF($J304="XtraGreen",SUMIFS(Table146[Amount],Table146[Company],$M$3,Table146[Date],$A304,Table146[Bill No.],$B304),SUMIFS('Other Sale'!$D:$D,'Other Sale'!$E:$E,$M$3,'Other Sale'!$C:$C,$J304,'Other Sale'!$A:$A,$A304)))))</f>
        <v/>
      </c>
      <c r="F304" s="347" t="str" cm="1">
        <f t="array" ref="F304">IF($A304="","",IF($J304="Payment",IFERROR(INDEX(_xlfn._xlws.FILTER(MasterPaid[Amount Paid],(MasterPaid[Customer]=$M$3)*(MasterPaid[Date]=$A304)),COUNTIFS($A$6:$A304,$A304,$J$6:$J304,"Payment")),0),0))</f>
        <v/>
      </c>
      <c r="G304" s="331"/>
      <c r="H304" s="427"/>
      <c r="I304" s="330" t="str">
        <f t="shared" si="14"/>
        <v/>
      </c>
      <c r="J304" s="344" t="str" cm="1">
        <f t="array" ref="J304">IFERROR(INDEX(_xlfn.ANCHORARRAY($P$6),ROW()-5,3),"")</f>
        <v/>
      </c>
      <c r="K304" s="432" t="str" cm="1">
        <f t="array" ref="K304">IF(OR($A304="",$J304&lt;&gt;"DIESEL"),"",_xlfn.LET(_xlpm.qty,N($C304),_xlpm.pos,$T$5:$T$54,_xlpm.alo,IF($U$5:$U$54="",0,$U$5:$U$54),_xlpm.usd,SUMIFS($C$6:$C303,$K$6:$K303,_xlpm.pos&amp;""),_xlpm.bal,_xlpm.alo-_xlpm.usd,IFERROR(INDEX(_xlfn._xlws.FILTER(_xlpm.pos,(_xlpm.pos&lt;&gt;"")*(_xlpm.qty&gt;0)*(_xlpm.bal&gt;=_xlpm.qty)),1),"")))</f>
        <v/>
      </c>
      <c r="L304" s="348"/>
    </row>
    <row r="305" spans="1:12" ht="23" x14ac:dyDescent="0.25">
      <c r="A305" s="217" t="str" cm="1">
        <f t="array" ref="A305">IFERROR(INDEX(_xlfn.ANCHORARRAY($P$6),ROW()-5,1),"")</f>
        <v/>
      </c>
      <c r="B305" s="344" t="str" cm="1">
        <f t="array" ref="B305">IFERROR(INDEX(_xlfn.ANCHORARRAY($P$6),ROW()-5,2),"")</f>
        <v/>
      </c>
      <c r="C305" s="345" t="str">
        <f>IF($A305="","",IF($J305="DIESEL",SUMIFS(Table1[Quantity],Table1[Customer],$M$3,Table1[Date],$A305,Table1[Bill No.],$B305),IF($J305="PETROL",SUMIFS(Table14[Quantity],Table14[Customer],$M$3,Table14[Date],$A305,Table14[Bill No.],$B305),IF($J305="XtraGreen",SUMIFS(Table146[Quantity],Table146[Company],$M$3,Table146[Date],$A305,Table146[Bill No.],$B305),""))))</f>
        <v/>
      </c>
      <c r="D305" s="346" t="str">
        <f>IF($A305="","",IF($J305="DIESEL",AVERAGEIFS(Table1[RSP],Table1[Customer],$M$3,Table1[Date],$A305,Table1[Bill No.],$B305),IF($J305="PETROL",AVERAGEIFS(Table14[RSP],Table14[Customer],$M$3,Table14[Date],$A305,Table14[Bill No.],$B305),IF($J305="XtraGreen",AVERAGEIFS(Table146[RSP],Table146[Company],$M$3,Table146[Date],$A305,Table146[Bill No.],$B305),IFERROR($E305/$C305,"")))))</f>
        <v/>
      </c>
      <c r="E305" s="347" t="str">
        <f>IF($A305="","",IF($J305="DIESEL",SUMIFS(Table1[Amount],Table1[Customer],$M$3,Table1[Date],$A305,Table1[Bill No.],$B305),IF($J305="PETROL",SUMIFS(Table14[Amount],Table14[Customer],$M$3,Table14[Date],$A305,Table14[Bill No.],$B305),IF($J305="XtraGreen",SUMIFS(Table146[Amount],Table146[Company],$M$3,Table146[Date],$A305,Table146[Bill No.],$B305),SUMIFS('Other Sale'!$D:$D,'Other Sale'!$E:$E,$M$3,'Other Sale'!$C:$C,$J305,'Other Sale'!$A:$A,$A305)))))</f>
        <v/>
      </c>
      <c r="F305" s="347" t="str" cm="1">
        <f t="array" ref="F305">IF($A305="","",IF($J305="Payment",IFERROR(INDEX(_xlfn._xlws.FILTER(MasterPaid[Amount Paid],(MasterPaid[Customer]=$M$3)*(MasterPaid[Date]=$A305)),COUNTIFS($A$6:$A305,$A305,$J$6:$J305,"Payment")),0),0))</f>
        <v/>
      </c>
      <c r="G305" s="331"/>
      <c r="H305" s="427"/>
      <c r="I305" s="330" t="str">
        <f t="shared" si="14"/>
        <v/>
      </c>
      <c r="J305" s="344" t="str" cm="1">
        <f t="array" ref="J305">IFERROR(INDEX(_xlfn.ANCHORARRAY($P$6),ROW()-5,3),"")</f>
        <v/>
      </c>
      <c r="K305" s="432" t="str" cm="1">
        <f t="array" ref="K305">IF(OR($A305="",$J305&lt;&gt;"DIESEL"),"",_xlfn.LET(_xlpm.qty,N($C305),_xlpm.pos,$T$5:$T$54,_xlpm.alo,IF($U$5:$U$54="",0,$U$5:$U$54),_xlpm.usd,SUMIFS($C$6:$C304,$K$6:$K304,_xlpm.pos&amp;""),_xlpm.bal,_xlpm.alo-_xlpm.usd,IFERROR(INDEX(_xlfn._xlws.FILTER(_xlpm.pos,(_xlpm.pos&lt;&gt;"")*(_xlpm.qty&gt;0)*(_xlpm.bal&gt;=_xlpm.qty)),1),"")))</f>
        <v/>
      </c>
      <c r="L305" s="348"/>
    </row>
    <row r="306" spans="1:12" ht="23" x14ac:dyDescent="0.25">
      <c r="A306" s="217" t="str" cm="1">
        <f t="array" ref="A306">IFERROR(INDEX(_xlfn.ANCHORARRAY($P$6),ROW()-5,1),"")</f>
        <v/>
      </c>
      <c r="B306" s="344" t="str" cm="1">
        <f t="array" ref="B306">IFERROR(INDEX(_xlfn.ANCHORARRAY($P$6),ROW()-5,2),"")</f>
        <v/>
      </c>
      <c r="C306" s="345" t="str">
        <f>IF($A306="","",IF($J306="DIESEL",SUMIFS(Table1[Quantity],Table1[Customer],$M$3,Table1[Date],$A306,Table1[Bill No.],$B306),IF($J306="PETROL",SUMIFS(Table14[Quantity],Table14[Customer],$M$3,Table14[Date],$A306,Table14[Bill No.],$B306),IF($J306="XtraGreen",SUMIFS(Table146[Quantity],Table146[Company],$M$3,Table146[Date],$A306,Table146[Bill No.],$B306),""))))</f>
        <v/>
      </c>
      <c r="D306" s="346" t="str">
        <f>IF($A306="","",IF($J306="DIESEL",AVERAGEIFS(Table1[RSP],Table1[Customer],$M$3,Table1[Date],$A306,Table1[Bill No.],$B306),IF($J306="PETROL",AVERAGEIFS(Table14[RSP],Table14[Customer],$M$3,Table14[Date],$A306,Table14[Bill No.],$B306),IF($J306="XtraGreen",AVERAGEIFS(Table146[RSP],Table146[Company],$M$3,Table146[Date],$A306,Table146[Bill No.],$B306),IFERROR($E306/$C306,"")))))</f>
        <v/>
      </c>
      <c r="E306" s="347" t="str">
        <f>IF($A306="","",IF($J306="DIESEL",SUMIFS(Table1[Amount],Table1[Customer],$M$3,Table1[Date],$A306,Table1[Bill No.],$B306),IF($J306="PETROL",SUMIFS(Table14[Amount],Table14[Customer],$M$3,Table14[Date],$A306,Table14[Bill No.],$B306),IF($J306="XtraGreen",SUMIFS(Table146[Amount],Table146[Company],$M$3,Table146[Date],$A306,Table146[Bill No.],$B306),SUMIFS('Other Sale'!$D:$D,'Other Sale'!$E:$E,$M$3,'Other Sale'!$C:$C,$J306,'Other Sale'!$A:$A,$A306)))))</f>
        <v/>
      </c>
      <c r="F306" s="347" t="str" cm="1">
        <f t="array" ref="F306">IF($A306="","",IF($J306="Payment",IFERROR(INDEX(_xlfn._xlws.FILTER(MasterPaid[Amount Paid],(MasterPaid[Customer]=$M$3)*(MasterPaid[Date]=$A306)),COUNTIFS($A$6:$A306,$A306,$J$6:$J306,"Payment")),0),0))</f>
        <v/>
      </c>
      <c r="G306" s="331"/>
      <c r="H306" s="427"/>
      <c r="I306" s="330" t="str">
        <f t="shared" si="14"/>
        <v/>
      </c>
      <c r="J306" s="344" t="str" cm="1">
        <f t="array" ref="J306">IFERROR(INDEX(_xlfn.ANCHORARRAY($P$6),ROW()-5,3),"")</f>
        <v/>
      </c>
      <c r="K306" s="432" t="str" cm="1">
        <f t="array" ref="K306">IF(OR($A306="",$J306&lt;&gt;"DIESEL"),"",_xlfn.LET(_xlpm.qty,N($C306),_xlpm.pos,$T$5:$T$54,_xlpm.alo,IF($U$5:$U$54="",0,$U$5:$U$54),_xlpm.usd,SUMIFS($C$6:$C305,$K$6:$K305,_xlpm.pos&amp;""),_xlpm.bal,_xlpm.alo-_xlpm.usd,IFERROR(INDEX(_xlfn._xlws.FILTER(_xlpm.pos,(_xlpm.pos&lt;&gt;"")*(_xlpm.qty&gt;0)*(_xlpm.bal&gt;=_xlpm.qty)),1),"")))</f>
        <v/>
      </c>
      <c r="L306" s="348"/>
    </row>
    <row r="307" spans="1:12" ht="23" x14ac:dyDescent="0.25">
      <c r="A307" s="217" t="str" cm="1">
        <f t="array" ref="A307">IFERROR(INDEX(_xlfn.ANCHORARRAY($P$6),ROW()-5,1),"")</f>
        <v/>
      </c>
      <c r="B307" s="344" t="str" cm="1">
        <f t="array" ref="B307">IFERROR(INDEX(_xlfn.ANCHORARRAY($P$6),ROW()-5,2),"")</f>
        <v/>
      </c>
      <c r="C307" s="345" t="str">
        <f>IF($A307="","",IF($J307="DIESEL",SUMIFS(Table1[Quantity],Table1[Customer],$M$3,Table1[Date],$A307,Table1[Bill No.],$B307),IF($J307="PETROL",SUMIFS(Table14[Quantity],Table14[Customer],$M$3,Table14[Date],$A307,Table14[Bill No.],$B307),IF($J307="XtraGreen",SUMIFS(Table146[Quantity],Table146[Company],$M$3,Table146[Date],$A307,Table146[Bill No.],$B307),""))))</f>
        <v/>
      </c>
      <c r="D307" s="346" t="str">
        <f>IF($A307="","",IF($J307="DIESEL",AVERAGEIFS(Table1[RSP],Table1[Customer],$M$3,Table1[Date],$A307,Table1[Bill No.],$B307),IF($J307="PETROL",AVERAGEIFS(Table14[RSP],Table14[Customer],$M$3,Table14[Date],$A307,Table14[Bill No.],$B307),IF($J307="XtraGreen",AVERAGEIFS(Table146[RSP],Table146[Company],$M$3,Table146[Date],$A307,Table146[Bill No.],$B307),IFERROR($E307/$C307,"")))))</f>
        <v/>
      </c>
      <c r="E307" s="347" t="str">
        <f>IF($A307="","",IF($J307="DIESEL",SUMIFS(Table1[Amount],Table1[Customer],$M$3,Table1[Date],$A307,Table1[Bill No.],$B307),IF($J307="PETROL",SUMIFS(Table14[Amount],Table14[Customer],$M$3,Table14[Date],$A307,Table14[Bill No.],$B307),IF($J307="XtraGreen",SUMIFS(Table146[Amount],Table146[Company],$M$3,Table146[Date],$A307,Table146[Bill No.],$B307),SUMIFS('Other Sale'!$D:$D,'Other Sale'!$E:$E,$M$3,'Other Sale'!$C:$C,$J307,'Other Sale'!$A:$A,$A307)))))</f>
        <v/>
      </c>
      <c r="F307" s="347" t="str" cm="1">
        <f t="array" ref="F307">IF($A307="","",IF($J307="Payment",IFERROR(INDEX(_xlfn._xlws.FILTER(MasterPaid[Amount Paid],(MasterPaid[Customer]=$M$3)*(MasterPaid[Date]=$A307)),COUNTIFS($A$6:$A307,$A307,$J$6:$J307,"Payment")),0),0))</f>
        <v/>
      </c>
      <c r="G307" s="331"/>
      <c r="H307" s="427"/>
      <c r="I307" s="330" t="str">
        <f t="shared" si="14"/>
        <v/>
      </c>
      <c r="J307" s="344" t="str" cm="1">
        <f t="array" ref="J307">IFERROR(INDEX(_xlfn.ANCHORARRAY($P$6),ROW()-5,3),"")</f>
        <v/>
      </c>
      <c r="K307" s="432" t="str" cm="1">
        <f t="array" ref="K307">IF(OR($A307="",$J307&lt;&gt;"DIESEL"),"",_xlfn.LET(_xlpm.qty,N($C307),_xlpm.pos,$T$5:$T$54,_xlpm.alo,IF($U$5:$U$54="",0,$U$5:$U$54),_xlpm.usd,SUMIFS($C$6:$C306,$K$6:$K306,_xlpm.pos&amp;""),_xlpm.bal,_xlpm.alo-_xlpm.usd,IFERROR(INDEX(_xlfn._xlws.FILTER(_xlpm.pos,(_xlpm.pos&lt;&gt;"")*(_xlpm.qty&gt;0)*(_xlpm.bal&gt;=_xlpm.qty)),1),"")))</f>
        <v/>
      </c>
      <c r="L307" s="348"/>
    </row>
    <row r="308" spans="1:12" ht="23" x14ac:dyDescent="0.25">
      <c r="A308" s="217" t="str" cm="1">
        <f t="array" ref="A308">IFERROR(INDEX(_xlfn.ANCHORARRAY($P$6),ROW()-5,1),"")</f>
        <v/>
      </c>
      <c r="B308" s="344" t="str" cm="1">
        <f t="array" ref="B308">IFERROR(INDEX(_xlfn.ANCHORARRAY($P$6),ROW()-5,2),"")</f>
        <v/>
      </c>
      <c r="C308" s="345" t="str">
        <f>IF($A308="","",IF($J308="DIESEL",SUMIFS(Table1[Quantity],Table1[Customer],$M$3,Table1[Date],$A308,Table1[Bill No.],$B308),IF($J308="PETROL",SUMIFS(Table14[Quantity],Table14[Customer],$M$3,Table14[Date],$A308,Table14[Bill No.],$B308),IF($J308="XtraGreen",SUMIFS(Table146[Quantity],Table146[Company],$M$3,Table146[Date],$A308,Table146[Bill No.],$B308),""))))</f>
        <v/>
      </c>
      <c r="D308" s="346" t="str">
        <f>IF($A308="","",IF($J308="DIESEL",AVERAGEIFS(Table1[RSP],Table1[Customer],$M$3,Table1[Date],$A308,Table1[Bill No.],$B308),IF($J308="PETROL",AVERAGEIFS(Table14[RSP],Table14[Customer],$M$3,Table14[Date],$A308,Table14[Bill No.],$B308),IF($J308="XtraGreen",AVERAGEIFS(Table146[RSP],Table146[Company],$M$3,Table146[Date],$A308,Table146[Bill No.],$B308),IFERROR($E308/$C308,"")))))</f>
        <v/>
      </c>
      <c r="E308" s="347" t="str">
        <f>IF($A308="","",IF($J308="DIESEL",SUMIFS(Table1[Amount],Table1[Customer],$M$3,Table1[Date],$A308,Table1[Bill No.],$B308),IF($J308="PETROL",SUMIFS(Table14[Amount],Table14[Customer],$M$3,Table14[Date],$A308,Table14[Bill No.],$B308),IF($J308="XtraGreen",SUMIFS(Table146[Amount],Table146[Company],$M$3,Table146[Date],$A308,Table146[Bill No.],$B308),SUMIFS('Other Sale'!$D:$D,'Other Sale'!$E:$E,$M$3,'Other Sale'!$C:$C,$J308,'Other Sale'!$A:$A,$A308)))))</f>
        <v/>
      </c>
      <c r="F308" s="347" t="str" cm="1">
        <f t="array" ref="F308">IF($A308="","",IF($J308="Payment",IFERROR(INDEX(_xlfn._xlws.FILTER(MasterPaid[Amount Paid],(MasterPaid[Customer]=$M$3)*(MasterPaid[Date]=$A308)),COUNTIFS($A$6:$A308,$A308,$J$6:$J308,"Payment")),0),0))</f>
        <v/>
      </c>
      <c r="G308" s="331"/>
      <c r="H308" s="427"/>
      <c r="I308" s="330" t="str">
        <f t="shared" si="14"/>
        <v/>
      </c>
      <c r="J308" s="344" t="str" cm="1">
        <f t="array" ref="J308">IFERROR(INDEX(_xlfn.ANCHORARRAY($P$6),ROW()-5,3),"")</f>
        <v/>
      </c>
      <c r="K308" s="432" t="str" cm="1">
        <f t="array" ref="K308">IF(OR($A308="",$J308&lt;&gt;"DIESEL"),"",_xlfn.LET(_xlpm.qty,N($C308),_xlpm.pos,$T$5:$T$54,_xlpm.alo,IF($U$5:$U$54="",0,$U$5:$U$54),_xlpm.usd,SUMIFS($C$6:$C307,$K$6:$K307,_xlpm.pos&amp;""),_xlpm.bal,_xlpm.alo-_xlpm.usd,IFERROR(INDEX(_xlfn._xlws.FILTER(_xlpm.pos,(_xlpm.pos&lt;&gt;"")*(_xlpm.qty&gt;0)*(_xlpm.bal&gt;=_xlpm.qty)),1),"")))</f>
        <v/>
      </c>
      <c r="L308" s="348"/>
    </row>
    <row r="309" spans="1:12" ht="23" x14ac:dyDescent="0.25">
      <c r="A309" s="217" t="str" cm="1">
        <f t="array" ref="A309">IFERROR(INDEX(_xlfn.ANCHORARRAY($P$6),ROW()-5,1),"")</f>
        <v/>
      </c>
      <c r="B309" s="344" t="str" cm="1">
        <f t="array" ref="B309">IFERROR(INDEX(_xlfn.ANCHORARRAY($P$6),ROW()-5,2),"")</f>
        <v/>
      </c>
      <c r="C309" s="345" t="str">
        <f>IF($A309="","",IF($J309="DIESEL",SUMIFS(Table1[Quantity],Table1[Customer],$M$3,Table1[Date],$A309,Table1[Bill No.],$B309),IF($J309="PETROL",SUMIFS(Table14[Quantity],Table14[Customer],$M$3,Table14[Date],$A309,Table14[Bill No.],$B309),IF($J309="XtraGreen",SUMIFS(Table146[Quantity],Table146[Company],$M$3,Table146[Date],$A309,Table146[Bill No.],$B309),""))))</f>
        <v/>
      </c>
      <c r="D309" s="346" t="str">
        <f>IF($A309="","",IF($J309="DIESEL",AVERAGEIFS(Table1[RSP],Table1[Customer],$M$3,Table1[Date],$A309,Table1[Bill No.],$B309),IF($J309="PETROL",AVERAGEIFS(Table14[RSP],Table14[Customer],$M$3,Table14[Date],$A309,Table14[Bill No.],$B309),IF($J309="XtraGreen",AVERAGEIFS(Table146[RSP],Table146[Company],$M$3,Table146[Date],$A309,Table146[Bill No.],$B309),IFERROR($E309/$C309,"")))))</f>
        <v/>
      </c>
      <c r="E309" s="347" t="str">
        <f>IF($A309="","",IF($J309="DIESEL",SUMIFS(Table1[Amount],Table1[Customer],$M$3,Table1[Date],$A309,Table1[Bill No.],$B309),IF($J309="PETROL",SUMIFS(Table14[Amount],Table14[Customer],$M$3,Table14[Date],$A309,Table14[Bill No.],$B309),IF($J309="XtraGreen",SUMIFS(Table146[Amount],Table146[Company],$M$3,Table146[Date],$A309,Table146[Bill No.],$B309),SUMIFS('Other Sale'!$D:$D,'Other Sale'!$E:$E,$M$3,'Other Sale'!$C:$C,$J309,'Other Sale'!$A:$A,$A309)))))</f>
        <v/>
      </c>
      <c r="F309" s="347" t="str" cm="1">
        <f t="array" ref="F309">IF($A309="","",IF($J309="Payment",IFERROR(INDEX(_xlfn._xlws.FILTER(MasterPaid[Amount Paid],(MasterPaid[Customer]=$M$3)*(MasterPaid[Date]=$A309)),COUNTIFS($A$6:$A309,$A309,$J$6:$J309,"Payment")),0),0))</f>
        <v/>
      </c>
      <c r="G309" s="331"/>
      <c r="H309" s="427"/>
      <c r="I309" s="330" t="str">
        <f t="shared" si="14"/>
        <v/>
      </c>
      <c r="J309" s="344" t="str" cm="1">
        <f t="array" ref="J309">IFERROR(INDEX(_xlfn.ANCHORARRAY($P$6),ROW()-5,3),"")</f>
        <v/>
      </c>
      <c r="K309" s="432" t="str" cm="1">
        <f t="array" ref="K309">IF(OR($A309="",$J309&lt;&gt;"DIESEL"),"",_xlfn.LET(_xlpm.qty,N($C309),_xlpm.pos,$T$5:$T$54,_xlpm.alo,IF($U$5:$U$54="",0,$U$5:$U$54),_xlpm.usd,SUMIFS($C$6:$C308,$K$6:$K308,_xlpm.pos&amp;""),_xlpm.bal,_xlpm.alo-_xlpm.usd,IFERROR(INDEX(_xlfn._xlws.FILTER(_xlpm.pos,(_xlpm.pos&lt;&gt;"")*(_xlpm.qty&gt;0)*(_xlpm.bal&gt;=_xlpm.qty)),1),"")))</f>
        <v/>
      </c>
      <c r="L309" s="348"/>
    </row>
    <row r="310" spans="1:12" ht="23" x14ac:dyDescent="0.25">
      <c r="A310" s="217" t="str" cm="1">
        <f t="array" ref="A310">IFERROR(INDEX(_xlfn.ANCHORARRAY($P$6),ROW()-5,1),"")</f>
        <v/>
      </c>
      <c r="B310" s="344" t="str" cm="1">
        <f t="array" ref="B310">IFERROR(INDEX(_xlfn.ANCHORARRAY($P$6),ROW()-5,2),"")</f>
        <v/>
      </c>
      <c r="C310" s="345" t="str">
        <f>IF($A310="","",IF($J310="DIESEL",SUMIFS(Table1[Quantity],Table1[Customer],$M$3,Table1[Date],$A310,Table1[Bill No.],$B310),IF($J310="PETROL",SUMIFS(Table14[Quantity],Table14[Customer],$M$3,Table14[Date],$A310,Table14[Bill No.],$B310),IF($J310="XtraGreen",SUMIFS(Table146[Quantity],Table146[Company],$M$3,Table146[Date],$A310,Table146[Bill No.],$B310),""))))</f>
        <v/>
      </c>
      <c r="D310" s="346" t="str">
        <f>IF($A310="","",IF($J310="DIESEL",AVERAGEIFS(Table1[RSP],Table1[Customer],$M$3,Table1[Date],$A310,Table1[Bill No.],$B310),IF($J310="PETROL",AVERAGEIFS(Table14[RSP],Table14[Customer],$M$3,Table14[Date],$A310,Table14[Bill No.],$B310),IF($J310="XtraGreen",AVERAGEIFS(Table146[RSP],Table146[Company],$M$3,Table146[Date],$A310,Table146[Bill No.],$B310),IFERROR($E310/$C310,"")))))</f>
        <v/>
      </c>
      <c r="E310" s="347" t="str">
        <f>IF($A310="","",IF($J310="DIESEL",SUMIFS(Table1[Amount],Table1[Customer],$M$3,Table1[Date],$A310,Table1[Bill No.],$B310),IF($J310="PETROL",SUMIFS(Table14[Amount],Table14[Customer],$M$3,Table14[Date],$A310,Table14[Bill No.],$B310),IF($J310="XtraGreen",SUMIFS(Table146[Amount],Table146[Company],$M$3,Table146[Date],$A310,Table146[Bill No.],$B310),SUMIFS('Other Sale'!$D:$D,'Other Sale'!$E:$E,$M$3,'Other Sale'!$C:$C,$J310,'Other Sale'!$A:$A,$A310)))))</f>
        <v/>
      </c>
      <c r="F310" s="347" t="str" cm="1">
        <f t="array" ref="F310">IF($A310="","",IF($J310="Payment",IFERROR(INDEX(_xlfn._xlws.FILTER(MasterPaid[Amount Paid],(MasterPaid[Customer]=$M$3)*(MasterPaid[Date]=$A310)),COUNTIFS($A$6:$A310,$A310,$J$6:$J310,"Payment")),0),0))</f>
        <v/>
      </c>
      <c r="G310" s="331"/>
      <c r="H310" s="427"/>
      <c r="I310" s="330" t="str">
        <f t="shared" si="14"/>
        <v/>
      </c>
      <c r="J310" s="344" t="str" cm="1">
        <f t="array" ref="J310">IFERROR(INDEX(_xlfn.ANCHORARRAY($P$6),ROW()-5,3),"")</f>
        <v/>
      </c>
      <c r="K310" s="432" t="str" cm="1">
        <f t="array" ref="K310">IF(OR($A310="",$J310&lt;&gt;"DIESEL"),"",_xlfn.LET(_xlpm.qty,N($C310),_xlpm.pos,$T$5:$T$54,_xlpm.alo,IF($U$5:$U$54="",0,$U$5:$U$54),_xlpm.usd,SUMIFS($C$6:$C309,$K$6:$K309,_xlpm.pos&amp;""),_xlpm.bal,_xlpm.alo-_xlpm.usd,IFERROR(INDEX(_xlfn._xlws.FILTER(_xlpm.pos,(_xlpm.pos&lt;&gt;"")*(_xlpm.qty&gt;0)*(_xlpm.bal&gt;=_xlpm.qty)),1),"")))</f>
        <v/>
      </c>
      <c r="L310" s="348"/>
    </row>
    <row r="311" spans="1:12" ht="23" x14ac:dyDescent="0.25">
      <c r="A311" s="217" t="str" cm="1">
        <f t="array" ref="A311">IFERROR(INDEX(_xlfn.ANCHORARRAY($P$6),ROW()-5,1),"")</f>
        <v/>
      </c>
      <c r="B311" s="344" t="str" cm="1">
        <f t="array" ref="B311">IFERROR(INDEX(_xlfn.ANCHORARRAY($P$6),ROW()-5,2),"")</f>
        <v/>
      </c>
      <c r="C311" s="345" t="str">
        <f>IF($A311="","",IF($J311="DIESEL",SUMIFS(Table1[Quantity],Table1[Customer],$M$3,Table1[Date],$A311,Table1[Bill No.],$B311),IF($J311="PETROL",SUMIFS(Table14[Quantity],Table14[Customer],$M$3,Table14[Date],$A311,Table14[Bill No.],$B311),IF($J311="XtraGreen",SUMIFS(Table146[Quantity],Table146[Company],$M$3,Table146[Date],$A311,Table146[Bill No.],$B311),""))))</f>
        <v/>
      </c>
      <c r="D311" s="346" t="str">
        <f>IF($A311="","",IF($J311="DIESEL",AVERAGEIFS(Table1[RSP],Table1[Customer],$M$3,Table1[Date],$A311,Table1[Bill No.],$B311),IF($J311="PETROL",AVERAGEIFS(Table14[RSP],Table14[Customer],$M$3,Table14[Date],$A311,Table14[Bill No.],$B311),IF($J311="XtraGreen",AVERAGEIFS(Table146[RSP],Table146[Company],$M$3,Table146[Date],$A311,Table146[Bill No.],$B311),IFERROR($E311/$C311,"")))))</f>
        <v/>
      </c>
      <c r="E311" s="347" t="str">
        <f>IF($A311="","",IF($J311="DIESEL",SUMIFS(Table1[Amount],Table1[Customer],$M$3,Table1[Date],$A311,Table1[Bill No.],$B311),IF($J311="PETROL",SUMIFS(Table14[Amount],Table14[Customer],$M$3,Table14[Date],$A311,Table14[Bill No.],$B311),IF($J311="XtraGreen",SUMIFS(Table146[Amount],Table146[Company],$M$3,Table146[Date],$A311,Table146[Bill No.],$B311),SUMIFS('Other Sale'!$D:$D,'Other Sale'!$E:$E,$M$3,'Other Sale'!$C:$C,$J311,'Other Sale'!$A:$A,$A311)))))</f>
        <v/>
      </c>
      <c r="F311" s="347" t="str" cm="1">
        <f t="array" ref="F311">IF($A311="","",IF($J311="Payment",IFERROR(INDEX(_xlfn._xlws.FILTER(MasterPaid[Amount Paid],(MasterPaid[Customer]=$M$3)*(MasterPaid[Date]=$A311)),COUNTIFS($A$6:$A311,$A311,$J$6:$J311,"Payment")),0),0))</f>
        <v/>
      </c>
      <c r="G311" s="331"/>
      <c r="H311" s="427"/>
      <c r="I311" s="330" t="str">
        <f t="shared" si="14"/>
        <v/>
      </c>
      <c r="J311" s="344" t="str" cm="1">
        <f t="array" ref="J311">IFERROR(INDEX(_xlfn.ANCHORARRAY($P$6),ROW()-5,3),"")</f>
        <v/>
      </c>
      <c r="K311" s="432" t="str" cm="1">
        <f t="array" ref="K311">IF(OR($A311="",$J311&lt;&gt;"DIESEL"),"",_xlfn.LET(_xlpm.qty,N($C311),_xlpm.pos,$T$5:$T$54,_xlpm.alo,IF($U$5:$U$54="",0,$U$5:$U$54),_xlpm.usd,SUMIFS($C$6:$C310,$K$6:$K310,_xlpm.pos&amp;""),_xlpm.bal,_xlpm.alo-_xlpm.usd,IFERROR(INDEX(_xlfn._xlws.FILTER(_xlpm.pos,(_xlpm.pos&lt;&gt;"")*(_xlpm.qty&gt;0)*(_xlpm.bal&gt;=_xlpm.qty)),1),"")))</f>
        <v/>
      </c>
      <c r="L311" s="348"/>
    </row>
    <row r="312" spans="1:12" ht="23" x14ac:dyDescent="0.25">
      <c r="A312" s="217" t="str" cm="1">
        <f t="array" ref="A312">IFERROR(INDEX(_xlfn.ANCHORARRAY($P$6),ROW()-5,1),"")</f>
        <v/>
      </c>
      <c r="B312" s="344" t="str" cm="1">
        <f t="array" ref="B312">IFERROR(INDEX(_xlfn.ANCHORARRAY($P$6),ROW()-5,2),"")</f>
        <v/>
      </c>
      <c r="C312" s="345" t="str">
        <f>IF($A312="","",IF($J312="DIESEL",SUMIFS(Table1[Quantity],Table1[Customer],$M$3,Table1[Date],$A312,Table1[Bill No.],$B312),IF($J312="PETROL",SUMIFS(Table14[Quantity],Table14[Customer],$M$3,Table14[Date],$A312,Table14[Bill No.],$B312),IF($J312="XtraGreen",SUMIFS(Table146[Quantity],Table146[Company],$M$3,Table146[Date],$A312,Table146[Bill No.],$B312),""))))</f>
        <v/>
      </c>
      <c r="D312" s="346" t="str">
        <f>IF($A312="","",IF($J312="DIESEL",AVERAGEIFS(Table1[RSP],Table1[Customer],$M$3,Table1[Date],$A312,Table1[Bill No.],$B312),IF($J312="PETROL",AVERAGEIFS(Table14[RSP],Table14[Customer],$M$3,Table14[Date],$A312,Table14[Bill No.],$B312),IF($J312="XtraGreen",AVERAGEIFS(Table146[RSP],Table146[Company],$M$3,Table146[Date],$A312,Table146[Bill No.],$B312),IFERROR($E312/$C312,"")))))</f>
        <v/>
      </c>
      <c r="E312" s="347" t="str">
        <f>IF($A312="","",IF($J312="DIESEL",SUMIFS(Table1[Amount],Table1[Customer],$M$3,Table1[Date],$A312,Table1[Bill No.],$B312),IF($J312="PETROL",SUMIFS(Table14[Amount],Table14[Customer],$M$3,Table14[Date],$A312,Table14[Bill No.],$B312),IF($J312="XtraGreen",SUMIFS(Table146[Amount],Table146[Company],$M$3,Table146[Date],$A312,Table146[Bill No.],$B312),SUMIFS('Other Sale'!$D:$D,'Other Sale'!$E:$E,$M$3,'Other Sale'!$C:$C,$J312,'Other Sale'!$A:$A,$A312)))))</f>
        <v/>
      </c>
      <c r="F312" s="347" t="str" cm="1">
        <f t="array" ref="F312">IF($A312="","",IF($J312="Payment",IFERROR(INDEX(_xlfn._xlws.FILTER(MasterPaid[Amount Paid],(MasterPaid[Customer]=$M$3)*(MasterPaid[Date]=$A312)),COUNTIFS($A$6:$A312,$A312,$J$6:$J312,"Payment")),0),0))</f>
        <v/>
      </c>
      <c r="G312" s="331"/>
      <c r="H312" s="427"/>
      <c r="I312" s="330" t="str">
        <f t="shared" si="14"/>
        <v/>
      </c>
      <c r="J312" s="344" t="str" cm="1">
        <f t="array" ref="J312">IFERROR(INDEX(_xlfn.ANCHORARRAY($P$6),ROW()-5,3),"")</f>
        <v/>
      </c>
      <c r="K312" s="432" t="str" cm="1">
        <f t="array" ref="K312">IF(OR($A312="",$J312&lt;&gt;"DIESEL"),"",_xlfn.LET(_xlpm.qty,N($C312),_xlpm.pos,$T$5:$T$54,_xlpm.alo,IF($U$5:$U$54="",0,$U$5:$U$54),_xlpm.usd,SUMIFS($C$6:$C311,$K$6:$K311,_xlpm.pos&amp;""),_xlpm.bal,_xlpm.alo-_xlpm.usd,IFERROR(INDEX(_xlfn._xlws.FILTER(_xlpm.pos,(_xlpm.pos&lt;&gt;"")*(_xlpm.qty&gt;0)*(_xlpm.bal&gt;=_xlpm.qty)),1),"")))</f>
        <v/>
      </c>
      <c r="L312" s="348"/>
    </row>
    <row r="313" spans="1:12" ht="23" x14ac:dyDescent="0.25">
      <c r="A313" s="217" t="str" cm="1">
        <f t="array" ref="A313">IFERROR(INDEX(_xlfn.ANCHORARRAY($P$6),ROW()-5,1),"")</f>
        <v/>
      </c>
      <c r="B313" s="344" t="str" cm="1">
        <f t="array" ref="B313">IFERROR(INDEX(_xlfn.ANCHORARRAY($P$6),ROW()-5,2),"")</f>
        <v/>
      </c>
      <c r="C313" s="345" t="str">
        <f>IF($A313="","",IF($J313="DIESEL",SUMIFS(Table1[Quantity],Table1[Customer],$M$3,Table1[Date],$A313,Table1[Bill No.],$B313),IF($J313="PETROL",SUMIFS(Table14[Quantity],Table14[Customer],$M$3,Table14[Date],$A313,Table14[Bill No.],$B313),IF($J313="XtraGreen",SUMIFS(Table146[Quantity],Table146[Company],$M$3,Table146[Date],$A313,Table146[Bill No.],$B313),""))))</f>
        <v/>
      </c>
      <c r="D313" s="346" t="str">
        <f>IF($A313="","",IF($J313="DIESEL",AVERAGEIFS(Table1[RSP],Table1[Customer],$M$3,Table1[Date],$A313,Table1[Bill No.],$B313),IF($J313="PETROL",AVERAGEIFS(Table14[RSP],Table14[Customer],$M$3,Table14[Date],$A313,Table14[Bill No.],$B313),IF($J313="XtraGreen",AVERAGEIFS(Table146[RSP],Table146[Company],$M$3,Table146[Date],$A313,Table146[Bill No.],$B313),IFERROR($E313/$C313,"")))))</f>
        <v/>
      </c>
      <c r="E313" s="347" t="str">
        <f>IF($A313="","",IF($J313="DIESEL",SUMIFS(Table1[Amount],Table1[Customer],$M$3,Table1[Date],$A313,Table1[Bill No.],$B313),IF($J313="PETROL",SUMIFS(Table14[Amount],Table14[Customer],$M$3,Table14[Date],$A313,Table14[Bill No.],$B313),IF($J313="XtraGreen",SUMIFS(Table146[Amount],Table146[Company],$M$3,Table146[Date],$A313,Table146[Bill No.],$B313),SUMIFS('Other Sale'!$D:$D,'Other Sale'!$E:$E,$M$3,'Other Sale'!$C:$C,$J313,'Other Sale'!$A:$A,$A313)))))</f>
        <v/>
      </c>
      <c r="F313" s="347" t="str" cm="1">
        <f t="array" ref="F313">IF($A313="","",IF($J313="Payment",IFERROR(INDEX(_xlfn._xlws.FILTER(MasterPaid[Amount Paid],(MasterPaid[Customer]=$M$3)*(MasterPaid[Date]=$A313)),COUNTIFS($A$6:$A313,$A313,$J$6:$J313,"Payment")),0),0))</f>
        <v/>
      </c>
      <c r="G313" s="331"/>
      <c r="H313" s="427"/>
      <c r="I313" s="330" t="str">
        <f t="shared" si="14"/>
        <v/>
      </c>
      <c r="J313" s="344" t="str" cm="1">
        <f t="array" ref="J313">IFERROR(INDEX(_xlfn.ANCHORARRAY($P$6),ROW()-5,3),"")</f>
        <v/>
      </c>
      <c r="K313" s="432" t="str" cm="1">
        <f t="array" ref="K313">IF(OR($A313="",$J313&lt;&gt;"DIESEL"),"",_xlfn.LET(_xlpm.qty,N($C313),_xlpm.pos,$T$5:$T$54,_xlpm.alo,IF($U$5:$U$54="",0,$U$5:$U$54),_xlpm.usd,SUMIFS($C$6:$C312,$K$6:$K312,_xlpm.pos&amp;""),_xlpm.bal,_xlpm.alo-_xlpm.usd,IFERROR(INDEX(_xlfn._xlws.FILTER(_xlpm.pos,(_xlpm.pos&lt;&gt;"")*(_xlpm.qty&gt;0)*(_xlpm.bal&gt;=_xlpm.qty)),1),"")))</f>
        <v/>
      </c>
      <c r="L313" s="348"/>
    </row>
    <row r="314" spans="1:12" ht="23" x14ac:dyDescent="0.25">
      <c r="A314" s="217" t="str" cm="1">
        <f t="array" ref="A314">IFERROR(INDEX(_xlfn.ANCHORARRAY($P$6),ROW()-5,1),"")</f>
        <v/>
      </c>
      <c r="B314" s="344" t="str" cm="1">
        <f t="array" ref="B314">IFERROR(INDEX(_xlfn.ANCHORARRAY($P$6),ROW()-5,2),"")</f>
        <v/>
      </c>
      <c r="C314" s="345" t="str">
        <f>IF($A314="","",IF($J314="DIESEL",SUMIFS(Table1[Quantity],Table1[Customer],$M$3,Table1[Date],$A314,Table1[Bill No.],$B314),IF($J314="PETROL",SUMIFS(Table14[Quantity],Table14[Customer],$M$3,Table14[Date],$A314,Table14[Bill No.],$B314),IF($J314="XtraGreen",SUMIFS(Table146[Quantity],Table146[Company],$M$3,Table146[Date],$A314,Table146[Bill No.],$B314),""))))</f>
        <v/>
      </c>
      <c r="D314" s="346" t="str">
        <f>IF($A314="","",IF($J314="DIESEL",AVERAGEIFS(Table1[RSP],Table1[Customer],$M$3,Table1[Date],$A314,Table1[Bill No.],$B314),IF($J314="PETROL",AVERAGEIFS(Table14[RSP],Table14[Customer],$M$3,Table14[Date],$A314,Table14[Bill No.],$B314),IF($J314="XtraGreen",AVERAGEIFS(Table146[RSP],Table146[Company],$M$3,Table146[Date],$A314,Table146[Bill No.],$B314),IFERROR($E314/$C314,"")))))</f>
        <v/>
      </c>
      <c r="E314" s="347" t="str">
        <f>IF($A314="","",IF($J314="DIESEL",SUMIFS(Table1[Amount],Table1[Customer],$M$3,Table1[Date],$A314,Table1[Bill No.],$B314),IF($J314="PETROL",SUMIFS(Table14[Amount],Table14[Customer],$M$3,Table14[Date],$A314,Table14[Bill No.],$B314),IF($J314="XtraGreen",SUMIFS(Table146[Amount],Table146[Company],$M$3,Table146[Date],$A314,Table146[Bill No.],$B314),SUMIFS('Other Sale'!$D:$D,'Other Sale'!$E:$E,$M$3,'Other Sale'!$C:$C,$J314,'Other Sale'!$A:$A,$A314)))))</f>
        <v/>
      </c>
      <c r="F314" s="347" t="str" cm="1">
        <f t="array" ref="F314">IF($A314="","",IF($J314="Payment",IFERROR(INDEX(_xlfn._xlws.FILTER(MasterPaid[Amount Paid],(MasterPaid[Customer]=$M$3)*(MasterPaid[Date]=$A314)),COUNTIFS($A$6:$A314,$A314,$J$6:$J314,"Payment")),0),0))</f>
        <v/>
      </c>
      <c r="G314" s="331"/>
      <c r="H314" s="427"/>
      <c r="I314" s="330" t="str">
        <f t="shared" si="14"/>
        <v/>
      </c>
      <c r="J314" s="344" t="str" cm="1">
        <f t="array" ref="J314">IFERROR(INDEX(_xlfn.ANCHORARRAY($P$6),ROW()-5,3),"")</f>
        <v/>
      </c>
      <c r="K314" s="432" t="str" cm="1">
        <f t="array" ref="K314">IF(OR($A314="",$J314&lt;&gt;"DIESEL"),"",_xlfn.LET(_xlpm.qty,N($C314),_xlpm.pos,$T$5:$T$54,_xlpm.alo,IF($U$5:$U$54="",0,$U$5:$U$54),_xlpm.usd,SUMIFS($C$6:$C313,$K$6:$K313,_xlpm.pos&amp;""),_xlpm.bal,_xlpm.alo-_xlpm.usd,IFERROR(INDEX(_xlfn._xlws.FILTER(_xlpm.pos,(_xlpm.pos&lt;&gt;"")*(_xlpm.qty&gt;0)*(_xlpm.bal&gt;=_xlpm.qty)),1),"")))</f>
        <v/>
      </c>
      <c r="L314" s="348"/>
    </row>
    <row r="315" spans="1:12" ht="23" x14ac:dyDescent="0.25">
      <c r="A315" s="217" t="str" cm="1">
        <f t="array" ref="A315">IFERROR(INDEX(_xlfn.ANCHORARRAY($P$6),ROW()-5,1),"")</f>
        <v/>
      </c>
      <c r="B315" s="344" t="str" cm="1">
        <f t="array" ref="B315">IFERROR(INDEX(_xlfn.ANCHORARRAY($P$6),ROW()-5,2),"")</f>
        <v/>
      </c>
      <c r="C315" s="345" t="str">
        <f>IF($A315="","",IF($J315="DIESEL",SUMIFS(Table1[Quantity],Table1[Customer],$M$3,Table1[Date],$A315,Table1[Bill No.],$B315),IF($J315="PETROL",SUMIFS(Table14[Quantity],Table14[Customer],$M$3,Table14[Date],$A315,Table14[Bill No.],$B315),IF($J315="XtraGreen",SUMIFS(Table146[Quantity],Table146[Company],$M$3,Table146[Date],$A315,Table146[Bill No.],$B315),""))))</f>
        <v/>
      </c>
      <c r="D315" s="346" t="str">
        <f>IF($A315="","",IF($J315="DIESEL",AVERAGEIFS(Table1[RSP],Table1[Customer],$M$3,Table1[Date],$A315,Table1[Bill No.],$B315),IF($J315="PETROL",AVERAGEIFS(Table14[RSP],Table14[Customer],$M$3,Table14[Date],$A315,Table14[Bill No.],$B315),IF($J315="XtraGreen",AVERAGEIFS(Table146[RSP],Table146[Company],$M$3,Table146[Date],$A315,Table146[Bill No.],$B315),IFERROR($E315/$C315,"")))))</f>
        <v/>
      </c>
      <c r="E315" s="347" t="str">
        <f>IF($A315="","",IF($J315="DIESEL",SUMIFS(Table1[Amount],Table1[Customer],$M$3,Table1[Date],$A315,Table1[Bill No.],$B315),IF($J315="PETROL",SUMIFS(Table14[Amount],Table14[Customer],$M$3,Table14[Date],$A315,Table14[Bill No.],$B315),IF($J315="XtraGreen",SUMIFS(Table146[Amount],Table146[Company],$M$3,Table146[Date],$A315,Table146[Bill No.],$B315),SUMIFS('Other Sale'!$D:$D,'Other Sale'!$E:$E,$M$3,'Other Sale'!$C:$C,$J315,'Other Sale'!$A:$A,$A315)))))</f>
        <v/>
      </c>
      <c r="F315" s="347" t="str" cm="1">
        <f t="array" ref="F315">IF($A315="","",IF($J315="Payment",IFERROR(INDEX(_xlfn._xlws.FILTER(MasterPaid[Amount Paid],(MasterPaid[Customer]=$M$3)*(MasterPaid[Date]=$A315)),COUNTIFS($A$6:$A315,$A315,$J$6:$J315,"Payment")),0),0))</f>
        <v/>
      </c>
      <c r="G315" s="331"/>
      <c r="H315" s="427"/>
      <c r="I315" s="330" t="str">
        <f t="shared" si="14"/>
        <v/>
      </c>
      <c r="J315" s="344" t="str" cm="1">
        <f t="array" ref="J315">IFERROR(INDEX(_xlfn.ANCHORARRAY($P$6),ROW()-5,3),"")</f>
        <v/>
      </c>
      <c r="K315" s="432" t="str" cm="1">
        <f t="array" ref="K315">IF(OR($A315="",$J315&lt;&gt;"DIESEL"),"",_xlfn.LET(_xlpm.qty,N($C315),_xlpm.pos,$T$5:$T$54,_xlpm.alo,IF($U$5:$U$54="",0,$U$5:$U$54),_xlpm.usd,SUMIFS($C$6:$C314,$K$6:$K314,_xlpm.pos&amp;""),_xlpm.bal,_xlpm.alo-_xlpm.usd,IFERROR(INDEX(_xlfn._xlws.FILTER(_xlpm.pos,(_xlpm.pos&lt;&gt;"")*(_xlpm.qty&gt;0)*(_xlpm.bal&gt;=_xlpm.qty)),1),"")))</f>
        <v/>
      </c>
      <c r="L315" s="348"/>
    </row>
    <row r="316" spans="1:12" ht="23" x14ac:dyDescent="0.25">
      <c r="A316" s="217" t="str" cm="1">
        <f t="array" ref="A316">IFERROR(INDEX(_xlfn.ANCHORARRAY($P$6),ROW()-5,1),"")</f>
        <v/>
      </c>
      <c r="B316" s="344" t="str" cm="1">
        <f t="array" ref="B316">IFERROR(INDEX(_xlfn.ANCHORARRAY($P$6),ROW()-5,2),"")</f>
        <v/>
      </c>
      <c r="C316" s="345" t="str">
        <f>IF($A316="","",IF($J316="DIESEL",SUMIFS(Table1[Quantity],Table1[Customer],$M$3,Table1[Date],$A316,Table1[Bill No.],$B316),IF($J316="PETROL",SUMIFS(Table14[Quantity],Table14[Customer],$M$3,Table14[Date],$A316,Table14[Bill No.],$B316),IF($J316="XtraGreen",SUMIFS(Table146[Quantity],Table146[Company],$M$3,Table146[Date],$A316,Table146[Bill No.],$B316),""))))</f>
        <v/>
      </c>
      <c r="D316" s="346" t="str">
        <f>IF($A316="","",IF($J316="DIESEL",AVERAGEIFS(Table1[RSP],Table1[Customer],$M$3,Table1[Date],$A316,Table1[Bill No.],$B316),IF($J316="PETROL",AVERAGEIFS(Table14[RSP],Table14[Customer],$M$3,Table14[Date],$A316,Table14[Bill No.],$B316),IF($J316="XtraGreen",AVERAGEIFS(Table146[RSP],Table146[Company],$M$3,Table146[Date],$A316,Table146[Bill No.],$B316),IFERROR($E316/$C316,"")))))</f>
        <v/>
      </c>
      <c r="E316" s="347" t="str">
        <f>IF($A316="","",IF($J316="DIESEL",SUMIFS(Table1[Amount],Table1[Customer],$M$3,Table1[Date],$A316,Table1[Bill No.],$B316),IF($J316="PETROL",SUMIFS(Table14[Amount],Table14[Customer],$M$3,Table14[Date],$A316,Table14[Bill No.],$B316),IF($J316="XtraGreen",SUMIFS(Table146[Amount],Table146[Company],$M$3,Table146[Date],$A316,Table146[Bill No.],$B316),SUMIFS('Other Sale'!$D:$D,'Other Sale'!$E:$E,$M$3,'Other Sale'!$C:$C,$J316,'Other Sale'!$A:$A,$A316)))))</f>
        <v/>
      </c>
      <c r="F316" s="347" t="str" cm="1">
        <f t="array" ref="F316">IF($A316="","",IF($J316="Payment",IFERROR(INDEX(_xlfn._xlws.FILTER(MasterPaid[Amount Paid],(MasterPaid[Customer]=$M$3)*(MasterPaid[Date]=$A316)),COUNTIFS($A$6:$A316,$A316,$J$6:$J316,"Payment")),0),0))</f>
        <v/>
      </c>
      <c r="G316" s="331"/>
      <c r="H316" s="427"/>
      <c r="I316" s="330" t="str">
        <f t="shared" si="14"/>
        <v/>
      </c>
      <c r="J316" s="344" t="str" cm="1">
        <f t="array" ref="J316">IFERROR(INDEX(_xlfn.ANCHORARRAY($P$6),ROW()-5,3),"")</f>
        <v/>
      </c>
      <c r="K316" s="432" t="str" cm="1">
        <f t="array" ref="K316">IF(OR($A316="",$J316&lt;&gt;"DIESEL"),"",_xlfn.LET(_xlpm.qty,N($C316),_xlpm.pos,$T$5:$T$54,_xlpm.alo,IF($U$5:$U$54="",0,$U$5:$U$54),_xlpm.usd,SUMIFS($C$6:$C315,$K$6:$K315,_xlpm.pos&amp;""),_xlpm.bal,_xlpm.alo-_xlpm.usd,IFERROR(INDEX(_xlfn._xlws.FILTER(_xlpm.pos,(_xlpm.pos&lt;&gt;"")*(_xlpm.qty&gt;0)*(_xlpm.bal&gt;=_xlpm.qty)),1),"")))</f>
        <v/>
      </c>
      <c r="L316" s="348"/>
    </row>
    <row r="317" spans="1:12" ht="23" x14ac:dyDescent="0.25">
      <c r="A317" s="217" t="str" cm="1">
        <f t="array" ref="A317">IFERROR(INDEX(_xlfn.ANCHORARRAY($P$6),ROW()-5,1),"")</f>
        <v/>
      </c>
      <c r="B317" s="344" t="str" cm="1">
        <f t="array" ref="B317">IFERROR(INDEX(_xlfn.ANCHORARRAY($P$6),ROW()-5,2),"")</f>
        <v/>
      </c>
      <c r="C317" s="345" t="str">
        <f>IF($A317="","",IF($J317="DIESEL",SUMIFS(Table1[Quantity],Table1[Customer],$M$3,Table1[Date],$A317,Table1[Bill No.],$B317),IF($J317="PETROL",SUMIFS(Table14[Quantity],Table14[Customer],$M$3,Table14[Date],$A317,Table14[Bill No.],$B317),IF($J317="XtraGreen",SUMIFS(Table146[Quantity],Table146[Company],$M$3,Table146[Date],$A317,Table146[Bill No.],$B317),""))))</f>
        <v/>
      </c>
      <c r="D317" s="346" t="str">
        <f>IF($A317="","",IF($J317="DIESEL",AVERAGEIFS(Table1[RSP],Table1[Customer],$M$3,Table1[Date],$A317,Table1[Bill No.],$B317),IF($J317="PETROL",AVERAGEIFS(Table14[RSP],Table14[Customer],$M$3,Table14[Date],$A317,Table14[Bill No.],$B317),IF($J317="XtraGreen",AVERAGEIFS(Table146[RSP],Table146[Company],$M$3,Table146[Date],$A317,Table146[Bill No.],$B317),IFERROR($E317/$C317,"")))))</f>
        <v/>
      </c>
      <c r="E317" s="347" t="str">
        <f>IF($A317="","",IF($J317="DIESEL",SUMIFS(Table1[Amount],Table1[Customer],$M$3,Table1[Date],$A317,Table1[Bill No.],$B317),IF($J317="PETROL",SUMIFS(Table14[Amount],Table14[Customer],$M$3,Table14[Date],$A317,Table14[Bill No.],$B317),IF($J317="XtraGreen",SUMIFS(Table146[Amount],Table146[Company],$M$3,Table146[Date],$A317,Table146[Bill No.],$B317),SUMIFS('Other Sale'!$D:$D,'Other Sale'!$E:$E,$M$3,'Other Sale'!$C:$C,$J317,'Other Sale'!$A:$A,$A317)))))</f>
        <v/>
      </c>
      <c r="F317" s="347" t="str" cm="1">
        <f t="array" ref="F317">IF($A317="","",IF($J317="Payment",IFERROR(INDEX(_xlfn._xlws.FILTER(MasterPaid[Amount Paid],(MasterPaid[Customer]=$M$3)*(MasterPaid[Date]=$A317)),COUNTIFS($A$6:$A317,$A317,$J$6:$J317,"Payment")),0),0))</f>
        <v/>
      </c>
      <c r="G317" s="331"/>
      <c r="H317" s="427"/>
      <c r="I317" s="330" t="str">
        <f t="shared" si="14"/>
        <v/>
      </c>
      <c r="J317" s="344" t="str" cm="1">
        <f t="array" ref="J317">IFERROR(INDEX(_xlfn.ANCHORARRAY($P$6),ROW()-5,3),"")</f>
        <v/>
      </c>
      <c r="K317" s="432" t="str" cm="1">
        <f t="array" ref="K317">IF(OR($A317="",$J317&lt;&gt;"DIESEL"),"",_xlfn.LET(_xlpm.qty,N($C317),_xlpm.pos,$T$5:$T$54,_xlpm.alo,IF($U$5:$U$54="",0,$U$5:$U$54),_xlpm.usd,SUMIFS($C$6:$C316,$K$6:$K316,_xlpm.pos&amp;""),_xlpm.bal,_xlpm.alo-_xlpm.usd,IFERROR(INDEX(_xlfn._xlws.FILTER(_xlpm.pos,(_xlpm.pos&lt;&gt;"")*(_xlpm.qty&gt;0)*(_xlpm.bal&gt;=_xlpm.qty)),1),"")))</f>
        <v/>
      </c>
      <c r="L317" s="348"/>
    </row>
    <row r="318" spans="1:12" ht="23" x14ac:dyDescent="0.25">
      <c r="A318" s="217" t="str" cm="1">
        <f t="array" ref="A318">IFERROR(INDEX(_xlfn.ANCHORARRAY($P$6),ROW()-5,1),"")</f>
        <v/>
      </c>
      <c r="B318" s="344" t="str" cm="1">
        <f t="array" ref="B318">IFERROR(INDEX(_xlfn.ANCHORARRAY($P$6),ROW()-5,2),"")</f>
        <v/>
      </c>
      <c r="C318" s="345" t="str">
        <f>IF($A318="","",IF($J318="DIESEL",SUMIFS(Table1[Quantity],Table1[Customer],$M$3,Table1[Date],$A318,Table1[Bill No.],$B318),IF($J318="PETROL",SUMIFS(Table14[Quantity],Table14[Customer],$M$3,Table14[Date],$A318,Table14[Bill No.],$B318),IF($J318="XtraGreen",SUMIFS(Table146[Quantity],Table146[Company],$M$3,Table146[Date],$A318,Table146[Bill No.],$B318),""))))</f>
        <v/>
      </c>
      <c r="D318" s="346" t="str">
        <f>IF($A318="","",IF($J318="DIESEL",AVERAGEIFS(Table1[RSP],Table1[Customer],$M$3,Table1[Date],$A318,Table1[Bill No.],$B318),IF($J318="PETROL",AVERAGEIFS(Table14[RSP],Table14[Customer],$M$3,Table14[Date],$A318,Table14[Bill No.],$B318),IF($J318="XtraGreen",AVERAGEIFS(Table146[RSP],Table146[Company],$M$3,Table146[Date],$A318,Table146[Bill No.],$B318),IFERROR($E318/$C318,"")))))</f>
        <v/>
      </c>
      <c r="E318" s="347" t="str">
        <f>IF($A318="","",IF($J318="DIESEL",SUMIFS(Table1[Amount],Table1[Customer],$M$3,Table1[Date],$A318,Table1[Bill No.],$B318),IF($J318="PETROL",SUMIFS(Table14[Amount],Table14[Customer],$M$3,Table14[Date],$A318,Table14[Bill No.],$B318),IF($J318="XtraGreen",SUMIFS(Table146[Amount],Table146[Company],$M$3,Table146[Date],$A318,Table146[Bill No.],$B318),SUMIFS('Other Sale'!$D:$D,'Other Sale'!$E:$E,$M$3,'Other Sale'!$C:$C,$J318,'Other Sale'!$A:$A,$A318)))))</f>
        <v/>
      </c>
      <c r="F318" s="347" t="str" cm="1">
        <f t="array" ref="F318">IF($A318="","",IF($J318="Payment",IFERROR(INDEX(_xlfn._xlws.FILTER(MasterPaid[Amount Paid],(MasterPaid[Customer]=$M$3)*(MasterPaid[Date]=$A318)),COUNTIFS($A$6:$A318,$A318,$J$6:$J318,"Payment")),0),0))</f>
        <v/>
      </c>
      <c r="G318" s="331"/>
      <c r="H318" s="427"/>
      <c r="I318" s="330" t="str">
        <f t="shared" si="14"/>
        <v/>
      </c>
      <c r="J318" s="344" t="str" cm="1">
        <f t="array" ref="J318">IFERROR(INDEX(_xlfn.ANCHORARRAY($P$6),ROW()-5,3),"")</f>
        <v/>
      </c>
      <c r="K318" s="432" t="str" cm="1">
        <f t="array" ref="K318">IF(OR($A318="",$J318&lt;&gt;"DIESEL"),"",_xlfn.LET(_xlpm.qty,N($C318),_xlpm.pos,$T$5:$T$54,_xlpm.alo,IF($U$5:$U$54="",0,$U$5:$U$54),_xlpm.usd,SUMIFS($C$6:$C317,$K$6:$K317,_xlpm.pos&amp;""),_xlpm.bal,_xlpm.alo-_xlpm.usd,IFERROR(INDEX(_xlfn._xlws.FILTER(_xlpm.pos,(_xlpm.pos&lt;&gt;"")*(_xlpm.qty&gt;0)*(_xlpm.bal&gt;=_xlpm.qty)),1),"")))</f>
        <v/>
      </c>
      <c r="L318" s="348"/>
    </row>
    <row r="319" spans="1:12" ht="23" x14ac:dyDescent="0.25">
      <c r="A319" s="217" t="str" cm="1">
        <f t="array" ref="A319">IFERROR(INDEX(_xlfn.ANCHORARRAY($P$6),ROW()-5,1),"")</f>
        <v/>
      </c>
      <c r="B319" s="344" t="str" cm="1">
        <f t="array" ref="B319">IFERROR(INDEX(_xlfn.ANCHORARRAY($P$6),ROW()-5,2),"")</f>
        <v/>
      </c>
      <c r="C319" s="345" t="str">
        <f>IF($A319="","",IF($J319="DIESEL",SUMIFS(Table1[Quantity],Table1[Customer],$M$3,Table1[Date],$A319,Table1[Bill No.],$B319),IF($J319="PETROL",SUMIFS(Table14[Quantity],Table14[Customer],$M$3,Table14[Date],$A319,Table14[Bill No.],$B319),IF($J319="XtraGreen",SUMIFS(Table146[Quantity],Table146[Company],$M$3,Table146[Date],$A319,Table146[Bill No.],$B319),""))))</f>
        <v/>
      </c>
      <c r="D319" s="346" t="str">
        <f>IF($A319="","",IF($J319="DIESEL",AVERAGEIFS(Table1[RSP],Table1[Customer],$M$3,Table1[Date],$A319,Table1[Bill No.],$B319),IF($J319="PETROL",AVERAGEIFS(Table14[RSP],Table14[Customer],$M$3,Table14[Date],$A319,Table14[Bill No.],$B319),IF($J319="XtraGreen",AVERAGEIFS(Table146[RSP],Table146[Company],$M$3,Table146[Date],$A319,Table146[Bill No.],$B319),IFERROR($E319/$C319,"")))))</f>
        <v/>
      </c>
      <c r="E319" s="347" t="str">
        <f>IF($A319="","",IF($J319="DIESEL",SUMIFS(Table1[Amount],Table1[Customer],$M$3,Table1[Date],$A319,Table1[Bill No.],$B319),IF($J319="PETROL",SUMIFS(Table14[Amount],Table14[Customer],$M$3,Table14[Date],$A319,Table14[Bill No.],$B319),IF($J319="XtraGreen",SUMIFS(Table146[Amount],Table146[Company],$M$3,Table146[Date],$A319,Table146[Bill No.],$B319),SUMIFS('Other Sale'!$D:$D,'Other Sale'!$E:$E,$M$3,'Other Sale'!$C:$C,$J319,'Other Sale'!$A:$A,$A319)))))</f>
        <v/>
      </c>
      <c r="F319" s="347" t="str" cm="1">
        <f t="array" ref="F319">IF($A319="","",IF($J319="Payment",IFERROR(INDEX(_xlfn._xlws.FILTER(MasterPaid[Amount Paid],(MasterPaid[Customer]=$M$3)*(MasterPaid[Date]=$A319)),COUNTIFS($A$6:$A319,$A319,$J$6:$J319,"Payment")),0),0))</f>
        <v/>
      </c>
      <c r="G319" s="331"/>
      <c r="H319" s="427"/>
      <c r="I319" s="330" t="str">
        <f t="shared" si="14"/>
        <v/>
      </c>
      <c r="J319" s="344" t="str" cm="1">
        <f t="array" ref="J319">IFERROR(INDEX(_xlfn.ANCHORARRAY($P$6),ROW()-5,3),"")</f>
        <v/>
      </c>
      <c r="K319" s="432" t="str" cm="1">
        <f t="array" ref="K319">IF(OR($A319="",$J319&lt;&gt;"DIESEL"),"",_xlfn.LET(_xlpm.qty,N($C319),_xlpm.pos,$T$5:$T$54,_xlpm.alo,IF($U$5:$U$54="",0,$U$5:$U$54),_xlpm.usd,SUMIFS($C$6:$C318,$K$6:$K318,_xlpm.pos&amp;""),_xlpm.bal,_xlpm.alo-_xlpm.usd,IFERROR(INDEX(_xlfn._xlws.FILTER(_xlpm.pos,(_xlpm.pos&lt;&gt;"")*(_xlpm.qty&gt;0)*(_xlpm.bal&gt;=_xlpm.qty)),1),"")))</f>
        <v/>
      </c>
      <c r="L319" s="348"/>
    </row>
    <row r="320" spans="1:12" ht="23" x14ac:dyDescent="0.25">
      <c r="A320" s="217" t="str" cm="1">
        <f t="array" ref="A320">IFERROR(INDEX(_xlfn.ANCHORARRAY($P$6),ROW()-5,1),"")</f>
        <v/>
      </c>
      <c r="B320" s="344" t="str" cm="1">
        <f t="array" ref="B320">IFERROR(INDEX(_xlfn.ANCHORARRAY($P$6),ROW()-5,2),"")</f>
        <v/>
      </c>
      <c r="C320" s="345" t="str">
        <f>IF($A320="","",IF($J320="DIESEL",SUMIFS(Table1[Quantity],Table1[Customer],$M$3,Table1[Date],$A320,Table1[Bill No.],$B320),IF($J320="PETROL",SUMIFS(Table14[Quantity],Table14[Customer],$M$3,Table14[Date],$A320,Table14[Bill No.],$B320),IF($J320="XtraGreen",SUMIFS(Table146[Quantity],Table146[Company],$M$3,Table146[Date],$A320,Table146[Bill No.],$B320),""))))</f>
        <v/>
      </c>
      <c r="D320" s="346" t="str">
        <f>IF($A320="","",IF($J320="DIESEL",AVERAGEIFS(Table1[RSP],Table1[Customer],$M$3,Table1[Date],$A320,Table1[Bill No.],$B320),IF($J320="PETROL",AVERAGEIFS(Table14[RSP],Table14[Customer],$M$3,Table14[Date],$A320,Table14[Bill No.],$B320),IF($J320="XtraGreen",AVERAGEIFS(Table146[RSP],Table146[Company],$M$3,Table146[Date],$A320,Table146[Bill No.],$B320),IFERROR($E320/$C320,"")))))</f>
        <v/>
      </c>
      <c r="E320" s="347" t="str">
        <f>IF($A320="","",IF($J320="DIESEL",SUMIFS(Table1[Amount],Table1[Customer],$M$3,Table1[Date],$A320,Table1[Bill No.],$B320),IF($J320="PETROL",SUMIFS(Table14[Amount],Table14[Customer],$M$3,Table14[Date],$A320,Table14[Bill No.],$B320),IF($J320="XtraGreen",SUMIFS(Table146[Amount],Table146[Company],$M$3,Table146[Date],$A320,Table146[Bill No.],$B320),SUMIFS('Other Sale'!$D:$D,'Other Sale'!$E:$E,$M$3,'Other Sale'!$C:$C,$J320,'Other Sale'!$A:$A,$A320)))))</f>
        <v/>
      </c>
      <c r="F320" s="347" t="str" cm="1">
        <f t="array" ref="F320">IF($A320="","",IF($J320="Payment",IFERROR(INDEX(_xlfn._xlws.FILTER(MasterPaid[Amount Paid],(MasterPaid[Customer]=$M$3)*(MasterPaid[Date]=$A320)),COUNTIFS($A$6:$A320,$A320,$J$6:$J320,"Payment")),0),0))</f>
        <v/>
      </c>
      <c r="G320" s="331"/>
      <c r="H320" s="427"/>
      <c r="I320" s="330" t="str">
        <f t="shared" si="14"/>
        <v/>
      </c>
      <c r="J320" s="344" t="str" cm="1">
        <f t="array" ref="J320">IFERROR(INDEX(_xlfn.ANCHORARRAY($P$6),ROW()-5,3),"")</f>
        <v/>
      </c>
      <c r="K320" s="432" t="str" cm="1">
        <f t="array" ref="K320">IF(OR($A320="",$J320&lt;&gt;"DIESEL"),"",_xlfn.LET(_xlpm.qty,N($C320),_xlpm.pos,$T$5:$T$54,_xlpm.alo,IF($U$5:$U$54="",0,$U$5:$U$54),_xlpm.usd,SUMIFS($C$6:$C319,$K$6:$K319,_xlpm.pos&amp;""),_xlpm.bal,_xlpm.alo-_xlpm.usd,IFERROR(INDEX(_xlfn._xlws.FILTER(_xlpm.pos,(_xlpm.pos&lt;&gt;"")*(_xlpm.qty&gt;0)*(_xlpm.bal&gt;=_xlpm.qty)),1),"")))</f>
        <v/>
      </c>
      <c r="L320" s="348"/>
    </row>
    <row r="321" spans="1:12" ht="23" x14ac:dyDescent="0.25">
      <c r="A321" s="217" t="str" cm="1">
        <f t="array" ref="A321">IFERROR(INDEX(_xlfn.ANCHORARRAY($P$6),ROW()-5,1),"")</f>
        <v/>
      </c>
      <c r="B321" s="344" t="str" cm="1">
        <f t="array" ref="B321">IFERROR(INDEX(_xlfn.ANCHORARRAY($P$6),ROW()-5,2),"")</f>
        <v/>
      </c>
      <c r="C321" s="345" t="str">
        <f>IF($A321="","",IF($J321="DIESEL",SUMIFS(Table1[Quantity],Table1[Customer],$M$3,Table1[Date],$A321,Table1[Bill No.],$B321),IF($J321="PETROL",SUMIFS(Table14[Quantity],Table14[Customer],$M$3,Table14[Date],$A321,Table14[Bill No.],$B321),IF($J321="XtraGreen",SUMIFS(Table146[Quantity],Table146[Company],$M$3,Table146[Date],$A321,Table146[Bill No.],$B321),""))))</f>
        <v/>
      </c>
      <c r="D321" s="346" t="str">
        <f>IF($A321="","",IF($J321="DIESEL",AVERAGEIFS(Table1[RSP],Table1[Customer],$M$3,Table1[Date],$A321,Table1[Bill No.],$B321),IF($J321="PETROL",AVERAGEIFS(Table14[RSP],Table14[Customer],$M$3,Table14[Date],$A321,Table14[Bill No.],$B321),IF($J321="XtraGreen",AVERAGEIFS(Table146[RSP],Table146[Company],$M$3,Table146[Date],$A321,Table146[Bill No.],$B321),IFERROR($E321/$C321,"")))))</f>
        <v/>
      </c>
      <c r="E321" s="347" t="str">
        <f>IF($A321="","",IF($J321="DIESEL",SUMIFS(Table1[Amount],Table1[Customer],$M$3,Table1[Date],$A321,Table1[Bill No.],$B321),IF($J321="PETROL",SUMIFS(Table14[Amount],Table14[Customer],$M$3,Table14[Date],$A321,Table14[Bill No.],$B321),IF($J321="XtraGreen",SUMIFS(Table146[Amount],Table146[Company],$M$3,Table146[Date],$A321,Table146[Bill No.],$B321),SUMIFS('Other Sale'!$D:$D,'Other Sale'!$E:$E,$M$3,'Other Sale'!$C:$C,$J321,'Other Sale'!$A:$A,$A321)))))</f>
        <v/>
      </c>
      <c r="F321" s="347" t="str" cm="1">
        <f t="array" ref="F321">IF($A321="","",IF($J321="Payment",IFERROR(INDEX(_xlfn._xlws.FILTER(MasterPaid[Amount Paid],(MasterPaid[Customer]=$M$3)*(MasterPaid[Date]=$A321)),COUNTIFS($A$6:$A321,$A321,$J$6:$J321,"Payment")),0),0))</f>
        <v/>
      </c>
      <c r="G321" s="331"/>
      <c r="H321" s="427"/>
      <c r="I321" s="330" t="str">
        <f t="shared" si="14"/>
        <v/>
      </c>
      <c r="J321" s="344" t="str" cm="1">
        <f t="array" ref="J321">IFERROR(INDEX(_xlfn.ANCHORARRAY($P$6),ROW()-5,3),"")</f>
        <v/>
      </c>
      <c r="K321" s="432" t="str" cm="1">
        <f t="array" ref="K321">IF(OR($A321="",$J321&lt;&gt;"DIESEL"),"",_xlfn.LET(_xlpm.qty,N($C321),_xlpm.pos,$T$5:$T$54,_xlpm.alo,IF($U$5:$U$54="",0,$U$5:$U$54),_xlpm.usd,SUMIFS($C$6:$C320,$K$6:$K320,_xlpm.pos&amp;""),_xlpm.bal,_xlpm.alo-_xlpm.usd,IFERROR(INDEX(_xlfn._xlws.FILTER(_xlpm.pos,(_xlpm.pos&lt;&gt;"")*(_xlpm.qty&gt;0)*(_xlpm.bal&gt;=_xlpm.qty)),1),"")))</f>
        <v/>
      </c>
      <c r="L321" s="348"/>
    </row>
    <row r="322" spans="1:12" ht="23" x14ac:dyDescent="0.25">
      <c r="A322" s="217" t="str" cm="1">
        <f t="array" ref="A322">IFERROR(INDEX(_xlfn.ANCHORARRAY($P$6),ROW()-5,1),"")</f>
        <v/>
      </c>
      <c r="B322" s="344" t="str" cm="1">
        <f t="array" ref="B322">IFERROR(INDEX(_xlfn.ANCHORARRAY($P$6),ROW()-5,2),"")</f>
        <v/>
      </c>
      <c r="C322" s="345" t="str">
        <f>IF($A322="","",IF($J322="DIESEL",SUMIFS(Table1[Quantity],Table1[Customer],$M$3,Table1[Date],$A322,Table1[Bill No.],$B322),IF($J322="PETROL",SUMIFS(Table14[Quantity],Table14[Customer],$M$3,Table14[Date],$A322,Table14[Bill No.],$B322),IF($J322="XtraGreen",SUMIFS(Table146[Quantity],Table146[Company],$M$3,Table146[Date],$A322,Table146[Bill No.],$B322),""))))</f>
        <v/>
      </c>
      <c r="D322" s="346" t="str">
        <f>IF($A322="","",IF($J322="DIESEL",AVERAGEIFS(Table1[RSP],Table1[Customer],$M$3,Table1[Date],$A322,Table1[Bill No.],$B322),IF($J322="PETROL",AVERAGEIFS(Table14[RSP],Table14[Customer],$M$3,Table14[Date],$A322,Table14[Bill No.],$B322),IF($J322="XtraGreen",AVERAGEIFS(Table146[RSP],Table146[Company],$M$3,Table146[Date],$A322,Table146[Bill No.],$B322),IFERROR($E322/$C322,"")))))</f>
        <v/>
      </c>
      <c r="E322" s="347" t="str">
        <f>IF($A322="","",IF($J322="DIESEL",SUMIFS(Table1[Amount],Table1[Customer],$M$3,Table1[Date],$A322,Table1[Bill No.],$B322),IF($J322="PETROL",SUMIFS(Table14[Amount],Table14[Customer],$M$3,Table14[Date],$A322,Table14[Bill No.],$B322),IF($J322="XtraGreen",SUMIFS(Table146[Amount],Table146[Company],$M$3,Table146[Date],$A322,Table146[Bill No.],$B322),SUMIFS('Other Sale'!$D:$D,'Other Sale'!$E:$E,$M$3,'Other Sale'!$C:$C,$J322,'Other Sale'!$A:$A,$A322)))))</f>
        <v/>
      </c>
      <c r="F322" s="347" t="str" cm="1">
        <f t="array" ref="F322">IF($A322="","",IF($J322="Payment",IFERROR(INDEX(_xlfn._xlws.FILTER(MasterPaid[Amount Paid],(MasterPaid[Customer]=$M$3)*(MasterPaid[Date]=$A322)),COUNTIFS($A$6:$A322,$A322,$J$6:$J322,"Payment")),0),0))</f>
        <v/>
      </c>
      <c r="G322" s="331"/>
      <c r="H322" s="427"/>
      <c r="I322" s="330" t="str">
        <f t="shared" si="14"/>
        <v/>
      </c>
      <c r="J322" s="344" t="str" cm="1">
        <f t="array" ref="J322">IFERROR(INDEX(_xlfn.ANCHORARRAY($P$6),ROW()-5,3),"")</f>
        <v/>
      </c>
      <c r="K322" s="432" t="str" cm="1">
        <f t="array" ref="K322">IF(OR($A322="",$J322&lt;&gt;"DIESEL"),"",_xlfn.LET(_xlpm.qty,N($C322),_xlpm.pos,$T$5:$T$54,_xlpm.alo,IF($U$5:$U$54="",0,$U$5:$U$54),_xlpm.usd,SUMIFS($C$6:$C321,$K$6:$K321,_xlpm.pos&amp;""),_xlpm.bal,_xlpm.alo-_xlpm.usd,IFERROR(INDEX(_xlfn._xlws.FILTER(_xlpm.pos,(_xlpm.pos&lt;&gt;"")*(_xlpm.qty&gt;0)*(_xlpm.bal&gt;=_xlpm.qty)),1),"")))</f>
        <v/>
      </c>
      <c r="L322" s="348"/>
    </row>
    <row r="323" spans="1:12" ht="23" x14ac:dyDescent="0.25">
      <c r="A323" s="217" t="str" cm="1">
        <f t="array" ref="A323">IFERROR(INDEX(_xlfn.ANCHORARRAY($P$6),ROW()-5,1),"")</f>
        <v/>
      </c>
      <c r="B323" s="344" t="str" cm="1">
        <f t="array" ref="B323">IFERROR(INDEX(_xlfn.ANCHORARRAY($P$6),ROW()-5,2),"")</f>
        <v/>
      </c>
      <c r="C323" s="345" t="str">
        <f>IF($A323="","",IF($J323="DIESEL",SUMIFS(Table1[Quantity],Table1[Customer],$M$3,Table1[Date],$A323,Table1[Bill No.],$B323),IF($J323="PETROL",SUMIFS(Table14[Quantity],Table14[Customer],$M$3,Table14[Date],$A323,Table14[Bill No.],$B323),IF($J323="XtraGreen",SUMIFS(Table146[Quantity],Table146[Company],$M$3,Table146[Date],$A323,Table146[Bill No.],$B323),""))))</f>
        <v/>
      </c>
      <c r="D323" s="346" t="str">
        <f>IF($A323="","",IF($J323="DIESEL",AVERAGEIFS(Table1[RSP],Table1[Customer],$M$3,Table1[Date],$A323,Table1[Bill No.],$B323),IF($J323="PETROL",AVERAGEIFS(Table14[RSP],Table14[Customer],$M$3,Table14[Date],$A323,Table14[Bill No.],$B323),IF($J323="XtraGreen",AVERAGEIFS(Table146[RSP],Table146[Company],$M$3,Table146[Date],$A323,Table146[Bill No.],$B323),IFERROR($E323/$C323,"")))))</f>
        <v/>
      </c>
      <c r="E323" s="347" t="str">
        <f>IF($A323="","",IF($J323="DIESEL",SUMIFS(Table1[Amount],Table1[Customer],$M$3,Table1[Date],$A323,Table1[Bill No.],$B323),IF($J323="PETROL",SUMIFS(Table14[Amount],Table14[Customer],$M$3,Table14[Date],$A323,Table14[Bill No.],$B323),IF($J323="XtraGreen",SUMIFS(Table146[Amount],Table146[Company],$M$3,Table146[Date],$A323,Table146[Bill No.],$B323),SUMIFS('Other Sale'!$D:$D,'Other Sale'!$E:$E,$M$3,'Other Sale'!$C:$C,$J323,'Other Sale'!$A:$A,$A323)))))</f>
        <v/>
      </c>
      <c r="F323" s="347" t="str" cm="1">
        <f t="array" ref="F323">IF($A323="","",IF($J323="Payment",IFERROR(INDEX(_xlfn._xlws.FILTER(MasterPaid[Amount Paid],(MasterPaid[Customer]=$M$3)*(MasterPaid[Date]=$A323)),COUNTIFS($A$6:$A323,$A323,$J$6:$J323,"Payment")),0),0))</f>
        <v/>
      </c>
      <c r="G323" s="331"/>
      <c r="H323" s="427"/>
      <c r="I323" s="330" t="str">
        <f t="shared" si="14"/>
        <v/>
      </c>
      <c r="J323" s="344" t="str" cm="1">
        <f t="array" ref="J323">IFERROR(INDEX(_xlfn.ANCHORARRAY($P$6),ROW()-5,3),"")</f>
        <v/>
      </c>
      <c r="K323" s="432" t="str" cm="1">
        <f t="array" ref="K323">IF(OR($A323="",$J323&lt;&gt;"DIESEL"),"",_xlfn.LET(_xlpm.qty,N($C323),_xlpm.pos,$T$5:$T$54,_xlpm.alo,IF($U$5:$U$54="",0,$U$5:$U$54),_xlpm.usd,SUMIFS($C$6:$C322,$K$6:$K322,_xlpm.pos&amp;""),_xlpm.bal,_xlpm.alo-_xlpm.usd,IFERROR(INDEX(_xlfn._xlws.FILTER(_xlpm.pos,(_xlpm.pos&lt;&gt;"")*(_xlpm.qty&gt;0)*(_xlpm.bal&gt;=_xlpm.qty)),1),"")))</f>
        <v/>
      </c>
      <c r="L323" s="348"/>
    </row>
    <row r="324" spans="1:12" ht="23" x14ac:dyDescent="0.25">
      <c r="A324" s="217" t="str" cm="1">
        <f t="array" ref="A324">IFERROR(INDEX(_xlfn.ANCHORARRAY($P$6),ROW()-5,1),"")</f>
        <v/>
      </c>
      <c r="B324" s="344" t="str" cm="1">
        <f t="array" ref="B324">IFERROR(INDEX(_xlfn.ANCHORARRAY($P$6),ROW()-5,2),"")</f>
        <v/>
      </c>
      <c r="C324" s="345" t="str">
        <f>IF($A324="","",IF($J324="DIESEL",SUMIFS(Table1[Quantity],Table1[Customer],$M$3,Table1[Date],$A324,Table1[Bill No.],$B324),IF($J324="PETROL",SUMIFS(Table14[Quantity],Table14[Customer],$M$3,Table14[Date],$A324,Table14[Bill No.],$B324),IF($J324="XtraGreen",SUMIFS(Table146[Quantity],Table146[Company],$M$3,Table146[Date],$A324,Table146[Bill No.],$B324),""))))</f>
        <v/>
      </c>
      <c r="D324" s="346" t="str">
        <f>IF($A324="","",IF($J324="DIESEL",AVERAGEIFS(Table1[RSP],Table1[Customer],$M$3,Table1[Date],$A324,Table1[Bill No.],$B324),IF($J324="PETROL",AVERAGEIFS(Table14[RSP],Table14[Customer],$M$3,Table14[Date],$A324,Table14[Bill No.],$B324),IF($J324="XtraGreen",AVERAGEIFS(Table146[RSP],Table146[Company],$M$3,Table146[Date],$A324,Table146[Bill No.],$B324),IFERROR($E324/$C324,"")))))</f>
        <v/>
      </c>
      <c r="E324" s="347" t="str">
        <f>IF($A324="","",IF($J324="DIESEL",SUMIFS(Table1[Amount],Table1[Customer],$M$3,Table1[Date],$A324,Table1[Bill No.],$B324),IF($J324="PETROL",SUMIFS(Table14[Amount],Table14[Customer],$M$3,Table14[Date],$A324,Table14[Bill No.],$B324),IF($J324="XtraGreen",SUMIFS(Table146[Amount],Table146[Company],$M$3,Table146[Date],$A324,Table146[Bill No.],$B324),SUMIFS('Other Sale'!$D:$D,'Other Sale'!$E:$E,$M$3,'Other Sale'!$C:$C,$J324,'Other Sale'!$A:$A,$A324)))))</f>
        <v/>
      </c>
      <c r="F324" s="347" t="str" cm="1">
        <f t="array" ref="F324">IF($A324="","",IF($J324="Payment",IFERROR(INDEX(_xlfn._xlws.FILTER(MasterPaid[Amount Paid],(MasterPaid[Customer]=$M$3)*(MasterPaid[Date]=$A324)),COUNTIFS($A$6:$A324,$A324,$J$6:$J324,"Payment")),0),0))</f>
        <v/>
      </c>
      <c r="G324" s="331"/>
      <c r="H324" s="427"/>
      <c r="I324" s="330" t="str">
        <f t="shared" si="14"/>
        <v/>
      </c>
      <c r="J324" s="344" t="str" cm="1">
        <f t="array" ref="J324">IFERROR(INDEX(_xlfn.ANCHORARRAY($P$6),ROW()-5,3),"")</f>
        <v/>
      </c>
      <c r="K324" s="432" t="str" cm="1">
        <f t="array" ref="K324">IF(OR($A324="",$J324&lt;&gt;"DIESEL"),"",_xlfn.LET(_xlpm.qty,N($C324),_xlpm.pos,$T$5:$T$54,_xlpm.alo,IF($U$5:$U$54="",0,$U$5:$U$54),_xlpm.usd,SUMIFS($C$6:$C323,$K$6:$K323,_xlpm.pos&amp;""),_xlpm.bal,_xlpm.alo-_xlpm.usd,IFERROR(INDEX(_xlfn._xlws.FILTER(_xlpm.pos,(_xlpm.pos&lt;&gt;"")*(_xlpm.qty&gt;0)*(_xlpm.bal&gt;=_xlpm.qty)),1),"")))</f>
        <v/>
      </c>
      <c r="L324" s="348"/>
    </row>
    <row r="325" spans="1:12" ht="23" x14ac:dyDescent="0.25">
      <c r="A325" s="217" t="str" cm="1">
        <f t="array" ref="A325">IFERROR(INDEX(_xlfn.ANCHORARRAY($P$6),ROW()-5,1),"")</f>
        <v/>
      </c>
      <c r="B325" s="344" t="str" cm="1">
        <f t="array" ref="B325">IFERROR(INDEX(_xlfn.ANCHORARRAY($P$6),ROW()-5,2),"")</f>
        <v/>
      </c>
      <c r="C325" s="345" t="str">
        <f>IF($A325="","",IF($J325="DIESEL",SUMIFS(Table1[Quantity],Table1[Customer],$M$3,Table1[Date],$A325,Table1[Bill No.],$B325),IF($J325="PETROL",SUMIFS(Table14[Quantity],Table14[Customer],$M$3,Table14[Date],$A325,Table14[Bill No.],$B325),IF($J325="XtraGreen",SUMIFS(Table146[Quantity],Table146[Company],$M$3,Table146[Date],$A325,Table146[Bill No.],$B325),""))))</f>
        <v/>
      </c>
      <c r="D325" s="346" t="str">
        <f>IF($A325="","",IF($J325="DIESEL",AVERAGEIFS(Table1[RSP],Table1[Customer],$M$3,Table1[Date],$A325,Table1[Bill No.],$B325),IF($J325="PETROL",AVERAGEIFS(Table14[RSP],Table14[Customer],$M$3,Table14[Date],$A325,Table14[Bill No.],$B325),IF($J325="XtraGreen",AVERAGEIFS(Table146[RSP],Table146[Company],$M$3,Table146[Date],$A325,Table146[Bill No.],$B325),IFERROR($E325/$C325,"")))))</f>
        <v/>
      </c>
      <c r="E325" s="347" t="str">
        <f>IF($A325="","",IF($J325="DIESEL",SUMIFS(Table1[Amount],Table1[Customer],$M$3,Table1[Date],$A325,Table1[Bill No.],$B325),IF($J325="PETROL",SUMIFS(Table14[Amount],Table14[Customer],$M$3,Table14[Date],$A325,Table14[Bill No.],$B325),IF($J325="XtraGreen",SUMIFS(Table146[Amount],Table146[Company],$M$3,Table146[Date],$A325,Table146[Bill No.],$B325),SUMIFS('Other Sale'!$D:$D,'Other Sale'!$E:$E,$M$3,'Other Sale'!$C:$C,$J325,'Other Sale'!$A:$A,$A325)))))</f>
        <v/>
      </c>
      <c r="F325" s="347" t="str" cm="1">
        <f t="array" ref="F325">IF($A325="","",IF($J325="Payment",IFERROR(INDEX(_xlfn._xlws.FILTER(MasterPaid[Amount Paid],(MasterPaid[Customer]=$M$3)*(MasterPaid[Date]=$A325)),COUNTIFS($A$6:$A325,$A325,$J$6:$J325,"Payment")),0),0))</f>
        <v/>
      </c>
      <c r="G325" s="331"/>
      <c r="H325" s="427"/>
      <c r="I325" s="330" t="str">
        <f t="shared" si="14"/>
        <v/>
      </c>
      <c r="J325" s="344" t="str" cm="1">
        <f t="array" ref="J325">IFERROR(INDEX(_xlfn.ANCHORARRAY($P$6),ROW()-5,3),"")</f>
        <v/>
      </c>
      <c r="K325" s="432" t="str" cm="1">
        <f t="array" ref="K325">IF(OR($A325="",$J325&lt;&gt;"DIESEL"),"",_xlfn.LET(_xlpm.qty,N($C325),_xlpm.pos,$T$5:$T$54,_xlpm.alo,IF($U$5:$U$54="",0,$U$5:$U$54),_xlpm.usd,SUMIFS($C$6:$C324,$K$6:$K324,_xlpm.pos&amp;""),_xlpm.bal,_xlpm.alo-_xlpm.usd,IFERROR(INDEX(_xlfn._xlws.FILTER(_xlpm.pos,(_xlpm.pos&lt;&gt;"")*(_xlpm.qty&gt;0)*(_xlpm.bal&gt;=_xlpm.qty)),1),"")))</f>
        <v/>
      </c>
      <c r="L325" s="348"/>
    </row>
    <row r="326" spans="1:12" ht="23" x14ac:dyDescent="0.25">
      <c r="A326" s="217" t="str" cm="1">
        <f t="array" ref="A326">IFERROR(INDEX(_xlfn.ANCHORARRAY($P$6),ROW()-5,1),"")</f>
        <v/>
      </c>
      <c r="B326" s="344" t="str" cm="1">
        <f t="array" ref="B326">IFERROR(INDEX(_xlfn.ANCHORARRAY($P$6),ROW()-5,2),"")</f>
        <v/>
      </c>
      <c r="C326" s="345" t="str">
        <f>IF($A326="","",IF($J326="DIESEL",SUMIFS(Table1[Quantity],Table1[Customer],$M$3,Table1[Date],$A326,Table1[Bill No.],$B326),IF($J326="PETROL",SUMIFS(Table14[Quantity],Table14[Customer],$M$3,Table14[Date],$A326,Table14[Bill No.],$B326),IF($J326="XtraGreen",SUMIFS(Table146[Quantity],Table146[Company],$M$3,Table146[Date],$A326,Table146[Bill No.],$B326),""))))</f>
        <v/>
      </c>
      <c r="D326" s="346" t="str">
        <f>IF($A326="","",IF($J326="DIESEL",AVERAGEIFS(Table1[RSP],Table1[Customer],$M$3,Table1[Date],$A326,Table1[Bill No.],$B326),IF($J326="PETROL",AVERAGEIFS(Table14[RSP],Table14[Customer],$M$3,Table14[Date],$A326,Table14[Bill No.],$B326),IF($J326="XtraGreen",AVERAGEIFS(Table146[RSP],Table146[Company],$M$3,Table146[Date],$A326,Table146[Bill No.],$B326),IFERROR($E326/$C326,"")))))</f>
        <v/>
      </c>
      <c r="E326" s="347" t="str">
        <f>IF($A326="","",IF($J326="DIESEL",SUMIFS(Table1[Amount],Table1[Customer],$M$3,Table1[Date],$A326,Table1[Bill No.],$B326),IF($J326="PETROL",SUMIFS(Table14[Amount],Table14[Customer],$M$3,Table14[Date],$A326,Table14[Bill No.],$B326),IF($J326="XtraGreen",SUMIFS(Table146[Amount],Table146[Company],$M$3,Table146[Date],$A326,Table146[Bill No.],$B326),SUMIFS('Other Sale'!$D:$D,'Other Sale'!$E:$E,$M$3,'Other Sale'!$C:$C,$J326,'Other Sale'!$A:$A,$A326)))))</f>
        <v/>
      </c>
      <c r="F326" s="347" t="str" cm="1">
        <f t="array" ref="F326">IF($A326="","",IF($J326="Payment",IFERROR(INDEX(_xlfn._xlws.FILTER(MasterPaid[Amount Paid],(MasterPaid[Customer]=$M$3)*(MasterPaid[Date]=$A326)),COUNTIFS($A$6:$A326,$A326,$J$6:$J326,"Payment")),0),0))</f>
        <v/>
      </c>
      <c r="G326" s="331"/>
      <c r="H326" s="427"/>
      <c r="I326" s="330" t="str">
        <f t="shared" si="14"/>
        <v/>
      </c>
      <c r="J326" s="344" t="str" cm="1">
        <f t="array" ref="J326">IFERROR(INDEX(_xlfn.ANCHORARRAY($P$6),ROW()-5,3),"")</f>
        <v/>
      </c>
      <c r="K326" s="432" t="str" cm="1">
        <f t="array" ref="K326">IF(OR($A326="",$J326&lt;&gt;"DIESEL"),"",_xlfn.LET(_xlpm.qty,N($C326),_xlpm.pos,$T$5:$T$54,_xlpm.alo,IF($U$5:$U$54="",0,$U$5:$U$54),_xlpm.usd,SUMIFS($C$6:$C325,$K$6:$K325,_xlpm.pos&amp;""),_xlpm.bal,_xlpm.alo-_xlpm.usd,IFERROR(INDEX(_xlfn._xlws.FILTER(_xlpm.pos,(_xlpm.pos&lt;&gt;"")*(_xlpm.qty&gt;0)*(_xlpm.bal&gt;=_xlpm.qty)),1),"")))</f>
        <v/>
      </c>
      <c r="L326" s="348"/>
    </row>
    <row r="327" spans="1:12" ht="23" x14ac:dyDescent="0.25">
      <c r="A327" s="217" t="str" cm="1">
        <f t="array" ref="A327">IFERROR(INDEX(_xlfn.ANCHORARRAY($P$6),ROW()-5,1),"")</f>
        <v/>
      </c>
      <c r="B327" s="344" t="str" cm="1">
        <f t="array" ref="B327">IFERROR(INDEX(_xlfn.ANCHORARRAY($P$6),ROW()-5,2),"")</f>
        <v/>
      </c>
      <c r="C327" s="345" t="str">
        <f>IF($A327="","",IF($J327="DIESEL",SUMIFS(Table1[Quantity],Table1[Customer],$M$3,Table1[Date],$A327,Table1[Bill No.],$B327),IF($J327="PETROL",SUMIFS(Table14[Quantity],Table14[Customer],$M$3,Table14[Date],$A327,Table14[Bill No.],$B327),IF($J327="XtraGreen",SUMIFS(Table146[Quantity],Table146[Company],$M$3,Table146[Date],$A327,Table146[Bill No.],$B327),""))))</f>
        <v/>
      </c>
      <c r="D327" s="346" t="str">
        <f>IF($A327="","",IF($J327="DIESEL",AVERAGEIFS(Table1[RSP],Table1[Customer],$M$3,Table1[Date],$A327,Table1[Bill No.],$B327),IF($J327="PETROL",AVERAGEIFS(Table14[RSP],Table14[Customer],$M$3,Table14[Date],$A327,Table14[Bill No.],$B327),IF($J327="XtraGreen",AVERAGEIFS(Table146[RSP],Table146[Company],$M$3,Table146[Date],$A327,Table146[Bill No.],$B327),IFERROR($E327/$C327,"")))))</f>
        <v/>
      </c>
      <c r="E327" s="347" t="str">
        <f>IF($A327="","",IF($J327="DIESEL",SUMIFS(Table1[Amount],Table1[Customer],$M$3,Table1[Date],$A327,Table1[Bill No.],$B327),IF($J327="PETROL",SUMIFS(Table14[Amount],Table14[Customer],$M$3,Table14[Date],$A327,Table14[Bill No.],$B327),IF($J327="XtraGreen",SUMIFS(Table146[Amount],Table146[Company],$M$3,Table146[Date],$A327,Table146[Bill No.],$B327),SUMIFS('Other Sale'!$D:$D,'Other Sale'!$E:$E,$M$3,'Other Sale'!$C:$C,$J327,'Other Sale'!$A:$A,$A327)))))</f>
        <v/>
      </c>
      <c r="F327" s="347" t="str" cm="1">
        <f t="array" ref="F327">IF($A327="","",IF($J327="Payment",IFERROR(INDEX(_xlfn._xlws.FILTER(MasterPaid[Amount Paid],(MasterPaid[Customer]=$M$3)*(MasterPaid[Date]=$A327)),COUNTIFS($A$6:$A327,$A327,$J$6:$J327,"Payment")),0),0))</f>
        <v/>
      </c>
      <c r="G327" s="331"/>
      <c r="H327" s="427"/>
      <c r="I327" s="330" t="str">
        <f t="shared" si="14"/>
        <v/>
      </c>
      <c r="J327" s="344" t="str" cm="1">
        <f t="array" ref="J327">IFERROR(INDEX(_xlfn.ANCHORARRAY($P$6),ROW()-5,3),"")</f>
        <v/>
      </c>
      <c r="K327" s="432" t="str" cm="1">
        <f t="array" ref="K327">IF(OR($A327="",$J327&lt;&gt;"DIESEL"),"",_xlfn.LET(_xlpm.qty,N($C327),_xlpm.pos,$T$5:$T$54,_xlpm.alo,IF($U$5:$U$54="",0,$U$5:$U$54),_xlpm.usd,SUMIFS($C$6:$C326,$K$6:$K326,_xlpm.pos&amp;""),_xlpm.bal,_xlpm.alo-_xlpm.usd,IFERROR(INDEX(_xlfn._xlws.FILTER(_xlpm.pos,(_xlpm.pos&lt;&gt;"")*(_xlpm.qty&gt;0)*(_xlpm.bal&gt;=_xlpm.qty)),1),"")))</f>
        <v/>
      </c>
      <c r="L327" s="348"/>
    </row>
    <row r="328" spans="1:12" ht="23" x14ac:dyDescent="0.25">
      <c r="A328" s="217" t="str" cm="1">
        <f t="array" ref="A328">IFERROR(INDEX(_xlfn.ANCHORARRAY($P$6),ROW()-5,1),"")</f>
        <v/>
      </c>
      <c r="B328" s="344" t="str" cm="1">
        <f t="array" ref="B328">IFERROR(INDEX(_xlfn.ANCHORARRAY($P$6),ROW()-5,2),"")</f>
        <v/>
      </c>
      <c r="C328" s="345" t="str">
        <f>IF($A328="","",IF($J328="DIESEL",SUMIFS(Table1[Quantity],Table1[Customer],$M$3,Table1[Date],$A328,Table1[Bill No.],$B328),IF($J328="PETROL",SUMIFS(Table14[Quantity],Table14[Customer],$M$3,Table14[Date],$A328,Table14[Bill No.],$B328),IF($J328="XtraGreen",SUMIFS(Table146[Quantity],Table146[Company],$M$3,Table146[Date],$A328,Table146[Bill No.],$B328),""))))</f>
        <v/>
      </c>
      <c r="D328" s="346" t="str">
        <f>IF($A328="","",IF($J328="DIESEL",AVERAGEIFS(Table1[RSP],Table1[Customer],$M$3,Table1[Date],$A328,Table1[Bill No.],$B328),IF($J328="PETROL",AVERAGEIFS(Table14[RSP],Table14[Customer],$M$3,Table14[Date],$A328,Table14[Bill No.],$B328),IF($J328="XtraGreen",AVERAGEIFS(Table146[RSP],Table146[Company],$M$3,Table146[Date],$A328,Table146[Bill No.],$B328),IFERROR($E328/$C328,"")))))</f>
        <v/>
      </c>
      <c r="E328" s="347" t="str">
        <f>IF($A328="","",IF($J328="DIESEL",SUMIFS(Table1[Amount],Table1[Customer],$M$3,Table1[Date],$A328,Table1[Bill No.],$B328),IF($J328="PETROL",SUMIFS(Table14[Amount],Table14[Customer],$M$3,Table14[Date],$A328,Table14[Bill No.],$B328),IF($J328="XtraGreen",SUMIFS(Table146[Amount],Table146[Company],$M$3,Table146[Date],$A328,Table146[Bill No.],$B328),SUMIFS('Other Sale'!$D:$D,'Other Sale'!$E:$E,$M$3,'Other Sale'!$C:$C,$J328,'Other Sale'!$A:$A,$A328)))))</f>
        <v/>
      </c>
      <c r="F328" s="347" t="str" cm="1">
        <f t="array" ref="F328">IF($A328="","",IF($J328="Payment",IFERROR(INDEX(_xlfn._xlws.FILTER(MasterPaid[Amount Paid],(MasterPaid[Customer]=$M$3)*(MasterPaid[Date]=$A328)),COUNTIFS($A$6:$A328,$A328,$J$6:$J328,"Payment")),0),0))</f>
        <v/>
      </c>
      <c r="G328" s="331"/>
      <c r="H328" s="427"/>
      <c r="I328" s="330" t="str">
        <f t="shared" si="14"/>
        <v/>
      </c>
      <c r="J328" s="344" t="str" cm="1">
        <f t="array" ref="J328">IFERROR(INDEX(_xlfn.ANCHORARRAY($P$6),ROW()-5,3),"")</f>
        <v/>
      </c>
      <c r="K328" s="432" t="str" cm="1">
        <f t="array" ref="K328">IF(OR($A328="",$J328&lt;&gt;"DIESEL"),"",_xlfn.LET(_xlpm.qty,N($C328),_xlpm.pos,$T$5:$T$54,_xlpm.alo,IF($U$5:$U$54="",0,$U$5:$U$54),_xlpm.usd,SUMIFS($C$6:$C327,$K$6:$K327,_xlpm.pos&amp;""),_xlpm.bal,_xlpm.alo-_xlpm.usd,IFERROR(INDEX(_xlfn._xlws.FILTER(_xlpm.pos,(_xlpm.pos&lt;&gt;"")*(_xlpm.qty&gt;0)*(_xlpm.bal&gt;=_xlpm.qty)),1),"")))</f>
        <v/>
      </c>
      <c r="L328" s="348"/>
    </row>
    <row r="329" spans="1:12" ht="23" x14ac:dyDescent="0.25">
      <c r="A329" s="217" t="str" cm="1">
        <f t="array" ref="A329">IFERROR(INDEX(_xlfn.ANCHORARRAY($P$6),ROW()-5,1),"")</f>
        <v/>
      </c>
      <c r="B329" s="344" t="str" cm="1">
        <f t="array" ref="B329">IFERROR(INDEX(_xlfn.ANCHORARRAY($P$6),ROW()-5,2),"")</f>
        <v/>
      </c>
      <c r="C329" s="345" t="str">
        <f>IF($A329="","",IF($J329="DIESEL",SUMIFS(Table1[Quantity],Table1[Customer],$M$3,Table1[Date],$A329,Table1[Bill No.],$B329),IF($J329="PETROL",SUMIFS(Table14[Quantity],Table14[Customer],$M$3,Table14[Date],$A329,Table14[Bill No.],$B329),IF($J329="XtraGreen",SUMIFS(Table146[Quantity],Table146[Company],$M$3,Table146[Date],$A329,Table146[Bill No.],$B329),""))))</f>
        <v/>
      </c>
      <c r="D329" s="346" t="str">
        <f>IF($A329="","",IF($J329="DIESEL",AVERAGEIFS(Table1[RSP],Table1[Customer],$M$3,Table1[Date],$A329,Table1[Bill No.],$B329),IF($J329="PETROL",AVERAGEIFS(Table14[RSP],Table14[Customer],$M$3,Table14[Date],$A329,Table14[Bill No.],$B329),IF($J329="XtraGreen",AVERAGEIFS(Table146[RSP],Table146[Company],$M$3,Table146[Date],$A329,Table146[Bill No.],$B329),IFERROR($E329/$C329,"")))))</f>
        <v/>
      </c>
      <c r="E329" s="347" t="str">
        <f>IF($A329="","",IF($J329="DIESEL",SUMIFS(Table1[Amount],Table1[Customer],$M$3,Table1[Date],$A329,Table1[Bill No.],$B329),IF($J329="PETROL",SUMIFS(Table14[Amount],Table14[Customer],$M$3,Table14[Date],$A329,Table14[Bill No.],$B329),IF($J329="XtraGreen",SUMIFS(Table146[Amount],Table146[Company],$M$3,Table146[Date],$A329,Table146[Bill No.],$B329),SUMIFS('Other Sale'!$D:$D,'Other Sale'!$E:$E,$M$3,'Other Sale'!$C:$C,$J329,'Other Sale'!$A:$A,$A329)))))</f>
        <v/>
      </c>
      <c r="F329" s="347" t="str" cm="1">
        <f t="array" ref="F329">IF($A329="","",IF($J329="Payment",IFERROR(INDEX(_xlfn._xlws.FILTER(MasterPaid[Amount Paid],(MasterPaid[Customer]=$M$3)*(MasterPaid[Date]=$A329)),COUNTIFS($A$6:$A329,$A329,$J$6:$J329,"Payment")),0),0))</f>
        <v/>
      </c>
      <c r="G329" s="331"/>
      <c r="H329" s="427"/>
      <c r="I329" s="330" t="str">
        <f t="shared" si="14"/>
        <v/>
      </c>
      <c r="J329" s="344" t="str" cm="1">
        <f t="array" ref="J329">IFERROR(INDEX(_xlfn.ANCHORARRAY($P$6),ROW()-5,3),"")</f>
        <v/>
      </c>
      <c r="K329" s="432" t="str" cm="1">
        <f t="array" ref="K329">IF(OR($A329="",$J329&lt;&gt;"DIESEL"),"",_xlfn.LET(_xlpm.qty,N($C329),_xlpm.pos,$T$5:$T$54,_xlpm.alo,IF($U$5:$U$54="",0,$U$5:$U$54),_xlpm.usd,SUMIFS($C$6:$C328,$K$6:$K328,_xlpm.pos&amp;""),_xlpm.bal,_xlpm.alo-_xlpm.usd,IFERROR(INDEX(_xlfn._xlws.FILTER(_xlpm.pos,(_xlpm.pos&lt;&gt;"")*(_xlpm.qty&gt;0)*(_xlpm.bal&gt;=_xlpm.qty)),1),"")))</f>
        <v/>
      </c>
      <c r="L329" s="348"/>
    </row>
    <row r="330" spans="1:12" ht="23" x14ac:dyDescent="0.25">
      <c r="A330" s="217" t="str" cm="1">
        <f t="array" ref="A330">IFERROR(INDEX(_xlfn.ANCHORARRAY($P$6),ROW()-5,1),"")</f>
        <v/>
      </c>
      <c r="B330" s="344" t="str" cm="1">
        <f t="array" ref="B330">IFERROR(INDEX(_xlfn.ANCHORARRAY($P$6),ROW()-5,2),"")</f>
        <v/>
      </c>
      <c r="C330" s="345" t="str">
        <f>IF($A330="","",IF($J330="DIESEL",SUMIFS(Table1[Quantity],Table1[Customer],$M$3,Table1[Date],$A330,Table1[Bill No.],$B330),IF($J330="PETROL",SUMIFS(Table14[Quantity],Table14[Customer],$M$3,Table14[Date],$A330,Table14[Bill No.],$B330),IF($J330="XtraGreen",SUMIFS(Table146[Quantity],Table146[Company],$M$3,Table146[Date],$A330,Table146[Bill No.],$B330),""))))</f>
        <v/>
      </c>
      <c r="D330" s="346" t="str">
        <f>IF($A330="","",IF($J330="DIESEL",AVERAGEIFS(Table1[RSP],Table1[Customer],$M$3,Table1[Date],$A330,Table1[Bill No.],$B330),IF($J330="PETROL",AVERAGEIFS(Table14[RSP],Table14[Customer],$M$3,Table14[Date],$A330,Table14[Bill No.],$B330),IF($J330="XtraGreen",AVERAGEIFS(Table146[RSP],Table146[Company],$M$3,Table146[Date],$A330,Table146[Bill No.],$B330),IFERROR($E330/$C330,"")))))</f>
        <v/>
      </c>
      <c r="E330" s="347" t="str">
        <f>IF($A330="","",IF($J330="DIESEL",SUMIFS(Table1[Amount],Table1[Customer],$M$3,Table1[Date],$A330,Table1[Bill No.],$B330),IF($J330="PETROL",SUMIFS(Table14[Amount],Table14[Customer],$M$3,Table14[Date],$A330,Table14[Bill No.],$B330),IF($J330="XtraGreen",SUMIFS(Table146[Amount],Table146[Company],$M$3,Table146[Date],$A330,Table146[Bill No.],$B330),SUMIFS('Other Sale'!$D:$D,'Other Sale'!$E:$E,$M$3,'Other Sale'!$C:$C,$J330,'Other Sale'!$A:$A,$A330)))))</f>
        <v/>
      </c>
      <c r="F330" s="347" t="str" cm="1">
        <f t="array" ref="F330">IF($A330="","",IF($J330="Payment",IFERROR(INDEX(_xlfn._xlws.FILTER(MasterPaid[Amount Paid],(MasterPaid[Customer]=$M$3)*(MasterPaid[Date]=$A330)),COUNTIFS($A$6:$A330,$A330,$J$6:$J330,"Payment")),0),0))</f>
        <v/>
      </c>
      <c r="G330" s="331"/>
      <c r="H330" s="427"/>
      <c r="I330" s="330" t="str">
        <f t="shared" si="14"/>
        <v/>
      </c>
      <c r="J330" s="344" t="str" cm="1">
        <f t="array" ref="J330">IFERROR(INDEX(_xlfn.ANCHORARRAY($P$6),ROW()-5,3),"")</f>
        <v/>
      </c>
      <c r="K330" s="432" t="str" cm="1">
        <f t="array" ref="K330">IF(OR($A330="",$J330&lt;&gt;"DIESEL"),"",_xlfn.LET(_xlpm.qty,N($C330),_xlpm.pos,$T$5:$T$54,_xlpm.alo,IF($U$5:$U$54="",0,$U$5:$U$54),_xlpm.usd,SUMIFS($C$6:$C329,$K$6:$K329,_xlpm.pos&amp;""),_xlpm.bal,_xlpm.alo-_xlpm.usd,IFERROR(INDEX(_xlfn._xlws.FILTER(_xlpm.pos,(_xlpm.pos&lt;&gt;"")*(_xlpm.qty&gt;0)*(_xlpm.bal&gt;=_xlpm.qty)),1),"")))</f>
        <v/>
      </c>
      <c r="L330" s="348"/>
    </row>
    <row r="331" spans="1:12" ht="23" x14ac:dyDescent="0.25">
      <c r="A331" s="217" t="str" cm="1">
        <f t="array" ref="A331">IFERROR(INDEX(_xlfn.ANCHORARRAY($P$6),ROW()-5,1),"")</f>
        <v/>
      </c>
      <c r="B331" s="344" t="str" cm="1">
        <f t="array" ref="B331">IFERROR(INDEX(_xlfn.ANCHORARRAY($P$6),ROW()-5,2),"")</f>
        <v/>
      </c>
      <c r="C331" s="345" t="str">
        <f>IF($A331="","",IF($J331="DIESEL",SUMIFS(Table1[Quantity],Table1[Customer],$M$3,Table1[Date],$A331,Table1[Bill No.],$B331),IF($J331="PETROL",SUMIFS(Table14[Quantity],Table14[Customer],$M$3,Table14[Date],$A331,Table14[Bill No.],$B331),IF($J331="XtraGreen",SUMIFS(Table146[Quantity],Table146[Company],$M$3,Table146[Date],$A331,Table146[Bill No.],$B331),""))))</f>
        <v/>
      </c>
      <c r="D331" s="346" t="str">
        <f>IF($A331="","",IF($J331="DIESEL",AVERAGEIFS(Table1[RSP],Table1[Customer],$M$3,Table1[Date],$A331,Table1[Bill No.],$B331),IF($J331="PETROL",AVERAGEIFS(Table14[RSP],Table14[Customer],$M$3,Table14[Date],$A331,Table14[Bill No.],$B331),IF($J331="XtraGreen",AVERAGEIFS(Table146[RSP],Table146[Company],$M$3,Table146[Date],$A331,Table146[Bill No.],$B331),IFERROR($E331/$C331,"")))))</f>
        <v/>
      </c>
      <c r="E331" s="347" t="str">
        <f>IF($A331="","",IF($J331="DIESEL",SUMIFS(Table1[Amount],Table1[Customer],$M$3,Table1[Date],$A331,Table1[Bill No.],$B331),IF($J331="PETROL",SUMIFS(Table14[Amount],Table14[Customer],$M$3,Table14[Date],$A331,Table14[Bill No.],$B331),IF($J331="XtraGreen",SUMIFS(Table146[Amount],Table146[Company],$M$3,Table146[Date],$A331,Table146[Bill No.],$B331),SUMIFS('Other Sale'!$D:$D,'Other Sale'!$E:$E,$M$3,'Other Sale'!$C:$C,$J331,'Other Sale'!$A:$A,$A331)))))</f>
        <v/>
      </c>
      <c r="F331" s="347" t="str" cm="1">
        <f t="array" ref="F331">IF($A331="","",IF($J331="Payment",IFERROR(INDEX(_xlfn._xlws.FILTER(MasterPaid[Amount Paid],(MasterPaid[Customer]=$M$3)*(MasterPaid[Date]=$A331)),COUNTIFS($A$6:$A331,$A331,$J$6:$J331,"Payment")),0),0))</f>
        <v/>
      </c>
      <c r="G331" s="331"/>
      <c r="H331" s="427"/>
      <c r="I331" s="330" t="str">
        <f t="shared" si="14"/>
        <v/>
      </c>
      <c r="J331" s="344" t="str" cm="1">
        <f t="array" ref="J331">IFERROR(INDEX(_xlfn.ANCHORARRAY($P$6),ROW()-5,3),"")</f>
        <v/>
      </c>
      <c r="K331" s="432" t="str" cm="1">
        <f t="array" ref="K331">IF(OR($A331="",$J331&lt;&gt;"DIESEL"),"",_xlfn.LET(_xlpm.qty,N($C331),_xlpm.pos,$T$5:$T$54,_xlpm.alo,IF($U$5:$U$54="",0,$U$5:$U$54),_xlpm.usd,SUMIFS($C$6:$C330,$K$6:$K330,_xlpm.pos&amp;""),_xlpm.bal,_xlpm.alo-_xlpm.usd,IFERROR(INDEX(_xlfn._xlws.FILTER(_xlpm.pos,(_xlpm.pos&lt;&gt;"")*(_xlpm.qty&gt;0)*(_xlpm.bal&gt;=_xlpm.qty)),1),"")))</f>
        <v/>
      </c>
      <c r="L331" s="348"/>
    </row>
    <row r="332" spans="1:12" ht="23" x14ac:dyDescent="0.25">
      <c r="A332" s="217" t="str" cm="1">
        <f t="array" ref="A332">IFERROR(INDEX(_xlfn.ANCHORARRAY($P$6),ROW()-5,1),"")</f>
        <v/>
      </c>
      <c r="B332" s="344" t="str" cm="1">
        <f t="array" ref="B332">IFERROR(INDEX(_xlfn.ANCHORARRAY($P$6),ROW()-5,2),"")</f>
        <v/>
      </c>
      <c r="C332" s="345" t="str">
        <f>IF($A332="","",IF($J332="DIESEL",SUMIFS(Table1[Quantity],Table1[Customer],$M$3,Table1[Date],$A332,Table1[Bill No.],$B332),IF($J332="PETROL",SUMIFS(Table14[Quantity],Table14[Customer],$M$3,Table14[Date],$A332,Table14[Bill No.],$B332),IF($J332="XtraGreen",SUMIFS(Table146[Quantity],Table146[Company],$M$3,Table146[Date],$A332,Table146[Bill No.],$B332),""))))</f>
        <v/>
      </c>
      <c r="D332" s="346" t="str">
        <f>IF($A332="","",IF($J332="DIESEL",AVERAGEIFS(Table1[RSP],Table1[Customer],$M$3,Table1[Date],$A332,Table1[Bill No.],$B332),IF($J332="PETROL",AVERAGEIFS(Table14[RSP],Table14[Customer],$M$3,Table14[Date],$A332,Table14[Bill No.],$B332),IF($J332="XtraGreen",AVERAGEIFS(Table146[RSP],Table146[Company],$M$3,Table146[Date],$A332,Table146[Bill No.],$B332),IFERROR($E332/$C332,"")))))</f>
        <v/>
      </c>
      <c r="E332" s="347" t="str">
        <f>IF($A332="","",IF($J332="DIESEL",SUMIFS(Table1[Amount],Table1[Customer],$M$3,Table1[Date],$A332,Table1[Bill No.],$B332),IF($J332="PETROL",SUMIFS(Table14[Amount],Table14[Customer],$M$3,Table14[Date],$A332,Table14[Bill No.],$B332),IF($J332="XtraGreen",SUMIFS(Table146[Amount],Table146[Company],$M$3,Table146[Date],$A332,Table146[Bill No.],$B332),SUMIFS('Other Sale'!$D:$D,'Other Sale'!$E:$E,$M$3,'Other Sale'!$C:$C,$J332,'Other Sale'!$A:$A,$A332)))))</f>
        <v/>
      </c>
      <c r="F332" s="347" t="str" cm="1">
        <f t="array" ref="F332">IF($A332="","",IF($J332="Payment",IFERROR(INDEX(_xlfn._xlws.FILTER(MasterPaid[Amount Paid],(MasterPaid[Customer]=$M$3)*(MasterPaid[Date]=$A332)),COUNTIFS($A$6:$A332,$A332,$J$6:$J332,"Payment")),0),0))</f>
        <v/>
      </c>
      <c r="G332" s="331"/>
      <c r="H332" s="427"/>
      <c r="I332" s="330" t="str">
        <f t="shared" si="14"/>
        <v/>
      </c>
      <c r="J332" s="344" t="str" cm="1">
        <f t="array" ref="J332">IFERROR(INDEX(_xlfn.ANCHORARRAY($P$6),ROW()-5,3),"")</f>
        <v/>
      </c>
      <c r="K332" s="432" t="str" cm="1">
        <f t="array" ref="K332">IF(OR($A332="",$J332&lt;&gt;"DIESEL"),"",_xlfn.LET(_xlpm.qty,N($C332),_xlpm.pos,$T$5:$T$54,_xlpm.alo,IF($U$5:$U$54="",0,$U$5:$U$54),_xlpm.usd,SUMIFS($C$6:$C331,$K$6:$K331,_xlpm.pos&amp;""),_xlpm.bal,_xlpm.alo-_xlpm.usd,IFERROR(INDEX(_xlfn._xlws.FILTER(_xlpm.pos,(_xlpm.pos&lt;&gt;"")*(_xlpm.qty&gt;0)*(_xlpm.bal&gt;=_xlpm.qty)),1),"")))</f>
        <v/>
      </c>
      <c r="L332" s="348"/>
    </row>
    <row r="333" spans="1:12" ht="23" x14ac:dyDescent="0.25">
      <c r="A333" s="217" t="str" cm="1">
        <f t="array" ref="A333">IFERROR(INDEX(_xlfn.ANCHORARRAY($P$6),ROW()-5,1),"")</f>
        <v/>
      </c>
      <c r="B333" s="344" t="str" cm="1">
        <f t="array" ref="B333">IFERROR(INDEX(_xlfn.ANCHORARRAY($P$6),ROW()-5,2),"")</f>
        <v/>
      </c>
      <c r="C333" s="345" t="str">
        <f>IF($A333="","",IF($J333="DIESEL",SUMIFS(Table1[Quantity],Table1[Customer],$M$3,Table1[Date],$A333,Table1[Bill No.],$B333),IF($J333="PETROL",SUMIFS(Table14[Quantity],Table14[Customer],$M$3,Table14[Date],$A333,Table14[Bill No.],$B333),IF($J333="XtraGreen",SUMIFS(Table146[Quantity],Table146[Company],$M$3,Table146[Date],$A333,Table146[Bill No.],$B333),""))))</f>
        <v/>
      </c>
      <c r="D333" s="346" t="str">
        <f>IF($A333="","",IF($J333="DIESEL",AVERAGEIFS(Table1[RSP],Table1[Customer],$M$3,Table1[Date],$A333,Table1[Bill No.],$B333),IF($J333="PETROL",AVERAGEIFS(Table14[RSP],Table14[Customer],$M$3,Table14[Date],$A333,Table14[Bill No.],$B333),IF($J333="XtraGreen",AVERAGEIFS(Table146[RSP],Table146[Company],$M$3,Table146[Date],$A333,Table146[Bill No.],$B333),IFERROR($E333/$C333,"")))))</f>
        <v/>
      </c>
      <c r="E333" s="347" t="str">
        <f>IF($A333="","",IF($J333="DIESEL",SUMIFS(Table1[Amount],Table1[Customer],$M$3,Table1[Date],$A333,Table1[Bill No.],$B333),IF($J333="PETROL",SUMIFS(Table14[Amount],Table14[Customer],$M$3,Table14[Date],$A333,Table14[Bill No.],$B333),IF($J333="XtraGreen",SUMIFS(Table146[Amount],Table146[Company],$M$3,Table146[Date],$A333,Table146[Bill No.],$B333),SUMIFS('Other Sale'!$D:$D,'Other Sale'!$E:$E,$M$3,'Other Sale'!$C:$C,$J333,'Other Sale'!$A:$A,$A333)))))</f>
        <v/>
      </c>
      <c r="F333" s="347" t="str" cm="1">
        <f t="array" ref="F333">IF($A333="","",IF($J333="Payment",IFERROR(INDEX(_xlfn._xlws.FILTER(MasterPaid[Amount Paid],(MasterPaid[Customer]=$M$3)*(MasterPaid[Date]=$A333)),COUNTIFS($A$6:$A333,$A333,$J$6:$J333,"Payment")),0),0))</f>
        <v/>
      </c>
      <c r="G333" s="331"/>
      <c r="H333" s="427"/>
      <c r="I333" s="330" t="str">
        <f t="shared" si="14"/>
        <v/>
      </c>
      <c r="J333" s="344" t="str" cm="1">
        <f t="array" ref="J333">IFERROR(INDEX(_xlfn.ANCHORARRAY($P$6),ROW()-5,3),"")</f>
        <v/>
      </c>
      <c r="K333" s="432" t="str" cm="1">
        <f t="array" ref="K333">IF(OR($A333="",$J333&lt;&gt;"DIESEL"),"",_xlfn.LET(_xlpm.qty,N($C333),_xlpm.pos,$T$5:$T$54,_xlpm.alo,IF($U$5:$U$54="",0,$U$5:$U$54),_xlpm.usd,SUMIFS($C$6:$C332,$K$6:$K332,_xlpm.pos&amp;""),_xlpm.bal,_xlpm.alo-_xlpm.usd,IFERROR(INDEX(_xlfn._xlws.FILTER(_xlpm.pos,(_xlpm.pos&lt;&gt;"")*(_xlpm.qty&gt;0)*(_xlpm.bal&gt;=_xlpm.qty)),1),"")))</f>
        <v/>
      </c>
      <c r="L333" s="348"/>
    </row>
    <row r="334" spans="1:12" ht="23" x14ac:dyDescent="0.25">
      <c r="A334" s="217" t="str" cm="1">
        <f t="array" ref="A334">IFERROR(INDEX(_xlfn.ANCHORARRAY($P$6),ROW()-5,1),"")</f>
        <v/>
      </c>
      <c r="B334" s="344" t="str" cm="1">
        <f t="array" ref="B334">IFERROR(INDEX(_xlfn.ANCHORARRAY($P$6),ROW()-5,2),"")</f>
        <v/>
      </c>
      <c r="C334" s="345" t="str">
        <f>IF($A334="","",IF($J334="DIESEL",SUMIFS(Table1[Quantity],Table1[Customer],$M$3,Table1[Date],$A334,Table1[Bill No.],$B334),IF($J334="PETROL",SUMIFS(Table14[Quantity],Table14[Customer],$M$3,Table14[Date],$A334,Table14[Bill No.],$B334),IF($J334="XtraGreen",SUMIFS(Table146[Quantity],Table146[Company],$M$3,Table146[Date],$A334,Table146[Bill No.],$B334),""))))</f>
        <v/>
      </c>
      <c r="D334" s="346" t="str">
        <f>IF($A334="","",IF($J334="DIESEL",AVERAGEIFS(Table1[RSP],Table1[Customer],$M$3,Table1[Date],$A334,Table1[Bill No.],$B334),IF($J334="PETROL",AVERAGEIFS(Table14[RSP],Table14[Customer],$M$3,Table14[Date],$A334,Table14[Bill No.],$B334),IF($J334="XtraGreen",AVERAGEIFS(Table146[RSP],Table146[Company],$M$3,Table146[Date],$A334,Table146[Bill No.],$B334),IFERROR($E334/$C334,"")))))</f>
        <v/>
      </c>
      <c r="E334" s="347" t="str">
        <f>IF($A334="","",IF($J334="DIESEL",SUMIFS(Table1[Amount],Table1[Customer],$M$3,Table1[Date],$A334,Table1[Bill No.],$B334),IF($J334="PETROL",SUMIFS(Table14[Amount],Table14[Customer],$M$3,Table14[Date],$A334,Table14[Bill No.],$B334),IF($J334="XtraGreen",SUMIFS(Table146[Amount],Table146[Company],$M$3,Table146[Date],$A334,Table146[Bill No.],$B334),SUMIFS('Other Sale'!$D:$D,'Other Sale'!$E:$E,$M$3,'Other Sale'!$C:$C,$J334,'Other Sale'!$A:$A,$A334)))))</f>
        <v/>
      </c>
      <c r="F334" s="347" t="str" cm="1">
        <f t="array" ref="F334">IF($A334="","",IF($J334="Payment",IFERROR(INDEX(_xlfn._xlws.FILTER(MasterPaid[Amount Paid],(MasterPaid[Customer]=$M$3)*(MasterPaid[Date]=$A334)),COUNTIFS($A$6:$A334,$A334,$J$6:$J334,"Payment")),0),0))</f>
        <v/>
      </c>
      <c r="G334" s="331"/>
      <c r="H334" s="427"/>
      <c r="I334" s="330" t="str">
        <f t="shared" si="14"/>
        <v/>
      </c>
      <c r="J334" s="344" t="str" cm="1">
        <f t="array" ref="J334">IFERROR(INDEX(_xlfn.ANCHORARRAY($P$6),ROW()-5,3),"")</f>
        <v/>
      </c>
      <c r="K334" s="432" t="str" cm="1">
        <f t="array" ref="K334">IF(OR($A334="",$J334&lt;&gt;"DIESEL"),"",_xlfn.LET(_xlpm.qty,N($C334),_xlpm.pos,$T$5:$T$54,_xlpm.alo,IF($U$5:$U$54="",0,$U$5:$U$54),_xlpm.usd,SUMIFS($C$6:$C333,$K$6:$K333,_xlpm.pos&amp;""),_xlpm.bal,_xlpm.alo-_xlpm.usd,IFERROR(INDEX(_xlfn._xlws.FILTER(_xlpm.pos,(_xlpm.pos&lt;&gt;"")*(_xlpm.qty&gt;0)*(_xlpm.bal&gt;=_xlpm.qty)),1),"")))</f>
        <v/>
      </c>
      <c r="L334" s="348"/>
    </row>
    <row r="335" spans="1:12" ht="23" x14ac:dyDescent="0.25">
      <c r="A335" s="217" t="str" cm="1">
        <f t="array" ref="A335">IFERROR(INDEX(_xlfn.ANCHORARRAY($P$6),ROW()-5,1),"")</f>
        <v/>
      </c>
      <c r="B335" s="344" t="str" cm="1">
        <f t="array" ref="B335">IFERROR(INDEX(_xlfn.ANCHORARRAY($P$6),ROW()-5,2),"")</f>
        <v/>
      </c>
      <c r="C335" s="345" t="str">
        <f>IF($A335="","",IF($J335="DIESEL",SUMIFS(Table1[Quantity],Table1[Customer],$M$3,Table1[Date],$A335,Table1[Bill No.],$B335),IF($J335="PETROL",SUMIFS(Table14[Quantity],Table14[Customer],$M$3,Table14[Date],$A335,Table14[Bill No.],$B335),IF($J335="XtraGreen",SUMIFS(Table146[Quantity],Table146[Company],$M$3,Table146[Date],$A335,Table146[Bill No.],$B335),""))))</f>
        <v/>
      </c>
      <c r="D335" s="346" t="str">
        <f>IF($A335="","",IF($J335="DIESEL",AVERAGEIFS(Table1[RSP],Table1[Customer],$M$3,Table1[Date],$A335,Table1[Bill No.],$B335),IF($J335="PETROL",AVERAGEIFS(Table14[RSP],Table14[Customer],$M$3,Table14[Date],$A335,Table14[Bill No.],$B335),IF($J335="XtraGreen",AVERAGEIFS(Table146[RSP],Table146[Company],$M$3,Table146[Date],$A335,Table146[Bill No.],$B335),IFERROR($E335/$C335,"")))))</f>
        <v/>
      </c>
      <c r="E335" s="347" t="str">
        <f>IF($A335="","",IF($J335="DIESEL",SUMIFS(Table1[Amount],Table1[Customer],$M$3,Table1[Date],$A335,Table1[Bill No.],$B335),IF($J335="PETROL",SUMIFS(Table14[Amount],Table14[Customer],$M$3,Table14[Date],$A335,Table14[Bill No.],$B335),IF($J335="XtraGreen",SUMIFS(Table146[Amount],Table146[Company],$M$3,Table146[Date],$A335,Table146[Bill No.],$B335),SUMIFS('Other Sale'!$D:$D,'Other Sale'!$E:$E,$M$3,'Other Sale'!$C:$C,$J335,'Other Sale'!$A:$A,$A335)))))</f>
        <v/>
      </c>
      <c r="F335" s="347" t="str" cm="1">
        <f t="array" ref="F335">IF($A335="","",IF($J335="Payment",IFERROR(INDEX(_xlfn._xlws.FILTER(MasterPaid[Amount Paid],(MasterPaid[Customer]=$M$3)*(MasterPaid[Date]=$A335)),COUNTIFS($A$6:$A335,$A335,$J$6:$J335,"Payment")),0),0))</f>
        <v/>
      </c>
      <c r="G335" s="331"/>
      <c r="H335" s="427"/>
      <c r="I335" s="330" t="str">
        <f t="shared" si="14"/>
        <v/>
      </c>
      <c r="J335" s="344" t="str" cm="1">
        <f t="array" ref="J335">IFERROR(INDEX(_xlfn.ANCHORARRAY($P$6),ROW()-5,3),"")</f>
        <v/>
      </c>
      <c r="K335" s="432" t="str" cm="1">
        <f t="array" ref="K335">IF(OR($A335="",$J335&lt;&gt;"DIESEL"),"",_xlfn.LET(_xlpm.qty,N($C335),_xlpm.pos,$T$5:$T$54,_xlpm.alo,IF($U$5:$U$54="",0,$U$5:$U$54),_xlpm.usd,SUMIFS($C$6:$C334,$K$6:$K334,_xlpm.pos&amp;""),_xlpm.bal,_xlpm.alo-_xlpm.usd,IFERROR(INDEX(_xlfn._xlws.FILTER(_xlpm.pos,(_xlpm.pos&lt;&gt;"")*(_xlpm.qty&gt;0)*(_xlpm.bal&gt;=_xlpm.qty)),1),"")))</f>
        <v/>
      </c>
      <c r="L335" s="348"/>
    </row>
    <row r="336" spans="1:12" ht="23" x14ac:dyDescent="0.25">
      <c r="A336" s="217" t="str" cm="1">
        <f t="array" ref="A336">IFERROR(INDEX(_xlfn.ANCHORARRAY($P$6),ROW()-5,1),"")</f>
        <v/>
      </c>
      <c r="B336" s="344" t="str" cm="1">
        <f t="array" ref="B336">IFERROR(INDEX(_xlfn.ANCHORARRAY($P$6),ROW()-5,2),"")</f>
        <v/>
      </c>
      <c r="C336" s="345" t="str">
        <f>IF($A336="","",IF($J336="DIESEL",SUMIFS(Table1[Quantity],Table1[Customer],$M$3,Table1[Date],$A336,Table1[Bill No.],$B336),IF($J336="PETROL",SUMIFS(Table14[Quantity],Table14[Customer],$M$3,Table14[Date],$A336,Table14[Bill No.],$B336),IF($J336="XtraGreen",SUMIFS(Table146[Quantity],Table146[Company],$M$3,Table146[Date],$A336,Table146[Bill No.],$B336),""))))</f>
        <v/>
      </c>
      <c r="D336" s="346" t="str">
        <f>IF($A336="","",IF($J336="DIESEL",AVERAGEIFS(Table1[RSP],Table1[Customer],$M$3,Table1[Date],$A336,Table1[Bill No.],$B336),IF($J336="PETROL",AVERAGEIFS(Table14[RSP],Table14[Customer],$M$3,Table14[Date],$A336,Table14[Bill No.],$B336),IF($J336="XtraGreen",AVERAGEIFS(Table146[RSP],Table146[Company],$M$3,Table146[Date],$A336,Table146[Bill No.],$B336),IFERROR($E336/$C336,"")))))</f>
        <v/>
      </c>
      <c r="E336" s="347" t="str">
        <f>IF($A336="","",IF($J336="DIESEL",SUMIFS(Table1[Amount],Table1[Customer],$M$3,Table1[Date],$A336,Table1[Bill No.],$B336),IF($J336="PETROL",SUMIFS(Table14[Amount],Table14[Customer],$M$3,Table14[Date],$A336,Table14[Bill No.],$B336),IF($J336="XtraGreen",SUMIFS(Table146[Amount],Table146[Company],$M$3,Table146[Date],$A336,Table146[Bill No.],$B336),SUMIFS('Other Sale'!$D:$D,'Other Sale'!$E:$E,$M$3,'Other Sale'!$C:$C,$J336,'Other Sale'!$A:$A,$A336)))))</f>
        <v/>
      </c>
      <c r="F336" s="347" t="str" cm="1">
        <f t="array" ref="F336">IF($A336="","",IF($J336="Payment",IFERROR(INDEX(_xlfn._xlws.FILTER(MasterPaid[Amount Paid],(MasterPaid[Customer]=$M$3)*(MasterPaid[Date]=$A336)),COUNTIFS($A$6:$A336,$A336,$J$6:$J336,"Payment")),0),0))</f>
        <v/>
      </c>
      <c r="G336" s="331"/>
      <c r="H336" s="427"/>
      <c r="I336" s="330" t="str">
        <f t="shared" si="14"/>
        <v/>
      </c>
      <c r="J336" s="344" t="str" cm="1">
        <f t="array" ref="J336">IFERROR(INDEX(_xlfn.ANCHORARRAY($P$6),ROW()-5,3),"")</f>
        <v/>
      </c>
      <c r="K336" s="432" t="str" cm="1">
        <f t="array" ref="K336">IF(OR($A336="",$J336&lt;&gt;"DIESEL"),"",_xlfn.LET(_xlpm.qty,N($C336),_xlpm.pos,$T$5:$T$54,_xlpm.alo,IF($U$5:$U$54="",0,$U$5:$U$54),_xlpm.usd,SUMIFS($C$6:$C335,$K$6:$K335,_xlpm.pos&amp;""),_xlpm.bal,_xlpm.alo-_xlpm.usd,IFERROR(INDEX(_xlfn._xlws.FILTER(_xlpm.pos,(_xlpm.pos&lt;&gt;"")*(_xlpm.qty&gt;0)*(_xlpm.bal&gt;=_xlpm.qty)),1),"")))</f>
        <v/>
      </c>
      <c r="L336" s="348"/>
    </row>
    <row r="337" spans="1:12" ht="23" x14ac:dyDescent="0.25">
      <c r="A337" s="217" t="str" cm="1">
        <f t="array" ref="A337">IFERROR(INDEX(_xlfn.ANCHORARRAY($P$6),ROW()-5,1),"")</f>
        <v/>
      </c>
      <c r="B337" s="344" t="str" cm="1">
        <f t="array" ref="B337">IFERROR(INDEX(_xlfn.ANCHORARRAY($P$6),ROW()-5,2),"")</f>
        <v/>
      </c>
      <c r="C337" s="345" t="str">
        <f>IF($A337="","",IF($J337="DIESEL",SUMIFS(Table1[Quantity],Table1[Customer],$M$3,Table1[Date],$A337,Table1[Bill No.],$B337),IF($J337="PETROL",SUMIFS(Table14[Quantity],Table14[Customer],$M$3,Table14[Date],$A337,Table14[Bill No.],$B337),IF($J337="XtraGreen",SUMIFS(Table146[Quantity],Table146[Company],$M$3,Table146[Date],$A337,Table146[Bill No.],$B337),""))))</f>
        <v/>
      </c>
      <c r="D337" s="346" t="str">
        <f>IF($A337="","",IF($J337="DIESEL",AVERAGEIFS(Table1[RSP],Table1[Customer],$M$3,Table1[Date],$A337,Table1[Bill No.],$B337),IF($J337="PETROL",AVERAGEIFS(Table14[RSP],Table14[Customer],$M$3,Table14[Date],$A337,Table14[Bill No.],$B337),IF($J337="XtraGreen",AVERAGEIFS(Table146[RSP],Table146[Company],$M$3,Table146[Date],$A337,Table146[Bill No.],$B337),IFERROR($E337/$C337,"")))))</f>
        <v/>
      </c>
      <c r="E337" s="347" t="str">
        <f>IF($A337="","",IF($J337="DIESEL",SUMIFS(Table1[Amount],Table1[Customer],$M$3,Table1[Date],$A337,Table1[Bill No.],$B337),IF($J337="PETROL",SUMIFS(Table14[Amount],Table14[Customer],$M$3,Table14[Date],$A337,Table14[Bill No.],$B337),IF($J337="XtraGreen",SUMIFS(Table146[Amount],Table146[Company],$M$3,Table146[Date],$A337,Table146[Bill No.],$B337),SUMIFS('Other Sale'!$D:$D,'Other Sale'!$E:$E,$M$3,'Other Sale'!$C:$C,$J337,'Other Sale'!$A:$A,$A337)))))</f>
        <v/>
      </c>
      <c r="F337" s="347" t="str" cm="1">
        <f t="array" ref="F337">IF($A337="","",IF($J337="Payment",IFERROR(INDEX(_xlfn._xlws.FILTER(MasterPaid[Amount Paid],(MasterPaid[Customer]=$M$3)*(MasterPaid[Date]=$A337)),COUNTIFS($A$6:$A337,$A337,$J$6:$J337,"Payment")),0),0))</f>
        <v/>
      </c>
      <c r="G337" s="331"/>
      <c r="H337" s="427"/>
      <c r="I337" s="330" t="str">
        <f t="shared" si="14"/>
        <v/>
      </c>
      <c r="J337" s="344" t="str" cm="1">
        <f t="array" ref="J337">IFERROR(INDEX(_xlfn.ANCHORARRAY($P$6),ROW()-5,3),"")</f>
        <v/>
      </c>
      <c r="K337" s="432" t="str" cm="1">
        <f t="array" ref="K337">IF(OR($A337="",$J337&lt;&gt;"DIESEL"),"",_xlfn.LET(_xlpm.qty,N($C337),_xlpm.pos,$T$5:$T$54,_xlpm.alo,IF($U$5:$U$54="",0,$U$5:$U$54),_xlpm.usd,SUMIFS($C$6:$C336,$K$6:$K336,_xlpm.pos&amp;""),_xlpm.bal,_xlpm.alo-_xlpm.usd,IFERROR(INDEX(_xlfn._xlws.FILTER(_xlpm.pos,(_xlpm.pos&lt;&gt;"")*(_xlpm.qty&gt;0)*(_xlpm.bal&gt;=_xlpm.qty)),1),"")))</f>
        <v/>
      </c>
      <c r="L337" s="348"/>
    </row>
    <row r="338" spans="1:12" ht="23" x14ac:dyDescent="0.25">
      <c r="A338" s="217" t="str" cm="1">
        <f t="array" ref="A338">IFERROR(INDEX(_xlfn.ANCHORARRAY($P$6),ROW()-5,1),"")</f>
        <v/>
      </c>
      <c r="B338" s="344" t="str" cm="1">
        <f t="array" ref="B338">IFERROR(INDEX(_xlfn.ANCHORARRAY($P$6),ROW()-5,2),"")</f>
        <v/>
      </c>
      <c r="C338" s="345" t="str">
        <f>IF($A338="","",IF($J338="DIESEL",SUMIFS(Table1[Quantity],Table1[Customer],$M$3,Table1[Date],$A338,Table1[Bill No.],$B338),IF($J338="PETROL",SUMIFS(Table14[Quantity],Table14[Customer],$M$3,Table14[Date],$A338,Table14[Bill No.],$B338),IF($J338="XtraGreen",SUMIFS(Table146[Quantity],Table146[Company],$M$3,Table146[Date],$A338,Table146[Bill No.],$B338),""))))</f>
        <v/>
      </c>
      <c r="D338" s="346" t="str">
        <f>IF($A338="","",IF($J338="DIESEL",AVERAGEIFS(Table1[RSP],Table1[Customer],$M$3,Table1[Date],$A338,Table1[Bill No.],$B338),IF($J338="PETROL",AVERAGEIFS(Table14[RSP],Table14[Customer],$M$3,Table14[Date],$A338,Table14[Bill No.],$B338),IF($J338="XtraGreen",AVERAGEIFS(Table146[RSP],Table146[Company],$M$3,Table146[Date],$A338,Table146[Bill No.],$B338),IFERROR($E338/$C338,"")))))</f>
        <v/>
      </c>
      <c r="E338" s="347" t="str">
        <f>IF($A338="","",IF($J338="DIESEL",SUMIFS(Table1[Amount],Table1[Customer],$M$3,Table1[Date],$A338,Table1[Bill No.],$B338),IF($J338="PETROL",SUMIFS(Table14[Amount],Table14[Customer],$M$3,Table14[Date],$A338,Table14[Bill No.],$B338),IF($J338="XtraGreen",SUMIFS(Table146[Amount],Table146[Company],$M$3,Table146[Date],$A338,Table146[Bill No.],$B338),SUMIFS('Other Sale'!$D:$D,'Other Sale'!$E:$E,$M$3,'Other Sale'!$C:$C,$J338,'Other Sale'!$A:$A,$A338)))))</f>
        <v/>
      </c>
      <c r="F338" s="347" t="str" cm="1">
        <f t="array" ref="F338">IF($A338="","",IF($J338="Payment",IFERROR(INDEX(_xlfn._xlws.FILTER(MasterPaid[Amount Paid],(MasterPaid[Customer]=$M$3)*(MasterPaid[Date]=$A338)),COUNTIFS($A$6:$A338,$A338,$J$6:$J338,"Payment")),0),0))</f>
        <v/>
      </c>
      <c r="G338" s="331"/>
      <c r="H338" s="427"/>
      <c r="I338" s="330" t="str">
        <f t="shared" si="14"/>
        <v/>
      </c>
      <c r="J338" s="344" t="str" cm="1">
        <f t="array" ref="J338">IFERROR(INDEX(_xlfn.ANCHORARRAY($P$6),ROW()-5,3),"")</f>
        <v/>
      </c>
      <c r="K338" s="432" t="str" cm="1">
        <f t="array" ref="K338">IF(OR($A338="",$J338&lt;&gt;"DIESEL"),"",_xlfn.LET(_xlpm.qty,N($C338),_xlpm.pos,$T$5:$T$54,_xlpm.alo,IF($U$5:$U$54="",0,$U$5:$U$54),_xlpm.usd,SUMIFS($C$6:$C337,$K$6:$K337,_xlpm.pos&amp;""),_xlpm.bal,_xlpm.alo-_xlpm.usd,IFERROR(INDEX(_xlfn._xlws.FILTER(_xlpm.pos,(_xlpm.pos&lt;&gt;"")*(_xlpm.qty&gt;0)*(_xlpm.bal&gt;=_xlpm.qty)),1),"")))</f>
        <v/>
      </c>
      <c r="L338" s="348"/>
    </row>
    <row r="339" spans="1:12" ht="23" x14ac:dyDescent="0.25">
      <c r="A339" s="217" t="str" cm="1">
        <f t="array" ref="A339">IFERROR(INDEX(_xlfn.ANCHORARRAY($P$6),ROW()-5,1),"")</f>
        <v/>
      </c>
      <c r="B339" s="344" t="str" cm="1">
        <f t="array" ref="B339">IFERROR(INDEX(_xlfn.ANCHORARRAY($P$6),ROW()-5,2),"")</f>
        <v/>
      </c>
      <c r="C339" s="345" t="str">
        <f>IF($A339="","",IF($J339="DIESEL",SUMIFS(Table1[Quantity],Table1[Customer],$M$3,Table1[Date],$A339,Table1[Bill No.],$B339),IF($J339="PETROL",SUMIFS(Table14[Quantity],Table14[Customer],$M$3,Table14[Date],$A339,Table14[Bill No.],$B339),IF($J339="XtraGreen",SUMIFS(Table146[Quantity],Table146[Company],$M$3,Table146[Date],$A339,Table146[Bill No.],$B339),""))))</f>
        <v/>
      </c>
      <c r="D339" s="346" t="str">
        <f>IF($A339="","",IF($J339="DIESEL",AVERAGEIFS(Table1[RSP],Table1[Customer],$M$3,Table1[Date],$A339,Table1[Bill No.],$B339),IF($J339="PETROL",AVERAGEIFS(Table14[RSP],Table14[Customer],$M$3,Table14[Date],$A339,Table14[Bill No.],$B339),IF($J339="XtraGreen",AVERAGEIFS(Table146[RSP],Table146[Company],$M$3,Table146[Date],$A339,Table146[Bill No.],$B339),IFERROR($E339/$C339,"")))))</f>
        <v/>
      </c>
      <c r="E339" s="347" t="str">
        <f>IF($A339="","",IF($J339="DIESEL",SUMIFS(Table1[Amount],Table1[Customer],$M$3,Table1[Date],$A339,Table1[Bill No.],$B339),IF($J339="PETROL",SUMIFS(Table14[Amount],Table14[Customer],$M$3,Table14[Date],$A339,Table14[Bill No.],$B339),IF($J339="XtraGreen",SUMIFS(Table146[Amount],Table146[Company],$M$3,Table146[Date],$A339,Table146[Bill No.],$B339),SUMIFS('Other Sale'!$D:$D,'Other Sale'!$E:$E,$M$3,'Other Sale'!$C:$C,$J339,'Other Sale'!$A:$A,$A339)))))</f>
        <v/>
      </c>
      <c r="F339" s="347" t="str" cm="1">
        <f t="array" ref="F339">IF($A339="","",IF($J339="Payment",IFERROR(INDEX(_xlfn._xlws.FILTER(MasterPaid[Amount Paid],(MasterPaid[Customer]=$M$3)*(MasterPaid[Date]=$A339)),COUNTIFS($A$6:$A339,$A339,$J$6:$J339,"Payment")),0),0))</f>
        <v/>
      </c>
      <c r="G339" s="331"/>
      <c r="H339" s="427"/>
      <c r="I339" s="330" t="str">
        <f t="shared" si="14"/>
        <v/>
      </c>
      <c r="J339" s="344" t="str" cm="1">
        <f t="array" ref="J339">IFERROR(INDEX(_xlfn.ANCHORARRAY($P$6),ROW()-5,3),"")</f>
        <v/>
      </c>
      <c r="K339" s="432" t="str" cm="1">
        <f t="array" ref="K339">IF(OR($A339="",$J339&lt;&gt;"DIESEL"),"",_xlfn.LET(_xlpm.qty,N($C339),_xlpm.pos,$T$5:$T$54,_xlpm.alo,IF($U$5:$U$54="",0,$U$5:$U$54),_xlpm.usd,SUMIFS($C$6:$C338,$K$6:$K338,_xlpm.pos&amp;""),_xlpm.bal,_xlpm.alo-_xlpm.usd,IFERROR(INDEX(_xlfn._xlws.FILTER(_xlpm.pos,(_xlpm.pos&lt;&gt;"")*(_xlpm.qty&gt;0)*(_xlpm.bal&gt;=_xlpm.qty)),1),"")))</f>
        <v/>
      </c>
      <c r="L339" s="348"/>
    </row>
    <row r="340" spans="1:12" ht="23" x14ac:dyDescent="0.25">
      <c r="A340" s="217" t="str" cm="1">
        <f t="array" ref="A340">IFERROR(INDEX(_xlfn.ANCHORARRAY($P$6),ROW()-5,1),"")</f>
        <v/>
      </c>
      <c r="B340" s="344" t="str" cm="1">
        <f t="array" ref="B340">IFERROR(INDEX(_xlfn.ANCHORARRAY($P$6),ROW()-5,2),"")</f>
        <v/>
      </c>
      <c r="C340" s="345" t="str">
        <f>IF($A340="","",IF($J340="DIESEL",SUMIFS(Table1[Quantity],Table1[Customer],$M$3,Table1[Date],$A340,Table1[Bill No.],$B340),IF($J340="PETROL",SUMIFS(Table14[Quantity],Table14[Customer],$M$3,Table14[Date],$A340,Table14[Bill No.],$B340),IF($J340="XtraGreen",SUMIFS(Table146[Quantity],Table146[Company],$M$3,Table146[Date],$A340,Table146[Bill No.],$B340),""))))</f>
        <v/>
      </c>
      <c r="D340" s="346" t="str">
        <f>IF($A340="","",IF($J340="DIESEL",AVERAGEIFS(Table1[RSP],Table1[Customer],$M$3,Table1[Date],$A340,Table1[Bill No.],$B340),IF($J340="PETROL",AVERAGEIFS(Table14[RSP],Table14[Customer],$M$3,Table14[Date],$A340,Table14[Bill No.],$B340),IF($J340="XtraGreen",AVERAGEIFS(Table146[RSP],Table146[Company],$M$3,Table146[Date],$A340,Table146[Bill No.],$B340),IFERROR($E340/$C340,"")))))</f>
        <v/>
      </c>
      <c r="E340" s="347" t="str">
        <f>IF($A340="","",IF($J340="DIESEL",SUMIFS(Table1[Amount],Table1[Customer],$M$3,Table1[Date],$A340,Table1[Bill No.],$B340),IF($J340="PETROL",SUMIFS(Table14[Amount],Table14[Customer],$M$3,Table14[Date],$A340,Table14[Bill No.],$B340),IF($J340="XtraGreen",SUMIFS(Table146[Amount],Table146[Company],$M$3,Table146[Date],$A340,Table146[Bill No.],$B340),SUMIFS('Other Sale'!$D:$D,'Other Sale'!$E:$E,$M$3,'Other Sale'!$C:$C,$J340,'Other Sale'!$A:$A,$A340)))))</f>
        <v/>
      </c>
      <c r="F340" s="347" t="str" cm="1">
        <f t="array" ref="F340">IF($A340="","",IF($J340="Payment",IFERROR(INDEX(_xlfn._xlws.FILTER(MasterPaid[Amount Paid],(MasterPaid[Customer]=$M$3)*(MasterPaid[Date]=$A340)),COUNTIFS($A$6:$A340,$A340,$J$6:$J340,"Payment")),0),0))</f>
        <v/>
      </c>
      <c r="G340" s="331"/>
      <c r="H340" s="427"/>
      <c r="I340" s="330" t="str">
        <f t="shared" si="14"/>
        <v/>
      </c>
      <c r="J340" s="344" t="str" cm="1">
        <f t="array" ref="J340">IFERROR(INDEX(_xlfn.ANCHORARRAY($P$6),ROW()-5,3),"")</f>
        <v/>
      </c>
      <c r="K340" s="432" t="str" cm="1">
        <f t="array" ref="K340">IF(OR($A340="",$J340&lt;&gt;"DIESEL"),"",_xlfn.LET(_xlpm.qty,N($C340),_xlpm.pos,$T$5:$T$54,_xlpm.alo,IF($U$5:$U$54="",0,$U$5:$U$54),_xlpm.usd,SUMIFS($C$6:$C339,$K$6:$K339,_xlpm.pos&amp;""),_xlpm.bal,_xlpm.alo-_xlpm.usd,IFERROR(INDEX(_xlfn._xlws.FILTER(_xlpm.pos,(_xlpm.pos&lt;&gt;"")*(_xlpm.qty&gt;0)*(_xlpm.bal&gt;=_xlpm.qty)),1),"")))</f>
        <v/>
      </c>
      <c r="L340" s="348"/>
    </row>
    <row r="341" spans="1:12" ht="23" x14ac:dyDescent="0.25">
      <c r="A341" s="217" t="str" cm="1">
        <f t="array" ref="A341">IFERROR(INDEX(_xlfn.ANCHORARRAY($P$6),ROW()-5,1),"")</f>
        <v/>
      </c>
      <c r="B341" s="344" t="str" cm="1">
        <f t="array" ref="B341">IFERROR(INDEX(_xlfn.ANCHORARRAY($P$6),ROW()-5,2),"")</f>
        <v/>
      </c>
      <c r="C341" s="345" t="str">
        <f>IF($A341="","",IF($J341="DIESEL",SUMIFS(Table1[Quantity],Table1[Customer],$M$3,Table1[Date],$A341,Table1[Bill No.],$B341),IF($J341="PETROL",SUMIFS(Table14[Quantity],Table14[Customer],$M$3,Table14[Date],$A341,Table14[Bill No.],$B341),IF($J341="XtraGreen",SUMIFS(Table146[Quantity],Table146[Company],$M$3,Table146[Date],$A341,Table146[Bill No.],$B341),""))))</f>
        <v/>
      </c>
      <c r="D341" s="346" t="str">
        <f>IF($A341="","",IF($J341="DIESEL",AVERAGEIFS(Table1[RSP],Table1[Customer],$M$3,Table1[Date],$A341,Table1[Bill No.],$B341),IF($J341="PETROL",AVERAGEIFS(Table14[RSP],Table14[Customer],$M$3,Table14[Date],$A341,Table14[Bill No.],$B341),IF($J341="XtraGreen",AVERAGEIFS(Table146[RSP],Table146[Company],$M$3,Table146[Date],$A341,Table146[Bill No.],$B341),IFERROR($E341/$C341,"")))))</f>
        <v/>
      </c>
      <c r="E341" s="347" t="str">
        <f>IF($A341="","",IF($J341="DIESEL",SUMIFS(Table1[Amount],Table1[Customer],$M$3,Table1[Date],$A341,Table1[Bill No.],$B341),IF($J341="PETROL",SUMIFS(Table14[Amount],Table14[Customer],$M$3,Table14[Date],$A341,Table14[Bill No.],$B341),IF($J341="XtraGreen",SUMIFS(Table146[Amount],Table146[Company],$M$3,Table146[Date],$A341,Table146[Bill No.],$B341),SUMIFS('Other Sale'!$D:$D,'Other Sale'!$E:$E,$M$3,'Other Sale'!$C:$C,$J341,'Other Sale'!$A:$A,$A341)))))</f>
        <v/>
      </c>
      <c r="F341" s="347" t="str" cm="1">
        <f t="array" ref="F341">IF($A341="","",IF($J341="Payment",IFERROR(INDEX(_xlfn._xlws.FILTER(MasterPaid[Amount Paid],(MasterPaid[Customer]=$M$3)*(MasterPaid[Date]=$A341)),COUNTIFS($A$6:$A341,$A341,$J$6:$J341,"Payment")),0),0))</f>
        <v/>
      </c>
      <c r="G341" s="331"/>
      <c r="H341" s="427"/>
      <c r="I341" s="330" t="str">
        <f t="shared" si="14"/>
        <v/>
      </c>
      <c r="J341" s="344" t="str" cm="1">
        <f t="array" ref="J341">IFERROR(INDEX(_xlfn.ANCHORARRAY($P$6),ROW()-5,3),"")</f>
        <v/>
      </c>
      <c r="K341" s="432" t="str" cm="1">
        <f t="array" ref="K341">IF(OR($A341="",$J341&lt;&gt;"DIESEL"),"",_xlfn.LET(_xlpm.qty,N($C341),_xlpm.pos,$T$5:$T$54,_xlpm.alo,IF($U$5:$U$54="",0,$U$5:$U$54),_xlpm.usd,SUMIFS($C$6:$C340,$K$6:$K340,_xlpm.pos&amp;""),_xlpm.bal,_xlpm.alo-_xlpm.usd,IFERROR(INDEX(_xlfn._xlws.FILTER(_xlpm.pos,(_xlpm.pos&lt;&gt;"")*(_xlpm.qty&gt;0)*(_xlpm.bal&gt;=_xlpm.qty)),1),"")))</f>
        <v/>
      </c>
      <c r="L341" s="348"/>
    </row>
    <row r="342" spans="1:12" ht="23" x14ac:dyDescent="0.25">
      <c r="A342" s="217" t="str" cm="1">
        <f t="array" ref="A342">IFERROR(INDEX(_xlfn.ANCHORARRAY($P$6),ROW()-5,1),"")</f>
        <v/>
      </c>
      <c r="B342" s="344" t="str" cm="1">
        <f t="array" ref="B342">IFERROR(INDEX(_xlfn.ANCHORARRAY($P$6),ROW()-5,2),"")</f>
        <v/>
      </c>
      <c r="C342" s="345" t="str">
        <f>IF($A342="","",IF($J342="DIESEL",SUMIFS(Table1[Quantity],Table1[Customer],$M$3,Table1[Date],$A342,Table1[Bill No.],$B342),IF($J342="PETROL",SUMIFS(Table14[Quantity],Table14[Customer],$M$3,Table14[Date],$A342,Table14[Bill No.],$B342),IF($J342="XtraGreen",SUMIFS(Table146[Quantity],Table146[Company],$M$3,Table146[Date],$A342,Table146[Bill No.],$B342),""))))</f>
        <v/>
      </c>
      <c r="D342" s="346" t="str">
        <f>IF($A342="","",IF($J342="DIESEL",AVERAGEIFS(Table1[RSP],Table1[Customer],$M$3,Table1[Date],$A342,Table1[Bill No.],$B342),IF($J342="PETROL",AVERAGEIFS(Table14[RSP],Table14[Customer],$M$3,Table14[Date],$A342,Table14[Bill No.],$B342),IF($J342="XtraGreen",AVERAGEIFS(Table146[RSP],Table146[Company],$M$3,Table146[Date],$A342,Table146[Bill No.],$B342),IFERROR($E342/$C342,"")))))</f>
        <v/>
      </c>
      <c r="E342" s="347" t="str">
        <f>IF($A342="","",IF($J342="DIESEL",SUMIFS(Table1[Amount],Table1[Customer],$M$3,Table1[Date],$A342,Table1[Bill No.],$B342),IF($J342="PETROL",SUMIFS(Table14[Amount],Table14[Customer],$M$3,Table14[Date],$A342,Table14[Bill No.],$B342),IF($J342="XtraGreen",SUMIFS(Table146[Amount],Table146[Company],$M$3,Table146[Date],$A342,Table146[Bill No.],$B342),SUMIFS('Other Sale'!$D:$D,'Other Sale'!$E:$E,$M$3,'Other Sale'!$C:$C,$J342,'Other Sale'!$A:$A,$A342)))))</f>
        <v/>
      </c>
      <c r="F342" s="347" t="str" cm="1">
        <f t="array" ref="F342">IF($A342="","",IF($J342="Payment",IFERROR(INDEX(_xlfn._xlws.FILTER(MasterPaid[Amount Paid],(MasterPaid[Customer]=$M$3)*(MasterPaid[Date]=$A342)),COUNTIFS($A$6:$A342,$A342,$J$6:$J342,"Payment")),0),0))</f>
        <v/>
      </c>
      <c r="G342" s="331"/>
      <c r="H342" s="427"/>
      <c r="I342" s="330" t="str">
        <f t="shared" ref="I342:I355" si="15">IF($A342="","",I341+N(E342)-N(F342)-N(G342)-N(H342))</f>
        <v/>
      </c>
      <c r="J342" s="344" t="str" cm="1">
        <f t="array" ref="J342">IFERROR(INDEX(_xlfn.ANCHORARRAY($P$6),ROW()-5,3),"")</f>
        <v/>
      </c>
      <c r="K342" s="432" t="str" cm="1">
        <f t="array" ref="K342">IF(OR($A342="",$J342&lt;&gt;"DIESEL"),"",_xlfn.LET(_xlpm.qty,N($C342),_xlpm.pos,$T$5:$T$54,_xlpm.alo,IF($U$5:$U$54="",0,$U$5:$U$54),_xlpm.usd,SUMIFS($C$6:$C341,$K$6:$K341,_xlpm.pos&amp;""),_xlpm.bal,_xlpm.alo-_xlpm.usd,IFERROR(INDEX(_xlfn._xlws.FILTER(_xlpm.pos,(_xlpm.pos&lt;&gt;"")*(_xlpm.qty&gt;0)*(_xlpm.bal&gt;=_xlpm.qty)),1),"")))</f>
        <v/>
      </c>
      <c r="L342" s="348"/>
    </row>
    <row r="343" spans="1:12" ht="23" x14ac:dyDescent="0.25">
      <c r="A343" s="217" t="str" cm="1">
        <f t="array" ref="A343">IFERROR(INDEX(_xlfn.ANCHORARRAY($P$6),ROW()-5,1),"")</f>
        <v/>
      </c>
      <c r="B343" s="344" t="str" cm="1">
        <f t="array" ref="B343">IFERROR(INDEX(_xlfn.ANCHORARRAY($P$6),ROW()-5,2),"")</f>
        <v/>
      </c>
      <c r="C343" s="345" t="str">
        <f>IF($A343="","",IF($J343="DIESEL",SUMIFS(Table1[Quantity],Table1[Customer],$M$3,Table1[Date],$A343,Table1[Bill No.],$B343),IF($J343="PETROL",SUMIFS(Table14[Quantity],Table14[Customer],$M$3,Table14[Date],$A343,Table14[Bill No.],$B343),IF($J343="XtraGreen",SUMIFS(Table146[Quantity],Table146[Company],$M$3,Table146[Date],$A343,Table146[Bill No.],$B343),""))))</f>
        <v/>
      </c>
      <c r="D343" s="346" t="str">
        <f>IF($A343="","",IF($J343="DIESEL",AVERAGEIFS(Table1[RSP],Table1[Customer],$M$3,Table1[Date],$A343,Table1[Bill No.],$B343),IF($J343="PETROL",AVERAGEIFS(Table14[RSP],Table14[Customer],$M$3,Table14[Date],$A343,Table14[Bill No.],$B343),IF($J343="XtraGreen",AVERAGEIFS(Table146[RSP],Table146[Company],$M$3,Table146[Date],$A343,Table146[Bill No.],$B343),IFERROR($E343/$C343,"")))))</f>
        <v/>
      </c>
      <c r="E343" s="347" t="str">
        <f>IF($A343="","",IF($J343="DIESEL",SUMIFS(Table1[Amount],Table1[Customer],$M$3,Table1[Date],$A343,Table1[Bill No.],$B343),IF($J343="PETROL",SUMIFS(Table14[Amount],Table14[Customer],$M$3,Table14[Date],$A343,Table14[Bill No.],$B343),IF($J343="XtraGreen",SUMIFS(Table146[Amount],Table146[Company],$M$3,Table146[Date],$A343,Table146[Bill No.],$B343),SUMIFS('Other Sale'!$D:$D,'Other Sale'!$E:$E,$M$3,'Other Sale'!$C:$C,$J343,'Other Sale'!$A:$A,$A343)))))</f>
        <v/>
      </c>
      <c r="F343" s="347" t="str" cm="1">
        <f t="array" ref="F343">IF($A343="","",IF($J343="Payment",IFERROR(INDEX(_xlfn._xlws.FILTER(MasterPaid[Amount Paid],(MasterPaid[Customer]=$M$3)*(MasterPaid[Date]=$A343)),COUNTIFS($A$6:$A343,$A343,$J$6:$J343,"Payment")),0),0))</f>
        <v/>
      </c>
      <c r="G343" s="331"/>
      <c r="H343" s="427"/>
      <c r="I343" s="330" t="str">
        <f t="shared" si="15"/>
        <v/>
      </c>
      <c r="J343" s="344" t="str" cm="1">
        <f t="array" ref="J343">IFERROR(INDEX(_xlfn.ANCHORARRAY($P$6),ROW()-5,3),"")</f>
        <v/>
      </c>
      <c r="K343" s="432" t="str" cm="1">
        <f t="array" ref="K343">IF(OR($A343="",$J343&lt;&gt;"DIESEL"),"",_xlfn.LET(_xlpm.qty,N($C343),_xlpm.pos,$T$5:$T$54,_xlpm.alo,IF($U$5:$U$54="",0,$U$5:$U$54),_xlpm.usd,SUMIFS($C$6:$C342,$K$6:$K342,_xlpm.pos&amp;""),_xlpm.bal,_xlpm.alo-_xlpm.usd,IFERROR(INDEX(_xlfn._xlws.FILTER(_xlpm.pos,(_xlpm.pos&lt;&gt;"")*(_xlpm.qty&gt;0)*(_xlpm.bal&gt;=_xlpm.qty)),1),"")))</f>
        <v/>
      </c>
      <c r="L343" s="348"/>
    </row>
    <row r="344" spans="1:12" ht="23" x14ac:dyDescent="0.25">
      <c r="A344" s="217" t="str" cm="1">
        <f t="array" ref="A344">IFERROR(INDEX(_xlfn.ANCHORARRAY($P$6),ROW()-5,1),"")</f>
        <v/>
      </c>
      <c r="B344" s="344" t="str" cm="1">
        <f t="array" ref="B344">IFERROR(INDEX(_xlfn.ANCHORARRAY($P$6),ROW()-5,2),"")</f>
        <v/>
      </c>
      <c r="C344" s="345" t="str">
        <f>IF($A344="","",IF($J344="DIESEL",SUMIFS(Table1[Quantity],Table1[Customer],$M$3,Table1[Date],$A344,Table1[Bill No.],$B344),IF($J344="PETROL",SUMIFS(Table14[Quantity],Table14[Customer],$M$3,Table14[Date],$A344,Table14[Bill No.],$B344),IF($J344="XtraGreen",SUMIFS(Table146[Quantity],Table146[Company],$M$3,Table146[Date],$A344,Table146[Bill No.],$B344),""))))</f>
        <v/>
      </c>
      <c r="D344" s="346" t="str">
        <f>IF($A344="","",IF($J344="DIESEL",AVERAGEIFS(Table1[RSP],Table1[Customer],$M$3,Table1[Date],$A344,Table1[Bill No.],$B344),IF($J344="PETROL",AVERAGEIFS(Table14[RSP],Table14[Customer],$M$3,Table14[Date],$A344,Table14[Bill No.],$B344),IF($J344="XtraGreen",AVERAGEIFS(Table146[RSP],Table146[Company],$M$3,Table146[Date],$A344,Table146[Bill No.],$B344),IFERROR($E344/$C344,"")))))</f>
        <v/>
      </c>
      <c r="E344" s="347" t="str">
        <f>IF($A344="","",IF($J344="DIESEL",SUMIFS(Table1[Amount],Table1[Customer],$M$3,Table1[Date],$A344,Table1[Bill No.],$B344),IF($J344="PETROL",SUMIFS(Table14[Amount],Table14[Customer],$M$3,Table14[Date],$A344,Table14[Bill No.],$B344),IF($J344="XtraGreen",SUMIFS(Table146[Amount],Table146[Company],$M$3,Table146[Date],$A344,Table146[Bill No.],$B344),SUMIFS('Other Sale'!$D:$D,'Other Sale'!$E:$E,$M$3,'Other Sale'!$C:$C,$J344,'Other Sale'!$A:$A,$A344)))))</f>
        <v/>
      </c>
      <c r="F344" s="347" t="str" cm="1">
        <f t="array" ref="F344">IF($A344="","",IF($J344="Payment",IFERROR(INDEX(_xlfn._xlws.FILTER(MasterPaid[Amount Paid],(MasterPaid[Customer]=$M$3)*(MasterPaid[Date]=$A344)),COUNTIFS($A$6:$A344,$A344,$J$6:$J344,"Payment")),0),0))</f>
        <v/>
      </c>
      <c r="G344" s="331"/>
      <c r="H344" s="427"/>
      <c r="I344" s="330" t="str">
        <f t="shared" si="15"/>
        <v/>
      </c>
      <c r="J344" s="344" t="str" cm="1">
        <f t="array" ref="J344">IFERROR(INDEX(_xlfn.ANCHORARRAY($P$6),ROW()-5,3),"")</f>
        <v/>
      </c>
      <c r="K344" s="432" t="str" cm="1">
        <f t="array" ref="K344">IF(OR($A344="",$J344&lt;&gt;"DIESEL"),"",_xlfn.LET(_xlpm.qty,N($C344),_xlpm.pos,$T$5:$T$54,_xlpm.alo,IF($U$5:$U$54="",0,$U$5:$U$54),_xlpm.usd,SUMIFS($C$6:$C343,$K$6:$K343,_xlpm.pos&amp;""),_xlpm.bal,_xlpm.alo-_xlpm.usd,IFERROR(INDEX(_xlfn._xlws.FILTER(_xlpm.pos,(_xlpm.pos&lt;&gt;"")*(_xlpm.qty&gt;0)*(_xlpm.bal&gt;=_xlpm.qty)),1),"")))</f>
        <v/>
      </c>
      <c r="L344" s="348"/>
    </row>
    <row r="345" spans="1:12" ht="23" x14ac:dyDescent="0.25">
      <c r="A345" s="217" t="str" cm="1">
        <f t="array" ref="A345">IFERROR(INDEX(_xlfn.ANCHORARRAY($P$6),ROW()-5,1),"")</f>
        <v/>
      </c>
      <c r="B345" s="344" t="str" cm="1">
        <f t="array" ref="B345">IFERROR(INDEX(_xlfn.ANCHORARRAY($P$6),ROW()-5,2),"")</f>
        <v/>
      </c>
      <c r="C345" s="345" t="str">
        <f>IF($A345="","",IF($J345="DIESEL",SUMIFS(Table1[Quantity],Table1[Customer],$M$3,Table1[Date],$A345,Table1[Bill No.],$B345),IF($J345="PETROL",SUMIFS(Table14[Quantity],Table14[Customer],$M$3,Table14[Date],$A345,Table14[Bill No.],$B345),IF($J345="XtraGreen",SUMIFS(Table146[Quantity],Table146[Company],$M$3,Table146[Date],$A345,Table146[Bill No.],$B345),""))))</f>
        <v/>
      </c>
      <c r="D345" s="346" t="str">
        <f>IF($A345="","",IF($J345="DIESEL",AVERAGEIFS(Table1[RSP],Table1[Customer],$M$3,Table1[Date],$A345,Table1[Bill No.],$B345),IF($J345="PETROL",AVERAGEIFS(Table14[RSP],Table14[Customer],$M$3,Table14[Date],$A345,Table14[Bill No.],$B345),IF($J345="XtraGreen",AVERAGEIFS(Table146[RSP],Table146[Company],$M$3,Table146[Date],$A345,Table146[Bill No.],$B345),IFERROR($E345/$C345,"")))))</f>
        <v/>
      </c>
      <c r="E345" s="347" t="str">
        <f>IF($A345="","",IF($J345="DIESEL",SUMIFS(Table1[Amount],Table1[Customer],$M$3,Table1[Date],$A345,Table1[Bill No.],$B345),IF($J345="PETROL",SUMIFS(Table14[Amount],Table14[Customer],$M$3,Table14[Date],$A345,Table14[Bill No.],$B345),IF($J345="XtraGreen",SUMIFS(Table146[Amount],Table146[Company],$M$3,Table146[Date],$A345,Table146[Bill No.],$B345),SUMIFS('Other Sale'!$D:$D,'Other Sale'!$E:$E,$M$3,'Other Sale'!$C:$C,$J345,'Other Sale'!$A:$A,$A345)))))</f>
        <v/>
      </c>
      <c r="F345" s="347" t="str" cm="1">
        <f t="array" ref="F345">IF($A345="","",IF($J345="Payment",IFERROR(INDEX(_xlfn._xlws.FILTER(MasterPaid[Amount Paid],(MasterPaid[Customer]=$M$3)*(MasterPaid[Date]=$A345)),COUNTIFS($A$6:$A345,$A345,$J$6:$J345,"Payment")),0),0))</f>
        <v/>
      </c>
      <c r="G345" s="331"/>
      <c r="H345" s="427"/>
      <c r="I345" s="330" t="str">
        <f t="shared" si="15"/>
        <v/>
      </c>
      <c r="J345" s="344" t="str" cm="1">
        <f t="array" ref="J345">IFERROR(INDEX(_xlfn.ANCHORARRAY($P$6),ROW()-5,3),"")</f>
        <v/>
      </c>
      <c r="K345" s="432" t="str" cm="1">
        <f t="array" ref="K345">IF(OR($A345="",$J345&lt;&gt;"DIESEL"),"",_xlfn.LET(_xlpm.qty,N($C345),_xlpm.pos,$T$5:$T$54,_xlpm.alo,IF($U$5:$U$54="",0,$U$5:$U$54),_xlpm.usd,SUMIFS($C$6:$C344,$K$6:$K344,_xlpm.pos&amp;""),_xlpm.bal,_xlpm.alo-_xlpm.usd,IFERROR(INDEX(_xlfn._xlws.FILTER(_xlpm.pos,(_xlpm.pos&lt;&gt;"")*(_xlpm.qty&gt;0)*(_xlpm.bal&gt;=_xlpm.qty)),1),"")))</f>
        <v/>
      </c>
      <c r="L345" s="348"/>
    </row>
    <row r="346" spans="1:12" ht="23" x14ac:dyDescent="0.25">
      <c r="A346" s="217" t="str" cm="1">
        <f t="array" ref="A346">IFERROR(INDEX(_xlfn.ANCHORARRAY($P$6),ROW()-5,1),"")</f>
        <v/>
      </c>
      <c r="B346" s="344" t="str" cm="1">
        <f t="array" ref="B346">IFERROR(INDEX(_xlfn.ANCHORARRAY($P$6),ROW()-5,2),"")</f>
        <v/>
      </c>
      <c r="C346" s="345" t="str">
        <f>IF($A346="","",IF($J346="DIESEL",SUMIFS(Table1[Quantity],Table1[Customer],$M$3,Table1[Date],$A346,Table1[Bill No.],$B346),IF($J346="PETROL",SUMIFS(Table14[Quantity],Table14[Customer],$M$3,Table14[Date],$A346,Table14[Bill No.],$B346),IF($J346="XtraGreen",SUMIFS(Table146[Quantity],Table146[Company],$M$3,Table146[Date],$A346,Table146[Bill No.],$B346),""))))</f>
        <v/>
      </c>
      <c r="D346" s="346" t="str">
        <f>IF($A346="","",IF($J346="DIESEL",AVERAGEIFS(Table1[RSP],Table1[Customer],$M$3,Table1[Date],$A346,Table1[Bill No.],$B346),IF($J346="PETROL",AVERAGEIFS(Table14[RSP],Table14[Customer],$M$3,Table14[Date],$A346,Table14[Bill No.],$B346),IF($J346="XtraGreen",AVERAGEIFS(Table146[RSP],Table146[Company],$M$3,Table146[Date],$A346,Table146[Bill No.],$B346),IFERROR($E346/$C346,"")))))</f>
        <v/>
      </c>
      <c r="E346" s="347" t="str">
        <f>IF($A346="","",IF($J346="DIESEL",SUMIFS(Table1[Amount],Table1[Customer],$M$3,Table1[Date],$A346,Table1[Bill No.],$B346),IF($J346="PETROL",SUMIFS(Table14[Amount],Table14[Customer],$M$3,Table14[Date],$A346,Table14[Bill No.],$B346),IF($J346="XtraGreen",SUMIFS(Table146[Amount],Table146[Company],$M$3,Table146[Date],$A346,Table146[Bill No.],$B346),SUMIFS('Other Sale'!$D:$D,'Other Sale'!$E:$E,$M$3,'Other Sale'!$C:$C,$J346,'Other Sale'!$A:$A,$A346)))))</f>
        <v/>
      </c>
      <c r="F346" s="347" t="str" cm="1">
        <f t="array" ref="F346">IF($A346="","",IF($J346="Payment",IFERROR(INDEX(_xlfn._xlws.FILTER(MasterPaid[Amount Paid],(MasterPaid[Customer]=$M$3)*(MasterPaid[Date]=$A346)),COUNTIFS($A$6:$A346,$A346,$J$6:$J346,"Payment")),0),0))</f>
        <v/>
      </c>
      <c r="G346" s="331"/>
      <c r="H346" s="427"/>
      <c r="I346" s="330" t="str">
        <f t="shared" si="15"/>
        <v/>
      </c>
      <c r="J346" s="344" t="str" cm="1">
        <f t="array" ref="J346">IFERROR(INDEX(_xlfn.ANCHORARRAY($P$6),ROW()-5,3),"")</f>
        <v/>
      </c>
      <c r="K346" s="432" t="str" cm="1">
        <f t="array" ref="K346">IF(OR($A346="",$J346&lt;&gt;"DIESEL"),"",_xlfn.LET(_xlpm.qty,N($C346),_xlpm.pos,$T$5:$T$54,_xlpm.alo,IF($U$5:$U$54="",0,$U$5:$U$54),_xlpm.usd,SUMIFS($C$6:$C345,$K$6:$K345,_xlpm.pos&amp;""),_xlpm.bal,_xlpm.alo-_xlpm.usd,IFERROR(INDEX(_xlfn._xlws.FILTER(_xlpm.pos,(_xlpm.pos&lt;&gt;"")*(_xlpm.qty&gt;0)*(_xlpm.bal&gt;=_xlpm.qty)),1),"")))</f>
        <v/>
      </c>
      <c r="L346" s="348"/>
    </row>
    <row r="347" spans="1:12" ht="23" x14ac:dyDescent="0.25">
      <c r="A347" s="217" t="str" cm="1">
        <f t="array" ref="A347">IFERROR(INDEX(_xlfn.ANCHORARRAY($P$6),ROW()-5,1),"")</f>
        <v/>
      </c>
      <c r="B347" s="344" t="str" cm="1">
        <f t="array" ref="B347">IFERROR(INDEX(_xlfn.ANCHORARRAY($P$6),ROW()-5,2),"")</f>
        <v/>
      </c>
      <c r="C347" s="345" t="str">
        <f>IF($A347="","",IF($J347="DIESEL",SUMIFS(Table1[Quantity],Table1[Customer],$M$3,Table1[Date],$A347,Table1[Bill No.],$B347),IF($J347="PETROL",SUMIFS(Table14[Quantity],Table14[Customer],$M$3,Table14[Date],$A347,Table14[Bill No.],$B347),IF($J347="XtraGreen",SUMIFS(Table146[Quantity],Table146[Company],$M$3,Table146[Date],$A347,Table146[Bill No.],$B347),""))))</f>
        <v/>
      </c>
      <c r="D347" s="346" t="str">
        <f>IF($A347="","",IF($J347="DIESEL",AVERAGEIFS(Table1[RSP],Table1[Customer],$M$3,Table1[Date],$A347,Table1[Bill No.],$B347),IF($J347="PETROL",AVERAGEIFS(Table14[RSP],Table14[Customer],$M$3,Table14[Date],$A347,Table14[Bill No.],$B347),IF($J347="XtraGreen",AVERAGEIFS(Table146[RSP],Table146[Company],$M$3,Table146[Date],$A347,Table146[Bill No.],$B347),IFERROR($E347/$C347,"")))))</f>
        <v/>
      </c>
      <c r="E347" s="347" t="str">
        <f>IF($A347="","",IF($J347="DIESEL",SUMIFS(Table1[Amount],Table1[Customer],$M$3,Table1[Date],$A347,Table1[Bill No.],$B347),IF($J347="PETROL",SUMIFS(Table14[Amount],Table14[Customer],$M$3,Table14[Date],$A347,Table14[Bill No.],$B347),IF($J347="XtraGreen",SUMIFS(Table146[Amount],Table146[Company],$M$3,Table146[Date],$A347,Table146[Bill No.],$B347),SUMIFS('Other Sale'!$D:$D,'Other Sale'!$E:$E,$M$3,'Other Sale'!$C:$C,$J347,'Other Sale'!$A:$A,$A347)))))</f>
        <v/>
      </c>
      <c r="F347" s="347" t="str" cm="1">
        <f t="array" ref="F347">IF($A347="","",IF($J347="Payment",IFERROR(INDEX(_xlfn._xlws.FILTER(MasterPaid[Amount Paid],(MasterPaid[Customer]=$M$3)*(MasterPaid[Date]=$A347)),COUNTIFS($A$6:$A347,$A347,$J$6:$J347,"Payment")),0),0))</f>
        <v/>
      </c>
      <c r="G347" s="331"/>
      <c r="H347" s="427"/>
      <c r="I347" s="330" t="str">
        <f t="shared" si="15"/>
        <v/>
      </c>
      <c r="J347" s="344" t="str" cm="1">
        <f t="array" ref="J347">IFERROR(INDEX(_xlfn.ANCHORARRAY($P$6),ROW()-5,3),"")</f>
        <v/>
      </c>
      <c r="K347" s="432" t="str" cm="1">
        <f t="array" ref="K347">IF(OR($A347="",$J347&lt;&gt;"DIESEL"),"",_xlfn.LET(_xlpm.qty,N($C347),_xlpm.pos,$T$5:$T$54,_xlpm.alo,IF($U$5:$U$54="",0,$U$5:$U$54),_xlpm.usd,SUMIFS($C$6:$C346,$K$6:$K346,_xlpm.pos&amp;""),_xlpm.bal,_xlpm.alo-_xlpm.usd,IFERROR(INDEX(_xlfn._xlws.FILTER(_xlpm.pos,(_xlpm.pos&lt;&gt;"")*(_xlpm.qty&gt;0)*(_xlpm.bal&gt;=_xlpm.qty)),1),"")))</f>
        <v/>
      </c>
      <c r="L347" s="348"/>
    </row>
    <row r="348" spans="1:12" ht="23" x14ac:dyDescent="0.25">
      <c r="A348" s="217" t="str" cm="1">
        <f t="array" ref="A348">IFERROR(INDEX(_xlfn.ANCHORARRAY($P$6),ROW()-5,1),"")</f>
        <v/>
      </c>
      <c r="B348" s="344" t="str" cm="1">
        <f t="array" ref="B348">IFERROR(INDEX(_xlfn.ANCHORARRAY($P$6),ROW()-5,2),"")</f>
        <v/>
      </c>
      <c r="C348" s="345" t="str">
        <f>IF($A348="","",IF($J348="DIESEL",SUMIFS(Table1[Quantity],Table1[Customer],$M$3,Table1[Date],$A348,Table1[Bill No.],$B348),IF($J348="PETROL",SUMIFS(Table14[Quantity],Table14[Customer],$M$3,Table14[Date],$A348,Table14[Bill No.],$B348),IF($J348="XtraGreen",SUMIFS(Table146[Quantity],Table146[Company],$M$3,Table146[Date],$A348,Table146[Bill No.],$B348),""))))</f>
        <v/>
      </c>
      <c r="D348" s="346" t="str">
        <f>IF($A348="","",IF($J348="DIESEL",AVERAGEIFS(Table1[RSP],Table1[Customer],$M$3,Table1[Date],$A348,Table1[Bill No.],$B348),IF($J348="PETROL",AVERAGEIFS(Table14[RSP],Table14[Customer],$M$3,Table14[Date],$A348,Table14[Bill No.],$B348),IF($J348="XtraGreen",AVERAGEIFS(Table146[RSP],Table146[Company],$M$3,Table146[Date],$A348,Table146[Bill No.],$B348),IFERROR($E348/$C348,"")))))</f>
        <v/>
      </c>
      <c r="E348" s="347" t="str">
        <f>IF($A348="","",IF($J348="DIESEL",SUMIFS(Table1[Amount],Table1[Customer],$M$3,Table1[Date],$A348,Table1[Bill No.],$B348),IF($J348="PETROL",SUMIFS(Table14[Amount],Table14[Customer],$M$3,Table14[Date],$A348,Table14[Bill No.],$B348),IF($J348="XtraGreen",SUMIFS(Table146[Amount],Table146[Company],$M$3,Table146[Date],$A348,Table146[Bill No.],$B348),SUMIFS('Other Sale'!$D:$D,'Other Sale'!$E:$E,$M$3,'Other Sale'!$C:$C,$J348,'Other Sale'!$A:$A,$A348)))))</f>
        <v/>
      </c>
      <c r="F348" s="347" t="str" cm="1">
        <f t="array" ref="F348">IF($A348="","",IF($J348="Payment",IFERROR(INDEX(_xlfn._xlws.FILTER(MasterPaid[Amount Paid],(MasterPaid[Customer]=$M$3)*(MasterPaid[Date]=$A348)),COUNTIFS($A$6:$A348,$A348,$J$6:$J348,"Payment")),0),0))</f>
        <v/>
      </c>
      <c r="G348" s="331"/>
      <c r="H348" s="427"/>
      <c r="I348" s="330" t="str">
        <f t="shared" si="15"/>
        <v/>
      </c>
      <c r="J348" s="344" t="str" cm="1">
        <f t="array" ref="J348">IFERROR(INDEX(_xlfn.ANCHORARRAY($P$6),ROW()-5,3),"")</f>
        <v/>
      </c>
      <c r="K348" s="432" t="str" cm="1">
        <f t="array" ref="K348">IF(OR($A348="",$J348&lt;&gt;"DIESEL"),"",_xlfn.LET(_xlpm.qty,N($C348),_xlpm.pos,$T$5:$T$54,_xlpm.alo,IF($U$5:$U$54="",0,$U$5:$U$54),_xlpm.usd,SUMIFS($C$6:$C347,$K$6:$K347,_xlpm.pos&amp;""),_xlpm.bal,_xlpm.alo-_xlpm.usd,IFERROR(INDEX(_xlfn._xlws.FILTER(_xlpm.pos,(_xlpm.pos&lt;&gt;"")*(_xlpm.qty&gt;0)*(_xlpm.bal&gt;=_xlpm.qty)),1),"")))</f>
        <v/>
      </c>
      <c r="L348" s="348"/>
    </row>
    <row r="349" spans="1:12" ht="23" x14ac:dyDescent="0.25">
      <c r="A349" s="217" t="str" cm="1">
        <f t="array" ref="A349">IFERROR(INDEX(_xlfn.ANCHORARRAY($P$6),ROW()-5,1),"")</f>
        <v/>
      </c>
      <c r="B349" s="344" t="str" cm="1">
        <f t="array" ref="B349">IFERROR(INDEX(_xlfn.ANCHORARRAY($P$6),ROW()-5,2),"")</f>
        <v/>
      </c>
      <c r="C349" s="345" t="str">
        <f>IF($A349="","",IF($J349="DIESEL",SUMIFS(Table1[Quantity],Table1[Customer],$M$3,Table1[Date],$A349,Table1[Bill No.],$B349),IF($J349="PETROL",SUMIFS(Table14[Quantity],Table14[Customer],$M$3,Table14[Date],$A349,Table14[Bill No.],$B349),IF($J349="XtraGreen",SUMIFS(Table146[Quantity],Table146[Company],$M$3,Table146[Date],$A349,Table146[Bill No.],$B349),""))))</f>
        <v/>
      </c>
      <c r="D349" s="346" t="str">
        <f>IF($A349="","",IF($J349="DIESEL",AVERAGEIFS(Table1[RSP],Table1[Customer],$M$3,Table1[Date],$A349,Table1[Bill No.],$B349),IF($J349="PETROL",AVERAGEIFS(Table14[RSP],Table14[Customer],$M$3,Table14[Date],$A349,Table14[Bill No.],$B349),IF($J349="XtraGreen",AVERAGEIFS(Table146[RSP],Table146[Company],$M$3,Table146[Date],$A349,Table146[Bill No.],$B349),IFERROR($E349/$C349,"")))))</f>
        <v/>
      </c>
      <c r="E349" s="347" t="str">
        <f>IF($A349="","",IF($J349="DIESEL",SUMIFS(Table1[Amount],Table1[Customer],$M$3,Table1[Date],$A349,Table1[Bill No.],$B349),IF($J349="PETROL",SUMIFS(Table14[Amount],Table14[Customer],$M$3,Table14[Date],$A349,Table14[Bill No.],$B349),IF($J349="XtraGreen",SUMIFS(Table146[Amount],Table146[Company],$M$3,Table146[Date],$A349,Table146[Bill No.],$B349),SUMIFS('Other Sale'!$D:$D,'Other Sale'!$E:$E,$M$3,'Other Sale'!$C:$C,$J349,'Other Sale'!$A:$A,$A349)))))</f>
        <v/>
      </c>
      <c r="F349" s="347" t="str" cm="1">
        <f t="array" ref="F349">IF($A349="","",IF($J349="Payment",IFERROR(INDEX(_xlfn._xlws.FILTER(MasterPaid[Amount Paid],(MasterPaid[Customer]=$M$3)*(MasterPaid[Date]=$A349)),COUNTIFS($A$6:$A349,$A349,$J$6:$J349,"Payment")),0),0))</f>
        <v/>
      </c>
      <c r="G349" s="331"/>
      <c r="H349" s="427"/>
      <c r="I349" s="330" t="str">
        <f t="shared" si="15"/>
        <v/>
      </c>
      <c r="J349" s="344" t="str" cm="1">
        <f t="array" ref="J349">IFERROR(INDEX(_xlfn.ANCHORARRAY($P$6),ROW()-5,3),"")</f>
        <v/>
      </c>
      <c r="K349" s="432" t="str" cm="1">
        <f t="array" ref="K349">IF(OR($A349="",$J349&lt;&gt;"DIESEL"),"",_xlfn.LET(_xlpm.qty,N($C349),_xlpm.pos,$T$5:$T$54,_xlpm.alo,IF($U$5:$U$54="",0,$U$5:$U$54),_xlpm.usd,SUMIFS($C$6:$C348,$K$6:$K348,_xlpm.pos&amp;""),_xlpm.bal,_xlpm.alo-_xlpm.usd,IFERROR(INDEX(_xlfn._xlws.FILTER(_xlpm.pos,(_xlpm.pos&lt;&gt;"")*(_xlpm.qty&gt;0)*(_xlpm.bal&gt;=_xlpm.qty)),1),"")))</f>
        <v/>
      </c>
      <c r="L349" s="348"/>
    </row>
    <row r="350" spans="1:12" ht="23" x14ac:dyDescent="0.25">
      <c r="A350" s="217" t="str" cm="1">
        <f t="array" ref="A350">IFERROR(INDEX(_xlfn.ANCHORARRAY($P$6),ROW()-5,1),"")</f>
        <v/>
      </c>
      <c r="B350" s="344" t="str" cm="1">
        <f t="array" ref="B350">IFERROR(INDEX(_xlfn.ANCHORARRAY($P$6),ROW()-5,2),"")</f>
        <v/>
      </c>
      <c r="C350" s="345" t="str">
        <f>IF($A350="","",IF($J350="DIESEL",SUMIFS(Table1[Quantity],Table1[Customer],$M$3,Table1[Date],$A350,Table1[Bill No.],$B350),IF($J350="PETROL",SUMIFS(Table14[Quantity],Table14[Customer],$M$3,Table14[Date],$A350,Table14[Bill No.],$B350),IF($J350="XtraGreen",SUMIFS(Table146[Quantity],Table146[Company],$M$3,Table146[Date],$A350,Table146[Bill No.],$B350),""))))</f>
        <v/>
      </c>
      <c r="D350" s="346" t="str">
        <f>IF($A350="","",IF($J350="DIESEL",AVERAGEIFS(Table1[RSP],Table1[Customer],$M$3,Table1[Date],$A350,Table1[Bill No.],$B350),IF($J350="PETROL",AVERAGEIFS(Table14[RSP],Table14[Customer],$M$3,Table14[Date],$A350,Table14[Bill No.],$B350),IF($J350="XtraGreen",AVERAGEIFS(Table146[RSP],Table146[Company],$M$3,Table146[Date],$A350,Table146[Bill No.],$B350),IFERROR($E350/$C350,"")))))</f>
        <v/>
      </c>
      <c r="E350" s="347" t="str">
        <f>IF($A350="","",IF($J350="DIESEL",SUMIFS(Table1[Amount],Table1[Customer],$M$3,Table1[Date],$A350,Table1[Bill No.],$B350),IF($J350="PETROL",SUMIFS(Table14[Amount],Table14[Customer],$M$3,Table14[Date],$A350,Table14[Bill No.],$B350),IF($J350="XtraGreen",SUMIFS(Table146[Amount],Table146[Company],$M$3,Table146[Date],$A350,Table146[Bill No.],$B350),SUMIFS('Other Sale'!$D:$D,'Other Sale'!$E:$E,$M$3,'Other Sale'!$C:$C,$J350,'Other Sale'!$A:$A,$A350)))))</f>
        <v/>
      </c>
      <c r="F350" s="347" t="str" cm="1">
        <f t="array" ref="F350">IF($A350="","",IF($J350="Payment",IFERROR(INDEX(_xlfn._xlws.FILTER(MasterPaid[Amount Paid],(MasterPaid[Customer]=$M$3)*(MasterPaid[Date]=$A350)),COUNTIFS($A$6:$A350,$A350,$J$6:$J350,"Payment")),0),0))</f>
        <v/>
      </c>
      <c r="G350" s="331"/>
      <c r="H350" s="427"/>
      <c r="I350" s="330" t="str">
        <f t="shared" si="15"/>
        <v/>
      </c>
      <c r="J350" s="344" t="str" cm="1">
        <f t="array" ref="J350">IFERROR(INDEX(_xlfn.ANCHORARRAY($P$6),ROW()-5,3),"")</f>
        <v/>
      </c>
      <c r="K350" s="432" t="str" cm="1">
        <f t="array" ref="K350">IF(OR($A350="",$J350&lt;&gt;"DIESEL"),"",_xlfn.LET(_xlpm.qty,N($C350),_xlpm.pos,$T$5:$T$54,_xlpm.alo,IF($U$5:$U$54="",0,$U$5:$U$54),_xlpm.usd,SUMIFS($C$6:$C349,$K$6:$K349,_xlpm.pos&amp;""),_xlpm.bal,_xlpm.alo-_xlpm.usd,IFERROR(INDEX(_xlfn._xlws.FILTER(_xlpm.pos,(_xlpm.pos&lt;&gt;"")*(_xlpm.qty&gt;0)*(_xlpm.bal&gt;=_xlpm.qty)),1),"")))</f>
        <v/>
      </c>
      <c r="L350" s="348"/>
    </row>
    <row r="351" spans="1:12" ht="23" x14ac:dyDescent="0.25">
      <c r="A351" s="217" t="str" cm="1">
        <f t="array" ref="A351">IFERROR(INDEX(_xlfn.ANCHORARRAY($P$6),ROW()-5,1),"")</f>
        <v/>
      </c>
      <c r="B351" s="344" t="str" cm="1">
        <f t="array" ref="B351">IFERROR(INDEX(_xlfn.ANCHORARRAY($P$6),ROW()-5,2),"")</f>
        <v/>
      </c>
      <c r="C351" s="345" t="str">
        <f>IF($A351="","",IF($J351="DIESEL",SUMIFS(Table1[Quantity],Table1[Customer],$M$3,Table1[Date],$A351,Table1[Bill No.],$B351),IF($J351="PETROL",SUMIFS(Table14[Quantity],Table14[Customer],$M$3,Table14[Date],$A351,Table14[Bill No.],$B351),IF($J351="XtraGreen",SUMIFS(Table146[Quantity],Table146[Company],$M$3,Table146[Date],$A351,Table146[Bill No.],$B351),""))))</f>
        <v/>
      </c>
      <c r="D351" s="346" t="str">
        <f>IF($A351="","",IF($J351="DIESEL",AVERAGEIFS(Table1[RSP],Table1[Customer],$M$3,Table1[Date],$A351,Table1[Bill No.],$B351),IF($J351="PETROL",AVERAGEIFS(Table14[RSP],Table14[Customer],$M$3,Table14[Date],$A351,Table14[Bill No.],$B351),IF($J351="XtraGreen",AVERAGEIFS(Table146[RSP],Table146[Company],$M$3,Table146[Date],$A351,Table146[Bill No.],$B351),IFERROR($E351/$C351,"")))))</f>
        <v/>
      </c>
      <c r="E351" s="347" t="str">
        <f>IF($A351="","",IF($J351="DIESEL",SUMIFS(Table1[Amount],Table1[Customer],$M$3,Table1[Date],$A351,Table1[Bill No.],$B351),IF($J351="PETROL",SUMIFS(Table14[Amount],Table14[Customer],$M$3,Table14[Date],$A351,Table14[Bill No.],$B351),IF($J351="XtraGreen",SUMIFS(Table146[Amount],Table146[Company],$M$3,Table146[Date],$A351,Table146[Bill No.],$B351),SUMIFS('Other Sale'!$D:$D,'Other Sale'!$E:$E,$M$3,'Other Sale'!$C:$C,$J351,'Other Sale'!$A:$A,$A351)))))</f>
        <v/>
      </c>
      <c r="F351" s="347" t="str" cm="1">
        <f t="array" ref="F351">IF($A351="","",IF($J351="Payment",IFERROR(INDEX(_xlfn._xlws.FILTER(MasterPaid[Amount Paid],(MasterPaid[Customer]=$M$3)*(MasterPaid[Date]=$A351)),COUNTIFS($A$6:$A351,$A351,$J$6:$J351,"Payment")),0),0))</f>
        <v/>
      </c>
      <c r="G351" s="331"/>
      <c r="H351" s="427"/>
      <c r="I351" s="330" t="str">
        <f t="shared" si="15"/>
        <v/>
      </c>
      <c r="J351" s="344" t="str" cm="1">
        <f t="array" ref="J351">IFERROR(INDEX(_xlfn.ANCHORARRAY($P$6),ROW()-5,3),"")</f>
        <v/>
      </c>
      <c r="K351" s="432" t="str" cm="1">
        <f t="array" ref="K351">IF(OR($A351="",$J351&lt;&gt;"DIESEL"),"",_xlfn.LET(_xlpm.qty,N($C351),_xlpm.pos,$T$5:$T$54,_xlpm.alo,IF($U$5:$U$54="",0,$U$5:$U$54),_xlpm.usd,SUMIFS($C$6:$C350,$K$6:$K350,_xlpm.pos&amp;""),_xlpm.bal,_xlpm.alo-_xlpm.usd,IFERROR(INDEX(_xlfn._xlws.FILTER(_xlpm.pos,(_xlpm.pos&lt;&gt;"")*(_xlpm.qty&gt;0)*(_xlpm.bal&gt;=_xlpm.qty)),1),"")))</f>
        <v/>
      </c>
      <c r="L351" s="348"/>
    </row>
    <row r="352" spans="1:12" ht="23" x14ac:dyDescent="0.25">
      <c r="A352" s="217" t="str" cm="1">
        <f t="array" ref="A352">IFERROR(INDEX(_xlfn.ANCHORARRAY($P$6),ROW()-5,1),"")</f>
        <v/>
      </c>
      <c r="B352" s="344" t="str" cm="1">
        <f t="array" ref="B352">IFERROR(INDEX(_xlfn.ANCHORARRAY($P$6),ROW()-5,2),"")</f>
        <v/>
      </c>
      <c r="C352" s="345" t="str">
        <f>IF($A352="","",IF($J352="DIESEL",SUMIFS(Table1[Quantity],Table1[Customer],$M$3,Table1[Date],$A352,Table1[Bill No.],$B352),IF($J352="PETROL",SUMIFS(Table14[Quantity],Table14[Customer],$M$3,Table14[Date],$A352,Table14[Bill No.],$B352),IF($J352="XtraGreen",SUMIFS(Table146[Quantity],Table146[Company],$M$3,Table146[Date],$A352,Table146[Bill No.],$B352),""))))</f>
        <v/>
      </c>
      <c r="D352" s="346" t="str">
        <f>IF($A352="","",IF($J352="DIESEL",AVERAGEIFS(Table1[RSP],Table1[Customer],$M$3,Table1[Date],$A352,Table1[Bill No.],$B352),IF($J352="PETROL",AVERAGEIFS(Table14[RSP],Table14[Customer],$M$3,Table14[Date],$A352,Table14[Bill No.],$B352),IF($J352="XtraGreen",AVERAGEIFS(Table146[RSP],Table146[Company],$M$3,Table146[Date],$A352,Table146[Bill No.],$B352),IFERROR($E352/$C352,"")))))</f>
        <v/>
      </c>
      <c r="E352" s="347" t="str">
        <f>IF($A352="","",IF($J352="DIESEL",SUMIFS(Table1[Amount],Table1[Customer],$M$3,Table1[Date],$A352,Table1[Bill No.],$B352),IF($J352="PETROL",SUMIFS(Table14[Amount],Table14[Customer],$M$3,Table14[Date],$A352,Table14[Bill No.],$B352),IF($J352="XtraGreen",SUMIFS(Table146[Amount],Table146[Company],$M$3,Table146[Date],$A352,Table146[Bill No.],$B352),SUMIFS('Other Sale'!$D:$D,'Other Sale'!$E:$E,$M$3,'Other Sale'!$C:$C,$J352,'Other Sale'!$A:$A,$A352)))))</f>
        <v/>
      </c>
      <c r="F352" s="347" t="str" cm="1">
        <f t="array" ref="F352">IF($A352="","",IF($J352="Payment",IFERROR(INDEX(_xlfn._xlws.FILTER(MasterPaid[Amount Paid],(MasterPaid[Customer]=$M$3)*(MasterPaid[Date]=$A352)),COUNTIFS($A$6:$A352,$A352,$J$6:$J352,"Payment")),0),0))</f>
        <v/>
      </c>
      <c r="G352" s="331"/>
      <c r="H352" s="427"/>
      <c r="I352" s="330" t="str">
        <f t="shared" si="15"/>
        <v/>
      </c>
      <c r="J352" s="344" t="str" cm="1">
        <f t="array" ref="J352">IFERROR(INDEX(_xlfn.ANCHORARRAY($P$6),ROW()-5,3),"")</f>
        <v/>
      </c>
      <c r="K352" s="432" t="str" cm="1">
        <f t="array" ref="K352">IF(OR($A352="",$J352&lt;&gt;"DIESEL"),"",_xlfn.LET(_xlpm.qty,N($C352),_xlpm.pos,$T$5:$T$54,_xlpm.alo,IF($U$5:$U$54="",0,$U$5:$U$54),_xlpm.usd,SUMIFS($C$6:$C351,$K$6:$K351,_xlpm.pos&amp;""),_xlpm.bal,_xlpm.alo-_xlpm.usd,IFERROR(INDEX(_xlfn._xlws.FILTER(_xlpm.pos,(_xlpm.pos&lt;&gt;"")*(_xlpm.qty&gt;0)*(_xlpm.bal&gt;=_xlpm.qty)),1),"")))</f>
        <v/>
      </c>
      <c r="L352" s="348"/>
    </row>
    <row r="353" spans="1:12" ht="23" x14ac:dyDescent="0.25">
      <c r="A353" s="217" t="str" cm="1">
        <f t="array" ref="A353">IFERROR(INDEX(_xlfn.ANCHORARRAY($P$6),ROW()-5,1),"")</f>
        <v/>
      </c>
      <c r="B353" s="344" t="str" cm="1">
        <f t="array" ref="B353">IFERROR(INDEX(_xlfn.ANCHORARRAY($P$6),ROW()-5,2),"")</f>
        <v/>
      </c>
      <c r="C353" s="345" t="str">
        <f>IF($A353="","",IF($J353="DIESEL",SUMIFS(Table1[Quantity],Table1[Customer],$M$3,Table1[Date],$A353,Table1[Bill No.],$B353),IF($J353="PETROL",SUMIFS(Table14[Quantity],Table14[Customer],$M$3,Table14[Date],$A353,Table14[Bill No.],$B353),IF($J353="XtraGreen",SUMIFS(Table146[Quantity],Table146[Company],$M$3,Table146[Date],$A353,Table146[Bill No.],$B353),""))))</f>
        <v/>
      </c>
      <c r="D353" s="346" t="str">
        <f>IF($A353="","",IF($J353="DIESEL",AVERAGEIFS(Table1[RSP],Table1[Customer],$M$3,Table1[Date],$A353,Table1[Bill No.],$B353),IF($J353="PETROL",AVERAGEIFS(Table14[RSP],Table14[Customer],$M$3,Table14[Date],$A353,Table14[Bill No.],$B353),IF($J353="XtraGreen",AVERAGEIFS(Table146[RSP],Table146[Company],$M$3,Table146[Date],$A353,Table146[Bill No.],$B353),IFERROR($E353/$C353,"")))))</f>
        <v/>
      </c>
      <c r="E353" s="347" t="str">
        <f>IF($A353="","",IF($J353="DIESEL",SUMIFS(Table1[Amount],Table1[Customer],$M$3,Table1[Date],$A353,Table1[Bill No.],$B353),IF($J353="PETROL",SUMIFS(Table14[Amount],Table14[Customer],$M$3,Table14[Date],$A353,Table14[Bill No.],$B353),IF($J353="XtraGreen",SUMIFS(Table146[Amount],Table146[Company],$M$3,Table146[Date],$A353,Table146[Bill No.],$B353),SUMIFS('Other Sale'!$D:$D,'Other Sale'!$E:$E,$M$3,'Other Sale'!$C:$C,$J353,'Other Sale'!$A:$A,$A353)))))</f>
        <v/>
      </c>
      <c r="F353" s="347" t="str" cm="1">
        <f t="array" ref="F353">IF($A353="","",IF($J353="Payment",IFERROR(INDEX(_xlfn._xlws.FILTER(MasterPaid[Amount Paid],(MasterPaid[Customer]=$M$3)*(MasterPaid[Date]=$A353)),COUNTIFS($A$6:$A353,$A353,$J$6:$J353,"Payment")),0),0))</f>
        <v/>
      </c>
      <c r="G353" s="331"/>
      <c r="H353" s="427"/>
      <c r="I353" s="330" t="str">
        <f t="shared" si="15"/>
        <v/>
      </c>
      <c r="J353" s="344" t="str" cm="1">
        <f t="array" ref="J353">IFERROR(INDEX(_xlfn.ANCHORARRAY($P$6),ROW()-5,3),"")</f>
        <v/>
      </c>
      <c r="K353" s="432" t="str" cm="1">
        <f t="array" ref="K353">IF(OR($A353="",$J353&lt;&gt;"DIESEL"),"",_xlfn.LET(_xlpm.qty,N($C353),_xlpm.pos,$T$5:$T$54,_xlpm.alo,IF($U$5:$U$54="",0,$U$5:$U$54),_xlpm.usd,SUMIFS($C$6:$C352,$K$6:$K352,_xlpm.pos&amp;""),_xlpm.bal,_xlpm.alo-_xlpm.usd,IFERROR(INDEX(_xlfn._xlws.FILTER(_xlpm.pos,(_xlpm.pos&lt;&gt;"")*(_xlpm.qty&gt;0)*(_xlpm.bal&gt;=_xlpm.qty)),1),"")))</f>
        <v/>
      </c>
      <c r="L353" s="348"/>
    </row>
    <row r="354" spans="1:12" ht="23" x14ac:dyDescent="0.25">
      <c r="A354" s="217" t="str" cm="1">
        <f t="array" ref="A354">IFERROR(INDEX(_xlfn.ANCHORARRAY($P$6),ROW()-5,1),"")</f>
        <v/>
      </c>
      <c r="B354" s="344" t="str" cm="1">
        <f t="array" ref="B354">IFERROR(INDEX(_xlfn.ANCHORARRAY($P$6),ROW()-5,2),"")</f>
        <v/>
      </c>
      <c r="C354" s="345" t="str">
        <f>IF($A354="","",IF($J354="DIESEL",SUMIFS(Table1[Quantity],Table1[Customer],$M$3,Table1[Date],$A354,Table1[Bill No.],$B354),IF($J354="PETROL",SUMIFS(Table14[Quantity],Table14[Customer],$M$3,Table14[Date],$A354,Table14[Bill No.],$B354),IF($J354="XtraGreen",SUMIFS(Table146[Quantity],Table146[Company],$M$3,Table146[Date],$A354,Table146[Bill No.],$B354),""))))</f>
        <v/>
      </c>
      <c r="D354" s="346" t="str">
        <f>IF($A354="","",IF($J354="DIESEL",AVERAGEIFS(Table1[RSP],Table1[Customer],$M$3,Table1[Date],$A354,Table1[Bill No.],$B354),IF($J354="PETROL",AVERAGEIFS(Table14[RSP],Table14[Customer],$M$3,Table14[Date],$A354,Table14[Bill No.],$B354),IF($J354="XtraGreen",AVERAGEIFS(Table146[RSP],Table146[Company],$M$3,Table146[Date],$A354,Table146[Bill No.],$B354),IFERROR($E354/$C354,"")))))</f>
        <v/>
      </c>
      <c r="E354" s="347" t="str">
        <f>IF($A354="","",IF($J354="DIESEL",SUMIFS(Table1[Amount],Table1[Customer],$M$3,Table1[Date],$A354,Table1[Bill No.],$B354),IF($J354="PETROL",SUMIFS(Table14[Amount],Table14[Customer],$M$3,Table14[Date],$A354,Table14[Bill No.],$B354),IF($J354="XtraGreen",SUMIFS(Table146[Amount],Table146[Company],$M$3,Table146[Date],$A354,Table146[Bill No.],$B354),SUMIFS('Other Sale'!$D:$D,'Other Sale'!$E:$E,$M$3,'Other Sale'!$C:$C,$J354,'Other Sale'!$A:$A,$A354)))))</f>
        <v/>
      </c>
      <c r="F354" s="347" t="str" cm="1">
        <f t="array" ref="F354">IF($A354="","",IF($J354="Payment",IFERROR(INDEX(_xlfn._xlws.FILTER(MasterPaid[Amount Paid],(MasterPaid[Customer]=$M$3)*(MasterPaid[Date]=$A354)),COUNTIFS($A$6:$A354,$A354,$J$6:$J354,"Payment")),0),0))</f>
        <v/>
      </c>
      <c r="G354" s="331"/>
      <c r="H354" s="427"/>
      <c r="I354" s="330" t="str">
        <f t="shared" si="15"/>
        <v/>
      </c>
      <c r="J354" s="344" t="str" cm="1">
        <f t="array" ref="J354">IFERROR(INDEX(_xlfn.ANCHORARRAY($P$6),ROW()-5,3),"")</f>
        <v/>
      </c>
      <c r="K354" s="432" t="str" cm="1">
        <f t="array" ref="K354">IF(OR($A354="",$J354&lt;&gt;"DIESEL"),"",_xlfn.LET(_xlpm.qty,N($C354),_xlpm.pos,$T$5:$T$54,_xlpm.alo,IF($U$5:$U$54="",0,$U$5:$U$54),_xlpm.usd,SUMIFS($C$6:$C353,$K$6:$K353,_xlpm.pos&amp;""),_xlpm.bal,_xlpm.alo-_xlpm.usd,IFERROR(INDEX(_xlfn._xlws.FILTER(_xlpm.pos,(_xlpm.pos&lt;&gt;"")*(_xlpm.qty&gt;0)*(_xlpm.bal&gt;=_xlpm.qty)),1),"")))</f>
        <v/>
      </c>
      <c r="L354" s="348"/>
    </row>
    <row r="355" spans="1:12" ht="23" x14ac:dyDescent="0.25">
      <c r="A355" s="217" t="str" cm="1">
        <f t="array" ref="A355">IFERROR(INDEX(_xlfn.ANCHORARRAY($P$6),ROW()-5,1),"")</f>
        <v/>
      </c>
      <c r="B355" s="344" t="str" cm="1">
        <f t="array" ref="B355">IFERROR(INDEX(_xlfn.ANCHORARRAY($P$6),ROW()-5,2),"")</f>
        <v/>
      </c>
      <c r="C355" s="345" t="str">
        <f>IF($A355="","",IF($J355="DIESEL",SUMIFS(Table1[Quantity],Table1[Customer],$M$3,Table1[Date],$A355,Table1[Bill No.],$B355),IF($J355="PETROL",SUMIFS(Table14[Quantity],Table14[Customer],$M$3,Table14[Date],$A355,Table14[Bill No.],$B355),IF($J355="XtraGreen",SUMIFS(Table146[Quantity],Table146[Company],$M$3,Table146[Date],$A355,Table146[Bill No.],$B355),""))))</f>
        <v/>
      </c>
      <c r="D355" s="346" t="str">
        <f>IF($A355="","",IF($J355="DIESEL",AVERAGEIFS(Table1[RSP],Table1[Customer],$M$3,Table1[Date],$A355,Table1[Bill No.],$B355),IF($J355="PETROL",AVERAGEIFS(Table14[RSP],Table14[Customer],$M$3,Table14[Date],$A355,Table14[Bill No.],$B355),IF($J355="XtraGreen",AVERAGEIFS(Table146[RSP],Table146[Company],$M$3,Table146[Date],$A355,Table146[Bill No.],$B355),IFERROR($E355/$C355,"")))))</f>
        <v/>
      </c>
      <c r="E355" s="347" t="str">
        <f>IF($A355="","",IF($J355="DIESEL",SUMIFS(Table1[Amount],Table1[Customer],$M$3,Table1[Date],$A355,Table1[Bill No.],$B355),IF($J355="PETROL",SUMIFS(Table14[Amount],Table14[Customer],$M$3,Table14[Date],$A355,Table14[Bill No.],$B355),IF($J355="XtraGreen",SUMIFS(Table146[Amount],Table146[Company],$M$3,Table146[Date],$A355,Table146[Bill No.],$B355),SUMIFS('Other Sale'!$D:$D,'Other Sale'!$E:$E,$M$3,'Other Sale'!$C:$C,$J355,'Other Sale'!$A:$A,$A355)))))</f>
        <v/>
      </c>
      <c r="F355" s="347" t="str" cm="1">
        <f t="array" ref="F355">IF($A355="","",IF($J355="Payment",IFERROR(INDEX(_xlfn._xlws.FILTER(MasterPaid[Amount Paid],(MasterPaid[Customer]=$M$3)*(MasterPaid[Date]=$A355)),COUNTIFS($A$6:$A355,$A355,$J$6:$J355,"Payment")),0),0))</f>
        <v/>
      </c>
      <c r="G355" s="331"/>
      <c r="H355" s="427"/>
      <c r="I355" s="330" t="str">
        <f t="shared" si="15"/>
        <v/>
      </c>
      <c r="J355" s="344" t="str" cm="1">
        <f t="array" ref="J355">IFERROR(INDEX(_xlfn.ANCHORARRAY($P$6),ROW()-5,3),"")</f>
        <v/>
      </c>
      <c r="K355" s="432" t="str" cm="1">
        <f t="array" ref="K355">IF(OR($A355="",$J355&lt;&gt;"DIESEL"),"",_xlfn.LET(_xlpm.qty,N($C355),_xlpm.pos,$T$5:$T$54,_xlpm.alo,IF($U$5:$U$54="",0,$U$5:$U$54),_xlpm.usd,SUMIFS($C$6:$C354,$K$6:$K354,_xlpm.pos&amp;""),_xlpm.bal,_xlpm.alo-_xlpm.usd,IFERROR(INDEX(_xlfn._xlws.FILTER(_xlpm.pos,(_xlpm.pos&lt;&gt;"")*(_xlpm.qty&gt;0)*(_xlpm.bal&gt;=_xlpm.qty)),1),"")))</f>
        <v/>
      </c>
      <c r="L355" s="348"/>
    </row>
  </sheetData>
  <sheetProtection sheet="1" objects="1" scenarios="1"/>
  <mergeCells count="1">
    <mergeCell ref="A1:L1"/>
  </mergeCells>
  <conditionalFormatting sqref="A1:AH355">
    <cfRule type="cellIs" dxfId="1931" priority="1" operator="lessThan">
      <formula>0</formula>
    </cfRule>
  </conditionalFormatting>
  <conditionalFormatting sqref="B6:F355">
    <cfRule type="expression" dxfId="1930" priority="2">
      <formula>$J6="PETROL"</formula>
    </cfRule>
  </conditionalFormatting>
  <conditionalFormatting sqref="H6:H355">
    <cfRule type="expression" dxfId="1929" priority="3">
      <formula>$J6="PETROL"</formula>
    </cfRule>
  </conditionalFormatting>
  <conditionalFormatting sqref="J6:L355">
    <cfRule type="expression" dxfId="1928" priority="4">
      <formula>$J6="PETROL"</formula>
    </cfRule>
  </conditionalFormatting>
  <hyperlinks>
    <hyperlink ref="M1" location="Index!A1" display="→ Index" xr:uid="{12908253-928C-2446-BCB1-0DE421F2CA5C}"/>
  </hyperlink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58282-55C6-1948-833E-27CBE03E9141}">
  <sheetPr codeName="Sheet41">
    <pageSetUpPr fitToPage="1"/>
  </sheetPr>
  <dimension ref="A1:BO355"/>
  <sheetViews>
    <sheetView topLeftCell="A56" zoomScale="75" workbookViewId="0">
      <selection activeCell="G79" sqref="G79"/>
    </sheetView>
  </sheetViews>
  <sheetFormatPr baseColWidth="10" defaultColWidth="10.83203125" defaultRowHeight="16" outlineLevelCol="1" x14ac:dyDescent="0.2"/>
  <cols>
    <col min="1" max="1" width="13" customWidth="1"/>
    <col min="2" max="2" width="11.33203125" bestFit="1" customWidth="1"/>
    <col min="3" max="3" width="11.5" bestFit="1" customWidth="1"/>
    <col min="4" max="4" width="9.83203125" bestFit="1" customWidth="1"/>
    <col min="5" max="5" width="19" bestFit="1" customWidth="1"/>
    <col min="6" max="6" width="16.5" customWidth="1"/>
    <col min="7" max="7" width="9.83203125" bestFit="1" customWidth="1"/>
    <col min="8" max="8" width="13" bestFit="1" customWidth="1"/>
    <col min="9" max="9" width="17.1640625" bestFit="1" customWidth="1"/>
    <col min="10" max="10" width="18.33203125" customWidth="1"/>
    <col min="11" max="11" width="27" customWidth="1"/>
    <col min="12" max="12" width="17.83203125" customWidth="1"/>
    <col min="13" max="13" width="26.33203125" customWidth="1"/>
    <col min="14" max="14" width="10" customWidth="1"/>
    <col min="15" max="15" width="24.5" customWidth="1"/>
    <col min="16" max="16" width="15.5" customWidth="1"/>
    <col min="17" max="17" width="15.83203125" customWidth="1"/>
    <col min="18" max="20" width="10.83203125" customWidth="1" outlineLevel="1"/>
    <col min="22" max="22" width="16.6640625" customWidth="1"/>
    <col min="23" max="27" width="14.1640625" customWidth="1"/>
    <col min="28" max="28" width="3.33203125" customWidth="1"/>
    <col min="29" max="29" width="16.6640625" style="17" customWidth="1"/>
    <col min="30" max="30" width="14.1640625" style="17" customWidth="1"/>
    <col min="31" max="34" width="14.1640625" customWidth="1" outlineLevel="1"/>
    <col min="35" max="36" width="0" hidden="1" customWidth="1" outlineLevel="1"/>
    <col min="43" max="43" width="14" customWidth="1"/>
    <col min="44" max="44" width="14.6640625" customWidth="1"/>
    <col min="45" max="45" width="14.1640625" customWidth="1"/>
    <col min="46" max="47" width="9.1640625" customWidth="1"/>
    <col min="48" max="49" width="14.1640625" customWidth="1"/>
    <col min="50" max="50" width="11.6640625" customWidth="1"/>
    <col min="51" max="51" width="12.5" customWidth="1"/>
    <col min="52" max="52" width="15" customWidth="1"/>
    <col min="54" max="54" width="10" customWidth="1"/>
    <col min="55" max="55" width="13.1640625" customWidth="1"/>
    <col min="56" max="56" width="14.1640625" customWidth="1"/>
    <col min="57" max="58" width="9.1640625" customWidth="1"/>
    <col min="59" max="60" width="14.1640625" customWidth="1"/>
    <col min="61" max="61" width="11.6640625" customWidth="1"/>
    <col min="62" max="62" width="12.5" customWidth="1"/>
    <col min="63" max="63" width="15" customWidth="1"/>
  </cols>
  <sheetData>
    <row r="1" spans="1:67" ht="36" customHeight="1" x14ac:dyDescent="0.25">
      <c r="A1" s="499" t="s">
        <v>2053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O1" s="279" t="s">
        <v>1288</v>
      </c>
      <c r="V1" s="403" t="s">
        <v>2632</v>
      </c>
      <c r="AC1" s="443" t="s">
        <v>2634</v>
      </c>
      <c r="AJ1" s="309" t="s">
        <v>2635</v>
      </c>
      <c r="AQ1" s="416" t="s">
        <v>2629</v>
      </c>
      <c r="AR1" s="262"/>
      <c r="AS1" s="262"/>
      <c r="AT1" s="262"/>
      <c r="AU1" s="262"/>
      <c r="AV1" s="262"/>
      <c r="AW1" s="262"/>
      <c r="AX1" s="262"/>
      <c r="AY1" s="262"/>
      <c r="AZ1" s="262"/>
      <c r="BB1" s="402" t="s">
        <v>2631</v>
      </c>
      <c r="BM1" s="474"/>
      <c r="BN1" s="7"/>
    </row>
    <row r="2" spans="1:67" ht="22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V2" s="404" t="s">
        <v>2630</v>
      </c>
      <c r="W2" s="405" t="s">
        <v>2574</v>
      </c>
      <c r="AC2" s="444" t="s">
        <v>2630</v>
      </c>
      <c r="AD2" s="461" t="s">
        <v>2575</v>
      </c>
      <c r="AQ2" s="417" t="s">
        <v>2630</v>
      </c>
      <c r="AR2" s="418" t="s">
        <v>2574</v>
      </c>
      <c r="AS2" s="262"/>
      <c r="AT2" s="262"/>
      <c r="AU2" s="262"/>
      <c r="AV2" s="262"/>
      <c r="AW2" s="262"/>
      <c r="AX2" s="262"/>
      <c r="AY2" s="262"/>
      <c r="AZ2" s="262"/>
      <c r="BB2" s="404" t="s">
        <v>2630</v>
      </c>
      <c r="BC2" s="405" t="s">
        <v>2575</v>
      </c>
      <c r="BM2" s="474"/>
    </row>
    <row r="3" spans="1:67" ht="23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  <c r="O3" s="298" t="s">
        <v>2027</v>
      </c>
      <c r="P3" s="299" t="s">
        <v>51</v>
      </c>
      <c r="V3" s="401" t="s">
        <v>2633</v>
      </c>
      <c r="AC3" s="445" t="s">
        <v>2633</v>
      </c>
      <c r="AQ3" s="417" t="s">
        <v>2028</v>
      </c>
      <c r="AR3" s="419">
        <f>INDEX($P$16:$Q$16,MATCH($AR$2,$P$15:$Q$15,0))</f>
        <v>-1641600</v>
      </c>
      <c r="AS3" s="262"/>
      <c r="AT3" s="262"/>
      <c r="AU3" s="262"/>
      <c r="AV3" s="262"/>
      <c r="AW3" s="262"/>
      <c r="AX3" s="262"/>
      <c r="AY3" s="262"/>
      <c r="AZ3" s="262"/>
      <c r="BB3" s="404" t="s">
        <v>2028</v>
      </c>
      <c r="BC3" s="406">
        <f>INDEX($P$16:$Q$16,MATCH($BC$2,$P$15:$Q$15,0))</f>
        <v>-1641600</v>
      </c>
      <c r="BM3" s="474"/>
    </row>
    <row r="4" spans="1:67" ht="21.75" x14ac:dyDescent="0.25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O4" s="300" t="s">
        <v>2028</v>
      </c>
      <c r="P4" s="230">
        <f>P16+Q16</f>
        <v>-3283200</v>
      </c>
      <c r="V4" s="395" t="s">
        <v>2163</v>
      </c>
      <c r="W4" s="395" t="s">
        <v>2166</v>
      </c>
      <c r="X4" s="395" t="s">
        <v>2168</v>
      </c>
      <c r="Y4" s="311" t="s">
        <v>2169</v>
      </c>
      <c r="Z4" s="311" t="s">
        <v>2170</v>
      </c>
      <c r="AC4" s="437" t="s">
        <v>2163</v>
      </c>
      <c r="AD4" s="437" t="s">
        <v>2166</v>
      </c>
      <c r="AE4" s="311" t="s">
        <v>2168</v>
      </c>
      <c r="AF4" s="311" t="s">
        <v>2169</v>
      </c>
      <c r="AG4" s="311" t="s">
        <v>2170</v>
      </c>
      <c r="AJ4" s="407" t="s">
        <v>2574</v>
      </c>
      <c r="AK4" s="407" t="s">
        <v>2575</v>
      </c>
      <c r="AM4" s="407" t="s">
        <v>2574</v>
      </c>
      <c r="AQ4" s="420" t="s">
        <v>6</v>
      </c>
      <c r="AR4" s="420" t="s">
        <v>0</v>
      </c>
      <c r="AS4" s="420" t="s">
        <v>1183</v>
      </c>
      <c r="AT4" s="420" t="s">
        <v>1179</v>
      </c>
      <c r="AU4" s="420" t="s">
        <v>1180</v>
      </c>
      <c r="AV4" s="420" t="s">
        <v>4</v>
      </c>
      <c r="AW4" s="420" t="s">
        <v>1181</v>
      </c>
      <c r="AX4" s="420" t="s">
        <v>2030</v>
      </c>
      <c r="AY4" s="420" t="s">
        <v>2031</v>
      </c>
      <c r="AZ4" s="420" t="s">
        <v>1182</v>
      </c>
      <c r="BB4" s="408" t="s">
        <v>6</v>
      </c>
      <c r="BC4" s="408" t="s">
        <v>0</v>
      </c>
      <c r="BD4" s="408" t="s">
        <v>1183</v>
      </c>
      <c r="BE4" s="408" t="s">
        <v>1179</v>
      </c>
      <c r="BF4" s="408" t="s">
        <v>1180</v>
      </c>
      <c r="BG4" s="408" t="s">
        <v>4</v>
      </c>
      <c r="BH4" s="408" t="s">
        <v>1181</v>
      </c>
      <c r="BI4" s="408" t="s">
        <v>2030</v>
      </c>
      <c r="BJ4" s="408" t="s">
        <v>2031</v>
      </c>
      <c r="BK4" s="408" t="s">
        <v>1182</v>
      </c>
      <c r="BM4" s="474"/>
    </row>
    <row r="5" spans="1:67" ht="22.5" thickBot="1" x14ac:dyDescent="0.3">
      <c r="A5" s="285" t="s">
        <v>6</v>
      </c>
      <c r="B5" s="285" t="s">
        <v>0</v>
      </c>
      <c r="C5" s="285" t="s">
        <v>1179</v>
      </c>
      <c r="D5" s="285" t="s">
        <v>1180</v>
      </c>
      <c r="E5" s="285" t="s">
        <v>4</v>
      </c>
      <c r="F5" s="285" t="s">
        <v>1181</v>
      </c>
      <c r="G5" s="285" t="s">
        <v>2030</v>
      </c>
      <c r="H5" s="285" t="s">
        <v>2031</v>
      </c>
      <c r="I5" s="285" t="s">
        <v>1182</v>
      </c>
      <c r="J5" s="285" t="s">
        <v>2573</v>
      </c>
      <c r="K5" s="285" t="s">
        <v>1183</v>
      </c>
      <c r="L5" s="285" t="s">
        <v>2163</v>
      </c>
      <c r="M5" s="285" t="s">
        <v>2032</v>
      </c>
      <c r="O5" s="301" t="s">
        <v>2029</v>
      </c>
      <c r="P5" s="231">
        <f>DATE(2026,4,1)</f>
        <v>46113</v>
      </c>
      <c r="R5" t="s">
        <v>2054</v>
      </c>
      <c r="V5" s="396" t="s">
        <v>2627</v>
      </c>
      <c r="W5" s="350">
        <v>24000</v>
      </c>
      <c r="X5" s="414">
        <f>IF($V5="","",IF($W$2="",SUMIFS($C$6:$C$355,$L$6:$L$355,$V5),SUMIFS($C$6:$C$355,$L$6:$L$355,$V5,$J$6:$J$355,$W$2)))</f>
        <v>24000</v>
      </c>
      <c r="Y5" s="415">
        <f>IF($V5="","",N($W5)-N($X5))</f>
        <v>0</v>
      </c>
      <c r="Z5" s="415" t="str">
        <f>IF($V5="","",IF($Y5&gt;0,"Pending","Completed"))</f>
        <v>Completed</v>
      </c>
      <c r="AC5" s="396">
        <v>4500211335</v>
      </c>
      <c r="AD5" s="350">
        <v>70000</v>
      </c>
      <c r="AE5" s="415">
        <f>IF($AC5="","",IF($AD$2="",SUMIFS($C$6:$C$355,$L$6:$L$355,$AC5),SUMIFS($C$6:$C$355,$L$6:$L$355,$AC5,$J$6:$J$355,$AD$2)))</f>
        <v>70000</v>
      </c>
      <c r="AF5" s="415">
        <f>IF($AC5="","",N($AD5)-N($AE5))</f>
        <v>0</v>
      </c>
      <c r="AG5" s="415" t="str">
        <f>IF($AC5="","",IF($AF5&gt;0,"Pending","Completed"))</f>
        <v>Completed</v>
      </c>
      <c r="AJ5" s="1" t="str" cm="1">
        <f t="array" ref="AJ5">IFERROR(_xlfn._xlws.FILTER($V$5:$V$54,($V$5:$V$54&lt;&gt;"")*($Z$5:$Z$54="Pending")),"")</f>
        <v>4500216903</v>
      </c>
      <c r="AK5" s="1" t="str" cm="1">
        <f t="array" ref="AK5">IFERROR(_xlfn._xlws.FILTER($AC$5:$AC$54,($AC$5:$AC$54&lt;&gt;"")*($AG$5:$AG$54="Pending")),"")</f>
        <v/>
      </c>
      <c r="AM5" s="1" t="str" cm="1">
        <f t="array" ref="AM5">IFERROR(_xlfn._xlws.FILTER($V$5:$V$54,($V$5:$V$54&lt;&gt;"")*($Z$5:$Z$54="Pending")),"")</f>
        <v>4500216903</v>
      </c>
      <c r="AQ5" s="421" cm="1">
        <f t="array" ref="AQ5:AY24">_xlfn.LET(_xlpm.u,$AR$2,_xlpm.f,_xlfn._xlws.FILTER(_xlfn.HSTACK($A$6:$B$355,$K$6:$K$355,$C$6:$H$355),($J$6:$J$355=_xlpm.u)*($A$6:$A$355&lt;&gt;""),""),IF(AND(ROWS(_xlpm.f)=1,INDEX(_xlpm.f,1,1)=""),"",_xlpm.f))</f>
        <v>46113</v>
      </c>
      <c r="AR5" s="422" t="str">
        <v>1</v>
      </c>
      <c r="AS5" s="422" t="str">
        <v>DIESEL</v>
      </c>
      <c r="AT5" s="423">
        <v>18000</v>
      </c>
      <c r="AU5" s="424">
        <v>91.2</v>
      </c>
      <c r="AV5" s="425">
        <v>1641600</v>
      </c>
      <c r="AW5" s="425">
        <v>0</v>
      </c>
      <c r="AX5" s="425" t="str">
        <v/>
      </c>
      <c r="AY5" s="425">
        <v>0</v>
      </c>
      <c r="AZ5" s="425">
        <f>IF($AQ5="","",$AR$3+N(AV5)-N(AW5)-N(AX5)-N(AY5))</f>
        <v>0</v>
      </c>
      <c r="BB5" s="409" cm="1">
        <f t="array" ref="BB5:BJ58">_xlfn.LET(_xlpm.u,$BC$2,_xlpm.f,_xlfn._xlws.FILTER(_xlfn.HSTACK($A$6:$B$355,$K$6:$K$355,$C$6:$H$355),($J$6:$J$355=_xlpm.u)*($A$6:$A$355&lt;&gt;""),""),IF(AND(ROWS(_xlpm.f)=1,INDEX(_xlpm.f,1,1)=""),"",_xlpm.f))</f>
        <v>46114</v>
      </c>
      <c r="BC5" s="410" t="str">
        <v>17</v>
      </c>
      <c r="BD5" s="410" t="str">
        <v>DIESEL</v>
      </c>
      <c r="BE5" s="411">
        <v>12000</v>
      </c>
      <c r="BF5" s="412">
        <v>91.2</v>
      </c>
      <c r="BG5" s="413">
        <v>1094400</v>
      </c>
      <c r="BH5" s="413">
        <v>0</v>
      </c>
      <c r="BI5" s="413" t="str">
        <v/>
      </c>
      <c r="BJ5" s="413">
        <v>0</v>
      </c>
      <c r="BK5" s="413">
        <f>IF($BB5="","",$BC$3+N(BG5)-N(BH5)-N(BI5)-N(BJ5))</f>
        <v>-547200</v>
      </c>
      <c r="BM5" s="474"/>
    </row>
    <row r="6" spans="1:67" ht="21.75" customHeight="1" x14ac:dyDescent="0.25">
      <c r="A6" s="217" cm="1">
        <f t="array" ref="A6">IFERROR(INDEX(_xlfn.ANCHORARRAY($R$6),ROW()-5,1),"")</f>
        <v>46113</v>
      </c>
      <c r="B6" s="289" t="str" cm="1">
        <f t="array" ref="B6">IFERROR(INDEX(_xlfn.ANCHORARRAY($R$6),ROW()-5,2),"")</f>
        <v>1</v>
      </c>
      <c r="C6" s="218">
        <f>IF($A6="","",IF($K6="DIESEL",SUMIFS(Table1[Quantity],Table1[Customer],$P$3,Table1[Date],$A6,Table1[Bill No.],$B6),IF($K6="PETROL",SUMIFS(Table14[Quantity],Table14[Customer],$P$3,Table14[Date],$A6,Table14[Bill No.],$B6),IF($K6="XtraGreen",SUMIFS(Table146[Quantity],Table146[Company],$P$3,Table146[Date],$A6,Table146[Bill No.],$B6),""))))</f>
        <v>18000</v>
      </c>
      <c r="D6" s="223">
        <f>IF($A6="","",IF($K6="DIESEL",AVERAGEIFS(Table1[RSP],Table1[Customer],$P$3,Table1[Date],$A6,Table1[Bill No.],$B6),IF($K6="PETROL",AVERAGEIFS(Table14[RSP],Table14[Customer],$P$3,Table14[Date],$A6,Table14[Bill No.],$B6),IF($K6="XtraGreen",AVERAGEIFS(Table146[RSP],Table146[Company],$P$3,Table146[Date],$A6,Table146[Bill No.],$B6),IFERROR($E6/$C6,"")))))</f>
        <v>91.2</v>
      </c>
      <c r="E6" s="330">
        <f>IF($A6="","",IF($K6="DIESEL",SUMIFS(Table1[Amount],Table1[Customer],$P$3,Table1[Date],$A6,Table1[Bill No.],$B6),IF($K6="PETROL",SUMIFS(Table14[Amount],Table14[Customer],$P$3,Table14[Date],$A6,Table14[Bill No.],$B6),IF($K6="XtraGreen",SUMIFS(Table146[Amount],Table146[Company],$P$3,Table146[Date],$A6,Table146[Bill No.],$B6),SUMIFS('Other Sale'!$D:$D,'Other Sale'!$E:$E,$P$3,'Other Sale'!$C:$C,$K6,'Other Sale'!$A:$A,$A6)))))</f>
        <v>1641600</v>
      </c>
      <c r="F6" s="330" cm="1">
        <f t="array" ref="F6">IF($A6="","",IF($K6="Payment",IFERROR(INDEX(_xlfn._xlws.FILTER(MasterPaid[Amount Paid],(MasterPaid[Customer]=$P$3)*(MasterPaid[Date]=$A6)),COUNTIFS($A$6:$A6,$A6,$K$6:$K6,"Payment")),0),0))</f>
        <v>0</v>
      </c>
      <c r="G6" s="331" t="s">
        <v>13</v>
      </c>
      <c r="H6" s="331"/>
      <c r="I6" s="330">
        <f>IF($A6="","",$P$4+N(E6)-N(F6)-N(G6)-N(H6))</f>
        <v>-1641600</v>
      </c>
      <c r="J6" s="275" t="s">
        <v>2574</v>
      </c>
      <c r="K6" s="289" t="str" cm="1">
        <f t="array" ref="K6">IFERROR(INDEX(_xlfn.ANCHORARRAY($R$6),ROW()-5,3),"")</f>
        <v>DIESEL</v>
      </c>
      <c r="L6" s="275"/>
      <c r="M6" s="290"/>
      <c r="O6" s="324"/>
      <c r="R6" cm="1">
        <f t="array" ref="R6:T79">_xlfn.LET(_xlpm.cut,$P$5,_xlpm.hd,'HSD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P$3)*(_xlpm.hd&gt;=_xlpm.cut)),_xlfn.HSTACK("x","x","x")),_xlpm.mF,IFERROR(_xlfn._xlws.FILTER(_xlfn.HSTACK(_xlpm.md,_xlpm.mb,IF(_xlpm.md&lt;&gt;"","PETROL","")),(_xlpm.mc=$P$3)*(_xlpm.md&gt;=_xlpm.cut)),_xlfn.HSTACK("x","x","x")),_xlpm.xF,IFERROR(_xlfn._xlws.FILTER(_xlfn.HSTACK(_xlpm.xd,_xlpm.xb,IF(_xlpm.xd&lt;&gt;"","XtraGreen","")),(_xlpm.xc=$P$3)*(_xlpm.xd&gt;=_xlpm.cut)),_xlfn.HSTACK("x","x","x")),_xlpm.pF,IFERROR(_xlfn._xlws.FILTER(_xlfn.HSTACK(_xlpm.pd,IF(_xlpm.pd&lt;&gt;"","",""),IF(_xlpm.pd&lt;&gt;"","Payment","")),(_xlpm.pc=$P$3)*(_xlpm.pd&gt;=_xlpm.cut)),_xlfn.HSTACK("x","x","x")),_xlpm.oF,IFERROR(_xlfn._xlws.FILTER(_xlfn.HSTACK(_xlpm.od,IF(_xlpm.od&lt;&gt;"","",""),_xlpm.op),(_xlpm.oc=$P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46113</v>
      </c>
      <c r="S6" t="str">
        <v>1</v>
      </c>
      <c r="T6" t="str">
        <v>DIESEL</v>
      </c>
      <c r="V6" s="396" t="s">
        <v>2958</v>
      </c>
      <c r="W6" s="350">
        <v>24000</v>
      </c>
      <c r="X6" s="414">
        <f t="shared" ref="X6:X54" si="0">IF($V6="","",IF($W$2="",SUMIFS($C$6:$C$355,$L$6:$L$355,$V6),SUMIFS($C$6:$C$355,$L$6:$L$355,$V6,$J$6:$J$355,$W$2)))</f>
        <v>24000</v>
      </c>
      <c r="Y6" s="415">
        <f t="shared" ref="Y6:Y54" si="1">IF($V6="","",N($W6)-N($X6))</f>
        <v>0</v>
      </c>
      <c r="Z6" s="415" t="str">
        <f t="shared" ref="Z6:Z54" si="2">IF($V6="","",IF($Y6&gt;0,"Pending","Completed"))</f>
        <v>Completed</v>
      </c>
      <c r="AC6" s="396" t="s">
        <v>2959</v>
      </c>
      <c r="AD6" s="350">
        <v>70000</v>
      </c>
      <c r="AE6" s="415">
        <f t="shared" ref="AE6:AE54" si="3">IF($AC6="","",IF($AD$2="",SUMIFS($C$6:$C$355,$L$6:$L$355,$AC6),SUMIFS($C$6:$C$355,$L$6:$L$355,$AC6,$J$6:$J$355,$AD$2)))</f>
        <v>70000</v>
      </c>
      <c r="AF6" s="415">
        <f t="shared" ref="AF6:AF54" si="4">IF($AC6="","",N($AD6)-N($AE6))</f>
        <v>0</v>
      </c>
      <c r="AG6" s="415" t="str">
        <f t="shared" ref="AG6:AG54" si="5">IF($AC6="","",IF($AF6&gt;0,"Pending","Completed"))</f>
        <v>Completed</v>
      </c>
      <c r="AQ6" s="421">
        <v>46130</v>
      </c>
      <c r="AR6" s="422" t="str">
        <v>247</v>
      </c>
      <c r="AS6" s="422" t="str">
        <v>DIESEL</v>
      </c>
      <c r="AT6" s="423">
        <v>3000</v>
      </c>
      <c r="AU6" s="424">
        <v>91.5</v>
      </c>
      <c r="AV6" s="425">
        <v>274500</v>
      </c>
      <c r="AW6" s="425">
        <v>0</v>
      </c>
      <c r="AX6" s="425" t="str">
        <v/>
      </c>
      <c r="AY6" s="425">
        <v>0</v>
      </c>
      <c r="AZ6" s="425">
        <f>IF($AQ6="","",AZ5+N(AV6)-N(AW6)-N(AX6)-N(AY6))</f>
        <v>274500</v>
      </c>
      <c r="BB6" s="409">
        <v>46116</v>
      </c>
      <c r="BC6" s="410" t="str">
        <v>55</v>
      </c>
      <c r="BD6" s="410" t="str">
        <v>DIESEL</v>
      </c>
      <c r="BE6" s="411">
        <v>12000</v>
      </c>
      <c r="BF6" s="412">
        <v>91.2</v>
      </c>
      <c r="BG6" s="413">
        <v>1094400</v>
      </c>
      <c r="BH6" s="413">
        <v>0</v>
      </c>
      <c r="BI6" s="413" t="str">
        <v/>
      </c>
      <c r="BJ6" s="413">
        <v>0</v>
      </c>
      <c r="BK6" s="413">
        <f>IF($BB6="","",BK5+N(BG6)-N(BH6)-N(BI6)-N(BJ6))</f>
        <v>547200</v>
      </c>
      <c r="BO6" s="474"/>
    </row>
    <row r="7" spans="1:67" ht="21.75" x14ac:dyDescent="0.25">
      <c r="A7" s="217" cm="1">
        <f t="array" ref="A7">IFERROR(INDEX(_xlfn.ANCHORARRAY($R$6),ROW()-5,1),"")</f>
        <v>46114</v>
      </c>
      <c r="B7" s="289" t="str" cm="1">
        <f t="array" ref="B7">IFERROR(INDEX(_xlfn.ANCHORARRAY($R$6),ROW()-5,2),"")</f>
        <v>17</v>
      </c>
      <c r="C7" s="218">
        <f>IF($A7="","",IF($K7="DIESEL",SUMIFS(Table1[Quantity],Table1[Customer],$P$3,Table1[Date],$A7,Table1[Bill No.],$B7),IF($K7="PETROL",SUMIFS(Table14[Quantity],Table14[Customer],$P$3,Table14[Date],$A7,Table14[Bill No.],$B7),IF($K7="XtraGreen",SUMIFS(Table146[Quantity],Table146[Company],$P$3,Table146[Date],$A7,Table146[Bill No.],$B7),""))))</f>
        <v>12000</v>
      </c>
      <c r="D7" s="223">
        <f>IF($A7="","",IF($K7="DIESEL",AVERAGEIFS(Table1[RSP],Table1[Customer],$P$3,Table1[Date],$A7,Table1[Bill No.],$B7),IF($K7="PETROL",AVERAGEIFS(Table14[RSP],Table14[Customer],$P$3,Table14[Date],$A7,Table14[Bill No.],$B7),IF($K7="XtraGreen",AVERAGEIFS(Table146[RSP],Table146[Company],$P$3,Table146[Date],$A7,Table146[Bill No.],$B7),IFERROR($E7/$C7,"")))))</f>
        <v>91.2</v>
      </c>
      <c r="E7" s="330">
        <f>IF($A7="","",IF($K7="DIESEL",SUMIFS(Table1[Amount],Table1[Customer],$P$3,Table1[Date],$A7,Table1[Bill No.],$B7),IF($K7="PETROL",SUMIFS(Table14[Amount],Table14[Customer],$P$3,Table14[Date],$A7,Table14[Bill No.],$B7),IF($K7="XtraGreen",SUMIFS(Table146[Amount],Table146[Company],$P$3,Table146[Date],$A7,Table146[Bill No.],$B7),SUMIFS('Other Sale'!$D:$D,'Other Sale'!$E:$E,$P$3,'Other Sale'!$C:$C,$K7,'Other Sale'!$A:$A,$A7)))))</f>
        <v>1094400</v>
      </c>
      <c r="F7" s="330" cm="1">
        <f t="array" ref="F7">IF($A7="","",IF($K7="Payment",IFERROR(INDEX(_xlfn._xlws.FILTER(MasterPaid[Amount Paid],(MasterPaid[Customer]=$P$3)*(MasterPaid[Date]=$A7)),COUNTIFS($A$6:$A7,$A7,$K$6:$K7,"Payment")),0),0))</f>
        <v>0</v>
      </c>
      <c r="G7" s="331" t="s">
        <v>13</v>
      </c>
      <c r="H7" s="331"/>
      <c r="I7" s="330">
        <f>IF($A7="","",I6+N(E7)-N(F7)-N(G7)-N(H7))</f>
        <v>-547200</v>
      </c>
      <c r="J7" s="275" t="s">
        <v>2575</v>
      </c>
      <c r="K7" s="289" t="str" cm="1">
        <f t="array" ref="K7">IFERROR(INDEX(_xlfn.ANCHORARRAY($R$6),ROW()-5,3),"")</f>
        <v>DIESEL</v>
      </c>
      <c r="L7" s="275"/>
      <c r="M7" s="290"/>
      <c r="O7" s="384" t="s">
        <v>2033</v>
      </c>
      <c r="P7" s="385"/>
      <c r="R7">
        <v>46114</v>
      </c>
      <c r="S7" t="str">
        <v>17</v>
      </c>
      <c r="T7" t="str">
        <v>DIESEL</v>
      </c>
      <c r="V7" s="396" t="s">
        <v>3555</v>
      </c>
      <c r="W7" s="350">
        <v>12000</v>
      </c>
      <c r="X7" s="414">
        <f t="shared" si="0"/>
        <v>12000</v>
      </c>
      <c r="Y7" s="415">
        <f t="shared" si="1"/>
        <v>0</v>
      </c>
      <c r="Z7" s="415" t="str">
        <f t="shared" si="2"/>
        <v>Completed</v>
      </c>
      <c r="AC7" s="396" t="s">
        <v>3453</v>
      </c>
      <c r="AD7" s="350">
        <v>70000</v>
      </c>
      <c r="AE7" s="415">
        <f t="shared" si="3"/>
        <v>70000</v>
      </c>
      <c r="AF7" s="415">
        <f t="shared" si="4"/>
        <v>0</v>
      </c>
      <c r="AG7" s="415" t="str">
        <f t="shared" si="5"/>
        <v>Completed</v>
      </c>
      <c r="AQ7" s="421">
        <v>46133</v>
      </c>
      <c r="AR7" s="422" t="str">
        <v>282</v>
      </c>
      <c r="AS7" s="422" t="str">
        <v>DIESEL</v>
      </c>
      <c r="AT7" s="423">
        <v>3000</v>
      </c>
      <c r="AU7" s="424">
        <v>91.5</v>
      </c>
      <c r="AV7" s="425">
        <v>274500</v>
      </c>
      <c r="AW7" s="425">
        <v>0</v>
      </c>
      <c r="AX7" s="425" t="str">
        <v/>
      </c>
      <c r="AY7" s="425">
        <v>0</v>
      </c>
      <c r="AZ7" s="425">
        <f t="shared" ref="AZ7:AZ70" si="6">IF($AQ7="","",AZ6+N(AV7)-N(AW7)-N(AX7)-N(AY7))</f>
        <v>549000</v>
      </c>
      <c r="BB7" s="409">
        <v>46118</v>
      </c>
      <c r="BC7" s="410" t="str">
        <v>71</v>
      </c>
      <c r="BD7" s="410" t="str">
        <v>DIESEL</v>
      </c>
      <c r="BE7" s="411">
        <v>8000</v>
      </c>
      <c r="BF7" s="412">
        <v>91.2</v>
      </c>
      <c r="BG7" s="413">
        <v>729600</v>
      </c>
      <c r="BH7" s="413">
        <v>0</v>
      </c>
      <c r="BI7" s="413" t="str">
        <v/>
      </c>
      <c r="BJ7" s="413">
        <v>0</v>
      </c>
      <c r="BK7" s="413">
        <f t="shared" ref="BK7:BK70" si="7">IF($BB7="","",BK6+N(BG7)-N(BH7)-N(BI7)-N(BJ7))</f>
        <v>1276800</v>
      </c>
    </row>
    <row r="8" spans="1:67" ht="21.75" x14ac:dyDescent="0.25">
      <c r="A8" s="217" cm="1">
        <f t="array" ref="A8">IFERROR(INDEX(_xlfn.ANCHORARRAY($R$6),ROW()-5,1),"")</f>
        <v>46116</v>
      </c>
      <c r="B8" s="289" t="str" cm="1">
        <f t="array" ref="B8">IFERROR(INDEX(_xlfn.ANCHORARRAY($R$6),ROW()-5,2),"")</f>
        <v>55</v>
      </c>
      <c r="C8" s="218">
        <f>IF($A8="","",IF($K8="DIESEL",SUMIFS(Table1[Quantity],Table1[Customer],$P$3,Table1[Date],$A8,Table1[Bill No.],$B8),IF($K8="PETROL",SUMIFS(Table14[Quantity],Table14[Customer],$P$3,Table14[Date],$A8,Table14[Bill No.],$B8),IF($K8="XtraGreen",SUMIFS(Table146[Quantity],Table146[Company],$P$3,Table146[Date],$A8,Table146[Bill No.],$B8),""))))</f>
        <v>12000</v>
      </c>
      <c r="D8" s="223">
        <f>IF($A8="","",IF($K8="DIESEL",AVERAGEIFS(Table1[RSP],Table1[Customer],$P$3,Table1[Date],$A8,Table1[Bill No.],$B8),IF($K8="PETROL",AVERAGEIFS(Table14[RSP],Table14[Customer],$P$3,Table14[Date],$A8,Table14[Bill No.],$B8),IF($K8="XtraGreen",AVERAGEIFS(Table146[RSP],Table146[Company],$P$3,Table146[Date],$A8,Table146[Bill No.],$B8),IFERROR($E8/$C8,"")))))</f>
        <v>91.2</v>
      </c>
      <c r="E8" s="330">
        <f>IF($A8="","",IF($K8="DIESEL",SUMIFS(Table1[Amount],Table1[Customer],$P$3,Table1[Date],$A8,Table1[Bill No.],$B8),IF($K8="PETROL",SUMIFS(Table14[Amount],Table14[Customer],$P$3,Table14[Date],$A8,Table14[Bill No.],$B8),IF($K8="XtraGreen",SUMIFS(Table146[Amount],Table146[Company],$P$3,Table146[Date],$A8,Table146[Bill No.],$B8),SUMIFS('Other Sale'!$D:$D,'Other Sale'!$E:$E,$P$3,'Other Sale'!$C:$C,$K8,'Other Sale'!$A:$A,$A8)))))</f>
        <v>1094400</v>
      </c>
      <c r="F8" s="330" cm="1">
        <f t="array" ref="F8">IF($A8="","",IF($K8="Payment",IFERROR(INDEX(_xlfn._xlws.FILTER(MasterPaid[Amount Paid],(MasterPaid[Customer]=$P$3)*(MasterPaid[Date]=$A8)),COUNTIFS($A$6:$A8,$A8,$K$6:$K8,"Payment")),0),0))</f>
        <v>0</v>
      </c>
      <c r="G8" s="331" t="s">
        <v>13</v>
      </c>
      <c r="H8" s="331"/>
      <c r="I8" s="330">
        <f t="shared" ref="I8:I71" si="8">IF($A8="","",I7+N(E8)-N(F8)-N(G8)-N(H8))</f>
        <v>547200</v>
      </c>
      <c r="J8" s="275" t="s">
        <v>2575</v>
      </c>
      <c r="K8" s="289" t="str" cm="1">
        <f t="array" ref="K8">IFERROR(INDEX(_xlfn.ANCHORARRAY($R$6),ROW()-5,3),"")</f>
        <v>DIESEL</v>
      </c>
      <c r="L8" s="275"/>
      <c r="M8" s="290"/>
      <c r="O8" s="385" t="s">
        <v>2034</v>
      </c>
      <c r="P8" s="387">
        <f>SUM(E6:E355)</f>
        <v>44784068.75</v>
      </c>
      <c r="R8">
        <v>46116</v>
      </c>
      <c r="S8" t="str">
        <v>55</v>
      </c>
      <c r="T8" t="str">
        <v>DIESEL</v>
      </c>
      <c r="V8" s="396" t="s">
        <v>3878</v>
      </c>
      <c r="W8" s="350">
        <v>12000</v>
      </c>
      <c r="X8" s="414">
        <f t="shared" si="0"/>
        <v>12000</v>
      </c>
      <c r="Y8" s="415">
        <f t="shared" si="1"/>
        <v>0</v>
      </c>
      <c r="Z8" s="415" t="str">
        <f t="shared" si="2"/>
        <v>Completed</v>
      </c>
      <c r="AC8" s="396"/>
      <c r="AD8" s="350"/>
      <c r="AE8" s="415" t="str">
        <f t="shared" si="3"/>
        <v/>
      </c>
      <c r="AF8" s="415" t="str">
        <f t="shared" si="4"/>
        <v/>
      </c>
      <c r="AG8" s="415" t="str">
        <f t="shared" si="5"/>
        <v/>
      </c>
      <c r="AQ8" s="421">
        <v>46134</v>
      </c>
      <c r="AR8" s="422" t="str">
        <v/>
      </c>
      <c r="AS8" s="422" t="str">
        <v>Payment</v>
      </c>
      <c r="AT8" s="423" t="str">
        <v/>
      </c>
      <c r="AU8" s="424" t="str">
        <v/>
      </c>
      <c r="AV8" s="425">
        <v>0</v>
      </c>
      <c r="AW8" s="425">
        <v>1096902</v>
      </c>
      <c r="AX8" s="425">
        <v>1098</v>
      </c>
      <c r="AY8" s="425">
        <v>0</v>
      </c>
      <c r="AZ8" s="425">
        <f t="shared" si="6"/>
        <v>-549000</v>
      </c>
      <c r="BB8" s="409">
        <v>46119</v>
      </c>
      <c r="BC8" s="410" t="str">
        <v>82</v>
      </c>
      <c r="BD8" s="410" t="str">
        <v>DIESEL</v>
      </c>
      <c r="BE8" s="411">
        <v>8000</v>
      </c>
      <c r="BF8" s="412">
        <v>91.2</v>
      </c>
      <c r="BG8" s="413">
        <v>729600</v>
      </c>
      <c r="BH8" s="413">
        <v>0</v>
      </c>
      <c r="BI8" s="413" t="str">
        <v/>
      </c>
      <c r="BJ8" s="413">
        <v>0</v>
      </c>
      <c r="BK8" s="413">
        <f t="shared" si="7"/>
        <v>2006400</v>
      </c>
    </row>
    <row r="9" spans="1:67" ht="21.75" x14ac:dyDescent="0.25">
      <c r="A9" s="217" cm="1">
        <f t="array" ref="A9">IFERROR(INDEX(_xlfn.ANCHORARRAY($R$6),ROW()-5,1),"")</f>
        <v>46118</v>
      </c>
      <c r="B9" s="289" t="str" cm="1">
        <f t="array" ref="B9">IFERROR(INDEX(_xlfn.ANCHORARRAY($R$6),ROW()-5,2),"")</f>
        <v>71</v>
      </c>
      <c r="C9" s="218">
        <f>IF($A9="","",IF($K9="DIESEL",SUMIFS(Table1[Quantity],Table1[Customer],$P$3,Table1[Date],$A9,Table1[Bill No.],$B9),IF($K9="PETROL",SUMIFS(Table14[Quantity],Table14[Customer],$P$3,Table14[Date],$A9,Table14[Bill No.],$B9),IF($K9="XtraGreen",SUMIFS(Table146[Quantity],Table146[Company],$P$3,Table146[Date],$A9,Table146[Bill No.],$B9),""))))</f>
        <v>8000</v>
      </c>
      <c r="D9" s="223">
        <f>IF($A9="","",IF($K9="DIESEL",AVERAGEIFS(Table1[RSP],Table1[Customer],$P$3,Table1[Date],$A9,Table1[Bill No.],$B9),IF($K9="PETROL",AVERAGEIFS(Table14[RSP],Table14[Customer],$P$3,Table14[Date],$A9,Table14[Bill No.],$B9),IF($K9="XtraGreen",AVERAGEIFS(Table146[RSP],Table146[Company],$P$3,Table146[Date],$A9,Table146[Bill No.],$B9),IFERROR($E9/$C9,"")))))</f>
        <v>91.2</v>
      </c>
      <c r="E9" s="330">
        <f>IF($A9="","",IF($K9="DIESEL",SUMIFS(Table1[Amount],Table1[Customer],$P$3,Table1[Date],$A9,Table1[Bill No.],$B9),IF($K9="PETROL",SUMIFS(Table14[Amount],Table14[Customer],$P$3,Table14[Date],$A9,Table14[Bill No.],$B9),IF($K9="XtraGreen",SUMIFS(Table146[Amount],Table146[Company],$P$3,Table146[Date],$A9,Table146[Bill No.],$B9),SUMIFS('Other Sale'!$D:$D,'Other Sale'!$E:$E,$P$3,'Other Sale'!$C:$C,$K9,'Other Sale'!$A:$A,$A9)))))</f>
        <v>729600</v>
      </c>
      <c r="F9" s="330" cm="1">
        <f t="array" ref="F9">IF($A9="","",IF($K9="Payment",IFERROR(INDEX(_xlfn._xlws.FILTER(MasterPaid[Amount Paid],(MasterPaid[Customer]=$P$3)*(MasterPaid[Date]=$A9)),COUNTIFS($A$6:$A9,$A9,$K$6:$K9,"Payment")),0),0))</f>
        <v>0</v>
      </c>
      <c r="G9" s="331" t="s">
        <v>13</v>
      </c>
      <c r="H9" s="331"/>
      <c r="I9" s="330">
        <f t="shared" si="8"/>
        <v>1276800</v>
      </c>
      <c r="J9" s="275" t="s">
        <v>2575</v>
      </c>
      <c r="K9" s="289" t="str" cm="1">
        <f t="array" ref="K9">IFERROR(INDEX(_xlfn.ANCHORARRAY($R$6),ROW()-5,3),"")</f>
        <v>DIESEL</v>
      </c>
      <c r="L9" s="275"/>
      <c r="M9" s="290"/>
      <c r="O9" s="385" t="s">
        <v>2035</v>
      </c>
      <c r="P9" s="388">
        <f>SUM(F6:F355)</f>
        <v>41451371.75</v>
      </c>
      <c r="R9">
        <v>46118</v>
      </c>
      <c r="S9" t="str">
        <v>71</v>
      </c>
      <c r="T9" t="str">
        <v>DIESEL</v>
      </c>
      <c r="V9" s="396" t="s">
        <v>3908</v>
      </c>
      <c r="W9" s="350">
        <v>24000</v>
      </c>
      <c r="X9" s="414">
        <f t="shared" si="0"/>
        <v>12000</v>
      </c>
      <c r="Y9" s="415">
        <f t="shared" si="1"/>
        <v>12000</v>
      </c>
      <c r="Z9" s="415" t="str">
        <f t="shared" si="2"/>
        <v>Pending</v>
      </c>
      <c r="AC9" s="396"/>
      <c r="AD9" s="350"/>
      <c r="AE9" s="415" t="str">
        <f t="shared" si="3"/>
        <v/>
      </c>
      <c r="AF9" s="415" t="str">
        <f t="shared" si="4"/>
        <v/>
      </c>
      <c r="AG9" s="415" t="str">
        <f t="shared" si="5"/>
        <v/>
      </c>
      <c r="AQ9" s="421">
        <v>46135</v>
      </c>
      <c r="AR9" s="422" t="str">
        <v>301</v>
      </c>
      <c r="AS9" s="422" t="str">
        <v>DIESEL</v>
      </c>
      <c r="AT9" s="423">
        <v>3000</v>
      </c>
      <c r="AU9" s="424">
        <v>91.5</v>
      </c>
      <c r="AV9" s="425">
        <v>274500</v>
      </c>
      <c r="AW9" s="425">
        <v>0</v>
      </c>
      <c r="AX9" s="425" t="str">
        <v/>
      </c>
      <c r="AY9" s="425">
        <v>0</v>
      </c>
      <c r="AZ9" s="425">
        <f t="shared" si="6"/>
        <v>-274500</v>
      </c>
      <c r="BB9" s="409">
        <v>46120</v>
      </c>
      <c r="BC9" s="410" t="str">
        <v>93</v>
      </c>
      <c r="BD9" s="410" t="str">
        <v>DIESEL</v>
      </c>
      <c r="BE9" s="411">
        <v>4000</v>
      </c>
      <c r="BF9" s="412">
        <v>91.2</v>
      </c>
      <c r="BG9" s="413">
        <v>364800</v>
      </c>
      <c r="BH9" s="413">
        <v>0</v>
      </c>
      <c r="BI9" s="413" t="str">
        <v/>
      </c>
      <c r="BJ9" s="413">
        <v>0</v>
      </c>
      <c r="BK9" s="413">
        <f t="shared" si="7"/>
        <v>2371200</v>
      </c>
    </row>
    <row r="10" spans="1:67" ht="21.75" x14ac:dyDescent="0.25">
      <c r="A10" s="217" cm="1">
        <f t="array" ref="A10">IFERROR(INDEX(_xlfn.ANCHORARRAY($R$6),ROW()-5,1),"")</f>
        <v>46119</v>
      </c>
      <c r="B10" s="289" t="str" cm="1">
        <f t="array" ref="B10">IFERROR(INDEX(_xlfn.ANCHORARRAY($R$6),ROW()-5,2),"")</f>
        <v>82</v>
      </c>
      <c r="C10" s="218">
        <f>IF($A10="","",IF($K10="DIESEL",SUMIFS(Table1[Quantity],Table1[Customer],$P$3,Table1[Date],$A10,Table1[Bill No.],$B10),IF($K10="PETROL",SUMIFS(Table14[Quantity],Table14[Customer],$P$3,Table14[Date],$A10,Table14[Bill No.],$B10),IF($K10="XtraGreen",SUMIFS(Table146[Quantity],Table146[Company],$P$3,Table146[Date],$A10,Table146[Bill No.],$B10),""))))</f>
        <v>8000</v>
      </c>
      <c r="D10" s="223">
        <f>IF($A10="","",IF($K10="DIESEL",AVERAGEIFS(Table1[RSP],Table1[Customer],$P$3,Table1[Date],$A10,Table1[Bill No.],$B10),IF($K10="PETROL",AVERAGEIFS(Table14[RSP],Table14[Customer],$P$3,Table14[Date],$A10,Table14[Bill No.],$B10),IF($K10="XtraGreen",AVERAGEIFS(Table146[RSP],Table146[Company],$P$3,Table146[Date],$A10,Table146[Bill No.],$B10),IFERROR($E10/$C10,"")))))</f>
        <v>91.2</v>
      </c>
      <c r="E10" s="330">
        <f>IF($A10="","",IF($K10="DIESEL",SUMIFS(Table1[Amount],Table1[Customer],$P$3,Table1[Date],$A10,Table1[Bill No.],$B10),IF($K10="PETROL",SUMIFS(Table14[Amount],Table14[Customer],$P$3,Table14[Date],$A10,Table14[Bill No.],$B10),IF($K10="XtraGreen",SUMIFS(Table146[Amount],Table146[Company],$P$3,Table146[Date],$A10,Table146[Bill No.],$B10),SUMIFS('Other Sale'!$D:$D,'Other Sale'!$E:$E,$P$3,'Other Sale'!$C:$C,$K10,'Other Sale'!$A:$A,$A10)))))</f>
        <v>729600</v>
      </c>
      <c r="F10" s="330" cm="1">
        <f t="array" ref="F10">IF($A10="","",IF($K10="Payment",IFERROR(INDEX(_xlfn._xlws.FILTER(MasterPaid[Amount Paid],(MasterPaid[Customer]=$P$3)*(MasterPaid[Date]=$A10)),COUNTIFS($A$6:$A10,$A10,$K$6:$K10,"Payment")),0),0))</f>
        <v>0</v>
      </c>
      <c r="G10" s="331" t="s">
        <v>13</v>
      </c>
      <c r="H10" s="331"/>
      <c r="I10" s="330">
        <f t="shared" si="8"/>
        <v>2006400</v>
      </c>
      <c r="J10" s="275" t="s">
        <v>2575</v>
      </c>
      <c r="K10" s="289" t="str" cm="1">
        <f t="array" ref="K10">IFERROR(INDEX(_xlfn.ANCHORARRAY($R$6),ROW()-5,3),"")</f>
        <v>DIESEL</v>
      </c>
      <c r="L10" s="275"/>
      <c r="M10" s="290"/>
      <c r="O10" s="385" t="s">
        <v>2036</v>
      </c>
      <c r="P10" s="388">
        <f>SUM(G6:G355)</f>
        <v>42656</v>
      </c>
      <c r="R10">
        <v>46119</v>
      </c>
      <c r="S10" t="str">
        <v>82</v>
      </c>
      <c r="T10" t="str">
        <v>DIESEL</v>
      </c>
      <c r="V10" s="396"/>
      <c r="W10" s="350"/>
      <c r="X10" s="414" t="str">
        <f t="shared" si="0"/>
        <v/>
      </c>
      <c r="Y10" s="415" t="str">
        <f t="shared" si="1"/>
        <v/>
      </c>
      <c r="Z10" s="415" t="str">
        <f t="shared" si="2"/>
        <v/>
      </c>
      <c r="AC10" s="396"/>
      <c r="AD10" s="350"/>
      <c r="AE10" s="415" t="str">
        <f t="shared" si="3"/>
        <v/>
      </c>
      <c r="AF10" s="415" t="str">
        <f t="shared" si="4"/>
        <v/>
      </c>
      <c r="AG10" s="415" t="str">
        <f t="shared" si="5"/>
        <v/>
      </c>
      <c r="AQ10" s="421">
        <v>46139</v>
      </c>
      <c r="AR10" s="422" t="str">
        <v>334</v>
      </c>
      <c r="AS10" s="422" t="str">
        <v>DIESEL</v>
      </c>
      <c r="AT10" s="423">
        <v>3000</v>
      </c>
      <c r="AU10" s="424">
        <v>91.5</v>
      </c>
      <c r="AV10" s="425">
        <v>274500</v>
      </c>
      <c r="AW10" s="425">
        <v>0</v>
      </c>
      <c r="AX10" s="425" t="str">
        <v/>
      </c>
      <c r="AY10" s="425">
        <v>0</v>
      </c>
      <c r="AZ10" s="425">
        <f t="shared" si="6"/>
        <v>0</v>
      </c>
      <c r="BB10" s="409">
        <v>46121</v>
      </c>
      <c r="BC10" s="410" t="str">
        <v>103</v>
      </c>
      <c r="BD10" s="410" t="str">
        <v>DIESEL</v>
      </c>
      <c r="BE10" s="411">
        <v>4000</v>
      </c>
      <c r="BF10" s="412">
        <v>91.2</v>
      </c>
      <c r="BG10" s="413">
        <v>364800</v>
      </c>
      <c r="BH10" s="413">
        <v>0</v>
      </c>
      <c r="BI10" s="413" t="str">
        <v/>
      </c>
      <c r="BJ10" s="413">
        <v>0</v>
      </c>
      <c r="BK10" s="413">
        <f t="shared" si="7"/>
        <v>2736000</v>
      </c>
    </row>
    <row r="11" spans="1:67" ht="21.75" x14ac:dyDescent="0.25">
      <c r="A11" s="217" cm="1">
        <f t="array" ref="A11">IFERROR(INDEX(_xlfn.ANCHORARRAY($R$6),ROW()-5,1),"")</f>
        <v>46120</v>
      </c>
      <c r="B11" s="289" t="str" cm="1">
        <f t="array" ref="B11">IFERROR(INDEX(_xlfn.ANCHORARRAY($R$6),ROW()-5,2),"")</f>
        <v>93</v>
      </c>
      <c r="C11" s="218">
        <f>IF($A11="","",IF($K11="DIESEL",SUMIFS(Table1[Quantity],Table1[Customer],$P$3,Table1[Date],$A11,Table1[Bill No.],$B11),IF($K11="PETROL",SUMIFS(Table14[Quantity],Table14[Customer],$P$3,Table14[Date],$A11,Table14[Bill No.],$B11),IF($K11="XtraGreen",SUMIFS(Table146[Quantity],Table146[Company],$P$3,Table146[Date],$A11,Table146[Bill No.],$B11),""))))</f>
        <v>4000</v>
      </c>
      <c r="D11" s="223">
        <f>IF($A11="","",IF($K11="DIESEL",AVERAGEIFS(Table1[RSP],Table1[Customer],$P$3,Table1[Date],$A11,Table1[Bill No.],$B11),IF($K11="PETROL",AVERAGEIFS(Table14[RSP],Table14[Customer],$P$3,Table14[Date],$A11,Table14[Bill No.],$B11),IF($K11="XtraGreen",AVERAGEIFS(Table146[RSP],Table146[Company],$P$3,Table146[Date],$A11,Table146[Bill No.],$B11),IFERROR($E11/$C11,"")))))</f>
        <v>91.2</v>
      </c>
      <c r="E11" s="330">
        <f>IF($A11="","",IF($K11="DIESEL",SUMIFS(Table1[Amount],Table1[Customer],$P$3,Table1[Date],$A11,Table1[Bill No.],$B11),IF($K11="PETROL",SUMIFS(Table14[Amount],Table14[Customer],$P$3,Table14[Date],$A11,Table14[Bill No.],$B11),IF($K11="XtraGreen",SUMIFS(Table146[Amount],Table146[Company],$P$3,Table146[Date],$A11,Table146[Bill No.],$B11),SUMIFS('Other Sale'!$D:$D,'Other Sale'!$E:$E,$P$3,'Other Sale'!$C:$C,$K11,'Other Sale'!$A:$A,$A11)))))</f>
        <v>364800</v>
      </c>
      <c r="F11" s="330" cm="1">
        <f t="array" ref="F11">IF($A11="","",IF($K11="Payment",IFERROR(INDEX(_xlfn._xlws.FILTER(MasterPaid[Amount Paid],(MasterPaid[Customer]=$P$3)*(MasterPaid[Date]=$A11)),COUNTIFS($A$6:$A11,$A11,$K$6:$K11,"Payment")),0),0))</f>
        <v>0</v>
      </c>
      <c r="G11" s="331" t="s">
        <v>13</v>
      </c>
      <c r="H11" s="331"/>
      <c r="I11" s="330">
        <f t="shared" si="8"/>
        <v>2371200</v>
      </c>
      <c r="J11" s="275" t="s">
        <v>2575</v>
      </c>
      <c r="K11" s="289" t="str" cm="1">
        <f t="array" ref="K11">IFERROR(INDEX(_xlfn.ANCHORARRAY($R$6),ROW()-5,3),"")</f>
        <v>DIESEL</v>
      </c>
      <c r="L11" s="275"/>
      <c r="M11" s="290"/>
      <c r="O11" s="385" t="s">
        <v>2037</v>
      </c>
      <c r="P11" s="388">
        <f>SUM(H6:H355)</f>
        <v>1511</v>
      </c>
      <c r="R11">
        <v>46120</v>
      </c>
      <c r="S11" t="str">
        <v>93</v>
      </c>
      <c r="T11" t="str">
        <v>DIESEL</v>
      </c>
      <c r="V11" s="396"/>
      <c r="W11" s="350"/>
      <c r="X11" s="414" t="str">
        <f t="shared" si="0"/>
        <v/>
      </c>
      <c r="Y11" s="415" t="str">
        <f t="shared" si="1"/>
        <v/>
      </c>
      <c r="Z11" s="415" t="str">
        <f t="shared" si="2"/>
        <v/>
      </c>
      <c r="AC11" s="396"/>
      <c r="AD11" s="350"/>
      <c r="AE11" s="415" t="str">
        <f t="shared" si="3"/>
        <v/>
      </c>
      <c r="AF11" s="415" t="str">
        <f t="shared" si="4"/>
        <v/>
      </c>
      <c r="AG11" s="415" t="str">
        <f t="shared" si="5"/>
        <v/>
      </c>
      <c r="AQ11" s="421">
        <v>46148</v>
      </c>
      <c r="AR11" s="422" t="str">
        <v>432</v>
      </c>
      <c r="AS11" s="422" t="str">
        <v>DIESEL</v>
      </c>
      <c r="AT11" s="423">
        <v>3000</v>
      </c>
      <c r="AU11" s="424">
        <v>92.74</v>
      </c>
      <c r="AV11" s="425">
        <v>278220</v>
      </c>
      <c r="AW11" s="425">
        <v>0</v>
      </c>
      <c r="AX11" s="425" t="str">
        <v/>
      </c>
      <c r="AY11" s="425">
        <v>0</v>
      </c>
      <c r="AZ11" s="425">
        <f t="shared" si="6"/>
        <v>278220</v>
      </c>
      <c r="BB11" s="409">
        <v>46121</v>
      </c>
      <c r="BC11" s="410" t="str">
        <v/>
      </c>
      <c r="BD11" s="410" t="str">
        <v>Payment</v>
      </c>
      <c r="BE11" s="411" t="str">
        <v/>
      </c>
      <c r="BF11" s="412" t="str">
        <v/>
      </c>
      <c r="BG11" s="413">
        <v>0</v>
      </c>
      <c r="BH11" s="413">
        <v>4099896</v>
      </c>
      <c r="BI11" s="413">
        <v>4104</v>
      </c>
      <c r="BJ11" s="413">
        <v>0</v>
      </c>
      <c r="BK11" s="413">
        <f t="shared" si="7"/>
        <v>-1368000</v>
      </c>
    </row>
    <row r="12" spans="1:67" ht="21.75" x14ac:dyDescent="0.25">
      <c r="A12" s="217" cm="1">
        <f t="array" ref="A12">IFERROR(INDEX(_xlfn.ANCHORARRAY($R$6),ROW()-5,1),"")</f>
        <v>46121</v>
      </c>
      <c r="B12" s="289" t="str" cm="1">
        <f t="array" ref="B12">IFERROR(INDEX(_xlfn.ANCHORARRAY($R$6),ROW()-5,2),"")</f>
        <v>103</v>
      </c>
      <c r="C12" s="218">
        <f>IF($A12="","",IF($K12="DIESEL",SUMIFS(Table1[Quantity],Table1[Customer],$P$3,Table1[Date],$A12,Table1[Bill No.],$B12),IF($K12="PETROL",SUMIFS(Table14[Quantity],Table14[Customer],$P$3,Table14[Date],$A12,Table14[Bill No.],$B12),IF($K12="XtraGreen",SUMIFS(Table146[Quantity],Table146[Company],$P$3,Table146[Date],$A12,Table146[Bill No.],$B12),""))))</f>
        <v>4000</v>
      </c>
      <c r="D12" s="223">
        <f>IF($A12="","",IF($K12="DIESEL",AVERAGEIFS(Table1[RSP],Table1[Customer],$P$3,Table1[Date],$A12,Table1[Bill No.],$B12),IF($K12="PETROL",AVERAGEIFS(Table14[RSP],Table14[Customer],$P$3,Table14[Date],$A12,Table14[Bill No.],$B12),IF($K12="XtraGreen",AVERAGEIFS(Table146[RSP],Table146[Company],$P$3,Table146[Date],$A12,Table146[Bill No.],$B12),IFERROR($E12/$C12,"")))))</f>
        <v>91.2</v>
      </c>
      <c r="E12" s="330">
        <f>IF($A12="","",IF($K12="DIESEL",SUMIFS(Table1[Amount],Table1[Customer],$P$3,Table1[Date],$A12,Table1[Bill No.],$B12),IF($K12="PETROL",SUMIFS(Table14[Amount],Table14[Customer],$P$3,Table14[Date],$A12,Table14[Bill No.],$B12),IF($K12="XtraGreen",SUMIFS(Table146[Amount],Table146[Company],$P$3,Table146[Date],$A12,Table146[Bill No.],$B12),SUMIFS('Other Sale'!$D:$D,'Other Sale'!$E:$E,$P$3,'Other Sale'!$C:$C,$K12,'Other Sale'!$A:$A,$A12)))))</f>
        <v>364800</v>
      </c>
      <c r="F12" s="330" cm="1">
        <f t="array" ref="F12">IF($A12="","",IF($K12="Payment",IFERROR(INDEX(_xlfn._xlws.FILTER(MasterPaid[Amount Paid],(MasterPaid[Customer]=$P$3)*(MasterPaid[Date]=$A12)),COUNTIFS($A$6:$A12,$A12,$K$6:$K12,"Payment")),0),0))</f>
        <v>0</v>
      </c>
      <c r="G12" s="331" t="s">
        <v>13</v>
      </c>
      <c r="H12" s="331"/>
      <c r="I12" s="330">
        <f t="shared" si="8"/>
        <v>2736000</v>
      </c>
      <c r="J12" s="275" t="s">
        <v>2575</v>
      </c>
      <c r="K12" s="289" t="str" cm="1">
        <f t="array" ref="K12">IFERROR(INDEX(_xlfn.ANCHORARRAY($R$6),ROW()-5,3),"")</f>
        <v>DIESEL</v>
      </c>
      <c r="L12" s="275"/>
      <c r="M12" s="290"/>
      <c r="O12" s="385" t="s">
        <v>2038</v>
      </c>
      <c r="P12" s="386">
        <f>P4+P8-P9-P10-P11</f>
        <v>5330</v>
      </c>
      <c r="R12">
        <v>46121</v>
      </c>
      <c r="S12" t="str">
        <v>103</v>
      </c>
      <c r="T12" t="str">
        <v>DIESEL</v>
      </c>
      <c r="V12" s="396"/>
      <c r="W12" s="350"/>
      <c r="X12" s="414" t="str">
        <f t="shared" si="0"/>
        <v/>
      </c>
      <c r="Y12" s="415" t="str">
        <f t="shared" si="1"/>
        <v/>
      </c>
      <c r="Z12" s="415" t="str">
        <f t="shared" si="2"/>
        <v/>
      </c>
      <c r="AC12" s="396"/>
      <c r="AD12" s="350"/>
      <c r="AE12" s="415" t="str">
        <f t="shared" si="3"/>
        <v/>
      </c>
      <c r="AF12" s="415" t="str">
        <f t="shared" si="4"/>
        <v/>
      </c>
      <c r="AG12" s="415" t="str">
        <f t="shared" si="5"/>
        <v/>
      </c>
      <c r="AQ12" s="421">
        <v>46153</v>
      </c>
      <c r="AR12" s="422" t="str">
        <v/>
      </c>
      <c r="AS12" s="422" t="str">
        <v>Payment</v>
      </c>
      <c r="AT12" s="423" t="str">
        <v/>
      </c>
      <c r="AU12" s="424" t="str">
        <v/>
      </c>
      <c r="AV12" s="425">
        <v>0</v>
      </c>
      <c r="AW12" s="425">
        <v>1667650</v>
      </c>
      <c r="AX12" s="425">
        <v>2240</v>
      </c>
      <c r="AY12" s="425">
        <v>0</v>
      </c>
      <c r="AZ12" s="425">
        <f t="shared" si="6"/>
        <v>-1391670</v>
      </c>
      <c r="BB12" s="409">
        <v>46122</v>
      </c>
      <c r="BC12" s="410" t="str">
        <v>119</v>
      </c>
      <c r="BD12" s="410" t="str">
        <v>DIESEL</v>
      </c>
      <c r="BE12" s="411">
        <v>4000</v>
      </c>
      <c r="BF12" s="412">
        <v>91.2</v>
      </c>
      <c r="BG12" s="413">
        <v>364800</v>
      </c>
      <c r="BH12" s="413">
        <v>0</v>
      </c>
      <c r="BI12" s="413" t="str">
        <v/>
      </c>
      <c r="BJ12" s="413">
        <v>0</v>
      </c>
      <c r="BK12" s="413">
        <f t="shared" si="7"/>
        <v>-1003200</v>
      </c>
    </row>
    <row r="13" spans="1:67" ht="21.75" x14ac:dyDescent="0.25">
      <c r="A13" s="217" cm="1">
        <f t="array" ref="A13">IFERROR(INDEX(_xlfn.ANCHORARRAY($R$6),ROW()-5,1),"")</f>
        <v>46121</v>
      </c>
      <c r="B13" s="289" t="str" cm="1">
        <f t="array" ref="B13">IFERROR(INDEX(_xlfn.ANCHORARRAY($R$6),ROW()-5,2),"")</f>
        <v/>
      </c>
      <c r="C13" s="218" t="str">
        <f>IF($A13="","",IF($K13="DIESEL",SUMIFS(Table1[Quantity],Table1[Customer],$P$3,Table1[Date],$A13,Table1[Bill No.],$B13),IF($K13="PETROL",SUMIFS(Table14[Quantity],Table14[Customer],$P$3,Table14[Date],$A13,Table14[Bill No.],$B13),IF($K13="XtraGreen",SUMIFS(Table146[Quantity],Table146[Company],$P$3,Table146[Date],$A13,Table146[Bill No.],$B13),""))))</f>
        <v/>
      </c>
      <c r="D13" s="223" t="str">
        <f>IF($A13="","",IF($K13="DIESEL",AVERAGEIFS(Table1[RSP],Table1[Customer],$P$3,Table1[Date],$A13,Table1[Bill No.],$B13),IF($K13="PETROL",AVERAGEIFS(Table14[RSP],Table14[Customer],$P$3,Table14[Date],$A13,Table14[Bill No.],$B13),IF($K13="XtraGreen",AVERAGEIFS(Table146[RSP],Table146[Company],$P$3,Table146[Date],$A13,Table146[Bill No.],$B13),IFERROR($E13/$C13,"")))))</f>
        <v/>
      </c>
      <c r="E13" s="330">
        <f>IF($A13="","",IF($K13="DIESEL",SUMIFS(Table1[Amount],Table1[Customer],$P$3,Table1[Date],$A13,Table1[Bill No.],$B13),IF($K13="PETROL",SUMIFS(Table14[Amount],Table14[Customer],$P$3,Table14[Date],$A13,Table14[Bill No.],$B13),IF($K13="XtraGreen",SUMIFS(Table146[Amount],Table146[Company],$P$3,Table146[Date],$A13,Table146[Bill No.],$B13),SUMIFS('Other Sale'!$D:$D,'Other Sale'!$E:$E,$P$3,'Other Sale'!$C:$C,$K13,'Other Sale'!$A:$A,$A13)))))</f>
        <v>0</v>
      </c>
      <c r="F13" s="330" cm="1">
        <f t="array" ref="F13">IF($A13="","",IF($K13="Payment",IFERROR(INDEX(_xlfn._xlws.FILTER(MasterPaid[Amount Paid],(MasterPaid[Customer]=$P$3)*(MasterPaid[Date]=$A13)),COUNTIFS($A$6:$A13,$A13,$K$6:$K13,"Payment")),0),0))</f>
        <v>4099896</v>
      </c>
      <c r="G13" s="331">
        <v>4104</v>
      </c>
      <c r="H13" s="331"/>
      <c r="I13" s="330">
        <f t="shared" si="8"/>
        <v>-1368000</v>
      </c>
      <c r="J13" s="275" t="s">
        <v>2575</v>
      </c>
      <c r="K13" s="289" t="str" cm="1">
        <f t="array" ref="K13">IFERROR(INDEX(_xlfn.ANCHORARRAY($R$6),ROW()-5,3),"")</f>
        <v>Payment</v>
      </c>
      <c r="L13" s="275"/>
      <c r="M13" s="290"/>
      <c r="R13">
        <v>46121</v>
      </c>
      <c r="S13" t="str">
        <v/>
      </c>
      <c r="T13" t="str">
        <v>Payment</v>
      </c>
      <c r="V13" s="396"/>
      <c r="W13" s="350"/>
      <c r="X13" s="414" t="str">
        <f t="shared" si="0"/>
        <v/>
      </c>
      <c r="Y13" s="415" t="str">
        <f t="shared" si="1"/>
        <v/>
      </c>
      <c r="Z13" s="415" t="str">
        <f t="shared" si="2"/>
        <v/>
      </c>
      <c r="AC13" s="396"/>
      <c r="AD13" s="350"/>
      <c r="AE13" s="415" t="str">
        <f t="shared" si="3"/>
        <v/>
      </c>
      <c r="AF13" s="415" t="str">
        <f t="shared" si="4"/>
        <v/>
      </c>
      <c r="AG13" s="415" t="str">
        <f t="shared" si="5"/>
        <v/>
      </c>
      <c r="AQ13" s="421">
        <v>46163</v>
      </c>
      <c r="AR13" s="422" t="str">
        <v>580</v>
      </c>
      <c r="AS13" s="422" t="str">
        <v>DIESEL</v>
      </c>
      <c r="AT13" s="423">
        <v>3000</v>
      </c>
      <c r="AU13" s="424">
        <v>96.9</v>
      </c>
      <c r="AV13" s="425">
        <v>290700</v>
      </c>
      <c r="AW13" s="425">
        <v>0</v>
      </c>
      <c r="AX13" s="425" t="str">
        <v/>
      </c>
      <c r="AY13" s="425">
        <v>0</v>
      </c>
      <c r="AZ13" s="425">
        <f t="shared" si="6"/>
        <v>-1100970</v>
      </c>
      <c r="BB13" s="409">
        <v>46123</v>
      </c>
      <c r="BC13" s="410" t="str">
        <v>133</v>
      </c>
      <c r="BD13" s="410" t="str">
        <v>DIESEL</v>
      </c>
      <c r="BE13" s="411">
        <v>3000</v>
      </c>
      <c r="BF13" s="412">
        <v>91.2</v>
      </c>
      <c r="BG13" s="413">
        <v>273600</v>
      </c>
      <c r="BH13" s="413">
        <v>0</v>
      </c>
      <c r="BI13" s="413" t="str">
        <v/>
      </c>
      <c r="BJ13" s="413">
        <v>0</v>
      </c>
      <c r="BK13" s="413">
        <f t="shared" si="7"/>
        <v>-729600</v>
      </c>
    </row>
    <row r="14" spans="1:67" ht="21.75" x14ac:dyDescent="0.25">
      <c r="A14" s="217" cm="1">
        <f t="array" ref="A14">IFERROR(INDEX(_xlfn.ANCHORARRAY($R$6),ROW()-5,1),"")</f>
        <v>46122</v>
      </c>
      <c r="B14" s="289" t="str" cm="1">
        <f t="array" ref="B14">IFERROR(INDEX(_xlfn.ANCHORARRAY($R$6),ROW()-5,2),"")</f>
        <v>119</v>
      </c>
      <c r="C14" s="218">
        <f>IF($A14="","",IF($K14="DIESEL",SUMIFS(Table1[Quantity],Table1[Customer],$P$3,Table1[Date],$A14,Table1[Bill No.],$B14),IF($K14="PETROL",SUMIFS(Table14[Quantity],Table14[Customer],$P$3,Table14[Date],$A14,Table14[Bill No.],$B14),IF($K14="XtraGreen",SUMIFS(Table146[Quantity],Table146[Company],$P$3,Table146[Date],$A14,Table146[Bill No.],$B14),""))))</f>
        <v>4000</v>
      </c>
      <c r="D14" s="223">
        <f>IF($A14="","",IF($K14="DIESEL",AVERAGEIFS(Table1[RSP],Table1[Customer],$P$3,Table1[Date],$A14,Table1[Bill No.],$B14),IF($K14="PETROL",AVERAGEIFS(Table14[RSP],Table14[Customer],$P$3,Table14[Date],$A14,Table14[Bill No.],$B14),IF($K14="XtraGreen",AVERAGEIFS(Table146[RSP],Table146[Company],$P$3,Table146[Date],$A14,Table146[Bill No.],$B14),IFERROR($E14/$C14,"")))))</f>
        <v>91.2</v>
      </c>
      <c r="E14" s="330">
        <f>IF($A14="","",IF($K14="DIESEL",SUMIFS(Table1[Amount],Table1[Customer],$P$3,Table1[Date],$A14,Table1[Bill No.],$B14),IF($K14="PETROL",SUMIFS(Table14[Amount],Table14[Customer],$P$3,Table14[Date],$A14,Table14[Bill No.],$B14),IF($K14="XtraGreen",SUMIFS(Table146[Amount],Table146[Company],$P$3,Table146[Date],$A14,Table146[Bill No.],$B14),SUMIFS('Other Sale'!$D:$D,'Other Sale'!$E:$E,$P$3,'Other Sale'!$C:$C,$K14,'Other Sale'!$A:$A,$A14)))))</f>
        <v>364800</v>
      </c>
      <c r="F14" s="330" cm="1">
        <f t="array" ref="F14">IF($A14="","",IF($K14="Payment",IFERROR(INDEX(_xlfn._xlws.FILTER(MasterPaid[Amount Paid],(MasterPaid[Customer]=$P$3)*(MasterPaid[Date]=$A14)),COUNTIFS($A$6:$A14,$A14,$K$6:$K14,"Payment")),0),0))</f>
        <v>0</v>
      </c>
      <c r="G14" s="331" t="s">
        <v>13</v>
      </c>
      <c r="H14" s="331"/>
      <c r="I14" s="330">
        <f t="shared" si="8"/>
        <v>-1003200</v>
      </c>
      <c r="J14" s="275" t="s">
        <v>2575</v>
      </c>
      <c r="K14" s="289" t="str" cm="1">
        <f t="array" ref="K14">IFERROR(INDEX(_xlfn.ANCHORARRAY($R$6),ROW()-5,3),"")</f>
        <v>DIESEL</v>
      </c>
      <c r="L14" s="275"/>
      <c r="M14" s="290"/>
      <c r="O14" s="294" t="s">
        <v>2577</v>
      </c>
      <c r="P14" s="292"/>
      <c r="Q14" s="292"/>
      <c r="R14">
        <v>46122</v>
      </c>
      <c r="S14" t="str">
        <v>119</v>
      </c>
      <c r="T14" t="str">
        <v>DIESEL</v>
      </c>
      <c r="V14" s="396"/>
      <c r="W14" s="350"/>
      <c r="X14" s="414" t="str">
        <f t="shared" si="0"/>
        <v/>
      </c>
      <c r="Y14" s="415" t="str">
        <f t="shared" si="1"/>
        <v/>
      </c>
      <c r="Z14" s="415" t="str">
        <f t="shared" si="2"/>
        <v/>
      </c>
      <c r="AC14" s="396"/>
      <c r="AD14" s="350"/>
      <c r="AE14" s="415" t="str">
        <f t="shared" si="3"/>
        <v/>
      </c>
      <c r="AF14" s="415" t="str">
        <f t="shared" si="4"/>
        <v/>
      </c>
      <c r="AG14" s="415" t="str">
        <f t="shared" si="5"/>
        <v/>
      </c>
      <c r="AQ14" s="421">
        <v>46212</v>
      </c>
      <c r="AR14" s="422" t="str">
        <v>1431</v>
      </c>
      <c r="AS14" s="422" t="str">
        <v>DIESEL</v>
      </c>
      <c r="AT14" s="423">
        <v>12000</v>
      </c>
      <c r="AU14" s="424">
        <v>99.5</v>
      </c>
      <c r="AV14" s="425">
        <v>1194000</v>
      </c>
      <c r="AW14" s="425">
        <v>0</v>
      </c>
      <c r="AX14" s="425" t="str">
        <v/>
      </c>
      <c r="AY14" s="425">
        <v>0</v>
      </c>
      <c r="AZ14" s="425">
        <f t="shared" si="6"/>
        <v>93030</v>
      </c>
      <c r="BB14" s="409">
        <v>46123</v>
      </c>
      <c r="BC14" s="410" t="str">
        <v/>
      </c>
      <c r="BD14" s="410" t="str">
        <v>System 68- 20 Ltr</v>
      </c>
      <c r="BE14" s="411" t="str">
        <v/>
      </c>
      <c r="BF14" s="412" t="str">
        <v/>
      </c>
      <c r="BG14" s="413">
        <v>5330</v>
      </c>
      <c r="BH14" s="413">
        <v>0</v>
      </c>
      <c r="BI14" s="413" t="str">
        <v/>
      </c>
      <c r="BJ14" s="413">
        <v>0</v>
      </c>
      <c r="BK14" s="413">
        <f t="shared" si="7"/>
        <v>-724270</v>
      </c>
    </row>
    <row r="15" spans="1:67" ht="21.75" x14ac:dyDescent="0.25">
      <c r="A15" s="217" cm="1">
        <f t="array" ref="A15">IFERROR(INDEX(_xlfn.ANCHORARRAY($R$6),ROW()-5,1),"")</f>
        <v>46123</v>
      </c>
      <c r="B15" s="289" t="str" cm="1">
        <f t="array" ref="B15">IFERROR(INDEX(_xlfn.ANCHORARRAY($R$6),ROW()-5,2),"")</f>
        <v>133</v>
      </c>
      <c r="C15" s="218">
        <f>IF($A15="","",IF($K15="DIESEL",SUMIFS(Table1[Quantity],Table1[Customer],$P$3,Table1[Date],$A15,Table1[Bill No.],$B15),IF($K15="PETROL",SUMIFS(Table14[Quantity],Table14[Customer],$P$3,Table14[Date],$A15,Table14[Bill No.],$B15),IF($K15="XtraGreen",SUMIFS(Table146[Quantity],Table146[Company],$P$3,Table146[Date],$A15,Table146[Bill No.],$B15),""))))</f>
        <v>3000</v>
      </c>
      <c r="D15" s="223">
        <f>IF($A15="","",IF($K15="DIESEL",AVERAGEIFS(Table1[RSP],Table1[Customer],$P$3,Table1[Date],$A15,Table1[Bill No.],$B15),IF($K15="PETROL",AVERAGEIFS(Table14[RSP],Table14[Customer],$P$3,Table14[Date],$A15,Table14[Bill No.],$B15),IF($K15="XtraGreen",AVERAGEIFS(Table146[RSP],Table146[Company],$P$3,Table146[Date],$A15,Table146[Bill No.],$B15),IFERROR($E15/$C15,"")))))</f>
        <v>91.2</v>
      </c>
      <c r="E15" s="330">
        <f>IF($A15="","",IF($K15="DIESEL",SUMIFS(Table1[Amount],Table1[Customer],$P$3,Table1[Date],$A15,Table1[Bill No.],$B15),IF($K15="PETROL",SUMIFS(Table14[Amount],Table14[Customer],$P$3,Table14[Date],$A15,Table14[Bill No.],$B15),IF($K15="XtraGreen",SUMIFS(Table146[Amount],Table146[Company],$P$3,Table146[Date],$A15,Table146[Bill No.],$B15),SUMIFS('Other Sale'!$D:$D,'Other Sale'!$E:$E,$P$3,'Other Sale'!$C:$C,$K15,'Other Sale'!$A:$A,$A15)))))</f>
        <v>273600</v>
      </c>
      <c r="F15" s="330" cm="1">
        <f t="array" ref="F15">IF($A15="","",IF($K15="Payment",IFERROR(INDEX(_xlfn._xlws.FILTER(MasterPaid[Amount Paid],(MasterPaid[Customer]=$P$3)*(MasterPaid[Date]=$A15)),COUNTIFS($A$6:$A15,$A15,$K$6:$K15,"Payment")),0),0))</f>
        <v>0</v>
      </c>
      <c r="G15" s="331" t="s">
        <v>13</v>
      </c>
      <c r="H15" s="331"/>
      <c r="I15" s="330">
        <f t="shared" si="8"/>
        <v>-729600</v>
      </c>
      <c r="J15" s="275" t="s">
        <v>2575</v>
      </c>
      <c r="K15" s="289" t="str" cm="1">
        <f t="array" ref="K15">IFERROR(INDEX(_xlfn.ANCHORARRAY($R$6),ROW()-5,3),"")</f>
        <v>DIESEL</v>
      </c>
      <c r="L15" s="275"/>
      <c r="M15" s="290"/>
      <c r="O15" s="389"/>
      <c r="P15" s="390" t="s">
        <v>2574</v>
      </c>
      <c r="Q15" s="391" t="s">
        <v>2575</v>
      </c>
      <c r="R15">
        <v>46123</v>
      </c>
      <c r="S15" t="str">
        <v>133</v>
      </c>
      <c r="T15" t="str">
        <v>DIESEL</v>
      </c>
      <c r="V15" s="396"/>
      <c r="W15" s="350"/>
      <c r="X15" s="414" t="str">
        <f t="shared" si="0"/>
        <v/>
      </c>
      <c r="Y15" s="415" t="str">
        <f t="shared" si="1"/>
        <v/>
      </c>
      <c r="Z15" s="415" t="str">
        <f t="shared" si="2"/>
        <v/>
      </c>
      <c r="AC15" s="396"/>
      <c r="AD15" s="350"/>
      <c r="AE15" s="415" t="str">
        <f t="shared" si="3"/>
        <v/>
      </c>
      <c r="AF15" s="415" t="str">
        <f t="shared" si="4"/>
        <v/>
      </c>
      <c r="AG15" s="415" t="str">
        <f t="shared" si="5"/>
        <v/>
      </c>
      <c r="AQ15" s="409">
        <v>46221</v>
      </c>
      <c r="AR15" s="410" t="str">
        <v>1602</v>
      </c>
      <c r="AS15" s="410" t="str">
        <v>DIESEL</v>
      </c>
      <c r="AT15" s="411">
        <v>12000</v>
      </c>
      <c r="AU15" s="412">
        <v>99.5</v>
      </c>
      <c r="AV15" s="413">
        <v>1194000</v>
      </c>
      <c r="AW15" s="413">
        <v>0</v>
      </c>
      <c r="AX15" s="413" t="str">
        <v/>
      </c>
      <c r="AY15" s="413">
        <v>1511</v>
      </c>
      <c r="AZ15" s="413">
        <f t="shared" si="6"/>
        <v>1285519</v>
      </c>
      <c r="BB15" s="409">
        <v>46129</v>
      </c>
      <c r="BC15" s="410" t="str">
        <v>228</v>
      </c>
      <c r="BD15" s="410" t="str">
        <v>DIESEL</v>
      </c>
      <c r="BE15" s="411">
        <v>4000</v>
      </c>
      <c r="BF15" s="412">
        <v>91.2</v>
      </c>
      <c r="BG15" s="413">
        <v>364800</v>
      </c>
      <c r="BH15" s="413">
        <v>0</v>
      </c>
      <c r="BI15" s="413" t="str">
        <v/>
      </c>
      <c r="BJ15" s="413">
        <v>0</v>
      </c>
      <c r="BK15" s="413">
        <f t="shared" si="7"/>
        <v>-359470</v>
      </c>
    </row>
    <row r="16" spans="1:67" ht="21.75" x14ac:dyDescent="0.25">
      <c r="A16" s="217" cm="1">
        <f t="array" ref="A16">IFERROR(INDEX(_xlfn.ANCHORARRAY($R$6),ROW()-5,1),"")</f>
        <v>46123</v>
      </c>
      <c r="B16" s="289" t="str" cm="1">
        <f t="array" ref="B16">IFERROR(INDEX(_xlfn.ANCHORARRAY($R$6),ROW()-5,2),"")</f>
        <v/>
      </c>
      <c r="C16" s="218" t="str">
        <f>IF($A16="","",IF($K16="DIESEL",SUMIFS(Table1[Quantity],Table1[Customer],$P$3,Table1[Date],$A16,Table1[Bill No.],$B16),IF($K16="PETROL",SUMIFS(Table14[Quantity],Table14[Customer],$P$3,Table14[Date],$A16,Table14[Bill No.],$B16),IF($K16="XtraGreen",SUMIFS(Table146[Quantity],Table146[Company],$P$3,Table146[Date],$A16,Table146[Bill No.],$B16),""))))</f>
        <v/>
      </c>
      <c r="D16" s="223" t="str">
        <f>IF($A16="","",IF($K16="DIESEL",AVERAGEIFS(Table1[RSP],Table1[Customer],$P$3,Table1[Date],$A16,Table1[Bill No.],$B16),IF($K16="PETROL",AVERAGEIFS(Table14[RSP],Table14[Customer],$P$3,Table14[Date],$A16,Table14[Bill No.],$B16),IF($K16="XtraGreen",AVERAGEIFS(Table146[RSP],Table146[Company],$P$3,Table146[Date],$A16,Table146[Bill No.],$B16),IFERROR($E16/$C16,"")))))</f>
        <v/>
      </c>
      <c r="E16" s="330">
        <f>IF($A16="","",IF($K16="DIESEL",SUMIFS(Table1[Amount],Table1[Customer],$P$3,Table1[Date],$A16,Table1[Bill No.],$B16),IF($K16="PETROL",SUMIFS(Table14[Amount],Table14[Customer],$P$3,Table14[Date],$A16,Table14[Bill No.],$B16),IF($K16="XtraGreen",SUMIFS(Table146[Amount],Table146[Company],$P$3,Table146[Date],$A16,Table146[Bill No.],$B16),SUMIFS('Other Sale'!$D:$D,'Other Sale'!$E:$E,$P$3,'Other Sale'!$C:$C,$K16,'Other Sale'!$A:$A,$A16)))))</f>
        <v>5330</v>
      </c>
      <c r="F16" s="330" cm="1">
        <f t="array" ref="F16">IF($A16="","",IF($K16="Payment",IFERROR(INDEX(_xlfn._xlws.FILTER(MasterPaid[Amount Paid],(MasterPaid[Customer]=$P$3)*(MasterPaid[Date]=$A16)),COUNTIFS($A$6:$A16,$A16,$K$6:$K16,"Payment")),0),0))</f>
        <v>0</v>
      </c>
      <c r="G16" s="331" t="s">
        <v>13</v>
      </c>
      <c r="H16" s="331"/>
      <c r="I16" s="330">
        <f t="shared" si="8"/>
        <v>-724270</v>
      </c>
      <c r="J16" s="462" t="s">
        <v>2575</v>
      </c>
      <c r="K16" s="463" t="str" cm="1">
        <f t="array" ref="K16">IFERROR(INDEX(_xlfn.ANCHORARRAY($R$6),ROW()-5,3),"")</f>
        <v>System 68- 20 Ltr</v>
      </c>
      <c r="L16" s="275"/>
      <c r="M16" s="290"/>
      <c r="O16" s="393" t="s">
        <v>2578</v>
      </c>
      <c r="P16" s="397">
        <v>-1641600</v>
      </c>
      <c r="Q16" s="397">
        <v>-1641600</v>
      </c>
      <c r="R16">
        <v>46123</v>
      </c>
      <c r="S16" t="str">
        <v/>
      </c>
      <c r="T16" t="str">
        <v>System 68- 20 Ltr</v>
      </c>
      <c r="V16" s="396"/>
      <c r="W16" s="350"/>
      <c r="X16" s="414" t="str">
        <f t="shared" si="0"/>
        <v/>
      </c>
      <c r="Y16" s="415" t="str">
        <f t="shared" si="1"/>
        <v/>
      </c>
      <c r="Z16" s="415" t="str">
        <f t="shared" si="2"/>
        <v/>
      </c>
      <c r="AC16" s="396"/>
      <c r="AD16" s="350"/>
      <c r="AE16" s="415" t="str">
        <f t="shared" si="3"/>
        <v/>
      </c>
      <c r="AF16" s="415" t="str">
        <f t="shared" si="4"/>
        <v/>
      </c>
      <c r="AG16" s="415" t="str">
        <f t="shared" si="5"/>
        <v/>
      </c>
      <c r="AQ16" s="409">
        <v>46230</v>
      </c>
      <c r="AR16" s="410" t="str">
        <v>1785</v>
      </c>
      <c r="AS16" s="410" t="str">
        <v>DIESEL</v>
      </c>
      <c r="AT16" s="411">
        <v>12000</v>
      </c>
      <c r="AU16" s="412">
        <v>99.5</v>
      </c>
      <c r="AV16" s="413">
        <v>1194000</v>
      </c>
      <c r="AW16" s="413">
        <v>0</v>
      </c>
      <c r="AX16" s="413" t="str">
        <v/>
      </c>
      <c r="AY16" s="413">
        <v>0</v>
      </c>
      <c r="AZ16" s="413">
        <f t="shared" si="6"/>
        <v>2479519</v>
      </c>
      <c r="BB16" s="409">
        <v>46130</v>
      </c>
      <c r="BC16" s="410" t="str">
        <v>244</v>
      </c>
      <c r="BD16" s="410" t="str">
        <v>DIESEL</v>
      </c>
      <c r="BE16" s="411">
        <v>4000</v>
      </c>
      <c r="BF16" s="412">
        <v>91.2</v>
      </c>
      <c r="BG16" s="413">
        <v>364800</v>
      </c>
      <c r="BH16" s="413">
        <v>0</v>
      </c>
      <c r="BI16" s="413" t="str">
        <v/>
      </c>
      <c r="BJ16" s="413">
        <v>0</v>
      </c>
      <c r="BK16" s="413">
        <f t="shared" si="7"/>
        <v>5330</v>
      </c>
    </row>
    <row r="17" spans="1:63" ht="21.75" x14ac:dyDescent="0.25">
      <c r="A17" s="217" cm="1">
        <f t="array" ref="A17">IFERROR(INDEX(_xlfn.ANCHORARRAY($R$6),ROW()-5,1),"")</f>
        <v>46129</v>
      </c>
      <c r="B17" s="289" t="str" cm="1">
        <f t="array" ref="B17">IFERROR(INDEX(_xlfn.ANCHORARRAY($R$6),ROW()-5,2),"")</f>
        <v>228</v>
      </c>
      <c r="C17" s="218">
        <f>IF($A17="","",IF($K17="DIESEL",SUMIFS(Table1[Quantity],Table1[Customer],$P$3,Table1[Date],$A17,Table1[Bill No.],$B17),IF($K17="PETROL",SUMIFS(Table14[Quantity],Table14[Customer],$P$3,Table14[Date],$A17,Table14[Bill No.],$B17),IF($K17="XtraGreen",SUMIFS(Table146[Quantity],Table146[Company],$P$3,Table146[Date],$A17,Table146[Bill No.],$B17),""))))</f>
        <v>4000</v>
      </c>
      <c r="D17" s="223">
        <f>IF($A17="","",IF($K17="DIESEL",AVERAGEIFS(Table1[RSP],Table1[Customer],$P$3,Table1[Date],$A17,Table1[Bill No.],$B17),IF($K17="PETROL",AVERAGEIFS(Table14[RSP],Table14[Customer],$P$3,Table14[Date],$A17,Table14[Bill No.],$B17),IF($K17="XtraGreen",AVERAGEIFS(Table146[RSP],Table146[Company],$P$3,Table146[Date],$A17,Table146[Bill No.],$B17),IFERROR($E17/$C17,"")))))</f>
        <v>91.2</v>
      </c>
      <c r="E17" s="330">
        <f>IF($A17="","",IF($K17="DIESEL",SUMIFS(Table1[Amount],Table1[Customer],$P$3,Table1[Date],$A17,Table1[Bill No.],$B17),IF($K17="PETROL",SUMIFS(Table14[Amount],Table14[Customer],$P$3,Table14[Date],$A17,Table14[Bill No.],$B17),IF($K17="XtraGreen",SUMIFS(Table146[Amount],Table146[Company],$P$3,Table146[Date],$A17,Table146[Bill No.],$B17),SUMIFS('Other Sale'!$D:$D,'Other Sale'!$E:$E,$P$3,'Other Sale'!$C:$C,$K17,'Other Sale'!$A:$A,$A17)))))</f>
        <v>364800</v>
      </c>
      <c r="F17" s="330" cm="1">
        <f t="array" ref="F17">IF($A17="","",IF($K17="Payment",IFERROR(INDEX(_xlfn._xlws.FILTER(MasterPaid[Amount Paid],(MasterPaid[Customer]=$P$3)*(MasterPaid[Date]=$A17)),COUNTIFS($A$6:$A17,$A17,$K$6:$K17,"Payment")),0),0))</f>
        <v>0</v>
      </c>
      <c r="G17" s="331" t="s">
        <v>13</v>
      </c>
      <c r="H17" s="331"/>
      <c r="I17" s="330">
        <f t="shared" si="8"/>
        <v>-359470</v>
      </c>
      <c r="J17" s="275" t="s">
        <v>2575</v>
      </c>
      <c r="K17" s="289" t="str" cm="1">
        <f t="array" ref="K17">IFERROR(INDEX(_xlfn.ANCHORARRAY($R$6),ROW()-5,3),"")</f>
        <v>DIESEL</v>
      </c>
      <c r="L17" s="275"/>
      <c r="M17" s="290"/>
      <c r="O17" s="393" t="s">
        <v>2034</v>
      </c>
      <c r="P17" s="397">
        <f>SUMIFS($E$6:$E$355,$J$6:$J$355,P$15)</f>
        <v>11666520</v>
      </c>
      <c r="Q17" s="397">
        <f>SUMIFS($E$6:$E$355,$J$6:$J$355,Q$15)</f>
        <v>33117548.75</v>
      </c>
      <c r="R17">
        <v>46129</v>
      </c>
      <c r="S17" t="str">
        <v>228</v>
      </c>
      <c r="T17" t="str">
        <v>DIESEL</v>
      </c>
      <c r="V17" s="396"/>
      <c r="W17" s="350"/>
      <c r="X17" s="414" t="str">
        <f t="shared" si="0"/>
        <v/>
      </c>
      <c r="Y17" s="415" t="str">
        <f t="shared" si="1"/>
        <v/>
      </c>
      <c r="Z17" s="415" t="str">
        <f t="shared" si="2"/>
        <v/>
      </c>
      <c r="AC17" s="396"/>
      <c r="AD17" s="350"/>
      <c r="AE17" s="415" t="str">
        <f t="shared" si="3"/>
        <v/>
      </c>
      <c r="AF17" s="415" t="str">
        <f t="shared" si="4"/>
        <v/>
      </c>
      <c r="AG17" s="415" t="str">
        <f t="shared" si="5"/>
        <v/>
      </c>
      <c r="AQ17" s="409">
        <v>46237</v>
      </c>
      <c r="AR17" s="410" t="str">
        <v/>
      </c>
      <c r="AS17" s="410" t="str">
        <v>Payment</v>
      </c>
      <c r="AT17" s="411" t="str">
        <v/>
      </c>
      <c r="AU17" s="412" t="str">
        <v/>
      </c>
      <c r="AV17" s="413">
        <v>0</v>
      </c>
      <c r="AW17" s="413">
        <v>2475957</v>
      </c>
      <c r="AX17" s="413">
        <v>3562</v>
      </c>
      <c r="AY17" s="413">
        <v>0</v>
      </c>
      <c r="AZ17" s="413">
        <f t="shared" si="6"/>
        <v>0</v>
      </c>
      <c r="BB17" s="409">
        <v>46130</v>
      </c>
      <c r="BC17" s="410" t="str">
        <v>249</v>
      </c>
      <c r="BD17" s="410" t="str">
        <v>DIESEL</v>
      </c>
      <c r="BE17" s="411">
        <v>4000</v>
      </c>
      <c r="BF17" s="412">
        <v>91.5</v>
      </c>
      <c r="BG17" s="413">
        <v>366000</v>
      </c>
      <c r="BH17" s="413">
        <v>0</v>
      </c>
      <c r="BI17" s="413" t="str">
        <v/>
      </c>
      <c r="BJ17" s="413">
        <v>0</v>
      </c>
      <c r="BK17" s="413">
        <f t="shared" si="7"/>
        <v>371330</v>
      </c>
    </row>
    <row r="18" spans="1:63" ht="21.75" x14ac:dyDescent="0.25">
      <c r="A18" s="217" cm="1">
        <f t="array" ref="A18">IFERROR(INDEX(_xlfn.ANCHORARRAY($R$6),ROW()-5,1),"")</f>
        <v>46130</v>
      </c>
      <c r="B18" s="289" t="str" cm="1">
        <f t="array" ref="B18">IFERROR(INDEX(_xlfn.ANCHORARRAY($R$6),ROW()-5,2),"")</f>
        <v>244</v>
      </c>
      <c r="C18" s="218">
        <f>IF($A18="","",IF($K18="DIESEL",SUMIFS(Table1[Quantity],Table1[Customer],$P$3,Table1[Date],$A18,Table1[Bill No.],$B18),IF($K18="PETROL",SUMIFS(Table14[Quantity],Table14[Customer],$P$3,Table14[Date],$A18,Table14[Bill No.],$B18),IF($K18="XtraGreen",SUMIFS(Table146[Quantity],Table146[Company],$P$3,Table146[Date],$A18,Table146[Bill No.],$B18),""))))</f>
        <v>4000</v>
      </c>
      <c r="D18" s="223">
        <f>IF($A18="","",IF($K18="DIESEL",AVERAGEIFS(Table1[RSP],Table1[Customer],$P$3,Table1[Date],$A18,Table1[Bill No.],$B18),IF($K18="PETROL",AVERAGEIFS(Table14[RSP],Table14[Customer],$P$3,Table14[Date],$A18,Table14[Bill No.],$B18),IF($K18="XtraGreen",AVERAGEIFS(Table146[RSP],Table146[Company],$P$3,Table146[Date],$A18,Table146[Bill No.],$B18),IFERROR($E18/$C18,"")))))</f>
        <v>91.2</v>
      </c>
      <c r="E18" s="330">
        <f>IF($A18="","",IF($K18="DIESEL",SUMIFS(Table1[Amount],Table1[Customer],$P$3,Table1[Date],$A18,Table1[Bill No.],$B18),IF($K18="PETROL",SUMIFS(Table14[Amount],Table14[Customer],$P$3,Table14[Date],$A18,Table14[Bill No.],$B18),IF($K18="XtraGreen",SUMIFS(Table146[Amount],Table146[Company],$P$3,Table146[Date],$A18,Table146[Bill No.],$B18),SUMIFS('Other Sale'!$D:$D,'Other Sale'!$E:$E,$P$3,'Other Sale'!$C:$C,$K18,'Other Sale'!$A:$A,$A18)))))</f>
        <v>364800</v>
      </c>
      <c r="F18" s="330" cm="1">
        <f t="array" ref="F18">IF($A18="","",IF($K18="Payment",IFERROR(INDEX(_xlfn._xlws.FILTER(MasterPaid[Amount Paid],(MasterPaid[Customer]=$P$3)*(MasterPaid[Date]=$A18)),COUNTIFS($A$6:$A18,$A18,$K$6:$K18,"Payment")),0),0))</f>
        <v>0</v>
      </c>
      <c r="G18" s="331" t="s">
        <v>13</v>
      </c>
      <c r="H18" s="331"/>
      <c r="I18" s="330">
        <f t="shared" si="8"/>
        <v>5330</v>
      </c>
      <c r="J18" s="275" t="s">
        <v>2575</v>
      </c>
      <c r="K18" s="289" t="str" cm="1">
        <f t="array" ref="K18">IFERROR(INDEX(_xlfn.ANCHORARRAY($R$6),ROW()-5,3),"")</f>
        <v>DIESEL</v>
      </c>
      <c r="L18" s="275"/>
      <c r="M18" s="290"/>
      <c r="O18" s="393" t="s">
        <v>2035</v>
      </c>
      <c r="P18" s="397">
        <f>SUMIFS($F$6:$F$355,$J$6:$J$355,P$15)</f>
        <v>10011733</v>
      </c>
      <c r="Q18" s="397">
        <f>SUMIFS($F$6:$F$355,$J$6:$J$355,Q$15)</f>
        <v>31439638.75</v>
      </c>
      <c r="R18">
        <v>46130</v>
      </c>
      <c r="S18" t="str">
        <v>244</v>
      </c>
      <c r="T18" t="str">
        <v>DIESEL</v>
      </c>
      <c r="V18" s="396"/>
      <c r="W18" s="350"/>
      <c r="X18" s="414" t="str">
        <f t="shared" si="0"/>
        <v/>
      </c>
      <c r="Y18" s="415" t="str">
        <f t="shared" si="1"/>
        <v/>
      </c>
      <c r="Z18" s="415" t="str">
        <f t="shared" si="2"/>
        <v/>
      </c>
      <c r="AC18" s="396"/>
      <c r="AD18" s="350"/>
      <c r="AE18" s="415" t="str">
        <f t="shared" si="3"/>
        <v/>
      </c>
      <c r="AF18" s="415" t="str">
        <f t="shared" si="4"/>
        <v/>
      </c>
      <c r="AG18" s="415" t="str">
        <f t="shared" si="5"/>
        <v/>
      </c>
      <c r="AQ18" s="409">
        <v>46238</v>
      </c>
      <c r="AR18" s="410" t="str">
        <v>1953</v>
      </c>
      <c r="AS18" s="410" t="str">
        <v>DIESEL</v>
      </c>
      <c r="AT18" s="411">
        <v>12000</v>
      </c>
      <c r="AU18" s="412">
        <v>99.5</v>
      </c>
      <c r="AV18" s="413">
        <v>1194000</v>
      </c>
      <c r="AW18" s="413">
        <v>0</v>
      </c>
      <c r="AX18" s="413" t="str">
        <v/>
      </c>
      <c r="AY18" s="413">
        <v>0</v>
      </c>
      <c r="AZ18" s="413">
        <f t="shared" si="6"/>
        <v>1194000</v>
      </c>
      <c r="BB18" s="409">
        <v>46133</v>
      </c>
      <c r="BC18" s="410" t="str">
        <v>283</v>
      </c>
      <c r="BD18" s="410" t="str">
        <v>DIESEL</v>
      </c>
      <c r="BE18" s="411">
        <v>3000</v>
      </c>
      <c r="BF18" s="412">
        <v>91.5</v>
      </c>
      <c r="BG18" s="413">
        <v>274500</v>
      </c>
      <c r="BH18" s="413">
        <v>0</v>
      </c>
      <c r="BI18" s="413" t="str">
        <v/>
      </c>
      <c r="BJ18" s="413">
        <v>0</v>
      </c>
      <c r="BK18" s="413">
        <f t="shared" si="7"/>
        <v>645830</v>
      </c>
    </row>
    <row r="19" spans="1:63" ht="21.75" x14ac:dyDescent="0.25">
      <c r="A19" s="217" cm="1">
        <f t="array" ref="A19">IFERROR(INDEX(_xlfn.ANCHORARRAY($R$6),ROW()-5,1),"")</f>
        <v>46130</v>
      </c>
      <c r="B19" s="289" t="str" cm="1">
        <f t="array" ref="B19">IFERROR(INDEX(_xlfn.ANCHORARRAY($R$6),ROW()-5,2),"")</f>
        <v>247</v>
      </c>
      <c r="C19" s="218">
        <f>IF($A19="","",IF($K19="DIESEL",SUMIFS(Table1[Quantity],Table1[Customer],$P$3,Table1[Date],$A19,Table1[Bill No.],$B19),IF($K19="PETROL",SUMIFS(Table14[Quantity],Table14[Customer],$P$3,Table14[Date],$A19,Table14[Bill No.],$B19),IF($K19="XtraGreen",SUMIFS(Table146[Quantity],Table146[Company],$P$3,Table146[Date],$A19,Table146[Bill No.],$B19),""))))</f>
        <v>3000</v>
      </c>
      <c r="D19" s="223">
        <f>IF($A19="","",IF($K19="DIESEL",AVERAGEIFS(Table1[RSP],Table1[Customer],$P$3,Table1[Date],$A19,Table1[Bill No.],$B19),IF($K19="PETROL",AVERAGEIFS(Table14[RSP],Table14[Customer],$P$3,Table14[Date],$A19,Table14[Bill No.],$B19),IF($K19="XtraGreen",AVERAGEIFS(Table146[RSP],Table146[Company],$P$3,Table146[Date],$A19,Table146[Bill No.],$B19),IFERROR($E19/$C19,"")))))</f>
        <v>91.5</v>
      </c>
      <c r="E19" s="330">
        <f>IF($A19="","",IF($K19="DIESEL",SUMIFS(Table1[Amount],Table1[Customer],$P$3,Table1[Date],$A19,Table1[Bill No.],$B19),IF($K19="PETROL",SUMIFS(Table14[Amount],Table14[Customer],$P$3,Table14[Date],$A19,Table14[Bill No.],$B19),IF($K19="XtraGreen",SUMIFS(Table146[Amount],Table146[Company],$P$3,Table146[Date],$A19,Table146[Bill No.],$B19),SUMIFS('Other Sale'!$D:$D,'Other Sale'!$E:$E,$P$3,'Other Sale'!$C:$C,$K19,'Other Sale'!$A:$A,$A19)))))</f>
        <v>274500</v>
      </c>
      <c r="F19" s="330" cm="1">
        <f t="array" ref="F19">IF($A19="","",IF($K19="Payment",IFERROR(INDEX(_xlfn._xlws.FILTER(MasterPaid[Amount Paid],(MasterPaid[Customer]=$P$3)*(MasterPaid[Date]=$A19)),COUNTIFS($A$6:$A19,$A19,$K$6:$K19,"Payment")),0),0))</f>
        <v>0</v>
      </c>
      <c r="G19" s="331" t="s">
        <v>13</v>
      </c>
      <c r="H19" s="331"/>
      <c r="I19" s="330">
        <f t="shared" si="8"/>
        <v>279830</v>
      </c>
      <c r="J19" s="275" t="s">
        <v>2574</v>
      </c>
      <c r="K19" s="289" t="str" cm="1">
        <f t="array" ref="K19">IFERROR(INDEX(_xlfn.ANCHORARRAY($R$6),ROW()-5,3),"")</f>
        <v>DIESEL</v>
      </c>
      <c r="L19" s="275"/>
      <c r="M19" s="290"/>
      <c r="O19" s="393" t="s">
        <v>2036</v>
      </c>
      <c r="P19" s="397">
        <f>SUMIFS($G$6:$G$355,$J$6:$J$355,P$15)</f>
        <v>11676</v>
      </c>
      <c r="Q19" s="397">
        <f>SUMIFS($G$6:$G$355,$J$6:$J$355,Q$15)</f>
        <v>30980</v>
      </c>
      <c r="R19">
        <v>46130</v>
      </c>
      <c r="S19" t="str">
        <v>247</v>
      </c>
      <c r="T19" t="str">
        <v>DIESEL</v>
      </c>
      <c r="V19" s="396"/>
      <c r="W19" s="350"/>
      <c r="X19" s="414" t="str">
        <f t="shared" si="0"/>
        <v/>
      </c>
      <c r="Y19" s="415" t="str">
        <f t="shared" si="1"/>
        <v/>
      </c>
      <c r="Z19" s="415" t="str">
        <f t="shared" si="2"/>
        <v/>
      </c>
      <c r="AC19" s="396"/>
      <c r="AD19" s="350"/>
      <c r="AE19" s="415" t="str">
        <f t="shared" si="3"/>
        <v/>
      </c>
      <c r="AF19" s="415" t="str">
        <f t="shared" si="4"/>
        <v/>
      </c>
      <c r="AG19" s="415" t="str">
        <f t="shared" si="5"/>
        <v/>
      </c>
      <c r="AQ19" s="409">
        <v>46245</v>
      </c>
      <c r="AR19" s="410" t="str">
        <v>2119</v>
      </c>
      <c r="AS19" s="410" t="str">
        <v>DIESEL</v>
      </c>
      <c r="AT19" s="411">
        <v>12000</v>
      </c>
      <c r="AU19" s="412">
        <v>99.5</v>
      </c>
      <c r="AV19" s="413">
        <v>1194000</v>
      </c>
      <c r="AW19" s="413">
        <v>0</v>
      </c>
      <c r="AX19" s="413" t="str">
        <v/>
      </c>
      <c r="AY19" s="413">
        <v>0</v>
      </c>
      <c r="AZ19" s="413">
        <f t="shared" si="6"/>
        <v>2388000</v>
      </c>
      <c r="BB19" s="409">
        <v>46134</v>
      </c>
      <c r="BC19" s="410" t="str">
        <v>294</v>
      </c>
      <c r="BD19" s="410" t="str">
        <v>DIESEL</v>
      </c>
      <c r="BE19" s="411">
        <v>4000</v>
      </c>
      <c r="BF19" s="412">
        <v>91.5</v>
      </c>
      <c r="BG19" s="413">
        <v>366000</v>
      </c>
      <c r="BH19" s="413">
        <v>0</v>
      </c>
      <c r="BI19" s="413">
        <v>0</v>
      </c>
      <c r="BJ19" s="413">
        <v>0</v>
      </c>
      <c r="BK19" s="413">
        <f t="shared" si="7"/>
        <v>1011830</v>
      </c>
    </row>
    <row r="20" spans="1:63" ht="21.75" x14ac:dyDescent="0.25">
      <c r="A20" s="217" cm="1">
        <f t="array" ref="A20">IFERROR(INDEX(_xlfn.ANCHORARRAY($R$6),ROW()-5,1),"")</f>
        <v>46130</v>
      </c>
      <c r="B20" s="289" t="str" cm="1">
        <f t="array" ref="B20">IFERROR(INDEX(_xlfn.ANCHORARRAY($R$6),ROW()-5,2),"")</f>
        <v>249</v>
      </c>
      <c r="C20" s="218">
        <f>IF($A20="","",IF($K20="DIESEL",SUMIFS(Table1[Quantity],Table1[Customer],$P$3,Table1[Date],$A20,Table1[Bill No.],$B20),IF($K20="PETROL",SUMIFS(Table14[Quantity],Table14[Customer],$P$3,Table14[Date],$A20,Table14[Bill No.],$B20),IF($K20="XtraGreen",SUMIFS(Table146[Quantity],Table146[Company],$P$3,Table146[Date],$A20,Table146[Bill No.],$B20),""))))</f>
        <v>4000</v>
      </c>
      <c r="D20" s="223">
        <f>IF($A20="","",IF($K20="DIESEL",AVERAGEIFS(Table1[RSP],Table1[Customer],$P$3,Table1[Date],$A20,Table1[Bill No.],$B20),IF($K20="PETROL",AVERAGEIFS(Table14[RSP],Table14[Customer],$P$3,Table14[Date],$A20,Table14[Bill No.],$B20),IF($K20="XtraGreen",AVERAGEIFS(Table146[RSP],Table146[Company],$P$3,Table146[Date],$A20,Table146[Bill No.],$B20),IFERROR($E20/$C20,"")))))</f>
        <v>91.5</v>
      </c>
      <c r="E20" s="330">
        <f>IF($A20="","",IF($K20="DIESEL",SUMIFS(Table1[Amount],Table1[Customer],$P$3,Table1[Date],$A20,Table1[Bill No.],$B20),IF($K20="PETROL",SUMIFS(Table14[Amount],Table14[Customer],$P$3,Table14[Date],$A20,Table14[Bill No.],$B20),IF($K20="XtraGreen",SUMIFS(Table146[Amount],Table146[Company],$P$3,Table146[Date],$A20,Table146[Bill No.],$B20),SUMIFS('Other Sale'!$D:$D,'Other Sale'!$E:$E,$P$3,'Other Sale'!$C:$C,$K20,'Other Sale'!$A:$A,$A20)))))</f>
        <v>366000</v>
      </c>
      <c r="F20" s="330" cm="1">
        <f t="array" ref="F20">IF($A20="","",IF($K20="Payment",IFERROR(INDEX(_xlfn._xlws.FILTER(MasterPaid[Amount Paid],(MasterPaid[Customer]=$P$3)*(MasterPaid[Date]=$A20)),COUNTIFS($A$6:$A20,$A20,$K$6:$K20,"Payment")),0),0))</f>
        <v>0</v>
      </c>
      <c r="G20" s="331" t="s">
        <v>13</v>
      </c>
      <c r="H20" s="331"/>
      <c r="I20" s="330">
        <f t="shared" si="8"/>
        <v>645830</v>
      </c>
      <c r="J20" s="275" t="s">
        <v>2575</v>
      </c>
      <c r="K20" s="289" t="str" cm="1">
        <f t="array" ref="K20">IFERROR(INDEX(_xlfn.ANCHORARRAY($R$6),ROW()-5,3),"")</f>
        <v>DIESEL</v>
      </c>
      <c r="L20" s="275"/>
      <c r="M20" s="290"/>
      <c r="O20" s="393" t="s">
        <v>2037</v>
      </c>
      <c r="P20" s="397">
        <f>SUMIFS($H$6:$H$355,$J$6:$J$355,P$15)</f>
        <v>1511</v>
      </c>
      <c r="Q20" s="397">
        <f>SUMIFS($H$6:$H$355,$J$6:$J$355,Q$15)</f>
        <v>0</v>
      </c>
      <c r="R20">
        <v>46130</v>
      </c>
      <c r="S20" t="str">
        <v>249</v>
      </c>
      <c r="T20" t="str">
        <v>DIESEL</v>
      </c>
      <c r="V20" s="396"/>
      <c r="W20" s="350"/>
      <c r="X20" s="414" t="str">
        <f t="shared" si="0"/>
        <v/>
      </c>
      <c r="Y20" s="415" t="str">
        <f t="shared" si="1"/>
        <v/>
      </c>
      <c r="Z20" s="415" t="str">
        <f t="shared" si="2"/>
        <v/>
      </c>
      <c r="AC20" s="396"/>
      <c r="AD20" s="350"/>
      <c r="AE20" s="415" t="str">
        <f t="shared" si="3"/>
        <v/>
      </c>
      <c r="AF20" s="415" t="str">
        <f t="shared" si="4"/>
        <v/>
      </c>
      <c r="AG20" s="415" t="str">
        <f t="shared" si="5"/>
        <v/>
      </c>
      <c r="AQ20" s="409">
        <v>46252</v>
      </c>
      <c r="AR20" s="410" t="str">
        <v>2238</v>
      </c>
      <c r="AS20" s="410" t="str">
        <v>DIESEL</v>
      </c>
      <c r="AT20" s="411">
        <v>12000</v>
      </c>
      <c r="AU20" s="412">
        <v>99.5</v>
      </c>
      <c r="AV20" s="413">
        <v>1194000</v>
      </c>
      <c r="AW20" s="413">
        <v>0</v>
      </c>
      <c r="AX20" s="413" t="str">
        <v/>
      </c>
      <c r="AY20" s="413">
        <v>0</v>
      </c>
      <c r="AZ20" s="413">
        <f t="shared" si="6"/>
        <v>3582000</v>
      </c>
      <c r="BB20" s="409">
        <v>46135</v>
      </c>
      <c r="BC20" s="410" t="str">
        <v>304</v>
      </c>
      <c r="BD20" s="410" t="str">
        <v>DIESEL</v>
      </c>
      <c r="BE20" s="411">
        <v>4000</v>
      </c>
      <c r="BF20" s="412">
        <v>91.5</v>
      </c>
      <c r="BG20" s="413">
        <v>366000</v>
      </c>
      <c r="BH20" s="413">
        <v>0</v>
      </c>
      <c r="BI20" s="413">
        <v>0</v>
      </c>
      <c r="BJ20" s="413">
        <v>0</v>
      </c>
      <c r="BK20" s="413">
        <f t="shared" si="7"/>
        <v>1377830</v>
      </c>
    </row>
    <row r="21" spans="1:63" ht="21.75" x14ac:dyDescent="0.25">
      <c r="A21" s="217" cm="1">
        <f t="array" ref="A21">IFERROR(INDEX(_xlfn.ANCHORARRAY($R$6),ROW()-5,1),"")</f>
        <v>46133</v>
      </c>
      <c r="B21" s="289" t="str" cm="1">
        <f t="array" ref="B21">IFERROR(INDEX(_xlfn.ANCHORARRAY($R$6),ROW()-5,2),"")</f>
        <v>282</v>
      </c>
      <c r="C21" s="218">
        <f>IF($A21="","",IF($K21="DIESEL",SUMIFS(Table1[Quantity],Table1[Customer],$P$3,Table1[Date],$A21,Table1[Bill No.],$B21),IF($K21="PETROL",SUMIFS(Table14[Quantity],Table14[Customer],$P$3,Table14[Date],$A21,Table14[Bill No.],$B21),IF($K21="XtraGreen",SUMIFS(Table146[Quantity],Table146[Company],$P$3,Table146[Date],$A21,Table146[Bill No.],$B21),""))))</f>
        <v>3000</v>
      </c>
      <c r="D21" s="223">
        <f>IF($A21="","",IF($K21="DIESEL",AVERAGEIFS(Table1[RSP],Table1[Customer],$P$3,Table1[Date],$A21,Table1[Bill No.],$B21),IF($K21="PETROL",AVERAGEIFS(Table14[RSP],Table14[Customer],$P$3,Table14[Date],$A21,Table14[Bill No.],$B21),IF($K21="XtraGreen",AVERAGEIFS(Table146[RSP],Table146[Company],$P$3,Table146[Date],$A21,Table146[Bill No.],$B21),IFERROR($E21/$C21,"")))))</f>
        <v>91.5</v>
      </c>
      <c r="E21" s="330">
        <f>IF($A21="","",IF($K21="DIESEL",SUMIFS(Table1[Amount],Table1[Customer],$P$3,Table1[Date],$A21,Table1[Bill No.],$B21),IF($K21="PETROL",SUMIFS(Table14[Amount],Table14[Customer],$P$3,Table14[Date],$A21,Table14[Bill No.],$B21),IF($K21="XtraGreen",SUMIFS(Table146[Amount],Table146[Company],$P$3,Table146[Date],$A21,Table146[Bill No.],$B21),SUMIFS('Other Sale'!$D:$D,'Other Sale'!$E:$E,$P$3,'Other Sale'!$C:$C,$K21,'Other Sale'!$A:$A,$A21)))))</f>
        <v>274500</v>
      </c>
      <c r="F21" s="330" cm="1">
        <f t="array" ref="F21">IF($A21="","",IF($K21="Payment",IFERROR(INDEX(_xlfn._xlws.FILTER(MasterPaid[Amount Paid],(MasterPaid[Customer]=$P$3)*(MasterPaid[Date]=$A21)),COUNTIFS($A$6:$A21,$A21,$K$6:$K21,"Payment")),0),0))</f>
        <v>0</v>
      </c>
      <c r="G21" s="331" t="s">
        <v>13</v>
      </c>
      <c r="H21" s="331"/>
      <c r="I21" s="330">
        <f t="shared" si="8"/>
        <v>920330</v>
      </c>
      <c r="J21" s="275" t="s">
        <v>2574</v>
      </c>
      <c r="K21" s="289" t="str" cm="1">
        <f t="array" ref="K21">IFERROR(INDEX(_xlfn.ANCHORARRAY($R$6),ROW()-5,3),"")</f>
        <v>DIESEL</v>
      </c>
      <c r="L21" s="275"/>
      <c r="M21" s="290"/>
      <c r="O21" s="394" t="s">
        <v>1182</v>
      </c>
      <c r="P21" s="398">
        <f>P16+P17-P18-P19-P20</f>
        <v>0</v>
      </c>
      <c r="Q21" s="398">
        <f>Q16+Q17-Q18-Q19-Q20</f>
        <v>5330</v>
      </c>
      <c r="R21">
        <v>46133</v>
      </c>
      <c r="S21" t="str">
        <v>282</v>
      </c>
      <c r="T21" t="str">
        <v>DIESEL</v>
      </c>
      <c r="V21" s="396"/>
      <c r="W21" s="350"/>
      <c r="X21" s="414" t="str">
        <f t="shared" si="0"/>
        <v/>
      </c>
      <c r="Y21" s="415" t="str">
        <f t="shared" si="1"/>
        <v/>
      </c>
      <c r="Z21" s="415" t="str">
        <f t="shared" si="2"/>
        <v/>
      </c>
      <c r="AC21" s="396"/>
      <c r="AD21" s="350"/>
      <c r="AE21" s="415" t="str">
        <f t="shared" si="3"/>
        <v/>
      </c>
      <c r="AF21" s="415" t="str">
        <f t="shared" si="4"/>
        <v/>
      </c>
      <c r="AG21" s="415" t="str">
        <f t="shared" si="5"/>
        <v/>
      </c>
      <c r="AQ21" s="409">
        <v>46252</v>
      </c>
      <c r="AR21" s="410" t="str">
        <v/>
      </c>
      <c r="AS21" s="410" t="str">
        <v>Payment</v>
      </c>
      <c r="AT21" s="411" t="str">
        <v/>
      </c>
      <c r="AU21" s="412" t="str">
        <v/>
      </c>
      <c r="AV21" s="413">
        <v>0</v>
      </c>
      <c r="AW21" s="413">
        <v>2385612</v>
      </c>
      <c r="AX21" s="413">
        <v>2388</v>
      </c>
      <c r="AY21" s="413">
        <v>0</v>
      </c>
      <c r="AZ21" s="413">
        <f t="shared" si="6"/>
        <v>1194000</v>
      </c>
      <c r="BB21" s="409">
        <v>46135</v>
      </c>
      <c r="BC21" s="410" t="str">
        <v/>
      </c>
      <c r="BD21" s="410" t="str">
        <v>Payment</v>
      </c>
      <c r="BE21" s="411" t="str">
        <v/>
      </c>
      <c r="BF21" s="412" t="str">
        <v/>
      </c>
      <c r="BG21" s="413">
        <v>0</v>
      </c>
      <c r="BH21" s="413">
        <v>3656340</v>
      </c>
      <c r="BI21" s="413">
        <v>3660</v>
      </c>
      <c r="BJ21" s="413">
        <v>0</v>
      </c>
      <c r="BK21" s="413">
        <f t="shared" si="7"/>
        <v>-2282170</v>
      </c>
    </row>
    <row r="22" spans="1:63" ht="21.75" x14ac:dyDescent="0.25">
      <c r="A22" s="217" cm="1">
        <f t="array" ref="A22">IFERROR(INDEX(_xlfn.ANCHORARRAY($R$6),ROW()-5,1),"")</f>
        <v>46133</v>
      </c>
      <c r="B22" s="289" t="str" cm="1">
        <f t="array" ref="B22">IFERROR(INDEX(_xlfn.ANCHORARRAY($R$6),ROW()-5,2),"")</f>
        <v>283</v>
      </c>
      <c r="C22" s="218">
        <f>IF($A22="","",IF($K22="DIESEL",SUMIFS(Table1[Quantity],Table1[Customer],$P$3,Table1[Date],$A22,Table1[Bill No.],$B22),IF($K22="PETROL",SUMIFS(Table14[Quantity],Table14[Customer],$P$3,Table14[Date],$A22,Table14[Bill No.],$B22),IF($K22="XtraGreen",SUMIFS(Table146[Quantity],Table146[Company],$P$3,Table146[Date],$A22,Table146[Bill No.],$B22),""))))</f>
        <v>3000</v>
      </c>
      <c r="D22" s="223">
        <f>IF($A22="","",IF($K22="DIESEL",AVERAGEIFS(Table1[RSP],Table1[Customer],$P$3,Table1[Date],$A22,Table1[Bill No.],$B22),IF($K22="PETROL",AVERAGEIFS(Table14[RSP],Table14[Customer],$P$3,Table14[Date],$A22,Table14[Bill No.],$B22),IF($K22="XtraGreen",AVERAGEIFS(Table146[RSP],Table146[Company],$P$3,Table146[Date],$A22,Table146[Bill No.],$B22),IFERROR($E22/$C22,"")))))</f>
        <v>91.5</v>
      </c>
      <c r="E22" s="330">
        <f>IF($A22="","",IF($K22="DIESEL",SUMIFS(Table1[Amount],Table1[Customer],$P$3,Table1[Date],$A22,Table1[Bill No.],$B22),IF($K22="PETROL",SUMIFS(Table14[Amount],Table14[Customer],$P$3,Table14[Date],$A22,Table14[Bill No.],$B22),IF($K22="XtraGreen",SUMIFS(Table146[Amount],Table146[Company],$P$3,Table146[Date],$A22,Table146[Bill No.],$B22),SUMIFS('Other Sale'!$D:$D,'Other Sale'!$E:$E,$P$3,'Other Sale'!$C:$C,$K22,'Other Sale'!$A:$A,$A22)))))</f>
        <v>274500</v>
      </c>
      <c r="F22" s="330" cm="1">
        <f t="array" ref="F22">IF($A22="","",IF($K22="Payment",IFERROR(INDEX(_xlfn._xlws.FILTER(MasterPaid[Amount Paid],(MasterPaid[Customer]=$P$3)*(MasterPaid[Date]=$A22)),COUNTIFS($A$6:$A22,$A22,$K$6:$K22,"Payment")),0),0))</f>
        <v>0</v>
      </c>
      <c r="G22" s="331" t="s">
        <v>13</v>
      </c>
      <c r="H22" s="331"/>
      <c r="I22" s="330">
        <f t="shared" si="8"/>
        <v>1194830</v>
      </c>
      <c r="J22" s="275" t="s">
        <v>2575</v>
      </c>
      <c r="K22" s="289" t="str" cm="1">
        <f t="array" ref="K22">IFERROR(INDEX(_xlfn.ANCHORARRAY($R$6),ROW()-5,3),"")</f>
        <v>DIESEL</v>
      </c>
      <c r="L22" s="275"/>
      <c r="M22" s="290"/>
      <c r="O22" s="393" t="s">
        <v>2576</v>
      </c>
      <c r="P22" s="392">
        <f>P12-P21-Q21</f>
        <v>0</v>
      </c>
      <c r="Q22" s="292"/>
      <c r="R22">
        <v>46133</v>
      </c>
      <c r="S22" t="str">
        <v>283</v>
      </c>
      <c r="T22" t="str">
        <v>DIESEL</v>
      </c>
      <c r="V22" s="396"/>
      <c r="W22" s="350"/>
      <c r="X22" s="414" t="str">
        <f t="shared" si="0"/>
        <v/>
      </c>
      <c r="Y22" s="415" t="str">
        <f t="shared" si="1"/>
        <v/>
      </c>
      <c r="Z22" s="415" t="str">
        <f t="shared" si="2"/>
        <v/>
      </c>
      <c r="AC22" s="396"/>
      <c r="AD22" s="350"/>
      <c r="AE22" s="415" t="str">
        <f t="shared" si="3"/>
        <v/>
      </c>
      <c r="AF22" s="415" t="str">
        <f t="shared" si="4"/>
        <v/>
      </c>
      <c r="AG22" s="415" t="str">
        <f t="shared" si="5"/>
        <v/>
      </c>
      <c r="AQ22" s="409">
        <v>46253</v>
      </c>
      <c r="AR22" s="410" t="str">
        <v/>
      </c>
      <c r="AS22" s="410" t="str">
        <v>Payment</v>
      </c>
      <c r="AT22" s="411" t="str">
        <v/>
      </c>
      <c r="AU22" s="412" t="str">
        <v/>
      </c>
      <c r="AV22" s="413">
        <v>0</v>
      </c>
      <c r="AW22" s="413">
        <v>1192806</v>
      </c>
      <c r="AX22" s="413">
        <v>1194</v>
      </c>
      <c r="AY22" s="413">
        <v>0</v>
      </c>
      <c r="AZ22" s="413">
        <f t="shared" si="6"/>
        <v>0</v>
      </c>
      <c r="BB22" s="409">
        <v>46136</v>
      </c>
      <c r="BC22" s="410" t="str">
        <v>318</v>
      </c>
      <c r="BD22" s="410" t="str">
        <v>DIESEL</v>
      </c>
      <c r="BE22" s="411">
        <v>4000</v>
      </c>
      <c r="BF22" s="412">
        <v>91.5</v>
      </c>
      <c r="BG22" s="413">
        <v>366000</v>
      </c>
      <c r="BH22" s="413">
        <v>0</v>
      </c>
      <c r="BI22" s="413" t="str">
        <v/>
      </c>
      <c r="BJ22" s="413">
        <v>0</v>
      </c>
      <c r="BK22" s="413">
        <f t="shared" si="7"/>
        <v>-1916170</v>
      </c>
    </row>
    <row r="23" spans="1:63" ht="21.75" x14ac:dyDescent="0.25">
      <c r="A23" s="217" cm="1">
        <f t="array" ref="A23">IFERROR(INDEX(_xlfn.ANCHORARRAY($R$6),ROW()-5,1),"")</f>
        <v>46134</v>
      </c>
      <c r="B23" s="289" t="str" cm="1">
        <f t="array" ref="B23">IFERROR(INDEX(_xlfn.ANCHORARRAY($R$6),ROW()-5,2),"")</f>
        <v>294</v>
      </c>
      <c r="C23" s="218">
        <f>IF($A23="","",IF($K23="DIESEL",SUMIFS(Table1[Quantity],Table1[Customer],$P$3,Table1[Date],$A23,Table1[Bill No.],$B23),IF($K23="PETROL",SUMIFS(Table14[Quantity],Table14[Customer],$P$3,Table14[Date],$A23,Table14[Bill No.],$B23),IF($K23="XtraGreen",SUMIFS(Table146[Quantity],Table146[Company],$P$3,Table146[Date],$A23,Table146[Bill No.],$B23),""))))</f>
        <v>4000</v>
      </c>
      <c r="D23" s="223">
        <f>IF($A23="","",IF($K23="DIESEL",AVERAGEIFS(Table1[RSP],Table1[Customer],$P$3,Table1[Date],$A23,Table1[Bill No.],$B23),IF($K23="PETROL",AVERAGEIFS(Table14[RSP],Table14[Customer],$P$3,Table14[Date],$A23,Table14[Bill No.],$B23),IF($K23="XtraGreen",AVERAGEIFS(Table146[RSP],Table146[Company],$P$3,Table146[Date],$A23,Table146[Bill No.],$B23),IFERROR($E23/$C23,"")))))</f>
        <v>91.5</v>
      </c>
      <c r="E23" s="330">
        <f>IF($A23="","",IF($K23="DIESEL",SUMIFS(Table1[Amount],Table1[Customer],$P$3,Table1[Date],$A23,Table1[Bill No.],$B23),IF($K23="PETROL",SUMIFS(Table14[Amount],Table14[Customer],$P$3,Table14[Date],$A23,Table14[Bill No.],$B23),IF($K23="XtraGreen",SUMIFS(Table146[Amount],Table146[Company],$P$3,Table146[Date],$A23,Table146[Bill No.],$B23),SUMIFS('Other Sale'!$D:$D,'Other Sale'!$E:$E,$P$3,'Other Sale'!$C:$C,$K23,'Other Sale'!$A:$A,$A23)))))</f>
        <v>366000</v>
      </c>
      <c r="F23" s="330" cm="1">
        <f t="array" ref="F23">IF($A23="","",IF($K23="Payment",IFERROR(INDEX(_xlfn._xlws.FILTER(MasterPaid[Amount Paid],(MasterPaid[Customer]=$P$3)*(MasterPaid[Date]=$A23)),COUNTIFS($A$6:$A23,$A23,$K$6:$K23,"Payment")),0),0))</f>
        <v>0</v>
      </c>
      <c r="G23" s="331"/>
      <c r="H23" s="331"/>
      <c r="I23" s="330">
        <f t="shared" si="8"/>
        <v>1560830</v>
      </c>
      <c r="J23" s="275" t="s">
        <v>2575</v>
      </c>
      <c r="K23" s="289" t="str" cm="1">
        <f t="array" ref="K23">IFERROR(INDEX(_xlfn.ANCHORARRAY($R$6),ROW()-5,3),"")</f>
        <v>DIESEL</v>
      </c>
      <c r="L23" s="275"/>
      <c r="M23" s="290"/>
      <c r="R23">
        <v>46134</v>
      </c>
      <c r="S23" t="str">
        <v>294</v>
      </c>
      <c r="T23" t="str">
        <v>DIESEL</v>
      </c>
      <c r="V23" s="396"/>
      <c r="W23" s="350"/>
      <c r="X23" s="414" t="str">
        <f t="shared" si="0"/>
        <v/>
      </c>
      <c r="Y23" s="415" t="str">
        <f t="shared" si="1"/>
        <v/>
      </c>
      <c r="Z23" s="415" t="str">
        <f t="shared" si="2"/>
        <v/>
      </c>
      <c r="AC23" s="396"/>
      <c r="AD23" s="350"/>
      <c r="AE23" s="415" t="str">
        <f t="shared" si="3"/>
        <v/>
      </c>
      <c r="AF23" s="415" t="str">
        <f t="shared" si="4"/>
        <v/>
      </c>
      <c r="AG23" s="415" t="str">
        <f t="shared" si="5"/>
        <v/>
      </c>
      <c r="AQ23" s="409">
        <v>46260</v>
      </c>
      <c r="AR23" s="410" t="str">
        <v>2380</v>
      </c>
      <c r="AS23" s="410" t="str">
        <v>DIESEL</v>
      </c>
      <c r="AT23" s="411">
        <v>12000</v>
      </c>
      <c r="AU23" s="412">
        <v>99.5</v>
      </c>
      <c r="AV23" s="413">
        <v>1194000</v>
      </c>
      <c r="AW23" s="413">
        <v>0</v>
      </c>
      <c r="AX23" s="413" t="str">
        <v/>
      </c>
      <c r="AY23" s="413">
        <v>0</v>
      </c>
      <c r="AZ23" s="413">
        <f t="shared" si="6"/>
        <v>1194000</v>
      </c>
      <c r="BB23" s="409">
        <v>46139</v>
      </c>
      <c r="BC23" s="410" t="str">
        <v>335</v>
      </c>
      <c r="BD23" s="410" t="str">
        <v>DIESEL</v>
      </c>
      <c r="BE23" s="411">
        <v>3000</v>
      </c>
      <c r="BF23" s="412">
        <v>91.5</v>
      </c>
      <c r="BG23" s="413">
        <v>274500</v>
      </c>
      <c r="BH23" s="413">
        <v>0</v>
      </c>
      <c r="BI23" s="413" t="str">
        <v/>
      </c>
      <c r="BJ23" s="413">
        <v>0</v>
      </c>
      <c r="BK23" s="413">
        <f t="shared" si="7"/>
        <v>-1641670</v>
      </c>
    </row>
    <row r="24" spans="1:63" ht="21.75" x14ac:dyDescent="0.25">
      <c r="A24" s="217" cm="1">
        <f t="array" ref="A24">IFERROR(INDEX(_xlfn.ANCHORARRAY($R$6),ROW()-5,1),"")</f>
        <v>46134</v>
      </c>
      <c r="B24" s="289" t="str" cm="1">
        <f t="array" ref="B24">IFERROR(INDEX(_xlfn.ANCHORARRAY($R$6),ROW()-5,2),"")</f>
        <v/>
      </c>
      <c r="C24" s="218" t="str">
        <f>IF($A24="","",IF($K24="DIESEL",SUMIFS(Table1[Quantity],Table1[Customer],$P$3,Table1[Date],$A24,Table1[Bill No.],$B24),IF($K24="PETROL",SUMIFS(Table14[Quantity],Table14[Customer],$P$3,Table14[Date],$A24,Table14[Bill No.],$B24),IF($K24="XtraGreen",SUMIFS(Table146[Quantity],Table146[Company],$P$3,Table146[Date],$A24,Table146[Bill No.],$B24),""))))</f>
        <v/>
      </c>
      <c r="D24" s="223" t="str">
        <f>IF($A24="","",IF($K24="DIESEL",AVERAGEIFS(Table1[RSP],Table1[Customer],$P$3,Table1[Date],$A24,Table1[Bill No.],$B24),IF($K24="PETROL",AVERAGEIFS(Table14[RSP],Table14[Customer],$P$3,Table14[Date],$A24,Table14[Bill No.],$B24),IF($K24="XtraGreen",AVERAGEIFS(Table146[RSP],Table146[Company],$P$3,Table146[Date],$A24,Table146[Bill No.],$B24),IFERROR($E24/$C24,"")))))</f>
        <v/>
      </c>
      <c r="E24" s="330">
        <f>IF($A24="","",IF($K24="DIESEL",SUMIFS(Table1[Amount],Table1[Customer],$P$3,Table1[Date],$A24,Table1[Bill No.],$B24),IF($K24="PETROL",SUMIFS(Table14[Amount],Table14[Customer],$P$3,Table14[Date],$A24,Table14[Bill No.],$B24),IF($K24="XtraGreen",SUMIFS(Table146[Amount],Table146[Company],$P$3,Table146[Date],$A24,Table146[Bill No.],$B24),SUMIFS('Other Sale'!$D:$D,'Other Sale'!$E:$E,$P$3,'Other Sale'!$C:$C,$K24,'Other Sale'!$A:$A,$A24)))))</f>
        <v>0</v>
      </c>
      <c r="F24" s="330" cm="1">
        <f t="array" ref="F24">IF($A24="","",IF($K24="Payment",IFERROR(INDEX(_xlfn._xlws.FILTER(MasterPaid[Amount Paid],(MasterPaid[Customer]=$P$3)*(MasterPaid[Date]=$A24)),COUNTIFS($A$6:$A24,$A24,$K$6:$K24,"Payment")),0),0))</f>
        <v>1096902</v>
      </c>
      <c r="G24" s="331">
        <v>1098</v>
      </c>
      <c r="H24" s="331"/>
      <c r="I24" s="330">
        <f t="shared" si="8"/>
        <v>462830</v>
      </c>
      <c r="J24" s="275" t="s">
        <v>2574</v>
      </c>
      <c r="K24" s="289" t="str" cm="1">
        <f t="array" ref="K24">IFERROR(INDEX(_xlfn.ANCHORARRAY($R$6),ROW()-5,3),"")</f>
        <v>Payment</v>
      </c>
      <c r="L24" s="275"/>
      <c r="M24" s="290"/>
      <c r="R24">
        <v>46134</v>
      </c>
      <c r="S24" t="str">
        <v/>
      </c>
      <c r="T24" t="str">
        <v>Payment</v>
      </c>
      <c r="V24" s="396"/>
      <c r="W24" s="350"/>
      <c r="X24" s="414" t="str">
        <f t="shared" si="0"/>
        <v/>
      </c>
      <c r="Y24" s="415" t="str">
        <f t="shared" si="1"/>
        <v/>
      </c>
      <c r="Z24" s="415" t="str">
        <f t="shared" si="2"/>
        <v/>
      </c>
      <c r="AC24" s="396"/>
      <c r="AD24" s="350"/>
      <c r="AE24" s="415" t="str">
        <f t="shared" si="3"/>
        <v/>
      </c>
      <c r="AF24" s="415" t="str">
        <f t="shared" si="4"/>
        <v/>
      </c>
      <c r="AG24" s="415" t="str">
        <f t="shared" si="5"/>
        <v/>
      </c>
      <c r="AQ24" s="409">
        <v>46262</v>
      </c>
      <c r="AR24" s="410" t="str">
        <v/>
      </c>
      <c r="AS24" s="410" t="str">
        <v>Payment</v>
      </c>
      <c r="AT24" s="411" t="str">
        <v/>
      </c>
      <c r="AU24" s="412" t="str">
        <v/>
      </c>
      <c r="AV24" s="413">
        <v>0</v>
      </c>
      <c r="AW24" s="413">
        <v>1192806</v>
      </c>
      <c r="AX24" s="413">
        <v>1194</v>
      </c>
      <c r="AY24" s="413">
        <v>0</v>
      </c>
      <c r="AZ24" s="413">
        <f t="shared" si="6"/>
        <v>0</v>
      </c>
      <c r="BB24" s="409">
        <v>46144</v>
      </c>
      <c r="BC24" s="410" t="str">
        <v>389</v>
      </c>
      <c r="BD24" s="410" t="str">
        <v>DIESEL</v>
      </c>
      <c r="BE24" s="411">
        <v>4000</v>
      </c>
      <c r="BF24" s="412">
        <v>92.74</v>
      </c>
      <c r="BG24" s="413">
        <v>370960</v>
      </c>
      <c r="BH24" s="413">
        <v>0</v>
      </c>
      <c r="BI24" s="413" t="str">
        <v/>
      </c>
      <c r="BJ24" s="413">
        <v>0</v>
      </c>
      <c r="BK24" s="413">
        <f t="shared" si="7"/>
        <v>-1270710</v>
      </c>
    </row>
    <row r="25" spans="1:63" ht="21.75" x14ac:dyDescent="0.25">
      <c r="A25" s="217" cm="1">
        <f t="array" ref="A25">IFERROR(INDEX(_xlfn.ANCHORARRAY($R$6),ROW()-5,1),"")</f>
        <v>46135</v>
      </c>
      <c r="B25" s="289" t="str" cm="1">
        <f t="array" ref="B25">IFERROR(INDEX(_xlfn.ANCHORARRAY($R$6),ROW()-5,2),"")</f>
        <v>301</v>
      </c>
      <c r="C25" s="218">
        <f>IF($A25="","",IF($K25="DIESEL",SUMIFS(Table1[Quantity],Table1[Customer],$P$3,Table1[Date],$A25,Table1[Bill No.],$B25),IF($K25="PETROL",SUMIFS(Table14[Quantity],Table14[Customer],$P$3,Table14[Date],$A25,Table14[Bill No.],$B25),IF($K25="XtraGreen",SUMIFS(Table146[Quantity],Table146[Company],$P$3,Table146[Date],$A25,Table146[Bill No.],$B25),""))))</f>
        <v>3000</v>
      </c>
      <c r="D25" s="223">
        <f>IF($A25="","",IF($K25="DIESEL",AVERAGEIFS(Table1[RSP],Table1[Customer],$P$3,Table1[Date],$A25,Table1[Bill No.],$B25),IF($K25="PETROL",AVERAGEIFS(Table14[RSP],Table14[Customer],$P$3,Table14[Date],$A25,Table14[Bill No.],$B25),IF($K25="XtraGreen",AVERAGEIFS(Table146[RSP],Table146[Company],$P$3,Table146[Date],$A25,Table146[Bill No.],$B25),IFERROR($E25/$C25,"")))))</f>
        <v>91.5</v>
      </c>
      <c r="E25" s="330">
        <f>IF($A25="","",IF($K25="DIESEL",SUMIFS(Table1[Amount],Table1[Customer],$P$3,Table1[Date],$A25,Table1[Bill No.],$B25),IF($K25="PETROL",SUMIFS(Table14[Amount],Table14[Customer],$P$3,Table14[Date],$A25,Table14[Bill No.],$B25),IF($K25="XtraGreen",SUMIFS(Table146[Amount],Table146[Company],$P$3,Table146[Date],$A25,Table146[Bill No.],$B25),SUMIFS('Other Sale'!$D:$D,'Other Sale'!$E:$E,$P$3,'Other Sale'!$C:$C,$K25,'Other Sale'!$A:$A,$A25)))))</f>
        <v>274500</v>
      </c>
      <c r="F25" s="330" cm="1">
        <f t="array" ref="F25">IF($A25="","",IF($K25="Payment",IFERROR(INDEX(_xlfn._xlws.FILTER(MasterPaid[Amount Paid],(MasterPaid[Customer]=$P$3)*(MasterPaid[Date]=$A25)),COUNTIFS($A$6:$A25,$A25,$K$6:$K25,"Payment")),0),0))</f>
        <v>0</v>
      </c>
      <c r="G25" s="331" t="s">
        <v>13</v>
      </c>
      <c r="H25" s="331"/>
      <c r="I25" s="330">
        <f t="shared" si="8"/>
        <v>737330</v>
      </c>
      <c r="J25" s="275" t="s">
        <v>2574</v>
      </c>
      <c r="K25" s="289" t="str" cm="1">
        <f t="array" ref="K25">IFERROR(INDEX(_xlfn.ANCHORARRAY($R$6),ROW()-5,3),"")</f>
        <v>DIESEL</v>
      </c>
      <c r="L25" s="275"/>
      <c r="M25" s="290"/>
      <c r="R25">
        <v>46135</v>
      </c>
      <c r="S25" t="str">
        <v>301</v>
      </c>
      <c r="T25" t="str">
        <v>DIESEL</v>
      </c>
      <c r="V25" s="396"/>
      <c r="W25" s="350"/>
      <c r="X25" s="414" t="str">
        <f t="shared" si="0"/>
        <v/>
      </c>
      <c r="Y25" s="415" t="str">
        <f t="shared" si="1"/>
        <v/>
      </c>
      <c r="Z25" s="415" t="str">
        <f t="shared" si="2"/>
        <v/>
      </c>
      <c r="AC25" s="396"/>
      <c r="AD25" s="350"/>
      <c r="AE25" s="415" t="str">
        <f t="shared" si="3"/>
        <v/>
      </c>
      <c r="AF25" s="415" t="str">
        <f t="shared" si="4"/>
        <v/>
      </c>
      <c r="AG25" s="415" t="str">
        <f t="shared" si="5"/>
        <v/>
      </c>
      <c r="AQ25" s="409"/>
      <c r="AR25" s="410"/>
      <c r="AS25" s="410"/>
      <c r="AT25" s="411"/>
      <c r="AU25" s="412"/>
      <c r="AV25" s="413"/>
      <c r="AW25" s="413"/>
      <c r="AX25" s="413"/>
      <c r="AY25" s="413"/>
      <c r="AZ25" s="413" t="str">
        <f t="shared" si="6"/>
        <v/>
      </c>
      <c r="BB25" s="409">
        <v>46146</v>
      </c>
      <c r="BC25" s="410" t="str">
        <v>411</v>
      </c>
      <c r="BD25" s="410" t="str">
        <v>DIESEL</v>
      </c>
      <c r="BE25" s="411">
        <v>4000</v>
      </c>
      <c r="BF25" s="412">
        <v>92.74</v>
      </c>
      <c r="BG25" s="413">
        <v>370960</v>
      </c>
      <c r="BH25" s="413">
        <v>0</v>
      </c>
      <c r="BI25" s="413" t="str">
        <v/>
      </c>
      <c r="BJ25" s="413">
        <v>0</v>
      </c>
      <c r="BK25" s="413">
        <f t="shared" si="7"/>
        <v>-899750</v>
      </c>
    </row>
    <row r="26" spans="1:63" ht="21.75" x14ac:dyDescent="0.25">
      <c r="A26" s="217" cm="1">
        <f t="array" ref="A26">IFERROR(INDEX(_xlfn.ANCHORARRAY($R$6),ROW()-5,1),"")</f>
        <v>46135</v>
      </c>
      <c r="B26" s="289" t="str" cm="1">
        <f t="array" ref="B26">IFERROR(INDEX(_xlfn.ANCHORARRAY($R$6),ROW()-5,2),"")</f>
        <v>304</v>
      </c>
      <c r="C26" s="218">
        <f>IF($A26="","",IF($K26="DIESEL",SUMIFS(Table1[Quantity],Table1[Customer],$P$3,Table1[Date],$A26,Table1[Bill No.],$B26),IF($K26="PETROL",SUMIFS(Table14[Quantity],Table14[Customer],$P$3,Table14[Date],$A26,Table14[Bill No.],$B26),IF($K26="XtraGreen",SUMIFS(Table146[Quantity],Table146[Company],$P$3,Table146[Date],$A26,Table146[Bill No.],$B26),""))))</f>
        <v>4000</v>
      </c>
      <c r="D26" s="223">
        <f>IF($A26="","",IF($K26="DIESEL",AVERAGEIFS(Table1[RSP],Table1[Customer],$P$3,Table1[Date],$A26,Table1[Bill No.],$B26),IF($K26="PETROL",AVERAGEIFS(Table14[RSP],Table14[Customer],$P$3,Table14[Date],$A26,Table14[Bill No.],$B26),IF($K26="XtraGreen",AVERAGEIFS(Table146[RSP],Table146[Company],$P$3,Table146[Date],$A26,Table146[Bill No.],$B26),IFERROR($E26/$C26,"")))))</f>
        <v>91.5</v>
      </c>
      <c r="E26" s="330">
        <f>IF($A26="","",IF($K26="DIESEL",SUMIFS(Table1[Amount],Table1[Customer],$P$3,Table1[Date],$A26,Table1[Bill No.],$B26),IF($K26="PETROL",SUMIFS(Table14[Amount],Table14[Customer],$P$3,Table14[Date],$A26,Table14[Bill No.],$B26),IF($K26="XtraGreen",SUMIFS(Table146[Amount],Table146[Company],$P$3,Table146[Date],$A26,Table146[Bill No.],$B26),SUMIFS('Other Sale'!$D:$D,'Other Sale'!$E:$E,$P$3,'Other Sale'!$C:$C,$K26,'Other Sale'!$A:$A,$A26)))))</f>
        <v>366000</v>
      </c>
      <c r="F26" s="330" cm="1">
        <f t="array" ref="F26">IF($A26="","",IF($K26="Payment",IFERROR(INDEX(_xlfn._xlws.FILTER(MasterPaid[Amount Paid],(MasterPaid[Customer]=$P$3)*(MasterPaid[Date]=$A26)),COUNTIFS($A$6:$A26,$A26,$K$6:$K26,"Payment")),0),0))</f>
        <v>0</v>
      </c>
      <c r="G26" s="331"/>
      <c r="H26" s="331"/>
      <c r="I26" s="330">
        <f t="shared" si="8"/>
        <v>1103330</v>
      </c>
      <c r="J26" s="275" t="s">
        <v>2575</v>
      </c>
      <c r="K26" s="289" t="str" cm="1">
        <f t="array" ref="K26">IFERROR(INDEX(_xlfn.ANCHORARRAY($R$6),ROW()-5,3),"")</f>
        <v>DIESEL</v>
      </c>
      <c r="L26" s="275"/>
      <c r="M26" s="290"/>
      <c r="R26">
        <v>46135</v>
      </c>
      <c r="S26" t="str">
        <v>304</v>
      </c>
      <c r="T26" t="str">
        <v>DIESEL</v>
      </c>
      <c r="V26" s="396"/>
      <c r="W26" s="350"/>
      <c r="X26" s="414" t="str">
        <f t="shared" si="0"/>
        <v/>
      </c>
      <c r="Y26" s="415" t="str">
        <f t="shared" si="1"/>
        <v/>
      </c>
      <c r="Z26" s="415" t="str">
        <f t="shared" si="2"/>
        <v/>
      </c>
      <c r="AC26" s="396"/>
      <c r="AD26" s="350"/>
      <c r="AE26" s="415" t="str">
        <f t="shared" si="3"/>
        <v/>
      </c>
      <c r="AF26" s="415" t="str">
        <f t="shared" si="4"/>
        <v/>
      </c>
      <c r="AG26" s="415" t="str">
        <f t="shared" si="5"/>
        <v/>
      </c>
      <c r="AQ26" s="409"/>
      <c r="AR26" s="410"/>
      <c r="AS26" s="410"/>
      <c r="AT26" s="411"/>
      <c r="AU26" s="412"/>
      <c r="AV26" s="413"/>
      <c r="AW26" s="413"/>
      <c r="AX26" s="413"/>
      <c r="AY26" s="413"/>
      <c r="AZ26" s="413" t="str">
        <f t="shared" si="6"/>
        <v/>
      </c>
      <c r="BB26" s="409">
        <v>46147</v>
      </c>
      <c r="BC26" s="410" t="str">
        <v>420</v>
      </c>
      <c r="BD26" s="410" t="str">
        <v>DIESEL</v>
      </c>
      <c r="BE26" s="411">
        <v>4000</v>
      </c>
      <c r="BF26" s="412">
        <v>92.74</v>
      </c>
      <c r="BG26" s="413">
        <v>370960</v>
      </c>
      <c r="BH26" s="413">
        <v>0</v>
      </c>
      <c r="BI26" s="413" t="str">
        <v/>
      </c>
      <c r="BJ26" s="413">
        <v>0</v>
      </c>
      <c r="BK26" s="413">
        <f t="shared" si="7"/>
        <v>-528790</v>
      </c>
    </row>
    <row r="27" spans="1:63" ht="21.75" x14ac:dyDescent="0.25">
      <c r="A27" s="217" cm="1">
        <f t="array" ref="A27">IFERROR(INDEX(_xlfn.ANCHORARRAY($R$6),ROW()-5,1),"")</f>
        <v>46135</v>
      </c>
      <c r="B27" s="289" t="str" cm="1">
        <f t="array" ref="B27">IFERROR(INDEX(_xlfn.ANCHORARRAY($R$6),ROW()-5,2),"")</f>
        <v/>
      </c>
      <c r="C27" s="218" t="str">
        <f>IF($A27="","",IF($K27="DIESEL",SUMIFS(Table1[Quantity],Table1[Customer],$P$3,Table1[Date],$A27,Table1[Bill No.],$B27),IF($K27="PETROL",SUMIFS(Table14[Quantity],Table14[Customer],$P$3,Table14[Date],$A27,Table14[Bill No.],$B27),IF($K27="XtraGreen",SUMIFS(Table146[Quantity],Table146[Company],$P$3,Table146[Date],$A27,Table146[Bill No.],$B27),""))))</f>
        <v/>
      </c>
      <c r="D27" s="223" t="str">
        <f>IF($A27="","",IF($K27="DIESEL",AVERAGEIFS(Table1[RSP],Table1[Customer],$P$3,Table1[Date],$A27,Table1[Bill No.],$B27),IF($K27="PETROL",AVERAGEIFS(Table14[RSP],Table14[Customer],$P$3,Table14[Date],$A27,Table14[Bill No.],$B27),IF($K27="XtraGreen",AVERAGEIFS(Table146[RSP],Table146[Company],$P$3,Table146[Date],$A27,Table146[Bill No.],$B27),IFERROR($E27/$C27,"")))))</f>
        <v/>
      </c>
      <c r="E27" s="330">
        <f>IF($A27="","",IF($K27="DIESEL",SUMIFS(Table1[Amount],Table1[Customer],$P$3,Table1[Date],$A27,Table1[Bill No.],$B27),IF($K27="PETROL",SUMIFS(Table14[Amount],Table14[Customer],$P$3,Table14[Date],$A27,Table14[Bill No.],$B27),IF($K27="XtraGreen",SUMIFS(Table146[Amount],Table146[Company],$P$3,Table146[Date],$A27,Table146[Bill No.],$B27),SUMIFS('Other Sale'!$D:$D,'Other Sale'!$E:$E,$P$3,'Other Sale'!$C:$C,$K27,'Other Sale'!$A:$A,$A27)))))</f>
        <v>0</v>
      </c>
      <c r="F27" s="330" cm="1">
        <f t="array" ref="F27">IF($A27="","",IF($K27="Payment",IFERROR(INDEX(_xlfn._xlws.FILTER(MasterPaid[Amount Paid],(MasterPaid[Customer]=$P$3)*(MasterPaid[Date]=$A27)),COUNTIFS($A$6:$A27,$A27,$K$6:$K27,"Payment")),0),0))</f>
        <v>3656340</v>
      </c>
      <c r="G27" s="331">
        <v>3660</v>
      </c>
      <c r="H27" s="331"/>
      <c r="I27" s="330">
        <f t="shared" si="8"/>
        <v>-2556670</v>
      </c>
      <c r="J27" s="275" t="s">
        <v>2575</v>
      </c>
      <c r="K27" s="289" t="str" cm="1">
        <f t="array" ref="K27">IFERROR(INDEX(_xlfn.ANCHORARRAY($R$6),ROW()-5,3),"")</f>
        <v>Payment</v>
      </c>
      <c r="L27" s="275"/>
      <c r="M27" s="290"/>
      <c r="R27">
        <v>46135</v>
      </c>
      <c r="S27" t="str">
        <v/>
      </c>
      <c r="T27" t="str">
        <v>Payment</v>
      </c>
      <c r="V27" s="396"/>
      <c r="W27" s="350"/>
      <c r="X27" s="414" t="str">
        <f t="shared" si="0"/>
        <v/>
      </c>
      <c r="Y27" s="415" t="str">
        <f t="shared" si="1"/>
        <v/>
      </c>
      <c r="Z27" s="415" t="str">
        <f t="shared" si="2"/>
        <v/>
      </c>
      <c r="AC27" s="396"/>
      <c r="AD27" s="350"/>
      <c r="AE27" s="415" t="str">
        <f t="shared" si="3"/>
        <v/>
      </c>
      <c r="AF27" s="415" t="str">
        <f t="shared" si="4"/>
        <v/>
      </c>
      <c r="AG27" s="415" t="str">
        <f t="shared" si="5"/>
        <v/>
      </c>
      <c r="AQ27" s="409"/>
      <c r="AR27" s="410"/>
      <c r="AS27" s="410"/>
      <c r="AT27" s="411"/>
      <c r="AU27" s="412"/>
      <c r="AV27" s="413"/>
      <c r="AW27" s="413"/>
      <c r="AX27" s="413"/>
      <c r="AY27" s="413"/>
      <c r="AZ27" s="413" t="str">
        <f t="shared" si="6"/>
        <v/>
      </c>
      <c r="BB27" s="409">
        <v>46148</v>
      </c>
      <c r="BC27" s="410" t="str">
        <v>434</v>
      </c>
      <c r="BD27" s="410" t="str">
        <v>DIESEL</v>
      </c>
      <c r="BE27" s="411">
        <v>3000</v>
      </c>
      <c r="BF27" s="412">
        <v>92.74</v>
      </c>
      <c r="BG27" s="413">
        <v>278220</v>
      </c>
      <c r="BH27" s="413">
        <v>0</v>
      </c>
      <c r="BI27" s="413" t="str">
        <v/>
      </c>
      <c r="BJ27" s="413">
        <v>0</v>
      </c>
      <c r="BK27" s="413">
        <f t="shared" si="7"/>
        <v>-250570</v>
      </c>
    </row>
    <row r="28" spans="1:63" ht="21.75" x14ac:dyDescent="0.25">
      <c r="A28" s="217" cm="1">
        <f t="array" ref="A28">IFERROR(INDEX(_xlfn.ANCHORARRAY($R$6),ROW()-5,1),"")</f>
        <v>46136</v>
      </c>
      <c r="B28" s="289" t="str" cm="1">
        <f t="array" ref="B28">IFERROR(INDEX(_xlfn.ANCHORARRAY($R$6),ROW()-5,2),"")</f>
        <v>318</v>
      </c>
      <c r="C28" s="218">
        <f>IF($A28="","",IF($K28="DIESEL",SUMIFS(Table1[Quantity],Table1[Customer],$P$3,Table1[Date],$A28,Table1[Bill No.],$B28),IF($K28="PETROL",SUMIFS(Table14[Quantity],Table14[Customer],$P$3,Table14[Date],$A28,Table14[Bill No.],$B28),IF($K28="XtraGreen",SUMIFS(Table146[Quantity],Table146[Company],$P$3,Table146[Date],$A28,Table146[Bill No.],$B28),""))))</f>
        <v>4000</v>
      </c>
      <c r="D28" s="223">
        <f>IF($A28="","",IF($K28="DIESEL",AVERAGEIFS(Table1[RSP],Table1[Customer],$P$3,Table1[Date],$A28,Table1[Bill No.],$B28),IF($K28="PETROL",AVERAGEIFS(Table14[RSP],Table14[Customer],$P$3,Table14[Date],$A28,Table14[Bill No.],$B28),IF($K28="XtraGreen",AVERAGEIFS(Table146[RSP],Table146[Company],$P$3,Table146[Date],$A28,Table146[Bill No.],$B28),IFERROR($E28/$C28,"")))))</f>
        <v>91.5</v>
      </c>
      <c r="E28" s="330">
        <f>IF($A28="","",IF($K28="DIESEL",SUMIFS(Table1[Amount],Table1[Customer],$P$3,Table1[Date],$A28,Table1[Bill No.],$B28),IF($K28="PETROL",SUMIFS(Table14[Amount],Table14[Customer],$P$3,Table14[Date],$A28,Table14[Bill No.],$B28),IF($K28="XtraGreen",SUMIFS(Table146[Amount],Table146[Company],$P$3,Table146[Date],$A28,Table146[Bill No.],$B28),SUMIFS('Other Sale'!$D:$D,'Other Sale'!$E:$E,$P$3,'Other Sale'!$C:$C,$K28,'Other Sale'!$A:$A,$A28)))))</f>
        <v>366000</v>
      </c>
      <c r="F28" s="330" cm="1">
        <f t="array" ref="F28">IF($A28="","",IF($K28="Payment",IFERROR(INDEX(_xlfn._xlws.FILTER(MasterPaid[Amount Paid],(MasterPaid[Customer]=$P$3)*(MasterPaid[Date]=$A28)),COUNTIFS($A$6:$A28,$A28,$K$6:$K28,"Payment")),0),0))</f>
        <v>0</v>
      </c>
      <c r="G28" s="331" t="s">
        <v>13</v>
      </c>
      <c r="H28" s="331"/>
      <c r="I28" s="330">
        <f t="shared" si="8"/>
        <v>-2190670</v>
      </c>
      <c r="J28" s="275" t="s">
        <v>2575</v>
      </c>
      <c r="K28" s="289" t="str" cm="1">
        <f t="array" ref="K28">IFERROR(INDEX(_xlfn.ANCHORARRAY($R$6),ROW()-5,3),"")</f>
        <v>DIESEL</v>
      </c>
      <c r="L28" s="275"/>
      <c r="M28" s="290"/>
      <c r="R28">
        <v>46136</v>
      </c>
      <c r="S28" t="str">
        <v>318</v>
      </c>
      <c r="T28" t="str">
        <v>DIESEL</v>
      </c>
      <c r="V28" s="396"/>
      <c r="W28" s="350"/>
      <c r="X28" s="414" t="str">
        <f t="shared" si="0"/>
        <v/>
      </c>
      <c r="Y28" s="415" t="str">
        <f t="shared" si="1"/>
        <v/>
      </c>
      <c r="Z28" s="415" t="str">
        <f t="shared" si="2"/>
        <v/>
      </c>
      <c r="AC28" s="396"/>
      <c r="AD28" s="350"/>
      <c r="AE28" s="415" t="str">
        <f t="shared" si="3"/>
        <v/>
      </c>
      <c r="AF28" s="415" t="str">
        <f t="shared" si="4"/>
        <v/>
      </c>
      <c r="AG28" s="415" t="str">
        <f t="shared" si="5"/>
        <v/>
      </c>
      <c r="AQ28" s="409"/>
      <c r="AR28" s="410"/>
      <c r="AS28" s="410"/>
      <c r="AT28" s="411"/>
      <c r="AU28" s="412"/>
      <c r="AV28" s="413"/>
      <c r="AW28" s="413"/>
      <c r="AX28" s="413"/>
      <c r="AY28" s="413"/>
      <c r="AZ28" s="413" t="str">
        <f t="shared" si="6"/>
        <v/>
      </c>
      <c r="BB28" s="409">
        <v>46152</v>
      </c>
      <c r="BC28" s="410" t="str">
        <v>MS97</v>
      </c>
      <c r="BD28" s="410" t="str">
        <v>PETROL</v>
      </c>
      <c r="BE28" s="411">
        <v>25</v>
      </c>
      <c r="BF28" s="412">
        <v>101.15</v>
      </c>
      <c r="BG28" s="413">
        <v>2528.75</v>
      </c>
      <c r="BH28" s="413">
        <v>0</v>
      </c>
      <c r="BI28" s="413" t="str">
        <v/>
      </c>
      <c r="BJ28" s="413">
        <v>0</v>
      </c>
      <c r="BK28" s="413">
        <f t="shared" si="7"/>
        <v>-248041.25</v>
      </c>
    </row>
    <row r="29" spans="1:63" ht="21.75" x14ac:dyDescent="0.25">
      <c r="A29" s="217" cm="1">
        <f t="array" ref="A29">IFERROR(INDEX(_xlfn.ANCHORARRAY($R$6),ROW()-5,1),"")</f>
        <v>46139</v>
      </c>
      <c r="B29" s="289" t="str" cm="1">
        <f t="array" ref="B29">IFERROR(INDEX(_xlfn.ANCHORARRAY($R$6),ROW()-5,2),"")</f>
        <v>334</v>
      </c>
      <c r="C29" s="218">
        <f>IF($A29="","",IF($K29="DIESEL",SUMIFS(Table1[Quantity],Table1[Customer],$P$3,Table1[Date],$A29,Table1[Bill No.],$B29),IF($K29="PETROL",SUMIFS(Table14[Quantity],Table14[Customer],$P$3,Table14[Date],$A29,Table14[Bill No.],$B29),IF($K29="XtraGreen",SUMIFS(Table146[Quantity],Table146[Company],$P$3,Table146[Date],$A29,Table146[Bill No.],$B29),""))))</f>
        <v>3000</v>
      </c>
      <c r="D29" s="223">
        <f>IF($A29="","",IF($K29="DIESEL",AVERAGEIFS(Table1[RSP],Table1[Customer],$P$3,Table1[Date],$A29,Table1[Bill No.],$B29),IF($K29="PETROL",AVERAGEIFS(Table14[RSP],Table14[Customer],$P$3,Table14[Date],$A29,Table14[Bill No.],$B29),IF($K29="XtraGreen",AVERAGEIFS(Table146[RSP],Table146[Company],$P$3,Table146[Date],$A29,Table146[Bill No.],$B29),IFERROR($E29/$C29,"")))))</f>
        <v>91.5</v>
      </c>
      <c r="E29" s="330">
        <f>IF($A29="","",IF($K29="DIESEL",SUMIFS(Table1[Amount],Table1[Customer],$P$3,Table1[Date],$A29,Table1[Bill No.],$B29),IF($K29="PETROL",SUMIFS(Table14[Amount],Table14[Customer],$P$3,Table14[Date],$A29,Table14[Bill No.],$B29),IF($K29="XtraGreen",SUMIFS(Table146[Amount],Table146[Company],$P$3,Table146[Date],$A29,Table146[Bill No.],$B29),SUMIFS('Other Sale'!$D:$D,'Other Sale'!$E:$E,$P$3,'Other Sale'!$C:$C,$K29,'Other Sale'!$A:$A,$A29)))))</f>
        <v>274500</v>
      </c>
      <c r="F29" s="330" cm="1">
        <f t="array" ref="F29">IF($A29="","",IF($K29="Payment",IFERROR(INDEX(_xlfn._xlws.FILTER(MasterPaid[Amount Paid],(MasterPaid[Customer]=$P$3)*(MasterPaid[Date]=$A29)),COUNTIFS($A$6:$A29,$A29,$K$6:$K29,"Payment")),0),0))</f>
        <v>0</v>
      </c>
      <c r="G29" s="331" t="s">
        <v>13</v>
      </c>
      <c r="H29" s="331"/>
      <c r="I29" s="330">
        <f t="shared" si="8"/>
        <v>-1916170</v>
      </c>
      <c r="J29" s="275" t="s">
        <v>2574</v>
      </c>
      <c r="K29" s="289" t="str" cm="1">
        <f t="array" ref="K29">IFERROR(INDEX(_xlfn.ANCHORARRAY($R$6),ROW()-5,3),"")</f>
        <v>DIESEL</v>
      </c>
      <c r="L29" s="275"/>
      <c r="M29" s="290"/>
      <c r="R29">
        <v>46139</v>
      </c>
      <c r="S29" t="str">
        <v>334</v>
      </c>
      <c r="T29" t="str">
        <v>DIESEL</v>
      </c>
      <c r="V29" s="396"/>
      <c r="W29" s="350"/>
      <c r="X29" s="414" t="str">
        <f t="shared" si="0"/>
        <v/>
      </c>
      <c r="Y29" s="415" t="str">
        <f t="shared" si="1"/>
        <v/>
      </c>
      <c r="Z29" s="415" t="str">
        <f t="shared" si="2"/>
        <v/>
      </c>
      <c r="AC29" s="396"/>
      <c r="AD29" s="350"/>
      <c r="AE29" s="415" t="str">
        <f t="shared" si="3"/>
        <v/>
      </c>
      <c r="AF29" s="415" t="str">
        <f t="shared" si="4"/>
        <v/>
      </c>
      <c r="AG29" s="415" t="str">
        <f t="shared" si="5"/>
        <v/>
      </c>
      <c r="AQ29" s="409"/>
      <c r="AR29" s="410"/>
      <c r="AS29" s="410"/>
      <c r="AT29" s="411"/>
      <c r="AU29" s="412"/>
      <c r="AV29" s="413"/>
      <c r="AW29" s="413"/>
      <c r="AX29" s="413"/>
      <c r="AY29" s="413"/>
      <c r="AZ29" s="413" t="str">
        <f t="shared" si="6"/>
        <v/>
      </c>
      <c r="BB29" s="409">
        <v>46152</v>
      </c>
      <c r="BC29" s="410" t="str">
        <v/>
      </c>
      <c r="BD29" s="410" t="str">
        <v>Payment</v>
      </c>
      <c r="BE29" s="411" t="str">
        <v/>
      </c>
      <c r="BF29" s="412" t="str">
        <v/>
      </c>
      <c r="BG29" s="413">
        <v>0</v>
      </c>
      <c r="BH29" s="413">
        <v>2528.75</v>
      </c>
      <c r="BI29" s="413">
        <v>0</v>
      </c>
      <c r="BJ29" s="413">
        <v>0</v>
      </c>
      <c r="BK29" s="413">
        <f t="shared" si="7"/>
        <v>-250570</v>
      </c>
    </row>
    <row r="30" spans="1:63" ht="21.75" x14ac:dyDescent="0.25">
      <c r="A30" s="217" cm="1">
        <f t="array" ref="A30">IFERROR(INDEX(_xlfn.ANCHORARRAY($R$6),ROW()-5,1),"")</f>
        <v>46139</v>
      </c>
      <c r="B30" s="289" t="str" cm="1">
        <f t="array" ref="B30">IFERROR(INDEX(_xlfn.ANCHORARRAY($R$6),ROW()-5,2),"")</f>
        <v>335</v>
      </c>
      <c r="C30" s="218">
        <f>IF($A30="","",IF($K30="DIESEL",SUMIFS(Table1[Quantity],Table1[Customer],$P$3,Table1[Date],$A30,Table1[Bill No.],$B30),IF($K30="PETROL",SUMIFS(Table14[Quantity],Table14[Customer],$P$3,Table14[Date],$A30,Table14[Bill No.],$B30),IF($K30="XtraGreen",SUMIFS(Table146[Quantity],Table146[Company],$P$3,Table146[Date],$A30,Table146[Bill No.],$B30),""))))</f>
        <v>3000</v>
      </c>
      <c r="D30" s="223">
        <f>IF($A30="","",IF($K30="DIESEL",AVERAGEIFS(Table1[RSP],Table1[Customer],$P$3,Table1[Date],$A30,Table1[Bill No.],$B30),IF($K30="PETROL",AVERAGEIFS(Table14[RSP],Table14[Customer],$P$3,Table14[Date],$A30,Table14[Bill No.],$B30),IF($K30="XtraGreen",AVERAGEIFS(Table146[RSP],Table146[Company],$P$3,Table146[Date],$A30,Table146[Bill No.],$B30),IFERROR($E30/$C30,"")))))</f>
        <v>91.5</v>
      </c>
      <c r="E30" s="330">
        <f>IF($A30="","",IF($K30="DIESEL",SUMIFS(Table1[Amount],Table1[Customer],$P$3,Table1[Date],$A30,Table1[Bill No.],$B30),IF($K30="PETROL",SUMIFS(Table14[Amount],Table14[Customer],$P$3,Table14[Date],$A30,Table14[Bill No.],$B30),IF($K30="XtraGreen",SUMIFS(Table146[Amount],Table146[Company],$P$3,Table146[Date],$A30,Table146[Bill No.],$B30),SUMIFS('Other Sale'!$D:$D,'Other Sale'!$E:$E,$P$3,'Other Sale'!$C:$C,$K30,'Other Sale'!$A:$A,$A30)))))</f>
        <v>274500</v>
      </c>
      <c r="F30" s="330" cm="1">
        <f t="array" ref="F30">IF($A30="","",IF($K30="Payment",IFERROR(INDEX(_xlfn._xlws.FILTER(MasterPaid[Amount Paid],(MasterPaid[Customer]=$P$3)*(MasterPaid[Date]=$A30)),COUNTIFS($A$6:$A30,$A30,$K$6:$K30,"Payment")),0),0))</f>
        <v>0</v>
      </c>
      <c r="G30" s="331" t="s">
        <v>13</v>
      </c>
      <c r="H30" s="331"/>
      <c r="I30" s="330">
        <f t="shared" si="8"/>
        <v>-1641670</v>
      </c>
      <c r="J30" s="275" t="s">
        <v>2575</v>
      </c>
      <c r="K30" s="289" t="str" cm="1">
        <f t="array" ref="K30">IFERROR(INDEX(_xlfn.ANCHORARRAY($R$6),ROW()-5,3),"")</f>
        <v>DIESEL</v>
      </c>
      <c r="L30" s="275"/>
      <c r="M30" s="290"/>
      <c r="R30">
        <v>46139</v>
      </c>
      <c r="S30" t="str">
        <v>335</v>
      </c>
      <c r="T30" t="str">
        <v>DIESEL</v>
      </c>
      <c r="V30" s="396"/>
      <c r="W30" s="350"/>
      <c r="X30" s="414" t="str">
        <f t="shared" si="0"/>
        <v/>
      </c>
      <c r="Y30" s="415" t="str">
        <f t="shared" si="1"/>
        <v/>
      </c>
      <c r="Z30" s="415" t="str">
        <f t="shared" si="2"/>
        <v/>
      </c>
      <c r="AC30" s="396"/>
      <c r="AD30" s="350"/>
      <c r="AE30" s="415" t="str">
        <f t="shared" si="3"/>
        <v/>
      </c>
      <c r="AF30" s="415" t="str">
        <f t="shared" si="4"/>
        <v/>
      </c>
      <c r="AG30" s="415" t="str">
        <f t="shared" si="5"/>
        <v/>
      </c>
      <c r="AQ30" s="409"/>
      <c r="AR30" s="410"/>
      <c r="AS30" s="410"/>
      <c r="AT30" s="411"/>
      <c r="AU30" s="412"/>
      <c r="AV30" s="413"/>
      <c r="AW30" s="413"/>
      <c r="AX30" s="413"/>
      <c r="AY30" s="413"/>
      <c r="AZ30" s="413" t="str">
        <f t="shared" si="6"/>
        <v/>
      </c>
      <c r="BB30" s="409">
        <v>46153</v>
      </c>
      <c r="BC30" s="410" t="str">
        <v>481</v>
      </c>
      <c r="BD30" s="410" t="str">
        <v>DIESEL</v>
      </c>
      <c r="BE30" s="411">
        <v>4000</v>
      </c>
      <c r="BF30" s="412">
        <v>92.74</v>
      </c>
      <c r="BG30" s="413">
        <v>370960</v>
      </c>
      <c r="BH30" s="413">
        <v>0</v>
      </c>
      <c r="BI30" s="413">
        <v>0</v>
      </c>
      <c r="BJ30" s="413">
        <v>0</v>
      </c>
      <c r="BK30" s="413">
        <f t="shared" si="7"/>
        <v>120390</v>
      </c>
    </row>
    <row r="31" spans="1:63" ht="21.75" x14ac:dyDescent="0.25">
      <c r="A31" s="217" cm="1">
        <f t="array" ref="A31">IFERROR(INDEX(_xlfn.ANCHORARRAY($R$6),ROW()-5,1),"")</f>
        <v>46144</v>
      </c>
      <c r="B31" s="289" t="str" cm="1">
        <f t="array" ref="B31">IFERROR(INDEX(_xlfn.ANCHORARRAY($R$6),ROW()-5,2),"")</f>
        <v>389</v>
      </c>
      <c r="C31" s="218">
        <f>IF($A31="","",IF($K31="DIESEL",SUMIFS(Table1[Quantity],Table1[Customer],$P$3,Table1[Date],$A31,Table1[Bill No.],$B31),IF($K31="PETROL",SUMIFS(Table14[Quantity],Table14[Customer],$P$3,Table14[Date],$A31,Table14[Bill No.],$B31),IF($K31="XtraGreen",SUMIFS(Table146[Quantity],Table146[Company],$P$3,Table146[Date],$A31,Table146[Bill No.],$B31),""))))</f>
        <v>4000</v>
      </c>
      <c r="D31" s="223">
        <f>IF($A31="","",IF($K31="DIESEL",AVERAGEIFS(Table1[RSP],Table1[Customer],$P$3,Table1[Date],$A31,Table1[Bill No.],$B31),IF($K31="PETROL",AVERAGEIFS(Table14[RSP],Table14[Customer],$P$3,Table14[Date],$A31,Table14[Bill No.],$B31),IF($K31="XtraGreen",AVERAGEIFS(Table146[RSP],Table146[Company],$P$3,Table146[Date],$A31,Table146[Bill No.],$B31),IFERROR($E31/$C31,"")))))</f>
        <v>92.74</v>
      </c>
      <c r="E31" s="330">
        <f>IF($A31="","",IF($K31="DIESEL",SUMIFS(Table1[Amount],Table1[Customer],$P$3,Table1[Date],$A31,Table1[Bill No.],$B31),IF($K31="PETROL",SUMIFS(Table14[Amount],Table14[Customer],$P$3,Table14[Date],$A31,Table14[Bill No.],$B31),IF($K31="XtraGreen",SUMIFS(Table146[Amount],Table146[Company],$P$3,Table146[Date],$A31,Table146[Bill No.],$B31),SUMIFS('Other Sale'!$D:$D,'Other Sale'!$E:$E,$P$3,'Other Sale'!$C:$C,$K31,'Other Sale'!$A:$A,$A31)))))</f>
        <v>370960</v>
      </c>
      <c r="F31" s="330" cm="1">
        <f t="array" ref="F31">IF($A31="","",IF($K31="Payment",IFERROR(INDEX(_xlfn._xlws.FILTER(MasterPaid[Amount Paid],(MasterPaid[Customer]=$P$3)*(MasterPaid[Date]=$A31)),COUNTIFS($A$6:$A31,$A31,$K$6:$K31,"Payment")),0),0))</f>
        <v>0</v>
      </c>
      <c r="G31" s="331" t="s">
        <v>13</v>
      </c>
      <c r="H31" s="331"/>
      <c r="I31" s="330">
        <f t="shared" si="8"/>
        <v>-1270710</v>
      </c>
      <c r="J31" s="275" t="s">
        <v>2575</v>
      </c>
      <c r="K31" s="289" t="str" cm="1">
        <f t="array" ref="K31">IFERROR(INDEX(_xlfn.ANCHORARRAY($R$6),ROW()-5,3),"")</f>
        <v>DIESEL</v>
      </c>
      <c r="L31" s="275"/>
      <c r="M31" s="290"/>
      <c r="R31">
        <v>46144</v>
      </c>
      <c r="S31" t="str">
        <v>389</v>
      </c>
      <c r="T31" t="str">
        <v>DIESEL</v>
      </c>
      <c r="V31" s="396"/>
      <c r="W31" s="350"/>
      <c r="X31" s="414" t="str">
        <f t="shared" si="0"/>
        <v/>
      </c>
      <c r="Y31" s="415" t="str">
        <f t="shared" si="1"/>
        <v/>
      </c>
      <c r="Z31" s="415" t="str">
        <f t="shared" si="2"/>
        <v/>
      </c>
      <c r="AC31" s="396"/>
      <c r="AD31" s="350"/>
      <c r="AE31" s="415" t="str">
        <f t="shared" si="3"/>
        <v/>
      </c>
      <c r="AF31" s="415" t="str">
        <f t="shared" si="4"/>
        <v/>
      </c>
      <c r="AG31" s="415" t="str">
        <f t="shared" si="5"/>
        <v/>
      </c>
      <c r="AQ31" s="409"/>
      <c r="AR31" s="410"/>
      <c r="AS31" s="410"/>
      <c r="AT31" s="411"/>
      <c r="AU31" s="412"/>
      <c r="AV31" s="413"/>
      <c r="AW31" s="413"/>
      <c r="AX31" s="413"/>
      <c r="AY31" s="413"/>
      <c r="AZ31" s="413" t="str">
        <f t="shared" si="6"/>
        <v/>
      </c>
      <c r="BB31" s="409">
        <v>46156</v>
      </c>
      <c r="BC31" s="410" t="str">
        <v/>
      </c>
      <c r="BD31" s="410" t="str">
        <v>Payment</v>
      </c>
      <c r="BE31" s="411" t="str">
        <v/>
      </c>
      <c r="BF31" s="412" t="str">
        <v/>
      </c>
      <c r="BG31" s="413">
        <v>0</v>
      </c>
      <c r="BH31" s="413">
        <v>2316181</v>
      </c>
      <c r="BI31" s="413">
        <v>2319</v>
      </c>
      <c r="BJ31" s="413">
        <v>0</v>
      </c>
      <c r="BK31" s="413">
        <f t="shared" si="7"/>
        <v>-2198110</v>
      </c>
    </row>
    <row r="32" spans="1:63" ht="21.75" x14ac:dyDescent="0.25">
      <c r="A32" s="217" cm="1">
        <f t="array" ref="A32">IFERROR(INDEX(_xlfn.ANCHORARRAY($R$6),ROW()-5,1),"")</f>
        <v>46146</v>
      </c>
      <c r="B32" s="289" t="str" cm="1">
        <f t="array" ref="B32">IFERROR(INDEX(_xlfn.ANCHORARRAY($R$6),ROW()-5,2),"")</f>
        <v>411</v>
      </c>
      <c r="C32" s="218">
        <f>IF($A32="","",IF($K32="DIESEL",SUMIFS(Table1[Quantity],Table1[Customer],$P$3,Table1[Date],$A32,Table1[Bill No.],$B32),IF($K32="PETROL",SUMIFS(Table14[Quantity],Table14[Customer],$P$3,Table14[Date],$A32,Table14[Bill No.],$B32),IF($K32="XtraGreen",SUMIFS(Table146[Quantity],Table146[Company],$P$3,Table146[Date],$A32,Table146[Bill No.],$B32),""))))</f>
        <v>4000</v>
      </c>
      <c r="D32" s="223">
        <f>IF($A32="","",IF($K32="DIESEL",AVERAGEIFS(Table1[RSP],Table1[Customer],$P$3,Table1[Date],$A32,Table1[Bill No.],$B32),IF($K32="PETROL",AVERAGEIFS(Table14[RSP],Table14[Customer],$P$3,Table14[Date],$A32,Table14[Bill No.],$B32),IF($K32="XtraGreen",AVERAGEIFS(Table146[RSP],Table146[Company],$P$3,Table146[Date],$A32,Table146[Bill No.],$B32),IFERROR($E32/$C32,"")))))</f>
        <v>92.74</v>
      </c>
      <c r="E32" s="330">
        <f>IF($A32="","",IF($K32="DIESEL",SUMIFS(Table1[Amount],Table1[Customer],$P$3,Table1[Date],$A32,Table1[Bill No.],$B32),IF($K32="PETROL",SUMIFS(Table14[Amount],Table14[Customer],$P$3,Table14[Date],$A32,Table14[Bill No.],$B32),IF($K32="XtraGreen",SUMIFS(Table146[Amount],Table146[Company],$P$3,Table146[Date],$A32,Table146[Bill No.],$B32),SUMIFS('Other Sale'!$D:$D,'Other Sale'!$E:$E,$P$3,'Other Sale'!$C:$C,$K32,'Other Sale'!$A:$A,$A32)))))</f>
        <v>370960</v>
      </c>
      <c r="F32" s="330" cm="1">
        <f t="array" ref="F32">IF($A32="","",IF($K32="Payment",IFERROR(INDEX(_xlfn._xlws.FILTER(MasterPaid[Amount Paid],(MasterPaid[Customer]=$P$3)*(MasterPaid[Date]=$A32)),COUNTIFS($A$6:$A32,$A32,$K$6:$K32,"Payment")),0),0))</f>
        <v>0</v>
      </c>
      <c r="G32" s="331" t="s">
        <v>13</v>
      </c>
      <c r="H32" s="331"/>
      <c r="I32" s="330">
        <f t="shared" si="8"/>
        <v>-899750</v>
      </c>
      <c r="J32" s="275" t="s">
        <v>2575</v>
      </c>
      <c r="K32" s="289" t="str" cm="1">
        <f t="array" ref="K32">IFERROR(INDEX(_xlfn.ANCHORARRAY($R$6),ROW()-5,3),"")</f>
        <v>DIESEL</v>
      </c>
      <c r="L32" s="275"/>
      <c r="M32" s="290"/>
      <c r="R32">
        <v>46146</v>
      </c>
      <c r="S32" t="str">
        <v>411</v>
      </c>
      <c r="T32" t="str">
        <v>DIESEL</v>
      </c>
      <c r="V32" s="396"/>
      <c r="W32" s="350"/>
      <c r="X32" s="414" t="str">
        <f t="shared" si="0"/>
        <v/>
      </c>
      <c r="Y32" s="415" t="str">
        <f t="shared" si="1"/>
        <v/>
      </c>
      <c r="Z32" s="415" t="str">
        <f t="shared" si="2"/>
        <v/>
      </c>
      <c r="AC32" s="396"/>
      <c r="AD32" s="350"/>
      <c r="AE32" s="415" t="str">
        <f t="shared" si="3"/>
        <v/>
      </c>
      <c r="AF32" s="415" t="str">
        <f t="shared" si="4"/>
        <v/>
      </c>
      <c r="AG32" s="415" t="str">
        <f t="shared" si="5"/>
        <v/>
      </c>
      <c r="AQ32" s="409"/>
      <c r="AR32" s="410"/>
      <c r="AS32" s="410"/>
      <c r="AT32" s="411"/>
      <c r="AU32" s="412"/>
      <c r="AV32" s="413"/>
      <c r="AW32" s="413"/>
      <c r="AX32" s="413"/>
      <c r="AY32" s="413"/>
      <c r="AZ32" s="413" t="str">
        <f t="shared" si="6"/>
        <v/>
      </c>
      <c r="BB32" s="409">
        <v>46157</v>
      </c>
      <c r="BC32" s="410" t="str">
        <v>531</v>
      </c>
      <c r="BD32" s="410" t="str">
        <v>DIESEL</v>
      </c>
      <c r="BE32" s="411">
        <v>3000</v>
      </c>
      <c r="BF32" s="412">
        <v>95.93</v>
      </c>
      <c r="BG32" s="413">
        <v>287790</v>
      </c>
      <c r="BH32" s="413">
        <v>0</v>
      </c>
      <c r="BI32" s="413" t="str">
        <v/>
      </c>
      <c r="BJ32" s="413">
        <v>0</v>
      </c>
      <c r="BK32" s="413">
        <f t="shared" si="7"/>
        <v>-1910320</v>
      </c>
    </row>
    <row r="33" spans="1:63" ht="21.75" x14ac:dyDescent="0.25">
      <c r="A33" s="217" cm="1">
        <f t="array" ref="A33">IFERROR(INDEX(_xlfn.ANCHORARRAY($R$6),ROW()-5,1),"")</f>
        <v>46147</v>
      </c>
      <c r="B33" s="289" t="str" cm="1">
        <f t="array" ref="B33">IFERROR(INDEX(_xlfn.ANCHORARRAY($R$6),ROW()-5,2),"")</f>
        <v>420</v>
      </c>
      <c r="C33" s="218">
        <f>IF($A33="","",IF($K33="DIESEL",SUMIFS(Table1[Quantity],Table1[Customer],$P$3,Table1[Date],$A33,Table1[Bill No.],$B33),IF($K33="PETROL",SUMIFS(Table14[Quantity],Table14[Customer],$P$3,Table14[Date],$A33,Table14[Bill No.],$B33),IF($K33="XtraGreen",SUMIFS(Table146[Quantity],Table146[Company],$P$3,Table146[Date],$A33,Table146[Bill No.],$B33),""))))</f>
        <v>4000</v>
      </c>
      <c r="D33" s="223">
        <f>IF($A33="","",IF($K33="DIESEL",AVERAGEIFS(Table1[RSP],Table1[Customer],$P$3,Table1[Date],$A33,Table1[Bill No.],$B33),IF($K33="PETROL",AVERAGEIFS(Table14[RSP],Table14[Customer],$P$3,Table14[Date],$A33,Table14[Bill No.],$B33),IF($K33="XtraGreen",AVERAGEIFS(Table146[RSP],Table146[Company],$P$3,Table146[Date],$A33,Table146[Bill No.],$B33),IFERROR($E33/$C33,"")))))</f>
        <v>92.74</v>
      </c>
      <c r="E33" s="330">
        <f>IF($A33="","",IF($K33="DIESEL",SUMIFS(Table1[Amount],Table1[Customer],$P$3,Table1[Date],$A33,Table1[Bill No.],$B33),IF($K33="PETROL",SUMIFS(Table14[Amount],Table14[Customer],$P$3,Table14[Date],$A33,Table14[Bill No.],$B33),IF($K33="XtraGreen",SUMIFS(Table146[Amount],Table146[Company],$P$3,Table146[Date],$A33,Table146[Bill No.],$B33),SUMIFS('Other Sale'!$D:$D,'Other Sale'!$E:$E,$P$3,'Other Sale'!$C:$C,$K33,'Other Sale'!$A:$A,$A33)))))</f>
        <v>370960</v>
      </c>
      <c r="F33" s="330" cm="1">
        <f t="array" ref="F33">IF($A33="","",IF($K33="Payment",IFERROR(INDEX(_xlfn._xlws.FILTER(MasterPaid[Amount Paid],(MasterPaid[Customer]=$P$3)*(MasterPaid[Date]=$A33)),COUNTIFS($A$6:$A33,$A33,$K$6:$K33,"Payment")),0),0))</f>
        <v>0</v>
      </c>
      <c r="G33" s="331" t="s">
        <v>13</v>
      </c>
      <c r="H33" s="331"/>
      <c r="I33" s="330">
        <f t="shared" si="8"/>
        <v>-528790</v>
      </c>
      <c r="J33" s="275" t="s">
        <v>2575</v>
      </c>
      <c r="K33" s="289" t="str" cm="1">
        <f t="array" ref="K33">IFERROR(INDEX(_xlfn.ANCHORARRAY($R$6),ROW()-5,3),"")</f>
        <v>DIESEL</v>
      </c>
      <c r="L33" s="275"/>
      <c r="M33" s="290"/>
      <c r="R33">
        <v>46147</v>
      </c>
      <c r="S33" t="str">
        <v>420</v>
      </c>
      <c r="T33" t="str">
        <v>DIESEL</v>
      </c>
      <c r="V33" s="396"/>
      <c r="W33" s="350"/>
      <c r="X33" s="414" t="str">
        <f t="shared" si="0"/>
        <v/>
      </c>
      <c r="Y33" s="415" t="str">
        <f t="shared" si="1"/>
        <v/>
      </c>
      <c r="Z33" s="415" t="str">
        <f t="shared" si="2"/>
        <v/>
      </c>
      <c r="AC33" s="396"/>
      <c r="AD33" s="350"/>
      <c r="AE33" s="415" t="str">
        <f t="shared" si="3"/>
        <v/>
      </c>
      <c r="AF33" s="415" t="str">
        <f t="shared" si="4"/>
        <v/>
      </c>
      <c r="AG33" s="415" t="str">
        <f t="shared" si="5"/>
        <v/>
      </c>
      <c r="AQ33" s="409"/>
      <c r="AR33" s="410"/>
      <c r="AS33" s="410"/>
      <c r="AT33" s="411"/>
      <c r="AU33" s="412"/>
      <c r="AV33" s="413"/>
      <c r="AW33" s="413"/>
      <c r="AX33" s="413"/>
      <c r="AY33" s="413"/>
      <c r="AZ33" s="413" t="str">
        <f t="shared" si="6"/>
        <v/>
      </c>
      <c r="BB33" s="409">
        <v>46164</v>
      </c>
      <c r="BC33" s="410" t="str">
        <v>589</v>
      </c>
      <c r="BD33" s="410" t="str">
        <v>DIESEL</v>
      </c>
      <c r="BE33" s="411">
        <v>3000</v>
      </c>
      <c r="BF33" s="412">
        <v>96.9</v>
      </c>
      <c r="BG33" s="413">
        <v>290700</v>
      </c>
      <c r="BH33" s="413">
        <v>0</v>
      </c>
      <c r="BI33" s="413" t="str">
        <v/>
      </c>
      <c r="BJ33" s="413">
        <v>0</v>
      </c>
      <c r="BK33" s="413">
        <f t="shared" si="7"/>
        <v>-1619620</v>
      </c>
    </row>
    <row r="34" spans="1:63" ht="21.75" x14ac:dyDescent="0.25">
      <c r="A34" s="217" cm="1">
        <f t="array" ref="A34">IFERROR(INDEX(_xlfn.ANCHORARRAY($R$6),ROW()-5,1),"")</f>
        <v>46148</v>
      </c>
      <c r="B34" s="289" t="str" cm="1">
        <f t="array" ref="B34">IFERROR(INDEX(_xlfn.ANCHORARRAY($R$6),ROW()-5,2),"")</f>
        <v>432</v>
      </c>
      <c r="C34" s="218">
        <f>IF($A34="","",IF($K34="DIESEL",SUMIFS(Table1[Quantity],Table1[Customer],$P$3,Table1[Date],$A34,Table1[Bill No.],$B34),IF($K34="PETROL",SUMIFS(Table14[Quantity],Table14[Customer],$P$3,Table14[Date],$A34,Table14[Bill No.],$B34),IF($K34="XtraGreen",SUMIFS(Table146[Quantity],Table146[Company],$P$3,Table146[Date],$A34,Table146[Bill No.],$B34),""))))</f>
        <v>3000</v>
      </c>
      <c r="D34" s="223">
        <f>IF($A34="","",IF($K34="DIESEL",AVERAGEIFS(Table1[RSP],Table1[Customer],$P$3,Table1[Date],$A34,Table1[Bill No.],$B34),IF($K34="PETROL",AVERAGEIFS(Table14[RSP],Table14[Customer],$P$3,Table14[Date],$A34,Table14[Bill No.],$B34),IF($K34="XtraGreen",AVERAGEIFS(Table146[RSP],Table146[Company],$P$3,Table146[Date],$A34,Table146[Bill No.],$B34),IFERROR($E34/$C34,"")))))</f>
        <v>92.74</v>
      </c>
      <c r="E34" s="330">
        <f>IF($A34="","",IF($K34="DIESEL",SUMIFS(Table1[Amount],Table1[Customer],$P$3,Table1[Date],$A34,Table1[Bill No.],$B34),IF($K34="PETROL",SUMIFS(Table14[Amount],Table14[Customer],$P$3,Table14[Date],$A34,Table14[Bill No.],$B34),IF($K34="XtraGreen",SUMIFS(Table146[Amount],Table146[Company],$P$3,Table146[Date],$A34,Table146[Bill No.],$B34),SUMIFS('Other Sale'!$D:$D,'Other Sale'!$E:$E,$P$3,'Other Sale'!$C:$C,$K34,'Other Sale'!$A:$A,$A34)))))</f>
        <v>278220</v>
      </c>
      <c r="F34" s="330" cm="1">
        <f t="array" ref="F34">IF($A34="","",IF($K34="Payment",IFERROR(INDEX(_xlfn._xlws.FILTER(MasterPaid[Amount Paid],(MasterPaid[Customer]=$P$3)*(MasterPaid[Date]=$A34)),COUNTIFS($A$6:$A34,$A34,$K$6:$K34,"Payment")),0),0))</f>
        <v>0</v>
      </c>
      <c r="G34" s="331" t="s">
        <v>13</v>
      </c>
      <c r="H34" s="331"/>
      <c r="I34" s="330">
        <f t="shared" si="8"/>
        <v>-250570</v>
      </c>
      <c r="J34" s="275" t="s">
        <v>2574</v>
      </c>
      <c r="K34" s="289" t="str" cm="1">
        <f t="array" ref="K34">IFERROR(INDEX(_xlfn.ANCHORARRAY($R$6),ROW()-5,3),"")</f>
        <v>DIESEL</v>
      </c>
      <c r="L34" s="275"/>
      <c r="M34" s="290"/>
      <c r="R34">
        <v>46148</v>
      </c>
      <c r="S34" t="str">
        <v>432</v>
      </c>
      <c r="T34" t="str">
        <v>DIESEL</v>
      </c>
      <c r="V34" s="396"/>
      <c r="W34" s="350"/>
      <c r="X34" s="414" t="str">
        <f t="shared" si="0"/>
        <v/>
      </c>
      <c r="Y34" s="415" t="str">
        <f t="shared" si="1"/>
        <v/>
      </c>
      <c r="Z34" s="415" t="str">
        <f t="shared" si="2"/>
        <v/>
      </c>
      <c r="AC34" s="396"/>
      <c r="AD34" s="350"/>
      <c r="AE34" s="415" t="str">
        <f t="shared" si="3"/>
        <v/>
      </c>
      <c r="AF34" s="415" t="str">
        <f t="shared" si="4"/>
        <v/>
      </c>
      <c r="AG34" s="415" t="str">
        <f t="shared" si="5"/>
        <v/>
      </c>
      <c r="AQ34" s="409"/>
      <c r="AR34" s="410"/>
      <c r="AS34" s="410"/>
      <c r="AT34" s="411"/>
      <c r="AU34" s="412"/>
      <c r="AV34" s="413"/>
      <c r="AW34" s="413"/>
      <c r="AX34" s="413"/>
      <c r="AY34" s="413"/>
      <c r="AZ34" s="413" t="str">
        <f t="shared" si="6"/>
        <v/>
      </c>
      <c r="BB34" s="409">
        <v>46167</v>
      </c>
      <c r="BC34" s="410" t="str">
        <v>631</v>
      </c>
      <c r="BD34" s="410" t="str">
        <v>DIESEL</v>
      </c>
      <c r="BE34" s="411">
        <v>3000</v>
      </c>
      <c r="BF34" s="412">
        <v>100.74</v>
      </c>
      <c r="BG34" s="413">
        <v>302220</v>
      </c>
      <c r="BH34" s="413">
        <v>0</v>
      </c>
      <c r="BI34" s="413" t="str">
        <v/>
      </c>
      <c r="BJ34" s="413">
        <v>0</v>
      </c>
      <c r="BK34" s="413">
        <f t="shared" si="7"/>
        <v>-1317400</v>
      </c>
    </row>
    <row r="35" spans="1:63" ht="21.75" x14ac:dyDescent="0.25">
      <c r="A35" s="217" cm="1">
        <f t="array" ref="A35">IFERROR(INDEX(_xlfn.ANCHORARRAY($R$6),ROW()-5,1),"")</f>
        <v>46148</v>
      </c>
      <c r="B35" s="289" t="str" cm="1">
        <f t="array" ref="B35">IFERROR(INDEX(_xlfn.ANCHORARRAY($R$6),ROW()-5,2),"")</f>
        <v>434</v>
      </c>
      <c r="C35" s="218">
        <f>IF($A35="","",IF($K35="DIESEL",SUMIFS(Table1[Quantity],Table1[Customer],$P$3,Table1[Date],$A35,Table1[Bill No.],$B35),IF($K35="PETROL",SUMIFS(Table14[Quantity],Table14[Customer],$P$3,Table14[Date],$A35,Table14[Bill No.],$B35),IF($K35="XtraGreen",SUMIFS(Table146[Quantity],Table146[Company],$P$3,Table146[Date],$A35,Table146[Bill No.],$B35),""))))</f>
        <v>3000</v>
      </c>
      <c r="D35" s="223">
        <f>IF($A35="","",IF($K35="DIESEL",AVERAGEIFS(Table1[RSP],Table1[Customer],$P$3,Table1[Date],$A35,Table1[Bill No.],$B35),IF($K35="PETROL",AVERAGEIFS(Table14[RSP],Table14[Customer],$P$3,Table14[Date],$A35,Table14[Bill No.],$B35),IF($K35="XtraGreen",AVERAGEIFS(Table146[RSP],Table146[Company],$P$3,Table146[Date],$A35,Table146[Bill No.],$B35),IFERROR($E35/$C35,"")))))</f>
        <v>92.74</v>
      </c>
      <c r="E35" s="330">
        <f>IF($A35="","",IF($K35="DIESEL",SUMIFS(Table1[Amount],Table1[Customer],$P$3,Table1[Date],$A35,Table1[Bill No.],$B35),IF($K35="PETROL",SUMIFS(Table14[Amount],Table14[Customer],$P$3,Table14[Date],$A35,Table14[Bill No.],$B35),IF($K35="XtraGreen",SUMIFS(Table146[Amount],Table146[Company],$P$3,Table146[Date],$A35,Table146[Bill No.],$B35),SUMIFS('Other Sale'!$D:$D,'Other Sale'!$E:$E,$P$3,'Other Sale'!$C:$C,$K35,'Other Sale'!$A:$A,$A35)))))</f>
        <v>278220</v>
      </c>
      <c r="F35" s="330" cm="1">
        <f t="array" ref="F35">IF($A35="","",IF($K35="Payment",IFERROR(INDEX(_xlfn._xlws.FILTER(MasterPaid[Amount Paid],(MasterPaid[Customer]=$P$3)*(MasterPaid[Date]=$A35)),COUNTIFS($A$6:$A35,$A35,$K$6:$K35,"Payment")),0),0))</f>
        <v>0</v>
      </c>
      <c r="G35" s="331" t="s">
        <v>13</v>
      </c>
      <c r="H35" s="331"/>
      <c r="I35" s="330">
        <f t="shared" si="8"/>
        <v>27650</v>
      </c>
      <c r="J35" s="275" t="s">
        <v>2575</v>
      </c>
      <c r="K35" s="289" t="str" cm="1">
        <f t="array" ref="K35">IFERROR(INDEX(_xlfn.ANCHORARRAY($R$6),ROW()-5,3),"")</f>
        <v>DIESEL</v>
      </c>
      <c r="L35" s="275"/>
      <c r="M35" s="290"/>
      <c r="R35">
        <v>46148</v>
      </c>
      <c r="S35" t="str">
        <v>434</v>
      </c>
      <c r="T35" t="str">
        <v>DIESEL</v>
      </c>
      <c r="V35" s="396"/>
      <c r="W35" s="350"/>
      <c r="X35" s="414" t="str">
        <f t="shared" si="0"/>
        <v/>
      </c>
      <c r="Y35" s="415" t="str">
        <f t="shared" si="1"/>
        <v/>
      </c>
      <c r="Z35" s="415" t="str">
        <f t="shared" si="2"/>
        <v/>
      </c>
      <c r="AC35" s="396"/>
      <c r="AD35" s="350"/>
      <c r="AE35" s="415" t="str">
        <f t="shared" si="3"/>
        <v/>
      </c>
      <c r="AF35" s="415" t="str">
        <f t="shared" si="4"/>
        <v/>
      </c>
      <c r="AG35" s="415" t="str">
        <f t="shared" si="5"/>
        <v/>
      </c>
      <c r="AQ35" s="409"/>
      <c r="AR35" s="410"/>
      <c r="AS35" s="410"/>
      <c r="AT35" s="411"/>
      <c r="AU35" s="412"/>
      <c r="AV35" s="413"/>
      <c r="AW35" s="413"/>
      <c r="AX35" s="413"/>
      <c r="AY35" s="413"/>
      <c r="AZ35" s="413" t="str">
        <f t="shared" si="6"/>
        <v/>
      </c>
      <c r="BB35" s="409">
        <v>46169</v>
      </c>
      <c r="BC35" s="410" t="str">
        <v>648</v>
      </c>
      <c r="BD35" s="410" t="str">
        <v>DIESEL</v>
      </c>
      <c r="BE35" s="411">
        <v>3000</v>
      </c>
      <c r="BF35" s="412">
        <v>100.74</v>
      </c>
      <c r="BG35" s="413">
        <v>302220</v>
      </c>
      <c r="BH35" s="413">
        <v>0</v>
      </c>
      <c r="BI35" s="413" t="str">
        <v/>
      </c>
      <c r="BJ35" s="413">
        <v>0</v>
      </c>
      <c r="BK35" s="413">
        <f t="shared" si="7"/>
        <v>-1015180</v>
      </c>
    </row>
    <row r="36" spans="1:63" ht="21.75" x14ac:dyDescent="0.25">
      <c r="A36" s="217" cm="1">
        <f t="array" ref="A36">IFERROR(INDEX(_xlfn.ANCHORARRAY($R$6),ROW()-5,1),"")</f>
        <v>46152</v>
      </c>
      <c r="B36" s="289" t="str" cm="1">
        <f t="array" ref="B36">IFERROR(INDEX(_xlfn.ANCHORARRAY($R$6),ROW()-5,2),"")</f>
        <v>MS97</v>
      </c>
      <c r="C36" s="218">
        <f>IF($A36="","",IF($K36="DIESEL",SUMIFS(Table1[Quantity],Table1[Customer],$P$3,Table1[Date],$A36,Table1[Bill No.],$B36),IF($K36="PETROL",SUMIFS(Table14[Quantity],Table14[Customer],$P$3,Table14[Date],$A36,Table14[Bill No.],$B36),IF($K36="XtraGreen",SUMIFS(Table146[Quantity],Table146[Company],$P$3,Table146[Date],$A36,Table146[Bill No.],$B36),""))))</f>
        <v>25</v>
      </c>
      <c r="D36" s="223">
        <f>IF($A36="","",IF($K36="DIESEL",AVERAGEIFS(Table1[RSP],Table1[Customer],$P$3,Table1[Date],$A36,Table1[Bill No.],$B36),IF($K36="PETROL",AVERAGEIFS(Table14[RSP],Table14[Customer],$P$3,Table14[Date],$A36,Table14[Bill No.],$B36),IF($K36="XtraGreen",AVERAGEIFS(Table146[RSP],Table146[Company],$P$3,Table146[Date],$A36,Table146[Bill No.],$B36),IFERROR($E36/$C36,"")))))</f>
        <v>101.15</v>
      </c>
      <c r="E36" s="330">
        <f>IF($A36="","",IF($K36="DIESEL",SUMIFS(Table1[Amount],Table1[Customer],$P$3,Table1[Date],$A36,Table1[Bill No.],$B36),IF($K36="PETROL",SUMIFS(Table14[Amount],Table14[Customer],$P$3,Table14[Date],$A36,Table14[Bill No.],$B36),IF($K36="XtraGreen",SUMIFS(Table146[Amount],Table146[Company],$P$3,Table146[Date],$A36,Table146[Bill No.],$B36),SUMIFS('Other Sale'!$D:$D,'Other Sale'!$E:$E,$P$3,'Other Sale'!$C:$C,$K36,'Other Sale'!$A:$A,$A36)))))</f>
        <v>2528.75</v>
      </c>
      <c r="F36" s="330" cm="1">
        <f t="array" ref="F36">IF($A36="","",IF($K36="Payment",IFERROR(INDEX(_xlfn._xlws.FILTER(MasterPaid[Amount Paid],(MasterPaid[Customer]=$P$3)*(MasterPaid[Date]=$A36)),COUNTIFS($A$6:$A36,$A36,$K$6:$K36,"Payment")),0),0))</f>
        <v>0</v>
      </c>
      <c r="G36" s="331" t="s">
        <v>13</v>
      </c>
      <c r="H36" s="331"/>
      <c r="I36" s="330">
        <f t="shared" si="8"/>
        <v>30178.75</v>
      </c>
      <c r="J36" s="275" t="s">
        <v>2575</v>
      </c>
      <c r="K36" s="289" t="str" cm="1">
        <f t="array" ref="K36">IFERROR(INDEX(_xlfn.ANCHORARRAY($R$6),ROW()-5,3),"")</f>
        <v>PETROL</v>
      </c>
      <c r="L36" s="275"/>
      <c r="M36" s="290"/>
      <c r="R36">
        <v>46152</v>
      </c>
      <c r="S36" t="str">
        <v>MS97</v>
      </c>
      <c r="T36" t="str">
        <v>PETROL</v>
      </c>
      <c r="V36" s="396"/>
      <c r="W36" s="350"/>
      <c r="X36" s="414" t="str">
        <f t="shared" si="0"/>
        <v/>
      </c>
      <c r="Y36" s="415" t="str">
        <f t="shared" si="1"/>
        <v/>
      </c>
      <c r="Z36" s="415" t="str">
        <f t="shared" si="2"/>
        <v/>
      </c>
      <c r="AC36" s="396"/>
      <c r="AD36" s="350"/>
      <c r="AE36" s="415" t="str">
        <f t="shared" si="3"/>
        <v/>
      </c>
      <c r="AF36" s="415" t="str">
        <f t="shared" si="4"/>
        <v/>
      </c>
      <c r="AG36" s="415" t="str">
        <f t="shared" si="5"/>
        <v/>
      </c>
      <c r="AQ36" s="409"/>
      <c r="AR36" s="410"/>
      <c r="AS36" s="410"/>
      <c r="AT36" s="411"/>
      <c r="AU36" s="412"/>
      <c r="AV36" s="413"/>
      <c r="AW36" s="413"/>
      <c r="AX36" s="413"/>
      <c r="AY36" s="413"/>
      <c r="AZ36" s="413" t="str">
        <f t="shared" si="6"/>
        <v/>
      </c>
      <c r="BB36" s="409">
        <v>46174</v>
      </c>
      <c r="BC36" s="410" t="str">
        <v>692</v>
      </c>
      <c r="BD36" s="410" t="str">
        <v>DIESEL</v>
      </c>
      <c r="BE36" s="411">
        <v>3000</v>
      </c>
      <c r="BF36" s="412">
        <v>100.74</v>
      </c>
      <c r="BG36" s="413">
        <v>302220</v>
      </c>
      <c r="BH36" s="413">
        <v>0</v>
      </c>
      <c r="BI36" s="413" t="str">
        <v/>
      </c>
      <c r="BJ36" s="413">
        <v>0</v>
      </c>
      <c r="BK36" s="413">
        <f t="shared" si="7"/>
        <v>-712960</v>
      </c>
    </row>
    <row r="37" spans="1:63" ht="21.75" x14ac:dyDescent="0.25">
      <c r="A37" s="217" cm="1">
        <f t="array" ref="A37">IFERROR(INDEX(_xlfn.ANCHORARRAY($R$6),ROW()-5,1),"")</f>
        <v>46152</v>
      </c>
      <c r="B37" s="289" t="str" cm="1">
        <f t="array" ref="B37">IFERROR(INDEX(_xlfn.ANCHORARRAY($R$6),ROW()-5,2),"")</f>
        <v/>
      </c>
      <c r="C37" s="218" t="str">
        <f>IF($A37="","",IF($K37="DIESEL",SUMIFS(Table1[Quantity],Table1[Customer],$P$3,Table1[Date],$A37,Table1[Bill No.],$B37),IF($K37="PETROL",SUMIFS(Table14[Quantity],Table14[Customer],$P$3,Table14[Date],$A37,Table14[Bill No.],$B37),IF($K37="XtraGreen",SUMIFS(Table146[Quantity],Table146[Company],$P$3,Table146[Date],$A37,Table146[Bill No.],$B37),""))))</f>
        <v/>
      </c>
      <c r="D37" s="223" t="str">
        <f>IF($A37="","",IF($K37="DIESEL",AVERAGEIFS(Table1[RSP],Table1[Customer],$P$3,Table1[Date],$A37,Table1[Bill No.],$B37),IF($K37="PETROL",AVERAGEIFS(Table14[RSP],Table14[Customer],$P$3,Table14[Date],$A37,Table14[Bill No.],$B37),IF($K37="XtraGreen",AVERAGEIFS(Table146[RSP],Table146[Company],$P$3,Table146[Date],$A37,Table146[Bill No.],$B37),IFERROR($E37/$C37,"")))))</f>
        <v/>
      </c>
      <c r="E37" s="330">
        <f>IF($A37="","",IF($K37="DIESEL",SUMIFS(Table1[Amount],Table1[Customer],$P$3,Table1[Date],$A37,Table1[Bill No.],$B37),IF($K37="PETROL",SUMIFS(Table14[Amount],Table14[Customer],$P$3,Table14[Date],$A37,Table14[Bill No.],$B37),IF($K37="XtraGreen",SUMIFS(Table146[Amount],Table146[Company],$P$3,Table146[Date],$A37,Table146[Bill No.],$B37),SUMIFS('Other Sale'!$D:$D,'Other Sale'!$E:$E,$P$3,'Other Sale'!$C:$C,$K37,'Other Sale'!$A:$A,$A37)))))</f>
        <v>0</v>
      </c>
      <c r="F37" s="330" cm="1">
        <f t="array" ref="F37">IF($A37="","",IF($K37="Payment",IFERROR(INDEX(_xlfn._xlws.FILTER(MasterPaid[Amount Paid],(MasterPaid[Customer]=$P$3)*(MasterPaid[Date]=$A37)),COUNTIFS($A$6:$A37,$A37,$K$6:$K37,"Payment")),0),0))</f>
        <v>2528.75</v>
      </c>
      <c r="G37" s="331"/>
      <c r="H37" s="331"/>
      <c r="I37" s="330">
        <f t="shared" si="8"/>
        <v>27650</v>
      </c>
      <c r="J37" s="275" t="s">
        <v>2575</v>
      </c>
      <c r="K37" s="289" t="str" cm="1">
        <f t="array" ref="K37">IFERROR(INDEX(_xlfn.ANCHORARRAY($R$6),ROW()-5,3),"")</f>
        <v>Payment</v>
      </c>
      <c r="L37" s="275"/>
      <c r="M37" s="290"/>
      <c r="R37">
        <v>46152</v>
      </c>
      <c r="S37" t="str">
        <v/>
      </c>
      <c r="T37" t="str">
        <v>Payment</v>
      </c>
      <c r="V37" s="396"/>
      <c r="W37" s="350"/>
      <c r="X37" s="414" t="str">
        <f t="shared" si="0"/>
        <v/>
      </c>
      <c r="Y37" s="415" t="str">
        <f t="shared" si="1"/>
        <v/>
      </c>
      <c r="Z37" s="415" t="str">
        <f t="shared" si="2"/>
        <v/>
      </c>
      <c r="AC37" s="396"/>
      <c r="AD37" s="350"/>
      <c r="AE37" s="415" t="str">
        <f t="shared" si="3"/>
        <v/>
      </c>
      <c r="AF37" s="415" t="str">
        <f t="shared" si="4"/>
        <v/>
      </c>
      <c r="AG37" s="415" t="str">
        <f t="shared" si="5"/>
        <v/>
      </c>
      <c r="AQ37" s="409"/>
      <c r="AR37" s="410"/>
      <c r="AS37" s="410"/>
      <c r="AT37" s="411"/>
      <c r="AU37" s="412"/>
      <c r="AV37" s="413"/>
      <c r="AW37" s="413"/>
      <c r="AX37" s="413"/>
      <c r="AY37" s="413"/>
      <c r="AZ37" s="413" t="str">
        <f t="shared" si="6"/>
        <v/>
      </c>
      <c r="BB37" s="409">
        <v>46178</v>
      </c>
      <c r="BC37" s="410" t="str">
        <v>744</v>
      </c>
      <c r="BD37" s="410" t="str">
        <v>DIESEL</v>
      </c>
      <c r="BE37" s="411">
        <v>12000</v>
      </c>
      <c r="BF37" s="412">
        <v>100.74</v>
      </c>
      <c r="BG37" s="413">
        <v>1208880</v>
      </c>
      <c r="BH37" s="413">
        <v>0</v>
      </c>
      <c r="BI37" s="413" t="str">
        <v/>
      </c>
      <c r="BJ37" s="413">
        <v>0</v>
      </c>
      <c r="BK37" s="413">
        <f t="shared" si="7"/>
        <v>495920</v>
      </c>
    </row>
    <row r="38" spans="1:63" ht="21.75" x14ac:dyDescent="0.25">
      <c r="A38" s="217" cm="1">
        <f t="array" ref="A38">IFERROR(INDEX(_xlfn.ANCHORARRAY($R$6),ROW()-5,1),"")</f>
        <v>46153</v>
      </c>
      <c r="B38" s="289" t="str" cm="1">
        <f t="array" ref="B38">IFERROR(INDEX(_xlfn.ANCHORARRAY($R$6),ROW()-5,2),"")</f>
        <v>481</v>
      </c>
      <c r="C38" s="218">
        <f>IF($A38="","",IF($K38="DIESEL",SUMIFS(Table1[Quantity],Table1[Customer],$P$3,Table1[Date],$A38,Table1[Bill No.],$B38),IF($K38="PETROL",SUMIFS(Table14[Quantity],Table14[Customer],$P$3,Table14[Date],$A38,Table14[Bill No.],$B38),IF($K38="XtraGreen",SUMIFS(Table146[Quantity],Table146[Company],$P$3,Table146[Date],$A38,Table146[Bill No.],$B38),""))))</f>
        <v>4000</v>
      </c>
      <c r="D38" s="223">
        <f>IF($A38="","",IF($K38="DIESEL",AVERAGEIFS(Table1[RSP],Table1[Customer],$P$3,Table1[Date],$A38,Table1[Bill No.],$B38),IF($K38="PETROL",AVERAGEIFS(Table14[RSP],Table14[Customer],$P$3,Table14[Date],$A38,Table14[Bill No.],$B38),IF($K38="XtraGreen",AVERAGEIFS(Table146[RSP],Table146[Company],$P$3,Table146[Date],$A38,Table146[Bill No.],$B38),IFERROR($E38/$C38,"")))))</f>
        <v>92.74</v>
      </c>
      <c r="E38" s="330">
        <f>IF($A38="","",IF($K38="DIESEL",SUMIFS(Table1[Amount],Table1[Customer],$P$3,Table1[Date],$A38,Table1[Bill No.],$B38),IF($K38="PETROL",SUMIFS(Table14[Amount],Table14[Customer],$P$3,Table14[Date],$A38,Table14[Bill No.],$B38),IF($K38="XtraGreen",SUMIFS(Table146[Amount],Table146[Company],$P$3,Table146[Date],$A38,Table146[Bill No.],$B38),SUMIFS('Other Sale'!$D:$D,'Other Sale'!$E:$E,$P$3,'Other Sale'!$C:$C,$K38,'Other Sale'!$A:$A,$A38)))))</f>
        <v>370960</v>
      </c>
      <c r="F38" s="330" cm="1">
        <f t="array" ref="F38">IF($A38="","",IF($K38="Payment",IFERROR(INDEX(_xlfn._xlws.FILTER(MasterPaid[Amount Paid],(MasterPaid[Customer]=$P$3)*(MasterPaid[Date]=$A38)),COUNTIFS($A$6:$A38,$A38,$K$6:$K38,"Payment")),0),0))</f>
        <v>0</v>
      </c>
      <c r="G38" s="331"/>
      <c r="H38" s="331"/>
      <c r="I38" s="330">
        <f t="shared" si="8"/>
        <v>398610</v>
      </c>
      <c r="J38" s="275" t="s">
        <v>2575</v>
      </c>
      <c r="K38" s="289" t="str" cm="1">
        <f t="array" ref="K38">IFERROR(INDEX(_xlfn.ANCHORARRAY($R$6),ROW()-5,3),"")</f>
        <v>DIESEL</v>
      </c>
      <c r="L38" s="275"/>
      <c r="M38" s="290"/>
      <c r="R38">
        <v>46153</v>
      </c>
      <c r="S38" t="str">
        <v>481</v>
      </c>
      <c r="T38" t="str">
        <v>DIESEL</v>
      </c>
      <c r="V38" s="396"/>
      <c r="W38" s="350"/>
      <c r="X38" s="414" t="str">
        <f t="shared" si="0"/>
        <v/>
      </c>
      <c r="Y38" s="415" t="str">
        <f t="shared" si="1"/>
        <v/>
      </c>
      <c r="Z38" s="415" t="str">
        <f t="shared" si="2"/>
        <v/>
      </c>
      <c r="AC38" s="396"/>
      <c r="AD38" s="350"/>
      <c r="AE38" s="415" t="str">
        <f t="shared" si="3"/>
        <v/>
      </c>
      <c r="AF38" s="415" t="str">
        <f t="shared" si="4"/>
        <v/>
      </c>
      <c r="AG38" s="415" t="str">
        <f t="shared" si="5"/>
        <v/>
      </c>
      <c r="AQ38" s="409"/>
      <c r="AR38" s="410"/>
      <c r="AS38" s="410"/>
      <c r="AT38" s="411"/>
      <c r="AU38" s="412"/>
      <c r="AV38" s="413"/>
      <c r="AW38" s="413"/>
      <c r="AX38" s="413"/>
      <c r="AY38" s="413"/>
      <c r="AZ38" s="413" t="str">
        <f t="shared" si="6"/>
        <v/>
      </c>
      <c r="BB38" s="409">
        <v>46212</v>
      </c>
      <c r="BC38" s="410" t="str">
        <v>1432</v>
      </c>
      <c r="BD38" s="410" t="str">
        <v>DIESEL</v>
      </c>
      <c r="BE38" s="411">
        <v>18000</v>
      </c>
      <c r="BF38" s="412">
        <v>99.5</v>
      </c>
      <c r="BG38" s="413">
        <v>1791000</v>
      </c>
      <c r="BH38" s="413">
        <v>0</v>
      </c>
      <c r="BI38" s="413" t="str">
        <v/>
      </c>
      <c r="BJ38" s="413">
        <v>0</v>
      </c>
      <c r="BK38" s="413">
        <f t="shared" si="7"/>
        <v>2286920</v>
      </c>
    </row>
    <row r="39" spans="1:63" ht="21.75" x14ac:dyDescent="0.25">
      <c r="A39" s="217" cm="1">
        <f t="array" ref="A39">IFERROR(INDEX(_xlfn.ANCHORARRAY($R$6),ROW()-5,1),"")</f>
        <v>46153</v>
      </c>
      <c r="B39" s="289" t="str" cm="1">
        <f t="array" ref="B39">IFERROR(INDEX(_xlfn.ANCHORARRAY($R$6),ROW()-5,2),"")</f>
        <v/>
      </c>
      <c r="C39" s="218" t="str">
        <f>IF($A39="","",IF($K39="DIESEL",SUMIFS(Table1[Quantity],Table1[Customer],$P$3,Table1[Date],$A39,Table1[Bill No.],$B39),IF($K39="PETROL",SUMIFS(Table14[Quantity],Table14[Customer],$P$3,Table14[Date],$A39,Table14[Bill No.],$B39),IF($K39="XtraGreen",SUMIFS(Table146[Quantity],Table146[Company],$P$3,Table146[Date],$A39,Table146[Bill No.],$B39),""))))</f>
        <v/>
      </c>
      <c r="D39" s="223" t="str">
        <f>IF($A39="","",IF($K39="DIESEL",AVERAGEIFS(Table1[RSP],Table1[Customer],$P$3,Table1[Date],$A39,Table1[Bill No.],$B39),IF($K39="PETROL",AVERAGEIFS(Table14[RSP],Table14[Customer],$P$3,Table14[Date],$A39,Table14[Bill No.],$B39),IF($K39="XtraGreen",AVERAGEIFS(Table146[RSP],Table146[Company],$P$3,Table146[Date],$A39,Table146[Bill No.],$B39),IFERROR($E39/$C39,"")))))</f>
        <v/>
      </c>
      <c r="E39" s="330">
        <f>IF($A39="","",IF($K39="DIESEL",SUMIFS(Table1[Amount],Table1[Customer],$P$3,Table1[Date],$A39,Table1[Bill No.],$B39),IF($K39="PETROL",SUMIFS(Table14[Amount],Table14[Customer],$P$3,Table14[Date],$A39,Table14[Bill No.],$B39),IF($K39="XtraGreen",SUMIFS(Table146[Amount],Table146[Company],$P$3,Table146[Date],$A39,Table146[Bill No.],$B39),SUMIFS('Other Sale'!$D:$D,'Other Sale'!$E:$E,$P$3,'Other Sale'!$C:$C,$K39,'Other Sale'!$A:$A,$A39)))))</f>
        <v>0</v>
      </c>
      <c r="F39" s="330" cm="1">
        <f t="array" ref="F39">IF($A39="","",IF($K39="Payment",IFERROR(INDEX(_xlfn._xlws.FILTER(MasterPaid[Amount Paid],(MasterPaid[Customer]=$P$3)*(MasterPaid[Date]=$A39)),COUNTIFS($A$6:$A39,$A39,$K$6:$K39,"Payment")),0),0))</f>
        <v>1667650</v>
      </c>
      <c r="G39" s="331">
        <v>2240</v>
      </c>
      <c r="H39" s="331"/>
      <c r="I39" s="330">
        <f t="shared" si="8"/>
        <v>-1271280</v>
      </c>
      <c r="J39" s="275" t="s">
        <v>2574</v>
      </c>
      <c r="K39" s="289" t="str" cm="1">
        <f t="array" ref="K39">IFERROR(INDEX(_xlfn.ANCHORARRAY($R$6),ROW()-5,3),"")</f>
        <v>Payment</v>
      </c>
      <c r="L39" s="275"/>
      <c r="M39" s="290"/>
      <c r="R39">
        <v>46153</v>
      </c>
      <c r="S39" t="str">
        <v/>
      </c>
      <c r="T39" t="str">
        <v>Payment</v>
      </c>
      <c r="V39" s="396"/>
      <c r="W39" s="350"/>
      <c r="X39" s="414" t="str">
        <f t="shared" si="0"/>
        <v/>
      </c>
      <c r="Y39" s="415" t="str">
        <f t="shared" si="1"/>
        <v/>
      </c>
      <c r="Z39" s="415" t="str">
        <f t="shared" si="2"/>
        <v/>
      </c>
      <c r="AC39" s="396"/>
      <c r="AD39" s="350"/>
      <c r="AE39" s="415" t="str">
        <f t="shared" si="3"/>
        <v/>
      </c>
      <c r="AF39" s="415" t="str">
        <f t="shared" si="4"/>
        <v/>
      </c>
      <c r="AG39" s="415" t="str">
        <f t="shared" si="5"/>
        <v/>
      </c>
      <c r="AQ39" s="409"/>
      <c r="AR39" s="410"/>
      <c r="AS39" s="410"/>
      <c r="AT39" s="411"/>
      <c r="AU39" s="412"/>
      <c r="AV39" s="413"/>
      <c r="AW39" s="413"/>
      <c r="AX39" s="413"/>
      <c r="AY39" s="413"/>
      <c r="AZ39" s="413" t="str">
        <f t="shared" si="6"/>
        <v/>
      </c>
      <c r="BB39" s="409">
        <v>46216</v>
      </c>
      <c r="BC39" s="410" t="str">
        <v>1503</v>
      </c>
      <c r="BD39" s="410" t="str">
        <v>DIESEL</v>
      </c>
      <c r="BE39" s="411">
        <v>18000</v>
      </c>
      <c r="BF39" s="412">
        <v>99.5</v>
      </c>
      <c r="BG39" s="413">
        <v>1791000</v>
      </c>
      <c r="BH39" s="413">
        <v>0</v>
      </c>
      <c r="BI39" s="413">
        <v>0</v>
      </c>
      <c r="BJ39" s="413">
        <v>0</v>
      </c>
      <c r="BK39" s="413">
        <f t="shared" si="7"/>
        <v>4077920</v>
      </c>
    </row>
    <row r="40" spans="1:63" ht="21.75" x14ac:dyDescent="0.25">
      <c r="A40" s="217" cm="1">
        <f t="array" ref="A40">IFERROR(INDEX(_xlfn.ANCHORARRAY($R$6),ROW()-5,1),"")</f>
        <v>46156</v>
      </c>
      <c r="B40" s="289" t="str" cm="1">
        <f t="array" ref="B40">IFERROR(INDEX(_xlfn.ANCHORARRAY($R$6),ROW()-5,2),"")</f>
        <v/>
      </c>
      <c r="C40" s="218" t="str">
        <f>IF($A40="","",IF($K40="DIESEL",SUMIFS(Table1[Quantity],Table1[Customer],$P$3,Table1[Date],$A40,Table1[Bill No.],$B40),IF($K40="PETROL",SUMIFS(Table14[Quantity],Table14[Customer],$P$3,Table14[Date],$A40,Table14[Bill No.],$B40),IF($K40="XtraGreen",SUMIFS(Table146[Quantity],Table146[Company],$P$3,Table146[Date],$A40,Table146[Bill No.],$B40),""))))</f>
        <v/>
      </c>
      <c r="D40" s="223" t="str">
        <f>IF($A40="","",IF($K40="DIESEL",AVERAGEIFS(Table1[RSP],Table1[Customer],$P$3,Table1[Date],$A40,Table1[Bill No.],$B40),IF($K40="PETROL",AVERAGEIFS(Table14[RSP],Table14[Customer],$P$3,Table14[Date],$A40,Table14[Bill No.],$B40),IF($K40="XtraGreen",AVERAGEIFS(Table146[RSP],Table146[Company],$P$3,Table146[Date],$A40,Table146[Bill No.],$B40),IFERROR($E40/$C40,"")))))</f>
        <v/>
      </c>
      <c r="E40" s="330">
        <f>IF($A40="","",IF($K40="DIESEL",SUMIFS(Table1[Amount],Table1[Customer],$P$3,Table1[Date],$A40,Table1[Bill No.],$B40),IF($K40="PETROL",SUMIFS(Table14[Amount],Table14[Customer],$P$3,Table14[Date],$A40,Table14[Bill No.],$B40),IF($K40="XtraGreen",SUMIFS(Table146[Amount],Table146[Company],$P$3,Table146[Date],$A40,Table146[Bill No.],$B40),SUMIFS('Other Sale'!$D:$D,'Other Sale'!$E:$E,$P$3,'Other Sale'!$C:$C,$K40,'Other Sale'!$A:$A,$A40)))))</f>
        <v>0</v>
      </c>
      <c r="F40" s="330" cm="1">
        <f t="array" ref="F40">IF($A40="","",IF($K40="Payment",IFERROR(INDEX(_xlfn._xlws.FILTER(MasterPaid[Amount Paid],(MasterPaid[Customer]=$P$3)*(MasterPaid[Date]=$A40)),COUNTIFS($A$6:$A40,$A40,$K$6:$K40,"Payment")),0),0))</f>
        <v>2316181</v>
      </c>
      <c r="G40" s="331">
        <v>2319</v>
      </c>
      <c r="H40" s="331"/>
      <c r="I40" s="330">
        <f t="shared" si="8"/>
        <v>-3589780</v>
      </c>
      <c r="J40" s="275" t="s">
        <v>2575</v>
      </c>
      <c r="K40" s="289" t="str" cm="1">
        <f t="array" ref="K40">IFERROR(INDEX(_xlfn.ANCHORARRAY($R$6),ROW()-5,3),"")</f>
        <v>Payment</v>
      </c>
      <c r="L40" s="275"/>
      <c r="M40" s="290"/>
      <c r="R40">
        <v>46156</v>
      </c>
      <c r="S40" t="str">
        <v/>
      </c>
      <c r="T40" t="str">
        <v>Payment</v>
      </c>
      <c r="V40" s="396"/>
      <c r="W40" s="350"/>
      <c r="X40" s="414" t="str">
        <f t="shared" si="0"/>
        <v/>
      </c>
      <c r="Y40" s="415" t="str">
        <f t="shared" si="1"/>
        <v/>
      </c>
      <c r="Z40" s="415" t="str">
        <f t="shared" si="2"/>
        <v/>
      </c>
      <c r="AC40" s="396"/>
      <c r="AD40" s="350"/>
      <c r="AE40" s="415" t="str">
        <f t="shared" si="3"/>
        <v/>
      </c>
      <c r="AF40" s="415" t="str">
        <f t="shared" si="4"/>
        <v/>
      </c>
      <c r="AG40" s="415" t="str">
        <f t="shared" si="5"/>
        <v/>
      </c>
      <c r="AQ40" s="409"/>
      <c r="AR40" s="410"/>
      <c r="AS40" s="410"/>
      <c r="AT40" s="411"/>
      <c r="AU40" s="412"/>
      <c r="AV40" s="413"/>
      <c r="AW40" s="413"/>
      <c r="AX40" s="413"/>
      <c r="AY40" s="413"/>
      <c r="AZ40" s="413" t="str">
        <f t="shared" si="6"/>
        <v/>
      </c>
      <c r="BB40" s="409">
        <v>46216</v>
      </c>
      <c r="BC40" s="410" t="str">
        <v/>
      </c>
      <c r="BD40" s="410" t="str">
        <v>Payment</v>
      </c>
      <c r="BE40" s="411" t="str">
        <v/>
      </c>
      <c r="BF40" s="412" t="str">
        <v/>
      </c>
      <c r="BG40" s="413">
        <v>0</v>
      </c>
      <c r="BH40" s="413">
        <v>3578418</v>
      </c>
      <c r="BI40" s="413">
        <v>3582</v>
      </c>
      <c r="BJ40" s="413">
        <v>0</v>
      </c>
      <c r="BK40" s="413">
        <f t="shared" si="7"/>
        <v>495920</v>
      </c>
    </row>
    <row r="41" spans="1:63" ht="21.75" x14ac:dyDescent="0.25">
      <c r="A41" s="217" cm="1">
        <f t="array" ref="A41">IFERROR(INDEX(_xlfn.ANCHORARRAY($R$6),ROW()-5,1),"")</f>
        <v>46157</v>
      </c>
      <c r="B41" s="289" t="str" cm="1">
        <f t="array" ref="B41">IFERROR(INDEX(_xlfn.ANCHORARRAY($R$6),ROW()-5,2),"")</f>
        <v>531</v>
      </c>
      <c r="C41" s="218">
        <f>IF($A41="","",IF($K41="DIESEL",SUMIFS(Table1[Quantity],Table1[Customer],$P$3,Table1[Date],$A41,Table1[Bill No.],$B41),IF($K41="PETROL",SUMIFS(Table14[Quantity],Table14[Customer],$P$3,Table14[Date],$A41,Table14[Bill No.],$B41),IF($K41="XtraGreen",SUMIFS(Table146[Quantity],Table146[Company],$P$3,Table146[Date],$A41,Table146[Bill No.],$B41),""))))</f>
        <v>3000</v>
      </c>
      <c r="D41" s="223">
        <f>IF($A41="","",IF($K41="DIESEL",AVERAGEIFS(Table1[RSP],Table1[Customer],$P$3,Table1[Date],$A41,Table1[Bill No.],$B41),IF($K41="PETROL",AVERAGEIFS(Table14[RSP],Table14[Customer],$P$3,Table14[Date],$A41,Table14[Bill No.],$B41),IF($K41="XtraGreen",AVERAGEIFS(Table146[RSP],Table146[Company],$P$3,Table146[Date],$A41,Table146[Bill No.],$B41),IFERROR($E41/$C41,"")))))</f>
        <v>95.93</v>
      </c>
      <c r="E41" s="330">
        <f>IF($A41="","",IF($K41="DIESEL",SUMIFS(Table1[Amount],Table1[Customer],$P$3,Table1[Date],$A41,Table1[Bill No.],$B41),IF($K41="PETROL",SUMIFS(Table14[Amount],Table14[Customer],$P$3,Table14[Date],$A41,Table14[Bill No.],$B41),IF($K41="XtraGreen",SUMIFS(Table146[Amount],Table146[Company],$P$3,Table146[Date],$A41,Table146[Bill No.],$B41),SUMIFS('Other Sale'!$D:$D,'Other Sale'!$E:$E,$P$3,'Other Sale'!$C:$C,$K41,'Other Sale'!$A:$A,$A41)))))</f>
        <v>287790</v>
      </c>
      <c r="F41" s="330" cm="1">
        <f t="array" ref="F41">IF($A41="","",IF($K41="Payment",IFERROR(INDEX(_xlfn._xlws.FILTER(MasterPaid[Amount Paid],(MasterPaid[Customer]=$P$3)*(MasterPaid[Date]=$A41)),COUNTIFS($A$6:$A41,$A41,$K$6:$K41,"Payment")),0),0))</f>
        <v>0</v>
      </c>
      <c r="G41" s="331" t="s">
        <v>13</v>
      </c>
      <c r="H41" s="331"/>
      <c r="I41" s="330">
        <f t="shared" si="8"/>
        <v>-3301990</v>
      </c>
      <c r="J41" s="275" t="s">
        <v>2575</v>
      </c>
      <c r="K41" s="289" t="str" cm="1">
        <f t="array" ref="K41">IFERROR(INDEX(_xlfn.ANCHORARRAY($R$6),ROW()-5,3),"")</f>
        <v>DIESEL</v>
      </c>
      <c r="L41" s="275"/>
      <c r="M41" s="290"/>
      <c r="R41">
        <v>46157</v>
      </c>
      <c r="S41" t="str">
        <v>531</v>
      </c>
      <c r="T41" t="str">
        <v>DIESEL</v>
      </c>
      <c r="V41" s="396"/>
      <c r="W41" s="350"/>
      <c r="X41" s="414" t="str">
        <f t="shared" si="0"/>
        <v/>
      </c>
      <c r="Y41" s="415" t="str">
        <f t="shared" si="1"/>
        <v/>
      </c>
      <c r="Z41" s="415" t="str">
        <f t="shared" si="2"/>
        <v/>
      </c>
      <c r="AC41" s="396"/>
      <c r="AD41" s="350"/>
      <c r="AE41" s="415" t="str">
        <f t="shared" si="3"/>
        <v/>
      </c>
      <c r="AF41" s="415" t="str">
        <f t="shared" si="4"/>
        <v/>
      </c>
      <c r="AG41" s="415" t="str">
        <f t="shared" si="5"/>
        <v/>
      </c>
      <c r="AQ41" s="409"/>
      <c r="AR41" s="410"/>
      <c r="AS41" s="410"/>
      <c r="AT41" s="411"/>
      <c r="AU41" s="412"/>
      <c r="AV41" s="413"/>
      <c r="AW41" s="413"/>
      <c r="AX41" s="413"/>
      <c r="AY41" s="413"/>
      <c r="AZ41" s="413" t="str">
        <f t="shared" si="6"/>
        <v/>
      </c>
      <c r="BB41" s="409">
        <v>46217</v>
      </c>
      <c r="BC41" s="410" t="str">
        <v>1541</v>
      </c>
      <c r="BD41" s="410" t="str">
        <v>DIESEL</v>
      </c>
      <c r="BE41" s="411">
        <v>18000</v>
      </c>
      <c r="BF41" s="412">
        <v>99.5</v>
      </c>
      <c r="BG41" s="413">
        <v>1791000</v>
      </c>
      <c r="BH41" s="413">
        <v>0</v>
      </c>
      <c r="BI41" s="413" t="str">
        <v/>
      </c>
      <c r="BJ41" s="413">
        <v>0</v>
      </c>
      <c r="BK41" s="413">
        <f t="shared" si="7"/>
        <v>2286920</v>
      </c>
    </row>
    <row r="42" spans="1:63" ht="21.75" x14ac:dyDescent="0.25">
      <c r="A42" s="217" cm="1">
        <f t="array" ref="A42">IFERROR(INDEX(_xlfn.ANCHORARRAY($R$6),ROW()-5,1),"")</f>
        <v>46163</v>
      </c>
      <c r="B42" s="289" t="str" cm="1">
        <f t="array" ref="B42">IFERROR(INDEX(_xlfn.ANCHORARRAY($R$6),ROW()-5,2),"")</f>
        <v>580</v>
      </c>
      <c r="C42" s="218">
        <f>IF($A42="","",IF($K42="DIESEL",SUMIFS(Table1[Quantity],Table1[Customer],$P$3,Table1[Date],$A42,Table1[Bill No.],$B42),IF($K42="PETROL",SUMIFS(Table14[Quantity],Table14[Customer],$P$3,Table14[Date],$A42,Table14[Bill No.],$B42),IF($K42="XtraGreen",SUMIFS(Table146[Quantity],Table146[Company],$P$3,Table146[Date],$A42,Table146[Bill No.],$B42),""))))</f>
        <v>3000</v>
      </c>
      <c r="D42" s="223">
        <f>IF($A42="","",IF($K42="DIESEL",AVERAGEIFS(Table1[RSP],Table1[Customer],$P$3,Table1[Date],$A42,Table1[Bill No.],$B42),IF($K42="PETROL",AVERAGEIFS(Table14[RSP],Table14[Customer],$P$3,Table14[Date],$A42,Table14[Bill No.],$B42),IF($K42="XtraGreen",AVERAGEIFS(Table146[RSP],Table146[Company],$P$3,Table146[Date],$A42,Table146[Bill No.],$B42),IFERROR($E42/$C42,"")))))</f>
        <v>96.9</v>
      </c>
      <c r="E42" s="330">
        <f>IF($A42="","",IF($K42="DIESEL",SUMIFS(Table1[Amount],Table1[Customer],$P$3,Table1[Date],$A42,Table1[Bill No.],$B42),IF($K42="PETROL",SUMIFS(Table14[Amount],Table14[Customer],$P$3,Table14[Date],$A42,Table14[Bill No.],$B42),IF($K42="XtraGreen",SUMIFS(Table146[Amount],Table146[Company],$P$3,Table146[Date],$A42,Table146[Bill No.],$B42),SUMIFS('Other Sale'!$D:$D,'Other Sale'!$E:$E,$P$3,'Other Sale'!$C:$C,$K42,'Other Sale'!$A:$A,$A42)))))</f>
        <v>290700</v>
      </c>
      <c r="F42" s="330" cm="1">
        <f t="array" ref="F42">IF($A42="","",IF($K42="Payment",IFERROR(INDEX(_xlfn._xlws.FILTER(MasterPaid[Amount Paid],(MasterPaid[Customer]=$P$3)*(MasterPaid[Date]=$A42)),COUNTIFS($A$6:$A42,$A42,$K$6:$K42,"Payment")),0),0))</f>
        <v>0</v>
      </c>
      <c r="G42" s="331" t="s">
        <v>13</v>
      </c>
      <c r="H42" s="331"/>
      <c r="I42" s="330">
        <f t="shared" si="8"/>
        <v>-3011290</v>
      </c>
      <c r="J42" s="275" t="s">
        <v>2574</v>
      </c>
      <c r="K42" s="289" t="str" cm="1">
        <f t="array" ref="K42">IFERROR(INDEX(_xlfn.ANCHORARRAY($R$6),ROW()-5,3),"")</f>
        <v>DIESEL</v>
      </c>
      <c r="L42" s="275"/>
      <c r="M42" s="290"/>
      <c r="R42">
        <v>46163</v>
      </c>
      <c r="S42" t="str">
        <v>580</v>
      </c>
      <c r="T42" t="str">
        <v>DIESEL</v>
      </c>
      <c r="V42" s="396"/>
      <c r="W42" s="350"/>
      <c r="X42" s="414" t="str">
        <f t="shared" si="0"/>
        <v/>
      </c>
      <c r="Y42" s="415" t="str">
        <f t="shared" si="1"/>
        <v/>
      </c>
      <c r="Z42" s="415" t="str">
        <f t="shared" si="2"/>
        <v/>
      </c>
      <c r="AC42" s="396"/>
      <c r="AD42" s="350"/>
      <c r="AE42" s="415" t="str">
        <f t="shared" si="3"/>
        <v/>
      </c>
      <c r="AF42" s="415" t="str">
        <f t="shared" si="4"/>
        <v/>
      </c>
      <c r="AG42" s="415" t="str">
        <f t="shared" si="5"/>
        <v/>
      </c>
      <c r="AQ42" s="409"/>
      <c r="AR42" s="410"/>
      <c r="AS42" s="410"/>
      <c r="AT42" s="411"/>
      <c r="AU42" s="412"/>
      <c r="AV42" s="413"/>
      <c r="AW42" s="413"/>
      <c r="AX42" s="413"/>
      <c r="AY42" s="413"/>
      <c r="AZ42" s="413" t="str">
        <f t="shared" si="6"/>
        <v/>
      </c>
      <c r="BB42" s="409">
        <v>46218</v>
      </c>
      <c r="BC42" s="410" t="str">
        <v/>
      </c>
      <c r="BD42" s="410" t="str">
        <v>Payment</v>
      </c>
      <c r="BE42" s="411" t="str">
        <v/>
      </c>
      <c r="BF42" s="412" t="str">
        <v/>
      </c>
      <c r="BG42" s="413">
        <v>0</v>
      </c>
      <c r="BH42" s="413">
        <v>490590</v>
      </c>
      <c r="BI42" s="413">
        <v>0</v>
      </c>
      <c r="BJ42" s="413">
        <v>0</v>
      </c>
      <c r="BK42" s="413">
        <f t="shared" si="7"/>
        <v>1796330</v>
      </c>
    </row>
    <row r="43" spans="1:63" ht="21.75" x14ac:dyDescent="0.25">
      <c r="A43" s="217" cm="1">
        <f t="array" ref="A43">IFERROR(INDEX(_xlfn.ANCHORARRAY($R$6),ROW()-5,1),"")</f>
        <v>46164</v>
      </c>
      <c r="B43" s="289" t="str" cm="1">
        <f t="array" ref="B43">IFERROR(INDEX(_xlfn.ANCHORARRAY($R$6),ROW()-5,2),"")</f>
        <v>589</v>
      </c>
      <c r="C43" s="218">
        <f>IF($A43="","",IF($K43="DIESEL",SUMIFS(Table1[Quantity],Table1[Customer],$P$3,Table1[Date],$A43,Table1[Bill No.],$B43),IF($K43="PETROL",SUMIFS(Table14[Quantity],Table14[Customer],$P$3,Table14[Date],$A43,Table14[Bill No.],$B43),IF($K43="XtraGreen",SUMIFS(Table146[Quantity],Table146[Company],$P$3,Table146[Date],$A43,Table146[Bill No.],$B43),""))))</f>
        <v>3000</v>
      </c>
      <c r="D43" s="223">
        <f>IF($A43="","",IF($K43="DIESEL",AVERAGEIFS(Table1[RSP],Table1[Customer],$P$3,Table1[Date],$A43,Table1[Bill No.],$B43),IF($K43="PETROL",AVERAGEIFS(Table14[RSP],Table14[Customer],$P$3,Table14[Date],$A43,Table14[Bill No.],$B43),IF($K43="XtraGreen",AVERAGEIFS(Table146[RSP],Table146[Company],$P$3,Table146[Date],$A43,Table146[Bill No.],$B43),IFERROR($E43/$C43,"")))))</f>
        <v>96.9</v>
      </c>
      <c r="E43" s="330">
        <f>IF($A43="","",IF($K43="DIESEL",SUMIFS(Table1[Amount],Table1[Customer],$P$3,Table1[Date],$A43,Table1[Bill No.],$B43),IF($K43="PETROL",SUMIFS(Table14[Amount],Table14[Customer],$P$3,Table14[Date],$A43,Table14[Bill No.],$B43),IF($K43="XtraGreen",SUMIFS(Table146[Amount],Table146[Company],$P$3,Table146[Date],$A43,Table146[Bill No.],$B43),SUMIFS('Other Sale'!$D:$D,'Other Sale'!$E:$E,$P$3,'Other Sale'!$C:$C,$K43,'Other Sale'!$A:$A,$A43)))))</f>
        <v>290700</v>
      </c>
      <c r="F43" s="330" cm="1">
        <f t="array" ref="F43">IF($A43="","",IF($K43="Payment",IFERROR(INDEX(_xlfn._xlws.FILTER(MasterPaid[Amount Paid],(MasterPaid[Customer]=$P$3)*(MasterPaid[Date]=$A43)),COUNTIFS($A$6:$A43,$A43,$K$6:$K43,"Payment")),0),0))</f>
        <v>0</v>
      </c>
      <c r="G43" s="331" t="s">
        <v>13</v>
      </c>
      <c r="H43" s="331"/>
      <c r="I43" s="330">
        <f t="shared" si="8"/>
        <v>-2720590</v>
      </c>
      <c r="J43" s="275" t="s">
        <v>2575</v>
      </c>
      <c r="K43" s="289" t="str" cm="1">
        <f t="array" ref="K43">IFERROR(INDEX(_xlfn.ANCHORARRAY($R$6),ROW()-5,3),"")</f>
        <v>DIESEL</v>
      </c>
      <c r="L43" s="275"/>
      <c r="M43" s="290"/>
      <c r="R43">
        <v>46164</v>
      </c>
      <c r="S43" t="str">
        <v>589</v>
      </c>
      <c r="T43" t="str">
        <v>DIESEL</v>
      </c>
      <c r="V43" s="396"/>
      <c r="W43" s="350"/>
      <c r="X43" s="414" t="str">
        <f t="shared" si="0"/>
        <v/>
      </c>
      <c r="Y43" s="415" t="str">
        <f t="shared" si="1"/>
        <v/>
      </c>
      <c r="Z43" s="415" t="str">
        <f t="shared" si="2"/>
        <v/>
      </c>
      <c r="AC43" s="396"/>
      <c r="AD43" s="350"/>
      <c r="AE43" s="415" t="str">
        <f t="shared" si="3"/>
        <v/>
      </c>
      <c r="AF43" s="415" t="str">
        <f t="shared" si="4"/>
        <v/>
      </c>
      <c r="AG43" s="415" t="str">
        <f t="shared" si="5"/>
        <v/>
      </c>
      <c r="AQ43" s="409"/>
      <c r="AR43" s="410"/>
      <c r="AS43" s="410"/>
      <c r="AT43" s="411"/>
      <c r="AU43" s="412"/>
      <c r="AV43" s="413"/>
      <c r="AW43" s="413"/>
      <c r="AX43" s="413"/>
      <c r="AY43" s="413"/>
      <c r="AZ43" s="413" t="str">
        <f t="shared" si="6"/>
        <v/>
      </c>
      <c r="BB43" s="409">
        <v>46220</v>
      </c>
      <c r="BC43" s="410" t="str">
        <v>1576</v>
      </c>
      <c r="BD43" s="410" t="str">
        <v>DIESEL</v>
      </c>
      <c r="BE43" s="411">
        <v>12000</v>
      </c>
      <c r="BF43" s="412">
        <v>99.5</v>
      </c>
      <c r="BG43" s="413">
        <v>1194000</v>
      </c>
      <c r="BH43" s="413">
        <v>0</v>
      </c>
      <c r="BI43" s="413" t="str">
        <v/>
      </c>
      <c r="BJ43" s="413">
        <v>0</v>
      </c>
      <c r="BK43" s="413">
        <f t="shared" si="7"/>
        <v>2990330</v>
      </c>
    </row>
    <row r="44" spans="1:63" ht="21.75" x14ac:dyDescent="0.25">
      <c r="A44" s="217" cm="1">
        <f t="array" ref="A44">IFERROR(INDEX(_xlfn.ANCHORARRAY($R$6),ROW()-5,1),"")</f>
        <v>46167</v>
      </c>
      <c r="B44" s="289" t="str" cm="1">
        <f t="array" ref="B44">IFERROR(INDEX(_xlfn.ANCHORARRAY($R$6),ROW()-5,2),"")</f>
        <v>631</v>
      </c>
      <c r="C44" s="218">
        <f>IF($A44="","",IF($K44="DIESEL",SUMIFS(Table1[Quantity],Table1[Customer],$P$3,Table1[Date],$A44,Table1[Bill No.],$B44),IF($K44="PETROL",SUMIFS(Table14[Quantity],Table14[Customer],$P$3,Table14[Date],$A44,Table14[Bill No.],$B44),IF($K44="XtraGreen",SUMIFS(Table146[Quantity],Table146[Company],$P$3,Table146[Date],$A44,Table146[Bill No.],$B44),""))))</f>
        <v>3000</v>
      </c>
      <c r="D44" s="223">
        <f>IF($A44="","",IF($K44="DIESEL",AVERAGEIFS(Table1[RSP],Table1[Customer],$P$3,Table1[Date],$A44,Table1[Bill No.],$B44),IF($K44="PETROL",AVERAGEIFS(Table14[RSP],Table14[Customer],$P$3,Table14[Date],$A44,Table14[Bill No.],$B44),IF($K44="XtraGreen",AVERAGEIFS(Table146[RSP],Table146[Company],$P$3,Table146[Date],$A44,Table146[Bill No.],$B44),IFERROR($E44/$C44,"")))))</f>
        <v>100.74</v>
      </c>
      <c r="E44" s="330">
        <f>IF($A44="","",IF($K44="DIESEL",SUMIFS(Table1[Amount],Table1[Customer],$P$3,Table1[Date],$A44,Table1[Bill No.],$B44),IF($K44="PETROL",SUMIFS(Table14[Amount],Table14[Customer],$P$3,Table14[Date],$A44,Table14[Bill No.],$B44),IF($K44="XtraGreen",SUMIFS(Table146[Amount],Table146[Company],$P$3,Table146[Date],$A44,Table146[Bill No.],$B44),SUMIFS('Other Sale'!$D:$D,'Other Sale'!$E:$E,$P$3,'Other Sale'!$C:$C,$K44,'Other Sale'!$A:$A,$A44)))))</f>
        <v>302220</v>
      </c>
      <c r="F44" s="330" cm="1">
        <f t="array" ref="F44">IF($A44="","",IF($K44="Payment",IFERROR(INDEX(_xlfn._xlws.FILTER(MasterPaid[Amount Paid],(MasterPaid[Customer]=$P$3)*(MasterPaid[Date]=$A44)),COUNTIFS($A$6:$A44,$A44,$K$6:$K44,"Payment")),0),0))</f>
        <v>0</v>
      </c>
      <c r="G44" s="331" t="s">
        <v>13</v>
      </c>
      <c r="H44" s="331"/>
      <c r="I44" s="330">
        <f t="shared" si="8"/>
        <v>-2418370</v>
      </c>
      <c r="J44" s="275" t="s">
        <v>2575</v>
      </c>
      <c r="K44" s="289" t="str" cm="1">
        <f t="array" ref="K44">IFERROR(INDEX(_xlfn.ANCHORARRAY($R$6),ROW()-5,3),"")</f>
        <v>DIESEL</v>
      </c>
      <c r="L44" s="275"/>
      <c r="M44" s="290"/>
      <c r="R44">
        <v>46167</v>
      </c>
      <c r="S44" t="str">
        <v>631</v>
      </c>
      <c r="T44" t="str">
        <v>DIESEL</v>
      </c>
      <c r="V44" s="396"/>
      <c r="W44" s="350"/>
      <c r="X44" s="414" t="str">
        <f t="shared" si="0"/>
        <v/>
      </c>
      <c r="Y44" s="415" t="str">
        <f t="shared" si="1"/>
        <v/>
      </c>
      <c r="Z44" s="415" t="str">
        <f t="shared" si="2"/>
        <v/>
      </c>
      <c r="AC44" s="396"/>
      <c r="AD44" s="350"/>
      <c r="AE44" s="415" t="str">
        <f t="shared" si="3"/>
        <v/>
      </c>
      <c r="AF44" s="415" t="str">
        <f t="shared" si="4"/>
        <v/>
      </c>
      <c r="AG44" s="415" t="str">
        <f t="shared" si="5"/>
        <v/>
      </c>
      <c r="AQ44" s="409"/>
      <c r="AR44" s="410"/>
      <c r="AS44" s="410"/>
      <c r="AT44" s="411"/>
      <c r="AU44" s="412"/>
      <c r="AV44" s="413"/>
      <c r="AW44" s="413"/>
      <c r="AX44" s="413"/>
      <c r="AY44" s="413"/>
      <c r="AZ44" s="413" t="str">
        <f t="shared" si="6"/>
        <v/>
      </c>
      <c r="BB44" s="409">
        <v>46224</v>
      </c>
      <c r="BC44" s="410" t="str">
        <v>1661</v>
      </c>
      <c r="BD44" s="410" t="str">
        <v>DIESEL</v>
      </c>
      <c r="BE44" s="411">
        <v>4000</v>
      </c>
      <c r="BF44" s="412">
        <v>99.5</v>
      </c>
      <c r="BG44" s="413">
        <v>398000</v>
      </c>
      <c r="BH44" s="413">
        <v>0</v>
      </c>
      <c r="BI44" s="413" t="str">
        <v/>
      </c>
      <c r="BJ44" s="413">
        <v>0</v>
      </c>
      <c r="BK44" s="413">
        <f t="shared" si="7"/>
        <v>3388330</v>
      </c>
    </row>
    <row r="45" spans="1:63" ht="21.75" x14ac:dyDescent="0.25">
      <c r="A45" s="217" cm="1">
        <f t="array" ref="A45">IFERROR(INDEX(_xlfn.ANCHORARRAY($R$6),ROW()-5,1),"")</f>
        <v>46169</v>
      </c>
      <c r="B45" s="289" t="str" cm="1">
        <f t="array" ref="B45">IFERROR(INDEX(_xlfn.ANCHORARRAY($R$6),ROW()-5,2),"")</f>
        <v>648</v>
      </c>
      <c r="C45" s="218">
        <f>IF($A45="","",IF($K45="DIESEL",SUMIFS(Table1[Quantity],Table1[Customer],$P$3,Table1[Date],$A45,Table1[Bill No.],$B45),IF($K45="PETROL",SUMIFS(Table14[Quantity],Table14[Customer],$P$3,Table14[Date],$A45,Table14[Bill No.],$B45),IF($K45="XtraGreen",SUMIFS(Table146[Quantity],Table146[Company],$P$3,Table146[Date],$A45,Table146[Bill No.],$B45),""))))</f>
        <v>3000</v>
      </c>
      <c r="D45" s="223">
        <f>IF($A45="","",IF($K45="DIESEL",AVERAGEIFS(Table1[RSP],Table1[Customer],$P$3,Table1[Date],$A45,Table1[Bill No.],$B45),IF($K45="PETROL",AVERAGEIFS(Table14[RSP],Table14[Customer],$P$3,Table14[Date],$A45,Table14[Bill No.],$B45),IF($K45="XtraGreen",AVERAGEIFS(Table146[RSP],Table146[Company],$P$3,Table146[Date],$A45,Table146[Bill No.],$B45),IFERROR($E45/$C45,"")))))</f>
        <v>100.74</v>
      </c>
      <c r="E45" s="330">
        <f>IF($A45="","",IF($K45="DIESEL",SUMIFS(Table1[Amount],Table1[Customer],$P$3,Table1[Date],$A45,Table1[Bill No.],$B45),IF($K45="PETROL",SUMIFS(Table14[Amount],Table14[Customer],$P$3,Table14[Date],$A45,Table14[Bill No.],$B45),IF($K45="XtraGreen",SUMIFS(Table146[Amount],Table146[Company],$P$3,Table146[Date],$A45,Table146[Bill No.],$B45),SUMIFS('Other Sale'!$D:$D,'Other Sale'!$E:$E,$P$3,'Other Sale'!$C:$C,$K45,'Other Sale'!$A:$A,$A45)))))</f>
        <v>302220</v>
      </c>
      <c r="F45" s="330" cm="1">
        <f t="array" ref="F45">IF($A45="","",IF($K45="Payment",IFERROR(INDEX(_xlfn._xlws.FILTER(MasterPaid[Amount Paid],(MasterPaid[Customer]=$P$3)*(MasterPaid[Date]=$A45)),COUNTIFS($A$6:$A45,$A45,$K$6:$K45,"Payment")),0),0))</f>
        <v>0</v>
      </c>
      <c r="G45" s="331" t="s">
        <v>13</v>
      </c>
      <c r="H45" s="331"/>
      <c r="I45" s="330">
        <f t="shared" si="8"/>
        <v>-2116150</v>
      </c>
      <c r="J45" s="275" t="s">
        <v>2575</v>
      </c>
      <c r="K45" s="289" t="str" cm="1">
        <f t="array" ref="K45">IFERROR(INDEX(_xlfn.ANCHORARRAY($R$6),ROW()-5,3),"")</f>
        <v>DIESEL</v>
      </c>
      <c r="L45" s="275"/>
      <c r="M45" s="290"/>
      <c r="R45">
        <v>46169</v>
      </c>
      <c r="S45" t="str">
        <v>648</v>
      </c>
      <c r="T45" t="str">
        <v>DIESEL</v>
      </c>
      <c r="V45" s="396"/>
      <c r="W45" s="350"/>
      <c r="X45" s="414" t="str">
        <f t="shared" si="0"/>
        <v/>
      </c>
      <c r="Y45" s="415" t="str">
        <f t="shared" si="1"/>
        <v/>
      </c>
      <c r="Z45" s="415" t="str">
        <f t="shared" si="2"/>
        <v/>
      </c>
      <c r="AC45" s="396"/>
      <c r="AD45" s="350"/>
      <c r="AE45" s="415" t="str">
        <f t="shared" si="3"/>
        <v/>
      </c>
      <c r="AF45" s="415" t="str">
        <f t="shared" si="4"/>
        <v/>
      </c>
      <c r="AG45" s="415" t="str">
        <f t="shared" si="5"/>
        <v/>
      </c>
      <c r="AQ45" s="409"/>
      <c r="AR45" s="410"/>
      <c r="AS45" s="410"/>
      <c r="AT45" s="411"/>
      <c r="AU45" s="412"/>
      <c r="AV45" s="413"/>
      <c r="AW45" s="413"/>
      <c r="AX45" s="413"/>
      <c r="AY45" s="413"/>
      <c r="AZ45" s="413" t="str">
        <f t="shared" si="6"/>
        <v/>
      </c>
      <c r="BB45" s="409">
        <v>46224</v>
      </c>
      <c r="BC45" s="410" t="str">
        <v>1662</v>
      </c>
      <c r="BD45" s="410" t="str">
        <v>DIESEL</v>
      </c>
      <c r="BE45" s="411">
        <v>14000</v>
      </c>
      <c r="BF45" s="412">
        <v>99.5</v>
      </c>
      <c r="BG45" s="413">
        <v>1393000</v>
      </c>
      <c r="BH45" s="413">
        <v>0</v>
      </c>
      <c r="BI45" s="413" t="str">
        <v/>
      </c>
      <c r="BJ45" s="413">
        <v>0</v>
      </c>
      <c r="BK45" s="413">
        <f t="shared" si="7"/>
        <v>4781330</v>
      </c>
    </row>
    <row r="46" spans="1:63" ht="21.75" x14ac:dyDescent="0.25">
      <c r="A46" s="217" cm="1">
        <f t="array" ref="A46">IFERROR(INDEX(_xlfn.ANCHORARRAY($R$6),ROW()-5,1),"")</f>
        <v>46174</v>
      </c>
      <c r="B46" s="289" t="str" cm="1">
        <f t="array" ref="B46">IFERROR(INDEX(_xlfn.ANCHORARRAY($R$6),ROW()-5,2),"")</f>
        <v>692</v>
      </c>
      <c r="C46" s="218">
        <f>IF($A46="","",IF($K46="DIESEL",SUMIFS(Table1[Quantity],Table1[Customer],$P$3,Table1[Date],$A46,Table1[Bill No.],$B46),IF($K46="PETROL",SUMIFS(Table14[Quantity],Table14[Customer],$P$3,Table14[Date],$A46,Table14[Bill No.],$B46),IF($K46="XtraGreen",SUMIFS(Table146[Quantity],Table146[Company],$P$3,Table146[Date],$A46,Table146[Bill No.],$B46),""))))</f>
        <v>3000</v>
      </c>
      <c r="D46" s="223">
        <f>IF($A46="","",IF($K46="DIESEL",AVERAGEIFS(Table1[RSP],Table1[Customer],$P$3,Table1[Date],$A46,Table1[Bill No.],$B46),IF($K46="PETROL",AVERAGEIFS(Table14[RSP],Table14[Customer],$P$3,Table14[Date],$A46,Table14[Bill No.],$B46),IF($K46="XtraGreen",AVERAGEIFS(Table146[RSP],Table146[Company],$P$3,Table146[Date],$A46,Table146[Bill No.],$B46),IFERROR($E46/$C46,"")))))</f>
        <v>100.74</v>
      </c>
      <c r="E46" s="330">
        <f>IF($A46="","",IF($K46="DIESEL",SUMIFS(Table1[Amount],Table1[Customer],$P$3,Table1[Date],$A46,Table1[Bill No.],$B46),IF($K46="PETROL",SUMIFS(Table14[Amount],Table14[Customer],$P$3,Table14[Date],$A46,Table14[Bill No.],$B46),IF($K46="XtraGreen",SUMIFS(Table146[Amount],Table146[Company],$P$3,Table146[Date],$A46,Table146[Bill No.],$B46),SUMIFS('Other Sale'!$D:$D,'Other Sale'!$E:$E,$P$3,'Other Sale'!$C:$C,$K46,'Other Sale'!$A:$A,$A46)))))</f>
        <v>302220</v>
      </c>
      <c r="F46" s="330" cm="1">
        <f t="array" ref="F46">IF($A46="","",IF($K46="Payment",IFERROR(INDEX(_xlfn._xlws.FILTER(MasterPaid[Amount Paid],(MasterPaid[Customer]=$P$3)*(MasterPaid[Date]=$A46)),COUNTIFS($A$6:$A46,$A46,$K$6:$K46,"Payment")),0),0))</f>
        <v>0</v>
      </c>
      <c r="G46" s="331" t="s">
        <v>13</v>
      </c>
      <c r="H46" s="331"/>
      <c r="I46" s="330">
        <f t="shared" si="8"/>
        <v>-1813930</v>
      </c>
      <c r="J46" s="275" t="s">
        <v>2575</v>
      </c>
      <c r="K46" s="289" t="str" cm="1">
        <f t="array" ref="K46">IFERROR(INDEX(_xlfn.ANCHORARRAY($R$6),ROW()-5,3),"")</f>
        <v>DIESEL</v>
      </c>
      <c r="L46" s="275"/>
      <c r="M46" s="290"/>
      <c r="R46">
        <v>46174</v>
      </c>
      <c r="S46" t="str">
        <v>692</v>
      </c>
      <c r="T46" t="str">
        <v>DIESEL</v>
      </c>
      <c r="V46" s="396"/>
      <c r="W46" s="350"/>
      <c r="X46" s="414" t="str">
        <f t="shared" si="0"/>
        <v/>
      </c>
      <c r="Y46" s="415" t="str">
        <f t="shared" si="1"/>
        <v/>
      </c>
      <c r="Z46" s="415" t="str">
        <f t="shared" si="2"/>
        <v/>
      </c>
      <c r="AC46" s="396"/>
      <c r="AD46" s="350"/>
      <c r="AE46" s="415" t="str">
        <f t="shared" si="3"/>
        <v/>
      </c>
      <c r="AF46" s="415" t="str">
        <f t="shared" si="4"/>
        <v/>
      </c>
      <c r="AG46" s="415" t="str">
        <f t="shared" si="5"/>
        <v/>
      </c>
      <c r="AQ46" s="409"/>
      <c r="AR46" s="410"/>
      <c r="AS46" s="410"/>
      <c r="AT46" s="411"/>
      <c r="AU46" s="412"/>
      <c r="AV46" s="413"/>
      <c r="AW46" s="413"/>
      <c r="AX46" s="413"/>
      <c r="AY46" s="413"/>
      <c r="AZ46" s="413" t="str">
        <f t="shared" si="6"/>
        <v/>
      </c>
      <c r="BB46" s="409">
        <v>46225</v>
      </c>
      <c r="BC46" s="410" t="str">
        <v/>
      </c>
      <c r="BD46" s="410" t="str">
        <v>Payment</v>
      </c>
      <c r="BE46" s="411" t="str">
        <v/>
      </c>
      <c r="BF46" s="412" t="str">
        <v/>
      </c>
      <c r="BG46" s="413">
        <v>0</v>
      </c>
      <c r="BH46" s="413">
        <v>3379617</v>
      </c>
      <c r="BI46" s="413">
        <v>3383</v>
      </c>
      <c r="BJ46" s="413">
        <v>0</v>
      </c>
      <c r="BK46" s="413">
        <f t="shared" si="7"/>
        <v>1398330</v>
      </c>
    </row>
    <row r="47" spans="1:63" ht="21.75" x14ac:dyDescent="0.25">
      <c r="A47" s="217" cm="1">
        <f t="array" ref="A47">IFERROR(INDEX(_xlfn.ANCHORARRAY($R$6),ROW()-5,1),"")</f>
        <v>46178</v>
      </c>
      <c r="B47" s="289" t="str" cm="1">
        <f t="array" ref="B47">IFERROR(INDEX(_xlfn.ANCHORARRAY($R$6),ROW()-5,2),"")</f>
        <v>744</v>
      </c>
      <c r="C47" s="218">
        <f>IF($A47="","",IF($K47="DIESEL",SUMIFS(Table1[Quantity],Table1[Customer],$P$3,Table1[Date],$A47,Table1[Bill No.],$B47),IF($K47="PETROL",SUMIFS(Table14[Quantity],Table14[Customer],$P$3,Table14[Date],$A47,Table14[Bill No.],$B47),IF($K47="XtraGreen",SUMIFS(Table146[Quantity],Table146[Company],$P$3,Table146[Date],$A47,Table146[Bill No.],$B47),""))))</f>
        <v>12000</v>
      </c>
      <c r="D47" s="223">
        <f>IF($A47="","",IF($K47="DIESEL",AVERAGEIFS(Table1[RSP],Table1[Customer],$P$3,Table1[Date],$A47,Table1[Bill No.],$B47),IF($K47="PETROL",AVERAGEIFS(Table14[RSP],Table14[Customer],$P$3,Table14[Date],$A47,Table14[Bill No.],$B47),IF($K47="XtraGreen",AVERAGEIFS(Table146[RSP],Table146[Company],$P$3,Table146[Date],$A47,Table146[Bill No.],$B47),IFERROR($E47/$C47,"")))))</f>
        <v>100.74</v>
      </c>
      <c r="E47" s="330">
        <f>IF($A47="","",IF($K47="DIESEL",SUMIFS(Table1[Amount],Table1[Customer],$P$3,Table1[Date],$A47,Table1[Bill No.],$B47),IF($K47="PETROL",SUMIFS(Table14[Amount],Table14[Customer],$P$3,Table14[Date],$A47,Table14[Bill No.],$B47),IF($K47="XtraGreen",SUMIFS(Table146[Amount],Table146[Company],$P$3,Table146[Date],$A47,Table146[Bill No.],$B47),SUMIFS('Other Sale'!$D:$D,'Other Sale'!$E:$E,$P$3,'Other Sale'!$C:$C,$K47,'Other Sale'!$A:$A,$A47)))))</f>
        <v>1208880</v>
      </c>
      <c r="F47" s="330" cm="1">
        <f t="array" ref="F47">IF($A47="","",IF($K47="Payment",IFERROR(INDEX(_xlfn._xlws.FILTER(MasterPaid[Amount Paid],(MasterPaid[Customer]=$P$3)*(MasterPaid[Date]=$A47)),COUNTIFS($A$6:$A47,$A47,$K$6:$K47,"Payment")),0),0))</f>
        <v>0</v>
      </c>
      <c r="G47" s="331" t="s">
        <v>13</v>
      </c>
      <c r="H47" s="331"/>
      <c r="I47" s="330">
        <f t="shared" si="8"/>
        <v>-605050</v>
      </c>
      <c r="J47" s="275" t="s">
        <v>2575</v>
      </c>
      <c r="K47" s="289" t="str" cm="1">
        <f t="array" ref="K47">IFERROR(INDEX(_xlfn.ANCHORARRAY($R$6),ROW()-5,3),"")</f>
        <v>DIESEL</v>
      </c>
      <c r="L47" s="275"/>
      <c r="M47" s="290"/>
      <c r="R47">
        <v>46178</v>
      </c>
      <c r="S47" t="str">
        <v>744</v>
      </c>
      <c r="T47" t="str">
        <v>DIESEL</v>
      </c>
      <c r="V47" s="396"/>
      <c r="W47" s="350"/>
      <c r="X47" s="414" t="str">
        <f t="shared" si="0"/>
        <v/>
      </c>
      <c r="Y47" s="415" t="str">
        <f t="shared" si="1"/>
        <v/>
      </c>
      <c r="Z47" s="415" t="str">
        <f t="shared" si="2"/>
        <v/>
      </c>
      <c r="AC47" s="396"/>
      <c r="AD47" s="350"/>
      <c r="AE47" s="415" t="str">
        <f t="shared" si="3"/>
        <v/>
      </c>
      <c r="AF47" s="415" t="str">
        <f t="shared" si="4"/>
        <v/>
      </c>
      <c r="AG47" s="415" t="str">
        <f t="shared" si="5"/>
        <v/>
      </c>
      <c r="AQ47" s="409"/>
      <c r="AR47" s="410"/>
      <c r="AS47" s="410"/>
      <c r="AT47" s="411"/>
      <c r="AU47" s="412"/>
      <c r="AV47" s="413"/>
      <c r="AW47" s="413"/>
      <c r="AX47" s="413"/>
      <c r="AY47" s="413"/>
      <c r="AZ47" s="413" t="str">
        <f t="shared" si="6"/>
        <v/>
      </c>
      <c r="BB47" s="409">
        <v>46229</v>
      </c>
      <c r="BC47" s="410" t="str">
        <v>1769</v>
      </c>
      <c r="BD47" s="410" t="str">
        <v>DIESEL</v>
      </c>
      <c r="BE47" s="411">
        <v>18000</v>
      </c>
      <c r="BF47" s="412">
        <v>99.5</v>
      </c>
      <c r="BG47" s="413">
        <v>1791000</v>
      </c>
      <c r="BH47" s="413">
        <v>0</v>
      </c>
      <c r="BI47" s="413" t="str">
        <v/>
      </c>
      <c r="BJ47" s="413">
        <v>0</v>
      </c>
      <c r="BK47" s="413">
        <f t="shared" si="7"/>
        <v>3189330</v>
      </c>
    </row>
    <row r="48" spans="1:63" ht="21.75" x14ac:dyDescent="0.25">
      <c r="A48" s="217" cm="1">
        <f t="array" ref="A48">IFERROR(INDEX(_xlfn.ANCHORARRAY($R$6),ROW()-5,1),"")</f>
        <v>46212</v>
      </c>
      <c r="B48" s="289" t="str" cm="1">
        <f t="array" ref="B48">IFERROR(INDEX(_xlfn.ANCHORARRAY($R$6),ROW()-5,2),"")</f>
        <v>1431</v>
      </c>
      <c r="C48" s="218">
        <f>IF($A48="","",IF($K48="DIESEL",SUMIFS(Table1[Quantity],Table1[Customer],$P$3,Table1[Date],$A48,Table1[Bill No.],$B48),IF($K48="PETROL",SUMIFS(Table14[Quantity],Table14[Customer],$P$3,Table14[Date],$A48,Table14[Bill No.],$B48),IF($K48="XtraGreen",SUMIFS(Table146[Quantity],Table146[Company],$P$3,Table146[Date],$A48,Table146[Bill No.],$B48),""))))</f>
        <v>12000</v>
      </c>
      <c r="D48" s="223">
        <f>IF($A48="","",IF($K48="DIESEL",AVERAGEIFS(Table1[RSP],Table1[Customer],$P$3,Table1[Date],$A48,Table1[Bill No.],$B48),IF($K48="PETROL",AVERAGEIFS(Table14[RSP],Table14[Customer],$P$3,Table14[Date],$A48,Table14[Bill No.],$B48),IF($K48="XtraGreen",AVERAGEIFS(Table146[RSP],Table146[Company],$P$3,Table146[Date],$A48,Table146[Bill No.],$B48),IFERROR($E48/$C48,"")))))</f>
        <v>99.5</v>
      </c>
      <c r="E48" s="330">
        <f>IF($A48="","",IF($K48="DIESEL",SUMIFS(Table1[Amount],Table1[Customer],$P$3,Table1[Date],$A48,Table1[Bill No.],$B48),IF($K48="PETROL",SUMIFS(Table14[Amount],Table14[Customer],$P$3,Table14[Date],$A48,Table14[Bill No.],$B48),IF($K48="XtraGreen",SUMIFS(Table146[Amount],Table146[Company],$P$3,Table146[Date],$A48,Table146[Bill No.],$B48),SUMIFS('Other Sale'!$D:$D,'Other Sale'!$E:$E,$P$3,'Other Sale'!$C:$C,$K48,'Other Sale'!$A:$A,$A48)))))</f>
        <v>1194000</v>
      </c>
      <c r="F48" s="330" cm="1">
        <f t="array" ref="F48">IF($A48="","",IF($K48="Payment",IFERROR(INDEX(_xlfn._xlws.FILTER(MasterPaid[Amount Paid],(MasterPaid[Customer]=$P$3)*(MasterPaid[Date]=$A48)),COUNTIFS($A$6:$A48,$A48,$K$6:$K48,"Payment")),0),0))</f>
        <v>0</v>
      </c>
      <c r="G48" s="331" t="s">
        <v>13</v>
      </c>
      <c r="H48" s="331"/>
      <c r="I48" s="330">
        <f t="shared" si="8"/>
        <v>588950</v>
      </c>
      <c r="J48" s="275" t="s">
        <v>2574</v>
      </c>
      <c r="K48" s="289" t="str" cm="1">
        <f t="array" ref="K48">IFERROR(INDEX(_xlfn.ANCHORARRAY($R$6),ROW()-5,3),"")</f>
        <v>DIESEL</v>
      </c>
      <c r="L48" s="275" t="s">
        <v>2627</v>
      </c>
      <c r="M48" s="290"/>
      <c r="R48">
        <v>46212</v>
      </c>
      <c r="S48" t="str">
        <v>1431</v>
      </c>
      <c r="T48" t="str">
        <v>DIESEL</v>
      </c>
      <c r="V48" s="396"/>
      <c r="W48" s="350"/>
      <c r="X48" s="414" t="str">
        <f t="shared" si="0"/>
        <v/>
      </c>
      <c r="Y48" s="415" t="str">
        <f t="shared" si="1"/>
        <v/>
      </c>
      <c r="Z48" s="415" t="str">
        <f t="shared" si="2"/>
        <v/>
      </c>
      <c r="AC48" s="396"/>
      <c r="AD48" s="350"/>
      <c r="AE48" s="415" t="str">
        <f t="shared" si="3"/>
        <v/>
      </c>
      <c r="AF48" s="415" t="str">
        <f t="shared" si="4"/>
        <v/>
      </c>
      <c r="AG48" s="415" t="str">
        <f t="shared" si="5"/>
        <v/>
      </c>
      <c r="AQ48" s="409"/>
      <c r="AR48" s="410"/>
      <c r="AS48" s="410"/>
      <c r="AT48" s="411"/>
      <c r="AU48" s="412"/>
      <c r="AV48" s="413"/>
      <c r="AW48" s="413"/>
      <c r="AX48" s="413"/>
      <c r="AY48" s="413"/>
      <c r="AZ48" s="413" t="str">
        <f t="shared" si="6"/>
        <v/>
      </c>
      <c r="BB48" s="409">
        <v>46232</v>
      </c>
      <c r="BC48" s="410" t="str">
        <v>1808</v>
      </c>
      <c r="BD48" s="410" t="str">
        <v>DIESEL</v>
      </c>
      <c r="BE48" s="411">
        <v>18000</v>
      </c>
      <c r="BF48" s="412">
        <v>99.5</v>
      </c>
      <c r="BG48" s="413">
        <v>1791000</v>
      </c>
      <c r="BH48" s="413">
        <v>0</v>
      </c>
      <c r="BI48" s="413">
        <v>0</v>
      </c>
      <c r="BJ48" s="413">
        <v>0</v>
      </c>
      <c r="BK48" s="413">
        <f t="shared" si="7"/>
        <v>4980330</v>
      </c>
    </row>
    <row r="49" spans="1:63" ht="21.75" x14ac:dyDescent="0.25">
      <c r="A49" s="217" cm="1">
        <f t="array" ref="A49">IFERROR(INDEX(_xlfn.ANCHORARRAY($R$6),ROW()-5,1),"")</f>
        <v>46212</v>
      </c>
      <c r="B49" s="289" t="str" cm="1">
        <f t="array" ref="B49">IFERROR(INDEX(_xlfn.ANCHORARRAY($R$6),ROW()-5,2),"")</f>
        <v>1432</v>
      </c>
      <c r="C49" s="218">
        <f>IF($A49="","",IF($K49="DIESEL",SUMIFS(Table1[Quantity],Table1[Customer],$P$3,Table1[Date],$A49,Table1[Bill No.],$B49),IF($K49="PETROL",SUMIFS(Table14[Quantity],Table14[Customer],$P$3,Table14[Date],$A49,Table14[Bill No.],$B49),IF($K49="XtraGreen",SUMIFS(Table146[Quantity],Table146[Company],$P$3,Table146[Date],$A49,Table146[Bill No.],$B49),""))))</f>
        <v>18000</v>
      </c>
      <c r="D49" s="223">
        <f>IF($A49="","",IF($K49="DIESEL",AVERAGEIFS(Table1[RSP],Table1[Customer],$P$3,Table1[Date],$A49,Table1[Bill No.],$B49),IF($K49="PETROL",AVERAGEIFS(Table14[RSP],Table14[Customer],$P$3,Table14[Date],$A49,Table14[Bill No.],$B49),IF($K49="XtraGreen",AVERAGEIFS(Table146[RSP],Table146[Company],$P$3,Table146[Date],$A49,Table146[Bill No.],$B49),IFERROR($E49/$C49,"")))))</f>
        <v>99.5</v>
      </c>
      <c r="E49" s="330">
        <f>IF($A49="","",IF($K49="DIESEL",SUMIFS(Table1[Amount],Table1[Customer],$P$3,Table1[Date],$A49,Table1[Bill No.],$B49),IF($K49="PETROL",SUMIFS(Table14[Amount],Table14[Customer],$P$3,Table14[Date],$A49,Table14[Bill No.],$B49),IF($K49="XtraGreen",SUMIFS(Table146[Amount],Table146[Company],$P$3,Table146[Date],$A49,Table146[Bill No.],$B49),SUMIFS('Other Sale'!$D:$D,'Other Sale'!$E:$E,$P$3,'Other Sale'!$C:$C,$K49,'Other Sale'!$A:$A,$A49)))))</f>
        <v>1791000</v>
      </c>
      <c r="F49" s="330" cm="1">
        <f t="array" ref="F49">IF($A49="","",IF($K49="Payment",IFERROR(INDEX(_xlfn._xlws.FILTER(MasterPaid[Amount Paid],(MasterPaid[Customer]=$P$3)*(MasterPaid[Date]=$A49)),COUNTIFS($A$6:$A49,$A49,$K$6:$K49,"Payment")),0),0))</f>
        <v>0</v>
      </c>
      <c r="G49" s="331" t="s">
        <v>13</v>
      </c>
      <c r="H49" s="331"/>
      <c r="I49" s="330">
        <f t="shared" si="8"/>
        <v>2379950</v>
      </c>
      <c r="J49" s="275" t="s">
        <v>2575</v>
      </c>
      <c r="K49" s="289" t="str" cm="1">
        <f t="array" ref="K49">IFERROR(INDEX(_xlfn.ANCHORARRAY($R$6),ROW()-5,3),"")</f>
        <v>DIESEL</v>
      </c>
      <c r="L49" s="275" t="s">
        <v>2579</v>
      </c>
      <c r="M49" s="290"/>
      <c r="R49">
        <v>46212</v>
      </c>
      <c r="S49" t="str">
        <v>1432</v>
      </c>
      <c r="T49" t="str">
        <v>DIESEL</v>
      </c>
      <c r="V49" s="396"/>
      <c r="W49" s="350"/>
      <c r="X49" s="414" t="str">
        <f t="shared" si="0"/>
        <v/>
      </c>
      <c r="Y49" s="415" t="str">
        <f t="shared" si="1"/>
        <v/>
      </c>
      <c r="Z49" s="415" t="str">
        <f t="shared" si="2"/>
        <v/>
      </c>
      <c r="AC49" s="396"/>
      <c r="AD49" s="350"/>
      <c r="AE49" s="415" t="str">
        <f t="shared" si="3"/>
        <v/>
      </c>
      <c r="AF49" s="415" t="str">
        <f t="shared" si="4"/>
        <v/>
      </c>
      <c r="AG49" s="415" t="str">
        <f t="shared" si="5"/>
        <v/>
      </c>
      <c r="AQ49" s="409"/>
      <c r="AR49" s="410"/>
      <c r="AS49" s="410"/>
      <c r="AT49" s="411"/>
      <c r="AU49" s="412"/>
      <c r="AV49" s="413"/>
      <c r="AW49" s="413"/>
      <c r="AX49" s="413"/>
      <c r="AY49" s="413"/>
      <c r="AZ49" s="413" t="str">
        <f t="shared" si="6"/>
        <v/>
      </c>
      <c r="BB49" s="409">
        <v>46232</v>
      </c>
      <c r="BC49" s="410" t="str">
        <v/>
      </c>
      <c r="BD49" s="410" t="str">
        <v>Payment</v>
      </c>
      <c r="BE49" s="411" t="str">
        <v/>
      </c>
      <c r="BF49" s="412" t="str">
        <v/>
      </c>
      <c r="BG49" s="413">
        <v>0</v>
      </c>
      <c r="BH49" s="413">
        <v>3479017</v>
      </c>
      <c r="BI49" s="413">
        <v>3483</v>
      </c>
      <c r="BJ49" s="413">
        <v>0</v>
      </c>
      <c r="BK49" s="413">
        <f t="shared" si="7"/>
        <v>1497830</v>
      </c>
    </row>
    <row r="50" spans="1:63" ht="21.75" x14ac:dyDescent="0.25">
      <c r="A50" s="217" cm="1">
        <f t="array" ref="A50">IFERROR(INDEX(_xlfn.ANCHORARRAY($R$6),ROW()-5,1),"")</f>
        <v>46216</v>
      </c>
      <c r="B50" s="289" t="str" cm="1">
        <f t="array" ref="B50">IFERROR(INDEX(_xlfn.ANCHORARRAY($R$6),ROW()-5,2),"")</f>
        <v>1503</v>
      </c>
      <c r="C50" s="218">
        <f>IF($A50="","",IF($K50="DIESEL",SUMIFS(Table1[Quantity],Table1[Customer],$P$3,Table1[Date],$A50,Table1[Bill No.],$B50),IF($K50="PETROL",SUMIFS(Table14[Quantity],Table14[Customer],$P$3,Table14[Date],$A50,Table14[Bill No.],$B50),IF($K50="XtraGreen",SUMIFS(Table146[Quantity],Table146[Company],$P$3,Table146[Date],$A50,Table146[Bill No.],$B50),""))))</f>
        <v>18000</v>
      </c>
      <c r="D50" s="223">
        <f>IF($A50="","",IF($K50="DIESEL",AVERAGEIFS(Table1[RSP],Table1[Customer],$P$3,Table1[Date],$A50,Table1[Bill No.],$B50),IF($K50="PETROL",AVERAGEIFS(Table14[RSP],Table14[Customer],$P$3,Table14[Date],$A50,Table14[Bill No.],$B50),IF($K50="XtraGreen",AVERAGEIFS(Table146[RSP],Table146[Company],$P$3,Table146[Date],$A50,Table146[Bill No.],$B50),IFERROR($E50/$C50,"")))))</f>
        <v>99.5</v>
      </c>
      <c r="E50" s="330">
        <f>IF($A50="","",IF($K50="DIESEL",SUMIFS(Table1[Amount],Table1[Customer],$P$3,Table1[Date],$A50,Table1[Bill No.],$B50),IF($K50="PETROL",SUMIFS(Table14[Amount],Table14[Customer],$P$3,Table14[Date],$A50,Table14[Bill No.],$B50),IF($K50="XtraGreen",SUMIFS(Table146[Amount],Table146[Company],$P$3,Table146[Date],$A50,Table146[Bill No.],$B50),SUMIFS('Other Sale'!$D:$D,'Other Sale'!$E:$E,$P$3,'Other Sale'!$C:$C,$K50,'Other Sale'!$A:$A,$A50)))))</f>
        <v>1791000</v>
      </c>
      <c r="F50" s="330" cm="1">
        <f t="array" ref="F50">IF($A50="","",IF($K50="Payment",IFERROR(INDEX(_xlfn._xlws.FILTER(MasterPaid[Amount Paid],(MasterPaid[Customer]=$P$3)*(MasterPaid[Date]=$A50)),COUNTIFS($A$6:$A50,$A50,$K$6:$K50,"Payment")),0),0))</f>
        <v>0</v>
      </c>
      <c r="G50" s="331"/>
      <c r="H50" s="331"/>
      <c r="I50" s="330">
        <f t="shared" si="8"/>
        <v>4170950</v>
      </c>
      <c r="J50" s="275" t="s">
        <v>2575</v>
      </c>
      <c r="K50" s="289" t="str" cm="1">
        <f t="array" ref="K50">IFERROR(INDEX(_xlfn.ANCHORARRAY($R$6),ROW()-5,3),"")</f>
        <v>DIESEL</v>
      </c>
      <c r="L50" s="430" cm="1">
        <f t="array" ref="L50">IF(OR($A50="",$J50="",$K50&lt;&gt;"DIESEL"),"",_xlfn.LET(_xlpm.qty,N($C50),_xlpm.pos,IF($J50="UNIT 1",$V$5:$V$54,$AC$5:$AC$54),_xlpm.alo,IF($J50="UNIT 1",$W$5:$W$54,$AD$5:$AD$54),_xlpm.usd,MMULT(--((_xlpm.pos&amp;"")=TRANSPOSE($L$6:$L49&amp;"")),N($C$6:$C49)*--($J$6:$J49=$J50)),_xlpm.bal,N(_xlpm.alo)-_xlpm.usd,IFERROR(INDEX(_xlfn._xlws.FILTER(_xlpm.pos,(_xlpm.pos&lt;&gt;"")*(_xlpm.qty&gt;0)*(_xlpm.bal&gt;=_xlpm.qty)),1),"")))</f>
        <v>4500211335</v>
      </c>
      <c r="M50" s="290"/>
      <c r="R50">
        <v>46216</v>
      </c>
      <c r="S50" t="str">
        <v>1503</v>
      </c>
      <c r="T50" t="str">
        <v>DIESEL</v>
      </c>
      <c r="V50" s="396"/>
      <c r="W50" s="350"/>
      <c r="X50" s="414" t="str">
        <f t="shared" si="0"/>
        <v/>
      </c>
      <c r="Y50" s="415" t="str">
        <f t="shared" si="1"/>
        <v/>
      </c>
      <c r="Z50" s="415" t="str">
        <f t="shared" si="2"/>
        <v/>
      </c>
      <c r="AC50" s="396"/>
      <c r="AD50" s="350"/>
      <c r="AE50" s="415" t="str">
        <f t="shared" si="3"/>
        <v/>
      </c>
      <c r="AF50" s="415" t="str">
        <f t="shared" si="4"/>
        <v/>
      </c>
      <c r="AG50" s="415" t="str">
        <f t="shared" si="5"/>
        <v/>
      </c>
      <c r="AQ50" s="409"/>
      <c r="AR50" s="410"/>
      <c r="AS50" s="410"/>
      <c r="AT50" s="411"/>
      <c r="AU50" s="412"/>
      <c r="AV50" s="413"/>
      <c r="AW50" s="413"/>
      <c r="AX50" s="413"/>
      <c r="AY50" s="413"/>
      <c r="AZ50" s="413" t="str">
        <f t="shared" si="6"/>
        <v/>
      </c>
      <c r="BB50" s="409">
        <v>46234</v>
      </c>
      <c r="BC50" s="410" t="str">
        <v>1887</v>
      </c>
      <c r="BD50" s="410" t="str">
        <v>DIESEL</v>
      </c>
      <c r="BE50" s="411">
        <v>18000</v>
      </c>
      <c r="BF50" s="412">
        <v>99.5</v>
      </c>
      <c r="BG50" s="413">
        <v>1791000</v>
      </c>
      <c r="BH50" s="413">
        <v>0</v>
      </c>
      <c r="BI50" s="413" t="str">
        <v/>
      </c>
      <c r="BJ50" s="413">
        <v>0</v>
      </c>
      <c r="BK50" s="413">
        <f t="shared" si="7"/>
        <v>3288830</v>
      </c>
    </row>
    <row r="51" spans="1:63" ht="21.75" x14ac:dyDescent="0.25">
      <c r="A51" s="217" cm="1">
        <f t="array" ref="A51">IFERROR(INDEX(_xlfn.ANCHORARRAY($R$6),ROW()-5,1),"")</f>
        <v>46216</v>
      </c>
      <c r="B51" s="289" t="str" cm="1">
        <f t="array" ref="B51">IFERROR(INDEX(_xlfn.ANCHORARRAY($R$6),ROW()-5,2),"")</f>
        <v/>
      </c>
      <c r="C51" s="218" t="str">
        <f>IF($A51="","",IF($K51="DIESEL",SUMIFS(Table1[Quantity],Table1[Customer],$P$3,Table1[Date],$A51,Table1[Bill No.],$B51),IF($K51="PETROL",SUMIFS(Table14[Quantity],Table14[Customer],$P$3,Table14[Date],$A51,Table14[Bill No.],$B51),IF($K51="XtraGreen",SUMIFS(Table146[Quantity],Table146[Company],$P$3,Table146[Date],$A51,Table146[Bill No.],$B51),""))))</f>
        <v/>
      </c>
      <c r="D51" s="223" t="str">
        <f>IF($A51="","",IF($K51="DIESEL",AVERAGEIFS(Table1[RSP],Table1[Customer],$P$3,Table1[Date],$A51,Table1[Bill No.],$B51),IF($K51="PETROL",AVERAGEIFS(Table14[RSP],Table14[Customer],$P$3,Table14[Date],$A51,Table14[Bill No.],$B51),IF($K51="XtraGreen",AVERAGEIFS(Table146[RSP],Table146[Company],$P$3,Table146[Date],$A51,Table146[Bill No.],$B51),IFERROR($E51/$C51,"")))))</f>
        <v/>
      </c>
      <c r="E51" s="330">
        <f>IF($A51="","",IF($K51="DIESEL",SUMIFS(Table1[Amount],Table1[Customer],$P$3,Table1[Date],$A51,Table1[Bill No.],$B51),IF($K51="PETROL",SUMIFS(Table14[Amount],Table14[Customer],$P$3,Table14[Date],$A51,Table14[Bill No.],$B51),IF($K51="XtraGreen",SUMIFS(Table146[Amount],Table146[Company],$P$3,Table146[Date],$A51,Table146[Bill No.],$B51),SUMIFS('Other Sale'!$D:$D,'Other Sale'!$E:$E,$P$3,'Other Sale'!$C:$C,$K51,'Other Sale'!$A:$A,$A51)))))</f>
        <v>0</v>
      </c>
      <c r="F51" s="330" cm="1">
        <f t="array" ref="F51">IF($A51="","",IF($K51="Payment",IFERROR(INDEX(_xlfn._xlws.FILTER(MasterPaid[Amount Paid],(MasterPaid[Customer]=$P$3)*(MasterPaid[Date]=$A51)),COUNTIFS($A$6:$A51,$A51,$K$6:$K51,"Payment")),0),0))</f>
        <v>3578418</v>
      </c>
      <c r="G51" s="331">
        <v>3582</v>
      </c>
      <c r="H51" s="331"/>
      <c r="I51" s="330">
        <f t="shared" si="8"/>
        <v>588950</v>
      </c>
      <c r="J51" s="275" t="s">
        <v>2575</v>
      </c>
      <c r="K51" s="289" t="str" cm="1">
        <f t="array" ref="K51">IFERROR(INDEX(_xlfn.ANCHORARRAY($R$6),ROW()-5,3),"")</f>
        <v>Payment</v>
      </c>
      <c r="L51" s="430" t="str" cm="1">
        <f t="array" ref="L51">IF(OR($A51="",$J51="",$K51&lt;&gt;"DIESEL"),"",_xlfn.LET(_xlpm.qty,N($C51),_xlpm.pos,IF($J51="UNIT 1",$V$5:$V$54,$AC$5:$AC$54),_xlpm.alo,IF($J51="UNIT 1",$W$5:$W$54,$AD$5:$AD$54),_xlpm.usd,SUMIFS($C$6:$C50,$L$6:$L50,_xlpm.pos&amp;"",$J$6:$J50,$J51),_xlpm.bal,N(_xlpm.alo)-_xlpm.usd,IFERROR(INDEX(_xlfn._xlws.FILTER(_xlpm.pos,(_xlpm.pos&lt;&gt;"")*(_xlpm.qty&gt;0)*(_xlpm.bal&gt;=_xlpm.qty)),1),"")))</f>
        <v/>
      </c>
      <c r="M51" s="290"/>
      <c r="R51">
        <v>46216</v>
      </c>
      <c r="S51" t="str">
        <v/>
      </c>
      <c r="T51" t="str">
        <v>Payment</v>
      </c>
      <c r="V51" s="396"/>
      <c r="W51" s="350"/>
      <c r="X51" s="414" t="str">
        <f t="shared" si="0"/>
        <v/>
      </c>
      <c r="Y51" s="415" t="str">
        <f t="shared" si="1"/>
        <v/>
      </c>
      <c r="Z51" s="415" t="str">
        <f t="shared" si="2"/>
        <v/>
      </c>
      <c r="AC51" s="396"/>
      <c r="AD51" s="350"/>
      <c r="AE51" s="415" t="str">
        <f t="shared" si="3"/>
        <v/>
      </c>
      <c r="AF51" s="415" t="str">
        <f t="shared" si="4"/>
        <v/>
      </c>
      <c r="AG51" s="415" t="str">
        <f t="shared" si="5"/>
        <v/>
      </c>
      <c r="AQ51" s="409"/>
      <c r="AR51" s="410"/>
      <c r="AS51" s="410"/>
      <c r="AT51" s="411"/>
      <c r="AU51" s="412"/>
      <c r="AV51" s="413"/>
      <c r="AW51" s="413"/>
      <c r="AX51" s="413"/>
      <c r="AY51" s="413"/>
      <c r="AZ51" s="413" t="str">
        <f t="shared" si="6"/>
        <v/>
      </c>
      <c r="BB51" s="409">
        <v>46240</v>
      </c>
      <c r="BC51" s="410" t="str">
        <v/>
      </c>
      <c r="BD51" s="410" t="str">
        <v>Payment</v>
      </c>
      <c r="BE51" s="411" t="str">
        <v/>
      </c>
      <c r="BF51" s="412" t="str">
        <v/>
      </c>
      <c r="BG51" s="413">
        <v>0</v>
      </c>
      <c r="BH51" s="413">
        <v>3479017</v>
      </c>
      <c r="BI51" s="413">
        <v>3483</v>
      </c>
      <c r="BJ51" s="413">
        <v>0</v>
      </c>
      <c r="BK51" s="413">
        <f t="shared" si="7"/>
        <v>-193670</v>
      </c>
    </row>
    <row r="52" spans="1:63" ht="21.75" x14ac:dyDescent="0.25">
      <c r="A52" s="217" cm="1">
        <f t="array" ref="A52">IFERROR(INDEX(_xlfn.ANCHORARRAY($R$6),ROW()-5,1),"")</f>
        <v>46217</v>
      </c>
      <c r="B52" s="289" t="str" cm="1">
        <f t="array" ref="B52">IFERROR(INDEX(_xlfn.ANCHORARRAY($R$6),ROW()-5,2),"")</f>
        <v>1541</v>
      </c>
      <c r="C52" s="218">
        <f>IF($A52="","",IF($K52="DIESEL",SUMIFS(Table1[Quantity],Table1[Customer],$P$3,Table1[Date],$A52,Table1[Bill No.],$B52),IF($K52="PETROL",SUMIFS(Table14[Quantity],Table14[Customer],$P$3,Table14[Date],$A52,Table14[Bill No.],$B52),IF($K52="XtraGreen",SUMIFS(Table146[Quantity],Table146[Company],$P$3,Table146[Date],$A52,Table146[Bill No.],$B52),""))))</f>
        <v>18000</v>
      </c>
      <c r="D52" s="223">
        <f>IF($A52="","",IF($K52="DIESEL",AVERAGEIFS(Table1[RSP],Table1[Customer],$P$3,Table1[Date],$A52,Table1[Bill No.],$B52),IF($K52="PETROL",AVERAGEIFS(Table14[RSP],Table14[Customer],$P$3,Table14[Date],$A52,Table14[Bill No.],$B52),IF($K52="XtraGreen",AVERAGEIFS(Table146[RSP],Table146[Company],$P$3,Table146[Date],$A52,Table146[Bill No.],$B52),IFERROR($E52/$C52,"")))))</f>
        <v>99.5</v>
      </c>
      <c r="E52" s="330">
        <f>IF($A52="","",IF($K52="DIESEL",SUMIFS(Table1[Amount],Table1[Customer],$P$3,Table1[Date],$A52,Table1[Bill No.],$B52),IF($K52="PETROL",SUMIFS(Table14[Amount],Table14[Customer],$P$3,Table14[Date],$A52,Table14[Bill No.],$B52),IF($K52="XtraGreen",SUMIFS(Table146[Amount],Table146[Company],$P$3,Table146[Date],$A52,Table146[Bill No.],$B52),SUMIFS('Other Sale'!$D:$D,'Other Sale'!$E:$E,$P$3,'Other Sale'!$C:$C,$K52,'Other Sale'!$A:$A,$A52)))))</f>
        <v>1791000</v>
      </c>
      <c r="F52" s="330" cm="1">
        <f t="array" ref="F52">IF($A52="","",IF($K52="Payment",IFERROR(INDEX(_xlfn._xlws.FILTER(MasterPaid[Amount Paid],(MasterPaid[Customer]=$P$3)*(MasterPaid[Date]=$A52)),COUNTIFS($A$6:$A52,$A52,$K$6:$K52,"Payment")),0),0))</f>
        <v>0</v>
      </c>
      <c r="G52" s="331" t="s">
        <v>13</v>
      </c>
      <c r="H52" s="331"/>
      <c r="I52" s="330">
        <f t="shared" si="8"/>
        <v>2379950</v>
      </c>
      <c r="J52" s="275" t="s">
        <v>2575</v>
      </c>
      <c r="K52" s="289" t="str" cm="1">
        <f t="array" ref="K52">IFERROR(INDEX(_xlfn.ANCHORARRAY($R$6),ROW()-5,3),"")</f>
        <v>DIESEL</v>
      </c>
      <c r="L52" s="430" cm="1">
        <f t="array" ref="L52">IF(OR($A52="",$J52="",$K52&lt;&gt;"DIESEL"),"",_xlfn.LET(_xlpm.qty,N($C52),_xlpm.pos,IF($J52="UNIT 1",$V$5:$V$54,$AC$5:$AC$54),_xlpm.alo,IF($J52="UNIT 1",$W$5:$W$54,$AD$5:$AD$54),_xlpm.usd,SUMIFS($C$6:$C51,$L$6:$L51,_xlpm.pos&amp;"",$J$6:$J51,$J52),_xlpm.bal,N(_xlpm.alo)-_xlpm.usd,IFERROR(INDEX(_xlfn._xlws.FILTER(_xlpm.pos,(_xlpm.pos&lt;&gt;"")*(_xlpm.qty&gt;0)*(_xlpm.bal&gt;=_xlpm.qty)),1),"")))</f>
        <v>4500211335</v>
      </c>
      <c r="M52" s="290"/>
      <c r="R52">
        <v>46217</v>
      </c>
      <c r="S52" t="str">
        <v>1541</v>
      </c>
      <c r="T52" t="str">
        <v>DIESEL</v>
      </c>
      <c r="V52" s="396"/>
      <c r="W52" s="350"/>
      <c r="X52" s="414" t="str">
        <f t="shared" si="0"/>
        <v/>
      </c>
      <c r="Y52" s="415" t="str">
        <f t="shared" si="1"/>
        <v/>
      </c>
      <c r="Z52" s="415" t="str">
        <f t="shared" si="2"/>
        <v/>
      </c>
      <c r="AC52" s="396"/>
      <c r="AD52" s="350"/>
      <c r="AE52" s="415" t="str">
        <f t="shared" si="3"/>
        <v/>
      </c>
      <c r="AF52" s="415" t="str">
        <f t="shared" si="4"/>
        <v/>
      </c>
      <c r="AG52" s="415" t="str">
        <f t="shared" si="5"/>
        <v/>
      </c>
      <c r="AQ52" s="409"/>
      <c r="AR52" s="410"/>
      <c r="AS52" s="410"/>
      <c r="AT52" s="411"/>
      <c r="AU52" s="412"/>
      <c r="AV52" s="413"/>
      <c r="AW52" s="413"/>
      <c r="AX52" s="413"/>
      <c r="AY52" s="413"/>
      <c r="AZ52" s="413" t="str">
        <f t="shared" si="6"/>
        <v/>
      </c>
      <c r="BB52" s="409">
        <v>46241</v>
      </c>
      <c r="BC52" s="410" t="str">
        <v>2044</v>
      </c>
      <c r="BD52" s="410" t="str">
        <v>DIESEL</v>
      </c>
      <c r="BE52" s="411">
        <v>2000</v>
      </c>
      <c r="BF52" s="412">
        <v>99.5</v>
      </c>
      <c r="BG52" s="413">
        <v>199000</v>
      </c>
      <c r="BH52" s="413">
        <v>0</v>
      </c>
      <c r="BI52" s="413" t="str">
        <v/>
      </c>
      <c r="BJ52" s="413">
        <v>0</v>
      </c>
      <c r="BK52" s="413">
        <f t="shared" si="7"/>
        <v>5330</v>
      </c>
    </row>
    <row r="53" spans="1:63" ht="21.75" x14ac:dyDescent="0.25">
      <c r="A53" s="217" cm="1">
        <f t="array" ref="A53">IFERROR(INDEX(_xlfn.ANCHORARRAY($R$6),ROW()-5,1),"")</f>
        <v>46218</v>
      </c>
      <c r="B53" s="289" t="str" cm="1">
        <f t="array" ref="B53">IFERROR(INDEX(_xlfn.ANCHORARRAY($R$6),ROW()-5,2),"")</f>
        <v/>
      </c>
      <c r="C53" s="218" t="str">
        <f>IF($A53="","",IF($K53="DIESEL",SUMIFS(Table1[Quantity],Table1[Customer],$P$3,Table1[Date],$A53,Table1[Bill No.],$B53),IF($K53="PETROL",SUMIFS(Table14[Quantity],Table14[Customer],$P$3,Table14[Date],$A53,Table14[Bill No.],$B53),IF($K53="XtraGreen",SUMIFS(Table146[Quantity],Table146[Company],$P$3,Table146[Date],$A53,Table146[Bill No.],$B53),""))))</f>
        <v/>
      </c>
      <c r="D53" s="223" t="str">
        <f>IF($A53="","",IF($K53="DIESEL",AVERAGEIFS(Table1[RSP],Table1[Customer],$P$3,Table1[Date],$A53,Table1[Bill No.],$B53),IF($K53="PETROL",AVERAGEIFS(Table14[RSP],Table14[Customer],$P$3,Table14[Date],$A53,Table14[Bill No.],$B53),IF($K53="XtraGreen",AVERAGEIFS(Table146[RSP],Table146[Company],$P$3,Table146[Date],$A53,Table146[Bill No.],$B53),IFERROR($E53/$C53,"")))))</f>
        <v/>
      </c>
      <c r="E53" s="330">
        <f>IF($A53="","",IF($K53="DIESEL",SUMIFS(Table1[Amount],Table1[Customer],$P$3,Table1[Date],$A53,Table1[Bill No.],$B53),IF($K53="PETROL",SUMIFS(Table14[Amount],Table14[Customer],$P$3,Table14[Date],$A53,Table14[Bill No.],$B53),IF($K53="XtraGreen",SUMIFS(Table146[Amount],Table146[Company],$P$3,Table146[Date],$A53,Table146[Bill No.],$B53),SUMIFS('Other Sale'!$D:$D,'Other Sale'!$E:$E,$P$3,'Other Sale'!$C:$C,$K53,'Other Sale'!$A:$A,$A53)))))</f>
        <v>0</v>
      </c>
      <c r="F53" s="330" cm="1">
        <f t="array" ref="F53">IF($A53="","",IF($K53="Payment",IFERROR(INDEX(_xlfn._xlws.FILTER(MasterPaid[Amount Paid],(MasterPaid[Customer]=$P$3)*(MasterPaid[Date]=$A53)),COUNTIFS($A$6:$A53,$A53,$K$6:$K53,"Payment")),0),0))</f>
        <v>490590</v>
      </c>
      <c r="G53" s="331"/>
      <c r="H53" s="331"/>
      <c r="I53" s="330">
        <f t="shared" si="8"/>
        <v>1889360</v>
      </c>
      <c r="J53" s="275" t="s">
        <v>2575</v>
      </c>
      <c r="K53" s="289" t="str" cm="1">
        <f t="array" ref="K53">IFERROR(INDEX(_xlfn.ANCHORARRAY($R$6),ROW()-5,3),"")</f>
        <v>Payment</v>
      </c>
      <c r="L53" s="430" t="str" cm="1">
        <f t="array" ref="L53">IF(OR($A53="",$J53="",$K53&lt;&gt;"DIESEL"),"",_xlfn.LET(_xlpm.qty,N($C53),_xlpm.pos,IF($J53="UNIT 1",$V$5:$V$54,$AC$5:$AC$54),_xlpm.alo,IF($J53="UNIT 1",$W$5:$W$54,$AD$5:$AD$54),_xlpm.usd,SUMIFS($C$6:$C52,$L$6:$L52,_xlpm.pos&amp;"",$J$6:$J52,$J53),_xlpm.bal,N(_xlpm.alo)-_xlpm.usd,IFERROR(INDEX(_xlfn._xlws.FILTER(_xlpm.pos,(_xlpm.pos&lt;&gt;"")*(_xlpm.qty&gt;0)*(_xlpm.bal&gt;=_xlpm.qty)),1),"")))</f>
        <v/>
      </c>
      <c r="M53" s="290"/>
      <c r="R53">
        <v>46218</v>
      </c>
      <c r="S53" t="str">
        <v/>
      </c>
      <c r="T53" t="str">
        <v>Payment</v>
      </c>
      <c r="V53" s="396"/>
      <c r="W53" s="350"/>
      <c r="X53" s="414" t="str">
        <f t="shared" si="0"/>
        <v/>
      </c>
      <c r="Y53" s="415" t="str">
        <f t="shared" si="1"/>
        <v/>
      </c>
      <c r="Z53" s="415" t="str">
        <f t="shared" si="2"/>
        <v/>
      </c>
      <c r="AC53" s="396"/>
      <c r="AD53" s="350"/>
      <c r="AE53" s="415" t="str">
        <f t="shared" si="3"/>
        <v/>
      </c>
      <c r="AF53" s="415" t="str">
        <f t="shared" si="4"/>
        <v/>
      </c>
      <c r="AG53" s="415" t="str">
        <f t="shared" si="5"/>
        <v/>
      </c>
      <c r="AQ53" s="409"/>
      <c r="AR53" s="410"/>
      <c r="AS53" s="410"/>
      <c r="AT53" s="411"/>
      <c r="AU53" s="412"/>
      <c r="AV53" s="413"/>
      <c r="AW53" s="413"/>
      <c r="AX53" s="413"/>
      <c r="AY53" s="413"/>
      <c r="AZ53" s="413" t="str">
        <f t="shared" si="6"/>
        <v/>
      </c>
      <c r="BB53" s="409">
        <v>46241</v>
      </c>
      <c r="BC53" s="410" t="str">
        <v>2045</v>
      </c>
      <c r="BD53" s="410" t="str">
        <v>DIESEL</v>
      </c>
      <c r="BE53" s="411">
        <v>16000</v>
      </c>
      <c r="BF53" s="412">
        <v>99.5</v>
      </c>
      <c r="BG53" s="413">
        <v>1592000</v>
      </c>
      <c r="BH53" s="413">
        <v>0</v>
      </c>
      <c r="BI53" s="413" t="str">
        <v/>
      </c>
      <c r="BJ53" s="413">
        <v>0</v>
      </c>
      <c r="BK53" s="413">
        <f t="shared" si="7"/>
        <v>1597330</v>
      </c>
    </row>
    <row r="54" spans="1:63" ht="21.75" x14ac:dyDescent="0.25">
      <c r="A54" s="217" cm="1">
        <f t="array" ref="A54">IFERROR(INDEX(_xlfn.ANCHORARRAY($R$6),ROW()-5,1),"")</f>
        <v>46220</v>
      </c>
      <c r="B54" s="289" t="str" cm="1">
        <f t="array" ref="B54">IFERROR(INDEX(_xlfn.ANCHORARRAY($R$6),ROW()-5,2),"")</f>
        <v>1576</v>
      </c>
      <c r="C54" s="218">
        <f>IF($A54="","",IF($K54="DIESEL",SUMIFS(Table1[Quantity],Table1[Customer],$P$3,Table1[Date],$A54,Table1[Bill No.],$B54),IF($K54="PETROL",SUMIFS(Table14[Quantity],Table14[Customer],$P$3,Table14[Date],$A54,Table14[Bill No.],$B54),IF($K54="XtraGreen",SUMIFS(Table146[Quantity],Table146[Company],$P$3,Table146[Date],$A54,Table146[Bill No.],$B54),""))))</f>
        <v>12000</v>
      </c>
      <c r="D54" s="223">
        <f>IF($A54="","",IF($K54="DIESEL",AVERAGEIFS(Table1[RSP],Table1[Customer],$P$3,Table1[Date],$A54,Table1[Bill No.],$B54),IF($K54="PETROL",AVERAGEIFS(Table14[RSP],Table14[Customer],$P$3,Table14[Date],$A54,Table14[Bill No.],$B54),IF($K54="XtraGreen",AVERAGEIFS(Table146[RSP],Table146[Company],$P$3,Table146[Date],$A54,Table146[Bill No.],$B54),IFERROR($E54/$C54,"")))))</f>
        <v>99.5</v>
      </c>
      <c r="E54" s="330">
        <f>IF($A54="","",IF($K54="DIESEL",SUMIFS(Table1[Amount],Table1[Customer],$P$3,Table1[Date],$A54,Table1[Bill No.],$B54),IF($K54="PETROL",SUMIFS(Table14[Amount],Table14[Customer],$P$3,Table14[Date],$A54,Table14[Bill No.],$B54),IF($K54="XtraGreen",SUMIFS(Table146[Amount],Table146[Company],$P$3,Table146[Date],$A54,Table146[Bill No.],$B54),SUMIFS('Other Sale'!$D:$D,'Other Sale'!$E:$E,$P$3,'Other Sale'!$C:$C,$K54,'Other Sale'!$A:$A,$A54)))))</f>
        <v>1194000</v>
      </c>
      <c r="F54" s="330" cm="1">
        <f t="array" ref="F54">IF($A54="","",IF($K54="Payment",IFERROR(INDEX(_xlfn._xlws.FILTER(MasterPaid[Amount Paid],(MasterPaid[Customer]=$P$3)*(MasterPaid[Date]=$A54)),COUNTIFS($A$6:$A54,$A54,$K$6:$K54,"Payment")),0),0))</f>
        <v>0</v>
      </c>
      <c r="G54" s="331" t="s">
        <v>13</v>
      </c>
      <c r="H54" s="331"/>
      <c r="I54" s="330">
        <f t="shared" si="8"/>
        <v>3083360</v>
      </c>
      <c r="J54" s="275" t="s">
        <v>2575</v>
      </c>
      <c r="K54" s="289" t="str" cm="1">
        <f t="array" ref="K54">IFERROR(INDEX(_xlfn.ANCHORARRAY($R$6),ROW()-5,3),"")</f>
        <v>DIESEL</v>
      </c>
      <c r="L54" s="430" cm="1">
        <f t="array" ref="L54">IF(OR($A54="",$J54="",$K54&lt;&gt;"DIESEL"),"",_xlfn.LET(_xlpm.qty,N($C54),_xlpm.pos,IF($J54="UNIT 1",$V$5:$V$54,$AC$5:$AC$54),_xlpm.alo,IF($J54="UNIT 1",$W$5:$W$54,$AD$5:$AD$54),_xlpm.usd,SUMIFS($C$6:$C53,$L$6:$L53,_xlpm.pos&amp;"",$J$6:$J53,$J54),_xlpm.bal,N(_xlpm.alo)-_xlpm.usd,IFERROR(INDEX(_xlfn._xlws.FILTER(_xlpm.pos,(_xlpm.pos&lt;&gt;"")*(_xlpm.qty&gt;0)*(_xlpm.bal&gt;=_xlpm.qty)),1),"")))</f>
        <v>4500211335</v>
      </c>
      <c r="M54" s="290"/>
      <c r="R54">
        <v>46220</v>
      </c>
      <c r="S54" t="str">
        <v>1576</v>
      </c>
      <c r="T54" t="str">
        <v>DIESEL</v>
      </c>
      <c r="V54" s="396"/>
      <c r="W54" s="350"/>
      <c r="X54" s="414" t="str">
        <f t="shared" si="0"/>
        <v/>
      </c>
      <c r="Y54" s="415" t="str">
        <f t="shared" si="1"/>
        <v/>
      </c>
      <c r="Z54" s="415" t="str">
        <f t="shared" si="2"/>
        <v/>
      </c>
      <c r="AC54" s="396"/>
      <c r="AD54" s="350"/>
      <c r="AE54" s="415" t="str">
        <f t="shared" si="3"/>
        <v/>
      </c>
      <c r="AF54" s="415" t="str">
        <f t="shared" si="4"/>
        <v/>
      </c>
      <c r="AG54" s="415" t="str">
        <f t="shared" si="5"/>
        <v/>
      </c>
      <c r="AQ54" s="409"/>
      <c r="AR54" s="410"/>
      <c r="AS54" s="410"/>
      <c r="AT54" s="411"/>
      <c r="AU54" s="412"/>
      <c r="AV54" s="413"/>
      <c r="AW54" s="413"/>
      <c r="AX54" s="413"/>
      <c r="AY54" s="413"/>
      <c r="AZ54" s="413" t="str">
        <f t="shared" si="6"/>
        <v/>
      </c>
      <c r="BB54" s="409">
        <v>46245</v>
      </c>
      <c r="BC54" s="410" t="str">
        <v/>
      </c>
      <c r="BD54" s="410" t="str">
        <v>Payment</v>
      </c>
      <c r="BE54" s="411" t="str">
        <v/>
      </c>
      <c r="BF54" s="412" t="str">
        <v/>
      </c>
      <c r="BG54" s="413">
        <v>0</v>
      </c>
      <c r="BH54" s="413">
        <v>3479017</v>
      </c>
      <c r="BI54" s="413">
        <v>3483</v>
      </c>
      <c r="BJ54" s="413">
        <v>0</v>
      </c>
      <c r="BK54" s="413">
        <f t="shared" si="7"/>
        <v>-1885170</v>
      </c>
    </row>
    <row r="55" spans="1:63" ht="21.75" x14ac:dyDescent="0.25">
      <c r="A55" s="217" cm="1">
        <f t="array" ref="A55">IFERROR(INDEX(_xlfn.ANCHORARRAY($R$6),ROW()-5,1),"")</f>
        <v>46221</v>
      </c>
      <c r="B55" s="289" t="str" cm="1">
        <f t="array" ref="B55">IFERROR(INDEX(_xlfn.ANCHORARRAY($R$6),ROW()-5,2),"")</f>
        <v>1602</v>
      </c>
      <c r="C55" s="218">
        <f>IF($A55="","",IF($K55="DIESEL",SUMIFS(Table1[Quantity],Table1[Customer],$P$3,Table1[Date],$A55,Table1[Bill No.],$B55),IF($K55="PETROL",SUMIFS(Table14[Quantity],Table14[Customer],$P$3,Table14[Date],$A55,Table14[Bill No.],$B55),IF($K55="XtraGreen",SUMIFS(Table146[Quantity],Table146[Company],$P$3,Table146[Date],$A55,Table146[Bill No.],$B55),""))))</f>
        <v>12000</v>
      </c>
      <c r="D55" s="223">
        <f>IF($A55="","",IF($K55="DIESEL",AVERAGEIFS(Table1[RSP],Table1[Customer],$P$3,Table1[Date],$A55,Table1[Bill No.],$B55),IF($K55="PETROL",AVERAGEIFS(Table14[RSP],Table14[Customer],$P$3,Table14[Date],$A55,Table14[Bill No.],$B55),IF($K55="XtraGreen",AVERAGEIFS(Table146[RSP],Table146[Company],$P$3,Table146[Date],$A55,Table146[Bill No.],$B55),IFERROR($E55/$C55,"")))))</f>
        <v>99.5</v>
      </c>
      <c r="E55" s="330">
        <f>IF($A55="","",IF($K55="DIESEL",SUMIFS(Table1[Amount],Table1[Customer],$P$3,Table1[Date],$A55,Table1[Bill No.],$B55),IF($K55="PETROL",SUMIFS(Table14[Amount],Table14[Customer],$P$3,Table14[Date],$A55,Table14[Bill No.],$B55),IF($K55="XtraGreen",SUMIFS(Table146[Amount],Table146[Company],$P$3,Table146[Date],$A55,Table146[Bill No.],$B55),SUMIFS('Other Sale'!$D:$D,'Other Sale'!$E:$E,$P$3,'Other Sale'!$C:$C,$K55,'Other Sale'!$A:$A,$A55)))))</f>
        <v>1194000</v>
      </c>
      <c r="F55" s="330" cm="1">
        <f t="array" ref="F55">IF($A55="","",IF($K55="Payment",IFERROR(INDEX(_xlfn._xlws.FILTER(MasterPaid[Amount Paid],(MasterPaid[Customer]=$P$3)*(MasterPaid[Date]=$A55)),COUNTIFS($A$6:$A55,$A55,$K$6:$K55,"Payment")),0),0))</f>
        <v>0</v>
      </c>
      <c r="G55" s="331" t="s">
        <v>13</v>
      </c>
      <c r="H55" s="459">
        <v>1511</v>
      </c>
      <c r="I55" s="330">
        <f t="shared" si="8"/>
        <v>4275849</v>
      </c>
      <c r="J55" s="275" t="s">
        <v>2574</v>
      </c>
      <c r="K55" s="289" t="str" cm="1">
        <f t="array" ref="K55">IFERROR(INDEX(_xlfn.ANCHORARRAY($R$6),ROW()-5,3),"")</f>
        <v>DIESEL</v>
      </c>
      <c r="L55" s="430" t="str" cm="1">
        <f t="array" ref="L55">IF(OR($A55="",$J55="",$K55&lt;&gt;"DIESEL"),"",_xlfn.LET(_xlpm.qty,N($C55),_xlpm.pos,IF($J55="UNIT 1",$V$5:$V$54,$AC$5:$AC$54),_xlpm.alo,IF($J55="UNIT 1",$W$5:$W$54,$AD$5:$AD$54),_xlpm.usd,SUMIFS($C$6:$C54,$L$6:$L54,_xlpm.pos&amp;"",$J$6:$J54,$J55),_xlpm.bal,N(_xlpm.alo)-_xlpm.usd,IFERROR(INDEX(_xlfn._xlws.FILTER(_xlpm.pos,(_xlpm.pos&lt;&gt;"")*(_xlpm.qty&gt;0)*(_xlpm.bal&gt;=_xlpm.qty)),1),"")))</f>
        <v>4500211470</v>
      </c>
      <c r="M55" s="460" t="s">
        <v>2935</v>
      </c>
      <c r="R55">
        <v>46221</v>
      </c>
      <c r="S55" t="str">
        <v>1602</v>
      </c>
      <c r="T55" t="str">
        <v>DIESEL</v>
      </c>
      <c r="AQ55" s="409"/>
      <c r="AR55" s="410"/>
      <c r="AS55" s="410"/>
      <c r="AT55" s="411"/>
      <c r="AU55" s="412"/>
      <c r="AV55" s="413"/>
      <c r="AW55" s="413"/>
      <c r="AX55" s="413"/>
      <c r="AY55" s="413"/>
      <c r="AZ55" s="413" t="str">
        <f t="shared" si="6"/>
        <v/>
      </c>
      <c r="BB55" s="409">
        <v>46246</v>
      </c>
      <c r="BC55" s="410" t="str">
        <v>2138</v>
      </c>
      <c r="BD55" s="410" t="str">
        <v>DIESEL</v>
      </c>
      <c r="BE55" s="411">
        <v>18000</v>
      </c>
      <c r="BF55" s="412">
        <v>99.5</v>
      </c>
      <c r="BG55" s="413">
        <v>1791000</v>
      </c>
      <c r="BH55" s="413">
        <v>0</v>
      </c>
      <c r="BI55" s="413" t="str">
        <v/>
      </c>
      <c r="BJ55" s="413">
        <v>0</v>
      </c>
      <c r="BK55" s="413">
        <f t="shared" si="7"/>
        <v>-94170</v>
      </c>
    </row>
    <row r="56" spans="1:63" ht="21.75" x14ac:dyDescent="0.25">
      <c r="A56" s="217" cm="1">
        <f t="array" ref="A56">IFERROR(INDEX(_xlfn.ANCHORARRAY($R$6),ROW()-5,1),"")</f>
        <v>46224</v>
      </c>
      <c r="B56" s="289" t="str" cm="1">
        <f t="array" ref="B56">IFERROR(INDEX(_xlfn.ANCHORARRAY($R$6),ROW()-5,2),"")</f>
        <v>1661</v>
      </c>
      <c r="C56" s="218">
        <f>IF($A56="","",IF($K56="DIESEL",SUMIFS(Table1[Quantity],Table1[Customer],$P$3,Table1[Date],$A56,Table1[Bill No.],$B56),IF($K56="PETROL",SUMIFS(Table14[Quantity],Table14[Customer],$P$3,Table14[Date],$A56,Table14[Bill No.],$B56),IF($K56="XtraGreen",SUMIFS(Table146[Quantity],Table146[Company],$P$3,Table146[Date],$A56,Table146[Bill No.],$B56),""))))</f>
        <v>4000</v>
      </c>
      <c r="D56" s="223">
        <f>IF($A56="","",IF($K56="DIESEL",AVERAGEIFS(Table1[RSP],Table1[Customer],$P$3,Table1[Date],$A56,Table1[Bill No.],$B56),IF($K56="PETROL",AVERAGEIFS(Table14[RSP],Table14[Customer],$P$3,Table14[Date],$A56,Table14[Bill No.],$B56),IF($K56="XtraGreen",AVERAGEIFS(Table146[RSP],Table146[Company],$P$3,Table146[Date],$A56,Table146[Bill No.],$B56),IFERROR($E56/$C56,"")))))</f>
        <v>99.5</v>
      </c>
      <c r="E56" s="330">
        <f>IF($A56="","",IF($K56="DIESEL",SUMIFS(Table1[Amount],Table1[Customer],$P$3,Table1[Date],$A56,Table1[Bill No.],$B56),IF($K56="PETROL",SUMIFS(Table14[Amount],Table14[Customer],$P$3,Table14[Date],$A56,Table14[Bill No.],$B56),IF($K56="XtraGreen",SUMIFS(Table146[Amount],Table146[Company],$P$3,Table146[Date],$A56,Table146[Bill No.],$B56),SUMIFS('Other Sale'!$D:$D,'Other Sale'!$E:$E,$P$3,'Other Sale'!$C:$C,$K56,'Other Sale'!$A:$A,$A56)))))</f>
        <v>398000</v>
      </c>
      <c r="F56" s="330" cm="1">
        <f t="array" ref="F56">IF($A56="","",IF($K56="Payment",IFERROR(INDEX(_xlfn._xlws.FILTER(MasterPaid[Amount Paid],(MasterPaid[Customer]=$P$3)*(MasterPaid[Date]=$A56)),COUNTIFS($A$6:$A56,$A56,$K$6:$K56,"Payment")),0),0))</f>
        <v>0</v>
      </c>
      <c r="G56" s="331" t="s">
        <v>13</v>
      </c>
      <c r="H56" s="331"/>
      <c r="I56" s="330">
        <f t="shared" si="8"/>
        <v>4673849</v>
      </c>
      <c r="J56" s="275" t="s">
        <v>2575</v>
      </c>
      <c r="K56" s="289" t="str" cm="1">
        <f t="array" ref="K56">IFERROR(INDEX(_xlfn.ANCHORARRAY($R$6),ROW()-5,3),"")</f>
        <v>DIESEL</v>
      </c>
      <c r="L56" s="430" cm="1">
        <f t="array" ref="L56">IF(OR($A56="",$J56="",$K56&lt;&gt;"DIESEL"),"",_xlfn.LET(_xlpm.qty,N($C56),_xlpm.pos,IF($J56="UNIT 1",$V$5:$V$54,$AC$5:$AC$54),_xlpm.alo,IF($J56="UNIT 1",$W$5:$W$54,$AD$5:$AD$54),_xlpm.usd,SUMIFS($C$6:$C55,$L$6:$L55,_xlpm.pos&amp;"",$J$6:$J55,$J56),_xlpm.bal,N(_xlpm.alo)-_xlpm.usd,IFERROR(INDEX(_xlfn._xlws.FILTER(_xlpm.pos,(_xlpm.pos&lt;&gt;"")*(_xlpm.qty&gt;0)*(_xlpm.bal&gt;=_xlpm.qty)),1),"")))</f>
        <v>4500211335</v>
      </c>
      <c r="M56" s="290"/>
      <c r="R56">
        <v>46224</v>
      </c>
      <c r="S56" t="str">
        <v>1661</v>
      </c>
      <c r="T56" t="str">
        <v>DIESEL</v>
      </c>
      <c r="AQ56" s="409"/>
      <c r="AR56" s="410"/>
      <c r="AS56" s="410"/>
      <c r="AT56" s="411"/>
      <c r="AU56" s="412"/>
      <c r="AV56" s="413"/>
      <c r="AW56" s="413"/>
      <c r="AX56" s="413"/>
      <c r="AY56" s="413"/>
      <c r="AZ56" s="413" t="str">
        <f t="shared" si="6"/>
        <v/>
      </c>
      <c r="BB56" s="409">
        <v>46252</v>
      </c>
      <c r="BC56" s="410" t="str">
        <v>2239</v>
      </c>
      <c r="BD56" s="410" t="str">
        <v>DIESEL</v>
      </c>
      <c r="BE56" s="411">
        <v>18000</v>
      </c>
      <c r="BF56" s="412">
        <v>99.5</v>
      </c>
      <c r="BG56" s="413">
        <v>1791000</v>
      </c>
      <c r="BH56" s="413">
        <v>0</v>
      </c>
      <c r="BI56" s="413" t="str">
        <v/>
      </c>
      <c r="BJ56" s="413">
        <v>0</v>
      </c>
      <c r="BK56" s="413">
        <f t="shared" si="7"/>
        <v>1696830</v>
      </c>
    </row>
    <row r="57" spans="1:63" ht="21.75" x14ac:dyDescent="0.25">
      <c r="A57" s="217" cm="1">
        <f t="array" ref="A57">IFERROR(INDEX(_xlfn.ANCHORARRAY($R$6),ROW()-5,1),"")</f>
        <v>46224</v>
      </c>
      <c r="B57" s="289" t="str" cm="1">
        <f t="array" ref="B57">IFERROR(INDEX(_xlfn.ANCHORARRAY($R$6),ROW()-5,2),"")</f>
        <v>1662</v>
      </c>
      <c r="C57" s="218">
        <f>IF($A57="","",IF($K57="DIESEL",SUMIFS(Table1[Quantity],Table1[Customer],$P$3,Table1[Date],$A57,Table1[Bill No.],$B57),IF($K57="PETROL",SUMIFS(Table14[Quantity],Table14[Customer],$P$3,Table14[Date],$A57,Table14[Bill No.],$B57),IF($K57="XtraGreen",SUMIFS(Table146[Quantity],Table146[Company],$P$3,Table146[Date],$A57,Table146[Bill No.],$B57),""))))</f>
        <v>14000</v>
      </c>
      <c r="D57" s="223">
        <f>IF($A57="","",IF($K57="DIESEL",AVERAGEIFS(Table1[RSP],Table1[Customer],$P$3,Table1[Date],$A57,Table1[Bill No.],$B57),IF($K57="PETROL",AVERAGEIFS(Table14[RSP],Table14[Customer],$P$3,Table14[Date],$A57,Table14[Bill No.],$B57),IF($K57="XtraGreen",AVERAGEIFS(Table146[RSP],Table146[Company],$P$3,Table146[Date],$A57,Table146[Bill No.],$B57),IFERROR($E57/$C57,"")))))</f>
        <v>99.5</v>
      </c>
      <c r="E57" s="330">
        <f>IF($A57="","",IF($K57="DIESEL",SUMIFS(Table1[Amount],Table1[Customer],$P$3,Table1[Date],$A57,Table1[Bill No.],$B57),IF($K57="PETROL",SUMIFS(Table14[Amount],Table14[Customer],$P$3,Table14[Date],$A57,Table14[Bill No.],$B57),IF($K57="XtraGreen",SUMIFS(Table146[Amount],Table146[Company],$P$3,Table146[Date],$A57,Table146[Bill No.],$B57),SUMIFS('Other Sale'!$D:$D,'Other Sale'!$E:$E,$P$3,'Other Sale'!$C:$C,$K57,'Other Sale'!$A:$A,$A57)))))</f>
        <v>1393000</v>
      </c>
      <c r="F57" s="330" cm="1">
        <f t="array" ref="F57">IF($A57="","",IF($K57="Payment",IFERROR(INDEX(_xlfn._xlws.FILTER(MasterPaid[Amount Paid],(MasterPaid[Customer]=$P$3)*(MasterPaid[Date]=$A57)),COUNTIFS($A$6:$A57,$A57,$K$6:$K57,"Payment")),0),0))</f>
        <v>0</v>
      </c>
      <c r="G57" s="331" t="s">
        <v>13</v>
      </c>
      <c r="H57" s="331"/>
      <c r="I57" s="330">
        <f t="shared" si="8"/>
        <v>6066849</v>
      </c>
      <c r="J57" s="275" t="s">
        <v>2575</v>
      </c>
      <c r="K57" s="289" t="str" cm="1">
        <f t="array" ref="K57">IFERROR(INDEX(_xlfn.ANCHORARRAY($R$6),ROW()-5,3),"")</f>
        <v>DIESEL</v>
      </c>
      <c r="L57" s="430" t="str" cm="1">
        <f t="array" ref="L57">IF(OR($A57="",$J57="",$K57&lt;&gt;"DIESEL"),"",_xlfn.LET(_xlpm.qty,N($C57),_xlpm.pos,IF($J57="UNIT 1",$V$5:$V$54,$AC$5:$AC$54),_xlpm.alo,IF($J57="UNIT 1",$W$5:$W$54,$AD$5:$AD$54),_xlpm.usd,SUMIFS($C$6:$C56,$L$6:$L56,_xlpm.pos&amp;"",$J$6:$J56,$J57),_xlpm.bal,N(_xlpm.alo)-_xlpm.usd,IFERROR(INDEX(_xlfn._xlws.FILTER(_xlpm.pos,(_xlpm.pos&lt;&gt;"")*(_xlpm.qty&gt;0)*(_xlpm.bal&gt;=_xlpm.qty)),1),"")))</f>
        <v>4500212664</v>
      </c>
      <c r="M57" s="290"/>
      <c r="R57">
        <v>46224</v>
      </c>
      <c r="S57" t="str">
        <v>1662</v>
      </c>
      <c r="T57" t="str">
        <v>DIESEL</v>
      </c>
      <c r="AQ57" s="409"/>
      <c r="AR57" s="410"/>
      <c r="AS57" s="410"/>
      <c r="AT57" s="411"/>
      <c r="AU57" s="412"/>
      <c r="AV57" s="413"/>
      <c r="AW57" s="413"/>
      <c r="AX57" s="413"/>
      <c r="AY57" s="413"/>
      <c r="AZ57" s="413" t="str">
        <f t="shared" si="6"/>
        <v/>
      </c>
      <c r="BB57" s="409">
        <v>46255</v>
      </c>
      <c r="BC57" s="410" t="str">
        <v/>
      </c>
      <c r="BD57" s="410" t="str">
        <v>Payment</v>
      </c>
      <c r="BE57" s="411" t="str">
        <v/>
      </c>
      <c r="BF57" s="412" t="str">
        <v/>
      </c>
      <c r="BG57" s="413">
        <v>0</v>
      </c>
      <c r="BH57" s="413">
        <v>3479017</v>
      </c>
      <c r="BI57" s="413">
        <v>3483</v>
      </c>
      <c r="BJ57" s="413">
        <v>0</v>
      </c>
      <c r="BK57" s="413">
        <f t="shared" si="7"/>
        <v>-1785670</v>
      </c>
    </row>
    <row r="58" spans="1:63" ht="21.75" x14ac:dyDescent="0.25">
      <c r="A58" s="217" cm="1">
        <f t="array" ref="A58">IFERROR(INDEX(_xlfn.ANCHORARRAY($R$6),ROW()-5,1),"")</f>
        <v>46225</v>
      </c>
      <c r="B58" s="289" t="str" cm="1">
        <f t="array" ref="B58">IFERROR(INDEX(_xlfn.ANCHORARRAY($R$6),ROW()-5,2),"")</f>
        <v/>
      </c>
      <c r="C58" s="218" t="str">
        <f>IF($A58="","",IF($K58="DIESEL",SUMIFS(Table1[Quantity],Table1[Customer],$P$3,Table1[Date],$A58,Table1[Bill No.],$B58),IF($K58="PETROL",SUMIFS(Table14[Quantity],Table14[Customer],$P$3,Table14[Date],$A58,Table14[Bill No.],$B58),IF($K58="XtraGreen",SUMIFS(Table146[Quantity],Table146[Company],$P$3,Table146[Date],$A58,Table146[Bill No.],$B58),""))))</f>
        <v/>
      </c>
      <c r="D58" s="223" t="str">
        <f>IF($A58="","",IF($K58="DIESEL",AVERAGEIFS(Table1[RSP],Table1[Customer],$P$3,Table1[Date],$A58,Table1[Bill No.],$B58),IF($K58="PETROL",AVERAGEIFS(Table14[RSP],Table14[Customer],$P$3,Table14[Date],$A58,Table14[Bill No.],$B58),IF($K58="XtraGreen",AVERAGEIFS(Table146[RSP],Table146[Company],$P$3,Table146[Date],$A58,Table146[Bill No.],$B58),IFERROR($E58/$C58,"")))))</f>
        <v/>
      </c>
      <c r="E58" s="330">
        <f>IF($A58="","",IF($K58="DIESEL",SUMIFS(Table1[Amount],Table1[Customer],$P$3,Table1[Date],$A58,Table1[Bill No.],$B58),IF($K58="PETROL",SUMIFS(Table14[Amount],Table14[Customer],$P$3,Table14[Date],$A58,Table14[Bill No.],$B58),IF($K58="XtraGreen",SUMIFS(Table146[Amount],Table146[Company],$P$3,Table146[Date],$A58,Table146[Bill No.],$B58),SUMIFS('Other Sale'!$D:$D,'Other Sale'!$E:$E,$P$3,'Other Sale'!$C:$C,$K58,'Other Sale'!$A:$A,$A58)))))</f>
        <v>0</v>
      </c>
      <c r="F58" s="330" cm="1">
        <f t="array" ref="F58">IF($A58="","",IF($K58="Payment",IFERROR(INDEX(_xlfn._xlws.FILTER(MasterPaid[Amount Paid],(MasterPaid[Customer]=$P$3)*(MasterPaid[Date]=$A58)),COUNTIFS($A$6:$A58,$A58,$K$6:$K58,"Payment")),0),0))</f>
        <v>3379617</v>
      </c>
      <c r="G58" s="331">
        <v>3383</v>
      </c>
      <c r="H58" s="331"/>
      <c r="I58" s="330">
        <f t="shared" si="8"/>
        <v>2683849</v>
      </c>
      <c r="J58" s="275" t="s">
        <v>2575</v>
      </c>
      <c r="K58" s="289" t="str" cm="1">
        <f t="array" ref="K58">IFERROR(INDEX(_xlfn.ANCHORARRAY($R$6),ROW()-5,3),"")</f>
        <v>Payment</v>
      </c>
      <c r="L58" s="430" t="str" cm="1">
        <f t="array" ref="L58">IF(OR($A58="",$J58="",$K58&lt;&gt;"DIESEL"),"",_xlfn.LET(_xlpm.qty,N($C58),_xlpm.pos,IF($J58="UNIT 1",$V$5:$V$54,$AC$5:$AC$54),_xlpm.alo,IF($J58="UNIT 1",$W$5:$W$54,$AD$5:$AD$54),_xlpm.usd,SUMIFS($C$6:$C57,$L$6:$L57,_xlpm.pos&amp;"",$J$6:$J57,$J58),_xlpm.bal,N(_xlpm.alo)-_xlpm.usd,IFERROR(INDEX(_xlfn._xlws.FILTER(_xlpm.pos,(_xlpm.pos&lt;&gt;"")*(_xlpm.qty&gt;0)*(_xlpm.bal&gt;=_xlpm.qty)),1),"")))</f>
        <v/>
      </c>
      <c r="M58" s="290"/>
      <c r="R58">
        <v>46225</v>
      </c>
      <c r="S58" t="str">
        <v/>
      </c>
      <c r="T58" t="str">
        <v>Payment</v>
      </c>
      <c r="AQ58" s="409"/>
      <c r="AR58" s="410"/>
      <c r="AS58" s="410"/>
      <c r="AT58" s="411"/>
      <c r="AU58" s="412"/>
      <c r="AV58" s="413"/>
      <c r="AW58" s="413"/>
      <c r="AX58" s="413"/>
      <c r="AY58" s="413"/>
      <c r="AZ58" s="413" t="str">
        <f t="shared" si="6"/>
        <v/>
      </c>
      <c r="BB58" s="409">
        <v>46258</v>
      </c>
      <c r="BC58" s="410" t="str">
        <v>2334</v>
      </c>
      <c r="BD58" s="410" t="str">
        <v>DIESEL</v>
      </c>
      <c r="BE58" s="411">
        <v>18000</v>
      </c>
      <c r="BF58" s="412">
        <v>99.5</v>
      </c>
      <c r="BG58" s="413">
        <v>1791000</v>
      </c>
      <c r="BH58" s="413">
        <v>0</v>
      </c>
      <c r="BI58" s="413" t="str">
        <v/>
      </c>
      <c r="BJ58" s="413">
        <v>0</v>
      </c>
      <c r="BK58" s="413">
        <f t="shared" si="7"/>
        <v>5330</v>
      </c>
    </row>
    <row r="59" spans="1:63" ht="21.75" x14ac:dyDescent="0.25">
      <c r="A59" s="217" cm="1">
        <f t="array" ref="A59">IFERROR(INDEX(_xlfn.ANCHORARRAY($R$6),ROW()-5,1),"")</f>
        <v>46229</v>
      </c>
      <c r="B59" s="289" t="str" cm="1">
        <f t="array" ref="B59">IFERROR(INDEX(_xlfn.ANCHORARRAY($R$6),ROW()-5,2),"")</f>
        <v>1769</v>
      </c>
      <c r="C59" s="218">
        <f>IF($A59="","",IF($K59="DIESEL",SUMIFS(Table1[Quantity],Table1[Customer],$P$3,Table1[Date],$A59,Table1[Bill No.],$B59),IF($K59="PETROL",SUMIFS(Table14[Quantity],Table14[Customer],$P$3,Table14[Date],$A59,Table14[Bill No.],$B59),IF($K59="XtraGreen",SUMIFS(Table146[Quantity],Table146[Company],$P$3,Table146[Date],$A59,Table146[Bill No.],$B59),""))))</f>
        <v>18000</v>
      </c>
      <c r="D59" s="223">
        <f>IF($A59="","",IF($K59="DIESEL",AVERAGEIFS(Table1[RSP],Table1[Customer],$P$3,Table1[Date],$A59,Table1[Bill No.],$B59),IF($K59="PETROL",AVERAGEIFS(Table14[RSP],Table14[Customer],$P$3,Table14[Date],$A59,Table14[Bill No.],$B59),IF($K59="XtraGreen",AVERAGEIFS(Table146[RSP],Table146[Company],$P$3,Table146[Date],$A59,Table146[Bill No.],$B59),IFERROR($E59/$C59,"")))))</f>
        <v>99.5</v>
      </c>
      <c r="E59" s="330">
        <f>IF($A59="","",IF($K59="DIESEL",SUMIFS(Table1[Amount],Table1[Customer],$P$3,Table1[Date],$A59,Table1[Bill No.],$B59),IF($K59="PETROL",SUMIFS(Table14[Amount],Table14[Customer],$P$3,Table14[Date],$A59,Table14[Bill No.],$B59),IF($K59="XtraGreen",SUMIFS(Table146[Amount],Table146[Company],$P$3,Table146[Date],$A59,Table146[Bill No.],$B59),SUMIFS('Other Sale'!$D:$D,'Other Sale'!$E:$E,$P$3,'Other Sale'!$C:$C,$K59,'Other Sale'!$A:$A,$A59)))))</f>
        <v>1791000</v>
      </c>
      <c r="F59" s="330" cm="1">
        <f t="array" ref="F59">IF($A59="","",IF($K59="Payment",IFERROR(INDEX(_xlfn._xlws.FILTER(MasterPaid[Amount Paid],(MasterPaid[Customer]=$P$3)*(MasterPaid[Date]=$A59)),COUNTIFS($A$6:$A59,$A59,$K$6:$K59,"Payment")),0),0))</f>
        <v>0</v>
      </c>
      <c r="G59" s="331" t="s">
        <v>13</v>
      </c>
      <c r="H59" s="331"/>
      <c r="I59" s="330">
        <f t="shared" si="8"/>
        <v>4474849</v>
      </c>
      <c r="J59" s="275" t="s">
        <v>2575</v>
      </c>
      <c r="K59" s="289" t="str" cm="1">
        <f t="array" ref="K59">IFERROR(INDEX(_xlfn.ANCHORARRAY($R$6),ROW()-5,3),"")</f>
        <v>DIESEL</v>
      </c>
      <c r="L59" s="430" t="str" cm="1">
        <f t="array" ref="L59">IF(OR($A59="",$J59="",$K59&lt;&gt;"DIESEL"),"",_xlfn.LET(_xlpm.qty,N($C59),_xlpm.pos,IF($J59="UNIT 1",$V$5:$V$54,$AC$5:$AC$54),_xlpm.alo,IF($J59="UNIT 1",$W$5:$W$54,$AD$5:$AD$54),_xlpm.usd,SUMIFS($C$6:$C58,$L$6:$L58,_xlpm.pos&amp;"",$J$6:$J58,$J59),_xlpm.bal,N(_xlpm.alo)-_xlpm.usd,IFERROR(INDEX(_xlfn._xlws.FILTER(_xlpm.pos,(_xlpm.pos&lt;&gt;"")*(_xlpm.qty&gt;0)*(_xlpm.bal&gt;=_xlpm.qty)),1),"")))</f>
        <v>4500212664</v>
      </c>
      <c r="M59" s="290"/>
      <c r="R59">
        <v>46229</v>
      </c>
      <c r="S59" t="str">
        <v>1769</v>
      </c>
      <c r="T59" t="str">
        <v>DIESEL</v>
      </c>
      <c r="AQ59" s="409"/>
      <c r="AR59" s="410"/>
      <c r="AS59" s="410"/>
      <c r="AT59" s="411"/>
      <c r="AU59" s="412"/>
      <c r="AV59" s="413"/>
      <c r="AW59" s="413"/>
      <c r="AX59" s="413"/>
      <c r="AY59" s="413"/>
      <c r="AZ59" s="413" t="str">
        <f t="shared" si="6"/>
        <v/>
      </c>
      <c r="BB59" s="409"/>
      <c r="BC59" s="410"/>
      <c r="BD59" s="410"/>
      <c r="BE59" s="411"/>
      <c r="BF59" s="412"/>
      <c r="BG59" s="413"/>
      <c r="BH59" s="413"/>
      <c r="BI59" s="413"/>
      <c r="BJ59" s="413"/>
      <c r="BK59" s="413" t="str">
        <f t="shared" si="7"/>
        <v/>
      </c>
    </row>
    <row r="60" spans="1:63" ht="21.75" x14ac:dyDescent="0.25">
      <c r="A60" s="217" cm="1">
        <f t="array" ref="A60">IFERROR(INDEX(_xlfn.ANCHORARRAY($R$6),ROW()-5,1),"")</f>
        <v>46230</v>
      </c>
      <c r="B60" s="289" t="str" cm="1">
        <f t="array" ref="B60">IFERROR(INDEX(_xlfn.ANCHORARRAY($R$6),ROW()-5,2),"")</f>
        <v>1785</v>
      </c>
      <c r="C60" s="218">
        <f>IF($A60="","",IF($K60="DIESEL",SUMIFS(Table1[Quantity],Table1[Customer],$P$3,Table1[Date],$A60,Table1[Bill No.],$B60),IF($K60="PETROL",SUMIFS(Table14[Quantity],Table14[Customer],$P$3,Table14[Date],$A60,Table14[Bill No.],$B60),IF($K60="XtraGreen",SUMIFS(Table146[Quantity],Table146[Company],$P$3,Table146[Date],$A60,Table146[Bill No.],$B60),""))))</f>
        <v>12000</v>
      </c>
      <c r="D60" s="223">
        <f>IF($A60="","",IF($K60="DIESEL",AVERAGEIFS(Table1[RSP],Table1[Customer],$P$3,Table1[Date],$A60,Table1[Bill No.],$B60),IF($K60="PETROL",AVERAGEIFS(Table14[RSP],Table14[Customer],$P$3,Table14[Date],$A60,Table14[Bill No.],$B60),IF($K60="XtraGreen",AVERAGEIFS(Table146[RSP],Table146[Company],$P$3,Table146[Date],$A60,Table146[Bill No.],$B60),IFERROR($E60/$C60,"")))))</f>
        <v>99.5</v>
      </c>
      <c r="E60" s="330">
        <f>IF($A60="","",IF($K60="DIESEL",SUMIFS(Table1[Amount],Table1[Customer],$P$3,Table1[Date],$A60,Table1[Bill No.],$B60),IF($K60="PETROL",SUMIFS(Table14[Amount],Table14[Customer],$P$3,Table14[Date],$A60,Table14[Bill No.],$B60),IF($K60="XtraGreen",SUMIFS(Table146[Amount],Table146[Company],$P$3,Table146[Date],$A60,Table146[Bill No.],$B60),SUMIFS('Other Sale'!$D:$D,'Other Sale'!$E:$E,$P$3,'Other Sale'!$C:$C,$K60,'Other Sale'!$A:$A,$A60)))))</f>
        <v>1194000</v>
      </c>
      <c r="F60" s="330" cm="1">
        <f t="array" ref="F60">IF($A60="","",IF($K60="Payment",IFERROR(INDEX(_xlfn._xlws.FILTER(MasterPaid[Amount Paid],(MasterPaid[Customer]=$P$3)*(MasterPaid[Date]=$A60)),COUNTIFS($A$6:$A60,$A60,$K$6:$K60,"Payment")),0),0))</f>
        <v>0</v>
      </c>
      <c r="G60" s="331" t="s">
        <v>13</v>
      </c>
      <c r="H60" s="331"/>
      <c r="I60" s="330">
        <f t="shared" si="8"/>
        <v>5668849</v>
      </c>
      <c r="J60" s="275" t="s">
        <v>2574</v>
      </c>
      <c r="K60" s="289" t="str" cm="1">
        <f t="array" ref="K60">IFERROR(INDEX(_xlfn.ANCHORARRAY($R$6),ROW()-5,3),"")</f>
        <v>DIESEL</v>
      </c>
      <c r="L60" s="430" t="str" cm="1">
        <f t="array" ref="L60">IF(OR($A60="",$J60="",$K60&lt;&gt;"DIESEL"),"",_xlfn.LET(_xlpm.qty,N($C60),_xlpm.pos,IF($J60="UNIT 1",$V$5:$V$54,$AC$5:$AC$54),_xlpm.alo,IF($J60="UNIT 1",$W$5:$W$54,$AD$5:$AD$54),_xlpm.usd,SUMIFS($C$6:$C59,$L$6:$L59,_xlpm.pos&amp;"",$J$6:$J59,$J60),_xlpm.bal,N(_xlpm.alo)-_xlpm.usd,IFERROR(INDEX(_xlfn._xlws.FILTER(_xlpm.pos,(_xlpm.pos&lt;&gt;"")*(_xlpm.qty&gt;0)*(_xlpm.bal&gt;=_xlpm.qty)),1),"")))</f>
        <v>4500212666</v>
      </c>
      <c r="M60" s="290"/>
      <c r="R60">
        <v>46230</v>
      </c>
      <c r="S60" t="str">
        <v>1785</v>
      </c>
      <c r="T60" t="str">
        <v>DIESEL</v>
      </c>
      <c r="AQ60" s="409"/>
      <c r="AR60" s="410"/>
      <c r="AS60" s="410"/>
      <c r="AT60" s="411"/>
      <c r="AU60" s="412"/>
      <c r="AV60" s="413"/>
      <c r="AW60" s="413"/>
      <c r="AX60" s="413"/>
      <c r="AY60" s="413"/>
      <c r="AZ60" s="413" t="str">
        <f t="shared" si="6"/>
        <v/>
      </c>
      <c r="BB60" s="409"/>
      <c r="BC60" s="410"/>
      <c r="BD60" s="410"/>
      <c r="BE60" s="411"/>
      <c r="BF60" s="412"/>
      <c r="BG60" s="413"/>
      <c r="BH60" s="413"/>
      <c r="BI60" s="413"/>
      <c r="BJ60" s="413"/>
      <c r="BK60" s="413" t="str">
        <f t="shared" si="7"/>
        <v/>
      </c>
    </row>
    <row r="61" spans="1:63" ht="21.75" x14ac:dyDescent="0.25">
      <c r="A61" s="217" cm="1">
        <f t="array" ref="A61">IFERROR(INDEX(_xlfn.ANCHORARRAY($R$6),ROW()-5,1),"")</f>
        <v>46232</v>
      </c>
      <c r="B61" s="289" t="str" cm="1">
        <f t="array" ref="B61">IFERROR(INDEX(_xlfn.ANCHORARRAY($R$6),ROW()-5,2),"")</f>
        <v>1808</v>
      </c>
      <c r="C61" s="218">
        <f>IF($A61="","",IF($K61="DIESEL",SUMIFS(Table1[Quantity],Table1[Customer],$P$3,Table1[Date],$A61,Table1[Bill No.],$B61),IF($K61="PETROL",SUMIFS(Table14[Quantity],Table14[Customer],$P$3,Table14[Date],$A61,Table14[Bill No.],$B61),IF($K61="XtraGreen",SUMIFS(Table146[Quantity],Table146[Company],$P$3,Table146[Date],$A61,Table146[Bill No.],$B61),""))))</f>
        <v>18000</v>
      </c>
      <c r="D61" s="223">
        <f>IF($A61="","",IF($K61="DIESEL",AVERAGEIFS(Table1[RSP],Table1[Customer],$P$3,Table1[Date],$A61,Table1[Bill No.],$B61),IF($K61="PETROL",AVERAGEIFS(Table14[RSP],Table14[Customer],$P$3,Table14[Date],$A61,Table14[Bill No.],$B61),IF($K61="XtraGreen",AVERAGEIFS(Table146[RSP],Table146[Company],$P$3,Table146[Date],$A61,Table146[Bill No.],$B61),IFERROR($E61/$C61,"")))))</f>
        <v>99.5</v>
      </c>
      <c r="E61" s="330">
        <f>IF($A61="","",IF($K61="DIESEL",SUMIFS(Table1[Amount],Table1[Customer],$P$3,Table1[Date],$A61,Table1[Bill No.],$B61),IF($K61="PETROL",SUMIFS(Table14[Amount],Table14[Customer],$P$3,Table14[Date],$A61,Table14[Bill No.],$B61),IF($K61="XtraGreen",SUMIFS(Table146[Amount],Table146[Company],$P$3,Table146[Date],$A61,Table146[Bill No.],$B61),SUMIFS('Other Sale'!$D:$D,'Other Sale'!$E:$E,$P$3,'Other Sale'!$C:$C,$K61,'Other Sale'!$A:$A,$A61)))))</f>
        <v>1791000</v>
      </c>
      <c r="F61" s="330" cm="1">
        <f t="array" ref="F61">IF($A61="","",IF($K61="Payment",IFERROR(INDEX(_xlfn._xlws.FILTER(MasterPaid[Amount Paid],(MasterPaid[Customer]=$P$3)*(MasterPaid[Date]=$A61)),COUNTIFS($A$6:$A61,$A61,$K$6:$K61,"Payment")),0),0))</f>
        <v>0</v>
      </c>
      <c r="G61" s="331"/>
      <c r="H61" s="331"/>
      <c r="I61" s="330">
        <f t="shared" si="8"/>
        <v>7459849</v>
      </c>
      <c r="J61" s="275" t="s">
        <v>2575</v>
      </c>
      <c r="K61" s="289" t="str" cm="1">
        <f t="array" ref="K61">IFERROR(INDEX(_xlfn.ANCHORARRAY($R$6),ROW()-5,3),"")</f>
        <v>DIESEL</v>
      </c>
      <c r="L61" s="430" t="str" cm="1">
        <f t="array" ref="L61">IF(OR($A61="",$J61="",$K61&lt;&gt;"DIESEL"),"",_xlfn.LET(_xlpm.qty,N($C61),_xlpm.pos,IF($J61="UNIT 1",$V$5:$V$54,$AC$5:$AC$54),_xlpm.alo,IF($J61="UNIT 1",$W$5:$W$54,$AD$5:$AD$54),_xlpm.usd,SUMIFS($C$6:$C60,$L$6:$L60,_xlpm.pos&amp;"",$J$6:$J60,$J61),_xlpm.bal,N(_xlpm.alo)-_xlpm.usd,IFERROR(INDEX(_xlfn._xlws.FILTER(_xlpm.pos,(_xlpm.pos&lt;&gt;"")*(_xlpm.qty&gt;0)*(_xlpm.bal&gt;=_xlpm.qty)),1),"")))</f>
        <v>4500212664</v>
      </c>
      <c r="M61" s="290"/>
      <c r="R61">
        <v>46232</v>
      </c>
      <c r="S61" t="str">
        <v>1808</v>
      </c>
      <c r="T61" t="str">
        <v>DIESEL</v>
      </c>
      <c r="AQ61" s="409"/>
      <c r="AR61" s="410"/>
      <c r="AS61" s="410"/>
      <c r="AT61" s="411"/>
      <c r="AU61" s="412"/>
      <c r="AV61" s="413"/>
      <c r="AW61" s="413"/>
      <c r="AX61" s="413"/>
      <c r="AY61" s="413"/>
      <c r="AZ61" s="413" t="str">
        <f t="shared" si="6"/>
        <v/>
      </c>
      <c r="BB61" s="409"/>
      <c r="BC61" s="410"/>
      <c r="BD61" s="410"/>
      <c r="BE61" s="411"/>
      <c r="BF61" s="412"/>
      <c r="BG61" s="413"/>
      <c r="BH61" s="413"/>
      <c r="BI61" s="413"/>
      <c r="BJ61" s="413"/>
      <c r="BK61" s="413" t="str">
        <f t="shared" si="7"/>
        <v/>
      </c>
    </row>
    <row r="62" spans="1:63" ht="21.75" x14ac:dyDescent="0.25">
      <c r="A62" s="217" cm="1">
        <f t="array" ref="A62">IFERROR(INDEX(_xlfn.ANCHORARRAY($R$6),ROW()-5,1),"")</f>
        <v>46232</v>
      </c>
      <c r="B62" s="289" t="str" cm="1">
        <f t="array" ref="B62">IFERROR(INDEX(_xlfn.ANCHORARRAY($R$6),ROW()-5,2),"")</f>
        <v/>
      </c>
      <c r="C62" s="218" t="str">
        <f>IF($A62="","",IF($K62="DIESEL",SUMIFS(Table1[Quantity],Table1[Customer],$P$3,Table1[Date],$A62,Table1[Bill No.],$B62),IF($K62="PETROL",SUMIFS(Table14[Quantity],Table14[Customer],$P$3,Table14[Date],$A62,Table14[Bill No.],$B62),IF($K62="XtraGreen",SUMIFS(Table146[Quantity],Table146[Company],$P$3,Table146[Date],$A62,Table146[Bill No.],$B62),""))))</f>
        <v/>
      </c>
      <c r="D62" s="223" t="str">
        <f>IF($A62="","",IF($K62="DIESEL",AVERAGEIFS(Table1[RSP],Table1[Customer],$P$3,Table1[Date],$A62,Table1[Bill No.],$B62),IF($K62="PETROL",AVERAGEIFS(Table14[RSP],Table14[Customer],$P$3,Table14[Date],$A62,Table14[Bill No.],$B62),IF($K62="XtraGreen",AVERAGEIFS(Table146[RSP],Table146[Company],$P$3,Table146[Date],$A62,Table146[Bill No.],$B62),IFERROR($E62/$C62,"")))))</f>
        <v/>
      </c>
      <c r="E62" s="330">
        <f>IF($A62="","",IF($K62="DIESEL",SUMIFS(Table1[Amount],Table1[Customer],$P$3,Table1[Date],$A62,Table1[Bill No.],$B62),IF($K62="PETROL",SUMIFS(Table14[Amount],Table14[Customer],$P$3,Table14[Date],$A62,Table14[Bill No.],$B62),IF($K62="XtraGreen",SUMIFS(Table146[Amount],Table146[Company],$P$3,Table146[Date],$A62,Table146[Bill No.],$B62),SUMIFS('Other Sale'!$D:$D,'Other Sale'!$E:$E,$P$3,'Other Sale'!$C:$C,$K62,'Other Sale'!$A:$A,$A62)))))</f>
        <v>0</v>
      </c>
      <c r="F62" s="330" cm="1">
        <f t="array" ref="F62">IF($A62="","",IF($K62="Payment",IFERROR(INDEX(_xlfn._xlws.FILTER(MasterPaid[Amount Paid],(MasterPaid[Customer]=$P$3)*(MasterPaid[Date]=$A62)),COUNTIFS($A$6:$A62,$A62,$K$6:$K62,"Payment")),0),0))</f>
        <v>3479017</v>
      </c>
      <c r="G62" s="331">
        <v>3483</v>
      </c>
      <c r="H62" s="331"/>
      <c r="I62" s="330">
        <f t="shared" si="8"/>
        <v>3977349</v>
      </c>
      <c r="J62" s="275" t="s">
        <v>2575</v>
      </c>
      <c r="K62" s="289" t="str" cm="1">
        <f t="array" ref="K62">IFERROR(INDEX(_xlfn.ANCHORARRAY($R$6),ROW()-5,3),"")</f>
        <v>Payment</v>
      </c>
      <c r="L62" s="430" t="str" cm="1">
        <f t="array" ref="L62">IF(OR($A62="",$J62="",$K62&lt;&gt;"DIESEL"),"",_xlfn.LET(_xlpm.qty,N($C62),_xlpm.pos,IF($J62="UNIT 1",$V$5:$V$54,$AC$5:$AC$54),_xlpm.alo,IF($J62="UNIT 1",$W$5:$W$54,$AD$5:$AD$54),_xlpm.usd,SUMIFS($C$6:$C61,$L$6:$L61,_xlpm.pos&amp;"",$J$6:$J61,$J62),_xlpm.bal,N(_xlpm.alo)-_xlpm.usd,IFERROR(INDEX(_xlfn._xlws.FILTER(_xlpm.pos,(_xlpm.pos&lt;&gt;"")*(_xlpm.qty&gt;0)*(_xlpm.bal&gt;=_xlpm.qty)),1),"")))</f>
        <v/>
      </c>
      <c r="M62" s="290"/>
      <c r="R62">
        <v>46232</v>
      </c>
      <c r="S62" t="str">
        <v/>
      </c>
      <c r="T62" t="str">
        <v>Payment</v>
      </c>
      <c r="AQ62" s="409"/>
      <c r="AR62" s="410"/>
      <c r="AS62" s="410"/>
      <c r="AT62" s="411"/>
      <c r="AU62" s="412"/>
      <c r="AV62" s="413"/>
      <c r="AW62" s="413"/>
      <c r="AX62" s="413"/>
      <c r="AY62" s="413"/>
      <c r="AZ62" s="413" t="str">
        <f t="shared" si="6"/>
        <v/>
      </c>
      <c r="BB62" s="409"/>
      <c r="BC62" s="410"/>
      <c r="BD62" s="410"/>
      <c r="BE62" s="411"/>
      <c r="BF62" s="412"/>
      <c r="BG62" s="413"/>
      <c r="BH62" s="413"/>
      <c r="BI62" s="413"/>
      <c r="BJ62" s="413"/>
      <c r="BK62" s="413" t="str">
        <f t="shared" si="7"/>
        <v/>
      </c>
    </row>
    <row r="63" spans="1:63" ht="21.75" x14ac:dyDescent="0.25">
      <c r="A63" s="217" cm="1">
        <f t="array" ref="A63">IFERROR(INDEX(_xlfn.ANCHORARRAY($R$6),ROW()-5,1),"")</f>
        <v>46234</v>
      </c>
      <c r="B63" s="289" t="str" cm="1">
        <f t="array" ref="B63">IFERROR(INDEX(_xlfn.ANCHORARRAY($R$6),ROW()-5,2),"")</f>
        <v>1887</v>
      </c>
      <c r="C63" s="218">
        <f>IF($A63="","",IF($K63="DIESEL",SUMIFS(Table1[Quantity],Table1[Customer],$P$3,Table1[Date],$A63,Table1[Bill No.],$B63),IF($K63="PETROL",SUMIFS(Table14[Quantity],Table14[Customer],$P$3,Table14[Date],$A63,Table14[Bill No.],$B63),IF($K63="XtraGreen",SUMIFS(Table146[Quantity],Table146[Company],$P$3,Table146[Date],$A63,Table146[Bill No.],$B63),""))))</f>
        <v>18000</v>
      </c>
      <c r="D63" s="223">
        <f>IF($A63="","",IF($K63="DIESEL",AVERAGEIFS(Table1[RSP],Table1[Customer],$P$3,Table1[Date],$A63,Table1[Bill No.],$B63),IF($K63="PETROL",AVERAGEIFS(Table14[RSP],Table14[Customer],$P$3,Table14[Date],$A63,Table14[Bill No.],$B63),IF($K63="XtraGreen",AVERAGEIFS(Table146[RSP],Table146[Company],$P$3,Table146[Date],$A63,Table146[Bill No.],$B63),IFERROR($E63/$C63,"")))))</f>
        <v>99.5</v>
      </c>
      <c r="E63" s="330">
        <f>IF($A63="","",IF($K63="DIESEL",SUMIFS(Table1[Amount],Table1[Customer],$P$3,Table1[Date],$A63,Table1[Bill No.],$B63),IF($K63="PETROL",SUMIFS(Table14[Amount],Table14[Customer],$P$3,Table14[Date],$A63,Table14[Bill No.],$B63),IF($K63="XtraGreen",SUMIFS(Table146[Amount],Table146[Company],$P$3,Table146[Date],$A63,Table146[Bill No.],$B63),SUMIFS('Other Sale'!$D:$D,'Other Sale'!$E:$E,$P$3,'Other Sale'!$C:$C,$K63,'Other Sale'!$A:$A,$A63)))))</f>
        <v>1791000</v>
      </c>
      <c r="F63" s="330" cm="1">
        <f t="array" ref="F63">IF($A63="","",IF($K63="Payment",IFERROR(INDEX(_xlfn._xlws.FILTER(MasterPaid[Amount Paid],(MasterPaid[Customer]=$P$3)*(MasterPaid[Date]=$A63)),COUNTIFS($A$6:$A63,$A63,$K$6:$K63,"Payment")),0),0))</f>
        <v>0</v>
      </c>
      <c r="G63" s="331" t="s">
        <v>13</v>
      </c>
      <c r="H63" s="331"/>
      <c r="I63" s="330">
        <f t="shared" si="8"/>
        <v>5768349</v>
      </c>
      <c r="J63" s="275" t="s">
        <v>2575</v>
      </c>
      <c r="K63" s="289" t="str" cm="1">
        <f t="array" ref="K63">IFERROR(INDEX(_xlfn.ANCHORARRAY($R$6),ROW()-5,3),"")</f>
        <v>DIESEL</v>
      </c>
      <c r="L63" s="430" t="str" cm="1">
        <f t="array" ref="L63">IF(OR($A63="",$J63="",$K63&lt;&gt;"DIESEL"),"",_xlfn.LET(_xlpm.qty,N($C63),_xlpm.pos,IF($J63="UNIT 1",$V$5:$V$54,$AC$5:$AC$54),_xlpm.alo,IF($J63="UNIT 1",$W$5:$W$54,$AD$5:$AD$54),_xlpm.usd,SUMIFS($C$6:$C62,$L$6:$L62,_xlpm.pos&amp;"",$J$6:$J62,$J63),_xlpm.bal,N(_xlpm.alo)-_xlpm.usd,IFERROR(INDEX(_xlfn._xlws.FILTER(_xlpm.pos,(_xlpm.pos&lt;&gt;"")*(_xlpm.qty&gt;0)*(_xlpm.bal&gt;=_xlpm.qty)),1),"")))</f>
        <v>4500212664</v>
      </c>
      <c r="M63" s="290"/>
      <c r="R63">
        <v>46234</v>
      </c>
      <c r="S63" t="str">
        <v>1887</v>
      </c>
      <c r="T63" t="str">
        <v>DIESEL</v>
      </c>
      <c r="AQ63" s="409"/>
      <c r="AR63" s="410"/>
      <c r="AS63" s="410"/>
      <c r="AT63" s="411"/>
      <c r="AU63" s="412"/>
      <c r="AV63" s="413"/>
      <c r="AW63" s="413"/>
      <c r="AX63" s="413"/>
      <c r="AY63" s="413"/>
      <c r="AZ63" s="413" t="str">
        <f t="shared" si="6"/>
        <v/>
      </c>
      <c r="BB63" s="409"/>
      <c r="BC63" s="410"/>
      <c r="BD63" s="410"/>
      <c r="BE63" s="411"/>
      <c r="BF63" s="412"/>
      <c r="BG63" s="413"/>
      <c r="BH63" s="413"/>
      <c r="BI63" s="413"/>
      <c r="BJ63" s="413"/>
      <c r="BK63" s="413" t="str">
        <f t="shared" si="7"/>
        <v/>
      </c>
    </row>
    <row r="64" spans="1:63" ht="21.75" x14ac:dyDescent="0.25">
      <c r="A64" s="217" cm="1">
        <f t="array" ref="A64">IFERROR(INDEX(_xlfn.ANCHORARRAY($R$6),ROW()-5,1),"")</f>
        <v>46237</v>
      </c>
      <c r="B64" s="289" t="str" cm="1">
        <f t="array" ref="B64">IFERROR(INDEX(_xlfn.ANCHORARRAY($R$6),ROW()-5,2),"")</f>
        <v/>
      </c>
      <c r="C64" s="218" t="str">
        <f>IF($A64="","",IF($K64="DIESEL",SUMIFS(Table1[Quantity],Table1[Customer],$P$3,Table1[Date],$A64,Table1[Bill No.],$B64),IF($K64="PETROL",SUMIFS(Table14[Quantity],Table14[Customer],$P$3,Table14[Date],$A64,Table14[Bill No.],$B64),IF($K64="XtraGreen",SUMIFS(Table146[Quantity],Table146[Company],$P$3,Table146[Date],$A64,Table146[Bill No.],$B64),""))))</f>
        <v/>
      </c>
      <c r="D64" s="223" t="str">
        <f>IF($A64="","",IF($K64="DIESEL",AVERAGEIFS(Table1[RSP],Table1[Customer],$P$3,Table1[Date],$A64,Table1[Bill No.],$B64),IF($K64="PETROL",AVERAGEIFS(Table14[RSP],Table14[Customer],$P$3,Table14[Date],$A64,Table14[Bill No.],$B64),IF($K64="XtraGreen",AVERAGEIFS(Table146[RSP],Table146[Company],$P$3,Table146[Date],$A64,Table146[Bill No.],$B64),IFERROR($E64/$C64,"")))))</f>
        <v/>
      </c>
      <c r="E64" s="330">
        <f>IF($A64="","",IF($K64="DIESEL",SUMIFS(Table1[Amount],Table1[Customer],$P$3,Table1[Date],$A64,Table1[Bill No.],$B64),IF($K64="PETROL",SUMIFS(Table14[Amount],Table14[Customer],$P$3,Table14[Date],$A64,Table14[Bill No.],$B64),IF($K64="XtraGreen",SUMIFS(Table146[Amount],Table146[Company],$P$3,Table146[Date],$A64,Table146[Bill No.],$B64),SUMIFS('Other Sale'!$D:$D,'Other Sale'!$E:$E,$P$3,'Other Sale'!$C:$C,$K64,'Other Sale'!$A:$A,$A64)))))</f>
        <v>0</v>
      </c>
      <c r="F64" s="330" cm="1">
        <f t="array" ref="F64">IF($A64="","",IF($K64="Payment",IFERROR(INDEX(_xlfn._xlws.FILTER(MasterPaid[Amount Paid],(MasterPaid[Customer]=$P$3)*(MasterPaid[Date]=$A64)),COUNTIFS($A$6:$A64,$A64,$K$6:$K64,"Payment")),0),0))</f>
        <v>2475957</v>
      </c>
      <c r="G64" s="331">
        <v>3562</v>
      </c>
      <c r="H64" s="331"/>
      <c r="I64" s="330">
        <f t="shared" si="8"/>
        <v>3288830</v>
      </c>
      <c r="J64" s="275" t="s">
        <v>2574</v>
      </c>
      <c r="K64" s="289" t="str" cm="1">
        <f t="array" ref="K64">IFERROR(INDEX(_xlfn.ANCHORARRAY($R$6),ROW()-5,3),"")</f>
        <v>Payment</v>
      </c>
      <c r="L64" s="430" t="str" cm="1">
        <f t="array" ref="L64">IF(OR($A64="",$J64="",$K64&lt;&gt;"DIESEL"),"",_xlfn.LET(_xlpm.qty,N($C64),_xlpm.pos,IF($J64="UNIT 1",$V$5:$V$54,$AC$5:$AC$54),_xlpm.alo,IF($J64="UNIT 1",$W$5:$W$54,$AD$5:$AD$54),_xlpm.usd,SUMIFS($C$6:$C63,$L$6:$L63,_xlpm.pos&amp;"",$J$6:$J63,$J64),_xlpm.bal,N(_xlpm.alo)-_xlpm.usd,IFERROR(INDEX(_xlfn._xlws.FILTER(_xlpm.pos,(_xlpm.pos&lt;&gt;"")*(_xlpm.qty&gt;0)*(_xlpm.bal&gt;=_xlpm.qty)),1),"")))</f>
        <v/>
      </c>
      <c r="M64" s="290"/>
      <c r="R64">
        <v>46237</v>
      </c>
      <c r="S64" t="str">
        <v/>
      </c>
      <c r="T64" t="str">
        <v>Payment</v>
      </c>
      <c r="AQ64" s="409"/>
      <c r="AR64" s="410"/>
      <c r="AS64" s="410"/>
      <c r="AT64" s="411"/>
      <c r="AU64" s="412"/>
      <c r="AV64" s="413"/>
      <c r="AW64" s="413"/>
      <c r="AX64" s="413"/>
      <c r="AY64" s="413"/>
      <c r="AZ64" s="413" t="str">
        <f t="shared" si="6"/>
        <v/>
      </c>
      <c r="BB64" s="409"/>
      <c r="BC64" s="410"/>
      <c r="BD64" s="410"/>
      <c r="BE64" s="411"/>
      <c r="BF64" s="412"/>
      <c r="BG64" s="413"/>
      <c r="BH64" s="413"/>
      <c r="BI64" s="413"/>
      <c r="BJ64" s="413"/>
      <c r="BK64" s="413" t="str">
        <f t="shared" si="7"/>
        <v/>
      </c>
    </row>
    <row r="65" spans="1:63" ht="21.75" x14ac:dyDescent="0.25">
      <c r="A65" s="217" cm="1">
        <f t="array" ref="A65">IFERROR(INDEX(_xlfn.ANCHORARRAY($R$6),ROW()-5,1),"")</f>
        <v>46238</v>
      </c>
      <c r="B65" s="289" t="str" cm="1">
        <f t="array" ref="B65">IFERROR(INDEX(_xlfn.ANCHORARRAY($R$6),ROW()-5,2),"")</f>
        <v>1953</v>
      </c>
      <c r="C65" s="218">
        <f>IF($A65="","",IF($K65="DIESEL",SUMIFS(Table1[Quantity],Table1[Customer],$P$3,Table1[Date],$A65,Table1[Bill No.],$B65),IF($K65="PETROL",SUMIFS(Table14[Quantity],Table14[Customer],$P$3,Table14[Date],$A65,Table14[Bill No.],$B65),IF($K65="XtraGreen",SUMIFS(Table146[Quantity],Table146[Company],$P$3,Table146[Date],$A65,Table146[Bill No.],$B65),""))))</f>
        <v>12000</v>
      </c>
      <c r="D65" s="223">
        <f>IF($A65="","",IF($K65="DIESEL",AVERAGEIFS(Table1[RSP],Table1[Customer],$P$3,Table1[Date],$A65,Table1[Bill No.],$B65),IF($K65="PETROL",AVERAGEIFS(Table14[RSP],Table14[Customer],$P$3,Table14[Date],$A65,Table14[Bill No.],$B65),IF($K65="XtraGreen",AVERAGEIFS(Table146[RSP],Table146[Company],$P$3,Table146[Date],$A65,Table146[Bill No.],$B65),IFERROR($E65/$C65,"")))))</f>
        <v>99.5</v>
      </c>
      <c r="E65" s="330">
        <f>IF($A65="","",IF($K65="DIESEL",SUMIFS(Table1[Amount],Table1[Customer],$P$3,Table1[Date],$A65,Table1[Bill No.],$B65),IF($K65="PETROL",SUMIFS(Table14[Amount],Table14[Customer],$P$3,Table14[Date],$A65,Table14[Bill No.],$B65),IF($K65="XtraGreen",SUMIFS(Table146[Amount],Table146[Company],$P$3,Table146[Date],$A65,Table146[Bill No.],$B65),SUMIFS('Other Sale'!$D:$D,'Other Sale'!$E:$E,$P$3,'Other Sale'!$C:$C,$K65,'Other Sale'!$A:$A,$A65)))))</f>
        <v>1194000</v>
      </c>
      <c r="F65" s="330" cm="1">
        <f t="array" ref="F65">IF($A65="","",IF($K65="Payment",IFERROR(INDEX(_xlfn._xlws.FILTER(MasterPaid[Amount Paid],(MasterPaid[Customer]=$P$3)*(MasterPaid[Date]=$A65)),COUNTIFS($A$6:$A65,$A65,$K$6:$K65,"Payment")),0),0))</f>
        <v>0</v>
      </c>
      <c r="G65" s="331" t="s">
        <v>13</v>
      </c>
      <c r="H65" s="331"/>
      <c r="I65" s="330">
        <f t="shared" si="8"/>
        <v>4482830</v>
      </c>
      <c r="J65" s="275" t="s">
        <v>2574</v>
      </c>
      <c r="K65" s="289" t="str" cm="1">
        <f t="array" ref="K65">IFERROR(INDEX(_xlfn.ANCHORARRAY($R$6),ROW()-5,3),"")</f>
        <v>DIESEL</v>
      </c>
      <c r="L65" s="430" t="str" cm="1">
        <f t="array" ref="L65">IF(OR($A65="",$J65="",$K65&lt;&gt;"DIESEL"),"",_xlfn.LET(_xlpm.qty,N($C65),_xlpm.pos,IF($J65="UNIT 1",$V$5:$V$54,$AC$5:$AC$54),_xlpm.alo,IF($J65="UNIT 1",$W$5:$W$54,$AD$5:$AD$54),_xlpm.usd,SUMIFS($C$6:$C64,$L$6:$L64,_xlpm.pos&amp;"",$J$6:$J64,$J65),_xlpm.bal,N(_xlpm.alo)-_xlpm.usd,IFERROR(INDEX(_xlfn._xlws.FILTER(_xlpm.pos,(_xlpm.pos&lt;&gt;"")*(_xlpm.qty&gt;0)*(_xlpm.bal&gt;=_xlpm.qty)),1),"")))</f>
        <v>4500212666</v>
      </c>
      <c r="M65" s="290"/>
      <c r="R65">
        <v>46238</v>
      </c>
      <c r="S65" t="str">
        <v>1953</v>
      </c>
      <c r="T65" t="str">
        <v>DIESEL</v>
      </c>
      <c r="AQ65" s="409"/>
      <c r="AR65" s="410"/>
      <c r="AS65" s="410"/>
      <c r="AT65" s="411"/>
      <c r="AU65" s="412"/>
      <c r="AV65" s="413"/>
      <c r="AW65" s="413"/>
      <c r="AX65" s="413"/>
      <c r="AY65" s="413"/>
      <c r="AZ65" s="413" t="str">
        <f t="shared" si="6"/>
        <v/>
      </c>
      <c r="BB65" s="409"/>
      <c r="BC65" s="410"/>
      <c r="BD65" s="410"/>
      <c r="BE65" s="411"/>
      <c r="BF65" s="412"/>
      <c r="BG65" s="413"/>
      <c r="BH65" s="413"/>
      <c r="BI65" s="413"/>
      <c r="BJ65" s="413"/>
      <c r="BK65" s="413" t="str">
        <f t="shared" si="7"/>
        <v/>
      </c>
    </row>
    <row r="66" spans="1:63" ht="21.75" x14ac:dyDescent="0.25">
      <c r="A66" s="217" cm="1">
        <f t="array" ref="A66">IFERROR(INDEX(_xlfn.ANCHORARRAY($R$6),ROW()-5,1),"")</f>
        <v>46240</v>
      </c>
      <c r="B66" s="289" t="str" cm="1">
        <f t="array" ref="B66">IFERROR(INDEX(_xlfn.ANCHORARRAY($R$6),ROW()-5,2),"")</f>
        <v/>
      </c>
      <c r="C66" s="218" t="str">
        <f>IF($A66="","",IF($K66="DIESEL",SUMIFS(Table1[Quantity],Table1[Customer],$P$3,Table1[Date],$A66,Table1[Bill No.],$B66),IF($K66="PETROL",SUMIFS(Table14[Quantity],Table14[Customer],$P$3,Table14[Date],$A66,Table14[Bill No.],$B66),IF($K66="XtraGreen",SUMIFS(Table146[Quantity],Table146[Company],$P$3,Table146[Date],$A66,Table146[Bill No.],$B66),""))))</f>
        <v/>
      </c>
      <c r="D66" s="223" t="str">
        <f>IF($A66="","",IF($K66="DIESEL",AVERAGEIFS(Table1[RSP],Table1[Customer],$P$3,Table1[Date],$A66,Table1[Bill No.],$B66),IF($K66="PETROL",AVERAGEIFS(Table14[RSP],Table14[Customer],$P$3,Table14[Date],$A66,Table14[Bill No.],$B66),IF($K66="XtraGreen",AVERAGEIFS(Table146[RSP],Table146[Company],$P$3,Table146[Date],$A66,Table146[Bill No.],$B66),IFERROR($E66/$C66,"")))))</f>
        <v/>
      </c>
      <c r="E66" s="330">
        <f>IF($A66="","",IF($K66="DIESEL",SUMIFS(Table1[Amount],Table1[Customer],$P$3,Table1[Date],$A66,Table1[Bill No.],$B66),IF($K66="PETROL",SUMIFS(Table14[Amount],Table14[Customer],$P$3,Table14[Date],$A66,Table14[Bill No.],$B66),IF($K66="XtraGreen",SUMIFS(Table146[Amount],Table146[Company],$P$3,Table146[Date],$A66,Table146[Bill No.],$B66),SUMIFS('Other Sale'!$D:$D,'Other Sale'!$E:$E,$P$3,'Other Sale'!$C:$C,$K66,'Other Sale'!$A:$A,$A66)))))</f>
        <v>0</v>
      </c>
      <c r="F66" s="330" cm="1">
        <f t="array" ref="F66">IF($A66="","",IF($K66="Payment",IFERROR(INDEX(_xlfn._xlws.FILTER(MasterPaid[Amount Paid],(MasterPaid[Customer]=$P$3)*(MasterPaid[Date]=$A66)),COUNTIFS($A$6:$A66,$A66,$K$6:$K66,"Payment")),0),0))</f>
        <v>3479017</v>
      </c>
      <c r="G66" s="331">
        <v>3483</v>
      </c>
      <c r="H66" s="331"/>
      <c r="I66" s="330">
        <f t="shared" si="8"/>
        <v>1000330</v>
      </c>
      <c r="J66" s="275" t="s">
        <v>2575</v>
      </c>
      <c r="K66" s="289" t="str" cm="1">
        <f t="array" ref="K66">IFERROR(INDEX(_xlfn.ANCHORARRAY($R$6),ROW()-5,3),"")</f>
        <v>Payment</v>
      </c>
      <c r="L66" s="430" t="str" cm="1">
        <f t="array" ref="L66">IF(OR($A66="",$J66="",$K66&lt;&gt;"DIESEL"),"",_xlfn.LET(_xlpm.qty,N($C66),_xlpm.pos,IF($J66="UNIT 1",$V$5:$V$54,$AC$5:$AC$54),_xlpm.alo,IF($J66="UNIT 1",$W$5:$W$54,$AD$5:$AD$54),_xlpm.usd,SUMIFS($C$6:$C65,$L$6:$L65,_xlpm.pos&amp;"",$J$6:$J65,$J66),_xlpm.bal,N(_xlpm.alo)-_xlpm.usd,IFERROR(INDEX(_xlfn._xlws.FILTER(_xlpm.pos,(_xlpm.pos&lt;&gt;"")*(_xlpm.qty&gt;0)*(_xlpm.bal&gt;=_xlpm.qty)),1),"")))</f>
        <v/>
      </c>
      <c r="M66" s="290"/>
      <c r="R66">
        <v>46240</v>
      </c>
      <c r="S66" t="str">
        <v/>
      </c>
      <c r="T66" t="str">
        <v>Payment</v>
      </c>
      <c r="AQ66" s="409"/>
      <c r="AR66" s="410"/>
      <c r="AS66" s="410"/>
      <c r="AT66" s="411"/>
      <c r="AU66" s="412"/>
      <c r="AV66" s="413"/>
      <c r="AW66" s="413"/>
      <c r="AX66" s="413"/>
      <c r="AY66" s="413"/>
      <c r="AZ66" s="413" t="str">
        <f t="shared" si="6"/>
        <v/>
      </c>
      <c r="BB66" s="409"/>
      <c r="BC66" s="410"/>
      <c r="BD66" s="410"/>
      <c r="BE66" s="411"/>
      <c r="BF66" s="412"/>
      <c r="BG66" s="413"/>
      <c r="BH66" s="413"/>
      <c r="BI66" s="413"/>
      <c r="BJ66" s="413"/>
      <c r="BK66" s="413" t="str">
        <f t="shared" si="7"/>
        <v/>
      </c>
    </row>
    <row r="67" spans="1:63" ht="21.75" x14ac:dyDescent="0.25">
      <c r="A67" s="217" cm="1">
        <f t="array" ref="A67">IFERROR(INDEX(_xlfn.ANCHORARRAY($R$6),ROW()-5,1),"")</f>
        <v>46241</v>
      </c>
      <c r="B67" s="289" t="str" cm="1">
        <f t="array" ref="B67">IFERROR(INDEX(_xlfn.ANCHORARRAY($R$6),ROW()-5,2),"")</f>
        <v>2044</v>
      </c>
      <c r="C67" s="218">
        <f>IF($A67="","",IF($K67="DIESEL",SUMIFS(Table1[Quantity],Table1[Customer],$P$3,Table1[Date],$A67,Table1[Bill No.],$B67),IF($K67="PETROL",SUMIFS(Table14[Quantity],Table14[Customer],$P$3,Table14[Date],$A67,Table14[Bill No.],$B67),IF($K67="XtraGreen",SUMIFS(Table146[Quantity],Table146[Company],$P$3,Table146[Date],$A67,Table146[Bill No.],$B67),""))))</f>
        <v>2000</v>
      </c>
      <c r="D67" s="223">
        <f>IF($A67="","",IF($K67="DIESEL",AVERAGEIFS(Table1[RSP],Table1[Customer],$P$3,Table1[Date],$A67,Table1[Bill No.],$B67),IF($K67="PETROL",AVERAGEIFS(Table14[RSP],Table14[Customer],$P$3,Table14[Date],$A67,Table14[Bill No.],$B67),IF($K67="XtraGreen",AVERAGEIFS(Table146[RSP],Table146[Company],$P$3,Table146[Date],$A67,Table146[Bill No.],$B67),IFERROR($E67/$C67,"")))))</f>
        <v>99.5</v>
      </c>
      <c r="E67" s="330">
        <f>IF($A67="","",IF($K67="DIESEL",SUMIFS(Table1[Amount],Table1[Customer],$P$3,Table1[Date],$A67,Table1[Bill No.],$B67),IF($K67="PETROL",SUMIFS(Table14[Amount],Table14[Customer],$P$3,Table14[Date],$A67,Table14[Bill No.],$B67),IF($K67="XtraGreen",SUMIFS(Table146[Amount],Table146[Company],$P$3,Table146[Date],$A67,Table146[Bill No.],$B67),SUMIFS('Other Sale'!$D:$D,'Other Sale'!$E:$E,$P$3,'Other Sale'!$C:$C,$K67,'Other Sale'!$A:$A,$A67)))))</f>
        <v>199000</v>
      </c>
      <c r="F67" s="330" cm="1">
        <f t="array" ref="F67">IF($A67="","",IF($K67="Payment",IFERROR(INDEX(_xlfn._xlws.FILTER(MasterPaid[Amount Paid],(MasterPaid[Customer]=$P$3)*(MasterPaid[Date]=$A67)),COUNTIFS($A$6:$A67,$A67,$K$6:$K67,"Payment")),0),0))</f>
        <v>0</v>
      </c>
      <c r="G67" s="331" t="s">
        <v>13</v>
      </c>
      <c r="H67" s="331"/>
      <c r="I67" s="330">
        <f t="shared" si="8"/>
        <v>1199330</v>
      </c>
      <c r="J67" s="275" t="s">
        <v>2575</v>
      </c>
      <c r="K67" s="289" t="str" cm="1">
        <f t="array" ref="K67">IFERROR(INDEX(_xlfn.ANCHORARRAY($R$6),ROW()-5,3),"")</f>
        <v>DIESEL</v>
      </c>
      <c r="L67" s="430" t="str" cm="1">
        <f t="array" ref="L67">IF(OR($A67="",$J67="",$K67&lt;&gt;"DIESEL"),"",_xlfn.LET(_xlpm.qty,N($C67),_xlpm.pos,IF($J67="UNIT 1",$V$5:$V$54,$AC$5:$AC$54),_xlpm.alo,IF($J67="UNIT 1",$W$5:$W$54,$AD$5:$AD$54),_xlpm.usd,SUMIFS($C$6:$C66,$L$6:$L66,_xlpm.pos&amp;"",$J$6:$J66,$J67),_xlpm.bal,N(_xlpm.alo)-_xlpm.usd,IFERROR(INDEX(_xlfn._xlws.FILTER(_xlpm.pos,(_xlpm.pos&lt;&gt;"")*(_xlpm.qty&gt;0)*(_xlpm.bal&gt;=_xlpm.qty)),1),"")))</f>
        <v>4500212664</v>
      </c>
      <c r="M67" s="290"/>
      <c r="R67">
        <v>46241</v>
      </c>
      <c r="S67" t="str">
        <v>2044</v>
      </c>
      <c r="T67" t="str">
        <v>DIESEL</v>
      </c>
      <c r="AQ67" s="409"/>
      <c r="AR67" s="410"/>
      <c r="AS67" s="410"/>
      <c r="AT67" s="411"/>
      <c r="AU67" s="412"/>
      <c r="AV67" s="413"/>
      <c r="AW67" s="413"/>
      <c r="AX67" s="413"/>
      <c r="AY67" s="413"/>
      <c r="AZ67" s="413" t="str">
        <f t="shared" si="6"/>
        <v/>
      </c>
      <c r="BB67" s="409"/>
      <c r="BC67" s="410"/>
      <c r="BD67" s="410"/>
      <c r="BE67" s="411"/>
      <c r="BF67" s="412"/>
      <c r="BG67" s="413"/>
      <c r="BH67" s="413"/>
      <c r="BI67" s="413"/>
      <c r="BJ67" s="413"/>
      <c r="BK67" s="413" t="str">
        <f t="shared" si="7"/>
        <v/>
      </c>
    </row>
    <row r="68" spans="1:63" ht="21.75" x14ac:dyDescent="0.25">
      <c r="A68" s="217" cm="1">
        <f t="array" ref="A68">IFERROR(INDEX(_xlfn.ANCHORARRAY($R$6),ROW()-5,1),"")</f>
        <v>46241</v>
      </c>
      <c r="B68" s="289" t="str" cm="1">
        <f t="array" ref="B68">IFERROR(INDEX(_xlfn.ANCHORARRAY($R$6),ROW()-5,2),"")</f>
        <v>2045</v>
      </c>
      <c r="C68" s="218">
        <f>IF($A68="","",IF($K68="DIESEL",SUMIFS(Table1[Quantity],Table1[Customer],$P$3,Table1[Date],$A68,Table1[Bill No.],$B68),IF($K68="PETROL",SUMIFS(Table14[Quantity],Table14[Customer],$P$3,Table14[Date],$A68,Table14[Bill No.],$B68),IF($K68="XtraGreen",SUMIFS(Table146[Quantity],Table146[Company],$P$3,Table146[Date],$A68,Table146[Bill No.],$B68),""))))</f>
        <v>16000</v>
      </c>
      <c r="D68" s="223">
        <f>IF($A68="","",IF($K68="DIESEL",AVERAGEIFS(Table1[RSP],Table1[Customer],$P$3,Table1[Date],$A68,Table1[Bill No.],$B68),IF($K68="PETROL",AVERAGEIFS(Table14[RSP],Table14[Customer],$P$3,Table14[Date],$A68,Table14[Bill No.],$B68),IF($K68="XtraGreen",AVERAGEIFS(Table146[RSP],Table146[Company],$P$3,Table146[Date],$A68,Table146[Bill No.],$B68),IFERROR($E68/$C68,"")))))</f>
        <v>99.5</v>
      </c>
      <c r="E68" s="330">
        <f>IF($A68="","",IF($K68="DIESEL",SUMIFS(Table1[Amount],Table1[Customer],$P$3,Table1[Date],$A68,Table1[Bill No.],$B68),IF($K68="PETROL",SUMIFS(Table14[Amount],Table14[Customer],$P$3,Table14[Date],$A68,Table14[Bill No.],$B68),IF($K68="XtraGreen",SUMIFS(Table146[Amount],Table146[Company],$P$3,Table146[Date],$A68,Table146[Bill No.],$B68),SUMIFS('Other Sale'!$D:$D,'Other Sale'!$E:$E,$P$3,'Other Sale'!$C:$C,$K68,'Other Sale'!$A:$A,$A68)))))</f>
        <v>1592000</v>
      </c>
      <c r="F68" s="330" cm="1">
        <f t="array" ref="F68">IF($A68="","",IF($K68="Payment",IFERROR(INDEX(_xlfn._xlws.FILTER(MasterPaid[Amount Paid],(MasterPaid[Customer]=$P$3)*(MasterPaid[Date]=$A68)),COUNTIFS($A$6:$A68,$A68,$K$6:$K68,"Payment")),0),0))</f>
        <v>0</v>
      </c>
      <c r="G68" s="331" t="s">
        <v>13</v>
      </c>
      <c r="H68" s="331"/>
      <c r="I68" s="330">
        <f t="shared" si="8"/>
        <v>2791330</v>
      </c>
      <c r="J68" s="275" t="s">
        <v>2575</v>
      </c>
      <c r="K68" s="289" t="str" cm="1">
        <f t="array" ref="K68">IFERROR(INDEX(_xlfn.ANCHORARRAY($R$6),ROW()-5,3),"")</f>
        <v>DIESEL</v>
      </c>
      <c r="L68" s="430" t="str" cm="1">
        <f t="array" ref="L68">IF(OR($A68="",$J68="",$K68&lt;&gt;"DIESEL"),"",_xlfn.LET(_xlpm.qty,N($C68),_xlpm.pos,IF($J68="UNIT 1",$V$5:$V$54,$AC$5:$AC$54),_xlpm.alo,IF($J68="UNIT 1",$W$5:$W$54,$AD$5:$AD$54),_xlpm.usd,SUMIFS($C$6:$C67,$L$6:$L67,_xlpm.pos&amp;"",$J$6:$J67,$J68),_xlpm.bal,N(_xlpm.alo)-_xlpm.usd,IFERROR(INDEX(_xlfn._xlws.FILTER(_xlpm.pos,(_xlpm.pos&lt;&gt;"")*(_xlpm.qty&gt;0)*(_xlpm.bal&gt;=_xlpm.qty)),1),"")))</f>
        <v>4500214810</v>
      </c>
      <c r="M68" s="290"/>
      <c r="R68">
        <v>46241</v>
      </c>
      <c r="S68" t="str">
        <v>2045</v>
      </c>
      <c r="T68" t="str">
        <v>DIESEL</v>
      </c>
      <c r="AQ68" s="409"/>
      <c r="AR68" s="410"/>
      <c r="AS68" s="410"/>
      <c r="AT68" s="411"/>
      <c r="AU68" s="412"/>
      <c r="AV68" s="413"/>
      <c r="AW68" s="413"/>
      <c r="AX68" s="413"/>
      <c r="AY68" s="413"/>
      <c r="AZ68" s="413" t="str">
        <f t="shared" si="6"/>
        <v/>
      </c>
      <c r="BB68" s="409"/>
      <c r="BC68" s="410"/>
      <c r="BD68" s="410"/>
      <c r="BE68" s="411"/>
      <c r="BF68" s="412"/>
      <c r="BG68" s="413"/>
      <c r="BH68" s="413"/>
      <c r="BI68" s="413"/>
      <c r="BJ68" s="413"/>
      <c r="BK68" s="413" t="str">
        <f t="shared" si="7"/>
        <v/>
      </c>
    </row>
    <row r="69" spans="1:63" ht="21.75" x14ac:dyDescent="0.25">
      <c r="A69" s="217" cm="1">
        <f t="array" ref="A69">IFERROR(INDEX(_xlfn.ANCHORARRAY($R$6),ROW()-5,1),"")</f>
        <v>46245</v>
      </c>
      <c r="B69" s="289" t="str" cm="1">
        <f t="array" ref="B69">IFERROR(INDEX(_xlfn.ANCHORARRAY($R$6),ROW()-5,2),"")</f>
        <v>2119</v>
      </c>
      <c r="C69" s="218">
        <f>IF($A69="","",IF($K69="DIESEL",SUMIFS(Table1[Quantity],Table1[Customer],$P$3,Table1[Date],$A69,Table1[Bill No.],$B69),IF($K69="PETROL",SUMIFS(Table14[Quantity],Table14[Customer],$P$3,Table14[Date],$A69,Table14[Bill No.],$B69),IF($K69="XtraGreen",SUMIFS(Table146[Quantity],Table146[Company],$P$3,Table146[Date],$A69,Table146[Bill No.],$B69),""))))</f>
        <v>12000</v>
      </c>
      <c r="D69" s="223">
        <f>IF($A69="","",IF($K69="DIESEL",AVERAGEIFS(Table1[RSP],Table1[Customer],$P$3,Table1[Date],$A69,Table1[Bill No.],$B69),IF($K69="PETROL",AVERAGEIFS(Table14[RSP],Table14[Customer],$P$3,Table14[Date],$A69,Table14[Bill No.],$B69),IF($K69="XtraGreen",AVERAGEIFS(Table146[RSP],Table146[Company],$P$3,Table146[Date],$A69,Table146[Bill No.],$B69),IFERROR($E69/$C69,"")))))</f>
        <v>99.5</v>
      </c>
      <c r="E69" s="330">
        <f>IF($A69="","",IF($K69="DIESEL",SUMIFS(Table1[Amount],Table1[Customer],$P$3,Table1[Date],$A69,Table1[Bill No.],$B69),IF($K69="PETROL",SUMIFS(Table14[Amount],Table14[Customer],$P$3,Table14[Date],$A69,Table14[Bill No.],$B69),IF($K69="XtraGreen",SUMIFS(Table146[Amount],Table146[Company],$P$3,Table146[Date],$A69,Table146[Bill No.],$B69),SUMIFS('Other Sale'!$D:$D,'Other Sale'!$E:$E,$P$3,'Other Sale'!$C:$C,$K69,'Other Sale'!$A:$A,$A69)))))</f>
        <v>1194000</v>
      </c>
      <c r="F69" s="330" cm="1">
        <f t="array" ref="F69">IF($A69="","",IF($K69="Payment",IFERROR(INDEX(_xlfn._xlws.FILTER(MasterPaid[Amount Paid],(MasterPaid[Customer]=$P$3)*(MasterPaid[Date]=$A69)),COUNTIFS($A$6:$A69,$A69,$K$6:$K69,"Payment")),0),0))</f>
        <v>0</v>
      </c>
      <c r="G69" s="331" t="s">
        <v>13</v>
      </c>
      <c r="H69" s="331"/>
      <c r="I69" s="330">
        <f t="shared" si="8"/>
        <v>3985330</v>
      </c>
      <c r="J69" s="275" t="s">
        <v>2574</v>
      </c>
      <c r="K69" s="289" t="str" cm="1">
        <f t="array" ref="K69">IFERROR(INDEX(_xlfn.ANCHORARRAY($R$6),ROW()-5,3),"")</f>
        <v>DIESEL</v>
      </c>
      <c r="L69" s="430" t="str" cm="1">
        <f t="array" ref="L69">IF(OR($A69="",$J69="",$K69&lt;&gt;"DIESEL"),"",_xlfn.LET(_xlpm.qty,N($C69),_xlpm.pos,IF($J69="UNIT 1",$V$5:$V$54,$AC$5:$AC$54),_xlpm.alo,IF($J69="UNIT 1",$W$5:$W$54,$AD$5:$AD$54),_xlpm.usd,SUMIFS($C$6:$C68,$L$6:$L68,_xlpm.pos&amp;"",$J$6:$J68,$J69),_xlpm.bal,N(_xlpm.alo)-_xlpm.usd,IFERROR(INDEX(_xlfn._xlws.FILTER(_xlpm.pos,(_xlpm.pos&lt;&gt;"")*(_xlpm.qty&gt;0)*(_xlpm.bal&gt;=_xlpm.qty)),1),"")))</f>
        <v>4500215220</v>
      </c>
      <c r="M69" s="290"/>
      <c r="R69">
        <v>46245</v>
      </c>
      <c r="S69" t="str">
        <v>2119</v>
      </c>
      <c r="T69" t="str">
        <v>DIESEL</v>
      </c>
      <c r="AQ69" s="409"/>
      <c r="AR69" s="410"/>
      <c r="AS69" s="410"/>
      <c r="AT69" s="411"/>
      <c r="AU69" s="412"/>
      <c r="AV69" s="413"/>
      <c r="AW69" s="413"/>
      <c r="AX69" s="413"/>
      <c r="AY69" s="413"/>
      <c r="AZ69" s="413" t="str">
        <f t="shared" si="6"/>
        <v/>
      </c>
      <c r="BB69" s="409"/>
      <c r="BC69" s="410"/>
      <c r="BD69" s="410"/>
      <c r="BE69" s="411"/>
      <c r="BF69" s="412"/>
      <c r="BG69" s="413"/>
      <c r="BH69" s="413"/>
      <c r="BI69" s="413"/>
      <c r="BJ69" s="413"/>
      <c r="BK69" s="413" t="str">
        <f t="shared" si="7"/>
        <v/>
      </c>
    </row>
    <row r="70" spans="1:63" ht="21.75" x14ac:dyDescent="0.25">
      <c r="A70" s="217" cm="1">
        <f t="array" ref="A70">IFERROR(INDEX(_xlfn.ANCHORARRAY($R$6),ROW()-5,1),"")</f>
        <v>46245</v>
      </c>
      <c r="B70" s="289" t="str" cm="1">
        <f t="array" ref="B70">IFERROR(INDEX(_xlfn.ANCHORARRAY($R$6),ROW()-5,2),"")</f>
        <v/>
      </c>
      <c r="C70" s="218" t="str">
        <f>IF($A70="","",IF($K70="DIESEL",SUMIFS(Table1[Quantity],Table1[Customer],$P$3,Table1[Date],$A70,Table1[Bill No.],$B70),IF($K70="PETROL",SUMIFS(Table14[Quantity],Table14[Customer],$P$3,Table14[Date],$A70,Table14[Bill No.],$B70),IF($K70="XtraGreen",SUMIFS(Table146[Quantity],Table146[Company],$P$3,Table146[Date],$A70,Table146[Bill No.],$B70),""))))</f>
        <v/>
      </c>
      <c r="D70" s="223" t="str">
        <f>IF($A70="","",IF($K70="DIESEL",AVERAGEIFS(Table1[RSP],Table1[Customer],$P$3,Table1[Date],$A70,Table1[Bill No.],$B70),IF($K70="PETROL",AVERAGEIFS(Table14[RSP],Table14[Customer],$P$3,Table14[Date],$A70,Table14[Bill No.],$B70),IF($K70="XtraGreen",AVERAGEIFS(Table146[RSP],Table146[Company],$P$3,Table146[Date],$A70,Table146[Bill No.],$B70),IFERROR($E70/$C70,"")))))</f>
        <v/>
      </c>
      <c r="E70" s="330">
        <f>IF($A70="","",IF($K70="DIESEL",SUMIFS(Table1[Amount],Table1[Customer],$P$3,Table1[Date],$A70,Table1[Bill No.],$B70),IF($K70="PETROL",SUMIFS(Table14[Amount],Table14[Customer],$P$3,Table14[Date],$A70,Table14[Bill No.],$B70),IF($K70="XtraGreen",SUMIFS(Table146[Amount],Table146[Company],$P$3,Table146[Date],$A70,Table146[Bill No.],$B70),SUMIFS('Other Sale'!$D:$D,'Other Sale'!$E:$E,$P$3,'Other Sale'!$C:$C,$K70,'Other Sale'!$A:$A,$A70)))))</f>
        <v>0</v>
      </c>
      <c r="F70" s="330" cm="1">
        <f t="array" ref="F70">IF($A70="","",IF($K70="Payment",IFERROR(INDEX(_xlfn._xlws.FILTER(MasterPaid[Amount Paid],(MasterPaid[Customer]=$P$3)*(MasterPaid[Date]=$A70)),COUNTIFS($A$6:$A70,$A70,$K$6:$K70,"Payment")),0),0))</f>
        <v>3479017</v>
      </c>
      <c r="G70" s="331">
        <v>3483</v>
      </c>
      <c r="H70" s="331"/>
      <c r="I70" s="330">
        <f t="shared" si="8"/>
        <v>502830</v>
      </c>
      <c r="J70" s="275" t="s">
        <v>2575</v>
      </c>
      <c r="K70" s="289" t="str" cm="1">
        <f t="array" ref="K70">IFERROR(INDEX(_xlfn.ANCHORARRAY($R$6),ROW()-5,3),"")</f>
        <v>Payment</v>
      </c>
      <c r="L70" s="430" t="str" cm="1">
        <f t="array" ref="L70">IF(OR($A70="",$J70="",$K70&lt;&gt;"DIESEL"),"",_xlfn.LET(_xlpm.qty,N($C70),_xlpm.pos,IF($J70="UNIT 1",$V$5:$V$54,$AC$5:$AC$54),_xlpm.alo,IF($J70="UNIT 1",$W$5:$W$54,$AD$5:$AD$54),_xlpm.usd,SUMIFS($C$6:$C69,$L$6:$L69,_xlpm.pos&amp;"",$J$6:$J69,$J70),_xlpm.bal,N(_xlpm.alo)-_xlpm.usd,IFERROR(INDEX(_xlfn._xlws.FILTER(_xlpm.pos,(_xlpm.pos&lt;&gt;"")*(_xlpm.qty&gt;0)*(_xlpm.bal&gt;=_xlpm.qty)),1),"")))</f>
        <v/>
      </c>
      <c r="M70" s="290"/>
      <c r="R70">
        <v>46245</v>
      </c>
      <c r="S70" t="str">
        <v/>
      </c>
      <c r="T70" t="str">
        <v>Payment</v>
      </c>
      <c r="AQ70" s="409"/>
      <c r="AR70" s="410"/>
      <c r="AS70" s="410"/>
      <c r="AT70" s="411"/>
      <c r="AU70" s="412"/>
      <c r="AV70" s="413"/>
      <c r="AW70" s="413"/>
      <c r="AX70" s="413"/>
      <c r="AY70" s="413"/>
      <c r="AZ70" s="413" t="str">
        <f t="shared" si="6"/>
        <v/>
      </c>
      <c r="BB70" s="409"/>
      <c r="BC70" s="410"/>
      <c r="BD70" s="410"/>
      <c r="BE70" s="411"/>
      <c r="BF70" s="412"/>
      <c r="BG70" s="413"/>
      <c r="BH70" s="413"/>
      <c r="BI70" s="413"/>
      <c r="BJ70" s="413"/>
      <c r="BK70" s="413" t="str">
        <f t="shared" si="7"/>
        <v/>
      </c>
    </row>
    <row r="71" spans="1:63" ht="21.75" x14ac:dyDescent="0.25">
      <c r="A71" s="217" cm="1">
        <f t="array" ref="A71">IFERROR(INDEX(_xlfn.ANCHORARRAY($R$6),ROW()-5,1),"")</f>
        <v>46246</v>
      </c>
      <c r="B71" s="289" t="str" cm="1">
        <f t="array" ref="B71">IFERROR(INDEX(_xlfn.ANCHORARRAY($R$6),ROW()-5,2),"")</f>
        <v>2138</v>
      </c>
      <c r="C71" s="218">
        <f>IF($A71="","",IF($K71="DIESEL",SUMIFS(Table1[Quantity],Table1[Customer],$P$3,Table1[Date],$A71,Table1[Bill No.],$B71),IF($K71="PETROL",SUMIFS(Table14[Quantity],Table14[Customer],$P$3,Table14[Date],$A71,Table14[Bill No.],$B71),IF($K71="XtraGreen",SUMIFS(Table146[Quantity],Table146[Company],$P$3,Table146[Date],$A71,Table146[Bill No.],$B71),""))))</f>
        <v>18000</v>
      </c>
      <c r="D71" s="223">
        <f>IF($A71="","",IF($K71="DIESEL",AVERAGEIFS(Table1[RSP],Table1[Customer],$P$3,Table1[Date],$A71,Table1[Bill No.],$B71),IF($K71="PETROL",AVERAGEIFS(Table14[RSP],Table14[Customer],$P$3,Table14[Date],$A71,Table14[Bill No.],$B71),IF($K71="XtraGreen",AVERAGEIFS(Table146[RSP],Table146[Company],$P$3,Table146[Date],$A71,Table146[Bill No.],$B71),IFERROR($E71/$C71,"")))))</f>
        <v>99.5</v>
      </c>
      <c r="E71" s="330">
        <f>IF($A71="","",IF($K71="DIESEL",SUMIFS(Table1[Amount],Table1[Customer],$P$3,Table1[Date],$A71,Table1[Bill No.],$B71),IF($K71="PETROL",SUMIFS(Table14[Amount],Table14[Customer],$P$3,Table14[Date],$A71,Table14[Bill No.],$B71),IF($K71="XtraGreen",SUMIFS(Table146[Amount],Table146[Company],$P$3,Table146[Date],$A71,Table146[Bill No.],$B71),SUMIFS('Other Sale'!$D:$D,'Other Sale'!$E:$E,$P$3,'Other Sale'!$C:$C,$K71,'Other Sale'!$A:$A,$A71)))))</f>
        <v>1791000</v>
      </c>
      <c r="F71" s="330" cm="1">
        <f t="array" ref="F71">IF($A71="","",IF($K71="Payment",IFERROR(INDEX(_xlfn._xlws.FILTER(MasterPaid[Amount Paid],(MasterPaid[Customer]=$P$3)*(MasterPaid[Date]=$A71)),COUNTIFS($A$6:$A71,$A71,$K$6:$K71,"Payment")),0),0))</f>
        <v>0</v>
      </c>
      <c r="G71" s="331" t="s">
        <v>13</v>
      </c>
      <c r="H71" s="331"/>
      <c r="I71" s="330">
        <f t="shared" si="8"/>
        <v>2293830</v>
      </c>
      <c r="J71" s="275" t="s">
        <v>2575</v>
      </c>
      <c r="K71" s="289" t="str" cm="1">
        <f t="array" ref="K71">IFERROR(INDEX(_xlfn.ANCHORARRAY($R$6),ROW()-5,3),"")</f>
        <v>DIESEL</v>
      </c>
      <c r="L71" s="430" t="str" cm="1">
        <f t="array" ref="L71">IF(OR($A71="",$J71="",$K71&lt;&gt;"DIESEL"),"",_xlfn.LET(_xlpm.qty,N($C71),_xlpm.pos,IF($J71="UNIT 1",$V$5:$V$54,$AC$5:$AC$54),_xlpm.alo,IF($J71="UNIT 1",$W$5:$W$54,$AD$5:$AD$54),_xlpm.usd,SUMIFS($C$6:$C70,$L$6:$L70,_xlpm.pos&amp;"",$J$6:$J70,$J71),_xlpm.bal,N(_xlpm.alo)-_xlpm.usd,IFERROR(INDEX(_xlfn._xlws.FILTER(_xlpm.pos,(_xlpm.pos&lt;&gt;"")*(_xlpm.qty&gt;0)*(_xlpm.bal&gt;=_xlpm.qty)),1),"")))</f>
        <v>4500214810</v>
      </c>
      <c r="M71" s="290"/>
      <c r="R71">
        <v>46246</v>
      </c>
      <c r="S71" t="str">
        <v>2138</v>
      </c>
      <c r="T71" t="str">
        <v>DIESEL</v>
      </c>
      <c r="AQ71" s="409"/>
      <c r="AR71" s="410"/>
      <c r="AS71" s="410"/>
      <c r="AT71" s="411"/>
      <c r="AU71" s="412"/>
      <c r="AV71" s="413"/>
      <c r="AW71" s="413"/>
      <c r="AX71" s="413"/>
      <c r="AY71" s="413"/>
      <c r="AZ71" s="413" t="str">
        <f t="shared" ref="AZ71:AZ134" si="9">IF($AQ71="","",AZ70+N(AV71)-N(AW71)-N(AX71)-N(AY71))</f>
        <v/>
      </c>
      <c r="BB71" s="409"/>
      <c r="BC71" s="410"/>
      <c r="BD71" s="410"/>
      <c r="BE71" s="411"/>
      <c r="BF71" s="412"/>
      <c r="BG71" s="413"/>
      <c r="BH71" s="413"/>
      <c r="BI71" s="413"/>
      <c r="BJ71" s="413"/>
      <c r="BK71" s="413" t="str">
        <f t="shared" ref="BK71:BK134" si="10">IF($BB71="","",BK70+N(BG71)-N(BH71)-N(BI71)-N(BJ71))</f>
        <v/>
      </c>
    </row>
    <row r="72" spans="1:63" ht="21.75" x14ac:dyDescent="0.25">
      <c r="A72" s="217" cm="1">
        <f t="array" ref="A72">IFERROR(INDEX(_xlfn.ANCHORARRAY($R$6),ROW()-5,1),"")</f>
        <v>46252</v>
      </c>
      <c r="B72" s="289" t="str" cm="1">
        <f t="array" ref="B72">IFERROR(INDEX(_xlfn.ANCHORARRAY($R$6),ROW()-5,2),"")</f>
        <v>2238</v>
      </c>
      <c r="C72" s="218">
        <f>IF($A72="","",IF($K72="DIESEL",SUMIFS(Table1[Quantity],Table1[Customer],$P$3,Table1[Date],$A72,Table1[Bill No.],$B72),IF($K72="PETROL",SUMIFS(Table14[Quantity],Table14[Customer],$P$3,Table14[Date],$A72,Table14[Bill No.],$B72),IF($K72="XtraGreen",SUMIFS(Table146[Quantity],Table146[Company],$P$3,Table146[Date],$A72,Table146[Bill No.],$B72),""))))</f>
        <v>12000</v>
      </c>
      <c r="D72" s="223">
        <f>IF($A72="","",IF($K72="DIESEL",AVERAGEIFS(Table1[RSP],Table1[Customer],$P$3,Table1[Date],$A72,Table1[Bill No.],$B72),IF($K72="PETROL",AVERAGEIFS(Table14[RSP],Table14[Customer],$P$3,Table14[Date],$A72,Table14[Bill No.],$B72),IF($K72="XtraGreen",AVERAGEIFS(Table146[RSP],Table146[Company],$P$3,Table146[Date],$A72,Table146[Bill No.],$B72),IFERROR($E72/$C72,"")))))</f>
        <v>99.5</v>
      </c>
      <c r="E72" s="330">
        <f>IF($A72="","",IF($K72="DIESEL",SUMIFS(Table1[Amount],Table1[Customer],$P$3,Table1[Date],$A72,Table1[Bill No.],$B72),IF($K72="PETROL",SUMIFS(Table14[Amount],Table14[Customer],$P$3,Table14[Date],$A72,Table14[Bill No.],$B72),IF($K72="XtraGreen",SUMIFS(Table146[Amount],Table146[Company],$P$3,Table146[Date],$A72,Table146[Bill No.],$B72),SUMIFS('Other Sale'!$D:$D,'Other Sale'!$E:$E,$P$3,'Other Sale'!$C:$C,$K72,'Other Sale'!$A:$A,$A72)))))</f>
        <v>1194000</v>
      </c>
      <c r="F72" s="330" cm="1">
        <f t="array" ref="F72">IF($A72="","",IF($K72="Payment",IFERROR(INDEX(_xlfn._xlws.FILTER(MasterPaid[Amount Paid],(MasterPaid[Customer]=$P$3)*(MasterPaid[Date]=$A72)),COUNTIFS($A$6:$A72,$A72,$K$6:$K72,"Payment")),0),0))</f>
        <v>0</v>
      </c>
      <c r="G72" s="331" t="s">
        <v>13</v>
      </c>
      <c r="H72" s="331"/>
      <c r="I72" s="330">
        <f t="shared" ref="I72:I85" si="11">IF($A72="","",I71+N(E72)-N(F72)-N(G72)-N(H72))</f>
        <v>3487830</v>
      </c>
      <c r="J72" s="275" t="s">
        <v>2574</v>
      </c>
      <c r="K72" s="289" t="str" cm="1">
        <f t="array" ref="K72">IFERROR(INDEX(_xlfn.ANCHORARRAY($R$6),ROW()-5,3),"")</f>
        <v>DIESEL</v>
      </c>
      <c r="L72" s="430" t="s">
        <v>3878</v>
      </c>
      <c r="M72" s="290"/>
      <c r="R72">
        <v>46252</v>
      </c>
      <c r="S72" t="str">
        <v>2238</v>
      </c>
      <c r="T72" t="str">
        <v>DIESEL</v>
      </c>
      <c r="AQ72" s="409"/>
      <c r="AR72" s="410"/>
      <c r="AS72" s="410"/>
      <c r="AT72" s="411"/>
      <c r="AU72" s="412"/>
      <c r="AV72" s="413"/>
      <c r="AW72" s="413"/>
      <c r="AX72" s="413"/>
      <c r="AY72" s="413"/>
      <c r="AZ72" s="413" t="str">
        <f t="shared" si="9"/>
        <v/>
      </c>
      <c r="BB72" s="409"/>
      <c r="BC72" s="410"/>
      <c r="BD72" s="410"/>
      <c r="BE72" s="411"/>
      <c r="BF72" s="412"/>
      <c r="BG72" s="413"/>
      <c r="BH72" s="413"/>
      <c r="BI72" s="413"/>
      <c r="BJ72" s="413"/>
      <c r="BK72" s="413" t="str">
        <f t="shared" si="10"/>
        <v/>
      </c>
    </row>
    <row r="73" spans="1:63" ht="21.75" x14ac:dyDescent="0.25">
      <c r="A73" s="217" cm="1">
        <f t="array" ref="A73">IFERROR(INDEX(_xlfn.ANCHORARRAY($R$6),ROW()-5,1),"")</f>
        <v>46252</v>
      </c>
      <c r="B73" s="289" t="str" cm="1">
        <f t="array" ref="B73">IFERROR(INDEX(_xlfn.ANCHORARRAY($R$6),ROW()-5,2),"")</f>
        <v>2239</v>
      </c>
      <c r="C73" s="218">
        <f>IF($A73="","",IF($K73="DIESEL",SUMIFS(Table1[Quantity],Table1[Customer],$P$3,Table1[Date],$A73,Table1[Bill No.],$B73),IF($K73="PETROL",SUMIFS(Table14[Quantity],Table14[Customer],$P$3,Table14[Date],$A73,Table14[Bill No.],$B73),IF($K73="XtraGreen",SUMIFS(Table146[Quantity],Table146[Company],$P$3,Table146[Date],$A73,Table146[Bill No.],$B73),""))))</f>
        <v>18000</v>
      </c>
      <c r="D73" s="223">
        <f>IF($A73="","",IF($K73="DIESEL",AVERAGEIFS(Table1[RSP],Table1[Customer],$P$3,Table1[Date],$A73,Table1[Bill No.],$B73),IF($K73="PETROL",AVERAGEIFS(Table14[RSP],Table14[Customer],$P$3,Table14[Date],$A73,Table14[Bill No.],$B73),IF($K73="XtraGreen",AVERAGEIFS(Table146[RSP],Table146[Company],$P$3,Table146[Date],$A73,Table146[Bill No.],$B73),IFERROR($E73/$C73,"")))))</f>
        <v>99.5</v>
      </c>
      <c r="E73" s="330">
        <f>IF($A73="","",IF($K73="DIESEL",SUMIFS(Table1[Amount],Table1[Customer],$P$3,Table1[Date],$A73,Table1[Bill No.],$B73),IF($K73="PETROL",SUMIFS(Table14[Amount],Table14[Customer],$P$3,Table14[Date],$A73,Table14[Bill No.],$B73),IF($K73="XtraGreen",SUMIFS(Table146[Amount],Table146[Company],$P$3,Table146[Date],$A73,Table146[Bill No.],$B73),SUMIFS('Other Sale'!$D:$D,'Other Sale'!$E:$E,$P$3,'Other Sale'!$C:$C,$K73,'Other Sale'!$A:$A,$A73)))))</f>
        <v>1791000</v>
      </c>
      <c r="F73" s="330" cm="1">
        <f t="array" ref="F73">IF($A73="","",IF($K73="Payment",IFERROR(INDEX(_xlfn._xlws.FILTER(MasterPaid[Amount Paid],(MasterPaid[Customer]=$P$3)*(MasterPaid[Date]=$A73)),COUNTIFS($A$6:$A73,$A73,$K$6:$K73,"Payment")),0),0))</f>
        <v>0</v>
      </c>
      <c r="G73" s="331" t="s">
        <v>13</v>
      </c>
      <c r="H73" s="331"/>
      <c r="I73" s="330">
        <f t="shared" si="11"/>
        <v>5278830</v>
      </c>
      <c r="J73" s="275" t="s">
        <v>2575</v>
      </c>
      <c r="K73" s="289" t="str" cm="1">
        <f t="array" ref="K73">IFERROR(INDEX(_xlfn.ANCHORARRAY($R$6),ROW()-5,3),"")</f>
        <v>DIESEL</v>
      </c>
      <c r="L73" s="430" t="str" cm="1">
        <f t="array" ref="L73">IF(OR($A73="",$J73="",$K73&lt;&gt;"DIESEL"),"",_xlfn.LET(_xlpm.qty,N($C73),_xlpm.pos,IF($J73="UNIT 1",$V$5:$V$54,$AC$5:$AC$54),_xlpm.alo,IF($J73="UNIT 1",$W$5:$W$54,$AD$5:$AD$54),_xlpm.usd,SUMIFS($C$6:$C72,$L$6:$L72,_xlpm.pos&amp;"",$J$6:$J72,$J73),_xlpm.bal,N(_xlpm.alo)-_xlpm.usd,IFERROR(INDEX(_xlfn._xlws.FILTER(_xlpm.pos,(_xlpm.pos&lt;&gt;"")*(_xlpm.qty&gt;0)*(_xlpm.bal&gt;=_xlpm.qty)),1),"")))</f>
        <v>4500214810</v>
      </c>
      <c r="M73" s="290"/>
      <c r="R73">
        <v>46252</v>
      </c>
      <c r="S73" t="str">
        <v>2239</v>
      </c>
      <c r="T73" t="str">
        <v>DIESEL</v>
      </c>
      <c r="AQ73" s="409"/>
      <c r="AR73" s="410"/>
      <c r="AS73" s="410"/>
      <c r="AT73" s="411"/>
      <c r="AU73" s="412"/>
      <c r="AV73" s="413"/>
      <c r="AW73" s="413"/>
      <c r="AX73" s="413"/>
      <c r="AY73" s="413"/>
      <c r="AZ73" s="413" t="str">
        <f t="shared" si="9"/>
        <v/>
      </c>
      <c r="BB73" s="409"/>
      <c r="BC73" s="410"/>
      <c r="BD73" s="410"/>
      <c r="BE73" s="411"/>
      <c r="BF73" s="412"/>
      <c r="BG73" s="413"/>
      <c r="BH73" s="413"/>
      <c r="BI73" s="413"/>
      <c r="BJ73" s="413"/>
      <c r="BK73" s="413" t="str">
        <f t="shared" si="10"/>
        <v/>
      </c>
    </row>
    <row r="74" spans="1:63" ht="21.75" x14ac:dyDescent="0.25">
      <c r="A74" s="217" cm="1">
        <f t="array" ref="A74">IFERROR(INDEX(_xlfn.ANCHORARRAY($R$6),ROW()-5,1),"")</f>
        <v>46252</v>
      </c>
      <c r="B74" s="289" t="str" cm="1">
        <f t="array" ref="B74">IFERROR(INDEX(_xlfn.ANCHORARRAY($R$6),ROW()-5,2),"")</f>
        <v/>
      </c>
      <c r="C74" s="218" t="str">
        <f>IF($A74="","",IF($K74="DIESEL",SUMIFS(Table1[Quantity],Table1[Customer],$P$3,Table1[Date],$A74,Table1[Bill No.],$B74),IF($K74="PETROL",SUMIFS(Table14[Quantity],Table14[Customer],$P$3,Table14[Date],$A74,Table14[Bill No.],$B74),IF($K74="XtraGreen",SUMIFS(Table146[Quantity],Table146[Company],$P$3,Table146[Date],$A74,Table146[Bill No.],$B74),""))))</f>
        <v/>
      </c>
      <c r="D74" s="223" t="str">
        <f>IF($A74="","",IF($K74="DIESEL",AVERAGEIFS(Table1[RSP],Table1[Customer],$P$3,Table1[Date],$A74,Table1[Bill No.],$B74),IF($K74="PETROL",AVERAGEIFS(Table14[RSP],Table14[Customer],$P$3,Table14[Date],$A74,Table14[Bill No.],$B74),IF($K74="XtraGreen",AVERAGEIFS(Table146[RSP],Table146[Company],$P$3,Table146[Date],$A74,Table146[Bill No.],$B74),IFERROR($E74/$C74,"")))))</f>
        <v/>
      </c>
      <c r="E74" s="330">
        <f>IF($A74="","",IF($K74="DIESEL",SUMIFS(Table1[Amount],Table1[Customer],$P$3,Table1[Date],$A74,Table1[Bill No.],$B74),IF($K74="PETROL",SUMIFS(Table14[Amount],Table14[Customer],$P$3,Table14[Date],$A74,Table14[Bill No.],$B74),IF($K74="XtraGreen",SUMIFS(Table146[Amount],Table146[Company],$P$3,Table146[Date],$A74,Table146[Bill No.],$B74),SUMIFS('Other Sale'!$D:$D,'Other Sale'!$E:$E,$P$3,'Other Sale'!$C:$C,$K74,'Other Sale'!$A:$A,$A74)))))</f>
        <v>0</v>
      </c>
      <c r="F74" s="330" cm="1">
        <f t="array" ref="F74">IF($A74="","",IF($K74="Payment",IFERROR(INDEX(_xlfn._xlws.FILTER(MasterPaid[Amount Paid],(MasterPaid[Customer]=$P$3)*(MasterPaid[Date]=$A74)),COUNTIFS($A$6:$A74,$A74,$K$6:$K74,"Payment")),0),0))</f>
        <v>2385612</v>
      </c>
      <c r="G74" s="331">
        <v>2388</v>
      </c>
      <c r="H74" s="331"/>
      <c r="I74" s="330">
        <f t="shared" si="11"/>
        <v>2890830</v>
      </c>
      <c r="J74" s="275" t="s">
        <v>2574</v>
      </c>
      <c r="K74" s="289" t="str" cm="1">
        <f t="array" ref="K74">IFERROR(INDEX(_xlfn.ANCHORARRAY($R$6),ROW()-5,3),"")</f>
        <v>Payment</v>
      </c>
      <c r="L74" s="430" t="str" cm="1">
        <f t="array" ref="L74">IF(OR($A74="",$J74="",$K74&lt;&gt;"DIESEL"),"",_xlfn.LET(_xlpm.qty,N($C74),_xlpm.pos,IF($J74="UNIT 1",$V$5:$V$54,$AC$5:$AC$54),_xlpm.alo,IF($J74="UNIT 1",$W$5:$W$54,$AD$5:$AD$54),_xlpm.usd,SUMIFS($C$6:$C73,$L$6:$L73,_xlpm.pos&amp;"",$J$6:$J73,$J74),_xlpm.bal,N(_xlpm.alo)-_xlpm.usd,IFERROR(INDEX(_xlfn._xlws.FILTER(_xlpm.pos,(_xlpm.pos&lt;&gt;"")*(_xlpm.qty&gt;0)*(_xlpm.bal&gt;=_xlpm.qty)),1),"")))</f>
        <v/>
      </c>
      <c r="M74" s="290"/>
      <c r="R74">
        <v>46252</v>
      </c>
      <c r="S74" t="str">
        <v/>
      </c>
      <c r="T74" t="str">
        <v>Payment</v>
      </c>
      <c r="AQ74" s="409"/>
      <c r="AR74" s="410"/>
      <c r="AS74" s="410"/>
      <c r="AT74" s="411"/>
      <c r="AU74" s="412"/>
      <c r="AV74" s="413"/>
      <c r="AW74" s="413"/>
      <c r="AX74" s="413"/>
      <c r="AY74" s="413"/>
      <c r="AZ74" s="413" t="str">
        <f t="shared" si="9"/>
        <v/>
      </c>
      <c r="BB74" s="409"/>
      <c r="BC74" s="410"/>
      <c r="BD74" s="410"/>
      <c r="BE74" s="411"/>
      <c r="BF74" s="412"/>
      <c r="BG74" s="413"/>
      <c r="BH74" s="413"/>
      <c r="BI74" s="413"/>
      <c r="BJ74" s="413"/>
      <c r="BK74" s="413" t="str">
        <f t="shared" si="10"/>
        <v/>
      </c>
    </row>
    <row r="75" spans="1:63" ht="21.75" x14ac:dyDescent="0.25">
      <c r="A75" s="217" cm="1">
        <f t="array" ref="A75">IFERROR(INDEX(_xlfn.ANCHORARRAY($R$6),ROW()-5,1),"")</f>
        <v>46253</v>
      </c>
      <c r="B75" s="289" t="str" cm="1">
        <f t="array" ref="B75">IFERROR(INDEX(_xlfn.ANCHORARRAY($R$6),ROW()-5,2),"")</f>
        <v/>
      </c>
      <c r="C75" s="218" t="str">
        <f>IF($A75="","",IF($K75="DIESEL",SUMIFS(Table1[Quantity],Table1[Customer],$P$3,Table1[Date],$A75,Table1[Bill No.],$B75),IF($K75="PETROL",SUMIFS(Table14[Quantity],Table14[Customer],$P$3,Table14[Date],$A75,Table14[Bill No.],$B75),IF($K75="XtraGreen",SUMIFS(Table146[Quantity],Table146[Company],$P$3,Table146[Date],$A75,Table146[Bill No.],$B75),""))))</f>
        <v/>
      </c>
      <c r="D75" s="223" t="str">
        <f>IF($A75="","",IF($K75="DIESEL",AVERAGEIFS(Table1[RSP],Table1[Customer],$P$3,Table1[Date],$A75,Table1[Bill No.],$B75),IF($K75="PETROL",AVERAGEIFS(Table14[RSP],Table14[Customer],$P$3,Table14[Date],$A75,Table14[Bill No.],$B75),IF($K75="XtraGreen",AVERAGEIFS(Table146[RSP],Table146[Company],$P$3,Table146[Date],$A75,Table146[Bill No.],$B75),IFERROR($E75/$C75,"")))))</f>
        <v/>
      </c>
      <c r="E75" s="330">
        <f>IF($A75="","",IF($K75="DIESEL",SUMIFS(Table1[Amount],Table1[Customer],$P$3,Table1[Date],$A75,Table1[Bill No.],$B75),IF($K75="PETROL",SUMIFS(Table14[Amount],Table14[Customer],$P$3,Table14[Date],$A75,Table14[Bill No.],$B75),IF($K75="XtraGreen",SUMIFS(Table146[Amount],Table146[Company],$P$3,Table146[Date],$A75,Table146[Bill No.],$B75),SUMIFS('Other Sale'!$D:$D,'Other Sale'!$E:$E,$P$3,'Other Sale'!$C:$C,$K75,'Other Sale'!$A:$A,$A75)))))</f>
        <v>0</v>
      </c>
      <c r="F75" s="330" cm="1">
        <f t="array" ref="F75">IF($A75="","",IF($K75="Payment",IFERROR(INDEX(_xlfn._xlws.FILTER(MasterPaid[Amount Paid],(MasterPaid[Customer]=$P$3)*(MasterPaid[Date]=$A75)),COUNTIFS($A$6:$A75,$A75,$K$6:$K75,"Payment")),0),0))</f>
        <v>1192806</v>
      </c>
      <c r="G75" s="331">
        <v>1194</v>
      </c>
      <c r="H75" s="331"/>
      <c r="I75" s="330">
        <f t="shared" si="11"/>
        <v>1696830</v>
      </c>
      <c r="J75" s="275" t="s">
        <v>2574</v>
      </c>
      <c r="K75" s="289" t="str" cm="1">
        <f t="array" ref="K75">IFERROR(INDEX(_xlfn.ANCHORARRAY($R$6),ROW()-5,3),"")</f>
        <v>Payment</v>
      </c>
      <c r="L75" s="430" t="str" cm="1">
        <f t="array" ref="L75">IF(OR($A75="",$J75="",$K75&lt;&gt;"DIESEL"),"",_xlfn.LET(_xlpm.qty,N($C75),_xlpm.pos,IF($J75="UNIT 1",$V$5:$V$54,$AC$5:$AC$54),_xlpm.alo,IF($J75="UNIT 1",$W$5:$W$54,$AD$5:$AD$54),_xlpm.usd,SUMIFS($C$6:$C74,$L$6:$L74,_xlpm.pos&amp;"",$J$6:$J74,$J75),_xlpm.bal,N(_xlpm.alo)-_xlpm.usd,IFERROR(INDEX(_xlfn._xlws.FILTER(_xlpm.pos,(_xlpm.pos&lt;&gt;"")*(_xlpm.qty&gt;0)*(_xlpm.bal&gt;=_xlpm.qty)),1),"")))</f>
        <v/>
      </c>
      <c r="M75" s="290"/>
      <c r="R75">
        <v>46253</v>
      </c>
      <c r="S75" t="str">
        <v/>
      </c>
      <c r="T75" t="str">
        <v>Payment</v>
      </c>
      <c r="AQ75" s="409"/>
      <c r="AR75" s="410"/>
      <c r="AS75" s="410"/>
      <c r="AT75" s="411"/>
      <c r="AU75" s="412"/>
      <c r="AV75" s="413"/>
      <c r="AW75" s="413"/>
      <c r="AX75" s="413"/>
      <c r="AY75" s="413"/>
      <c r="AZ75" s="413" t="str">
        <f t="shared" si="9"/>
        <v/>
      </c>
      <c r="BB75" s="409"/>
      <c r="BC75" s="410"/>
      <c r="BD75" s="410"/>
      <c r="BE75" s="411"/>
      <c r="BF75" s="412"/>
      <c r="BG75" s="413"/>
      <c r="BH75" s="413"/>
      <c r="BI75" s="413"/>
      <c r="BJ75" s="413"/>
      <c r="BK75" s="413" t="str">
        <f t="shared" si="10"/>
        <v/>
      </c>
    </row>
    <row r="76" spans="1:63" ht="21.75" x14ac:dyDescent="0.25">
      <c r="A76" s="217" cm="1">
        <f t="array" ref="A76">IFERROR(INDEX(_xlfn.ANCHORARRAY($R$6),ROW()-5,1),"")</f>
        <v>46255</v>
      </c>
      <c r="B76" s="289" t="str" cm="1">
        <f t="array" ref="B76">IFERROR(INDEX(_xlfn.ANCHORARRAY($R$6),ROW()-5,2),"")</f>
        <v/>
      </c>
      <c r="C76" s="218" t="str">
        <f>IF($A76="","",IF($K76="DIESEL",SUMIFS(Table1[Quantity],Table1[Customer],$P$3,Table1[Date],$A76,Table1[Bill No.],$B76),IF($K76="PETROL",SUMIFS(Table14[Quantity],Table14[Customer],$P$3,Table14[Date],$A76,Table14[Bill No.],$B76),IF($K76="XtraGreen",SUMIFS(Table146[Quantity],Table146[Company],$P$3,Table146[Date],$A76,Table146[Bill No.],$B76),""))))</f>
        <v/>
      </c>
      <c r="D76" s="223" t="str">
        <f>IF($A76="","",IF($K76="DIESEL",AVERAGEIFS(Table1[RSP],Table1[Customer],$P$3,Table1[Date],$A76,Table1[Bill No.],$B76),IF($K76="PETROL",AVERAGEIFS(Table14[RSP],Table14[Customer],$P$3,Table14[Date],$A76,Table14[Bill No.],$B76),IF($K76="XtraGreen",AVERAGEIFS(Table146[RSP],Table146[Company],$P$3,Table146[Date],$A76,Table146[Bill No.],$B76),IFERROR($E76/$C76,"")))))</f>
        <v/>
      </c>
      <c r="E76" s="330">
        <f>IF($A76="","",IF($K76="DIESEL",SUMIFS(Table1[Amount],Table1[Customer],$P$3,Table1[Date],$A76,Table1[Bill No.],$B76),IF($K76="PETROL",SUMIFS(Table14[Amount],Table14[Customer],$P$3,Table14[Date],$A76,Table14[Bill No.],$B76),IF($K76="XtraGreen",SUMIFS(Table146[Amount],Table146[Company],$P$3,Table146[Date],$A76,Table146[Bill No.],$B76),SUMIFS('Other Sale'!$D:$D,'Other Sale'!$E:$E,$P$3,'Other Sale'!$C:$C,$K76,'Other Sale'!$A:$A,$A76)))))</f>
        <v>0</v>
      </c>
      <c r="F76" s="330" cm="1">
        <f t="array" ref="F76">IF($A76="","",IF($K76="Payment",IFERROR(INDEX(_xlfn._xlws.FILTER(MasterPaid[Amount Paid],(MasterPaid[Customer]=$P$3)*(MasterPaid[Date]=$A76)),COUNTIFS($A$6:$A76,$A76,$K$6:$K76,"Payment")),0),0))</f>
        <v>3479017</v>
      </c>
      <c r="G76" s="331">
        <v>3483</v>
      </c>
      <c r="H76" s="331"/>
      <c r="I76" s="330">
        <f t="shared" si="11"/>
        <v>-1785670</v>
      </c>
      <c r="J76" s="275" t="s">
        <v>2575</v>
      </c>
      <c r="K76" s="289" t="str" cm="1">
        <f t="array" ref="K76">IFERROR(INDEX(_xlfn.ANCHORARRAY($R$6),ROW()-5,3),"")</f>
        <v>Payment</v>
      </c>
      <c r="L76" s="430" t="str" cm="1">
        <f t="array" ref="L76">IF(OR($A76="",$J76="",$K76&lt;&gt;"DIESEL"),"",_xlfn.LET(_xlpm.qty,N($C76),_xlpm.pos,IF($J76="UNIT 1",$V$5:$V$54,$AC$5:$AC$54),_xlpm.alo,IF($J76="UNIT 1",$W$5:$W$54,$AD$5:$AD$54),_xlpm.usd,SUMIFS($C$6:$C75,$L$6:$L75,_xlpm.pos&amp;"",$J$6:$J75,$J76),_xlpm.bal,N(_xlpm.alo)-_xlpm.usd,IFERROR(INDEX(_xlfn._xlws.FILTER(_xlpm.pos,(_xlpm.pos&lt;&gt;"")*(_xlpm.qty&gt;0)*(_xlpm.bal&gt;=_xlpm.qty)),1),"")))</f>
        <v/>
      </c>
      <c r="M76" s="290"/>
      <c r="R76">
        <v>46255</v>
      </c>
      <c r="S76" t="str">
        <v/>
      </c>
      <c r="T76" t="str">
        <v>Payment</v>
      </c>
      <c r="AQ76" s="409"/>
      <c r="AR76" s="410"/>
      <c r="AS76" s="410"/>
      <c r="AT76" s="411"/>
      <c r="AU76" s="412"/>
      <c r="AV76" s="413"/>
      <c r="AW76" s="413"/>
      <c r="AX76" s="413"/>
      <c r="AY76" s="413"/>
      <c r="AZ76" s="413" t="str">
        <f t="shared" si="9"/>
        <v/>
      </c>
      <c r="BB76" s="409"/>
      <c r="BC76" s="410"/>
      <c r="BD76" s="410"/>
      <c r="BE76" s="411"/>
      <c r="BF76" s="412"/>
      <c r="BG76" s="413"/>
      <c r="BH76" s="413"/>
      <c r="BI76" s="413"/>
      <c r="BJ76" s="413"/>
      <c r="BK76" s="413" t="str">
        <f t="shared" si="10"/>
        <v/>
      </c>
    </row>
    <row r="77" spans="1:63" ht="21.75" x14ac:dyDescent="0.25">
      <c r="A77" s="217" cm="1">
        <f t="array" ref="A77">IFERROR(INDEX(_xlfn.ANCHORARRAY($R$6),ROW()-5,1),"")</f>
        <v>46258</v>
      </c>
      <c r="B77" s="289" t="str" cm="1">
        <f t="array" ref="B77">IFERROR(INDEX(_xlfn.ANCHORARRAY($R$6),ROW()-5,2),"")</f>
        <v>2334</v>
      </c>
      <c r="C77" s="218">
        <f>IF($A77="","",IF($K77="DIESEL",SUMIFS(Table1[Quantity],Table1[Customer],$P$3,Table1[Date],$A77,Table1[Bill No.],$B77),IF($K77="PETROL",SUMIFS(Table14[Quantity],Table14[Customer],$P$3,Table14[Date],$A77,Table14[Bill No.],$B77),IF($K77="XtraGreen",SUMIFS(Table146[Quantity],Table146[Company],$P$3,Table146[Date],$A77,Table146[Bill No.],$B77),""))))</f>
        <v>18000</v>
      </c>
      <c r="D77" s="223">
        <f>IF($A77="","",IF($K77="DIESEL",AVERAGEIFS(Table1[RSP],Table1[Customer],$P$3,Table1[Date],$A77,Table1[Bill No.],$B77),IF($K77="PETROL",AVERAGEIFS(Table14[RSP],Table14[Customer],$P$3,Table14[Date],$A77,Table14[Bill No.],$B77),IF($K77="XtraGreen",AVERAGEIFS(Table146[RSP],Table146[Company],$P$3,Table146[Date],$A77,Table146[Bill No.],$B77),IFERROR($E77/$C77,"")))))</f>
        <v>99.5</v>
      </c>
      <c r="E77" s="330">
        <f>IF($A77="","",IF($K77="DIESEL",SUMIFS(Table1[Amount],Table1[Customer],$P$3,Table1[Date],$A77,Table1[Bill No.],$B77),IF($K77="PETROL",SUMIFS(Table14[Amount],Table14[Customer],$P$3,Table14[Date],$A77,Table14[Bill No.],$B77),IF($K77="XtraGreen",SUMIFS(Table146[Amount],Table146[Company],$P$3,Table146[Date],$A77,Table146[Bill No.],$B77),SUMIFS('Other Sale'!$D:$D,'Other Sale'!$E:$E,$P$3,'Other Sale'!$C:$C,$K77,'Other Sale'!$A:$A,$A77)))))</f>
        <v>1791000</v>
      </c>
      <c r="F77" s="330" cm="1">
        <f t="array" ref="F77">IF($A77="","",IF($K77="Payment",IFERROR(INDEX(_xlfn._xlws.FILTER(MasterPaid[Amount Paid],(MasterPaid[Customer]=$P$3)*(MasterPaid[Date]=$A77)),COUNTIFS($A$6:$A77,$A77,$K$6:$K77,"Payment")),0),0))</f>
        <v>0</v>
      </c>
      <c r="G77" s="331" t="s">
        <v>13</v>
      </c>
      <c r="H77" s="331"/>
      <c r="I77" s="330">
        <f t="shared" si="11"/>
        <v>5330</v>
      </c>
      <c r="J77" s="275" t="s">
        <v>2575</v>
      </c>
      <c r="K77" s="289" t="str" cm="1">
        <f t="array" ref="K77">IFERROR(INDEX(_xlfn.ANCHORARRAY($R$6),ROW()-5,3),"")</f>
        <v>DIESEL</v>
      </c>
      <c r="L77" s="430" t="str" cm="1">
        <f t="array" ref="L77">IF(OR($A77="",$J77="",$K77&lt;&gt;"DIESEL"),"",_xlfn.LET(_xlpm.qty,N($C77),_xlpm.pos,IF($J77="UNIT 1",$V$5:$V$54,$AC$5:$AC$54),_xlpm.alo,IF($J77="UNIT 1",$W$5:$W$54,$AD$5:$AD$54),_xlpm.usd,SUMIFS($C$6:$C76,$L$6:$L76,_xlpm.pos&amp;"",$J$6:$J76,$J77),_xlpm.bal,N(_xlpm.alo)-_xlpm.usd,IFERROR(INDEX(_xlfn._xlws.FILTER(_xlpm.pos,(_xlpm.pos&lt;&gt;"")*(_xlpm.qty&gt;0)*(_xlpm.bal&gt;=_xlpm.qty)),1),"")))</f>
        <v>4500214810</v>
      </c>
      <c r="M77" s="290"/>
      <c r="R77">
        <v>46258</v>
      </c>
      <c r="S77" t="str">
        <v>2334</v>
      </c>
      <c r="T77" t="str">
        <v>DIESEL</v>
      </c>
      <c r="AQ77" s="409"/>
      <c r="AR77" s="410"/>
      <c r="AS77" s="410"/>
      <c r="AT77" s="411"/>
      <c r="AU77" s="412"/>
      <c r="AV77" s="413"/>
      <c r="AW77" s="413"/>
      <c r="AX77" s="413"/>
      <c r="AY77" s="413"/>
      <c r="AZ77" s="413" t="str">
        <f t="shared" si="9"/>
        <v/>
      </c>
      <c r="BB77" s="409"/>
      <c r="BC77" s="410"/>
      <c r="BD77" s="410"/>
      <c r="BE77" s="411"/>
      <c r="BF77" s="412"/>
      <c r="BG77" s="413"/>
      <c r="BH77" s="413"/>
      <c r="BI77" s="413"/>
      <c r="BJ77" s="413"/>
      <c r="BK77" s="413" t="str">
        <f t="shared" si="10"/>
        <v/>
      </c>
    </row>
    <row r="78" spans="1:63" ht="21.75" x14ac:dyDescent="0.25">
      <c r="A78" s="217" cm="1">
        <f t="array" ref="A78">IFERROR(INDEX(_xlfn.ANCHORARRAY($R$6),ROW()-5,1),"")</f>
        <v>46260</v>
      </c>
      <c r="B78" s="289" t="str" cm="1">
        <f t="array" ref="B78">IFERROR(INDEX(_xlfn.ANCHORARRAY($R$6),ROW()-5,2),"")</f>
        <v>2380</v>
      </c>
      <c r="C78" s="218">
        <f>IF($A78="","",IF($K78="DIESEL",SUMIFS(Table1[Quantity],Table1[Customer],$P$3,Table1[Date],$A78,Table1[Bill No.],$B78),IF($K78="PETROL",SUMIFS(Table14[Quantity],Table14[Customer],$P$3,Table14[Date],$A78,Table14[Bill No.],$B78),IF($K78="XtraGreen",SUMIFS(Table146[Quantity],Table146[Company],$P$3,Table146[Date],$A78,Table146[Bill No.],$B78),""))))</f>
        <v>12000</v>
      </c>
      <c r="D78" s="223">
        <f>IF($A78="","",IF($K78="DIESEL",AVERAGEIFS(Table1[RSP],Table1[Customer],$P$3,Table1[Date],$A78,Table1[Bill No.],$B78),IF($K78="PETROL",AVERAGEIFS(Table14[RSP],Table14[Customer],$P$3,Table14[Date],$A78,Table14[Bill No.],$B78),IF($K78="XtraGreen",AVERAGEIFS(Table146[RSP],Table146[Company],$P$3,Table146[Date],$A78,Table146[Bill No.],$B78),IFERROR($E78/$C78,"")))))</f>
        <v>99.5</v>
      </c>
      <c r="E78" s="330">
        <f>IF($A78="","",IF($K78="DIESEL",SUMIFS(Table1[Amount],Table1[Customer],$P$3,Table1[Date],$A78,Table1[Bill No.],$B78),IF($K78="PETROL",SUMIFS(Table14[Amount],Table14[Customer],$P$3,Table14[Date],$A78,Table14[Bill No.],$B78),IF($K78="XtraGreen",SUMIFS(Table146[Amount],Table146[Company],$P$3,Table146[Date],$A78,Table146[Bill No.],$B78),SUMIFS('Other Sale'!$D:$D,'Other Sale'!$E:$E,$P$3,'Other Sale'!$C:$C,$K78,'Other Sale'!$A:$A,$A78)))))</f>
        <v>1194000</v>
      </c>
      <c r="F78" s="330" cm="1">
        <f t="array" ref="F78">IF($A78="","",IF($K78="Payment",IFERROR(INDEX(_xlfn._xlws.FILTER(MasterPaid[Amount Paid],(MasterPaid[Customer]=$P$3)*(MasterPaid[Date]=$A78)),COUNTIFS($A$6:$A78,$A78,$K$6:$K78,"Payment")),0),0))</f>
        <v>0</v>
      </c>
      <c r="G78" s="331" t="s">
        <v>13</v>
      </c>
      <c r="H78" s="331"/>
      <c r="I78" s="330">
        <f t="shared" si="11"/>
        <v>1199330</v>
      </c>
      <c r="J78" s="275" t="s">
        <v>2574</v>
      </c>
      <c r="K78" s="289" t="str" cm="1">
        <f t="array" ref="K78">IFERROR(INDEX(_xlfn.ANCHORARRAY($R$6),ROW()-5,3),"")</f>
        <v>DIESEL</v>
      </c>
      <c r="L78" s="430" t="s">
        <v>3908</v>
      </c>
      <c r="M78" s="290"/>
      <c r="R78">
        <v>46260</v>
      </c>
      <c r="S78" t="str">
        <v>2380</v>
      </c>
      <c r="T78" t="str">
        <v>DIESEL</v>
      </c>
      <c r="AQ78" s="409"/>
      <c r="AR78" s="410"/>
      <c r="AS78" s="410"/>
      <c r="AT78" s="411"/>
      <c r="AU78" s="412"/>
      <c r="AV78" s="413"/>
      <c r="AW78" s="413"/>
      <c r="AX78" s="413"/>
      <c r="AY78" s="413"/>
      <c r="AZ78" s="413" t="str">
        <f t="shared" si="9"/>
        <v/>
      </c>
      <c r="BB78" s="409"/>
      <c r="BC78" s="410"/>
      <c r="BD78" s="410"/>
      <c r="BE78" s="411"/>
      <c r="BF78" s="412"/>
      <c r="BG78" s="413"/>
      <c r="BH78" s="413"/>
      <c r="BI78" s="413"/>
      <c r="BJ78" s="413"/>
      <c r="BK78" s="413" t="str">
        <f t="shared" si="10"/>
        <v/>
      </c>
    </row>
    <row r="79" spans="1:63" ht="21.75" x14ac:dyDescent="0.25">
      <c r="A79" s="217" cm="1">
        <f t="array" ref="A79">IFERROR(INDEX(_xlfn.ANCHORARRAY($R$6),ROW()-5,1),"")</f>
        <v>46262</v>
      </c>
      <c r="B79" s="289" t="str" cm="1">
        <f t="array" ref="B79">IFERROR(INDEX(_xlfn.ANCHORARRAY($R$6),ROW()-5,2),"")</f>
        <v/>
      </c>
      <c r="C79" s="218" t="str">
        <f>IF($A79="","",IF($K79="DIESEL",SUMIFS(Table1[Quantity],Table1[Customer],$P$3,Table1[Date],$A79,Table1[Bill No.],$B79),IF($K79="PETROL",SUMIFS(Table14[Quantity],Table14[Customer],$P$3,Table14[Date],$A79,Table14[Bill No.],$B79),IF($K79="XtraGreen",SUMIFS(Table146[Quantity],Table146[Company],$P$3,Table146[Date],$A79,Table146[Bill No.],$B79),""))))</f>
        <v/>
      </c>
      <c r="D79" s="223" t="str">
        <f>IF($A79="","",IF($K79="DIESEL",AVERAGEIFS(Table1[RSP],Table1[Customer],$P$3,Table1[Date],$A79,Table1[Bill No.],$B79),IF($K79="PETROL",AVERAGEIFS(Table14[RSP],Table14[Customer],$P$3,Table14[Date],$A79,Table14[Bill No.],$B79),IF($K79="XtraGreen",AVERAGEIFS(Table146[RSP],Table146[Company],$P$3,Table146[Date],$A79,Table146[Bill No.],$B79),IFERROR($E79/$C79,"")))))</f>
        <v/>
      </c>
      <c r="E79" s="330">
        <f>IF($A79="","",IF($K79="DIESEL",SUMIFS(Table1[Amount],Table1[Customer],$P$3,Table1[Date],$A79,Table1[Bill No.],$B79),IF($K79="PETROL",SUMIFS(Table14[Amount],Table14[Customer],$P$3,Table14[Date],$A79,Table14[Bill No.],$B79),IF($K79="XtraGreen",SUMIFS(Table146[Amount],Table146[Company],$P$3,Table146[Date],$A79,Table146[Bill No.],$B79),SUMIFS('Other Sale'!$D:$D,'Other Sale'!$E:$E,$P$3,'Other Sale'!$C:$C,$K79,'Other Sale'!$A:$A,$A79)))))</f>
        <v>0</v>
      </c>
      <c r="F79" s="330" cm="1">
        <f t="array" ref="F79">IF($A79="","",IF($K79="Payment",IFERROR(INDEX(_xlfn._xlws.FILTER(MasterPaid[Amount Paid],(MasterPaid[Customer]=$P$3)*(MasterPaid[Date]=$A79)),COUNTIFS($A$6:$A79,$A79,$K$6:$K79,"Payment")),0),0))</f>
        <v>1192806</v>
      </c>
      <c r="G79" s="331">
        <v>1194</v>
      </c>
      <c r="H79" s="331"/>
      <c r="I79" s="330">
        <f t="shared" si="11"/>
        <v>5330</v>
      </c>
      <c r="J79" s="275" t="s">
        <v>2574</v>
      </c>
      <c r="K79" s="289" t="str" cm="1">
        <f t="array" ref="K79">IFERROR(INDEX(_xlfn.ANCHORARRAY($R$6),ROW()-5,3),"")</f>
        <v>Payment</v>
      </c>
      <c r="L79" s="430" t="str" cm="1">
        <f t="array" ref="L79">IF(OR($A79="",$J79="",$K79&lt;&gt;"DIESEL"),"",_xlfn.LET(_xlpm.qty,N($C79),_xlpm.pos,IF($J79="UNIT 1",$V$5:$V$54,$AC$5:$AC$54),_xlpm.alo,IF($J79="UNIT 1",$W$5:$W$54,$AD$5:$AD$54),_xlpm.usd,SUMIFS($C$6:$C78,$L$6:$L78,_xlpm.pos&amp;"",$J$6:$J78,$J79),_xlpm.bal,N(_xlpm.alo)-_xlpm.usd,IFERROR(INDEX(_xlfn._xlws.FILTER(_xlpm.pos,(_xlpm.pos&lt;&gt;"")*(_xlpm.qty&gt;0)*(_xlpm.bal&gt;=_xlpm.qty)),1),"")))</f>
        <v/>
      </c>
      <c r="M79" s="290"/>
      <c r="R79">
        <v>46262</v>
      </c>
      <c r="S79" t="str">
        <v/>
      </c>
      <c r="T79" t="str">
        <v>Payment</v>
      </c>
      <c r="AQ79" s="409"/>
      <c r="AR79" s="410"/>
      <c r="AS79" s="410"/>
      <c r="AT79" s="411"/>
      <c r="AU79" s="412"/>
      <c r="AV79" s="413"/>
      <c r="AW79" s="413"/>
      <c r="AX79" s="413"/>
      <c r="AY79" s="413"/>
      <c r="AZ79" s="413" t="str">
        <f t="shared" si="9"/>
        <v/>
      </c>
      <c r="BB79" s="409"/>
      <c r="BC79" s="410"/>
      <c r="BD79" s="410"/>
      <c r="BE79" s="411"/>
      <c r="BF79" s="412"/>
      <c r="BG79" s="413"/>
      <c r="BH79" s="413"/>
      <c r="BI79" s="413"/>
      <c r="BJ79" s="413"/>
      <c r="BK79" s="413" t="str">
        <f t="shared" si="10"/>
        <v/>
      </c>
    </row>
    <row r="80" spans="1:63" ht="21.75" x14ac:dyDescent="0.25">
      <c r="A80" s="217" t="str" cm="1">
        <f t="array" ref="A80">IFERROR(INDEX(_xlfn.ANCHORARRAY($R$6),ROW()-5,1),"")</f>
        <v/>
      </c>
      <c r="B80" s="289" t="str" cm="1">
        <f t="array" ref="B80">IFERROR(INDEX(_xlfn.ANCHORARRAY($R$6),ROW()-5,2),"")</f>
        <v/>
      </c>
      <c r="C80" s="218" t="str">
        <f>IF($A80="","",IF($K80="DIESEL",SUMIFS(Table1[Quantity],Table1[Customer],$P$3,Table1[Date],$A80,Table1[Bill No.],$B80),IF($K80="PETROL",SUMIFS(Table14[Quantity],Table14[Customer],$P$3,Table14[Date],$A80,Table14[Bill No.],$B80),IF($K80="XtraGreen",SUMIFS(Table146[Quantity],Table146[Company],$P$3,Table146[Date],$A80,Table146[Bill No.],$B80),""))))</f>
        <v/>
      </c>
      <c r="D80" s="223" t="str">
        <f>IF($A80="","",IF($K80="DIESEL",AVERAGEIFS(Table1[RSP],Table1[Customer],$P$3,Table1[Date],$A80,Table1[Bill No.],$B80),IF($K80="PETROL",AVERAGEIFS(Table14[RSP],Table14[Customer],$P$3,Table14[Date],$A80,Table14[Bill No.],$B80),IF($K80="XtraGreen",AVERAGEIFS(Table146[RSP],Table146[Company],$P$3,Table146[Date],$A80,Table146[Bill No.],$B80),IFERROR($E80/$C80,"")))))</f>
        <v/>
      </c>
      <c r="E80" s="330" t="str">
        <f>IF($A80="","",IF($K80="DIESEL",SUMIFS(Table1[Amount],Table1[Customer],$P$3,Table1[Date],$A80,Table1[Bill No.],$B80),IF($K80="PETROL",SUMIFS(Table14[Amount],Table14[Customer],$P$3,Table14[Date],$A80,Table14[Bill No.],$B80),IF($K80="XtraGreen",SUMIFS(Table146[Amount],Table146[Company],$P$3,Table146[Date],$A80,Table146[Bill No.],$B80),SUMIFS('Other Sale'!$D:$D,'Other Sale'!$E:$E,$P$3,'Other Sale'!$C:$C,$K80,'Other Sale'!$A:$A,$A80)))))</f>
        <v/>
      </c>
      <c r="F80" s="330" t="str" cm="1">
        <f t="array" ref="F80">IF($A80="","",IF($K80="Payment",IFERROR(INDEX(_xlfn._xlws.FILTER(MasterPaid[Amount Paid],(MasterPaid[Customer]=$P$3)*(MasterPaid[Date]=$A80)),COUNTIFS($A$6:$A80,$A80,$K$6:$K80,"Payment")),0),0))</f>
        <v/>
      </c>
      <c r="G80" s="331" t="s">
        <v>13</v>
      </c>
      <c r="H80" s="331"/>
      <c r="I80" s="330" t="str">
        <f t="shared" si="11"/>
        <v/>
      </c>
      <c r="J80" s="275"/>
      <c r="K80" s="289" t="str" cm="1">
        <f t="array" ref="K80">IFERROR(INDEX(_xlfn.ANCHORARRAY($R$6),ROW()-5,3),"")</f>
        <v/>
      </c>
      <c r="L80" s="430" t="str" cm="1">
        <f t="array" ref="L80">IF(OR($A80="",$J80="",$K80&lt;&gt;"DIESEL"),"",_xlfn.LET(_xlpm.qty,N($C80),_xlpm.pos,IF($J80="UNIT 1",$V$5:$V$54,$AC$5:$AC$54),_xlpm.alo,IF($J80="UNIT 1",$W$5:$W$54,$AD$5:$AD$54),_xlpm.usd,SUMIFS($C$6:$C79,$L$6:$L79,_xlpm.pos&amp;"",$J$6:$J79,$J80),_xlpm.bal,N(_xlpm.alo)-_xlpm.usd,IFERROR(INDEX(_xlfn._xlws.FILTER(_xlpm.pos,(_xlpm.pos&lt;&gt;"")*(_xlpm.qty&gt;0)*(_xlpm.bal&gt;=_xlpm.qty)),1),"")))</f>
        <v/>
      </c>
      <c r="M80" s="290"/>
      <c r="AQ80" s="409"/>
      <c r="AR80" s="410"/>
      <c r="AS80" s="410"/>
      <c r="AT80" s="411"/>
      <c r="AU80" s="412"/>
      <c r="AV80" s="413"/>
      <c r="AW80" s="413"/>
      <c r="AX80" s="413"/>
      <c r="AY80" s="413"/>
      <c r="AZ80" s="413" t="str">
        <f t="shared" si="9"/>
        <v/>
      </c>
      <c r="BB80" s="409"/>
      <c r="BC80" s="410"/>
      <c r="BD80" s="410"/>
      <c r="BE80" s="411"/>
      <c r="BF80" s="412"/>
      <c r="BG80" s="413"/>
      <c r="BH80" s="413"/>
      <c r="BI80" s="413"/>
      <c r="BJ80" s="413"/>
      <c r="BK80" s="413" t="str">
        <f t="shared" si="10"/>
        <v/>
      </c>
    </row>
    <row r="81" spans="1:63" ht="21.75" x14ac:dyDescent="0.25">
      <c r="A81" s="217" t="str" cm="1">
        <f t="array" ref="A81">IFERROR(INDEX(_xlfn.ANCHORARRAY($R$6),ROW()-5,1),"")</f>
        <v/>
      </c>
      <c r="B81" s="289" t="str" cm="1">
        <f t="array" ref="B81">IFERROR(INDEX(_xlfn.ANCHORARRAY($R$6),ROW()-5,2),"")</f>
        <v/>
      </c>
      <c r="C81" s="218" t="str">
        <f>IF($A81="","",IF($K81="DIESEL",SUMIFS(Table1[Quantity],Table1[Customer],$P$3,Table1[Date],$A81,Table1[Bill No.],$B81),IF($K81="PETROL",SUMIFS(Table14[Quantity],Table14[Customer],$P$3,Table14[Date],$A81,Table14[Bill No.],$B81),IF($K81="XtraGreen",SUMIFS(Table146[Quantity],Table146[Company],$P$3,Table146[Date],$A81,Table146[Bill No.],$B81),""))))</f>
        <v/>
      </c>
      <c r="D81" s="223" t="str">
        <f>IF($A81="","",IF($K81="DIESEL",AVERAGEIFS(Table1[RSP],Table1[Customer],$P$3,Table1[Date],$A81,Table1[Bill No.],$B81),IF($K81="PETROL",AVERAGEIFS(Table14[RSP],Table14[Customer],$P$3,Table14[Date],$A81,Table14[Bill No.],$B81),IF($K81="XtraGreen",AVERAGEIFS(Table146[RSP],Table146[Company],$P$3,Table146[Date],$A81,Table146[Bill No.],$B81),IFERROR($E81/$C81,"")))))</f>
        <v/>
      </c>
      <c r="E81" s="330" t="str">
        <f>IF($A81="","",IF($K81="DIESEL",SUMIFS(Table1[Amount],Table1[Customer],$P$3,Table1[Date],$A81,Table1[Bill No.],$B81),IF($K81="PETROL",SUMIFS(Table14[Amount],Table14[Customer],$P$3,Table14[Date],$A81,Table14[Bill No.],$B81),IF($K81="XtraGreen",SUMIFS(Table146[Amount],Table146[Company],$P$3,Table146[Date],$A81,Table146[Bill No.],$B81),SUMIFS('Other Sale'!$D:$D,'Other Sale'!$E:$E,$P$3,'Other Sale'!$C:$C,$K81,'Other Sale'!$A:$A,$A81)))))</f>
        <v/>
      </c>
      <c r="F81" s="330" t="str" cm="1">
        <f t="array" ref="F81">IF($A81="","",IF($K81="Payment",IFERROR(INDEX(_xlfn._xlws.FILTER(MasterPaid[Amount Paid],(MasterPaid[Customer]=$P$3)*(MasterPaid[Date]=$A81)),COUNTIFS($A$6:$A81,$A81,$K$6:$K81,"Payment")),0),0))</f>
        <v/>
      </c>
      <c r="G81" s="331" t="s">
        <v>13</v>
      </c>
      <c r="H81" s="331"/>
      <c r="I81" s="330" t="str">
        <f t="shared" si="11"/>
        <v/>
      </c>
      <c r="J81" s="275"/>
      <c r="K81" s="289" t="str" cm="1">
        <f t="array" ref="K81">IFERROR(INDEX(_xlfn.ANCHORARRAY($R$6),ROW()-5,3),"")</f>
        <v/>
      </c>
      <c r="L81" s="430" t="str" cm="1">
        <f t="array" ref="L81">IF(OR($A81="",$J81="",$K81&lt;&gt;"DIESEL"),"",_xlfn.LET(_xlpm.qty,N($C81),_xlpm.pos,IF($J81="UNIT 1",$V$5:$V$54,$AC$5:$AC$54),_xlpm.alo,IF($J81="UNIT 1",$W$5:$W$54,$AD$5:$AD$54),_xlpm.usd,SUMIFS($C$6:$C80,$L$6:$L80,_xlpm.pos&amp;"",$J$6:$J80,$J81),_xlpm.bal,N(_xlpm.alo)-_xlpm.usd,IFERROR(INDEX(_xlfn._xlws.FILTER(_xlpm.pos,(_xlpm.pos&lt;&gt;"")*(_xlpm.qty&gt;0)*(_xlpm.bal&gt;=_xlpm.qty)),1),"")))</f>
        <v/>
      </c>
      <c r="M81" s="290"/>
      <c r="AQ81" s="409"/>
      <c r="AR81" s="410"/>
      <c r="AS81" s="410"/>
      <c r="AT81" s="411"/>
      <c r="AU81" s="412"/>
      <c r="AV81" s="413"/>
      <c r="AW81" s="413"/>
      <c r="AX81" s="413"/>
      <c r="AY81" s="413"/>
      <c r="AZ81" s="413" t="str">
        <f t="shared" si="9"/>
        <v/>
      </c>
      <c r="BB81" s="409"/>
      <c r="BC81" s="410"/>
      <c r="BD81" s="410"/>
      <c r="BE81" s="411"/>
      <c r="BF81" s="412"/>
      <c r="BG81" s="413"/>
      <c r="BH81" s="413"/>
      <c r="BI81" s="413"/>
      <c r="BJ81" s="413"/>
      <c r="BK81" s="413" t="str">
        <f t="shared" si="10"/>
        <v/>
      </c>
    </row>
    <row r="82" spans="1:63" ht="21.75" x14ac:dyDescent="0.25">
      <c r="A82" s="217" t="str" cm="1">
        <f t="array" ref="A82">IFERROR(INDEX(_xlfn.ANCHORARRAY($R$6),ROW()-5,1),"")</f>
        <v/>
      </c>
      <c r="B82" s="289" t="str" cm="1">
        <f t="array" ref="B82">IFERROR(INDEX(_xlfn.ANCHORARRAY($R$6),ROW()-5,2),"")</f>
        <v/>
      </c>
      <c r="C82" s="218" t="str">
        <f>IF($A82="","",IF($K82="DIESEL",SUMIFS(Table1[Quantity],Table1[Customer],$P$3,Table1[Date],$A82,Table1[Bill No.],$B82),IF($K82="PETROL",SUMIFS(Table14[Quantity],Table14[Customer],$P$3,Table14[Date],$A82,Table14[Bill No.],$B82),IF($K82="XtraGreen",SUMIFS(Table146[Quantity],Table146[Company],$P$3,Table146[Date],$A82,Table146[Bill No.],$B82),""))))</f>
        <v/>
      </c>
      <c r="D82" s="223" t="str">
        <f>IF($A82="","",IF($K82="DIESEL",AVERAGEIFS(Table1[RSP],Table1[Customer],$P$3,Table1[Date],$A82,Table1[Bill No.],$B82),IF($K82="PETROL",AVERAGEIFS(Table14[RSP],Table14[Customer],$P$3,Table14[Date],$A82,Table14[Bill No.],$B82),IF($K82="XtraGreen",AVERAGEIFS(Table146[RSP],Table146[Company],$P$3,Table146[Date],$A82,Table146[Bill No.],$B82),IFERROR($E82/$C82,"")))))</f>
        <v/>
      </c>
      <c r="E82" s="330" t="str">
        <f>IF($A82="","",IF($K82="DIESEL",SUMIFS(Table1[Amount],Table1[Customer],$P$3,Table1[Date],$A82,Table1[Bill No.],$B82),IF($K82="PETROL",SUMIFS(Table14[Amount],Table14[Customer],$P$3,Table14[Date],$A82,Table14[Bill No.],$B82),IF($K82="XtraGreen",SUMIFS(Table146[Amount],Table146[Company],$P$3,Table146[Date],$A82,Table146[Bill No.],$B82),SUMIFS('Other Sale'!$D:$D,'Other Sale'!$E:$E,$P$3,'Other Sale'!$C:$C,$K82,'Other Sale'!$A:$A,$A82)))))</f>
        <v/>
      </c>
      <c r="F82" s="330" t="str" cm="1">
        <f t="array" ref="F82">IF($A82="","",IF($K82="Payment",IFERROR(INDEX(_xlfn._xlws.FILTER(MasterPaid[Amount Paid],(MasterPaid[Customer]=$P$3)*(MasterPaid[Date]=$A82)),COUNTIFS($A$6:$A82,$A82,$K$6:$K82,"Payment")),0),0))</f>
        <v/>
      </c>
      <c r="G82" s="331" t="s">
        <v>13</v>
      </c>
      <c r="H82" s="331"/>
      <c r="I82" s="330" t="str">
        <f t="shared" si="11"/>
        <v/>
      </c>
      <c r="J82" s="275"/>
      <c r="K82" s="289" t="str" cm="1">
        <f t="array" ref="K82">IFERROR(INDEX(_xlfn.ANCHORARRAY($R$6),ROW()-5,3),"")</f>
        <v/>
      </c>
      <c r="L82" s="430" t="str" cm="1">
        <f t="array" ref="L82">IF(OR($A82="",$J82="",$K82&lt;&gt;"DIESEL"),"",_xlfn.LET(_xlpm.qty,N($C82),_xlpm.pos,IF($J82="UNIT 1",$V$5:$V$54,$AC$5:$AC$54),_xlpm.alo,IF($J82="UNIT 1",$W$5:$W$54,$AD$5:$AD$54),_xlpm.usd,SUMIFS($C$6:$C81,$L$6:$L81,_xlpm.pos&amp;"",$J$6:$J81,$J82),_xlpm.bal,N(_xlpm.alo)-_xlpm.usd,IFERROR(INDEX(_xlfn._xlws.FILTER(_xlpm.pos,(_xlpm.pos&lt;&gt;"")*(_xlpm.qty&gt;0)*(_xlpm.bal&gt;=_xlpm.qty)),1),"")))</f>
        <v/>
      </c>
      <c r="M82" s="290"/>
      <c r="AQ82" s="409"/>
      <c r="AR82" s="410"/>
      <c r="AS82" s="410"/>
      <c r="AT82" s="411"/>
      <c r="AU82" s="412"/>
      <c r="AV82" s="413"/>
      <c r="AW82" s="413"/>
      <c r="AX82" s="413"/>
      <c r="AY82" s="413"/>
      <c r="AZ82" s="413" t="str">
        <f t="shared" si="9"/>
        <v/>
      </c>
      <c r="BB82" s="409"/>
      <c r="BC82" s="410"/>
      <c r="BD82" s="410"/>
      <c r="BE82" s="411"/>
      <c r="BF82" s="412"/>
      <c r="BG82" s="413"/>
      <c r="BH82" s="413"/>
      <c r="BI82" s="413"/>
      <c r="BJ82" s="413"/>
      <c r="BK82" s="413" t="str">
        <f t="shared" si="10"/>
        <v/>
      </c>
    </row>
    <row r="83" spans="1:63" ht="21.75" x14ac:dyDescent="0.25">
      <c r="A83" s="217" t="str" cm="1">
        <f t="array" ref="A83">IFERROR(INDEX(_xlfn.ANCHORARRAY($R$6),ROW()-5,1),"")</f>
        <v/>
      </c>
      <c r="B83" s="289" t="str" cm="1">
        <f t="array" ref="B83">IFERROR(INDEX(_xlfn.ANCHORARRAY($R$6),ROW()-5,2),"")</f>
        <v/>
      </c>
      <c r="C83" s="218" t="str">
        <f>IF($A83="","",IF($K83="DIESEL",SUMIFS(Table1[Quantity],Table1[Customer],$P$3,Table1[Date],$A83,Table1[Bill No.],$B83),IF($K83="PETROL",SUMIFS(Table14[Quantity],Table14[Customer],$P$3,Table14[Date],$A83,Table14[Bill No.],$B83),IF($K83="XtraGreen",SUMIFS(Table146[Quantity],Table146[Company],$P$3,Table146[Date],$A83,Table146[Bill No.],$B83),""))))</f>
        <v/>
      </c>
      <c r="D83" s="223" t="str">
        <f>IF($A83="","",IF($K83="DIESEL",AVERAGEIFS(Table1[RSP],Table1[Customer],$P$3,Table1[Date],$A83,Table1[Bill No.],$B83),IF($K83="PETROL",AVERAGEIFS(Table14[RSP],Table14[Customer],$P$3,Table14[Date],$A83,Table14[Bill No.],$B83),IF($K83="XtraGreen",AVERAGEIFS(Table146[RSP],Table146[Company],$P$3,Table146[Date],$A83,Table146[Bill No.],$B83),IFERROR($E83/$C83,"")))))</f>
        <v/>
      </c>
      <c r="E83" s="330" t="str">
        <f>IF($A83="","",IF($K83="DIESEL",SUMIFS(Table1[Amount],Table1[Customer],$P$3,Table1[Date],$A83,Table1[Bill No.],$B83),IF($K83="PETROL",SUMIFS(Table14[Amount],Table14[Customer],$P$3,Table14[Date],$A83,Table14[Bill No.],$B83),IF($K83="XtraGreen",SUMIFS(Table146[Amount],Table146[Company],$P$3,Table146[Date],$A83,Table146[Bill No.],$B83),SUMIFS('Other Sale'!$D:$D,'Other Sale'!$E:$E,$P$3,'Other Sale'!$C:$C,$K83,'Other Sale'!$A:$A,$A83)))))</f>
        <v/>
      </c>
      <c r="F83" s="330" t="str" cm="1">
        <f t="array" ref="F83">IF($A83="","",IF($K83="Payment",IFERROR(INDEX(_xlfn._xlws.FILTER(MasterPaid[Amount Paid],(MasterPaid[Customer]=$P$3)*(MasterPaid[Date]=$A83)),COUNTIFS($A$6:$A83,$A83,$K$6:$K83,"Payment")),0),0))</f>
        <v/>
      </c>
      <c r="G83" s="331" t="s">
        <v>13</v>
      </c>
      <c r="H83" s="331"/>
      <c r="I83" s="330" t="str">
        <f t="shared" si="11"/>
        <v/>
      </c>
      <c r="J83" s="275"/>
      <c r="K83" s="289" t="str" cm="1">
        <f t="array" ref="K83">IFERROR(INDEX(_xlfn.ANCHORARRAY($R$6),ROW()-5,3),"")</f>
        <v/>
      </c>
      <c r="L83" s="430" t="str" cm="1">
        <f t="array" ref="L83">IF(OR($A83="",$J83="",$K83&lt;&gt;"DIESEL"),"",_xlfn.LET(_xlpm.qty,N($C83),_xlpm.pos,IF($J83="UNIT 1",$V$5:$V$54,$AC$5:$AC$54),_xlpm.alo,IF($J83="UNIT 1",$W$5:$W$54,$AD$5:$AD$54),_xlpm.usd,SUMIFS($C$6:$C82,$L$6:$L82,_xlpm.pos&amp;"",$J$6:$J82,$J83),_xlpm.bal,N(_xlpm.alo)-_xlpm.usd,IFERROR(INDEX(_xlfn._xlws.FILTER(_xlpm.pos,(_xlpm.pos&lt;&gt;"")*(_xlpm.qty&gt;0)*(_xlpm.bal&gt;=_xlpm.qty)),1),"")))</f>
        <v/>
      </c>
      <c r="M83" s="290"/>
      <c r="AQ83" s="409"/>
      <c r="AR83" s="410"/>
      <c r="AS83" s="410"/>
      <c r="AT83" s="411"/>
      <c r="AU83" s="412"/>
      <c r="AV83" s="413"/>
      <c r="AW83" s="413"/>
      <c r="AX83" s="413"/>
      <c r="AY83" s="413"/>
      <c r="AZ83" s="413" t="str">
        <f t="shared" si="9"/>
        <v/>
      </c>
      <c r="BB83" s="409"/>
      <c r="BC83" s="410"/>
      <c r="BD83" s="410"/>
      <c r="BE83" s="411"/>
      <c r="BF83" s="412"/>
      <c r="BG83" s="413"/>
      <c r="BH83" s="413"/>
      <c r="BI83" s="413"/>
      <c r="BJ83" s="413"/>
      <c r="BK83" s="413" t="str">
        <f t="shared" si="10"/>
        <v/>
      </c>
    </row>
    <row r="84" spans="1:63" ht="21.75" x14ac:dyDescent="0.25">
      <c r="A84" s="217" t="str" cm="1">
        <f t="array" ref="A84">IFERROR(INDEX(_xlfn.ANCHORARRAY($R$6),ROW()-5,1),"")</f>
        <v/>
      </c>
      <c r="B84" s="289" t="str" cm="1">
        <f t="array" ref="B84">IFERROR(INDEX(_xlfn.ANCHORARRAY($R$6),ROW()-5,2),"")</f>
        <v/>
      </c>
      <c r="C84" s="218" t="str">
        <f>IF($A84="","",IF($K84="DIESEL",SUMIFS(Table1[Quantity],Table1[Customer],$P$3,Table1[Date],$A84,Table1[Bill No.],$B84),IF($K84="PETROL",SUMIFS(Table14[Quantity],Table14[Customer],$P$3,Table14[Date],$A84,Table14[Bill No.],$B84),IF($K84="XtraGreen",SUMIFS(Table146[Quantity],Table146[Company],$P$3,Table146[Date],$A84,Table146[Bill No.],$B84),""))))</f>
        <v/>
      </c>
      <c r="D84" s="223" t="str">
        <f>IF($A84="","",IF($K84="DIESEL",AVERAGEIFS(Table1[RSP],Table1[Customer],$P$3,Table1[Date],$A84,Table1[Bill No.],$B84),IF($K84="PETROL",AVERAGEIFS(Table14[RSP],Table14[Customer],$P$3,Table14[Date],$A84,Table14[Bill No.],$B84),IF($K84="XtraGreen",AVERAGEIFS(Table146[RSP],Table146[Company],$P$3,Table146[Date],$A84,Table146[Bill No.],$B84),IFERROR($E84/$C84,"")))))</f>
        <v/>
      </c>
      <c r="E84" s="330" t="str">
        <f>IF($A84="","",IF($K84="DIESEL",SUMIFS(Table1[Amount],Table1[Customer],$P$3,Table1[Date],$A84,Table1[Bill No.],$B84),IF($K84="PETROL",SUMIFS(Table14[Amount],Table14[Customer],$P$3,Table14[Date],$A84,Table14[Bill No.],$B84),IF($K84="XtraGreen",SUMIFS(Table146[Amount],Table146[Company],$P$3,Table146[Date],$A84,Table146[Bill No.],$B84),SUMIFS('Other Sale'!$D:$D,'Other Sale'!$E:$E,$P$3,'Other Sale'!$C:$C,$K84,'Other Sale'!$A:$A,$A84)))))</f>
        <v/>
      </c>
      <c r="F84" s="330" t="str" cm="1">
        <f t="array" ref="F84">IF($A84="","",IF($K84="Payment",IFERROR(INDEX(_xlfn._xlws.FILTER(MasterPaid[Amount Paid],(MasterPaid[Customer]=$P$3)*(MasterPaid[Date]=$A84)),COUNTIFS($A$6:$A84,$A84,$K$6:$K84,"Payment")),0),0))</f>
        <v/>
      </c>
      <c r="G84" s="331" t="s">
        <v>13</v>
      </c>
      <c r="H84" s="331"/>
      <c r="I84" s="330" t="str">
        <f t="shared" si="11"/>
        <v/>
      </c>
      <c r="J84" s="275"/>
      <c r="K84" s="289" t="str" cm="1">
        <f t="array" ref="K84">IFERROR(INDEX(_xlfn.ANCHORARRAY($R$6),ROW()-5,3),"")</f>
        <v/>
      </c>
      <c r="L84" s="430" t="str" cm="1">
        <f t="array" ref="L84">IF(OR($A84="",$J84="",$K84&lt;&gt;"DIESEL"),"",_xlfn.LET(_xlpm.qty,N($C84),_xlpm.pos,IF($J84="UNIT 1",$V$5:$V$54,$AC$5:$AC$54),_xlpm.alo,IF($J84="UNIT 1",$W$5:$W$54,$AD$5:$AD$54),_xlpm.usd,SUMIFS($C$6:$C83,$L$6:$L83,_xlpm.pos&amp;"",$J$6:$J83,$J84),_xlpm.bal,N(_xlpm.alo)-_xlpm.usd,IFERROR(INDEX(_xlfn._xlws.FILTER(_xlpm.pos,(_xlpm.pos&lt;&gt;"")*(_xlpm.qty&gt;0)*(_xlpm.bal&gt;=_xlpm.qty)),1),"")))</f>
        <v/>
      </c>
      <c r="M84" s="290"/>
      <c r="AQ84" s="409"/>
      <c r="AR84" s="410"/>
      <c r="AS84" s="410"/>
      <c r="AT84" s="411"/>
      <c r="AU84" s="412"/>
      <c r="AV84" s="413"/>
      <c r="AW84" s="413"/>
      <c r="AX84" s="413"/>
      <c r="AY84" s="413"/>
      <c r="AZ84" s="413" t="str">
        <f t="shared" si="9"/>
        <v/>
      </c>
      <c r="BB84" s="409"/>
      <c r="BC84" s="410"/>
      <c r="BD84" s="410"/>
      <c r="BE84" s="411"/>
      <c r="BF84" s="412"/>
      <c r="BG84" s="413"/>
      <c r="BH84" s="413"/>
      <c r="BI84" s="413"/>
      <c r="BJ84" s="413"/>
      <c r="BK84" s="413" t="str">
        <f t="shared" si="10"/>
        <v/>
      </c>
    </row>
    <row r="85" spans="1:63" ht="21.75" x14ac:dyDescent="0.25">
      <c r="A85" s="217" t="str" cm="1">
        <f t="array" ref="A85">IFERROR(INDEX(_xlfn.ANCHORARRAY($R$6),ROW()-5,1),"")</f>
        <v/>
      </c>
      <c r="B85" s="289" t="str" cm="1">
        <f t="array" ref="B85">IFERROR(INDEX(_xlfn.ANCHORARRAY($R$6),ROW()-5,2),"")</f>
        <v/>
      </c>
      <c r="C85" s="218" t="str">
        <f>IF($A85="","",IF($K85="DIESEL",SUMIFS(Table1[Quantity],Table1[Customer],$P$3,Table1[Date],$A85,Table1[Bill No.],$B85),IF($K85="PETROL",SUMIFS(Table14[Quantity],Table14[Customer],$P$3,Table14[Date],$A85,Table14[Bill No.],$B85),IF($K85="XtraGreen",SUMIFS(Table146[Quantity],Table146[Company],$P$3,Table146[Date],$A85,Table146[Bill No.],$B85),""))))</f>
        <v/>
      </c>
      <c r="D85" s="223" t="str">
        <f>IF($A85="","",IF($K85="DIESEL",AVERAGEIFS(Table1[RSP],Table1[Customer],$P$3,Table1[Date],$A85,Table1[Bill No.],$B85),IF($K85="PETROL",AVERAGEIFS(Table14[RSP],Table14[Customer],$P$3,Table14[Date],$A85,Table14[Bill No.],$B85),IF($K85="XtraGreen",AVERAGEIFS(Table146[RSP],Table146[Company],$P$3,Table146[Date],$A85,Table146[Bill No.],$B85),IFERROR($E85/$C85,"")))))</f>
        <v/>
      </c>
      <c r="E85" s="330" t="str">
        <f>IF($A85="","",IF($K85="DIESEL",SUMIFS(Table1[Amount],Table1[Customer],$P$3,Table1[Date],$A85,Table1[Bill No.],$B85),IF($K85="PETROL",SUMIFS(Table14[Amount],Table14[Customer],$P$3,Table14[Date],$A85,Table14[Bill No.],$B85),IF($K85="XtraGreen",SUMIFS(Table146[Amount],Table146[Company],$P$3,Table146[Date],$A85,Table146[Bill No.],$B85),SUMIFS('Other Sale'!$D:$D,'Other Sale'!$E:$E,$P$3,'Other Sale'!$C:$C,$K85,'Other Sale'!$A:$A,$A85)))))</f>
        <v/>
      </c>
      <c r="F85" s="330" t="str" cm="1">
        <f t="array" ref="F85">IF($A85="","",IF($K85="Payment",IFERROR(INDEX(_xlfn._xlws.FILTER(MasterPaid[Amount Paid],(MasterPaid[Customer]=$P$3)*(MasterPaid[Date]=$A85)),COUNTIFS($A$6:$A85,$A85,$K$6:$K85,"Payment")),0),0))</f>
        <v/>
      </c>
      <c r="G85" s="331" t="s">
        <v>13</v>
      </c>
      <c r="H85" s="331"/>
      <c r="I85" s="330" t="str">
        <f t="shared" si="11"/>
        <v/>
      </c>
      <c r="J85" s="275"/>
      <c r="K85" s="289" t="str" cm="1">
        <f t="array" ref="K85">IFERROR(INDEX(_xlfn.ANCHORARRAY($R$6),ROW()-5,3),"")</f>
        <v/>
      </c>
      <c r="L85" s="430" t="str" cm="1">
        <f t="array" ref="L85">IF(OR($A85="",$J85="",$K85&lt;&gt;"DIESEL"),"",_xlfn.LET(_xlpm.qty,N($C85),_xlpm.pos,IF($J85="UNIT 1",$V$5:$V$54,$AC$5:$AC$54),_xlpm.alo,IF($J85="UNIT 1",$W$5:$W$54,$AD$5:$AD$54),_xlpm.usd,SUMIFS($C$6:$C84,$L$6:$L84,_xlpm.pos&amp;"",$J$6:$J84,$J85),_xlpm.bal,N(_xlpm.alo)-_xlpm.usd,IFERROR(INDEX(_xlfn._xlws.FILTER(_xlpm.pos,(_xlpm.pos&lt;&gt;"")*(_xlpm.qty&gt;0)*(_xlpm.bal&gt;=_xlpm.qty)),1),"")))</f>
        <v/>
      </c>
      <c r="M85" s="290"/>
      <c r="AQ85" s="409"/>
      <c r="AR85" s="410"/>
      <c r="AS85" s="410"/>
      <c r="AT85" s="411"/>
      <c r="AU85" s="412"/>
      <c r="AV85" s="413"/>
      <c r="AW85" s="413"/>
      <c r="AX85" s="413"/>
      <c r="AY85" s="413"/>
      <c r="AZ85" s="413" t="str">
        <f t="shared" si="9"/>
        <v/>
      </c>
      <c r="BB85" s="409"/>
      <c r="BC85" s="410"/>
      <c r="BD85" s="410"/>
      <c r="BE85" s="411"/>
      <c r="BF85" s="412"/>
      <c r="BG85" s="413"/>
      <c r="BH85" s="413"/>
      <c r="BI85" s="413"/>
      <c r="BJ85" s="413"/>
      <c r="BK85" s="413" t="str">
        <f t="shared" si="10"/>
        <v/>
      </c>
    </row>
    <row r="86" spans="1:63" ht="21.75" x14ac:dyDescent="0.25">
      <c r="A86" s="217" t="str" cm="1">
        <f t="array" ref="A86">IFERROR(INDEX(_xlfn.ANCHORARRAY($R$6),ROW()-5,1),"")</f>
        <v/>
      </c>
      <c r="B86" s="289" t="str" cm="1">
        <f t="array" ref="B86">IFERROR(INDEX(_xlfn.ANCHORARRAY($R$6),ROW()-5,2),"")</f>
        <v/>
      </c>
      <c r="C86" s="218" t="str">
        <f>IF($A86="","",IF($K86="DIESEL",SUMIFS(Table1[Quantity],Table1[Customer],$P$3,Table1[Date],$A86,Table1[Bill No.],$B86),IF($K86="PETROL",SUMIFS(Table14[Quantity],Table14[Customer],$P$3,Table14[Date],$A86,Table14[Bill No.],$B86),IF($K86="XtraGreen",SUMIFS(Table146[Quantity],Table146[Company],$P$3,Table146[Date],$A86,Table146[Bill No.],$B86),""))))</f>
        <v/>
      </c>
      <c r="D86" s="223" t="str">
        <f>IF($A86="","",IF($K86="DIESEL",AVERAGEIFS(Table1[RSP],Table1[Customer],$P$3,Table1[Date],$A86,Table1[Bill No.],$B86),IF($K86="PETROL",AVERAGEIFS(Table14[RSP],Table14[Customer],$P$3,Table14[Date],$A86,Table14[Bill No.],$B86),IF($K86="XtraGreen",AVERAGEIFS(Table146[RSP],Table146[Company],$P$3,Table146[Date],$A86,Table146[Bill No.],$B86),IFERROR($E86/$C86,"")))))</f>
        <v/>
      </c>
      <c r="E86" s="330" t="str">
        <f>IF($A86="","",IF($K86="DIESEL",SUMIFS(Table1[Amount],Table1[Customer],$P$3,Table1[Date],$A86,Table1[Bill No.],$B86),IF($K86="PETROL",SUMIFS(Table14[Amount],Table14[Customer],$P$3,Table14[Date],$A86,Table14[Bill No.],$B86),IF($K86="XtraGreen",SUMIFS(Table146[Amount],Table146[Company],$P$3,Table146[Date],$A86,Table146[Bill No.],$B86),SUMIFS('Other Sale'!$D:$D,'Other Sale'!$E:$E,$P$3,'Other Sale'!$C:$C,$K86,'Other Sale'!$A:$A,$A86)))))</f>
        <v/>
      </c>
      <c r="F86" s="330" t="str" cm="1">
        <f t="array" ref="F86">IF($A86="","",IF($K86="Payment",IFERROR(INDEX(_xlfn._xlws.FILTER(MasterPaid[Amount Paid],(MasterPaid[Customer]=$P$3)*(MasterPaid[Date]=$A86)),COUNTIFS($A$6:$A86,$A86,$K$6:$K86,"Payment")),0),0))</f>
        <v/>
      </c>
      <c r="G86" s="331" t="s">
        <v>13</v>
      </c>
      <c r="H86" s="331"/>
      <c r="I86" s="330" t="str">
        <f t="shared" ref="I86:I149" si="12">IF($A86="","",I85+N(E86)-N(F86)-N(G86)-N(H86))</f>
        <v/>
      </c>
      <c r="J86" s="275"/>
      <c r="K86" s="289" t="str" cm="1">
        <f t="array" ref="K86">IFERROR(INDEX(_xlfn.ANCHORARRAY($R$6),ROW()-5,3),"")</f>
        <v/>
      </c>
      <c r="L86" s="430" t="str" cm="1">
        <f t="array" ref="L86">IF(OR($A86="",$J86="",$K86&lt;&gt;"DIESEL"),"",_xlfn.LET(_xlpm.qty,N($C86),_xlpm.pos,IF($J86="UNIT 1",$V$5:$V$54,$AC$5:$AC$54),_xlpm.alo,IF($J86="UNIT 1",$W$5:$W$54,$AD$5:$AD$54),_xlpm.usd,SUMIFS($C$6:$C85,$L$6:$L85,_xlpm.pos&amp;"",$J$6:$J85,$J86),_xlpm.bal,N(_xlpm.alo)-_xlpm.usd,IFERROR(INDEX(_xlfn._xlws.FILTER(_xlpm.pos,(_xlpm.pos&lt;&gt;"")*(_xlpm.qty&gt;0)*(_xlpm.bal&gt;=_xlpm.qty)),1),"")))</f>
        <v/>
      </c>
      <c r="M86" s="290"/>
      <c r="AQ86" s="409"/>
      <c r="AR86" s="410"/>
      <c r="AS86" s="410"/>
      <c r="AT86" s="411"/>
      <c r="AU86" s="412"/>
      <c r="AV86" s="413"/>
      <c r="AW86" s="413"/>
      <c r="AX86" s="413"/>
      <c r="AY86" s="413"/>
      <c r="AZ86" s="413" t="str">
        <f t="shared" si="9"/>
        <v/>
      </c>
      <c r="BB86" s="409"/>
      <c r="BC86" s="410"/>
      <c r="BD86" s="410"/>
      <c r="BE86" s="411"/>
      <c r="BF86" s="412"/>
      <c r="BG86" s="413"/>
      <c r="BH86" s="413"/>
      <c r="BI86" s="413"/>
      <c r="BJ86" s="413"/>
      <c r="BK86" s="413" t="str">
        <f t="shared" si="10"/>
        <v/>
      </c>
    </row>
    <row r="87" spans="1:63" ht="21.75" x14ac:dyDescent="0.25">
      <c r="A87" s="217" t="str" cm="1">
        <f t="array" ref="A87">IFERROR(INDEX(_xlfn.ANCHORARRAY($R$6),ROW()-5,1),"")</f>
        <v/>
      </c>
      <c r="B87" s="289" t="str" cm="1">
        <f t="array" ref="B87">IFERROR(INDEX(_xlfn.ANCHORARRAY($R$6),ROW()-5,2),"")</f>
        <v/>
      </c>
      <c r="C87" s="218" t="str">
        <f>IF($A87="","",IF($K87="DIESEL",SUMIFS(Table1[Quantity],Table1[Customer],$P$3,Table1[Date],$A87,Table1[Bill No.],$B87),IF($K87="PETROL",SUMIFS(Table14[Quantity],Table14[Customer],$P$3,Table14[Date],$A87,Table14[Bill No.],$B87),IF($K87="XtraGreen",SUMIFS(Table146[Quantity],Table146[Company],$P$3,Table146[Date],$A87,Table146[Bill No.],$B87),""))))</f>
        <v/>
      </c>
      <c r="D87" s="223" t="str">
        <f>IF($A87="","",IF($K87="DIESEL",AVERAGEIFS(Table1[RSP],Table1[Customer],$P$3,Table1[Date],$A87,Table1[Bill No.],$B87),IF($K87="PETROL",AVERAGEIFS(Table14[RSP],Table14[Customer],$P$3,Table14[Date],$A87,Table14[Bill No.],$B87),IF($K87="XtraGreen",AVERAGEIFS(Table146[RSP],Table146[Company],$P$3,Table146[Date],$A87,Table146[Bill No.],$B87),IFERROR($E87/$C87,"")))))</f>
        <v/>
      </c>
      <c r="E87" s="330" t="str">
        <f>IF($A87="","",IF($K87="DIESEL",SUMIFS(Table1[Amount],Table1[Customer],$P$3,Table1[Date],$A87,Table1[Bill No.],$B87),IF($K87="PETROL",SUMIFS(Table14[Amount],Table14[Customer],$P$3,Table14[Date],$A87,Table14[Bill No.],$B87),IF($K87="XtraGreen",SUMIFS(Table146[Amount],Table146[Company],$P$3,Table146[Date],$A87,Table146[Bill No.],$B87),SUMIFS('Other Sale'!$D:$D,'Other Sale'!$E:$E,$P$3,'Other Sale'!$C:$C,$K87,'Other Sale'!$A:$A,$A87)))))</f>
        <v/>
      </c>
      <c r="F87" s="330" t="str" cm="1">
        <f t="array" ref="F87">IF($A87="","",IF($K87="Payment",IFERROR(INDEX(_xlfn._xlws.FILTER(MasterPaid[Amount Paid],(MasterPaid[Customer]=$P$3)*(MasterPaid[Date]=$A87)),COUNTIFS($A$6:$A87,$A87,$K$6:$K87,"Payment")),0),0))</f>
        <v/>
      </c>
      <c r="G87" s="331" t="s">
        <v>13</v>
      </c>
      <c r="H87" s="331"/>
      <c r="I87" s="330" t="str">
        <f t="shared" si="12"/>
        <v/>
      </c>
      <c r="J87" s="275"/>
      <c r="K87" s="289" t="str" cm="1">
        <f t="array" ref="K87">IFERROR(INDEX(_xlfn.ANCHORARRAY($R$6),ROW()-5,3),"")</f>
        <v/>
      </c>
      <c r="L87" s="430" t="str" cm="1">
        <f t="array" ref="L87">IF(OR($A87="",$J87="",$K87&lt;&gt;"DIESEL"),"",_xlfn.LET(_xlpm.qty,N($C87),_xlpm.pos,IF($J87="UNIT 1",$V$5:$V$54,$AC$5:$AC$54),_xlpm.alo,IF($J87="UNIT 1",$W$5:$W$54,$AD$5:$AD$54),_xlpm.usd,SUMIFS($C$6:$C86,$L$6:$L86,_xlpm.pos&amp;"",$J$6:$J86,$J87),_xlpm.bal,N(_xlpm.alo)-_xlpm.usd,IFERROR(INDEX(_xlfn._xlws.FILTER(_xlpm.pos,(_xlpm.pos&lt;&gt;"")*(_xlpm.qty&gt;0)*(_xlpm.bal&gt;=_xlpm.qty)),1),"")))</f>
        <v/>
      </c>
      <c r="M87" s="290"/>
      <c r="AQ87" s="409"/>
      <c r="AR87" s="410"/>
      <c r="AS87" s="410"/>
      <c r="AT87" s="411"/>
      <c r="AU87" s="412"/>
      <c r="AV87" s="413"/>
      <c r="AW87" s="413"/>
      <c r="AX87" s="413"/>
      <c r="AY87" s="413"/>
      <c r="AZ87" s="413" t="str">
        <f t="shared" si="9"/>
        <v/>
      </c>
      <c r="BB87" s="409"/>
      <c r="BC87" s="410"/>
      <c r="BD87" s="410"/>
      <c r="BE87" s="411"/>
      <c r="BF87" s="412"/>
      <c r="BG87" s="413"/>
      <c r="BH87" s="413"/>
      <c r="BI87" s="413"/>
      <c r="BJ87" s="413"/>
      <c r="BK87" s="413" t="str">
        <f t="shared" si="10"/>
        <v/>
      </c>
    </row>
    <row r="88" spans="1:63" ht="21.75" x14ac:dyDescent="0.25">
      <c r="A88" s="217" t="str" cm="1">
        <f t="array" ref="A88">IFERROR(INDEX(_xlfn.ANCHORARRAY($R$6),ROW()-5,1),"")</f>
        <v/>
      </c>
      <c r="B88" s="289" t="str" cm="1">
        <f t="array" ref="B88">IFERROR(INDEX(_xlfn.ANCHORARRAY($R$6),ROW()-5,2),"")</f>
        <v/>
      </c>
      <c r="C88" s="218" t="str">
        <f>IF($A88="","",IF($K88="DIESEL",SUMIFS(Table1[Quantity],Table1[Customer],$P$3,Table1[Date],$A88,Table1[Bill No.],$B88),IF($K88="PETROL",SUMIFS(Table14[Quantity],Table14[Customer],$P$3,Table14[Date],$A88,Table14[Bill No.],$B88),IF($K88="XtraGreen",SUMIFS(Table146[Quantity],Table146[Company],$P$3,Table146[Date],$A88,Table146[Bill No.],$B88),""))))</f>
        <v/>
      </c>
      <c r="D88" s="223" t="str">
        <f>IF($A88="","",IF($K88="DIESEL",AVERAGEIFS(Table1[RSP],Table1[Customer],$P$3,Table1[Date],$A88,Table1[Bill No.],$B88),IF($K88="PETROL",AVERAGEIFS(Table14[RSP],Table14[Customer],$P$3,Table14[Date],$A88,Table14[Bill No.],$B88),IF($K88="XtraGreen",AVERAGEIFS(Table146[RSP],Table146[Company],$P$3,Table146[Date],$A88,Table146[Bill No.],$B88),IFERROR($E88/$C88,"")))))</f>
        <v/>
      </c>
      <c r="E88" s="330" t="str">
        <f>IF($A88="","",IF($K88="DIESEL",SUMIFS(Table1[Amount],Table1[Customer],$P$3,Table1[Date],$A88,Table1[Bill No.],$B88),IF($K88="PETROL",SUMIFS(Table14[Amount],Table14[Customer],$P$3,Table14[Date],$A88,Table14[Bill No.],$B88),IF($K88="XtraGreen",SUMIFS(Table146[Amount],Table146[Company],$P$3,Table146[Date],$A88,Table146[Bill No.],$B88),SUMIFS('Other Sale'!$D:$D,'Other Sale'!$E:$E,$P$3,'Other Sale'!$C:$C,$K88,'Other Sale'!$A:$A,$A88)))))</f>
        <v/>
      </c>
      <c r="F88" s="330" t="str" cm="1">
        <f t="array" ref="F88">IF($A88="","",IF($K88="Payment",IFERROR(INDEX(_xlfn._xlws.FILTER(MasterPaid[Amount Paid],(MasterPaid[Customer]=$P$3)*(MasterPaid[Date]=$A88)),COUNTIFS($A$6:$A88,$A88,$K$6:$K88,"Payment")),0),0))</f>
        <v/>
      </c>
      <c r="G88" s="331" t="s">
        <v>13</v>
      </c>
      <c r="H88" s="331"/>
      <c r="I88" s="330" t="str">
        <f t="shared" si="12"/>
        <v/>
      </c>
      <c r="J88" s="275"/>
      <c r="K88" s="289" t="str" cm="1">
        <f t="array" ref="K88">IFERROR(INDEX(_xlfn.ANCHORARRAY($R$6),ROW()-5,3),"")</f>
        <v/>
      </c>
      <c r="L88" s="430" t="str" cm="1">
        <f t="array" ref="L88">IF(OR($A88="",$J88="",$K88&lt;&gt;"DIESEL"),"",_xlfn.LET(_xlpm.qty,N($C88),_xlpm.pos,IF($J88="UNIT 1",$V$5:$V$54,$AC$5:$AC$54),_xlpm.alo,IF($J88="UNIT 1",$W$5:$W$54,$AD$5:$AD$54),_xlpm.usd,SUMIFS($C$6:$C87,$L$6:$L87,_xlpm.pos&amp;"",$J$6:$J87,$J88),_xlpm.bal,N(_xlpm.alo)-_xlpm.usd,IFERROR(INDEX(_xlfn._xlws.FILTER(_xlpm.pos,(_xlpm.pos&lt;&gt;"")*(_xlpm.qty&gt;0)*(_xlpm.bal&gt;=_xlpm.qty)),1),"")))</f>
        <v/>
      </c>
      <c r="M88" s="290"/>
      <c r="AQ88" s="409"/>
      <c r="AR88" s="410"/>
      <c r="AS88" s="410"/>
      <c r="AT88" s="411"/>
      <c r="AU88" s="412"/>
      <c r="AV88" s="413"/>
      <c r="AW88" s="413"/>
      <c r="AX88" s="413"/>
      <c r="AY88" s="413"/>
      <c r="AZ88" s="413" t="str">
        <f t="shared" si="9"/>
        <v/>
      </c>
      <c r="BB88" s="409"/>
      <c r="BC88" s="410"/>
      <c r="BD88" s="410"/>
      <c r="BE88" s="411"/>
      <c r="BF88" s="412"/>
      <c r="BG88" s="413"/>
      <c r="BH88" s="413"/>
      <c r="BI88" s="413"/>
      <c r="BJ88" s="413"/>
      <c r="BK88" s="413" t="str">
        <f t="shared" si="10"/>
        <v/>
      </c>
    </row>
    <row r="89" spans="1:63" ht="21.75" x14ac:dyDescent="0.25">
      <c r="A89" s="217" t="str" cm="1">
        <f t="array" ref="A89">IFERROR(INDEX(_xlfn.ANCHORARRAY($R$6),ROW()-5,1),"")</f>
        <v/>
      </c>
      <c r="B89" s="289" t="str" cm="1">
        <f t="array" ref="B89">IFERROR(INDEX(_xlfn.ANCHORARRAY($R$6),ROW()-5,2),"")</f>
        <v/>
      </c>
      <c r="C89" s="218" t="str">
        <f>IF($A89="","",IF($K89="DIESEL",SUMIFS(Table1[Quantity],Table1[Customer],$P$3,Table1[Date],$A89,Table1[Bill No.],$B89),IF($K89="PETROL",SUMIFS(Table14[Quantity],Table14[Customer],$P$3,Table14[Date],$A89,Table14[Bill No.],$B89),IF($K89="XtraGreen",SUMIFS(Table146[Quantity],Table146[Company],$P$3,Table146[Date],$A89,Table146[Bill No.],$B89),""))))</f>
        <v/>
      </c>
      <c r="D89" s="223" t="str">
        <f>IF($A89="","",IF($K89="DIESEL",AVERAGEIFS(Table1[RSP],Table1[Customer],$P$3,Table1[Date],$A89,Table1[Bill No.],$B89),IF($K89="PETROL",AVERAGEIFS(Table14[RSP],Table14[Customer],$P$3,Table14[Date],$A89,Table14[Bill No.],$B89),IF($K89="XtraGreen",AVERAGEIFS(Table146[RSP],Table146[Company],$P$3,Table146[Date],$A89,Table146[Bill No.],$B89),IFERROR($E89/$C89,"")))))</f>
        <v/>
      </c>
      <c r="E89" s="330" t="str">
        <f>IF($A89="","",IF($K89="DIESEL",SUMIFS(Table1[Amount],Table1[Customer],$P$3,Table1[Date],$A89,Table1[Bill No.],$B89),IF($K89="PETROL",SUMIFS(Table14[Amount],Table14[Customer],$P$3,Table14[Date],$A89,Table14[Bill No.],$B89),IF($K89="XtraGreen",SUMIFS(Table146[Amount],Table146[Company],$P$3,Table146[Date],$A89,Table146[Bill No.],$B89),SUMIFS('Other Sale'!$D:$D,'Other Sale'!$E:$E,$P$3,'Other Sale'!$C:$C,$K89,'Other Sale'!$A:$A,$A89)))))</f>
        <v/>
      </c>
      <c r="F89" s="330" t="str" cm="1">
        <f t="array" ref="F89">IF($A89="","",IF($K89="Payment",IFERROR(INDEX(_xlfn._xlws.FILTER(MasterPaid[Amount Paid],(MasterPaid[Customer]=$P$3)*(MasterPaid[Date]=$A89)),COUNTIFS($A$6:$A89,$A89,$K$6:$K89,"Payment")),0),0))</f>
        <v/>
      </c>
      <c r="G89" s="331" t="s">
        <v>13</v>
      </c>
      <c r="H89" s="331"/>
      <c r="I89" s="330" t="str">
        <f t="shared" si="12"/>
        <v/>
      </c>
      <c r="J89" s="275"/>
      <c r="K89" s="289" t="str" cm="1">
        <f t="array" ref="K89">IFERROR(INDEX(_xlfn.ANCHORARRAY($R$6),ROW()-5,3),"")</f>
        <v/>
      </c>
      <c r="L89" s="430" t="str" cm="1">
        <f t="array" ref="L89">IF(OR($A89="",$J89="",$K89&lt;&gt;"DIESEL"),"",_xlfn.LET(_xlpm.qty,N($C89),_xlpm.pos,IF($J89="UNIT 1",$V$5:$V$54,$AC$5:$AC$54),_xlpm.alo,IF($J89="UNIT 1",$W$5:$W$54,$AD$5:$AD$54),_xlpm.usd,SUMIFS($C$6:$C88,$L$6:$L88,_xlpm.pos&amp;"",$J$6:$J88,$J89),_xlpm.bal,N(_xlpm.alo)-_xlpm.usd,IFERROR(INDEX(_xlfn._xlws.FILTER(_xlpm.pos,(_xlpm.pos&lt;&gt;"")*(_xlpm.qty&gt;0)*(_xlpm.bal&gt;=_xlpm.qty)),1),"")))</f>
        <v/>
      </c>
      <c r="M89" s="290"/>
      <c r="AQ89" s="409"/>
      <c r="AR89" s="410"/>
      <c r="AS89" s="410"/>
      <c r="AT89" s="411"/>
      <c r="AU89" s="412"/>
      <c r="AV89" s="413"/>
      <c r="AW89" s="413"/>
      <c r="AX89" s="413"/>
      <c r="AY89" s="413"/>
      <c r="AZ89" s="413" t="str">
        <f t="shared" si="9"/>
        <v/>
      </c>
      <c r="BB89" s="409"/>
      <c r="BC89" s="410"/>
      <c r="BD89" s="410"/>
      <c r="BE89" s="411"/>
      <c r="BF89" s="412"/>
      <c r="BG89" s="413"/>
      <c r="BH89" s="413"/>
      <c r="BI89" s="413"/>
      <c r="BJ89" s="413"/>
      <c r="BK89" s="413" t="str">
        <f t="shared" si="10"/>
        <v/>
      </c>
    </row>
    <row r="90" spans="1:63" ht="21.75" x14ac:dyDescent="0.25">
      <c r="A90" s="217" t="str" cm="1">
        <f t="array" ref="A90">IFERROR(INDEX(_xlfn.ANCHORARRAY($R$6),ROW()-5,1),"")</f>
        <v/>
      </c>
      <c r="B90" s="289" t="str" cm="1">
        <f t="array" ref="B90">IFERROR(INDEX(_xlfn.ANCHORARRAY($R$6),ROW()-5,2),"")</f>
        <v/>
      </c>
      <c r="C90" s="218" t="str">
        <f>IF($A90="","",IF($K90="DIESEL",SUMIFS(Table1[Quantity],Table1[Customer],$P$3,Table1[Date],$A90,Table1[Bill No.],$B90),IF($K90="PETROL",SUMIFS(Table14[Quantity],Table14[Customer],$P$3,Table14[Date],$A90,Table14[Bill No.],$B90),IF($K90="XtraGreen",SUMIFS(Table146[Quantity],Table146[Company],$P$3,Table146[Date],$A90,Table146[Bill No.],$B90),""))))</f>
        <v/>
      </c>
      <c r="D90" s="223" t="str">
        <f>IF($A90="","",IF($K90="DIESEL",AVERAGEIFS(Table1[RSP],Table1[Customer],$P$3,Table1[Date],$A90,Table1[Bill No.],$B90),IF($K90="PETROL",AVERAGEIFS(Table14[RSP],Table14[Customer],$P$3,Table14[Date],$A90,Table14[Bill No.],$B90),IF($K90="XtraGreen",AVERAGEIFS(Table146[RSP],Table146[Company],$P$3,Table146[Date],$A90,Table146[Bill No.],$B90),IFERROR($E90/$C90,"")))))</f>
        <v/>
      </c>
      <c r="E90" s="330" t="str">
        <f>IF($A90="","",IF($K90="DIESEL",SUMIFS(Table1[Amount],Table1[Customer],$P$3,Table1[Date],$A90,Table1[Bill No.],$B90),IF($K90="PETROL",SUMIFS(Table14[Amount],Table14[Customer],$P$3,Table14[Date],$A90,Table14[Bill No.],$B90),IF($K90="XtraGreen",SUMIFS(Table146[Amount],Table146[Company],$P$3,Table146[Date],$A90,Table146[Bill No.],$B90),SUMIFS('Other Sale'!$D:$D,'Other Sale'!$E:$E,$P$3,'Other Sale'!$C:$C,$K90,'Other Sale'!$A:$A,$A90)))))</f>
        <v/>
      </c>
      <c r="F90" s="330" t="str" cm="1">
        <f t="array" ref="F90">IF($A90="","",IF($K90="Payment",IFERROR(INDEX(_xlfn._xlws.FILTER(MasterPaid[Amount Paid],(MasterPaid[Customer]=$P$3)*(MasterPaid[Date]=$A90)),COUNTIFS($A$6:$A90,$A90,$K$6:$K90,"Payment")),0),0))</f>
        <v/>
      </c>
      <c r="G90" s="331" t="s">
        <v>13</v>
      </c>
      <c r="H90" s="331"/>
      <c r="I90" s="330" t="str">
        <f t="shared" si="12"/>
        <v/>
      </c>
      <c r="J90" s="275"/>
      <c r="K90" s="289" t="str" cm="1">
        <f t="array" ref="K90">IFERROR(INDEX(_xlfn.ANCHORARRAY($R$6),ROW()-5,3),"")</f>
        <v/>
      </c>
      <c r="L90" s="430" t="str" cm="1">
        <f t="array" ref="L90">IF(OR($A90="",$J90="",$K90&lt;&gt;"DIESEL"),"",_xlfn.LET(_xlpm.qty,N($C90),_xlpm.pos,IF($J90="UNIT 1",$V$5:$V$54,$AC$5:$AC$54),_xlpm.alo,IF($J90="UNIT 1",$W$5:$W$54,$AD$5:$AD$54),_xlpm.usd,SUMIFS($C$6:$C89,$L$6:$L89,_xlpm.pos&amp;"",$J$6:$J89,$J90),_xlpm.bal,N(_xlpm.alo)-_xlpm.usd,IFERROR(INDEX(_xlfn._xlws.FILTER(_xlpm.pos,(_xlpm.pos&lt;&gt;"")*(_xlpm.qty&gt;0)*(_xlpm.bal&gt;=_xlpm.qty)),1),"")))</f>
        <v/>
      </c>
      <c r="M90" s="290"/>
      <c r="AQ90" s="409"/>
      <c r="AR90" s="410"/>
      <c r="AS90" s="410"/>
      <c r="AT90" s="411"/>
      <c r="AU90" s="412"/>
      <c r="AV90" s="413"/>
      <c r="AW90" s="413"/>
      <c r="AX90" s="413"/>
      <c r="AY90" s="413"/>
      <c r="AZ90" s="413" t="str">
        <f t="shared" si="9"/>
        <v/>
      </c>
      <c r="BB90" s="409"/>
      <c r="BC90" s="410"/>
      <c r="BD90" s="410"/>
      <c r="BE90" s="411"/>
      <c r="BF90" s="412"/>
      <c r="BG90" s="413"/>
      <c r="BH90" s="413"/>
      <c r="BI90" s="413"/>
      <c r="BJ90" s="413"/>
      <c r="BK90" s="413" t="str">
        <f t="shared" si="10"/>
        <v/>
      </c>
    </row>
    <row r="91" spans="1:63" ht="21.75" x14ac:dyDescent="0.25">
      <c r="A91" s="217" t="str" cm="1">
        <f t="array" ref="A91">IFERROR(INDEX(_xlfn.ANCHORARRAY($R$6),ROW()-5,1),"")</f>
        <v/>
      </c>
      <c r="B91" s="289" t="str" cm="1">
        <f t="array" ref="B91">IFERROR(INDEX(_xlfn.ANCHORARRAY($R$6),ROW()-5,2),"")</f>
        <v/>
      </c>
      <c r="C91" s="218" t="str">
        <f>IF($A91="","",IF($K91="DIESEL",SUMIFS(Table1[Quantity],Table1[Customer],$P$3,Table1[Date],$A91,Table1[Bill No.],$B91),IF($K91="PETROL",SUMIFS(Table14[Quantity],Table14[Customer],$P$3,Table14[Date],$A91,Table14[Bill No.],$B91),IF($K91="XtraGreen",SUMIFS(Table146[Quantity],Table146[Company],$P$3,Table146[Date],$A91,Table146[Bill No.],$B91),""))))</f>
        <v/>
      </c>
      <c r="D91" s="223" t="str">
        <f>IF($A91="","",IF($K91="DIESEL",AVERAGEIFS(Table1[RSP],Table1[Customer],$P$3,Table1[Date],$A91,Table1[Bill No.],$B91),IF($K91="PETROL",AVERAGEIFS(Table14[RSP],Table14[Customer],$P$3,Table14[Date],$A91,Table14[Bill No.],$B91),IF($K91="XtraGreen",AVERAGEIFS(Table146[RSP],Table146[Company],$P$3,Table146[Date],$A91,Table146[Bill No.],$B91),IFERROR($E91/$C91,"")))))</f>
        <v/>
      </c>
      <c r="E91" s="330" t="str">
        <f>IF($A91="","",IF($K91="DIESEL",SUMIFS(Table1[Amount],Table1[Customer],$P$3,Table1[Date],$A91,Table1[Bill No.],$B91),IF($K91="PETROL",SUMIFS(Table14[Amount],Table14[Customer],$P$3,Table14[Date],$A91,Table14[Bill No.],$B91),IF($K91="XtraGreen",SUMIFS(Table146[Amount],Table146[Company],$P$3,Table146[Date],$A91,Table146[Bill No.],$B91),SUMIFS('Other Sale'!$D:$D,'Other Sale'!$E:$E,$P$3,'Other Sale'!$C:$C,$K91,'Other Sale'!$A:$A,$A91)))))</f>
        <v/>
      </c>
      <c r="F91" s="330" t="str" cm="1">
        <f t="array" ref="F91">IF($A91="","",IF($K91="Payment",IFERROR(INDEX(_xlfn._xlws.FILTER(MasterPaid[Amount Paid],(MasterPaid[Customer]=$P$3)*(MasterPaid[Date]=$A91)),COUNTIFS($A$6:$A91,$A91,$K$6:$K91,"Payment")),0),0))</f>
        <v/>
      </c>
      <c r="G91" s="331" t="s">
        <v>13</v>
      </c>
      <c r="H91" s="331"/>
      <c r="I91" s="330" t="str">
        <f t="shared" si="12"/>
        <v/>
      </c>
      <c r="J91" s="275"/>
      <c r="K91" s="289" t="str" cm="1">
        <f t="array" ref="K91">IFERROR(INDEX(_xlfn.ANCHORARRAY($R$6),ROW()-5,3),"")</f>
        <v/>
      </c>
      <c r="L91" s="430" t="str" cm="1">
        <f t="array" ref="L91">IF(OR($A91="",$J91="",$K91&lt;&gt;"DIESEL"),"",_xlfn.LET(_xlpm.qty,N($C91),_xlpm.pos,IF($J91="UNIT 1",$V$5:$V$54,$AC$5:$AC$54),_xlpm.alo,IF($J91="UNIT 1",$W$5:$W$54,$AD$5:$AD$54),_xlpm.usd,SUMIFS($C$6:$C90,$L$6:$L90,_xlpm.pos&amp;"",$J$6:$J90,$J91),_xlpm.bal,N(_xlpm.alo)-_xlpm.usd,IFERROR(INDEX(_xlfn._xlws.FILTER(_xlpm.pos,(_xlpm.pos&lt;&gt;"")*(_xlpm.qty&gt;0)*(_xlpm.bal&gt;=_xlpm.qty)),1),"")))</f>
        <v/>
      </c>
      <c r="M91" s="290"/>
      <c r="AQ91" s="409"/>
      <c r="AR91" s="410"/>
      <c r="AS91" s="410"/>
      <c r="AT91" s="411"/>
      <c r="AU91" s="412"/>
      <c r="AV91" s="413"/>
      <c r="AW91" s="413"/>
      <c r="AX91" s="413"/>
      <c r="AY91" s="413"/>
      <c r="AZ91" s="413" t="str">
        <f t="shared" si="9"/>
        <v/>
      </c>
      <c r="BB91" s="409"/>
      <c r="BC91" s="410"/>
      <c r="BD91" s="410"/>
      <c r="BE91" s="411"/>
      <c r="BF91" s="412"/>
      <c r="BG91" s="413"/>
      <c r="BH91" s="413"/>
      <c r="BI91" s="413"/>
      <c r="BJ91" s="413"/>
      <c r="BK91" s="413" t="str">
        <f t="shared" si="10"/>
        <v/>
      </c>
    </row>
    <row r="92" spans="1:63" ht="21.75" x14ac:dyDescent="0.25">
      <c r="A92" s="217" t="str" cm="1">
        <f t="array" ref="A92">IFERROR(INDEX(_xlfn.ANCHORARRAY($R$6),ROW()-5,1),"")</f>
        <v/>
      </c>
      <c r="B92" s="289" t="str" cm="1">
        <f t="array" ref="B92">IFERROR(INDEX(_xlfn.ANCHORARRAY($R$6),ROW()-5,2),"")</f>
        <v/>
      </c>
      <c r="C92" s="218" t="str">
        <f>IF($A92="","",IF($K92="DIESEL",SUMIFS(Table1[Quantity],Table1[Customer],$P$3,Table1[Date],$A92,Table1[Bill No.],$B92),IF($K92="PETROL",SUMIFS(Table14[Quantity],Table14[Customer],$P$3,Table14[Date],$A92,Table14[Bill No.],$B92),IF($K92="XtraGreen",SUMIFS(Table146[Quantity],Table146[Company],$P$3,Table146[Date],$A92,Table146[Bill No.],$B92),""))))</f>
        <v/>
      </c>
      <c r="D92" s="223" t="str">
        <f>IF($A92="","",IF($K92="DIESEL",AVERAGEIFS(Table1[RSP],Table1[Customer],$P$3,Table1[Date],$A92,Table1[Bill No.],$B92),IF($K92="PETROL",AVERAGEIFS(Table14[RSP],Table14[Customer],$P$3,Table14[Date],$A92,Table14[Bill No.],$B92),IF($K92="XtraGreen",AVERAGEIFS(Table146[RSP],Table146[Company],$P$3,Table146[Date],$A92,Table146[Bill No.],$B92),IFERROR($E92/$C92,"")))))</f>
        <v/>
      </c>
      <c r="E92" s="330" t="str">
        <f>IF($A92="","",IF($K92="DIESEL",SUMIFS(Table1[Amount],Table1[Customer],$P$3,Table1[Date],$A92,Table1[Bill No.],$B92),IF($K92="PETROL",SUMIFS(Table14[Amount],Table14[Customer],$P$3,Table14[Date],$A92,Table14[Bill No.],$B92),IF($K92="XtraGreen",SUMIFS(Table146[Amount],Table146[Company],$P$3,Table146[Date],$A92,Table146[Bill No.],$B92),SUMIFS('Other Sale'!$D:$D,'Other Sale'!$E:$E,$P$3,'Other Sale'!$C:$C,$K92,'Other Sale'!$A:$A,$A92)))))</f>
        <v/>
      </c>
      <c r="F92" s="330" t="str" cm="1">
        <f t="array" ref="F92">IF($A92="","",IF($K92="Payment",IFERROR(INDEX(_xlfn._xlws.FILTER(MasterPaid[Amount Paid],(MasterPaid[Customer]=$P$3)*(MasterPaid[Date]=$A92)),COUNTIFS($A$6:$A92,$A92,$K$6:$K92,"Payment")),0),0))</f>
        <v/>
      </c>
      <c r="G92" s="331" t="s">
        <v>13</v>
      </c>
      <c r="H92" s="331"/>
      <c r="I92" s="330" t="str">
        <f t="shared" si="12"/>
        <v/>
      </c>
      <c r="J92" s="275"/>
      <c r="K92" s="289" t="str" cm="1">
        <f t="array" ref="K92">IFERROR(INDEX(_xlfn.ANCHORARRAY($R$6),ROW()-5,3),"")</f>
        <v/>
      </c>
      <c r="L92" s="430" t="str" cm="1">
        <f t="array" ref="L92">IF(OR($A92="",$J92="",$K92&lt;&gt;"DIESEL"),"",_xlfn.LET(_xlpm.qty,N($C92),_xlpm.pos,IF($J92="UNIT 1",$V$5:$V$54,$AC$5:$AC$54),_xlpm.alo,IF($J92="UNIT 1",$W$5:$W$54,$AD$5:$AD$54),_xlpm.usd,SUMIFS($C$6:$C91,$L$6:$L91,_xlpm.pos&amp;"",$J$6:$J91,$J92),_xlpm.bal,N(_xlpm.alo)-_xlpm.usd,IFERROR(INDEX(_xlfn._xlws.FILTER(_xlpm.pos,(_xlpm.pos&lt;&gt;"")*(_xlpm.qty&gt;0)*(_xlpm.bal&gt;=_xlpm.qty)),1),"")))</f>
        <v/>
      </c>
      <c r="M92" s="290"/>
      <c r="AQ92" s="409"/>
      <c r="AR92" s="410"/>
      <c r="AS92" s="410"/>
      <c r="AT92" s="411"/>
      <c r="AU92" s="412"/>
      <c r="AV92" s="413"/>
      <c r="AW92" s="413"/>
      <c r="AX92" s="413"/>
      <c r="AY92" s="413"/>
      <c r="AZ92" s="413" t="str">
        <f t="shared" si="9"/>
        <v/>
      </c>
      <c r="BB92" s="409"/>
      <c r="BC92" s="410"/>
      <c r="BD92" s="410"/>
      <c r="BE92" s="411"/>
      <c r="BF92" s="412"/>
      <c r="BG92" s="413"/>
      <c r="BH92" s="413"/>
      <c r="BI92" s="413"/>
      <c r="BJ92" s="413"/>
      <c r="BK92" s="413" t="str">
        <f t="shared" si="10"/>
        <v/>
      </c>
    </row>
    <row r="93" spans="1:63" ht="21.75" x14ac:dyDescent="0.25">
      <c r="A93" s="217" t="str" cm="1">
        <f t="array" ref="A93">IFERROR(INDEX(_xlfn.ANCHORARRAY($R$6),ROW()-5,1),"")</f>
        <v/>
      </c>
      <c r="B93" s="289" t="str" cm="1">
        <f t="array" ref="B93">IFERROR(INDEX(_xlfn.ANCHORARRAY($R$6),ROW()-5,2),"")</f>
        <v/>
      </c>
      <c r="C93" s="218" t="str">
        <f>IF($A93="","",IF($K93="DIESEL",SUMIFS(Table1[Quantity],Table1[Customer],$P$3,Table1[Date],$A93,Table1[Bill No.],$B93),IF($K93="PETROL",SUMIFS(Table14[Quantity],Table14[Customer],$P$3,Table14[Date],$A93,Table14[Bill No.],$B93),IF($K93="XtraGreen",SUMIFS(Table146[Quantity],Table146[Company],$P$3,Table146[Date],$A93,Table146[Bill No.],$B93),""))))</f>
        <v/>
      </c>
      <c r="D93" s="223" t="str">
        <f>IF($A93="","",IF($K93="DIESEL",AVERAGEIFS(Table1[RSP],Table1[Customer],$P$3,Table1[Date],$A93,Table1[Bill No.],$B93),IF($K93="PETROL",AVERAGEIFS(Table14[RSP],Table14[Customer],$P$3,Table14[Date],$A93,Table14[Bill No.],$B93),IF($K93="XtraGreen",AVERAGEIFS(Table146[RSP],Table146[Company],$P$3,Table146[Date],$A93,Table146[Bill No.],$B93),IFERROR($E93/$C93,"")))))</f>
        <v/>
      </c>
      <c r="E93" s="330" t="str">
        <f>IF($A93="","",IF($K93="DIESEL",SUMIFS(Table1[Amount],Table1[Customer],$P$3,Table1[Date],$A93,Table1[Bill No.],$B93),IF($K93="PETROL",SUMIFS(Table14[Amount],Table14[Customer],$P$3,Table14[Date],$A93,Table14[Bill No.],$B93),IF($K93="XtraGreen",SUMIFS(Table146[Amount],Table146[Company],$P$3,Table146[Date],$A93,Table146[Bill No.],$B93),SUMIFS('Other Sale'!$D:$D,'Other Sale'!$E:$E,$P$3,'Other Sale'!$C:$C,$K93,'Other Sale'!$A:$A,$A93)))))</f>
        <v/>
      </c>
      <c r="F93" s="330" t="str" cm="1">
        <f t="array" ref="F93">IF($A93="","",IF($K93="Payment",IFERROR(INDEX(_xlfn._xlws.FILTER(MasterPaid[Amount Paid],(MasterPaid[Customer]=$P$3)*(MasterPaid[Date]=$A93)),COUNTIFS($A$6:$A93,$A93,$K$6:$K93,"Payment")),0),0))</f>
        <v/>
      </c>
      <c r="G93" s="331" t="s">
        <v>13</v>
      </c>
      <c r="H93" s="331"/>
      <c r="I93" s="330" t="str">
        <f t="shared" si="12"/>
        <v/>
      </c>
      <c r="J93" s="275"/>
      <c r="K93" s="289" t="str" cm="1">
        <f t="array" ref="K93">IFERROR(INDEX(_xlfn.ANCHORARRAY($R$6),ROW()-5,3),"")</f>
        <v/>
      </c>
      <c r="L93" s="430" t="str" cm="1">
        <f t="array" ref="L93">IF(OR($A93="",$J93="",$K93&lt;&gt;"DIESEL"),"",_xlfn.LET(_xlpm.qty,N($C93),_xlpm.pos,IF($J93="UNIT 1",$V$5:$V$54,$AC$5:$AC$54),_xlpm.alo,IF($J93="UNIT 1",$W$5:$W$54,$AD$5:$AD$54),_xlpm.usd,SUMIFS($C$6:$C92,$L$6:$L92,_xlpm.pos&amp;"",$J$6:$J92,$J93),_xlpm.bal,N(_xlpm.alo)-_xlpm.usd,IFERROR(INDEX(_xlfn._xlws.FILTER(_xlpm.pos,(_xlpm.pos&lt;&gt;"")*(_xlpm.qty&gt;0)*(_xlpm.bal&gt;=_xlpm.qty)),1),"")))</f>
        <v/>
      </c>
      <c r="M93" s="290"/>
      <c r="AQ93" s="409"/>
      <c r="AR93" s="410"/>
      <c r="AS93" s="410"/>
      <c r="AT93" s="411"/>
      <c r="AU93" s="412"/>
      <c r="AV93" s="413"/>
      <c r="AW93" s="413"/>
      <c r="AX93" s="413"/>
      <c r="AY93" s="413"/>
      <c r="AZ93" s="413" t="str">
        <f t="shared" si="9"/>
        <v/>
      </c>
      <c r="BB93" s="409"/>
      <c r="BC93" s="410"/>
      <c r="BD93" s="410"/>
      <c r="BE93" s="411"/>
      <c r="BF93" s="412"/>
      <c r="BG93" s="413"/>
      <c r="BH93" s="413"/>
      <c r="BI93" s="413"/>
      <c r="BJ93" s="413"/>
      <c r="BK93" s="413" t="str">
        <f t="shared" si="10"/>
        <v/>
      </c>
    </row>
    <row r="94" spans="1:63" ht="21.75" x14ac:dyDescent="0.25">
      <c r="A94" s="217" t="str" cm="1">
        <f t="array" ref="A94">IFERROR(INDEX(_xlfn.ANCHORARRAY($R$6),ROW()-5,1),"")</f>
        <v/>
      </c>
      <c r="B94" s="289" t="str" cm="1">
        <f t="array" ref="B94">IFERROR(INDEX(_xlfn.ANCHORARRAY($R$6),ROW()-5,2),"")</f>
        <v/>
      </c>
      <c r="C94" s="218" t="str">
        <f>IF($A94="","",IF($K94="DIESEL",SUMIFS(Table1[Quantity],Table1[Customer],$P$3,Table1[Date],$A94,Table1[Bill No.],$B94),IF($K94="PETROL",SUMIFS(Table14[Quantity],Table14[Customer],$P$3,Table14[Date],$A94,Table14[Bill No.],$B94),IF($K94="XtraGreen",SUMIFS(Table146[Quantity],Table146[Company],$P$3,Table146[Date],$A94,Table146[Bill No.],$B94),""))))</f>
        <v/>
      </c>
      <c r="D94" s="223" t="str">
        <f>IF($A94="","",IF($K94="DIESEL",AVERAGEIFS(Table1[RSP],Table1[Customer],$P$3,Table1[Date],$A94,Table1[Bill No.],$B94),IF($K94="PETROL",AVERAGEIFS(Table14[RSP],Table14[Customer],$P$3,Table14[Date],$A94,Table14[Bill No.],$B94),IF($K94="XtraGreen",AVERAGEIFS(Table146[RSP],Table146[Company],$P$3,Table146[Date],$A94,Table146[Bill No.],$B94),IFERROR($E94/$C94,"")))))</f>
        <v/>
      </c>
      <c r="E94" s="330" t="str">
        <f>IF($A94="","",IF($K94="DIESEL",SUMIFS(Table1[Amount],Table1[Customer],$P$3,Table1[Date],$A94,Table1[Bill No.],$B94),IF($K94="PETROL",SUMIFS(Table14[Amount],Table14[Customer],$P$3,Table14[Date],$A94,Table14[Bill No.],$B94),IF($K94="XtraGreen",SUMIFS(Table146[Amount],Table146[Company],$P$3,Table146[Date],$A94,Table146[Bill No.],$B94),SUMIFS('Other Sale'!$D:$D,'Other Sale'!$E:$E,$P$3,'Other Sale'!$C:$C,$K94,'Other Sale'!$A:$A,$A94)))))</f>
        <v/>
      </c>
      <c r="F94" s="330" t="str" cm="1">
        <f t="array" ref="F94">IF($A94="","",IF($K94="Payment",IFERROR(INDEX(_xlfn._xlws.FILTER(MasterPaid[Amount Paid],(MasterPaid[Customer]=$P$3)*(MasterPaid[Date]=$A94)),COUNTIFS($A$6:$A94,$A94,$K$6:$K94,"Payment")),0),0))</f>
        <v/>
      </c>
      <c r="G94" s="331" t="s">
        <v>13</v>
      </c>
      <c r="H94" s="331"/>
      <c r="I94" s="330" t="str">
        <f t="shared" si="12"/>
        <v/>
      </c>
      <c r="J94" s="275"/>
      <c r="K94" s="289" t="str" cm="1">
        <f t="array" ref="K94">IFERROR(INDEX(_xlfn.ANCHORARRAY($R$6),ROW()-5,3),"")</f>
        <v/>
      </c>
      <c r="L94" s="430" t="str" cm="1">
        <f t="array" ref="L94">IF(OR($A94="",$J94="",$K94&lt;&gt;"DIESEL"),"",_xlfn.LET(_xlpm.qty,N($C94),_xlpm.pos,IF($J94="UNIT 1",$V$5:$V$54,$AC$5:$AC$54),_xlpm.alo,IF($J94="UNIT 1",$W$5:$W$54,$AD$5:$AD$54),_xlpm.usd,SUMIFS($C$6:$C93,$L$6:$L93,_xlpm.pos&amp;"",$J$6:$J93,$J94),_xlpm.bal,N(_xlpm.alo)-_xlpm.usd,IFERROR(INDEX(_xlfn._xlws.FILTER(_xlpm.pos,(_xlpm.pos&lt;&gt;"")*(_xlpm.qty&gt;0)*(_xlpm.bal&gt;=_xlpm.qty)),1),"")))</f>
        <v/>
      </c>
      <c r="M94" s="290"/>
      <c r="AQ94" s="409"/>
      <c r="AR94" s="410"/>
      <c r="AS94" s="410"/>
      <c r="AT94" s="411"/>
      <c r="AU94" s="412"/>
      <c r="AV94" s="413"/>
      <c r="AW94" s="413"/>
      <c r="AX94" s="413"/>
      <c r="AY94" s="413"/>
      <c r="AZ94" s="413" t="str">
        <f t="shared" si="9"/>
        <v/>
      </c>
      <c r="BB94" s="409"/>
      <c r="BC94" s="410"/>
      <c r="BD94" s="410"/>
      <c r="BE94" s="411"/>
      <c r="BF94" s="412"/>
      <c r="BG94" s="413"/>
      <c r="BH94" s="413"/>
      <c r="BI94" s="413"/>
      <c r="BJ94" s="413"/>
      <c r="BK94" s="413" t="str">
        <f t="shared" si="10"/>
        <v/>
      </c>
    </row>
    <row r="95" spans="1:63" ht="21.75" x14ac:dyDescent="0.25">
      <c r="A95" s="217" t="str" cm="1">
        <f t="array" ref="A95">IFERROR(INDEX(_xlfn.ANCHORARRAY($R$6),ROW()-5,1),"")</f>
        <v/>
      </c>
      <c r="B95" s="289" t="str" cm="1">
        <f t="array" ref="B95">IFERROR(INDEX(_xlfn.ANCHORARRAY($R$6),ROW()-5,2),"")</f>
        <v/>
      </c>
      <c r="C95" s="218" t="str">
        <f>IF($A95="","",IF($K95="DIESEL",SUMIFS(Table1[Quantity],Table1[Customer],$P$3,Table1[Date],$A95,Table1[Bill No.],$B95),IF($K95="PETROL",SUMIFS(Table14[Quantity],Table14[Customer],$P$3,Table14[Date],$A95,Table14[Bill No.],$B95),IF($K95="XtraGreen",SUMIFS(Table146[Quantity],Table146[Company],$P$3,Table146[Date],$A95,Table146[Bill No.],$B95),""))))</f>
        <v/>
      </c>
      <c r="D95" s="223" t="str">
        <f>IF($A95="","",IF($K95="DIESEL",AVERAGEIFS(Table1[RSP],Table1[Customer],$P$3,Table1[Date],$A95,Table1[Bill No.],$B95),IF($K95="PETROL",AVERAGEIFS(Table14[RSP],Table14[Customer],$P$3,Table14[Date],$A95,Table14[Bill No.],$B95),IF($K95="XtraGreen",AVERAGEIFS(Table146[RSP],Table146[Company],$P$3,Table146[Date],$A95,Table146[Bill No.],$B95),IFERROR($E95/$C95,"")))))</f>
        <v/>
      </c>
      <c r="E95" s="330" t="str">
        <f>IF($A95="","",IF($K95="DIESEL",SUMIFS(Table1[Amount],Table1[Customer],$P$3,Table1[Date],$A95,Table1[Bill No.],$B95),IF($K95="PETROL",SUMIFS(Table14[Amount],Table14[Customer],$P$3,Table14[Date],$A95,Table14[Bill No.],$B95),IF($K95="XtraGreen",SUMIFS(Table146[Amount],Table146[Company],$P$3,Table146[Date],$A95,Table146[Bill No.],$B95),SUMIFS('Other Sale'!$D:$D,'Other Sale'!$E:$E,$P$3,'Other Sale'!$C:$C,$K95,'Other Sale'!$A:$A,$A95)))))</f>
        <v/>
      </c>
      <c r="F95" s="330" t="str" cm="1">
        <f t="array" ref="F95">IF($A95="","",IF($K95="Payment",IFERROR(INDEX(_xlfn._xlws.FILTER(MasterPaid[Amount Paid],(MasterPaid[Customer]=$P$3)*(MasterPaid[Date]=$A95)),COUNTIFS($A$6:$A95,$A95,$K$6:$K95,"Payment")),0),0))</f>
        <v/>
      </c>
      <c r="G95" s="331" t="s">
        <v>13</v>
      </c>
      <c r="H95" s="331"/>
      <c r="I95" s="330" t="str">
        <f t="shared" si="12"/>
        <v/>
      </c>
      <c r="J95" s="275"/>
      <c r="K95" s="289" t="str" cm="1">
        <f t="array" ref="K95">IFERROR(INDEX(_xlfn.ANCHORARRAY($R$6),ROW()-5,3),"")</f>
        <v/>
      </c>
      <c r="L95" s="430" t="str" cm="1">
        <f t="array" ref="L95">IF(OR($A95="",$J95="",$K95&lt;&gt;"DIESEL"),"",_xlfn.LET(_xlpm.qty,N($C95),_xlpm.pos,IF($J95="UNIT 1",$V$5:$V$54,$AC$5:$AC$54),_xlpm.alo,IF($J95="UNIT 1",$W$5:$W$54,$AD$5:$AD$54),_xlpm.usd,SUMIFS($C$6:$C94,$L$6:$L94,_xlpm.pos&amp;"",$J$6:$J94,$J95),_xlpm.bal,N(_xlpm.alo)-_xlpm.usd,IFERROR(INDEX(_xlfn._xlws.FILTER(_xlpm.pos,(_xlpm.pos&lt;&gt;"")*(_xlpm.qty&gt;0)*(_xlpm.bal&gt;=_xlpm.qty)),1),"")))</f>
        <v/>
      </c>
      <c r="M95" s="290"/>
      <c r="AQ95" s="409"/>
      <c r="AR95" s="410"/>
      <c r="AS95" s="410"/>
      <c r="AT95" s="411"/>
      <c r="AU95" s="412"/>
      <c r="AV95" s="413"/>
      <c r="AW95" s="413"/>
      <c r="AX95" s="413"/>
      <c r="AY95" s="413"/>
      <c r="AZ95" s="413" t="str">
        <f t="shared" si="9"/>
        <v/>
      </c>
      <c r="BB95" s="409"/>
      <c r="BC95" s="410"/>
      <c r="BD95" s="410"/>
      <c r="BE95" s="411"/>
      <c r="BF95" s="412"/>
      <c r="BG95" s="413"/>
      <c r="BH95" s="413"/>
      <c r="BI95" s="413"/>
      <c r="BJ95" s="413"/>
      <c r="BK95" s="413" t="str">
        <f t="shared" si="10"/>
        <v/>
      </c>
    </row>
    <row r="96" spans="1:63" ht="21.75" x14ac:dyDescent="0.25">
      <c r="A96" s="217" t="str" cm="1">
        <f t="array" ref="A96">IFERROR(INDEX(_xlfn.ANCHORARRAY($R$6),ROW()-5,1),"")</f>
        <v/>
      </c>
      <c r="B96" s="289" t="str" cm="1">
        <f t="array" ref="B96">IFERROR(INDEX(_xlfn.ANCHORARRAY($R$6),ROW()-5,2),"")</f>
        <v/>
      </c>
      <c r="C96" s="218" t="str">
        <f>IF($A96="","",IF($K96="DIESEL",SUMIFS(Table1[Quantity],Table1[Customer],$P$3,Table1[Date],$A96,Table1[Bill No.],$B96),IF($K96="PETROL",SUMIFS(Table14[Quantity],Table14[Customer],$P$3,Table14[Date],$A96,Table14[Bill No.],$B96),IF($K96="XtraGreen",SUMIFS(Table146[Quantity],Table146[Company],$P$3,Table146[Date],$A96,Table146[Bill No.],$B96),""))))</f>
        <v/>
      </c>
      <c r="D96" s="223" t="str">
        <f>IF($A96="","",IF($K96="DIESEL",AVERAGEIFS(Table1[RSP],Table1[Customer],$P$3,Table1[Date],$A96,Table1[Bill No.],$B96),IF($K96="PETROL",AVERAGEIFS(Table14[RSP],Table14[Customer],$P$3,Table14[Date],$A96,Table14[Bill No.],$B96),IF($K96="XtraGreen",AVERAGEIFS(Table146[RSP],Table146[Company],$P$3,Table146[Date],$A96,Table146[Bill No.],$B96),IFERROR($E96/$C96,"")))))</f>
        <v/>
      </c>
      <c r="E96" s="330" t="str">
        <f>IF($A96="","",IF($K96="DIESEL",SUMIFS(Table1[Amount],Table1[Customer],$P$3,Table1[Date],$A96,Table1[Bill No.],$B96),IF($K96="PETROL",SUMIFS(Table14[Amount],Table14[Customer],$P$3,Table14[Date],$A96,Table14[Bill No.],$B96),IF($K96="XtraGreen",SUMIFS(Table146[Amount],Table146[Company],$P$3,Table146[Date],$A96,Table146[Bill No.],$B96),SUMIFS('Other Sale'!$D:$D,'Other Sale'!$E:$E,$P$3,'Other Sale'!$C:$C,$K96,'Other Sale'!$A:$A,$A96)))))</f>
        <v/>
      </c>
      <c r="F96" s="330" t="str" cm="1">
        <f t="array" ref="F96">IF($A96="","",IF($K96="Payment",IFERROR(INDEX(_xlfn._xlws.FILTER(MasterPaid[Amount Paid],(MasterPaid[Customer]=$P$3)*(MasterPaid[Date]=$A96)),COUNTIFS($A$6:$A96,$A96,$K$6:$K96,"Payment")),0),0))</f>
        <v/>
      </c>
      <c r="G96" s="331" t="s">
        <v>13</v>
      </c>
      <c r="H96" s="331"/>
      <c r="I96" s="330" t="str">
        <f t="shared" si="12"/>
        <v/>
      </c>
      <c r="J96" s="275"/>
      <c r="K96" s="289" t="str" cm="1">
        <f t="array" ref="K96">IFERROR(INDEX(_xlfn.ANCHORARRAY($R$6),ROW()-5,3),"")</f>
        <v/>
      </c>
      <c r="L96" s="430" t="str" cm="1">
        <f t="array" ref="L96">IF(OR($A96="",$J96="",$K96&lt;&gt;"DIESEL"),"",_xlfn.LET(_xlpm.qty,N($C96),_xlpm.pos,IF($J96="UNIT 1",$V$5:$V$54,$AC$5:$AC$54),_xlpm.alo,IF($J96="UNIT 1",$W$5:$W$54,$AD$5:$AD$54),_xlpm.usd,SUMIFS($C$6:$C95,$L$6:$L95,_xlpm.pos&amp;"",$J$6:$J95,$J96),_xlpm.bal,N(_xlpm.alo)-_xlpm.usd,IFERROR(INDEX(_xlfn._xlws.FILTER(_xlpm.pos,(_xlpm.pos&lt;&gt;"")*(_xlpm.qty&gt;0)*(_xlpm.bal&gt;=_xlpm.qty)),1),"")))</f>
        <v/>
      </c>
      <c r="M96" s="290"/>
      <c r="AQ96" s="409"/>
      <c r="AR96" s="410"/>
      <c r="AS96" s="410"/>
      <c r="AT96" s="411"/>
      <c r="AU96" s="412"/>
      <c r="AV96" s="413"/>
      <c r="AW96" s="413"/>
      <c r="AX96" s="413"/>
      <c r="AY96" s="413"/>
      <c r="AZ96" s="413" t="str">
        <f t="shared" si="9"/>
        <v/>
      </c>
      <c r="BB96" s="409"/>
      <c r="BC96" s="410"/>
      <c r="BD96" s="410"/>
      <c r="BE96" s="411"/>
      <c r="BF96" s="412"/>
      <c r="BG96" s="413"/>
      <c r="BH96" s="413"/>
      <c r="BI96" s="413"/>
      <c r="BJ96" s="413"/>
      <c r="BK96" s="413" t="str">
        <f t="shared" si="10"/>
        <v/>
      </c>
    </row>
    <row r="97" spans="1:63" ht="23" x14ac:dyDescent="0.25">
      <c r="A97" s="217" t="str" cm="1">
        <f t="array" ref="A97">IFERROR(INDEX(_xlfn.ANCHORARRAY($R$6),ROW()-5,1),"")</f>
        <v/>
      </c>
      <c r="B97" s="289" t="str" cm="1">
        <f t="array" ref="B97">IFERROR(INDEX(_xlfn.ANCHORARRAY($R$6),ROW()-5,2),"")</f>
        <v/>
      </c>
      <c r="C97" s="218" t="str">
        <f>IF($A97="","",IF($K97="DIESEL",SUMIFS(Table1[Quantity],Table1[Customer],$P$3,Table1[Date],$A97,Table1[Bill No.],$B97),IF($K97="PETROL",SUMIFS(Table14[Quantity],Table14[Customer],$P$3,Table14[Date],$A97,Table14[Bill No.],$B97),IF($K97="XtraGreen",SUMIFS(Table146[Quantity],Table146[Company],$P$3,Table146[Date],$A97,Table146[Bill No.],$B97),""))))</f>
        <v/>
      </c>
      <c r="D97" s="223" t="str">
        <f>IF($A97="","",IF($K97="DIESEL",AVERAGEIFS(Table1[RSP],Table1[Customer],$P$3,Table1[Date],$A97,Table1[Bill No.],$B97),IF($K97="PETROL",AVERAGEIFS(Table14[RSP],Table14[Customer],$P$3,Table14[Date],$A97,Table14[Bill No.],$B97),IF($K97="XtraGreen",AVERAGEIFS(Table146[RSP],Table146[Company],$P$3,Table146[Date],$A97,Table146[Bill No.],$B97),IFERROR($E97/$C97,"")))))</f>
        <v/>
      </c>
      <c r="E97" s="330" t="str">
        <f>IF($A97="","",IF($K97="DIESEL",SUMIFS(Table1[Amount],Table1[Customer],$P$3,Table1[Date],$A97,Table1[Bill No.],$B97),IF($K97="PETROL",SUMIFS(Table14[Amount],Table14[Customer],$P$3,Table14[Date],$A97,Table14[Bill No.],$B97),IF($K97="XtraGreen",SUMIFS(Table146[Amount],Table146[Company],$P$3,Table146[Date],$A97,Table146[Bill No.],$B97),SUMIFS('Other Sale'!$D:$D,'Other Sale'!$E:$E,$P$3,'Other Sale'!$C:$C,$K97,'Other Sale'!$A:$A,$A97)))))</f>
        <v/>
      </c>
      <c r="F97" s="330" t="str" cm="1">
        <f t="array" ref="F97">IF($A97="","",IF($K97="Payment",IFERROR(INDEX(_xlfn._xlws.FILTER(MasterPaid[Amount Paid],(MasterPaid[Customer]=$P$3)*(MasterPaid[Date]=$A97)),COUNTIFS($A$6:$A97,$A97,$K$6:$K97,"Payment")),0),0))</f>
        <v/>
      </c>
      <c r="G97" s="331" t="s">
        <v>13</v>
      </c>
      <c r="H97" s="331"/>
      <c r="I97" s="330" t="str">
        <f t="shared" si="12"/>
        <v/>
      </c>
      <c r="J97" s="275"/>
      <c r="K97" s="289" t="str" cm="1">
        <f t="array" ref="K97">IFERROR(INDEX(_xlfn.ANCHORARRAY($R$6),ROW()-5,3),"")</f>
        <v/>
      </c>
      <c r="L97" s="430" t="str" cm="1">
        <f t="array" ref="L97">IF(OR($A97="",$J97="",$K97&lt;&gt;"DIESEL"),"",_xlfn.LET(_xlpm.qty,N($C97),_xlpm.pos,IF($J97="UNIT 1",$V$5:$V$54,$AC$5:$AC$54),_xlpm.alo,IF($J97="UNIT 1",$W$5:$W$54,$AD$5:$AD$54),_xlpm.usd,SUMIFS($C$6:$C96,$L$6:$L96,_xlpm.pos&amp;"",$J$6:$J96,$J97),_xlpm.bal,N(_xlpm.alo)-_xlpm.usd,IFERROR(INDEX(_xlfn._xlws.FILTER(_xlpm.pos,(_xlpm.pos&lt;&gt;"")*(_xlpm.qty&gt;0)*(_xlpm.bal&gt;=_xlpm.qty)),1),"")))</f>
        <v/>
      </c>
      <c r="M97" s="290"/>
      <c r="AQ97" s="409"/>
      <c r="AR97" s="410"/>
      <c r="AS97" s="410"/>
      <c r="AT97" s="411"/>
      <c r="AU97" s="412"/>
      <c r="AV97" s="413"/>
      <c r="AW97" s="413"/>
      <c r="AX97" s="413"/>
      <c r="AY97" s="413"/>
      <c r="AZ97" s="413" t="str">
        <f t="shared" si="9"/>
        <v/>
      </c>
      <c r="BB97" s="409"/>
      <c r="BC97" s="410"/>
      <c r="BD97" s="410"/>
      <c r="BE97" s="411"/>
      <c r="BF97" s="412"/>
      <c r="BG97" s="413"/>
      <c r="BH97" s="413"/>
      <c r="BI97" s="413"/>
      <c r="BJ97" s="413"/>
      <c r="BK97" s="413" t="str">
        <f t="shared" si="10"/>
        <v/>
      </c>
    </row>
    <row r="98" spans="1:63" ht="23" x14ac:dyDescent="0.25">
      <c r="A98" s="217" t="str" cm="1">
        <f t="array" ref="A98">IFERROR(INDEX(_xlfn.ANCHORARRAY($R$6),ROW()-5,1),"")</f>
        <v/>
      </c>
      <c r="B98" s="289" t="str" cm="1">
        <f t="array" ref="B98">IFERROR(INDEX(_xlfn.ANCHORARRAY($R$6),ROW()-5,2),"")</f>
        <v/>
      </c>
      <c r="C98" s="218" t="str">
        <f>IF($A98="","",IF($K98="DIESEL",SUMIFS(Table1[Quantity],Table1[Customer],$P$3,Table1[Date],$A98,Table1[Bill No.],$B98),IF($K98="PETROL",SUMIFS(Table14[Quantity],Table14[Customer],$P$3,Table14[Date],$A98,Table14[Bill No.],$B98),IF($K98="XtraGreen",SUMIFS(Table146[Quantity],Table146[Company],$P$3,Table146[Date],$A98,Table146[Bill No.],$B98),""))))</f>
        <v/>
      </c>
      <c r="D98" s="223" t="str">
        <f>IF($A98="","",IF($K98="DIESEL",AVERAGEIFS(Table1[RSP],Table1[Customer],$P$3,Table1[Date],$A98,Table1[Bill No.],$B98),IF($K98="PETROL",AVERAGEIFS(Table14[RSP],Table14[Customer],$P$3,Table14[Date],$A98,Table14[Bill No.],$B98),IF($K98="XtraGreen",AVERAGEIFS(Table146[RSP],Table146[Company],$P$3,Table146[Date],$A98,Table146[Bill No.],$B98),IFERROR($E98/$C98,"")))))</f>
        <v/>
      </c>
      <c r="E98" s="330" t="str">
        <f>IF($A98="","",IF($K98="DIESEL",SUMIFS(Table1[Amount],Table1[Customer],$P$3,Table1[Date],$A98,Table1[Bill No.],$B98),IF($K98="PETROL",SUMIFS(Table14[Amount],Table14[Customer],$P$3,Table14[Date],$A98,Table14[Bill No.],$B98),IF($K98="XtraGreen",SUMIFS(Table146[Amount],Table146[Company],$P$3,Table146[Date],$A98,Table146[Bill No.],$B98),SUMIFS('Other Sale'!$D:$D,'Other Sale'!$E:$E,$P$3,'Other Sale'!$C:$C,$K98,'Other Sale'!$A:$A,$A98)))))</f>
        <v/>
      </c>
      <c r="F98" s="330" t="str" cm="1">
        <f t="array" ref="F98">IF($A98="","",IF($K98="Payment",IFERROR(INDEX(_xlfn._xlws.FILTER(MasterPaid[Amount Paid],(MasterPaid[Customer]=$P$3)*(MasterPaid[Date]=$A98)),COUNTIFS($A$6:$A98,$A98,$K$6:$K98,"Payment")),0),0))</f>
        <v/>
      </c>
      <c r="G98" s="331" t="s">
        <v>13</v>
      </c>
      <c r="H98" s="331"/>
      <c r="I98" s="330" t="str">
        <f t="shared" si="12"/>
        <v/>
      </c>
      <c r="J98" s="275"/>
      <c r="K98" s="289" t="str" cm="1">
        <f t="array" ref="K98">IFERROR(INDEX(_xlfn.ANCHORARRAY($R$6),ROW()-5,3),"")</f>
        <v/>
      </c>
      <c r="L98" s="430" t="str" cm="1">
        <f t="array" ref="L98">IF(OR($A98="",$J98="",$K98&lt;&gt;"DIESEL"),"",_xlfn.LET(_xlpm.qty,N($C98),_xlpm.pos,IF($J98="UNIT 1",$V$5:$V$54,$AC$5:$AC$54),_xlpm.alo,IF($J98="UNIT 1",$W$5:$W$54,$AD$5:$AD$54),_xlpm.usd,SUMIFS($C$6:$C97,$L$6:$L97,_xlpm.pos&amp;"",$J$6:$J97,$J98),_xlpm.bal,N(_xlpm.alo)-_xlpm.usd,IFERROR(INDEX(_xlfn._xlws.FILTER(_xlpm.pos,(_xlpm.pos&lt;&gt;"")*(_xlpm.qty&gt;0)*(_xlpm.bal&gt;=_xlpm.qty)),1),"")))</f>
        <v/>
      </c>
      <c r="M98" s="290"/>
      <c r="AQ98" s="409"/>
      <c r="AR98" s="410"/>
      <c r="AS98" s="410"/>
      <c r="AT98" s="411"/>
      <c r="AU98" s="412"/>
      <c r="AV98" s="413"/>
      <c r="AW98" s="413"/>
      <c r="AX98" s="413"/>
      <c r="AY98" s="413"/>
      <c r="AZ98" s="413" t="str">
        <f t="shared" si="9"/>
        <v/>
      </c>
      <c r="BB98" s="409"/>
      <c r="BC98" s="410"/>
      <c r="BD98" s="410"/>
      <c r="BE98" s="411"/>
      <c r="BF98" s="412"/>
      <c r="BG98" s="413"/>
      <c r="BH98" s="413"/>
      <c r="BI98" s="413"/>
      <c r="BJ98" s="413"/>
      <c r="BK98" s="413" t="str">
        <f t="shared" si="10"/>
        <v/>
      </c>
    </row>
    <row r="99" spans="1:63" ht="23" x14ac:dyDescent="0.25">
      <c r="A99" s="217" t="str" cm="1">
        <f t="array" ref="A99">IFERROR(INDEX(_xlfn.ANCHORARRAY($R$6),ROW()-5,1),"")</f>
        <v/>
      </c>
      <c r="B99" s="289" t="str" cm="1">
        <f t="array" ref="B99">IFERROR(INDEX(_xlfn.ANCHORARRAY($R$6),ROW()-5,2),"")</f>
        <v/>
      </c>
      <c r="C99" s="218" t="str">
        <f>IF($A99="","",IF($K99="DIESEL",SUMIFS(Table1[Quantity],Table1[Customer],$P$3,Table1[Date],$A99,Table1[Bill No.],$B99),IF($K99="PETROL",SUMIFS(Table14[Quantity],Table14[Customer],$P$3,Table14[Date],$A99,Table14[Bill No.],$B99),IF($K99="XtraGreen",SUMIFS(Table146[Quantity],Table146[Company],$P$3,Table146[Date],$A99,Table146[Bill No.],$B99),""))))</f>
        <v/>
      </c>
      <c r="D99" s="223" t="str">
        <f>IF($A99="","",IF($K99="DIESEL",AVERAGEIFS(Table1[RSP],Table1[Customer],$P$3,Table1[Date],$A99,Table1[Bill No.],$B99),IF($K99="PETROL",AVERAGEIFS(Table14[RSP],Table14[Customer],$P$3,Table14[Date],$A99,Table14[Bill No.],$B99),IF($K99="XtraGreen",AVERAGEIFS(Table146[RSP],Table146[Company],$P$3,Table146[Date],$A99,Table146[Bill No.],$B99),IFERROR($E99/$C99,"")))))</f>
        <v/>
      </c>
      <c r="E99" s="330" t="str">
        <f>IF($A99="","",IF($K99="DIESEL",SUMIFS(Table1[Amount],Table1[Customer],$P$3,Table1[Date],$A99,Table1[Bill No.],$B99),IF($K99="PETROL",SUMIFS(Table14[Amount],Table14[Customer],$P$3,Table14[Date],$A99,Table14[Bill No.],$B99),IF($K99="XtraGreen",SUMIFS(Table146[Amount],Table146[Company],$P$3,Table146[Date],$A99,Table146[Bill No.],$B99),SUMIFS('Other Sale'!$D:$D,'Other Sale'!$E:$E,$P$3,'Other Sale'!$C:$C,$K99,'Other Sale'!$A:$A,$A99)))))</f>
        <v/>
      </c>
      <c r="F99" s="330" t="str" cm="1">
        <f t="array" ref="F99">IF($A99="","",IF($K99="Payment",IFERROR(INDEX(_xlfn._xlws.FILTER(MasterPaid[Amount Paid],(MasterPaid[Customer]=$P$3)*(MasterPaid[Date]=$A99)),COUNTIFS($A$6:$A99,$A99,$K$6:$K99,"Payment")),0),0))</f>
        <v/>
      </c>
      <c r="G99" s="331" t="s">
        <v>13</v>
      </c>
      <c r="H99" s="331"/>
      <c r="I99" s="330" t="str">
        <f t="shared" si="12"/>
        <v/>
      </c>
      <c r="J99" s="275"/>
      <c r="K99" s="289" t="str" cm="1">
        <f t="array" ref="K99">IFERROR(INDEX(_xlfn.ANCHORARRAY($R$6),ROW()-5,3),"")</f>
        <v/>
      </c>
      <c r="L99" s="430" t="str" cm="1">
        <f t="array" ref="L99">IF(OR($A99="",$J99="",$K99&lt;&gt;"DIESEL"),"",_xlfn.LET(_xlpm.qty,N($C99),_xlpm.pos,IF($J99="UNIT 1",$V$5:$V$54,$AC$5:$AC$54),_xlpm.alo,IF($J99="UNIT 1",$W$5:$W$54,$AD$5:$AD$54),_xlpm.usd,SUMIFS($C$6:$C98,$L$6:$L98,_xlpm.pos&amp;"",$J$6:$J98,$J99),_xlpm.bal,N(_xlpm.alo)-_xlpm.usd,IFERROR(INDEX(_xlfn._xlws.FILTER(_xlpm.pos,(_xlpm.pos&lt;&gt;"")*(_xlpm.qty&gt;0)*(_xlpm.bal&gt;=_xlpm.qty)),1),"")))</f>
        <v/>
      </c>
      <c r="M99" s="290"/>
      <c r="AQ99" s="409"/>
      <c r="AR99" s="410"/>
      <c r="AS99" s="410"/>
      <c r="AT99" s="411"/>
      <c r="AU99" s="412"/>
      <c r="AV99" s="413"/>
      <c r="AW99" s="413"/>
      <c r="AX99" s="413"/>
      <c r="AY99" s="413"/>
      <c r="AZ99" s="413" t="str">
        <f t="shared" si="9"/>
        <v/>
      </c>
      <c r="BB99" s="409"/>
      <c r="BC99" s="410"/>
      <c r="BD99" s="410"/>
      <c r="BE99" s="411"/>
      <c r="BF99" s="412"/>
      <c r="BG99" s="413"/>
      <c r="BH99" s="413"/>
      <c r="BI99" s="413"/>
      <c r="BJ99" s="413"/>
      <c r="BK99" s="413" t="str">
        <f t="shared" si="10"/>
        <v/>
      </c>
    </row>
    <row r="100" spans="1:63" ht="23" x14ac:dyDescent="0.25">
      <c r="A100" s="217" t="str" cm="1">
        <f t="array" ref="A100">IFERROR(INDEX(_xlfn.ANCHORARRAY($R$6),ROW()-5,1),"")</f>
        <v/>
      </c>
      <c r="B100" s="289" t="str" cm="1">
        <f t="array" ref="B100">IFERROR(INDEX(_xlfn.ANCHORARRAY($R$6),ROW()-5,2),"")</f>
        <v/>
      </c>
      <c r="C100" s="218" t="str">
        <f>IF($A100="","",IF($K100="DIESEL",SUMIFS(Table1[Quantity],Table1[Customer],$P$3,Table1[Date],$A100,Table1[Bill No.],$B100),IF($K100="PETROL",SUMIFS(Table14[Quantity],Table14[Customer],$P$3,Table14[Date],$A100,Table14[Bill No.],$B100),IF($K100="XtraGreen",SUMIFS(Table146[Quantity],Table146[Company],$P$3,Table146[Date],$A100,Table146[Bill No.],$B100),""))))</f>
        <v/>
      </c>
      <c r="D100" s="223" t="str">
        <f>IF($A100="","",IF($K100="DIESEL",AVERAGEIFS(Table1[RSP],Table1[Customer],$P$3,Table1[Date],$A100,Table1[Bill No.],$B100),IF($K100="PETROL",AVERAGEIFS(Table14[RSP],Table14[Customer],$P$3,Table14[Date],$A100,Table14[Bill No.],$B100),IF($K100="XtraGreen",AVERAGEIFS(Table146[RSP],Table146[Company],$P$3,Table146[Date],$A100,Table146[Bill No.],$B100),IFERROR($E100/$C100,"")))))</f>
        <v/>
      </c>
      <c r="E100" s="330" t="str">
        <f>IF($A100="","",IF($K100="DIESEL",SUMIFS(Table1[Amount],Table1[Customer],$P$3,Table1[Date],$A100,Table1[Bill No.],$B100),IF($K100="PETROL",SUMIFS(Table14[Amount],Table14[Customer],$P$3,Table14[Date],$A100,Table14[Bill No.],$B100),IF($K100="XtraGreen",SUMIFS(Table146[Amount],Table146[Company],$P$3,Table146[Date],$A100,Table146[Bill No.],$B100),SUMIFS('Other Sale'!$D:$D,'Other Sale'!$E:$E,$P$3,'Other Sale'!$C:$C,$K100,'Other Sale'!$A:$A,$A100)))))</f>
        <v/>
      </c>
      <c r="F100" s="330" t="str" cm="1">
        <f t="array" ref="F100">IF($A100="","",IF($K100="Payment",IFERROR(INDEX(_xlfn._xlws.FILTER(MasterPaid[Amount Paid],(MasterPaid[Customer]=$P$3)*(MasterPaid[Date]=$A100)),COUNTIFS($A$6:$A100,$A100,$K$6:$K100,"Payment")),0),0))</f>
        <v/>
      </c>
      <c r="G100" s="331" t="s">
        <v>13</v>
      </c>
      <c r="H100" s="331"/>
      <c r="I100" s="330" t="str">
        <f t="shared" si="12"/>
        <v/>
      </c>
      <c r="J100" s="275"/>
      <c r="K100" s="289" t="str" cm="1">
        <f t="array" ref="K100">IFERROR(INDEX(_xlfn.ANCHORARRAY($R$6),ROW()-5,3),"")</f>
        <v/>
      </c>
      <c r="L100" s="430" t="str" cm="1">
        <f t="array" ref="L100">IF(OR($A100="",$J100="",$K100&lt;&gt;"DIESEL"),"",_xlfn.LET(_xlpm.qty,N($C100),_xlpm.pos,IF($J100="UNIT 1",$V$5:$V$54,$AC$5:$AC$54),_xlpm.alo,IF($J100="UNIT 1",$W$5:$W$54,$AD$5:$AD$54),_xlpm.usd,SUMIFS($C$6:$C99,$L$6:$L99,_xlpm.pos&amp;"",$J$6:$J99,$J100),_xlpm.bal,N(_xlpm.alo)-_xlpm.usd,IFERROR(INDEX(_xlfn._xlws.FILTER(_xlpm.pos,(_xlpm.pos&lt;&gt;"")*(_xlpm.qty&gt;0)*(_xlpm.bal&gt;=_xlpm.qty)),1),"")))</f>
        <v/>
      </c>
      <c r="M100" s="290"/>
      <c r="AQ100" s="409"/>
      <c r="AR100" s="410"/>
      <c r="AS100" s="410"/>
      <c r="AT100" s="411"/>
      <c r="AU100" s="412"/>
      <c r="AV100" s="413"/>
      <c r="AW100" s="413"/>
      <c r="AX100" s="413"/>
      <c r="AY100" s="413"/>
      <c r="AZ100" s="413" t="str">
        <f t="shared" si="9"/>
        <v/>
      </c>
      <c r="BB100" s="409"/>
      <c r="BC100" s="410"/>
      <c r="BD100" s="410"/>
      <c r="BE100" s="411"/>
      <c r="BF100" s="412"/>
      <c r="BG100" s="413"/>
      <c r="BH100" s="413"/>
      <c r="BI100" s="413"/>
      <c r="BJ100" s="413"/>
      <c r="BK100" s="413" t="str">
        <f t="shared" si="10"/>
        <v/>
      </c>
    </row>
    <row r="101" spans="1:63" ht="23" x14ac:dyDescent="0.25">
      <c r="A101" s="217" t="str" cm="1">
        <f t="array" ref="A101">IFERROR(INDEX(_xlfn.ANCHORARRAY($R$6),ROW()-5,1),"")</f>
        <v/>
      </c>
      <c r="B101" s="289" t="str" cm="1">
        <f t="array" ref="B101">IFERROR(INDEX(_xlfn.ANCHORARRAY($R$6),ROW()-5,2),"")</f>
        <v/>
      </c>
      <c r="C101" s="218" t="str">
        <f>IF($A101="","",IF($K101="DIESEL",SUMIFS(Table1[Quantity],Table1[Customer],$P$3,Table1[Date],$A101,Table1[Bill No.],$B101),IF($K101="PETROL",SUMIFS(Table14[Quantity],Table14[Customer],$P$3,Table14[Date],$A101,Table14[Bill No.],$B101),IF($K101="XtraGreen",SUMIFS(Table146[Quantity],Table146[Company],$P$3,Table146[Date],$A101,Table146[Bill No.],$B101),""))))</f>
        <v/>
      </c>
      <c r="D101" s="223" t="str">
        <f>IF($A101="","",IF($K101="DIESEL",AVERAGEIFS(Table1[RSP],Table1[Customer],$P$3,Table1[Date],$A101,Table1[Bill No.],$B101),IF($K101="PETROL",AVERAGEIFS(Table14[RSP],Table14[Customer],$P$3,Table14[Date],$A101,Table14[Bill No.],$B101),IF($K101="XtraGreen",AVERAGEIFS(Table146[RSP],Table146[Company],$P$3,Table146[Date],$A101,Table146[Bill No.],$B101),IFERROR($E101/$C101,"")))))</f>
        <v/>
      </c>
      <c r="E101" s="330" t="str">
        <f>IF($A101="","",IF($K101="DIESEL",SUMIFS(Table1[Amount],Table1[Customer],$P$3,Table1[Date],$A101,Table1[Bill No.],$B101),IF($K101="PETROL",SUMIFS(Table14[Amount],Table14[Customer],$P$3,Table14[Date],$A101,Table14[Bill No.],$B101),IF($K101="XtraGreen",SUMIFS(Table146[Amount],Table146[Company],$P$3,Table146[Date],$A101,Table146[Bill No.],$B101),SUMIFS('Other Sale'!$D:$D,'Other Sale'!$E:$E,$P$3,'Other Sale'!$C:$C,$K101,'Other Sale'!$A:$A,$A101)))))</f>
        <v/>
      </c>
      <c r="F101" s="330" t="str" cm="1">
        <f t="array" ref="F101">IF($A101="","",IF($K101="Payment",IFERROR(INDEX(_xlfn._xlws.FILTER(MasterPaid[Amount Paid],(MasterPaid[Customer]=$P$3)*(MasterPaid[Date]=$A101)),COUNTIFS($A$6:$A101,$A101,$K$6:$K101,"Payment")),0),0))</f>
        <v/>
      </c>
      <c r="G101" s="331" t="s">
        <v>13</v>
      </c>
      <c r="H101" s="331"/>
      <c r="I101" s="330" t="str">
        <f t="shared" si="12"/>
        <v/>
      </c>
      <c r="J101" s="275"/>
      <c r="K101" s="289" t="str" cm="1">
        <f t="array" ref="K101">IFERROR(INDEX(_xlfn.ANCHORARRAY($R$6),ROW()-5,3),"")</f>
        <v/>
      </c>
      <c r="L101" s="430" t="str" cm="1">
        <f t="array" ref="L101">IF(OR($A101="",$J101="",$K101&lt;&gt;"DIESEL"),"",_xlfn.LET(_xlpm.qty,N($C101),_xlpm.pos,IF($J101="UNIT 1",$V$5:$V$54,$AC$5:$AC$54),_xlpm.alo,IF($J101="UNIT 1",$W$5:$W$54,$AD$5:$AD$54),_xlpm.usd,SUMIFS($C$6:$C100,$L$6:$L100,_xlpm.pos&amp;"",$J$6:$J100,$J101),_xlpm.bal,N(_xlpm.alo)-_xlpm.usd,IFERROR(INDEX(_xlfn._xlws.FILTER(_xlpm.pos,(_xlpm.pos&lt;&gt;"")*(_xlpm.qty&gt;0)*(_xlpm.bal&gt;=_xlpm.qty)),1),"")))</f>
        <v/>
      </c>
      <c r="M101" s="290"/>
      <c r="AQ101" s="409"/>
      <c r="AR101" s="410"/>
      <c r="AS101" s="410"/>
      <c r="AT101" s="411"/>
      <c r="AU101" s="412"/>
      <c r="AV101" s="413"/>
      <c r="AW101" s="413"/>
      <c r="AX101" s="413"/>
      <c r="AY101" s="413"/>
      <c r="AZ101" s="413" t="str">
        <f t="shared" si="9"/>
        <v/>
      </c>
      <c r="BB101" s="409"/>
      <c r="BC101" s="410"/>
      <c r="BD101" s="410"/>
      <c r="BE101" s="411"/>
      <c r="BF101" s="412"/>
      <c r="BG101" s="413"/>
      <c r="BH101" s="413"/>
      <c r="BI101" s="413"/>
      <c r="BJ101" s="413"/>
      <c r="BK101" s="413" t="str">
        <f t="shared" si="10"/>
        <v/>
      </c>
    </row>
    <row r="102" spans="1:63" ht="23" x14ac:dyDescent="0.25">
      <c r="A102" s="217" t="str" cm="1">
        <f t="array" ref="A102">IFERROR(INDEX(_xlfn.ANCHORARRAY($R$6),ROW()-5,1),"")</f>
        <v/>
      </c>
      <c r="B102" s="289" t="str" cm="1">
        <f t="array" ref="B102">IFERROR(INDEX(_xlfn.ANCHORARRAY($R$6),ROW()-5,2),"")</f>
        <v/>
      </c>
      <c r="C102" s="218" t="str">
        <f>IF($A102="","",IF($K102="DIESEL",SUMIFS(Table1[Quantity],Table1[Customer],$P$3,Table1[Date],$A102,Table1[Bill No.],$B102),IF($K102="PETROL",SUMIFS(Table14[Quantity],Table14[Customer],$P$3,Table14[Date],$A102,Table14[Bill No.],$B102),IF($K102="XtraGreen",SUMIFS(Table146[Quantity],Table146[Company],$P$3,Table146[Date],$A102,Table146[Bill No.],$B102),""))))</f>
        <v/>
      </c>
      <c r="D102" s="223" t="str">
        <f>IF($A102="","",IF($K102="DIESEL",AVERAGEIFS(Table1[RSP],Table1[Customer],$P$3,Table1[Date],$A102,Table1[Bill No.],$B102),IF($K102="PETROL",AVERAGEIFS(Table14[RSP],Table14[Customer],$P$3,Table14[Date],$A102,Table14[Bill No.],$B102),IF($K102="XtraGreen",AVERAGEIFS(Table146[RSP],Table146[Company],$P$3,Table146[Date],$A102,Table146[Bill No.],$B102),IFERROR($E102/$C102,"")))))</f>
        <v/>
      </c>
      <c r="E102" s="330" t="str">
        <f>IF($A102="","",IF($K102="DIESEL",SUMIFS(Table1[Amount],Table1[Customer],$P$3,Table1[Date],$A102,Table1[Bill No.],$B102),IF($K102="PETROL",SUMIFS(Table14[Amount],Table14[Customer],$P$3,Table14[Date],$A102,Table14[Bill No.],$B102),IF($K102="XtraGreen",SUMIFS(Table146[Amount],Table146[Company],$P$3,Table146[Date],$A102,Table146[Bill No.],$B102),SUMIFS('Other Sale'!$D:$D,'Other Sale'!$E:$E,$P$3,'Other Sale'!$C:$C,$K102,'Other Sale'!$A:$A,$A102)))))</f>
        <v/>
      </c>
      <c r="F102" s="330" t="str" cm="1">
        <f t="array" ref="F102">IF($A102="","",IF($K102="Payment",IFERROR(INDEX(_xlfn._xlws.FILTER(MasterPaid[Amount Paid],(MasterPaid[Customer]=$P$3)*(MasterPaid[Date]=$A102)),COUNTIFS($A$6:$A102,$A102,$K$6:$K102,"Payment")),0),0))</f>
        <v/>
      </c>
      <c r="G102" s="331" t="s">
        <v>13</v>
      </c>
      <c r="H102" s="331"/>
      <c r="I102" s="330" t="str">
        <f t="shared" si="12"/>
        <v/>
      </c>
      <c r="J102" s="275"/>
      <c r="K102" s="289" t="str" cm="1">
        <f t="array" ref="K102">IFERROR(INDEX(_xlfn.ANCHORARRAY($R$6),ROW()-5,3),"")</f>
        <v/>
      </c>
      <c r="L102" s="430" t="str" cm="1">
        <f t="array" ref="L102">IF(OR($A102="",$J102="",$K102&lt;&gt;"DIESEL"),"",_xlfn.LET(_xlpm.qty,N($C102),_xlpm.pos,IF($J102="UNIT 1",$V$5:$V$54,$AC$5:$AC$54),_xlpm.alo,IF($J102="UNIT 1",$W$5:$W$54,$AD$5:$AD$54),_xlpm.usd,SUMIFS($C$6:$C101,$L$6:$L101,_xlpm.pos&amp;"",$J$6:$J101,$J102),_xlpm.bal,N(_xlpm.alo)-_xlpm.usd,IFERROR(INDEX(_xlfn._xlws.FILTER(_xlpm.pos,(_xlpm.pos&lt;&gt;"")*(_xlpm.qty&gt;0)*(_xlpm.bal&gt;=_xlpm.qty)),1),"")))</f>
        <v/>
      </c>
      <c r="M102" s="290"/>
      <c r="AQ102" s="409"/>
      <c r="AR102" s="410"/>
      <c r="AS102" s="410"/>
      <c r="AT102" s="411"/>
      <c r="AU102" s="412"/>
      <c r="AV102" s="413"/>
      <c r="AW102" s="413"/>
      <c r="AX102" s="413"/>
      <c r="AY102" s="413"/>
      <c r="AZ102" s="413" t="str">
        <f t="shared" si="9"/>
        <v/>
      </c>
      <c r="BB102" s="409"/>
      <c r="BC102" s="410"/>
      <c r="BD102" s="410"/>
      <c r="BE102" s="411"/>
      <c r="BF102" s="412"/>
      <c r="BG102" s="413"/>
      <c r="BH102" s="413"/>
      <c r="BI102" s="413"/>
      <c r="BJ102" s="413"/>
      <c r="BK102" s="413" t="str">
        <f t="shared" si="10"/>
        <v/>
      </c>
    </row>
    <row r="103" spans="1:63" ht="23" x14ac:dyDescent="0.25">
      <c r="A103" s="217" t="str" cm="1">
        <f t="array" ref="A103">IFERROR(INDEX(_xlfn.ANCHORARRAY($R$6),ROW()-5,1),"")</f>
        <v/>
      </c>
      <c r="B103" s="289" t="str" cm="1">
        <f t="array" ref="B103">IFERROR(INDEX(_xlfn.ANCHORARRAY($R$6),ROW()-5,2),"")</f>
        <v/>
      </c>
      <c r="C103" s="218" t="str">
        <f>IF($A103="","",IF($K103="DIESEL",SUMIFS(Table1[Quantity],Table1[Customer],$P$3,Table1[Date],$A103,Table1[Bill No.],$B103),IF($K103="PETROL",SUMIFS(Table14[Quantity],Table14[Customer],$P$3,Table14[Date],$A103,Table14[Bill No.],$B103),IF($K103="XtraGreen",SUMIFS(Table146[Quantity],Table146[Company],$P$3,Table146[Date],$A103,Table146[Bill No.],$B103),""))))</f>
        <v/>
      </c>
      <c r="D103" s="223" t="str">
        <f>IF($A103="","",IF($K103="DIESEL",AVERAGEIFS(Table1[RSP],Table1[Customer],$P$3,Table1[Date],$A103,Table1[Bill No.],$B103),IF($K103="PETROL",AVERAGEIFS(Table14[RSP],Table14[Customer],$P$3,Table14[Date],$A103,Table14[Bill No.],$B103),IF($K103="XtraGreen",AVERAGEIFS(Table146[RSP],Table146[Company],$P$3,Table146[Date],$A103,Table146[Bill No.],$B103),IFERROR($E103/$C103,"")))))</f>
        <v/>
      </c>
      <c r="E103" s="330" t="str">
        <f>IF($A103="","",IF($K103="DIESEL",SUMIFS(Table1[Amount],Table1[Customer],$P$3,Table1[Date],$A103,Table1[Bill No.],$B103),IF($K103="PETROL",SUMIFS(Table14[Amount],Table14[Customer],$P$3,Table14[Date],$A103,Table14[Bill No.],$B103),IF($K103="XtraGreen",SUMIFS(Table146[Amount],Table146[Company],$P$3,Table146[Date],$A103,Table146[Bill No.],$B103),SUMIFS('Other Sale'!$D:$D,'Other Sale'!$E:$E,$P$3,'Other Sale'!$C:$C,$K103,'Other Sale'!$A:$A,$A103)))))</f>
        <v/>
      </c>
      <c r="F103" s="330" t="str" cm="1">
        <f t="array" ref="F103">IF($A103="","",IF($K103="Payment",IFERROR(INDEX(_xlfn._xlws.FILTER(MasterPaid[Amount Paid],(MasterPaid[Customer]=$P$3)*(MasterPaid[Date]=$A103)),COUNTIFS($A$6:$A103,$A103,$K$6:$K103,"Payment")),0),0))</f>
        <v/>
      </c>
      <c r="G103" s="331" t="s">
        <v>13</v>
      </c>
      <c r="H103" s="331"/>
      <c r="I103" s="330" t="str">
        <f t="shared" si="12"/>
        <v/>
      </c>
      <c r="J103" s="275"/>
      <c r="K103" s="289" t="str" cm="1">
        <f t="array" ref="K103">IFERROR(INDEX(_xlfn.ANCHORARRAY($R$6),ROW()-5,3),"")</f>
        <v/>
      </c>
      <c r="L103" s="430" t="str" cm="1">
        <f t="array" ref="L103">IF(OR($A103="",$J103="",$K103&lt;&gt;"DIESEL"),"",_xlfn.LET(_xlpm.qty,N($C103),_xlpm.pos,IF($J103="UNIT 1",$V$5:$V$54,$AC$5:$AC$54),_xlpm.alo,IF($J103="UNIT 1",$W$5:$W$54,$AD$5:$AD$54),_xlpm.usd,SUMIFS($C$6:$C102,$L$6:$L102,_xlpm.pos&amp;"",$J$6:$J102,$J103),_xlpm.bal,N(_xlpm.alo)-_xlpm.usd,IFERROR(INDEX(_xlfn._xlws.FILTER(_xlpm.pos,(_xlpm.pos&lt;&gt;"")*(_xlpm.qty&gt;0)*(_xlpm.bal&gt;=_xlpm.qty)),1),"")))</f>
        <v/>
      </c>
      <c r="M103" s="290"/>
      <c r="AQ103" s="409"/>
      <c r="AR103" s="410"/>
      <c r="AS103" s="410"/>
      <c r="AT103" s="411"/>
      <c r="AU103" s="412"/>
      <c r="AV103" s="413"/>
      <c r="AW103" s="413"/>
      <c r="AX103" s="413"/>
      <c r="AY103" s="413"/>
      <c r="AZ103" s="413" t="str">
        <f t="shared" si="9"/>
        <v/>
      </c>
      <c r="BB103" s="409"/>
      <c r="BC103" s="410"/>
      <c r="BD103" s="410"/>
      <c r="BE103" s="411"/>
      <c r="BF103" s="412"/>
      <c r="BG103" s="413"/>
      <c r="BH103" s="413"/>
      <c r="BI103" s="413"/>
      <c r="BJ103" s="413"/>
      <c r="BK103" s="413" t="str">
        <f t="shared" si="10"/>
        <v/>
      </c>
    </row>
    <row r="104" spans="1:63" ht="23" x14ac:dyDescent="0.25">
      <c r="A104" s="217" t="str" cm="1">
        <f t="array" ref="A104">IFERROR(INDEX(_xlfn.ANCHORARRAY($R$6),ROW()-5,1),"")</f>
        <v/>
      </c>
      <c r="B104" s="289" t="str" cm="1">
        <f t="array" ref="B104">IFERROR(INDEX(_xlfn.ANCHORARRAY($R$6),ROW()-5,2),"")</f>
        <v/>
      </c>
      <c r="C104" s="218" t="str">
        <f>IF($A104="","",IF($K104="DIESEL",SUMIFS(Table1[Quantity],Table1[Customer],$P$3,Table1[Date],$A104,Table1[Bill No.],$B104),IF($K104="PETROL",SUMIFS(Table14[Quantity],Table14[Customer],$P$3,Table14[Date],$A104,Table14[Bill No.],$B104),IF($K104="XtraGreen",SUMIFS(Table146[Quantity],Table146[Company],$P$3,Table146[Date],$A104,Table146[Bill No.],$B104),""))))</f>
        <v/>
      </c>
      <c r="D104" s="223" t="str">
        <f>IF($A104="","",IF($K104="DIESEL",AVERAGEIFS(Table1[RSP],Table1[Customer],$P$3,Table1[Date],$A104,Table1[Bill No.],$B104),IF($K104="PETROL",AVERAGEIFS(Table14[RSP],Table14[Customer],$P$3,Table14[Date],$A104,Table14[Bill No.],$B104),IF($K104="XtraGreen",AVERAGEIFS(Table146[RSP],Table146[Company],$P$3,Table146[Date],$A104,Table146[Bill No.],$B104),IFERROR($E104/$C104,"")))))</f>
        <v/>
      </c>
      <c r="E104" s="330" t="str">
        <f>IF($A104="","",IF($K104="DIESEL",SUMIFS(Table1[Amount],Table1[Customer],$P$3,Table1[Date],$A104,Table1[Bill No.],$B104),IF($K104="PETROL",SUMIFS(Table14[Amount],Table14[Customer],$P$3,Table14[Date],$A104,Table14[Bill No.],$B104),IF($K104="XtraGreen",SUMIFS(Table146[Amount],Table146[Company],$P$3,Table146[Date],$A104,Table146[Bill No.],$B104),SUMIFS('Other Sale'!$D:$D,'Other Sale'!$E:$E,$P$3,'Other Sale'!$C:$C,$K104,'Other Sale'!$A:$A,$A104)))))</f>
        <v/>
      </c>
      <c r="F104" s="330" t="str" cm="1">
        <f t="array" ref="F104">IF($A104="","",IF($K104="Payment",IFERROR(INDEX(_xlfn._xlws.FILTER(MasterPaid[Amount Paid],(MasterPaid[Customer]=$P$3)*(MasterPaid[Date]=$A104)),COUNTIFS($A$6:$A104,$A104,$K$6:$K104,"Payment")),0),0))</f>
        <v/>
      </c>
      <c r="G104" s="331" t="s">
        <v>13</v>
      </c>
      <c r="H104" s="331"/>
      <c r="I104" s="330" t="str">
        <f t="shared" si="12"/>
        <v/>
      </c>
      <c r="J104" s="275"/>
      <c r="K104" s="289" t="str" cm="1">
        <f t="array" ref="K104">IFERROR(INDEX(_xlfn.ANCHORARRAY($R$6),ROW()-5,3),"")</f>
        <v/>
      </c>
      <c r="L104" s="430" t="str" cm="1">
        <f t="array" ref="L104">IF(OR($A104="",$J104="",$K104&lt;&gt;"DIESEL"),"",_xlfn.LET(_xlpm.qty,N($C104),_xlpm.pos,IF($J104="UNIT 1",$V$5:$V$54,$AC$5:$AC$54),_xlpm.alo,IF($J104="UNIT 1",$W$5:$W$54,$AD$5:$AD$54),_xlpm.usd,SUMIFS($C$6:$C103,$L$6:$L103,_xlpm.pos&amp;"",$J$6:$J103,$J104),_xlpm.bal,N(_xlpm.alo)-_xlpm.usd,IFERROR(INDEX(_xlfn._xlws.FILTER(_xlpm.pos,(_xlpm.pos&lt;&gt;"")*(_xlpm.qty&gt;0)*(_xlpm.bal&gt;=_xlpm.qty)),1),"")))</f>
        <v/>
      </c>
      <c r="M104" s="290"/>
      <c r="AQ104" s="409"/>
      <c r="AR104" s="410"/>
      <c r="AS104" s="410"/>
      <c r="AT104" s="411"/>
      <c r="AU104" s="412"/>
      <c r="AV104" s="413"/>
      <c r="AW104" s="413"/>
      <c r="AX104" s="413"/>
      <c r="AY104" s="413"/>
      <c r="AZ104" s="413" t="str">
        <f t="shared" si="9"/>
        <v/>
      </c>
      <c r="BB104" s="409"/>
      <c r="BC104" s="410"/>
      <c r="BD104" s="410"/>
      <c r="BE104" s="411"/>
      <c r="BF104" s="412"/>
      <c r="BG104" s="413"/>
      <c r="BH104" s="413"/>
      <c r="BI104" s="413"/>
      <c r="BJ104" s="413"/>
      <c r="BK104" s="413" t="str">
        <f t="shared" si="10"/>
        <v/>
      </c>
    </row>
    <row r="105" spans="1:63" ht="23" x14ac:dyDescent="0.25">
      <c r="A105" s="217" t="str" cm="1">
        <f t="array" ref="A105">IFERROR(INDEX(_xlfn.ANCHORARRAY($R$6),ROW()-5,1),"")</f>
        <v/>
      </c>
      <c r="B105" s="289" t="str" cm="1">
        <f t="array" ref="B105">IFERROR(INDEX(_xlfn.ANCHORARRAY($R$6),ROW()-5,2),"")</f>
        <v/>
      </c>
      <c r="C105" s="218" t="str">
        <f>IF($A105="","",IF($K105="DIESEL",SUMIFS(Table1[Quantity],Table1[Customer],$P$3,Table1[Date],$A105,Table1[Bill No.],$B105),IF($K105="PETROL",SUMIFS(Table14[Quantity],Table14[Customer],$P$3,Table14[Date],$A105,Table14[Bill No.],$B105),IF($K105="XtraGreen",SUMIFS(Table146[Quantity],Table146[Company],$P$3,Table146[Date],$A105,Table146[Bill No.],$B105),""))))</f>
        <v/>
      </c>
      <c r="D105" s="223" t="str">
        <f>IF($A105="","",IF($K105="DIESEL",AVERAGEIFS(Table1[RSP],Table1[Customer],$P$3,Table1[Date],$A105,Table1[Bill No.],$B105),IF($K105="PETROL",AVERAGEIFS(Table14[RSP],Table14[Customer],$P$3,Table14[Date],$A105,Table14[Bill No.],$B105),IF($K105="XtraGreen",AVERAGEIFS(Table146[RSP],Table146[Company],$P$3,Table146[Date],$A105,Table146[Bill No.],$B105),IFERROR($E105/$C105,"")))))</f>
        <v/>
      </c>
      <c r="E105" s="330" t="str">
        <f>IF($A105="","",IF($K105="DIESEL",SUMIFS(Table1[Amount],Table1[Customer],$P$3,Table1[Date],$A105,Table1[Bill No.],$B105),IF($K105="PETROL",SUMIFS(Table14[Amount],Table14[Customer],$P$3,Table14[Date],$A105,Table14[Bill No.],$B105),IF($K105="XtraGreen",SUMIFS(Table146[Amount],Table146[Company],$P$3,Table146[Date],$A105,Table146[Bill No.],$B105),SUMIFS('Other Sale'!$D:$D,'Other Sale'!$E:$E,$P$3,'Other Sale'!$C:$C,$K105,'Other Sale'!$A:$A,$A105)))))</f>
        <v/>
      </c>
      <c r="F105" s="330" t="str" cm="1">
        <f t="array" ref="F105">IF($A105="","",IF($K105="Payment",IFERROR(INDEX(_xlfn._xlws.FILTER(MasterPaid[Amount Paid],(MasterPaid[Customer]=$P$3)*(MasterPaid[Date]=$A105)),COUNTIFS($A$6:$A105,$A105,$K$6:$K105,"Payment")),0),0))</f>
        <v/>
      </c>
      <c r="G105" s="331" t="s">
        <v>13</v>
      </c>
      <c r="H105" s="331"/>
      <c r="I105" s="330" t="str">
        <f t="shared" si="12"/>
        <v/>
      </c>
      <c r="J105" s="275"/>
      <c r="K105" s="289" t="str" cm="1">
        <f t="array" ref="K105">IFERROR(INDEX(_xlfn.ANCHORARRAY($R$6),ROW()-5,3),"")</f>
        <v/>
      </c>
      <c r="L105" s="430" t="str" cm="1">
        <f t="array" ref="L105">IF(OR($A105="",$J105="",$K105&lt;&gt;"DIESEL"),"",_xlfn.LET(_xlpm.qty,N($C105),_xlpm.pos,IF($J105="UNIT 1",$V$5:$V$54,$AC$5:$AC$54),_xlpm.alo,IF($J105="UNIT 1",$W$5:$W$54,$AD$5:$AD$54),_xlpm.usd,SUMIFS($C$6:$C104,$L$6:$L104,_xlpm.pos&amp;"",$J$6:$J104,$J105),_xlpm.bal,N(_xlpm.alo)-_xlpm.usd,IFERROR(INDEX(_xlfn._xlws.FILTER(_xlpm.pos,(_xlpm.pos&lt;&gt;"")*(_xlpm.qty&gt;0)*(_xlpm.bal&gt;=_xlpm.qty)),1),"")))</f>
        <v/>
      </c>
      <c r="M105" s="290"/>
      <c r="AQ105" s="409"/>
      <c r="AR105" s="410"/>
      <c r="AS105" s="410"/>
      <c r="AT105" s="411"/>
      <c r="AU105" s="412"/>
      <c r="AV105" s="413"/>
      <c r="AW105" s="413"/>
      <c r="AX105" s="413"/>
      <c r="AY105" s="413"/>
      <c r="AZ105" s="413" t="str">
        <f t="shared" si="9"/>
        <v/>
      </c>
      <c r="BB105" s="409"/>
      <c r="BC105" s="410"/>
      <c r="BD105" s="410"/>
      <c r="BE105" s="411"/>
      <c r="BF105" s="412"/>
      <c r="BG105" s="413"/>
      <c r="BH105" s="413"/>
      <c r="BI105" s="413"/>
      <c r="BJ105" s="413"/>
      <c r="BK105" s="413" t="str">
        <f t="shared" si="10"/>
        <v/>
      </c>
    </row>
    <row r="106" spans="1:63" ht="23" x14ac:dyDescent="0.25">
      <c r="A106" s="217" t="str" cm="1">
        <f t="array" ref="A106">IFERROR(INDEX(_xlfn.ANCHORARRAY($R$6),ROW()-5,1),"")</f>
        <v/>
      </c>
      <c r="B106" s="289" t="str" cm="1">
        <f t="array" ref="B106">IFERROR(INDEX(_xlfn.ANCHORARRAY($R$6),ROW()-5,2),"")</f>
        <v/>
      </c>
      <c r="C106" s="218" t="str">
        <f>IF($A106="","",IF($K106="DIESEL",SUMIFS(Table1[Quantity],Table1[Customer],$P$3,Table1[Date],$A106,Table1[Bill No.],$B106),IF($K106="PETROL",SUMIFS(Table14[Quantity],Table14[Customer],$P$3,Table14[Date],$A106,Table14[Bill No.],$B106),IF($K106="XtraGreen",SUMIFS(Table146[Quantity],Table146[Company],$P$3,Table146[Date],$A106,Table146[Bill No.],$B106),""))))</f>
        <v/>
      </c>
      <c r="D106" s="223" t="str">
        <f>IF($A106="","",IF($K106="DIESEL",AVERAGEIFS(Table1[RSP],Table1[Customer],$P$3,Table1[Date],$A106,Table1[Bill No.],$B106),IF($K106="PETROL",AVERAGEIFS(Table14[RSP],Table14[Customer],$P$3,Table14[Date],$A106,Table14[Bill No.],$B106),IF($K106="XtraGreen",AVERAGEIFS(Table146[RSP],Table146[Company],$P$3,Table146[Date],$A106,Table146[Bill No.],$B106),IFERROR($E106/$C106,"")))))</f>
        <v/>
      </c>
      <c r="E106" s="330" t="str">
        <f>IF($A106="","",IF($K106="DIESEL",SUMIFS(Table1[Amount],Table1[Customer],$P$3,Table1[Date],$A106,Table1[Bill No.],$B106),IF($K106="PETROL",SUMIFS(Table14[Amount],Table14[Customer],$P$3,Table14[Date],$A106,Table14[Bill No.],$B106),IF($K106="XtraGreen",SUMIFS(Table146[Amount],Table146[Company],$P$3,Table146[Date],$A106,Table146[Bill No.],$B106),SUMIFS('Other Sale'!$D:$D,'Other Sale'!$E:$E,$P$3,'Other Sale'!$C:$C,$K106,'Other Sale'!$A:$A,$A106)))))</f>
        <v/>
      </c>
      <c r="F106" s="330" t="str" cm="1">
        <f t="array" ref="F106">IF($A106="","",IF($K106="Payment",IFERROR(INDEX(_xlfn._xlws.FILTER(MasterPaid[Amount Paid],(MasterPaid[Customer]=$P$3)*(MasterPaid[Date]=$A106)),COUNTIFS($A$6:$A106,$A106,$K$6:$K106,"Payment")),0),0))</f>
        <v/>
      </c>
      <c r="G106" s="331" t="s">
        <v>13</v>
      </c>
      <c r="H106" s="331"/>
      <c r="I106" s="330" t="str">
        <f t="shared" si="12"/>
        <v/>
      </c>
      <c r="J106" s="275"/>
      <c r="K106" s="289" t="str" cm="1">
        <f t="array" ref="K106">IFERROR(INDEX(_xlfn.ANCHORARRAY($R$6),ROW()-5,3),"")</f>
        <v/>
      </c>
      <c r="L106" s="430" t="str" cm="1">
        <f t="array" ref="L106">IF(OR($A106="",$J106="",$K106&lt;&gt;"DIESEL"),"",_xlfn.LET(_xlpm.qty,N($C106),_xlpm.pos,IF($J106="UNIT 1",$V$5:$V$54,$AC$5:$AC$54),_xlpm.alo,IF($J106="UNIT 1",$W$5:$W$54,$AD$5:$AD$54),_xlpm.usd,SUMIFS($C$6:$C105,$L$6:$L105,_xlpm.pos&amp;"",$J$6:$J105,$J106),_xlpm.bal,N(_xlpm.alo)-_xlpm.usd,IFERROR(INDEX(_xlfn._xlws.FILTER(_xlpm.pos,(_xlpm.pos&lt;&gt;"")*(_xlpm.qty&gt;0)*(_xlpm.bal&gt;=_xlpm.qty)),1),"")))</f>
        <v/>
      </c>
      <c r="M106" s="290"/>
      <c r="AQ106" s="409"/>
      <c r="AR106" s="410"/>
      <c r="AS106" s="410"/>
      <c r="AT106" s="411"/>
      <c r="AU106" s="412"/>
      <c r="AV106" s="413"/>
      <c r="AW106" s="413"/>
      <c r="AX106" s="413"/>
      <c r="AY106" s="413"/>
      <c r="AZ106" s="413" t="str">
        <f t="shared" si="9"/>
        <v/>
      </c>
      <c r="BB106" s="409"/>
      <c r="BC106" s="410"/>
      <c r="BD106" s="410"/>
      <c r="BE106" s="411"/>
      <c r="BF106" s="412"/>
      <c r="BG106" s="413"/>
      <c r="BH106" s="413"/>
      <c r="BI106" s="413"/>
      <c r="BJ106" s="413"/>
      <c r="BK106" s="413" t="str">
        <f t="shared" si="10"/>
        <v/>
      </c>
    </row>
    <row r="107" spans="1:63" ht="23" x14ac:dyDescent="0.25">
      <c r="A107" s="217" t="str" cm="1">
        <f t="array" ref="A107">IFERROR(INDEX(_xlfn.ANCHORARRAY($R$6),ROW()-5,1),"")</f>
        <v/>
      </c>
      <c r="B107" s="289" t="str" cm="1">
        <f t="array" ref="B107">IFERROR(INDEX(_xlfn.ANCHORARRAY($R$6),ROW()-5,2),"")</f>
        <v/>
      </c>
      <c r="C107" s="218" t="str">
        <f>IF($A107="","",IF($K107="DIESEL",SUMIFS(Table1[Quantity],Table1[Customer],$P$3,Table1[Date],$A107,Table1[Bill No.],$B107),IF($K107="PETROL",SUMIFS(Table14[Quantity],Table14[Customer],$P$3,Table14[Date],$A107,Table14[Bill No.],$B107),IF($K107="XtraGreen",SUMIFS(Table146[Quantity],Table146[Company],$P$3,Table146[Date],$A107,Table146[Bill No.],$B107),""))))</f>
        <v/>
      </c>
      <c r="D107" s="223" t="str">
        <f>IF($A107="","",IF($K107="DIESEL",AVERAGEIFS(Table1[RSP],Table1[Customer],$P$3,Table1[Date],$A107,Table1[Bill No.],$B107),IF($K107="PETROL",AVERAGEIFS(Table14[RSP],Table14[Customer],$P$3,Table14[Date],$A107,Table14[Bill No.],$B107),IF($K107="XtraGreen",AVERAGEIFS(Table146[RSP],Table146[Company],$P$3,Table146[Date],$A107,Table146[Bill No.],$B107),IFERROR($E107/$C107,"")))))</f>
        <v/>
      </c>
      <c r="E107" s="330" t="str">
        <f>IF($A107="","",IF($K107="DIESEL",SUMIFS(Table1[Amount],Table1[Customer],$P$3,Table1[Date],$A107,Table1[Bill No.],$B107),IF($K107="PETROL",SUMIFS(Table14[Amount],Table14[Customer],$P$3,Table14[Date],$A107,Table14[Bill No.],$B107),IF($K107="XtraGreen",SUMIFS(Table146[Amount],Table146[Company],$P$3,Table146[Date],$A107,Table146[Bill No.],$B107),SUMIFS('Other Sale'!$D:$D,'Other Sale'!$E:$E,$P$3,'Other Sale'!$C:$C,$K107,'Other Sale'!$A:$A,$A107)))))</f>
        <v/>
      </c>
      <c r="F107" s="330" t="str" cm="1">
        <f t="array" ref="F107">IF($A107="","",IF($K107="Payment",IFERROR(INDEX(_xlfn._xlws.FILTER(MasterPaid[Amount Paid],(MasterPaid[Customer]=$P$3)*(MasterPaid[Date]=$A107)),COUNTIFS($A$6:$A107,$A107,$K$6:$K107,"Payment")),0),0))</f>
        <v/>
      </c>
      <c r="G107" s="331" t="s">
        <v>13</v>
      </c>
      <c r="H107" s="331"/>
      <c r="I107" s="330" t="str">
        <f t="shared" si="12"/>
        <v/>
      </c>
      <c r="J107" s="275"/>
      <c r="K107" s="289" t="str" cm="1">
        <f t="array" ref="K107">IFERROR(INDEX(_xlfn.ANCHORARRAY($R$6),ROW()-5,3),"")</f>
        <v/>
      </c>
      <c r="L107" s="430" t="str" cm="1">
        <f t="array" ref="L107">IF(OR($A107="",$J107="",$K107&lt;&gt;"DIESEL"),"",_xlfn.LET(_xlpm.qty,N($C107),_xlpm.pos,IF($J107="UNIT 1",$V$5:$V$54,$AC$5:$AC$54),_xlpm.alo,IF($J107="UNIT 1",$W$5:$W$54,$AD$5:$AD$54),_xlpm.usd,SUMIFS($C$6:$C106,$L$6:$L106,_xlpm.pos&amp;"",$J$6:$J106,$J107),_xlpm.bal,N(_xlpm.alo)-_xlpm.usd,IFERROR(INDEX(_xlfn._xlws.FILTER(_xlpm.pos,(_xlpm.pos&lt;&gt;"")*(_xlpm.qty&gt;0)*(_xlpm.bal&gt;=_xlpm.qty)),1),"")))</f>
        <v/>
      </c>
      <c r="M107" s="290"/>
      <c r="AQ107" s="409"/>
      <c r="AR107" s="410"/>
      <c r="AS107" s="410"/>
      <c r="AT107" s="411"/>
      <c r="AU107" s="412"/>
      <c r="AV107" s="413"/>
      <c r="AW107" s="413"/>
      <c r="AX107" s="413"/>
      <c r="AY107" s="413"/>
      <c r="AZ107" s="413" t="str">
        <f t="shared" si="9"/>
        <v/>
      </c>
      <c r="BB107" s="409"/>
      <c r="BC107" s="410"/>
      <c r="BD107" s="410"/>
      <c r="BE107" s="411"/>
      <c r="BF107" s="412"/>
      <c r="BG107" s="413"/>
      <c r="BH107" s="413"/>
      <c r="BI107" s="413"/>
      <c r="BJ107" s="413"/>
      <c r="BK107" s="413" t="str">
        <f t="shared" si="10"/>
        <v/>
      </c>
    </row>
    <row r="108" spans="1:63" ht="23" x14ac:dyDescent="0.25">
      <c r="A108" s="217" t="str" cm="1">
        <f t="array" ref="A108">IFERROR(INDEX(_xlfn.ANCHORARRAY($R$6),ROW()-5,1),"")</f>
        <v/>
      </c>
      <c r="B108" s="289" t="str" cm="1">
        <f t="array" ref="B108">IFERROR(INDEX(_xlfn.ANCHORARRAY($R$6),ROW()-5,2),"")</f>
        <v/>
      </c>
      <c r="C108" s="218" t="str">
        <f>IF($A108="","",IF($K108="DIESEL",SUMIFS(Table1[Quantity],Table1[Customer],$P$3,Table1[Date],$A108,Table1[Bill No.],$B108),IF($K108="PETROL",SUMIFS(Table14[Quantity],Table14[Customer],$P$3,Table14[Date],$A108,Table14[Bill No.],$B108),IF($K108="XtraGreen",SUMIFS(Table146[Quantity],Table146[Company],$P$3,Table146[Date],$A108,Table146[Bill No.],$B108),""))))</f>
        <v/>
      </c>
      <c r="D108" s="223" t="str">
        <f>IF($A108="","",IF($K108="DIESEL",AVERAGEIFS(Table1[RSP],Table1[Customer],$P$3,Table1[Date],$A108,Table1[Bill No.],$B108),IF($K108="PETROL",AVERAGEIFS(Table14[RSP],Table14[Customer],$P$3,Table14[Date],$A108,Table14[Bill No.],$B108),IF($K108="XtraGreen",AVERAGEIFS(Table146[RSP],Table146[Company],$P$3,Table146[Date],$A108,Table146[Bill No.],$B108),IFERROR($E108/$C108,"")))))</f>
        <v/>
      </c>
      <c r="E108" s="330" t="str">
        <f>IF($A108="","",IF($K108="DIESEL",SUMIFS(Table1[Amount],Table1[Customer],$P$3,Table1[Date],$A108,Table1[Bill No.],$B108),IF($K108="PETROL",SUMIFS(Table14[Amount],Table14[Customer],$P$3,Table14[Date],$A108,Table14[Bill No.],$B108),IF($K108="XtraGreen",SUMIFS(Table146[Amount],Table146[Company],$P$3,Table146[Date],$A108,Table146[Bill No.],$B108),SUMIFS('Other Sale'!$D:$D,'Other Sale'!$E:$E,$P$3,'Other Sale'!$C:$C,$K108,'Other Sale'!$A:$A,$A108)))))</f>
        <v/>
      </c>
      <c r="F108" s="330" t="str" cm="1">
        <f t="array" ref="F108">IF($A108="","",IF($K108="Payment",IFERROR(INDEX(_xlfn._xlws.FILTER(MasterPaid[Amount Paid],(MasterPaid[Customer]=$P$3)*(MasterPaid[Date]=$A108)),COUNTIFS($A$6:$A108,$A108,$K$6:$K108,"Payment")),0),0))</f>
        <v/>
      </c>
      <c r="G108" s="331" t="s">
        <v>13</v>
      </c>
      <c r="H108" s="331"/>
      <c r="I108" s="330" t="str">
        <f t="shared" si="12"/>
        <v/>
      </c>
      <c r="J108" s="275"/>
      <c r="K108" s="289" t="str" cm="1">
        <f t="array" ref="K108">IFERROR(INDEX(_xlfn.ANCHORARRAY($R$6),ROW()-5,3),"")</f>
        <v/>
      </c>
      <c r="L108" s="430" t="str" cm="1">
        <f t="array" ref="L108">IF(OR($A108="",$J108="",$K108&lt;&gt;"DIESEL"),"",_xlfn.LET(_xlpm.qty,N($C108),_xlpm.pos,IF($J108="UNIT 1",$V$5:$V$54,$AC$5:$AC$54),_xlpm.alo,IF($J108="UNIT 1",$W$5:$W$54,$AD$5:$AD$54),_xlpm.usd,SUMIFS($C$6:$C107,$L$6:$L107,_xlpm.pos&amp;"",$J$6:$J107,$J108),_xlpm.bal,N(_xlpm.alo)-_xlpm.usd,IFERROR(INDEX(_xlfn._xlws.FILTER(_xlpm.pos,(_xlpm.pos&lt;&gt;"")*(_xlpm.qty&gt;0)*(_xlpm.bal&gt;=_xlpm.qty)),1),"")))</f>
        <v/>
      </c>
      <c r="M108" s="290"/>
      <c r="AQ108" s="409"/>
      <c r="AR108" s="410"/>
      <c r="AS108" s="410"/>
      <c r="AT108" s="411"/>
      <c r="AU108" s="412"/>
      <c r="AV108" s="413"/>
      <c r="AW108" s="413"/>
      <c r="AX108" s="413"/>
      <c r="AY108" s="413"/>
      <c r="AZ108" s="413" t="str">
        <f t="shared" si="9"/>
        <v/>
      </c>
      <c r="BB108" s="409"/>
      <c r="BC108" s="410"/>
      <c r="BD108" s="410"/>
      <c r="BE108" s="411"/>
      <c r="BF108" s="412"/>
      <c r="BG108" s="413"/>
      <c r="BH108" s="413"/>
      <c r="BI108" s="413"/>
      <c r="BJ108" s="413"/>
      <c r="BK108" s="413" t="str">
        <f t="shared" si="10"/>
        <v/>
      </c>
    </row>
    <row r="109" spans="1:63" ht="23" x14ac:dyDescent="0.25">
      <c r="A109" s="217" t="str" cm="1">
        <f t="array" ref="A109">IFERROR(INDEX(_xlfn.ANCHORARRAY($R$6),ROW()-5,1),"")</f>
        <v/>
      </c>
      <c r="B109" s="289" t="str" cm="1">
        <f t="array" ref="B109">IFERROR(INDEX(_xlfn.ANCHORARRAY($R$6),ROW()-5,2),"")</f>
        <v/>
      </c>
      <c r="C109" s="218" t="str">
        <f>IF($A109="","",IF($K109="DIESEL",SUMIFS(Table1[Quantity],Table1[Customer],$P$3,Table1[Date],$A109,Table1[Bill No.],$B109),IF($K109="PETROL",SUMIFS(Table14[Quantity],Table14[Customer],$P$3,Table14[Date],$A109,Table14[Bill No.],$B109),IF($K109="XtraGreen",SUMIFS(Table146[Quantity],Table146[Company],$P$3,Table146[Date],$A109,Table146[Bill No.],$B109),""))))</f>
        <v/>
      </c>
      <c r="D109" s="223" t="str">
        <f>IF($A109="","",IF($K109="DIESEL",AVERAGEIFS(Table1[RSP],Table1[Customer],$P$3,Table1[Date],$A109,Table1[Bill No.],$B109),IF($K109="PETROL",AVERAGEIFS(Table14[RSP],Table14[Customer],$P$3,Table14[Date],$A109,Table14[Bill No.],$B109),IF($K109="XtraGreen",AVERAGEIFS(Table146[RSP],Table146[Company],$P$3,Table146[Date],$A109,Table146[Bill No.],$B109),IFERROR($E109/$C109,"")))))</f>
        <v/>
      </c>
      <c r="E109" s="330" t="str">
        <f>IF($A109="","",IF($K109="DIESEL",SUMIFS(Table1[Amount],Table1[Customer],$P$3,Table1[Date],$A109,Table1[Bill No.],$B109),IF($K109="PETROL",SUMIFS(Table14[Amount],Table14[Customer],$P$3,Table14[Date],$A109,Table14[Bill No.],$B109),IF($K109="XtraGreen",SUMIFS(Table146[Amount],Table146[Company],$P$3,Table146[Date],$A109,Table146[Bill No.],$B109),SUMIFS('Other Sale'!$D:$D,'Other Sale'!$E:$E,$P$3,'Other Sale'!$C:$C,$K109,'Other Sale'!$A:$A,$A109)))))</f>
        <v/>
      </c>
      <c r="F109" s="330" t="str" cm="1">
        <f t="array" ref="F109">IF($A109="","",IF($K109="Payment",IFERROR(INDEX(_xlfn._xlws.FILTER(MasterPaid[Amount Paid],(MasterPaid[Customer]=$P$3)*(MasterPaid[Date]=$A109)),COUNTIFS($A$6:$A109,$A109,$K$6:$K109,"Payment")),0),0))</f>
        <v/>
      </c>
      <c r="G109" s="331" t="s">
        <v>13</v>
      </c>
      <c r="H109" s="331"/>
      <c r="I109" s="330" t="str">
        <f t="shared" si="12"/>
        <v/>
      </c>
      <c r="J109" s="275"/>
      <c r="K109" s="289" t="str" cm="1">
        <f t="array" ref="K109">IFERROR(INDEX(_xlfn.ANCHORARRAY($R$6),ROW()-5,3),"")</f>
        <v/>
      </c>
      <c r="L109" s="430" t="str" cm="1">
        <f t="array" ref="L109">IF(OR($A109="",$J109="",$K109&lt;&gt;"DIESEL"),"",_xlfn.LET(_xlpm.qty,N($C109),_xlpm.pos,IF($J109="UNIT 1",$V$5:$V$54,$AC$5:$AC$54),_xlpm.alo,IF($J109="UNIT 1",$W$5:$W$54,$AD$5:$AD$54),_xlpm.usd,SUMIFS($C$6:$C108,$L$6:$L108,_xlpm.pos&amp;"",$J$6:$J108,$J109),_xlpm.bal,N(_xlpm.alo)-_xlpm.usd,IFERROR(INDEX(_xlfn._xlws.FILTER(_xlpm.pos,(_xlpm.pos&lt;&gt;"")*(_xlpm.qty&gt;0)*(_xlpm.bal&gt;=_xlpm.qty)),1),"")))</f>
        <v/>
      </c>
      <c r="M109" s="290"/>
      <c r="AQ109" s="409"/>
      <c r="AR109" s="410"/>
      <c r="AS109" s="410"/>
      <c r="AT109" s="411"/>
      <c r="AU109" s="412"/>
      <c r="AV109" s="413"/>
      <c r="AW109" s="413"/>
      <c r="AX109" s="413"/>
      <c r="AY109" s="413"/>
      <c r="AZ109" s="413" t="str">
        <f t="shared" si="9"/>
        <v/>
      </c>
      <c r="BB109" s="409"/>
      <c r="BC109" s="410"/>
      <c r="BD109" s="410"/>
      <c r="BE109" s="411"/>
      <c r="BF109" s="412"/>
      <c r="BG109" s="413"/>
      <c r="BH109" s="413"/>
      <c r="BI109" s="413"/>
      <c r="BJ109" s="413"/>
      <c r="BK109" s="413" t="str">
        <f t="shared" si="10"/>
        <v/>
      </c>
    </row>
    <row r="110" spans="1:63" ht="23" x14ac:dyDescent="0.25">
      <c r="A110" s="217" t="str" cm="1">
        <f t="array" ref="A110">IFERROR(INDEX(_xlfn.ANCHORARRAY($R$6),ROW()-5,1),"")</f>
        <v/>
      </c>
      <c r="B110" s="289" t="str" cm="1">
        <f t="array" ref="B110">IFERROR(INDEX(_xlfn.ANCHORARRAY($R$6),ROW()-5,2),"")</f>
        <v/>
      </c>
      <c r="C110" s="218" t="str">
        <f>IF($A110="","",IF($K110="DIESEL",SUMIFS(Table1[Quantity],Table1[Customer],$P$3,Table1[Date],$A110,Table1[Bill No.],$B110),IF($K110="PETROL",SUMIFS(Table14[Quantity],Table14[Customer],$P$3,Table14[Date],$A110,Table14[Bill No.],$B110),IF($K110="XtraGreen",SUMIFS(Table146[Quantity],Table146[Company],$P$3,Table146[Date],$A110,Table146[Bill No.],$B110),""))))</f>
        <v/>
      </c>
      <c r="D110" s="223" t="str">
        <f>IF($A110="","",IF($K110="DIESEL",AVERAGEIFS(Table1[RSP],Table1[Customer],$P$3,Table1[Date],$A110,Table1[Bill No.],$B110),IF($K110="PETROL",AVERAGEIFS(Table14[RSP],Table14[Customer],$P$3,Table14[Date],$A110,Table14[Bill No.],$B110),IF($K110="XtraGreen",AVERAGEIFS(Table146[RSP],Table146[Company],$P$3,Table146[Date],$A110,Table146[Bill No.],$B110),IFERROR($E110/$C110,"")))))</f>
        <v/>
      </c>
      <c r="E110" s="330" t="str">
        <f>IF($A110="","",IF($K110="DIESEL",SUMIFS(Table1[Amount],Table1[Customer],$P$3,Table1[Date],$A110,Table1[Bill No.],$B110),IF($K110="PETROL",SUMIFS(Table14[Amount],Table14[Customer],$P$3,Table14[Date],$A110,Table14[Bill No.],$B110),IF($K110="XtraGreen",SUMIFS(Table146[Amount],Table146[Company],$P$3,Table146[Date],$A110,Table146[Bill No.],$B110),SUMIFS('Other Sale'!$D:$D,'Other Sale'!$E:$E,$P$3,'Other Sale'!$C:$C,$K110,'Other Sale'!$A:$A,$A110)))))</f>
        <v/>
      </c>
      <c r="F110" s="330" t="str" cm="1">
        <f t="array" ref="F110">IF($A110="","",IF($K110="Payment",IFERROR(INDEX(_xlfn._xlws.FILTER(MasterPaid[Amount Paid],(MasterPaid[Customer]=$P$3)*(MasterPaid[Date]=$A110)),COUNTIFS($A$6:$A110,$A110,$K$6:$K110,"Payment")),0),0))</f>
        <v/>
      </c>
      <c r="G110" s="331" t="s">
        <v>13</v>
      </c>
      <c r="H110" s="331"/>
      <c r="I110" s="330" t="str">
        <f t="shared" si="12"/>
        <v/>
      </c>
      <c r="J110" s="275"/>
      <c r="K110" s="289" t="str" cm="1">
        <f t="array" ref="K110">IFERROR(INDEX(_xlfn.ANCHORARRAY($R$6),ROW()-5,3),"")</f>
        <v/>
      </c>
      <c r="L110" s="430" t="str" cm="1">
        <f t="array" ref="L110">IF(OR($A110="",$J110="",$K110&lt;&gt;"DIESEL"),"",_xlfn.LET(_xlpm.qty,N($C110),_xlpm.pos,IF($J110="UNIT 1",$V$5:$V$54,$AC$5:$AC$54),_xlpm.alo,IF($J110="UNIT 1",$W$5:$W$54,$AD$5:$AD$54),_xlpm.usd,SUMIFS($C$6:$C109,$L$6:$L109,_xlpm.pos&amp;"",$J$6:$J109,$J110),_xlpm.bal,N(_xlpm.alo)-_xlpm.usd,IFERROR(INDEX(_xlfn._xlws.FILTER(_xlpm.pos,(_xlpm.pos&lt;&gt;"")*(_xlpm.qty&gt;0)*(_xlpm.bal&gt;=_xlpm.qty)),1),"")))</f>
        <v/>
      </c>
      <c r="M110" s="290"/>
      <c r="AQ110" s="409"/>
      <c r="AR110" s="410"/>
      <c r="AS110" s="410"/>
      <c r="AT110" s="411"/>
      <c r="AU110" s="412"/>
      <c r="AV110" s="413"/>
      <c r="AW110" s="413"/>
      <c r="AX110" s="413"/>
      <c r="AY110" s="413"/>
      <c r="AZ110" s="413" t="str">
        <f t="shared" si="9"/>
        <v/>
      </c>
      <c r="BB110" s="409"/>
      <c r="BC110" s="410"/>
      <c r="BD110" s="410"/>
      <c r="BE110" s="411"/>
      <c r="BF110" s="412"/>
      <c r="BG110" s="413"/>
      <c r="BH110" s="413"/>
      <c r="BI110" s="413"/>
      <c r="BJ110" s="413"/>
      <c r="BK110" s="413" t="str">
        <f t="shared" si="10"/>
        <v/>
      </c>
    </row>
    <row r="111" spans="1:63" ht="23" x14ac:dyDescent="0.25">
      <c r="A111" s="217" t="str" cm="1">
        <f t="array" ref="A111">IFERROR(INDEX(_xlfn.ANCHORARRAY($R$6),ROW()-5,1),"")</f>
        <v/>
      </c>
      <c r="B111" s="289" t="str" cm="1">
        <f t="array" ref="B111">IFERROR(INDEX(_xlfn.ANCHORARRAY($R$6),ROW()-5,2),"")</f>
        <v/>
      </c>
      <c r="C111" s="218" t="str">
        <f>IF($A111="","",IF($K111="DIESEL",SUMIFS(Table1[Quantity],Table1[Customer],$P$3,Table1[Date],$A111,Table1[Bill No.],$B111),IF($K111="PETROL",SUMIFS(Table14[Quantity],Table14[Customer],$P$3,Table14[Date],$A111,Table14[Bill No.],$B111),IF($K111="XtraGreen",SUMIFS(Table146[Quantity],Table146[Company],$P$3,Table146[Date],$A111,Table146[Bill No.],$B111),""))))</f>
        <v/>
      </c>
      <c r="D111" s="223" t="str">
        <f>IF($A111="","",IF($K111="DIESEL",AVERAGEIFS(Table1[RSP],Table1[Customer],$P$3,Table1[Date],$A111,Table1[Bill No.],$B111),IF($K111="PETROL",AVERAGEIFS(Table14[RSP],Table14[Customer],$P$3,Table14[Date],$A111,Table14[Bill No.],$B111),IF($K111="XtraGreen",AVERAGEIFS(Table146[RSP],Table146[Company],$P$3,Table146[Date],$A111,Table146[Bill No.],$B111),IFERROR($E111/$C111,"")))))</f>
        <v/>
      </c>
      <c r="E111" s="330" t="str">
        <f>IF($A111="","",IF($K111="DIESEL",SUMIFS(Table1[Amount],Table1[Customer],$P$3,Table1[Date],$A111,Table1[Bill No.],$B111),IF($K111="PETROL",SUMIFS(Table14[Amount],Table14[Customer],$P$3,Table14[Date],$A111,Table14[Bill No.],$B111),IF($K111="XtraGreen",SUMIFS(Table146[Amount],Table146[Company],$P$3,Table146[Date],$A111,Table146[Bill No.],$B111),SUMIFS('Other Sale'!$D:$D,'Other Sale'!$E:$E,$P$3,'Other Sale'!$C:$C,$K111,'Other Sale'!$A:$A,$A111)))))</f>
        <v/>
      </c>
      <c r="F111" s="330" t="str" cm="1">
        <f t="array" ref="F111">IF($A111="","",IF($K111="Payment",IFERROR(INDEX(_xlfn._xlws.FILTER(MasterPaid[Amount Paid],(MasterPaid[Customer]=$P$3)*(MasterPaid[Date]=$A111)),COUNTIFS($A$6:$A111,$A111,$K$6:$K111,"Payment")),0),0))</f>
        <v/>
      </c>
      <c r="G111" s="331" t="s">
        <v>13</v>
      </c>
      <c r="H111" s="331"/>
      <c r="I111" s="330" t="str">
        <f t="shared" si="12"/>
        <v/>
      </c>
      <c r="J111" s="275"/>
      <c r="K111" s="289" t="str" cm="1">
        <f t="array" ref="K111">IFERROR(INDEX(_xlfn.ANCHORARRAY($R$6),ROW()-5,3),"")</f>
        <v/>
      </c>
      <c r="L111" s="430" t="str" cm="1">
        <f t="array" ref="L111">IF(OR($A111="",$J111="",$K111&lt;&gt;"DIESEL"),"",_xlfn.LET(_xlpm.qty,N($C111),_xlpm.pos,IF($J111="UNIT 1",$V$5:$V$54,$AC$5:$AC$54),_xlpm.alo,IF($J111="UNIT 1",$W$5:$W$54,$AD$5:$AD$54),_xlpm.usd,SUMIFS($C$6:$C110,$L$6:$L110,_xlpm.pos&amp;"",$J$6:$J110,$J111),_xlpm.bal,N(_xlpm.alo)-_xlpm.usd,IFERROR(INDEX(_xlfn._xlws.FILTER(_xlpm.pos,(_xlpm.pos&lt;&gt;"")*(_xlpm.qty&gt;0)*(_xlpm.bal&gt;=_xlpm.qty)),1),"")))</f>
        <v/>
      </c>
      <c r="M111" s="290"/>
      <c r="AQ111" s="409"/>
      <c r="AR111" s="410"/>
      <c r="AS111" s="410"/>
      <c r="AT111" s="411"/>
      <c r="AU111" s="412"/>
      <c r="AV111" s="413"/>
      <c r="AW111" s="413"/>
      <c r="AX111" s="413"/>
      <c r="AY111" s="413"/>
      <c r="AZ111" s="413" t="str">
        <f t="shared" si="9"/>
        <v/>
      </c>
      <c r="BB111" s="409"/>
      <c r="BC111" s="410"/>
      <c r="BD111" s="410"/>
      <c r="BE111" s="411"/>
      <c r="BF111" s="412"/>
      <c r="BG111" s="413"/>
      <c r="BH111" s="413"/>
      <c r="BI111" s="413"/>
      <c r="BJ111" s="413"/>
      <c r="BK111" s="413" t="str">
        <f t="shared" si="10"/>
        <v/>
      </c>
    </row>
    <row r="112" spans="1:63" ht="23" x14ac:dyDescent="0.25">
      <c r="A112" s="217" t="str" cm="1">
        <f t="array" ref="A112">IFERROR(INDEX(_xlfn.ANCHORARRAY($R$6),ROW()-5,1),"")</f>
        <v/>
      </c>
      <c r="B112" s="289" t="str" cm="1">
        <f t="array" ref="B112">IFERROR(INDEX(_xlfn.ANCHORARRAY($R$6),ROW()-5,2),"")</f>
        <v/>
      </c>
      <c r="C112" s="218" t="str">
        <f>IF($A112="","",IF($K112="DIESEL",SUMIFS(Table1[Quantity],Table1[Customer],$P$3,Table1[Date],$A112,Table1[Bill No.],$B112),IF($K112="PETROL",SUMIFS(Table14[Quantity],Table14[Customer],$P$3,Table14[Date],$A112,Table14[Bill No.],$B112),IF($K112="XtraGreen",SUMIFS(Table146[Quantity],Table146[Company],$P$3,Table146[Date],$A112,Table146[Bill No.],$B112),""))))</f>
        <v/>
      </c>
      <c r="D112" s="223" t="str">
        <f>IF($A112="","",IF($K112="DIESEL",AVERAGEIFS(Table1[RSP],Table1[Customer],$P$3,Table1[Date],$A112,Table1[Bill No.],$B112),IF($K112="PETROL",AVERAGEIFS(Table14[RSP],Table14[Customer],$P$3,Table14[Date],$A112,Table14[Bill No.],$B112),IF($K112="XtraGreen",AVERAGEIFS(Table146[RSP],Table146[Company],$P$3,Table146[Date],$A112,Table146[Bill No.],$B112),IFERROR($E112/$C112,"")))))</f>
        <v/>
      </c>
      <c r="E112" s="330" t="str">
        <f>IF($A112="","",IF($K112="DIESEL",SUMIFS(Table1[Amount],Table1[Customer],$P$3,Table1[Date],$A112,Table1[Bill No.],$B112),IF($K112="PETROL",SUMIFS(Table14[Amount],Table14[Customer],$P$3,Table14[Date],$A112,Table14[Bill No.],$B112),IF($K112="XtraGreen",SUMIFS(Table146[Amount],Table146[Company],$P$3,Table146[Date],$A112,Table146[Bill No.],$B112),SUMIFS('Other Sale'!$D:$D,'Other Sale'!$E:$E,$P$3,'Other Sale'!$C:$C,$K112,'Other Sale'!$A:$A,$A112)))))</f>
        <v/>
      </c>
      <c r="F112" s="330" t="str" cm="1">
        <f t="array" ref="F112">IF($A112="","",IF($K112="Payment",IFERROR(INDEX(_xlfn._xlws.FILTER(MasterPaid[Amount Paid],(MasterPaid[Customer]=$P$3)*(MasterPaid[Date]=$A112)),COUNTIFS($A$6:$A112,$A112,$K$6:$K112,"Payment")),0),0))</f>
        <v/>
      </c>
      <c r="G112" s="331" t="s">
        <v>13</v>
      </c>
      <c r="H112" s="331"/>
      <c r="I112" s="330" t="str">
        <f t="shared" si="12"/>
        <v/>
      </c>
      <c r="J112" s="275"/>
      <c r="K112" s="289" t="str" cm="1">
        <f t="array" ref="K112">IFERROR(INDEX(_xlfn.ANCHORARRAY($R$6),ROW()-5,3),"")</f>
        <v/>
      </c>
      <c r="L112" s="430" t="str" cm="1">
        <f t="array" ref="L112">IF(OR($A112="",$J112="",$K112&lt;&gt;"DIESEL"),"",_xlfn.LET(_xlpm.qty,N($C112),_xlpm.pos,IF($J112="UNIT 1",$V$5:$V$54,$AC$5:$AC$54),_xlpm.alo,IF($J112="UNIT 1",$W$5:$W$54,$AD$5:$AD$54),_xlpm.usd,SUMIFS($C$6:$C111,$L$6:$L111,_xlpm.pos&amp;"",$J$6:$J111,$J112),_xlpm.bal,N(_xlpm.alo)-_xlpm.usd,IFERROR(INDEX(_xlfn._xlws.FILTER(_xlpm.pos,(_xlpm.pos&lt;&gt;"")*(_xlpm.qty&gt;0)*(_xlpm.bal&gt;=_xlpm.qty)),1),"")))</f>
        <v/>
      </c>
      <c r="M112" s="290"/>
      <c r="AQ112" s="409"/>
      <c r="AR112" s="410"/>
      <c r="AS112" s="410"/>
      <c r="AT112" s="411"/>
      <c r="AU112" s="412"/>
      <c r="AV112" s="413"/>
      <c r="AW112" s="413"/>
      <c r="AX112" s="413"/>
      <c r="AY112" s="413"/>
      <c r="AZ112" s="413" t="str">
        <f t="shared" si="9"/>
        <v/>
      </c>
      <c r="BB112" s="409"/>
      <c r="BC112" s="410"/>
      <c r="BD112" s="410"/>
      <c r="BE112" s="411"/>
      <c r="BF112" s="412"/>
      <c r="BG112" s="413"/>
      <c r="BH112" s="413"/>
      <c r="BI112" s="413"/>
      <c r="BJ112" s="413"/>
      <c r="BK112" s="413" t="str">
        <f t="shared" si="10"/>
        <v/>
      </c>
    </row>
    <row r="113" spans="1:63" ht="23" x14ac:dyDescent="0.25">
      <c r="A113" s="217" t="str" cm="1">
        <f t="array" ref="A113">IFERROR(INDEX(_xlfn.ANCHORARRAY($R$6),ROW()-5,1),"")</f>
        <v/>
      </c>
      <c r="B113" s="289" t="str" cm="1">
        <f t="array" ref="B113">IFERROR(INDEX(_xlfn.ANCHORARRAY($R$6),ROW()-5,2),"")</f>
        <v/>
      </c>
      <c r="C113" s="218" t="str">
        <f>IF($A113="","",IF($K113="DIESEL",SUMIFS(Table1[Quantity],Table1[Customer],$P$3,Table1[Date],$A113,Table1[Bill No.],$B113),IF($K113="PETROL",SUMIFS(Table14[Quantity],Table14[Customer],$P$3,Table14[Date],$A113,Table14[Bill No.],$B113),IF($K113="XtraGreen",SUMIFS(Table146[Quantity],Table146[Company],$P$3,Table146[Date],$A113,Table146[Bill No.],$B113),""))))</f>
        <v/>
      </c>
      <c r="D113" s="223" t="str">
        <f>IF($A113="","",IF($K113="DIESEL",AVERAGEIFS(Table1[RSP],Table1[Customer],$P$3,Table1[Date],$A113,Table1[Bill No.],$B113),IF($K113="PETROL",AVERAGEIFS(Table14[RSP],Table14[Customer],$P$3,Table14[Date],$A113,Table14[Bill No.],$B113),IF($K113="XtraGreen",AVERAGEIFS(Table146[RSP],Table146[Company],$P$3,Table146[Date],$A113,Table146[Bill No.],$B113),IFERROR($E113/$C113,"")))))</f>
        <v/>
      </c>
      <c r="E113" s="330" t="str">
        <f>IF($A113="","",IF($K113="DIESEL",SUMIFS(Table1[Amount],Table1[Customer],$P$3,Table1[Date],$A113,Table1[Bill No.],$B113),IF($K113="PETROL",SUMIFS(Table14[Amount],Table14[Customer],$P$3,Table14[Date],$A113,Table14[Bill No.],$B113),IF($K113="XtraGreen",SUMIFS(Table146[Amount],Table146[Company],$P$3,Table146[Date],$A113,Table146[Bill No.],$B113),SUMIFS('Other Sale'!$D:$D,'Other Sale'!$E:$E,$P$3,'Other Sale'!$C:$C,$K113,'Other Sale'!$A:$A,$A113)))))</f>
        <v/>
      </c>
      <c r="F113" s="330" t="str" cm="1">
        <f t="array" ref="F113">IF($A113="","",IF($K113="Payment",IFERROR(INDEX(_xlfn._xlws.FILTER(MasterPaid[Amount Paid],(MasterPaid[Customer]=$P$3)*(MasterPaid[Date]=$A113)),COUNTIFS($A$6:$A113,$A113,$K$6:$K113,"Payment")),0),0))</f>
        <v/>
      </c>
      <c r="G113" s="331" t="s">
        <v>13</v>
      </c>
      <c r="H113" s="331"/>
      <c r="I113" s="330" t="str">
        <f t="shared" si="12"/>
        <v/>
      </c>
      <c r="J113" s="275"/>
      <c r="K113" s="289" t="str" cm="1">
        <f t="array" ref="K113">IFERROR(INDEX(_xlfn.ANCHORARRAY($R$6),ROW()-5,3),"")</f>
        <v/>
      </c>
      <c r="L113" s="430" t="str" cm="1">
        <f t="array" ref="L113">IF(OR($A113="",$J113="",$K113&lt;&gt;"DIESEL"),"",_xlfn.LET(_xlpm.qty,N($C113),_xlpm.pos,IF($J113="UNIT 1",$V$5:$V$54,$AC$5:$AC$54),_xlpm.alo,IF($J113="UNIT 1",$W$5:$W$54,$AD$5:$AD$54),_xlpm.usd,SUMIFS($C$6:$C112,$L$6:$L112,_xlpm.pos&amp;"",$J$6:$J112,$J113),_xlpm.bal,N(_xlpm.alo)-_xlpm.usd,IFERROR(INDEX(_xlfn._xlws.FILTER(_xlpm.pos,(_xlpm.pos&lt;&gt;"")*(_xlpm.qty&gt;0)*(_xlpm.bal&gt;=_xlpm.qty)),1),"")))</f>
        <v/>
      </c>
      <c r="M113" s="290"/>
      <c r="AQ113" s="409"/>
      <c r="AR113" s="410"/>
      <c r="AS113" s="410"/>
      <c r="AT113" s="411"/>
      <c r="AU113" s="412"/>
      <c r="AV113" s="413"/>
      <c r="AW113" s="413"/>
      <c r="AX113" s="413"/>
      <c r="AY113" s="413"/>
      <c r="AZ113" s="413" t="str">
        <f t="shared" si="9"/>
        <v/>
      </c>
      <c r="BB113" s="409"/>
      <c r="BC113" s="410"/>
      <c r="BD113" s="410"/>
      <c r="BE113" s="411"/>
      <c r="BF113" s="412"/>
      <c r="BG113" s="413"/>
      <c r="BH113" s="413"/>
      <c r="BI113" s="413"/>
      <c r="BJ113" s="413"/>
      <c r="BK113" s="413" t="str">
        <f t="shared" si="10"/>
        <v/>
      </c>
    </row>
    <row r="114" spans="1:63" ht="23" x14ac:dyDescent="0.25">
      <c r="A114" s="217" t="str" cm="1">
        <f t="array" ref="A114">IFERROR(INDEX(_xlfn.ANCHORARRAY($R$6),ROW()-5,1),"")</f>
        <v/>
      </c>
      <c r="B114" s="289" t="str" cm="1">
        <f t="array" ref="B114">IFERROR(INDEX(_xlfn.ANCHORARRAY($R$6),ROW()-5,2),"")</f>
        <v/>
      </c>
      <c r="C114" s="218" t="str">
        <f>IF($A114="","",IF($K114="DIESEL",SUMIFS(Table1[Quantity],Table1[Customer],$P$3,Table1[Date],$A114,Table1[Bill No.],$B114),IF($K114="PETROL",SUMIFS(Table14[Quantity],Table14[Customer],$P$3,Table14[Date],$A114,Table14[Bill No.],$B114),IF($K114="XtraGreen",SUMIFS(Table146[Quantity],Table146[Company],$P$3,Table146[Date],$A114,Table146[Bill No.],$B114),""))))</f>
        <v/>
      </c>
      <c r="D114" s="223" t="str">
        <f>IF($A114="","",IF($K114="DIESEL",AVERAGEIFS(Table1[RSP],Table1[Customer],$P$3,Table1[Date],$A114,Table1[Bill No.],$B114),IF($K114="PETROL",AVERAGEIFS(Table14[RSP],Table14[Customer],$P$3,Table14[Date],$A114,Table14[Bill No.],$B114),IF($K114="XtraGreen",AVERAGEIFS(Table146[RSP],Table146[Company],$P$3,Table146[Date],$A114,Table146[Bill No.],$B114),IFERROR($E114/$C114,"")))))</f>
        <v/>
      </c>
      <c r="E114" s="330" t="str">
        <f>IF($A114="","",IF($K114="DIESEL",SUMIFS(Table1[Amount],Table1[Customer],$P$3,Table1[Date],$A114,Table1[Bill No.],$B114),IF($K114="PETROL",SUMIFS(Table14[Amount],Table14[Customer],$P$3,Table14[Date],$A114,Table14[Bill No.],$B114),IF($K114="XtraGreen",SUMIFS(Table146[Amount],Table146[Company],$P$3,Table146[Date],$A114,Table146[Bill No.],$B114),SUMIFS('Other Sale'!$D:$D,'Other Sale'!$E:$E,$P$3,'Other Sale'!$C:$C,$K114,'Other Sale'!$A:$A,$A114)))))</f>
        <v/>
      </c>
      <c r="F114" s="330" t="str" cm="1">
        <f t="array" ref="F114">IF($A114="","",IF($K114="Payment",IFERROR(INDEX(_xlfn._xlws.FILTER(MasterPaid[Amount Paid],(MasterPaid[Customer]=$P$3)*(MasterPaid[Date]=$A114)),COUNTIFS($A$6:$A114,$A114,$K$6:$K114,"Payment")),0),0))</f>
        <v/>
      </c>
      <c r="G114" s="331" t="s">
        <v>13</v>
      </c>
      <c r="H114" s="331"/>
      <c r="I114" s="330" t="str">
        <f t="shared" si="12"/>
        <v/>
      </c>
      <c r="J114" s="275"/>
      <c r="K114" s="289" t="str" cm="1">
        <f t="array" ref="K114">IFERROR(INDEX(_xlfn.ANCHORARRAY($R$6),ROW()-5,3),"")</f>
        <v/>
      </c>
      <c r="L114" s="430" t="str" cm="1">
        <f t="array" ref="L114">IF(OR($A114="",$J114="",$K114&lt;&gt;"DIESEL"),"",_xlfn.LET(_xlpm.qty,N($C114),_xlpm.pos,IF($J114="UNIT 1",$V$5:$V$54,$AC$5:$AC$54),_xlpm.alo,IF($J114="UNIT 1",$W$5:$W$54,$AD$5:$AD$54),_xlpm.usd,SUMIFS($C$6:$C113,$L$6:$L113,_xlpm.pos&amp;"",$J$6:$J113,$J114),_xlpm.bal,N(_xlpm.alo)-_xlpm.usd,IFERROR(INDEX(_xlfn._xlws.FILTER(_xlpm.pos,(_xlpm.pos&lt;&gt;"")*(_xlpm.qty&gt;0)*(_xlpm.bal&gt;=_xlpm.qty)),1),"")))</f>
        <v/>
      </c>
      <c r="M114" s="290"/>
      <c r="AQ114" s="409"/>
      <c r="AR114" s="410"/>
      <c r="AS114" s="410"/>
      <c r="AT114" s="411"/>
      <c r="AU114" s="412"/>
      <c r="AV114" s="413"/>
      <c r="AW114" s="413"/>
      <c r="AX114" s="413"/>
      <c r="AY114" s="413"/>
      <c r="AZ114" s="413" t="str">
        <f t="shared" si="9"/>
        <v/>
      </c>
      <c r="BB114" s="409"/>
      <c r="BC114" s="410"/>
      <c r="BD114" s="410"/>
      <c r="BE114" s="411"/>
      <c r="BF114" s="412"/>
      <c r="BG114" s="413"/>
      <c r="BH114" s="413"/>
      <c r="BI114" s="413"/>
      <c r="BJ114" s="413"/>
      <c r="BK114" s="413" t="str">
        <f t="shared" si="10"/>
        <v/>
      </c>
    </row>
    <row r="115" spans="1:63" ht="23" x14ac:dyDescent="0.25">
      <c r="A115" s="217" t="str" cm="1">
        <f t="array" ref="A115">IFERROR(INDEX(_xlfn.ANCHORARRAY($R$6),ROW()-5,1),"")</f>
        <v/>
      </c>
      <c r="B115" s="289" t="str" cm="1">
        <f t="array" ref="B115">IFERROR(INDEX(_xlfn.ANCHORARRAY($R$6),ROW()-5,2),"")</f>
        <v/>
      </c>
      <c r="C115" s="218" t="str">
        <f>IF($A115="","",IF($K115="DIESEL",SUMIFS(Table1[Quantity],Table1[Customer],$P$3,Table1[Date],$A115,Table1[Bill No.],$B115),IF($K115="PETROL",SUMIFS(Table14[Quantity],Table14[Customer],$P$3,Table14[Date],$A115,Table14[Bill No.],$B115),IF($K115="XtraGreen",SUMIFS(Table146[Quantity],Table146[Company],$P$3,Table146[Date],$A115,Table146[Bill No.],$B115),""))))</f>
        <v/>
      </c>
      <c r="D115" s="223" t="str">
        <f>IF($A115="","",IF($K115="DIESEL",AVERAGEIFS(Table1[RSP],Table1[Customer],$P$3,Table1[Date],$A115,Table1[Bill No.],$B115),IF($K115="PETROL",AVERAGEIFS(Table14[RSP],Table14[Customer],$P$3,Table14[Date],$A115,Table14[Bill No.],$B115),IF($K115="XtraGreen",AVERAGEIFS(Table146[RSP],Table146[Company],$P$3,Table146[Date],$A115,Table146[Bill No.],$B115),IFERROR($E115/$C115,"")))))</f>
        <v/>
      </c>
      <c r="E115" s="330" t="str">
        <f>IF($A115="","",IF($K115="DIESEL",SUMIFS(Table1[Amount],Table1[Customer],$P$3,Table1[Date],$A115,Table1[Bill No.],$B115),IF($K115="PETROL",SUMIFS(Table14[Amount],Table14[Customer],$P$3,Table14[Date],$A115,Table14[Bill No.],$B115),IF($K115="XtraGreen",SUMIFS(Table146[Amount],Table146[Company],$P$3,Table146[Date],$A115,Table146[Bill No.],$B115),SUMIFS('Other Sale'!$D:$D,'Other Sale'!$E:$E,$P$3,'Other Sale'!$C:$C,$K115,'Other Sale'!$A:$A,$A115)))))</f>
        <v/>
      </c>
      <c r="F115" s="330" t="str" cm="1">
        <f t="array" ref="F115">IF($A115="","",IF($K115="Payment",IFERROR(INDEX(_xlfn._xlws.FILTER(MasterPaid[Amount Paid],(MasterPaid[Customer]=$P$3)*(MasterPaid[Date]=$A115)),COUNTIFS($A$6:$A115,$A115,$K$6:$K115,"Payment")),0),0))</f>
        <v/>
      </c>
      <c r="G115" s="331" t="s">
        <v>13</v>
      </c>
      <c r="H115" s="331"/>
      <c r="I115" s="330" t="str">
        <f t="shared" si="12"/>
        <v/>
      </c>
      <c r="J115" s="275"/>
      <c r="K115" s="289" t="str" cm="1">
        <f t="array" ref="K115">IFERROR(INDEX(_xlfn.ANCHORARRAY($R$6),ROW()-5,3),"")</f>
        <v/>
      </c>
      <c r="L115" s="430" t="str" cm="1">
        <f t="array" ref="L115">IF(OR($A115="",$J115="",$K115&lt;&gt;"DIESEL"),"",_xlfn.LET(_xlpm.qty,N($C115),_xlpm.pos,IF($J115="UNIT 1",$V$5:$V$54,$AC$5:$AC$54),_xlpm.alo,IF($J115="UNIT 1",$W$5:$W$54,$AD$5:$AD$54),_xlpm.usd,SUMIFS($C$6:$C114,$L$6:$L114,_xlpm.pos&amp;"",$J$6:$J114,$J115),_xlpm.bal,N(_xlpm.alo)-_xlpm.usd,IFERROR(INDEX(_xlfn._xlws.FILTER(_xlpm.pos,(_xlpm.pos&lt;&gt;"")*(_xlpm.qty&gt;0)*(_xlpm.bal&gt;=_xlpm.qty)),1),"")))</f>
        <v/>
      </c>
      <c r="M115" s="290"/>
      <c r="AQ115" s="409"/>
      <c r="AR115" s="410"/>
      <c r="AS115" s="410"/>
      <c r="AT115" s="411"/>
      <c r="AU115" s="412"/>
      <c r="AV115" s="413"/>
      <c r="AW115" s="413"/>
      <c r="AX115" s="413"/>
      <c r="AY115" s="413"/>
      <c r="AZ115" s="413" t="str">
        <f t="shared" si="9"/>
        <v/>
      </c>
      <c r="BB115" s="409"/>
      <c r="BC115" s="410"/>
      <c r="BD115" s="410"/>
      <c r="BE115" s="411"/>
      <c r="BF115" s="412"/>
      <c r="BG115" s="413"/>
      <c r="BH115" s="413"/>
      <c r="BI115" s="413"/>
      <c r="BJ115" s="413"/>
      <c r="BK115" s="413" t="str">
        <f t="shared" si="10"/>
        <v/>
      </c>
    </row>
    <row r="116" spans="1:63" ht="23" x14ac:dyDescent="0.25">
      <c r="A116" s="217" t="str" cm="1">
        <f t="array" ref="A116">IFERROR(INDEX(_xlfn.ANCHORARRAY($R$6),ROW()-5,1),"")</f>
        <v/>
      </c>
      <c r="B116" s="289" t="str" cm="1">
        <f t="array" ref="B116">IFERROR(INDEX(_xlfn.ANCHORARRAY($R$6),ROW()-5,2),"")</f>
        <v/>
      </c>
      <c r="C116" s="218" t="str">
        <f>IF($A116="","",IF($K116="DIESEL",SUMIFS(Table1[Quantity],Table1[Customer],$P$3,Table1[Date],$A116,Table1[Bill No.],$B116),IF($K116="PETROL",SUMIFS(Table14[Quantity],Table14[Customer],$P$3,Table14[Date],$A116,Table14[Bill No.],$B116),IF($K116="XtraGreen",SUMIFS(Table146[Quantity],Table146[Company],$P$3,Table146[Date],$A116,Table146[Bill No.],$B116),""))))</f>
        <v/>
      </c>
      <c r="D116" s="223" t="str">
        <f>IF($A116="","",IF($K116="DIESEL",AVERAGEIFS(Table1[RSP],Table1[Customer],$P$3,Table1[Date],$A116,Table1[Bill No.],$B116),IF($K116="PETROL",AVERAGEIFS(Table14[RSP],Table14[Customer],$P$3,Table14[Date],$A116,Table14[Bill No.],$B116),IF($K116="XtraGreen",AVERAGEIFS(Table146[RSP],Table146[Company],$P$3,Table146[Date],$A116,Table146[Bill No.],$B116),IFERROR($E116/$C116,"")))))</f>
        <v/>
      </c>
      <c r="E116" s="330" t="str">
        <f>IF($A116="","",IF($K116="DIESEL",SUMIFS(Table1[Amount],Table1[Customer],$P$3,Table1[Date],$A116,Table1[Bill No.],$B116),IF($K116="PETROL",SUMIFS(Table14[Amount],Table14[Customer],$P$3,Table14[Date],$A116,Table14[Bill No.],$B116),IF($K116="XtraGreen",SUMIFS(Table146[Amount],Table146[Company],$P$3,Table146[Date],$A116,Table146[Bill No.],$B116),SUMIFS('Other Sale'!$D:$D,'Other Sale'!$E:$E,$P$3,'Other Sale'!$C:$C,$K116,'Other Sale'!$A:$A,$A116)))))</f>
        <v/>
      </c>
      <c r="F116" s="330" t="str" cm="1">
        <f t="array" ref="F116">IF($A116="","",IF($K116="Payment",IFERROR(INDEX(_xlfn._xlws.FILTER(MasterPaid[Amount Paid],(MasterPaid[Customer]=$P$3)*(MasterPaid[Date]=$A116)),COUNTIFS($A$6:$A116,$A116,$K$6:$K116,"Payment")),0),0))</f>
        <v/>
      </c>
      <c r="G116" s="331" t="s">
        <v>13</v>
      </c>
      <c r="H116" s="331"/>
      <c r="I116" s="330" t="str">
        <f t="shared" si="12"/>
        <v/>
      </c>
      <c r="J116" s="275"/>
      <c r="K116" s="289" t="str" cm="1">
        <f t="array" ref="K116">IFERROR(INDEX(_xlfn.ANCHORARRAY($R$6),ROW()-5,3),"")</f>
        <v/>
      </c>
      <c r="L116" s="430" t="str" cm="1">
        <f t="array" ref="L116">IF(OR($A116="",$J116="",$K116&lt;&gt;"DIESEL"),"",_xlfn.LET(_xlpm.qty,N($C116),_xlpm.pos,IF($J116="UNIT 1",$V$5:$V$54,$AC$5:$AC$54),_xlpm.alo,IF($J116="UNIT 1",$W$5:$W$54,$AD$5:$AD$54),_xlpm.usd,SUMIFS($C$6:$C115,$L$6:$L115,_xlpm.pos&amp;"",$J$6:$J115,$J116),_xlpm.bal,N(_xlpm.alo)-_xlpm.usd,IFERROR(INDEX(_xlfn._xlws.FILTER(_xlpm.pos,(_xlpm.pos&lt;&gt;"")*(_xlpm.qty&gt;0)*(_xlpm.bal&gt;=_xlpm.qty)),1),"")))</f>
        <v/>
      </c>
      <c r="M116" s="290"/>
      <c r="AQ116" s="409"/>
      <c r="AR116" s="410"/>
      <c r="AS116" s="410"/>
      <c r="AT116" s="411"/>
      <c r="AU116" s="412"/>
      <c r="AV116" s="413"/>
      <c r="AW116" s="413"/>
      <c r="AX116" s="413"/>
      <c r="AY116" s="413"/>
      <c r="AZ116" s="413" t="str">
        <f t="shared" si="9"/>
        <v/>
      </c>
      <c r="BB116" s="409"/>
      <c r="BC116" s="410"/>
      <c r="BD116" s="410"/>
      <c r="BE116" s="411"/>
      <c r="BF116" s="412"/>
      <c r="BG116" s="413"/>
      <c r="BH116" s="413"/>
      <c r="BI116" s="413"/>
      <c r="BJ116" s="413"/>
      <c r="BK116" s="413" t="str">
        <f t="shared" si="10"/>
        <v/>
      </c>
    </row>
    <row r="117" spans="1:63" ht="23" x14ac:dyDescent="0.25">
      <c r="A117" s="217" t="str" cm="1">
        <f t="array" ref="A117">IFERROR(INDEX(_xlfn.ANCHORARRAY($R$6),ROW()-5,1),"")</f>
        <v/>
      </c>
      <c r="B117" s="289" t="str" cm="1">
        <f t="array" ref="B117">IFERROR(INDEX(_xlfn.ANCHORARRAY($R$6),ROW()-5,2),"")</f>
        <v/>
      </c>
      <c r="C117" s="218" t="str">
        <f>IF($A117="","",IF($K117="DIESEL",SUMIFS(Table1[Quantity],Table1[Customer],$P$3,Table1[Date],$A117,Table1[Bill No.],$B117),IF($K117="PETROL",SUMIFS(Table14[Quantity],Table14[Customer],$P$3,Table14[Date],$A117,Table14[Bill No.],$B117),IF($K117="XtraGreen",SUMIFS(Table146[Quantity],Table146[Company],$P$3,Table146[Date],$A117,Table146[Bill No.],$B117),""))))</f>
        <v/>
      </c>
      <c r="D117" s="223" t="str">
        <f>IF($A117="","",IF($K117="DIESEL",AVERAGEIFS(Table1[RSP],Table1[Customer],$P$3,Table1[Date],$A117,Table1[Bill No.],$B117),IF($K117="PETROL",AVERAGEIFS(Table14[RSP],Table14[Customer],$P$3,Table14[Date],$A117,Table14[Bill No.],$B117),IF($K117="XtraGreen",AVERAGEIFS(Table146[RSP],Table146[Company],$P$3,Table146[Date],$A117,Table146[Bill No.],$B117),IFERROR($E117/$C117,"")))))</f>
        <v/>
      </c>
      <c r="E117" s="330" t="str">
        <f>IF($A117="","",IF($K117="DIESEL",SUMIFS(Table1[Amount],Table1[Customer],$P$3,Table1[Date],$A117,Table1[Bill No.],$B117),IF($K117="PETROL",SUMIFS(Table14[Amount],Table14[Customer],$P$3,Table14[Date],$A117,Table14[Bill No.],$B117),IF($K117="XtraGreen",SUMIFS(Table146[Amount],Table146[Company],$P$3,Table146[Date],$A117,Table146[Bill No.],$B117),SUMIFS('Other Sale'!$D:$D,'Other Sale'!$E:$E,$P$3,'Other Sale'!$C:$C,$K117,'Other Sale'!$A:$A,$A117)))))</f>
        <v/>
      </c>
      <c r="F117" s="330" t="str" cm="1">
        <f t="array" ref="F117">IF($A117="","",IF($K117="Payment",IFERROR(INDEX(_xlfn._xlws.FILTER(MasterPaid[Amount Paid],(MasterPaid[Customer]=$P$3)*(MasterPaid[Date]=$A117)),COUNTIFS($A$6:$A117,$A117,$K$6:$K117,"Payment")),0),0))</f>
        <v/>
      </c>
      <c r="G117" s="331" t="s">
        <v>13</v>
      </c>
      <c r="H117" s="331"/>
      <c r="I117" s="330" t="str">
        <f t="shared" si="12"/>
        <v/>
      </c>
      <c r="J117" s="275"/>
      <c r="K117" s="289" t="str" cm="1">
        <f t="array" ref="K117">IFERROR(INDEX(_xlfn.ANCHORARRAY($R$6),ROW()-5,3),"")</f>
        <v/>
      </c>
      <c r="L117" s="430" t="str" cm="1">
        <f t="array" ref="L117">IF(OR($A117="",$J117="",$K117&lt;&gt;"DIESEL"),"",_xlfn.LET(_xlpm.qty,N($C117),_xlpm.pos,IF($J117="UNIT 1",$V$5:$V$54,$AC$5:$AC$54),_xlpm.alo,IF($J117="UNIT 1",$W$5:$W$54,$AD$5:$AD$54),_xlpm.usd,SUMIFS($C$6:$C116,$L$6:$L116,_xlpm.pos&amp;"",$J$6:$J116,$J117),_xlpm.bal,N(_xlpm.alo)-_xlpm.usd,IFERROR(INDEX(_xlfn._xlws.FILTER(_xlpm.pos,(_xlpm.pos&lt;&gt;"")*(_xlpm.qty&gt;0)*(_xlpm.bal&gt;=_xlpm.qty)),1),"")))</f>
        <v/>
      </c>
      <c r="M117" s="290"/>
      <c r="AQ117" s="409"/>
      <c r="AR117" s="410"/>
      <c r="AS117" s="410"/>
      <c r="AT117" s="411"/>
      <c r="AU117" s="412"/>
      <c r="AV117" s="413"/>
      <c r="AW117" s="413"/>
      <c r="AX117" s="413"/>
      <c r="AY117" s="413"/>
      <c r="AZ117" s="413" t="str">
        <f t="shared" si="9"/>
        <v/>
      </c>
      <c r="BB117" s="409"/>
      <c r="BC117" s="410"/>
      <c r="BD117" s="410"/>
      <c r="BE117" s="411"/>
      <c r="BF117" s="412"/>
      <c r="BG117" s="413"/>
      <c r="BH117" s="413"/>
      <c r="BI117" s="413"/>
      <c r="BJ117" s="413"/>
      <c r="BK117" s="413" t="str">
        <f t="shared" si="10"/>
        <v/>
      </c>
    </row>
    <row r="118" spans="1:63" ht="23" x14ac:dyDescent="0.25">
      <c r="A118" s="217" t="str" cm="1">
        <f t="array" ref="A118">IFERROR(INDEX(_xlfn.ANCHORARRAY($R$6),ROW()-5,1),"")</f>
        <v/>
      </c>
      <c r="B118" s="289" t="str" cm="1">
        <f t="array" ref="B118">IFERROR(INDEX(_xlfn.ANCHORARRAY($R$6),ROW()-5,2),"")</f>
        <v/>
      </c>
      <c r="C118" s="218" t="str">
        <f>IF($A118="","",IF($K118="DIESEL",SUMIFS(Table1[Quantity],Table1[Customer],$P$3,Table1[Date],$A118,Table1[Bill No.],$B118),IF($K118="PETROL",SUMIFS(Table14[Quantity],Table14[Customer],$P$3,Table14[Date],$A118,Table14[Bill No.],$B118),IF($K118="XtraGreen",SUMIFS(Table146[Quantity],Table146[Company],$P$3,Table146[Date],$A118,Table146[Bill No.],$B118),""))))</f>
        <v/>
      </c>
      <c r="D118" s="223" t="str">
        <f>IF($A118="","",IF($K118="DIESEL",AVERAGEIFS(Table1[RSP],Table1[Customer],$P$3,Table1[Date],$A118,Table1[Bill No.],$B118),IF($K118="PETROL",AVERAGEIFS(Table14[RSP],Table14[Customer],$P$3,Table14[Date],$A118,Table14[Bill No.],$B118),IF($K118="XtraGreen",AVERAGEIFS(Table146[RSP],Table146[Company],$P$3,Table146[Date],$A118,Table146[Bill No.],$B118),IFERROR($E118/$C118,"")))))</f>
        <v/>
      </c>
      <c r="E118" s="330" t="str">
        <f>IF($A118="","",IF($K118="DIESEL",SUMIFS(Table1[Amount],Table1[Customer],$P$3,Table1[Date],$A118,Table1[Bill No.],$B118),IF($K118="PETROL",SUMIFS(Table14[Amount],Table14[Customer],$P$3,Table14[Date],$A118,Table14[Bill No.],$B118),IF($K118="XtraGreen",SUMIFS(Table146[Amount],Table146[Company],$P$3,Table146[Date],$A118,Table146[Bill No.],$B118),SUMIFS('Other Sale'!$D:$D,'Other Sale'!$E:$E,$P$3,'Other Sale'!$C:$C,$K118,'Other Sale'!$A:$A,$A118)))))</f>
        <v/>
      </c>
      <c r="F118" s="330" t="str" cm="1">
        <f t="array" ref="F118">IF($A118="","",IF($K118="Payment",IFERROR(INDEX(_xlfn._xlws.FILTER(MasterPaid[Amount Paid],(MasterPaid[Customer]=$P$3)*(MasterPaid[Date]=$A118)),COUNTIFS($A$6:$A118,$A118,$K$6:$K118,"Payment")),0),0))</f>
        <v/>
      </c>
      <c r="G118" s="331" t="s">
        <v>13</v>
      </c>
      <c r="H118" s="331"/>
      <c r="I118" s="330" t="str">
        <f t="shared" si="12"/>
        <v/>
      </c>
      <c r="J118" s="275"/>
      <c r="K118" s="289" t="str" cm="1">
        <f t="array" ref="K118">IFERROR(INDEX(_xlfn.ANCHORARRAY($R$6),ROW()-5,3),"")</f>
        <v/>
      </c>
      <c r="L118" s="430" t="str" cm="1">
        <f t="array" ref="L118">IF(OR($A118="",$J118="",$K118&lt;&gt;"DIESEL"),"",_xlfn.LET(_xlpm.qty,N($C118),_xlpm.pos,IF($J118="UNIT 1",$V$5:$V$54,$AC$5:$AC$54),_xlpm.alo,IF($J118="UNIT 1",$W$5:$W$54,$AD$5:$AD$54),_xlpm.usd,SUMIFS($C$6:$C117,$L$6:$L117,_xlpm.pos&amp;"",$J$6:$J117,$J118),_xlpm.bal,N(_xlpm.alo)-_xlpm.usd,IFERROR(INDEX(_xlfn._xlws.FILTER(_xlpm.pos,(_xlpm.pos&lt;&gt;"")*(_xlpm.qty&gt;0)*(_xlpm.bal&gt;=_xlpm.qty)),1),"")))</f>
        <v/>
      </c>
      <c r="M118" s="290"/>
      <c r="AQ118" s="409"/>
      <c r="AR118" s="410"/>
      <c r="AS118" s="410"/>
      <c r="AT118" s="411"/>
      <c r="AU118" s="412"/>
      <c r="AV118" s="413"/>
      <c r="AW118" s="413"/>
      <c r="AX118" s="413"/>
      <c r="AY118" s="413"/>
      <c r="AZ118" s="413" t="str">
        <f t="shared" si="9"/>
        <v/>
      </c>
      <c r="BB118" s="409"/>
      <c r="BC118" s="410"/>
      <c r="BD118" s="410"/>
      <c r="BE118" s="411"/>
      <c r="BF118" s="412"/>
      <c r="BG118" s="413"/>
      <c r="BH118" s="413"/>
      <c r="BI118" s="413"/>
      <c r="BJ118" s="413"/>
      <c r="BK118" s="413" t="str">
        <f t="shared" si="10"/>
        <v/>
      </c>
    </row>
    <row r="119" spans="1:63" ht="23" x14ac:dyDescent="0.25">
      <c r="A119" s="217" t="str" cm="1">
        <f t="array" ref="A119">IFERROR(INDEX(_xlfn.ANCHORARRAY($R$6),ROW()-5,1),"")</f>
        <v/>
      </c>
      <c r="B119" s="289" t="str" cm="1">
        <f t="array" ref="B119">IFERROR(INDEX(_xlfn.ANCHORARRAY($R$6),ROW()-5,2),"")</f>
        <v/>
      </c>
      <c r="C119" s="218" t="str">
        <f>IF($A119="","",IF($K119="DIESEL",SUMIFS(Table1[Quantity],Table1[Customer],$P$3,Table1[Date],$A119,Table1[Bill No.],$B119),IF($K119="PETROL",SUMIFS(Table14[Quantity],Table14[Customer],$P$3,Table14[Date],$A119,Table14[Bill No.],$B119),IF($K119="XtraGreen",SUMIFS(Table146[Quantity],Table146[Company],$P$3,Table146[Date],$A119,Table146[Bill No.],$B119),""))))</f>
        <v/>
      </c>
      <c r="D119" s="223" t="str">
        <f>IF($A119="","",IF($K119="DIESEL",AVERAGEIFS(Table1[RSP],Table1[Customer],$P$3,Table1[Date],$A119,Table1[Bill No.],$B119),IF($K119="PETROL",AVERAGEIFS(Table14[RSP],Table14[Customer],$P$3,Table14[Date],$A119,Table14[Bill No.],$B119),IF($K119="XtraGreen",AVERAGEIFS(Table146[RSP],Table146[Company],$P$3,Table146[Date],$A119,Table146[Bill No.],$B119),IFERROR($E119/$C119,"")))))</f>
        <v/>
      </c>
      <c r="E119" s="330" t="str">
        <f>IF($A119="","",IF($K119="DIESEL",SUMIFS(Table1[Amount],Table1[Customer],$P$3,Table1[Date],$A119,Table1[Bill No.],$B119),IF($K119="PETROL",SUMIFS(Table14[Amount],Table14[Customer],$P$3,Table14[Date],$A119,Table14[Bill No.],$B119),IF($K119="XtraGreen",SUMIFS(Table146[Amount],Table146[Company],$P$3,Table146[Date],$A119,Table146[Bill No.],$B119),SUMIFS('Other Sale'!$D:$D,'Other Sale'!$E:$E,$P$3,'Other Sale'!$C:$C,$K119,'Other Sale'!$A:$A,$A119)))))</f>
        <v/>
      </c>
      <c r="F119" s="330" t="str" cm="1">
        <f t="array" ref="F119">IF($A119="","",IF($K119="Payment",IFERROR(INDEX(_xlfn._xlws.FILTER(MasterPaid[Amount Paid],(MasterPaid[Customer]=$P$3)*(MasterPaid[Date]=$A119)),COUNTIFS($A$6:$A119,$A119,$K$6:$K119,"Payment")),0),0))</f>
        <v/>
      </c>
      <c r="G119" s="331" t="s">
        <v>13</v>
      </c>
      <c r="H119" s="331"/>
      <c r="I119" s="330" t="str">
        <f t="shared" si="12"/>
        <v/>
      </c>
      <c r="J119" s="275"/>
      <c r="K119" s="289" t="str" cm="1">
        <f t="array" ref="K119">IFERROR(INDEX(_xlfn.ANCHORARRAY($R$6),ROW()-5,3),"")</f>
        <v/>
      </c>
      <c r="L119" s="430" t="str" cm="1">
        <f t="array" ref="L119">IF(OR($A119="",$J119="",$K119&lt;&gt;"DIESEL"),"",_xlfn.LET(_xlpm.qty,N($C119),_xlpm.pos,IF($J119="UNIT 1",$V$5:$V$54,$AC$5:$AC$54),_xlpm.alo,IF($J119="UNIT 1",$W$5:$W$54,$AD$5:$AD$54),_xlpm.usd,SUMIFS($C$6:$C118,$L$6:$L118,_xlpm.pos&amp;"",$J$6:$J118,$J119),_xlpm.bal,N(_xlpm.alo)-_xlpm.usd,IFERROR(INDEX(_xlfn._xlws.FILTER(_xlpm.pos,(_xlpm.pos&lt;&gt;"")*(_xlpm.qty&gt;0)*(_xlpm.bal&gt;=_xlpm.qty)),1),"")))</f>
        <v/>
      </c>
      <c r="M119" s="290"/>
      <c r="AQ119" s="409"/>
      <c r="AR119" s="410"/>
      <c r="AS119" s="410"/>
      <c r="AT119" s="411"/>
      <c r="AU119" s="412"/>
      <c r="AV119" s="413"/>
      <c r="AW119" s="413"/>
      <c r="AX119" s="413"/>
      <c r="AY119" s="413"/>
      <c r="AZ119" s="413" t="str">
        <f t="shared" si="9"/>
        <v/>
      </c>
      <c r="BB119" s="409"/>
      <c r="BC119" s="410"/>
      <c r="BD119" s="410"/>
      <c r="BE119" s="411"/>
      <c r="BF119" s="412"/>
      <c r="BG119" s="413"/>
      <c r="BH119" s="413"/>
      <c r="BI119" s="413"/>
      <c r="BJ119" s="413"/>
      <c r="BK119" s="413" t="str">
        <f t="shared" si="10"/>
        <v/>
      </c>
    </row>
    <row r="120" spans="1:63" ht="23" x14ac:dyDescent="0.25">
      <c r="A120" s="217" t="str" cm="1">
        <f t="array" ref="A120">IFERROR(INDEX(_xlfn.ANCHORARRAY($R$6),ROW()-5,1),"")</f>
        <v/>
      </c>
      <c r="B120" s="289" t="str" cm="1">
        <f t="array" ref="B120">IFERROR(INDEX(_xlfn.ANCHORARRAY($R$6),ROW()-5,2),"")</f>
        <v/>
      </c>
      <c r="C120" s="218" t="str">
        <f>IF($A120="","",IF($K120="DIESEL",SUMIFS(Table1[Quantity],Table1[Customer],$P$3,Table1[Date],$A120,Table1[Bill No.],$B120),IF($K120="PETROL",SUMIFS(Table14[Quantity],Table14[Customer],$P$3,Table14[Date],$A120,Table14[Bill No.],$B120),IF($K120="XtraGreen",SUMIFS(Table146[Quantity],Table146[Company],$P$3,Table146[Date],$A120,Table146[Bill No.],$B120),""))))</f>
        <v/>
      </c>
      <c r="D120" s="223" t="str">
        <f>IF($A120="","",IF($K120="DIESEL",AVERAGEIFS(Table1[RSP],Table1[Customer],$P$3,Table1[Date],$A120,Table1[Bill No.],$B120),IF($K120="PETROL",AVERAGEIFS(Table14[RSP],Table14[Customer],$P$3,Table14[Date],$A120,Table14[Bill No.],$B120),IF($K120="XtraGreen",AVERAGEIFS(Table146[RSP],Table146[Company],$P$3,Table146[Date],$A120,Table146[Bill No.],$B120),IFERROR($E120/$C120,"")))))</f>
        <v/>
      </c>
      <c r="E120" s="330" t="str">
        <f>IF($A120="","",IF($K120="DIESEL",SUMIFS(Table1[Amount],Table1[Customer],$P$3,Table1[Date],$A120,Table1[Bill No.],$B120),IF($K120="PETROL",SUMIFS(Table14[Amount],Table14[Customer],$P$3,Table14[Date],$A120,Table14[Bill No.],$B120),IF($K120="XtraGreen",SUMIFS(Table146[Amount],Table146[Company],$P$3,Table146[Date],$A120,Table146[Bill No.],$B120),SUMIFS('Other Sale'!$D:$D,'Other Sale'!$E:$E,$P$3,'Other Sale'!$C:$C,$K120,'Other Sale'!$A:$A,$A120)))))</f>
        <v/>
      </c>
      <c r="F120" s="330" t="str" cm="1">
        <f t="array" ref="F120">IF($A120="","",IF($K120="Payment",IFERROR(INDEX(_xlfn._xlws.FILTER(MasterPaid[Amount Paid],(MasterPaid[Customer]=$P$3)*(MasterPaid[Date]=$A120)),COUNTIFS($A$6:$A120,$A120,$K$6:$K120,"Payment")),0),0))</f>
        <v/>
      </c>
      <c r="G120" s="331" t="s">
        <v>13</v>
      </c>
      <c r="H120" s="331"/>
      <c r="I120" s="330" t="str">
        <f t="shared" si="12"/>
        <v/>
      </c>
      <c r="J120" s="275"/>
      <c r="K120" s="289" t="str" cm="1">
        <f t="array" ref="K120">IFERROR(INDEX(_xlfn.ANCHORARRAY($R$6),ROW()-5,3),"")</f>
        <v/>
      </c>
      <c r="L120" s="430" t="str" cm="1">
        <f t="array" ref="L120">IF(OR($A120="",$J120="",$K120&lt;&gt;"DIESEL"),"",_xlfn.LET(_xlpm.qty,N($C120),_xlpm.pos,IF($J120="UNIT 1",$V$5:$V$54,$AC$5:$AC$54),_xlpm.alo,IF($J120="UNIT 1",$W$5:$W$54,$AD$5:$AD$54),_xlpm.usd,SUMIFS($C$6:$C119,$L$6:$L119,_xlpm.pos&amp;"",$J$6:$J119,$J120),_xlpm.bal,N(_xlpm.alo)-_xlpm.usd,IFERROR(INDEX(_xlfn._xlws.FILTER(_xlpm.pos,(_xlpm.pos&lt;&gt;"")*(_xlpm.qty&gt;0)*(_xlpm.bal&gt;=_xlpm.qty)),1),"")))</f>
        <v/>
      </c>
      <c r="M120" s="290"/>
      <c r="AQ120" s="409"/>
      <c r="AR120" s="410"/>
      <c r="AS120" s="410"/>
      <c r="AT120" s="411"/>
      <c r="AU120" s="412"/>
      <c r="AV120" s="413"/>
      <c r="AW120" s="413"/>
      <c r="AX120" s="413"/>
      <c r="AY120" s="413"/>
      <c r="AZ120" s="413" t="str">
        <f t="shared" si="9"/>
        <v/>
      </c>
      <c r="BB120" s="409"/>
      <c r="BC120" s="410"/>
      <c r="BD120" s="410"/>
      <c r="BE120" s="411"/>
      <c r="BF120" s="412"/>
      <c r="BG120" s="413"/>
      <c r="BH120" s="413"/>
      <c r="BI120" s="413"/>
      <c r="BJ120" s="413"/>
      <c r="BK120" s="413" t="str">
        <f t="shared" si="10"/>
        <v/>
      </c>
    </row>
    <row r="121" spans="1:63" ht="23" x14ac:dyDescent="0.25">
      <c r="A121" s="217" t="str" cm="1">
        <f t="array" ref="A121">IFERROR(INDEX(_xlfn.ANCHORARRAY($R$6),ROW()-5,1),"")</f>
        <v/>
      </c>
      <c r="B121" s="289" t="str" cm="1">
        <f t="array" ref="B121">IFERROR(INDEX(_xlfn.ANCHORARRAY($R$6),ROW()-5,2),"")</f>
        <v/>
      </c>
      <c r="C121" s="218" t="str">
        <f>IF($A121="","",IF($K121="DIESEL",SUMIFS(Table1[Quantity],Table1[Customer],$P$3,Table1[Date],$A121,Table1[Bill No.],$B121),IF($K121="PETROL",SUMIFS(Table14[Quantity],Table14[Customer],$P$3,Table14[Date],$A121,Table14[Bill No.],$B121),IF($K121="XtraGreen",SUMIFS(Table146[Quantity],Table146[Company],$P$3,Table146[Date],$A121,Table146[Bill No.],$B121),""))))</f>
        <v/>
      </c>
      <c r="D121" s="223" t="str">
        <f>IF($A121="","",IF($K121="DIESEL",AVERAGEIFS(Table1[RSP],Table1[Customer],$P$3,Table1[Date],$A121,Table1[Bill No.],$B121),IF($K121="PETROL",AVERAGEIFS(Table14[RSP],Table14[Customer],$P$3,Table14[Date],$A121,Table14[Bill No.],$B121),IF($K121="XtraGreen",AVERAGEIFS(Table146[RSP],Table146[Company],$P$3,Table146[Date],$A121,Table146[Bill No.],$B121),IFERROR($E121/$C121,"")))))</f>
        <v/>
      </c>
      <c r="E121" s="330" t="str">
        <f>IF($A121="","",IF($K121="DIESEL",SUMIFS(Table1[Amount],Table1[Customer],$P$3,Table1[Date],$A121,Table1[Bill No.],$B121),IF($K121="PETROL",SUMIFS(Table14[Amount],Table14[Customer],$P$3,Table14[Date],$A121,Table14[Bill No.],$B121),IF($K121="XtraGreen",SUMIFS(Table146[Amount],Table146[Company],$P$3,Table146[Date],$A121,Table146[Bill No.],$B121),SUMIFS('Other Sale'!$D:$D,'Other Sale'!$E:$E,$P$3,'Other Sale'!$C:$C,$K121,'Other Sale'!$A:$A,$A121)))))</f>
        <v/>
      </c>
      <c r="F121" s="330" t="str" cm="1">
        <f t="array" ref="F121">IF($A121="","",IF($K121="Payment",IFERROR(INDEX(_xlfn._xlws.FILTER(MasterPaid[Amount Paid],(MasterPaid[Customer]=$P$3)*(MasterPaid[Date]=$A121)),COUNTIFS($A$6:$A121,$A121,$K$6:$K121,"Payment")),0),0))</f>
        <v/>
      </c>
      <c r="G121" s="331" t="s">
        <v>13</v>
      </c>
      <c r="H121" s="331"/>
      <c r="I121" s="330" t="str">
        <f t="shared" si="12"/>
        <v/>
      </c>
      <c r="J121" s="275"/>
      <c r="K121" s="289" t="str" cm="1">
        <f t="array" ref="K121">IFERROR(INDEX(_xlfn.ANCHORARRAY($R$6),ROW()-5,3),"")</f>
        <v/>
      </c>
      <c r="L121" s="430" t="str" cm="1">
        <f t="array" ref="L121">IF(OR($A121="",$J121="",$K121&lt;&gt;"DIESEL"),"",_xlfn.LET(_xlpm.qty,N($C121),_xlpm.pos,IF($J121="UNIT 1",$V$5:$V$54,$AC$5:$AC$54),_xlpm.alo,IF($J121="UNIT 1",$W$5:$W$54,$AD$5:$AD$54),_xlpm.usd,SUMIFS($C$6:$C120,$L$6:$L120,_xlpm.pos&amp;"",$J$6:$J120,$J121),_xlpm.bal,N(_xlpm.alo)-_xlpm.usd,IFERROR(INDEX(_xlfn._xlws.FILTER(_xlpm.pos,(_xlpm.pos&lt;&gt;"")*(_xlpm.qty&gt;0)*(_xlpm.bal&gt;=_xlpm.qty)),1),"")))</f>
        <v/>
      </c>
      <c r="M121" s="290"/>
      <c r="AQ121" s="409"/>
      <c r="AR121" s="410"/>
      <c r="AS121" s="410"/>
      <c r="AT121" s="411"/>
      <c r="AU121" s="412"/>
      <c r="AV121" s="413"/>
      <c r="AW121" s="413"/>
      <c r="AX121" s="413"/>
      <c r="AY121" s="413"/>
      <c r="AZ121" s="413" t="str">
        <f t="shared" si="9"/>
        <v/>
      </c>
      <c r="BB121" s="409"/>
      <c r="BC121" s="410"/>
      <c r="BD121" s="410"/>
      <c r="BE121" s="411"/>
      <c r="BF121" s="412"/>
      <c r="BG121" s="413"/>
      <c r="BH121" s="413"/>
      <c r="BI121" s="413"/>
      <c r="BJ121" s="413"/>
      <c r="BK121" s="413" t="str">
        <f t="shared" si="10"/>
        <v/>
      </c>
    </row>
    <row r="122" spans="1:63" ht="23" x14ac:dyDescent="0.25">
      <c r="A122" s="217" t="str" cm="1">
        <f t="array" ref="A122">IFERROR(INDEX(_xlfn.ANCHORARRAY($R$6),ROW()-5,1),"")</f>
        <v/>
      </c>
      <c r="B122" s="289" t="str" cm="1">
        <f t="array" ref="B122">IFERROR(INDEX(_xlfn.ANCHORARRAY($R$6),ROW()-5,2),"")</f>
        <v/>
      </c>
      <c r="C122" s="218" t="str">
        <f>IF($A122="","",IF($K122="DIESEL",SUMIFS(Table1[Quantity],Table1[Customer],$P$3,Table1[Date],$A122,Table1[Bill No.],$B122),IF($K122="PETROL",SUMIFS(Table14[Quantity],Table14[Customer],$P$3,Table14[Date],$A122,Table14[Bill No.],$B122),IF($K122="XtraGreen",SUMIFS(Table146[Quantity],Table146[Company],$P$3,Table146[Date],$A122,Table146[Bill No.],$B122),""))))</f>
        <v/>
      </c>
      <c r="D122" s="223" t="str">
        <f>IF($A122="","",IF($K122="DIESEL",AVERAGEIFS(Table1[RSP],Table1[Customer],$P$3,Table1[Date],$A122,Table1[Bill No.],$B122),IF($K122="PETROL",AVERAGEIFS(Table14[RSP],Table14[Customer],$P$3,Table14[Date],$A122,Table14[Bill No.],$B122),IF($K122="XtraGreen",AVERAGEIFS(Table146[RSP],Table146[Company],$P$3,Table146[Date],$A122,Table146[Bill No.],$B122),IFERROR($E122/$C122,"")))))</f>
        <v/>
      </c>
      <c r="E122" s="330" t="str">
        <f>IF($A122="","",IF($K122="DIESEL",SUMIFS(Table1[Amount],Table1[Customer],$P$3,Table1[Date],$A122,Table1[Bill No.],$B122),IF($K122="PETROL",SUMIFS(Table14[Amount],Table14[Customer],$P$3,Table14[Date],$A122,Table14[Bill No.],$B122),IF($K122="XtraGreen",SUMIFS(Table146[Amount],Table146[Company],$P$3,Table146[Date],$A122,Table146[Bill No.],$B122),SUMIFS('Other Sale'!$D:$D,'Other Sale'!$E:$E,$P$3,'Other Sale'!$C:$C,$K122,'Other Sale'!$A:$A,$A122)))))</f>
        <v/>
      </c>
      <c r="F122" s="330" t="str" cm="1">
        <f t="array" ref="F122">IF($A122="","",IF($K122="Payment",IFERROR(INDEX(_xlfn._xlws.FILTER(MasterPaid[Amount Paid],(MasterPaid[Customer]=$P$3)*(MasterPaid[Date]=$A122)),COUNTIFS($A$6:$A122,$A122,$K$6:$K122,"Payment")),0),0))</f>
        <v/>
      </c>
      <c r="G122" s="331" t="s">
        <v>13</v>
      </c>
      <c r="H122" s="331"/>
      <c r="I122" s="330" t="str">
        <f t="shared" si="12"/>
        <v/>
      </c>
      <c r="J122" s="275"/>
      <c r="K122" s="289" t="str" cm="1">
        <f t="array" ref="K122">IFERROR(INDEX(_xlfn.ANCHORARRAY($R$6),ROW()-5,3),"")</f>
        <v/>
      </c>
      <c r="L122" s="430" t="str" cm="1">
        <f t="array" ref="L122">IF(OR($A122="",$J122="",$K122&lt;&gt;"DIESEL"),"",_xlfn.LET(_xlpm.qty,N($C122),_xlpm.pos,IF($J122="UNIT 1",$V$5:$V$54,$AC$5:$AC$54),_xlpm.alo,IF($J122="UNIT 1",$W$5:$W$54,$AD$5:$AD$54),_xlpm.usd,SUMIFS($C$6:$C121,$L$6:$L121,_xlpm.pos&amp;"",$J$6:$J121,$J122),_xlpm.bal,N(_xlpm.alo)-_xlpm.usd,IFERROR(INDEX(_xlfn._xlws.FILTER(_xlpm.pos,(_xlpm.pos&lt;&gt;"")*(_xlpm.qty&gt;0)*(_xlpm.bal&gt;=_xlpm.qty)),1),"")))</f>
        <v/>
      </c>
      <c r="M122" s="290"/>
      <c r="AQ122" s="409"/>
      <c r="AR122" s="410"/>
      <c r="AS122" s="410"/>
      <c r="AT122" s="411"/>
      <c r="AU122" s="412"/>
      <c r="AV122" s="413"/>
      <c r="AW122" s="413"/>
      <c r="AX122" s="413"/>
      <c r="AY122" s="413"/>
      <c r="AZ122" s="413" t="str">
        <f t="shared" si="9"/>
        <v/>
      </c>
      <c r="BB122" s="409"/>
      <c r="BC122" s="410"/>
      <c r="BD122" s="410"/>
      <c r="BE122" s="411"/>
      <c r="BF122" s="412"/>
      <c r="BG122" s="413"/>
      <c r="BH122" s="413"/>
      <c r="BI122" s="413"/>
      <c r="BJ122" s="413"/>
      <c r="BK122" s="413" t="str">
        <f t="shared" si="10"/>
        <v/>
      </c>
    </row>
    <row r="123" spans="1:63" ht="23" x14ac:dyDescent="0.25">
      <c r="A123" s="217" t="str" cm="1">
        <f t="array" ref="A123">IFERROR(INDEX(_xlfn.ANCHORARRAY($R$6),ROW()-5,1),"")</f>
        <v/>
      </c>
      <c r="B123" s="289" t="str" cm="1">
        <f t="array" ref="B123">IFERROR(INDEX(_xlfn.ANCHORARRAY($R$6),ROW()-5,2),"")</f>
        <v/>
      </c>
      <c r="C123" s="218" t="str">
        <f>IF($A123="","",IF($K123="DIESEL",SUMIFS(Table1[Quantity],Table1[Customer],$P$3,Table1[Date],$A123,Table1[Bill No.],$B123),IF($K123="PETROL",SUMIFS(Table14[Quantity],Table14[Customer],$P$3,Table14[Date],$A123,Table14[Bill No.],$B123),IF($K123="XtraGreen",SUMIFS(Table146[Quantity],Table146[Company],$P$3,Table146[Date],$A123,Table146[Bill No.],$B123),""))))</f>
        <v/>
      </c>
      <c r="D123" s="223" t="str">
        <f>IF($A123="","",IF($K123="DIESEL",AVERAGEIFS(Table1[RSP],Table1[Customer],$P$3,Table1[Date],$A123,Table1[Bill No.],$B123),IF($K123="PETROL",AVERAGEIFS(Table14[RSP],Table14[Customer],$P$3,Table14[Date],$A123,Table14[Bill No.],$B123),IF($K123="XtraGreen",AVERAGEIFS(Table146[RSP],Table146[Company],$P$3,Table146[Date],$A123,Table146[Bill No.],$B123),IFERROR($E123/$C123,"")))))</f>
        <v/>
      </c>
      <c r="E123" s="330" t="str">
        <f>IF($A123="","",IF($K123="DIESEL",SUMIFS(Table1[Amount],Table1[Customer],$P$3,Table1[Date],$A123,Table1[Bill No.],$B123),IF($K123="PETROL",SUMIFS(Table14[Amount],Table14[Customer],$P$3,Table14[Date],$A123,Table14[Bill No.],$B123),IF($K123="XtraGreen",SUMIFS(Table146[Amount],Table146[Company],$P$3,Table146[Date],$A123,Table146[Bill No.],$B123),SUMIFS('Other Sale'!$D:$D,'Other Sale'!$E:$E,$P$3,'Other Sale'!$C:$C,$K123,'Other Sale'!$A:$A,$A123)))))</f>
        <v/>
      </c>
      <c r="F123" s="330" t="str" cm="1">
        <f t="array" ref="F123">IF($A123="","",IF($K123="Payment",IFERROR(INDEX(_xlfn._xlws.FILTER(MasterPaid[Amount Paid],(MasterPaid[Customer]=$P$3)*(MasterPaid[Date]=$A123)),COUNTIFS($A$6:$A123,$A123,$K$6:$K123,"Payment")),0),0))</f>
        <v/>
      </c>
      <c r="G123" s="331" t="s">
        <v>13</v>
      </c>
      <c r="H123" s="331"/>
      <c r="I123" s="330" t="str">
        <f t="shared" si="12"/>
        <v/>
      </c>
      <c r="J123" s="275"/>
      <c r="K123" s="289" t="str" cm="1">
        <f t="array" ref="K123">IFERROR(INDEX(_xlfn.ANCHORARRAY($R$6),ROW()-5,3),"")</f>
        <v/>
      </c>
      <c r="L123" s="430" t="str" cm="1">
        <f t="array" ref="L123">IF(OR($A123="",$J123="",$K123&lt;&gt;"DIESEL"),"",_xlfn.LET(_xlpm.qty,N($C123),_xlpm.pos,IF($J123="UNIT 1",$V$5:$V$54,$AC$5:$AC$54),_xlpm.alo,IF($J123="UNIT 1",$W$5:$W$54,$AD$5:$AD$54),_xlpm.usd,SUMIFS($C$6:$C122,$L$6:$L122,_xlpm.pos&amp;"",$J$6:$J122,$J123),_xlpm.bal,N(_xlpm.alo)-_xlpm.usd,IFERROR(INDEX(_xlfn._xlws.FILTER(_xlpm.pos,(_xlpm.pos&lt;&gt;"")*(_xlpm.qty&gt;0)*(_xlpm.bal&gt;=_xlpm.qty)),1),"")))</f>
        <v/>
      </c>
      <c r="M123" s="290"/>
      <c r="AQ123" s="409"/>
      <c r="AR123" s="410"/>
      <c r="AS123" s="410"/>
      <c r="AT123" s="411"/>
      <c r="AU123" s="412"/>
      <c r="AV123" s="413"/>
      <c r="AW123" s="413"/>
      <c r="AX123" s="413"/>
      <c r="AY123" s="413"/>
      <c r="AZ123" s="413" t="str">
        <f t="shared" si="9"/>
        <v/>
      </c>
      <c r="BB123" s="409"/>
      <c r="BC123" s="410"/>
      <c r="BD123" s="410"/>
      <c r="BE123" s="411"/>
      <c r="BF123" s="412"/>
      <c r="BG123" s="413"/>
      <c r="BH123" s="413"/>
      <c r="BI123" s="413"/>
      <c r="BJ123" s="413"/>
      <c r="BK123" s="413" t="str">
        <f t="shared" si="10"/>
        <v/>
      </c>
    </row>
    <row r="124" spans="1:63" ht="23" x14ac:dyDescent="0.25">
      <c r="A124" s="217" t="str" cm="1">
        <f t="array" ref="A124">IFERROR(INDEX(_xlfn.ANCHORARRAY($R$6),ROW()-5,1),"")</f>
        <v/>
      </c>
      <c r="B124" s="289" t="str" cm="1">
        <f t="array" ref="B124">IFERROR(INDEX(_xlfn.ANCHORARRAY($R$6),ROW()-5,2),"")</f>
        <v/>
      </c>
      <c r="C124" s="218" t="str">
        <f>IF($A124="","",IF($K124="DIESEL",SUMIFS(Table1[Quantity],Table1[Customer],$P$3,Table1[Date],$A124,Table1[Bill No.],$B124),IF($K124="PETROL",SUMIFS(Table14[Quantity],Table14[Customer],$P$3,Table14[Date],$A124,Table14[Bill No.],$B124),IF($K124="XtraGreen",SUMIFS(Table146[Quantity],Table146[Company],$P$3,Table146[Date],$A124,Table146[Bill No.],$B124),""))))</f>
        <v/>
      </c>
      <c r="D124" s="223" t="str">
        <f>IF($A124="","",IF($K124="DIESEL",AVERAGEIFS(Table1[RSP],Table1[Customer],$P$3,Table1[Date],$A124,Table1[Bill No.],$B124),IF($K124="PETROL",AVERAGEIFS(Table14[RSP],Table14[Customer],$P$3,Table14[Date],$A124,Table14[Bill No.],$B124),IF($K124="XtraGreen",AVERAGEIFS(Table146[RSP],Table146[Company],$P$3,Table146[Date],$A124,Table146[Bill No.],$B124),IFERROR($E124/$C124,"")))))</f>
        <v/>
      </c>
      <c r="E124" s="330" t="str">
        <f>IF($A124="","",IF($K124="DIESEL",SUMIFS(Table1[Amount],Table1[Customer],$P$3,Table1[Date],$A124,Table1[Bill No.],$B124),IF($K124="PETROL",SUMIFS(Table14[Amount],Table14[Customer],$P$3,Table14[Date],$A124,Table14[Bill No.],$B124),IF($K124="XtraGreen",SUMIFS(Table146[Amount],Table146[Company],$P$3,Table146[Date],$A124,Table146[Bill No.],$B124),SUMIFS('Other Sale'!$D:$D,'Other Sale'!$E:$E,$P$3,'Other Sale'!$C:$C,$K124,'Other Sale'!$A:$A,$A124)))))</f>
        <v/>
      </c>
      <c r="F124" s="330" t="str" cm="1">
        <f t="array" ref="F124">IF($A124="","",IF($K124="Payment",IFERROR(INDEX(_xlfn._xlws.FILTER(MasterPaid[Amount Paid],(MasterPaid[Customer]=$P$3)*(MasterPaid[Date]=$A124)),COUNTIFS($A$6:$A124,$A124,$K$6:$K124,"Payment")),0),0))</f>
        <v/>
      </c>
      <c r="G124" s="331" t="s">
        <v>13</v>
      </c>
      <c r="H124" s="331"/>
      <c r="I124" s="330" t="str">
        <f t="shared" si="12"/>
        <v/>
      </c>
      <c r="J124" s="275"/>
      <c r="K124" s="289" t="str" cm="1">
        <f t="array" ref="K124">IFERROR(INDEX(_xlfn.ANCHORARRAY($R$6),ROW()-5,3),"")</f>
        <v/>
      </c>
      <c r="L124" s="430" t="str" cm="1">
        <f t="array" ref="L124">IF(OR($A124="",$J124="",$K124&lt;&gt;"DIESEL"),"",_xlfn.LET(_xlpm.qty,N($C124),_xlpm.pos,IF($J124="UNIT 1",$V$5:$V$54,$AC$5:$AC$54),_xlpm.alo,IF($J124="UNIT 1",$W$5:$W$54,$AD$5:$AD$54),_xlpm.usd,SUMIFS($C$6:$C123,$L$6:$L123,_xlpm.pos&amp;"",$J$6:$J123,$J124),_xlpm.bal,N(_xlpm.alo)-_xlpm.usd,IFERROR(INDEX(_xlfn._xlws.FILTER(_xlpm.pos,(_xlpm.pos&lt;&gt;"")*(_xlpm.qty&gt;0)*(_xlpm.bal&gt;=_xlpm.qty)),1),"")))</f>
        <v/>
      </c>
      <c r="M124" s="290"/>
      <c r="AQ124" s="409"/>
      <c r="AR124" s="410"/>
      <c r="AS124" s="410"/>
      <c r="AT124" s="411"/>
      <c r="AU124" s="412"/>
      <c r="AV124" s="413"/>
      <c r="AW124" s="413"/>
      <c r="AX124" s="413"/>
      <c r="AY124" s="413"/>
      <c r="AZ124" s="413" t="str">
        <f t="shared" si="9"/>
        <v/>
      </c>
      <c r="BB124" s="409"/>
      <c r="BC124" s="410"/>
      <c r="BD124" s="410"/>
      <c r="BE124" s="411"/>
      <c r="BF124" s="412"/>
      <c r="BG124" s="413"/>
      <c r="BH124" s="413"/>
      <c r="BI124" s="413"/>
      <c r="BJ124" s="413"/>
      <c r="BK124" s="413" t="str">
        <f t="shared" si="10"/>
        <v/>
      </c>
    </row>
    <row r="125" spans="1:63" ht="23" x14ac:dyDescent="0.25">
      <c r="A125" s="217" t="str" cm="1">
        <f t="array" ref="A125">IFERROR(INDEX(_xlfn.ANCHORARRAY($R$6),ROW()-5,1),"")</f>
        <v/>
      </c>
      <c r="B125" s="289" t="str" cm="1">
        <f t="array" ref="B125">IFERROR(INDEX(_xlfn.ANCHORARRAY($R$6),ROW()-5,2),"")</f>
        <v/>
      </c>
      <c r="C125" s="218" t="str">
        <f>IF($A125="","",IF($K125="DIESEL",SUMIFS(Table1[Quantity],Table1[Customer],$P$3,Table1[Date],$A125,Table1[Bill No.],$B125),IF($K125="PETROL",SUMIFS(Table14[Quantity],Table14[Customer],$P$3,Table14[Date],$A125,Table14[Bill No.],$B125),IF($K125="XtraGreen",SUMIFS(Table146[Quantity],Table146[Company],$P$3,Table146[Date],$A125,Table146[Bill No.],$B125),""))))</f>
        <v/>
      </c>
      <c r="D125" s="223" t="str">
        <f>IF($A125="","",IF($K125="DIESEL",AVERAGEIFS(Table1[RSP],Table1[Customer],$P$3,Table1[Date],$A125,Table1[Bill No.],$B125),IF($K125="PETROL",AVERAGEIFS(Table14[RSP],Table14[Customer],$P$3,Table14[Date],$A125,Table14[Bill No.],$B125),IF($K125="XtraGreen",AVERAGEIFS(Table146[RSP],Table146[Company],$P$3,Table146[Date],$A125,Table146[Bill No.],$B125),IFERROR($E125/$C125,"")))))</f>
        <v/>
      </c>
      <c r="E125" s="330" t="str">
        <f>IF($A125="","",IF($K125="DIESEL",SUMIFS(Table1[Amount],Table1[Customer],$P$3,Table1[Date],$A125,Table1[Bill No.],$B125),IF($K125="PETROL",SUMIFS(Table14[Amount],Table14[Customer],$P$3,Table14[Date],$A125,Table14[Bill No.],$B125),IF($K125="XtraGreen",SUMIFS(Table146[Amount],Table146[Company],$P$3,Table146[Date],$A125,Table146[Bill No.],$B125),SUMIFS('Other Sale'!$D:$D,'Other Sale'!$E:$E,$P$3,'Other Sale'!$C:$C,$K125,'Other Sale'!$A:$A,$A125)))))</f>
        <v/>
      </c>
      <c r="F125" s="330" t="str" cm="1">
        <f t="array" ref="F125">IF($A125="","",IF($K125="Payment",IFERROR(INDEX(_xlfn._xlws.FILTER(MasterPaid[Amount Paid],(MasterPaid[Customer]=$P$3)*(MasterPaid[Date]=$A125)),COUNTIFS($A$6:$A125,$A125,$K$6:$K125,"Payment")),0),0))</f>
        <v/>
      </c>
      <c r="G125" s="331" t="s">
        <v>13</v>
      </c>
      <c r="H125" s="331"/>
      <c r="I125" s="330" t="str">
        <f t="shared" si="12"/>
        <v/>
      </c>
      <c r="J125" s="275"/>
      <c r="K125" s="289" t="str" cm="1">
        <f t="array" ref="K125">IFERROR(INDEX(_xlfn.ANCHORARRAY($R$6),ROW()-5,3),"")</f>
        <v/>
      </c>
      <c r="L125" s="430" t="str" cm="1">
        <f t="array" ref="L125">IF(OR($A125="",$J125="",$K125&lt;&gt;"DIESEL"),"",_xlfn.LET(_xlpm.qty,N($C125),_xlpm.pos,IF($J125="UNIT 1",$V$5:$V$54,$AC$5:$AC$54),_xlpm.alo,IF($J125="UNIT 1",$W$5:$W$54,$AD$5:$AD$54),_xlpm.usd,SUMIFS($C$6:$C124,$L$6:$L124,_xlpm.pos&amp;"",$J$6:$J124,$J125),_xlpm.bal,N(_xlpm.alo)-_xlpm.usd,IFERROR(INDEX(_xlfn._xlws.FILTER(_xlpm.pos,(_xlpm.pos&lt;&gt;"")*(_xlpm.qty&gt;0)*(_xlpm.bal&gt;=_xlpm.qty)),1),"")))</f>
        <v/>
      </c>
      <c r="M125" s="290"/>
      <c r="AQ125" s="409"/>
      <c r="AR125" s="410"/>
      <c r="AS125" s="410"/>
      <c r="AT125" s="411"/>
      <c r="AU125" s="412"/>
      <c r="AV125" s="413"/>
      <c r="AW125" s="413"/>
      <c r="AX125" s="413"/>
      <c r="AY125" s="413"/>
      <c r="AZ125" s="413" t="str">
        <f t="shared" si="9"/>
        <v/>
      </c>
      <c r="BB125" s="409"/>
      <c r="BC125" s="410"/>
      <c r="BD125" s="410"/>
      <c r="BE125" s="411"/>
      <c r="BF125" s="412"/>
      <c r="BG125" s="413"/>
      <c r="BH125" s="413"/>
      <c r="BI125" s="413"/>
      <c r="BJ125" s="413"/>
      <c r="BK125" s="413" t="str">
        <f t="shared" si="10"/>
        <v/>
      </c>
    </row>
    <row r="126" spans="1:63" ht="23" x14ac:dyDescent="0.25">
      <c r="A126" s="217" t="str" cm="1">
        <f t="array" ref="A126">IFERROR(INDEX(_xlfn.ANCHORARRAY($R$6),ROW()-5,1),"")</f>
        <v/>
      </c>
      <c r="B126" s="289" t="str" cm="1">
        <f t="array" ref="B126">IFERROR(INDEX(_xlfn.ANCHORARRAY($R$6),ROW()-5,2),"")</f>
        <v/>
      </c>
      <c r="C126" s="218" t="str">
        <f>IF($A126="","",IF($K126="DIESEL",SUMIFS(Table1[Quantity],Table1[Customer],$P$3,Table1[Date],$A126,Table1[Bill No.],$B126),IF($K126="PETROL",SUMIFS(Table14[Quantity],Table14[Customer],$P$3,Table14[Date],$A126,Table14[Bill No.],$B126),IF($K126="XtraGreen",SUMIFS(Table146[Quantity],Table146[Company],$P$3,Table146[Date],$A126,Table146[Bill No.],$B126),""))))</f>
        <v/>
      </c>
      <c r="D126" s="223" t="str">
        <f>IF($A126="","",IF($K126="DIESEL",AVERAGEIFS(Table1[RSP],Table1[Customer],$P$3,Table1[Date],$A126,Table1[Bill No.],$B126),IF($K126="PETROL",AVERAGEIFS(Table14[RSP],Table14[Customer],$P$3,Table14[Date],$A126,Table14[Bill No.],$B126),IF($K126="XtraGreen",AVERAGEIFS(Table146[RSP],Table146[Company],$P$3,Table146[Date],$A126,Table146[Bill No.],$B126),IFERROR($E126/$C126,"")))))</f>
        <v/>
      </c>
      <c r="E126" s="330" t="str">
        <f>IF($A126="","",IF($K126="DIESEL",SUMIFS(Table1[Amount],Table1[Customer],$P$3,Table1[Date],$A126,Table1[Bill No.],$B126),IF($K126="PETROL",SUMIFS(Table14[Amount],Table14[Customer],$P$3,Table14[Date],$A126,Table14[Bill No.],$B126),IF($K126="XtraGreen",SUMIFS(Table146[Amount],Table146[Company],$P$3,Table146[Date],$A126,Table146[Bill No.],$B126),SUMIFS('Other Sale'!$D:$D,'Other Sale'!$E:$E,$P$3,'Other Sale'!$C:$C,$K126,'Other Sale'!$A:$A,$A126)))))</f>
        <v/>
      </c>
      <c r="F126" s="330" t="str" cm="1">
        <f t="array" ref="F126">IF($A126="","",IF($K126="Payment",IFERROR(INDEX(_xlfn._xlws.FILTER(MasterPaid[Amount Paid],(MasterPaid[Customer]=$P$3)*(MasterPaid[Date]=$A126)),COUNTIFS($A$6:$A126,$A126,$K$6:$K126,"Payment")),0),0))</f>
        <v/>
      </c>
      <c r="G126" s="331" t="s">
        <v>13</v>
      </c>
      <c r="H126" s="331"/>
      <c r="I126" s="330" t="str">
        <f t="shared" si="12"/>
        <v/>
      </c>
      <c r="J126" s="275"/>
      <c r="K126" s="289" t="str" cm="1">
        <f t="array" ref="K126">IFERROR(INDEX(_xlfn.ANCHORARRAY($R$6),ROW()-5,3),"")</f>
        <v/>
      </c>
      <c r="L126" s="430" t="str" cm="1">
        <f t="array" ref="L126">IF(OR($A126="",$J126="",$K126&lt;&gt;"DIESEL"),"",_xlfn.LET(_xlpm.qty,N($C126),_xlpm.pos,IF($J126="UNIT 1",$V$5:$V$54,$AC$5:$AC$54),_xlpm.alo,IF($J126="UNIT 1",$W$5:$W$54,$AD$5:$AD$54),_xlpm.usd,SUMIFS($C$6:$C125,$L$6:$L125,_xlpm.pos&amp;"",$J$6:$J125,$J126),_xlpm.bal,N(_xlpm.alo)-_xlpm.usd,IFERROR(INDEX(_xlfn._xlws.FILTER(_xlpm.pos,(_xlpm.pos&lt;&gt;"")*(_xlpm.qty&gt;0)*(_xlpm.bal&gt;=_xlpm.qty)),1),"")))</f>
        <v/>
      </c>
      <c r="M126" s="290"/>
      <c r="AQ126" s="409"/>
      <c r="AR126" s="410"/>
      <c r="AS126" s="410"/>
      <c r="AT126" s="411"/>
      <c r="AU126" s="412"/>
      <c r="AV126" s="413"/>
      <c r="AW126" s="413"/>
      <c r="AX126" s="413"/>
      <c r="AY126" s="413"/>
      <c r="AZ126" s="413" t="str">
        <f t="shared" si="9"/>
        <v/>
      </c>
      <c r="BB126" s="409"/>
      <c r="BC126" s="410"/>
      <c r="BD126" s="410"/>
      <c r="BE126" s="411"/>
      <c r="BF126" s="412"/>
      <c r="BG126" s="413"/>
      <c r="BH126" s="413"/>
      <c r="BI126" s="413"/>
      <c r="BJ126" s="413"/>
      <c r="BK126" s="413" t="str">
        <f t="shared" si="10"/>
        <v/>
      </c>
    </row>
    <row r="127" spans="1:63" ht="23" x14ac:dyDescent="0.25">
      <c r="A127" s="217" t="str" cm="1">
        <f t="array" ref="A127">IFERROR(INDEX(_xlfn.ANCHORARRAY($R$6),ROW()-5,1),"")</f>
        <v/>
      </c>
      <c r="B127" s="289" t="str" cm="1">
        <f t="array" ref="B127">IFERROR(INDEX(_xlfn.ANCHORARRAY($R$6),ROW()-5,2),"")</f>
        <v/>
      </c>
      <c r="C127" s="218" t="str">
        <f>IF($A127="","",IF($K127="DIESEL",SUMIFS(Table1[Quantity],Table1[Customer],$P$3,Table1[Date],$A127,Table1[Bill No.],$B127),IF($K127="PETROL",SUMIFS(Table14[Quantity],Table14[Customer],$P$3,Table14[Date],$A127,Table14[Bill No.],$B127),IF($K127="XtraGreen",SUMIFS(Table146[Quantity],Table146[Company],$P$3,Table146[Date],$A127,Table146[Bill No.],$B127),""))))</f>
        <v/>
      </c>
      <c r="D127" s="223" t="str">
        <f>IF($A127="","",IF($K127="DIESEL",AVERAGEIFS(Table1[RSP],Table1[Customer],$P$3,Table1[Date],$A127,Table1[Bill No.],$B127),IF($K127="PETROL",AVERAGEIFS(Table14[RSP],Table14[Customer],$P$3,Table14[Date],$A127,Table14[Bill No.],$B127),IF($K127="XtraGreen",AVERAGEIFS(Table146[RSP],Table146[Company],$P$3,Table146[Date],$A127,Table146[Bill No.],$B127),IFERROR($E127/$C127,"")))))</f>
        <v/>
      </c>
      <c r="E127" s="330" t="str">
        <f>IF($A127="","",IF($K127="DIESEL",SUMIFS(Table1[Amount],Table1[Customer],$P$3,Table1[Date],$A127,Table1[Bill No.],$B127),IF($K127="PETROL",SUMIFS(Table14[Amount],Table14[Customer],$P$3,Table14[Date],$A127,Table14[Bill No.],$B127),IF($K127="XtraGreen",SUMIFS(Table146[Amount],Table146[Company],$P$3,Table146[Date],$A127,Table146[Bill No.],$B127),SUMIFS('Other Sale'!$D:$D,'Other Sale'!$E:$E,$P$3,'Other Sale'!$C:$C,$K127,'Other Sale'!$A:$A,$A127)))))</f>
        <v/>
      </c>
      <c r="F127" s="330" t="str" cm="1">
        <f t="array" ref="F127">IF($A127="","",IF($K127="Payment",IFERROR(INDEX(_xlfn._xlws.FILTER(MasterPaid[Amount Paid],(MasterPaid[Customer]=$P$3)*(MasterPaid[Date]=$A127)),COUNTIFS($A$6:$A127,$A127,$K$6:$K127,"Payment")),0),0))</f>
        <v/>
      </c>
      <c r="G127" s="331" t="s">
        <v>13</v>
      </c>
      <c r="H127" s="331"/>
      <c r="I127" s="330" t="str">
        <f t="shared" si="12"/>
        <v/>
      </c>
      <c r="J127" s="275"/>
      <c r="K127" s="289" t="str" cm="1">
        <f t="array" ref="K127">IFERROR(INDEX(_xlfn.ANCHORARRAY($R$6),ROW()-5,3),"")</f>
        <v/>
      </c>
      <c r="L127" s="430" t="str" cm="1">
        <f t="array" ref="L127">IF(OR($A127="",$J127="",$K127&lt;&gt;"DIESEL"),"",_xlfn.LET(_xlpm.qty,N($C127),_xlpm.pos,IF($J127="UNIT 1",$V$5:$V$54,$AC$5:$AC$54),_xlpm.alo,IF($J127="UNIT 1",$W$5:$W$54,$AD$5:$AD$54),_xlpm.usd,SUMIFS($C$6:$C126,$L$6:$L126,_xlpm.pos&amp;"",$J$6:$J126,$J127),_xlpm.bal,N(_xlpm.alo)-_xlpm.usd,IFERROR(INDEX(_xlfn._xlws.FILTER(_xlpm.pos,(_xlpm.pos&lt;&gt;"")*(_xlpm.qty&gt;0)*(_xlpm.bal&gt;=_xlpm.qty)),1),"")))</f>
        <v/>
      </c>
      <c r="M127" s="290"/>
      <c r="AQ127" s="409"/>
      <c r="AR127" s="410"/>
      <c r="AS127" s="410"/>
      <c r="AT127" s="411"/>
      <c r="AU127" s="412"/>
      <c r="AV127" s="413"/>
      <c r="AW127" s="413"/>
      <c r="AX127" s="413"/>
      <c r="AY127" s="413"/>
      <c r="AZ127" s="413" t="str">
        <f t="shared" si="9"/>
        <v/>
      </c>
      <c r="BB127" s="409"/>
      <c r="BC127" s="410"/>
      <c r="BD127" s="410"/>
      <c r="BE127" s="411"/>
      <c r="BF127" s="412"/>
      <c r="BG127" s="413"/>
      <c r="BH127" s="413"/>
      <c r="BI127" s="413"/>
      <c r="BJ127" s="413"/>
      <c r="BK127" s="413" t="str">
        <f t="shared" si="10"/>
        <v/>
      </c>
    </row>
    <row r="128" spans="1:63" ht="23" x14ac:dyDescent="0.25">
      <c r="A128" s="217" t="str" cm="1">
        <f t="array" ref="A128">IFERROR(INDEX(_xlfn.ANCHORARRAY($R$6),ROW()-5,1),"")</f>
        <v/>
      </c>
      <c r="B128" s="289" t="str" cm="1">
        <f t="array" ref="B128">IFERROR(INDEX(_xlfn.ANCHORARRAY($R$6),ROW()-5,2),"")</f>
        <v/>
      </c>
      <c r="C128" s="218" t="str">
        <f>IF($A128="","",IF($K128="DIESEL",SUMIFS(Table1[Quantity],Table1[Customer],$P$3,Table1[Date],$A128,Table1[Bill No.],$B128),IF($K128="PETROL",SUMIFS(Table14[Quantity],Table14[Customer],$P$3,Table14[Date],$A128,Table14[Bill No.],$B128),IF($K128="XtraGreen",SUMIFS(Table146[Quantity],Table146[Company],$P$3,Table146[Date],$A128,Table146[Bill No.],$B128),""))))</f>
        <v/>
      </c>
      <c r="D128" s="223" t="str">
        <f>IF($A128="","",IF($K128="DIESEL",AVERAGEIFS(Table1[RSP],Table1[Customer],$P$3,Table1[Date],$A128,Table1[Bill No.],$B128),IF($K128="PETROL",AVERAGEIFS(Table14[RSP],Table14[Customer],$P$3,Table14[Date],$A128,Table14[Bill No.],$B128),IF($K128="XtraGreen",AVERAGEIFS(Table146[RSP],Table146[Company],$P$3,Table146[Date],$A128,Table146[Bill No.],$B128),IFERROR($E128/$C128,"")))))</f>
        <v/>
      </c>
      <c r="E128" s="330" t="str">
        <f>IF($A128="","",IF($K128="DIESEL",SUMIFS(Table1[Amount],Table1[Customer],$P$3,Table1[Date],$A128,Table1[Bill No.],$B128),IF($K128="PETROL",SUMIFS(Table14[Amount],Table14[Customer],$P$3,Table14[Date],$A128,Table14[Bill No.],$B128),IF($K128="XtraGreen",SUMIFS(Table146[Amount],Table146[Company],$P$3,Table146[Date],$A128,Table146[Bill No.],$B128),SUMIFS('Other Sale'!$D:$D,'Other Sale'!$E:$E,$P$3,'Other Sale'!$C:$C,$K128,'Other Sale'!$A:$A,$A128)))))</f>
        <v/>
      </c>
      <c r="F128" s="330" t="str" cm="1">
        <f t="array" ref="F128">IF($A128="","",IF($K128="Payment",IFERROR(INDEX(_xlfn._xlws.FILTER(MasterPaid[Amount Paid],(MasterPaid[Customer]=$P$3)*(MasterPaid[Date]=$A128)),COUNTIFS($A$6:$A128,$A128,$K$6:$K128,"Payment")),0),0))</f>
        <v/>
      </c>
      <c r="G128" s="331" t="s">
        <v>13</v>
      </c>
      <c r="H128" s="331"/>
      <c r="I128" s="330" t="str">
        <f t="shared" si="12"/>
        <v/>
      </c>
      <c r="J128" s="275"/>
      <c r="K128" s="289" t="str" cm="1">
        <f t="array" ref="K128">IFERROR(INDEX(_xlfn.ANCHORARRAY($R$6),ROW()-5,3),"")</f>
        <v/>
      </c>
      <c r="L128" s="430" t="str" cm="1">
        <f t="array" ref="L128">IF(OR($A128="",$J128="",$K128&lt;&gt;"DIESEL"),"",_xlfn.LET(_xlpm.qty,N($C128),_xlpm.pos,IF($J128="UNIT 1",$V$5:$V$54,$AC$5:$AC$54),_xlpm.alo,IF($J128="UNIT 1",$W$5:$W$54,$AD$5:$AD$54),_xlpm.usd,SUMIFS($C$6:$C127,$L$6:$L127,_xlpm.pos&amp;"",$J$6:$J127,$J128),_xlpm.bal,N(_xlpm.alo)-_xlpm.usd,IFERROR(INDEX(_xlfn._xlws.FILTER(_xlpm.pos,(_xlpm.pos&lt;&gt;"")*(_xlpm.qty&gt;0)*(_xlpm.bal&gt;=_xlpm.qty)),1),"")))</f>
        <v/>
      </c>
      <c r="M128" s="290"/>
      <c r="AQ128" s="409"/>
      <c r="AR128" s="410"/>
      <c r="AS128" s="410"/>
      <c r="AT128" s="411"/>
      <c r="AU128" s="412"/>
      <c r="AV128" s="413"/>
      <c r="AW128" s="413"/>
      <c r="AX128" s="413"/>
      <c r="AY128" s="413"/>
      <c r="AZ128" s="413" t="str">
        <f t="shared" si="9"/>
        <v/>
      </c>
      <c r="BB128" s="409"/>
      <c r="BC128" s="410"/>
      <c r="BD128" s="410"/>
      <c r="BE128" s="411"/>
      <c r="BF128" s="412"/>
      <c r="BG128" s="413"/>
      <c r="BH128" s="413"/>
      <c r="BI128" s="413"/>
      <c r="BJ128" s="413"/>
      <c r="BK128" s="413" t="str">
        <f t="shared" si="10"/>
        <v/>
      </c>
    </row>
    <row r="129" spans="1:63" ht="23" x14ac:dyDescent="0.25">
      <c r="A129" s="217" t="str" cm="1">
        <f t="array" ref="A129">IFERROR(INDEX(_xlfn.ANCHORARRAY($R$6),ROW()-5,1),"")</f>
        <v/>
      </c>
      <c r="B129" s="289" t="str" cm="1">
        <f t="array" ref="B129">IFERROR(INDEX(_xlfn.ANCHORARRAY($R$6),ROW()-5,2),"")</f>
        <v/>
      </c>
      <c r="C129" s="218" t="str">
        <f>IF($A129="","",IF($K129="DIESEL",SUMIFS(Table1[Quantity],Table1[Customer],$P$3,Table1[Date],$A129,Table1[Bill No.],$B129),IF($K129="PETROL",SUMIFS(Table14[Quantity],Table14[Customer],$P$3,Table14[Date],$A129,Table14[Bill No.],$B129),IF($K129="XtraGreen",SUMIFS(Table146[Quantity],Table146[Company],$P$3,Table146[Date],$A129,Table146[Bill No.],$B129),""))))</f>
        <v/>
      </c>
      <c r="D129" s="223" t="str">
        <f>IF($A129="","",IF($K129="DIESEL",AVERAGEIFS(Table1[RSP],Table1[Customer],$P$3,Table1[Date],$A129,Table1[Bill No.],$B129),IF($K129="PETROL",AVERAGEIFS(Table14[RSP],Table14[Customer],$P$3,Table14[Date],$A129,Table14[Bill No.],$B129),IF($K129="XtraGreen",AVERAGEIFS(Table146[RSP],Table146[Company],$P$3,Table146[Date],$A129,Table146[Bill No.],$B129),IFERROR($E129/$C129,"")))))</f>
        <v/>
      </c>
      <c r="E129" s="330" t="str">
        <f>IF($A129="","",IF($K129="DIESEL",SUMIFS(Table1[Amount],Table1[Customer],$P$3,Table1[Date],$A129,Table1[Bill No.],$B129),IF($K129="PETROL",SUMIFS(Table14[Amount],Table14[Customer],$P$3,Table14[Date],$A129,Table14[Bill No.],$B129),IF($K129="XtraGreen",SUMIFS(Table146[Amount],Table146[Company],$P$3,Table146[Date],$A129,Table146[Bill No.],$B129),SUMIFS('Other Sale'!$D:$D,'Other Sale'!$E:$E,$P$3,'Other Sale'!$C:$C,$K129,'Other Sale'!$A:$A,$A129)))))</f>
        <v/>
      </c>
      <c r="F129" s="330" t="str" cm="1">
        <f t="array" ref="F129">IF($A129="","",IF($K129="Payment",IFERROR(INDEX(_xlfn._xlws.FILTER(MasterPaid[Amount Paid],(MasterPaid[Customer]=$P$3)*(MasterPaid[Date]=$A129)),COUNTIFS($A$6:$A129,$A129,$K$6:$K129,"Payment")),0),0))</f>
        <v/>
      </c>
      <c r="G129" s="331" t="s">
        <v>13</v>
      </c>
      <c r="H129" s="331"/>
      <c r="I129" s="330" t="str">
        <f t="shared" si="12"/>
        <v/>
      </c>
      <c r="J129" s="275"/>
      <c r="K129" s="289" t="str" cm="1">
        <f t="array" ref="K129">IFERROR(INDEX(_xlfn.ANCHORARRAY($R$6),ROW()-5,3),"")</f>
        <v/>
      </c>
      <c r="L129" s="430" t="str" cm="1">
        <f t="array" ref="L129">IF(OR($A129="",$J129="",$K129&lt;&gt;"DIESEL"),"",_xlfn.LET(_xlpm.qty,N($C129),_xlpm.pos,IF($J129="UNIT 1",$V$5:$V$54,$AC$5:$AC$54),_xlpm.alo,IF($J129="UNIT 1",$W$5:$W$54,$AD$5:$AD$54),_xlpm.usd,SUMIFS($C$6:$C128,$L$6:$L128,_xlpm.pos&amp;"",$J$6:$J128,$J129),_xlpm.bal,N(_xlpm.alo)-_xlpm.usd,IFERROR(INDEX(_xlfn._xlws.FILTER(_xlpm.pos,(_xlpm.pos&lt;&gt;"")*(_xlpm.qty&gt;0)*(_xlpm.bal&gt;=_xlpm.qty)),1),"")))</f>
        <v/>
      </c>
      <c r="M129" s="290"/>
      <c r="AQ129" s="409"/>
      <c r="AR129" s="410"/>
      <c r="AS129" s="410"/>
      <c r="AT129" s="411"/>
      <c r="AU129" s="412"/>
      <c r="AV129" s="413"/>
      <c r="AW129" s="413"/>
      <c r="AX129" s="413"/>
      <c r="AY129" s="413"/>
      <c r="AZ129" s="413" t="str">
        <f t="shared" si="9"/>
        <v/>
      </c>
      <c r="BB129" s="409"/>
      <c r="BC129" s="410"/>
      <c r="BD129" s="410"/>
      <c r="BE129" s="411"/>
      <c r="BF129" s="412"/>
      <c r="BG129" s="413"/>
      <c r="BH129" s="413"/>
      <c r="BI129" s="413"/>
      <c r="BJ129" s="413"/>
      <c r="BK129" s="413" t="str">
        <f t="shared" si="10"/>
        <v/>
      </c>
    </row>
    <row r="130" spans="1:63" ht="23" x14ac:dyDescent="0.25">
      <c r="A130" s="217" t="str" cm="1">
        <f t="array" ref="A130">IFERROR(INDEX(_xlfn.ANCHORARRAY($R$6),ROW()-5,1),"")</f>
        <v/>
      </c>
      <c r="B130" s="289" t="str" cm="1">
        <f t="array" ref="B130">IFERROR(INDEX(_xlfn.ANCHORARRAY($R$6),ROW()-5,2),"")</f>
        <v/>
      </c>
      <c r="C130" s="218" t="str">
        <f>IF($A130="","",IF($K130="DIESEL",SUMIFS(Table1[Quantity],Table1[Customer],$P$3,Table1[Date],$A130,Table1[Bill No.],$B130),IF($K130="PETROL",SUMIFS(Table14[Quantity],Table14[Customer],$P$3,Table14[Date],$A130,Table14[Bill No.],$B130),IF($K130="XtraGreen",SUMIFS(Table146[Quantity],Table146[Company],$P$3,Table146[Date],$A130,Table146[Bill No.],$B130),""))))</f>
        <v/>
      </c>
      <c r="D130" s="223" t="str">
        <f>IF($A130="","",IF($K130="DIESEL",AVERAGEIFS(Table1[RSP],Table1[Customer],$P$3,Table1[Date],$A130,Table1[Bill No.],$B130),IF($K130="PETROL",AVERAGEIFS(Table14[RSP],Table14[Customer],$P$3,Table14[Date],$A130,Table14[Bill No.],$B130),IF($K130="XtraGreen",AVERAGEIFS(Table146[RSP],Table146[Company],$P$3,Table146[Date],$A130,Table146[Bill No.],$B130),IFERROR($E130/$C130,"")))))</f>
        <v/>
      </c>
      <c r="E130" s="330" t="str">
        <f>IF($A130="","",IF($K130="DIESEL",SUMIFS(Table1[Amount],Table1[Customer],$P$3,Table1[Date],$A130,Table1[Bill No.],$B130),IF($K130="PETROL",SUMIFS(Table14[Amount],Table14[Customer],$P$3,Table14[Date],$A130,Table14[Bill No.],$B130),IF($K130="XtraGreen",SUMIFS(Table146[Amount],Table146[Company],$P$3,Table146[Date],$A130,Table146[Bill No.],$B130),SUMIFS('Other Sale'!$D:$D,'Other Sale'!$E:$E,$P$3,'Other Sale'!$C:$C,$K130,'Other Sale'!$A:$A,$A130)))))</f>
        <v/>
      </c>
      <c r="F130" s="330" t="str" cm="1">
        <f t="array" ref="F130">IF($A130="","",IF($K130="Payment",IFERROR(INDEX(_xlfn._xlws.FILTER(MasterPaid[Amount Paid],(MasterPaid[Customer]=$P$3)*(MasterPaid[Date]=$A130)),COUNTIFS($A$6:$A130,$A130,$K$6:$K130,"Payment")),0),0))</f>
        <v/>
      </c>
      <c r="G130" s="331" t="s">
        <v>13</v>
      </c>
      <c r="H130" s="331"/>
      <c r="I130" s="330" t="str">
        <f t="shared" si="12"/>
        <v/>
      </c>
      <c r="J130" s="275"/>
      <c r="K130" s="289" t="str" cm="1">
        <f t="array" ref="K130">IFERROR(INDEX(_xlfn.ANCHORARRAY($R$6),ROW()-5,3),"")</f>
        <v/>
      </c>
      <c r="L130" s="430" t="str" cm="1">
        <f t="array" ref="L130">IF(OR($A130="",$J130="",$K130&lt;&gt;"DIESEL"),"",_xlfn.LET(_xlpm.qty,N($C130),_xlpm.pos,IF($J130="UNIT 1",$V$5:$V$54,$AC$5:$AC$54),_xlpm.alo,IF($J130="UNIT 1",$W$5:$W$54,$AD$5:$AD$54),_xlpm.usd,SUMIFS($C$6:$C129,$L$6:$L129,_xlpm.pos&amp;"",$J$6:$J129,$J130),_xlpm.bal,N(_xlpm.alo)-_xlpm.usd,IFERROR(INDEX(_xlfn._xlws.FILTER(_xlpm.pos,(_xlpm.pos&lt;&gt;"")*(_xlpm.qty&gt;0)*(_xlpm.bal&gt;=_xlpm.qty)),1),"")))</f>
        <v/>
      </c>
      <c r="M130" s="290"/>
      <c r="AQ130" s="409"/>
      <c r="AR130" s="410"/>
      <c r="AS130" s="410"/>
      <c r="AT130" s="411"/>
      <c r="AU130" s="412"/>
      <c r="AV130" s="413"/>
      <c r="AW130" s="413"/>
      <c r="AX130" s="413"/>
      <c r="AY130" s="413"/>
      <c r="AZ130" s="413" t="str">
        <f t="shared" si="9"/>
        <v/>
      </c>
      <c r="BB130" s="409"/>
      <c r="BC130" s="410"/>
      <c r="BD130" s="410"/>
      <c r="BE130" s="411"/>
      <c r="BF130" s="412"/>
      <c r="BG130" s="413"/>
      <c r="BH130" s="413"/>
      <c r="BI130" s="413"/>
      <c r="BJ130" s="413"/>
      <c r="BK130" s="413" t="str">
        <f t="shared" si="10"/>
        <v/>
      </c>
    </row>
    <row r="131" spans="1:63" ht="23" x14ac:dyDescent="0.25">
      <c r="A131" s="217" t="str" cm="1">
        <f t="array" ref="A131">IFERROR(INDEX(_xlfn.ANCHORARRAY($R$6),ROW()-5,1),"")</f>
        <v/>
      </c>
      <c r="B131" s="289" t="str" cm="1">
        <f t="array" ref="B131">IFERROR(INDEX(_xlfn.ANCHORARRAY($R$6),ROW()-5,2),"")</f>
        <v/>
      </c>
      <c r="C131" s="218" t="str">
        <f>IF($A131="","",IF($K131="DIESEL",SUMIFS(Table1[Quantity],Table1[Customer],$P$3,Table1[Date],$A131,Table1[Bill No.],$B131),IF($K131="PETROL",SUMIFS(Table14[Quantity],Table14[Customer],$P$3,Table14[Date],$A131,Table14[Bill No.],$B131),IF($K131="XtraGreen",SUMIFS(Table146[Quantity],Table146[Company],$P$3,Table146[Date],$A131,Table146[Bill No.],$B131),""))))</f>
        <v/>
      </c>
      <c r="D131" s="223" t="str">
        <f>IF($A131="","",IF($K131="DIESEL",AVERAGEIFS(Table1[RSP],Table1[Customer],$P$3,Table1[Date],$A131,Table1[Bill No.],$B131),IF($K131="PETROL",AVERAGEIFS(Table14[RSP],Table14[Customer],$P$3,Table14[Date],$A131,Table14[Bill No.],$B131),IF($K131="XtraGreen",AVERAGEIFS(Table146[RSP],Table146[Company],$P$3,Table146[Date],$A131,Table146[Bill No.],$B131),IFERROR($E131/$C131,"")))))</f>
        <v/>
      </c>
      <c r="E131" s="330" t="str">
        <f>IF($A131="","",IF($K131="DIESEL",SUMIFS(Table1[Amount],Table1[Customer],$P$3,Table1[Date],$A131,Table1[Bill No.],$B131),IF($K131="PETROL",SUMIFS(Table14[Amount],Table14[Customer],$P$3,Table14[Date],$A131,Table14[Bill No.],$B131),IF($K131="XtraGreen",SUMIFS(Table146[Amount],Table146[Company],$P$3,Table146[Date],$A131,Table146[Bill No.],$B131),SUMIFS('Other Sale'!$D:$D,'Other Sale'!$E:$E,$P$3,'Other Sale'!$C:$C,$K131,'Other Sale'!$A:$A,$A131)))))</f>
        <v/>
      </c>
      <c r="F131" s="330" t="str" cm="1">
        <f t="array" ref="F131">IF($A131="","",IF($K131="Payment",IFERROR(INDEX(_xlfn._xlws.FILTER(MasterPaid[Amount Paid],(MasterPaid[Customer]=$P$3)*(MasterPaid[Date]=$A131)),COUNTIFS($A$6:$A131,$A131,$K$6:$K131,"Payment")),0),0))</f>
        <v/>
      </c>
      <c r="G131" s="331" t="s">
        <v>13</v>
      </c>
      <c r="H131" s="331"/>
      <c r="I131" s="330" t="str">
        <f t="shared" si="12"/>
        <v/>
      </c>
      <c r="J131" s="275"/>
      <c r="K131" s="289" t="str" cm="1">
        <f t="array" ref="K131">IFERROR(INDEX(_xlfn.ANCHORARRAY($R$6),ROW()-5,3),"")</f>
        <v/>
      </c>
      <c r="L131" s="430" t="str" cm="1">
        <f t="array" ref="L131">IF(OR($A131="",$J131="",$K131&lt;&gt;"DIESEL"),"",_xlfn.LET(_xlpm.qty,N($C131),_xlpm.pos,IF($J131="UNIT 1",$V$5:$V$54,$AC$5:$AC$54),_xlpm.alo,IF($J131="UNIT 1",$W$5:$W$54,$AD$5:$AD$54),_xlpm.usd,SUMIFS($C$6:$C130,$L$6:$L130,_xlpm.pos&amp;"",$J$6:$J130,$J131),_xlpm.bal,N(_xlpm.alo)-_xlpm.usd,IFERROR(INDEX(_xlfn._xlws.FILTER(_xlpm.pos,(_xlpm.pos&lt;&gt;"")*(_xlpm.qty&gt;0)*(_xlpm.bal&gt;=_xlpm.qty)),1),"")))</f>
        <v/>
      </c>
      <c r="M131" s="290"/>
      <c r="AQ131" s="409"/>
      <c r="AR131" s="410"/>
      <c r="AS131" s="410"/>
      <c r="AT131" s="411"/>
      <c r="AU131" s="412"/>
      <c r="AV131" s="413"/>
      <c r="AW131" s="413"/>
      <c r="AX131" s="413"/>
      <c r="AY131" s="413"/>
      <c r="AZ131" s="413" t="str">
        <f t="shared" si="9"/>
        <v/>
      </c>
      <c r="BB131" s="409"/>
      <c r="BC131" s="410"/>
      <c r="BD131" s="410"/>
      <c r="BE131" s="411"/>
      <c r="BF131" s="412"/>
      <c r="BG131" s="413"/>
      <c r="BH131" s="413"/>
      <c r="BI131" s="413"/>
      <c r="BJ131" s="413"/>
      <c r="BK131" s="413" t="str">
        <f t="shared" si="10"/>
        <v/>
      </c>
    </row>
    <row r="132" spans="1:63" ht="23" x14ac:dyDescent="0.25">
      <c r="A132" s="217" t="str" cm="1">
        <f t="array" ref="A132">IFERROR(INDEX(_xlfn.ANCHORARRAY($R$6),ROW()-5,1),"")</f>
        <v/>
      </c>
      <c r="B132" s="289" t="str" cm="1">
        <f t="array" ref="B132">IFERROR(INDEX(_xlfn.ANCHORARRAY($R$6),ROW()-5,2),"")</f>
        <v/>
      </c>
      <c r="C132" s="218" t="str">
        <f>IF($A132="","",IF($K132="DIESEL",SUMIFS(Table1[Quantity],Table1[Customer],$P$3,Table1[Date],$A132,Table1[Bill No.],$B132),IF($K132="PETROL",SUMIFS(Table14[Quantity],Table14[Customer],$P$3,Table14[Date],$A132,Table14[Bill No.],$B132),IF($K132="XtraGreen",SUMIFS(Table146[Quantity],Table146[Company],$P$3,Table146[Date],$A132,Table146[Bill No.],$B132),""))))</f>
        <v/>
      </c>
      <c r="D132" s="223" t="str">
        <f>IF($A132="","",IF($K132="DIESEL",AVERAGEIFS(Table1[RSP],Table1[Customer],$P$3,Table1[Date],$A132,Table1[Bill No.],$B132),IF($K132="PETROL",AVERAGEIFS(Table14[RSP],Table14[Customer],$P$3,Table14[Date],$A132,Table14[Bill No.],$B132),IF($K132="XtraGreen",AVERAGEIFS(Table146[RSP],Table146[Company],$P$3,Table146[Date],$A132,Table146[Bill No.],$B132),IFERROR($E132/$C132,"")))))</f>
        <v/>
      </c>
      <c r="E132" s="330" t="str">
        <f>IF($A132="","",IF($K132="DIESEL",SUMIFS(Table1[Amount],Table1[Customer],$P$3,Table1[Date],$A132,Table1[Bill No.],$B132),IF($K132="PETROL",SUMIFS(Table14[Amount],Table14[Customer],$P$3,Table14[Date],$A132,Table14[Bill No.],$B132),IF($K132="XtraGreen",SUMIFS(Table146[Amount],Table146[Company],$P$3,Table146[Date],$A132,Table146[Bill No.],$B132),SUMIFS('Other Sale'!$D:$D,'Other Sale'!$E:$E,$P$3,'Other Sale'!$C:$C,$K132,'Other Sale'!$A:$A,$A132)))))</f>
        <v/>
      </c>
      <c r="F132" s="330" t="str" cm="1">
        <f t="array" ref="F132">IF($A132="","",IF($K132="Payment",IFERROR(INDEX(_xlfn._xlws.FILTER(MasterPaid[Amount Paid],(MasterPaid[Customer]=$P$3)*(MasterPaid[Date]=$A132)),COUNTIFS($A$6:$A132,$A132,$K$6:$K132,"Payment")),0),0))</f>
        <v/>
      </c>
      <c r="G132" s="331" t="s">
        <v>13</v>
      </c>
      <c r="H132" s="331"/>
      <c r="I132" s="330" t="str">
        <f t="shared" si="12"/>
        <v/>
      </c>
      <c r="J132" s="275"/>
      <c r="K132" s="289" t="str" cm="1">
        <f t="array" ref="K132">IFERROR(INDEX(_xlfn.ANCHORARRAY($R$6),ROW()-5,3),"")</f>
        <v/>
      </c>
      <c r="L132" s="430" t="str" cm="1">
        <f t="array" ref="L132">IF(OR($A132="",$J132="",$K132&lt;&gt;"DIESEL"),"",_xlfn.LET(_xlpm.qty,N($C132),_xlpm.pos,IF($J132="UNIT 1",$V$5:$V$54,$AC$5:$AC$54),_xlpm.alo,IF($J132="UNIT 1",$W$5:$W$54,$AD$5:$AD$54),_xlpm.usd,SUMIFS($C$6:$C131,$L$6:$L131,_xlpm.pos&amp;"",$J$6:$J131,$J132),_xlpm.bal,N(_xlpm.alo)-_xlpm.usd,IFERROR(INDEX(_xlfn._xlws.FILTER(_xlpm.pos,(_xlpm.pos&lt;&gt;"")*(_xlpm.qty&gt;0)*(_xlpm.bal&gt;=_xlpm.qty)),1),"")))</f>
        <v/>
      </c>
      <c r="M132" s="290"/>
      <c r="AQ132" s="409"/>
      <c r="AR132" s="410"/>
      <c r="AS132" s="410"/>
      <c r="AT132" s="411"/>
      <c r="AU132" s="412"/>
      <c r="AV132" s="413"/>
      <c r="AW132" s="413"/>
      <c r="AX132" s="413"/>
      <c r="AY132" s="413"/>
      <c r="AZ132" s="413" t="str">
        <f t="shared" si="9"/>
        <v/>
      </c>
      <c r="BB132" s="409"/>
      <c r="BC132" s="410"/>
      <c r="BD132" s="410"/>
      <c r="BE132" s="411"/>
      <c r="BF132" s="412"/>
      <c r="BG132" s="413"/>
      <c r="BH132" s="413"/>
      <c r="BI132" s="413"/>
      <c r="BJ132" s="413"/>
      <c r="BK132" s="413" t="str">
        <f t="shared" si="10"/>
        <v/>
      </c>
    </row>
    <row r="133" spans="1:63" ht="23" x14ac:dyDescent="0.25">
      <c r="A133" s="217" t="str" cm="1">
        <f t="array" ref="A133">IFERROR(INDEX(_xlfn.ANCHORARRAY($R$6),ROW()-5,1),"")</f>
        <v/>
      </c>
      <c r="B133" s="289" t="str" cm="1">
        <f t="array" ref="B133">IFERROR(INDEX(_xlfn.ANCHORARRAY($R$6),ROW()-5,2),"")</f>
        <v/>
      </c>
      <c r="C133" s="218" t="str">
        <f>IF($A133="","",IF($K133="DIESEL",SUMIFS(Table1[Quantity],Table1[Customer],$P$3,Table1[Date],$A133,Table1[Bill No.],$B133),IF($K133="PETROL",SUMIFS(Table14[Quantity],Table14[Customer],$P$3,Table14[Date],$A133,Table14[Bill No.],$B133),IF($K133="XtraGreen",SUMIFS(Table146[Quantity],Table146[Company],$P$3,Table146[Date],$A133,Table146[Bill No.],$B133),""))))</f>
        <v/>
      </c>
      <c r="D133" s="223" t="str">
        <f>IF($A133="","",IF($K133="DIESEL",AVERAGEIFS(Table1[RSP],Table1[Customer],$P$3,Table1[Date],$A133,Table1[Bill No.],$B133),IF($K133="PETROL",AVERAGEIFS(Table14[RSP],Table14[Customer],$P$3,Table14[Date],$A133,Table14[Bill No.],$B133),IF($K133="XtraGreen",AVERAGEIFS(Table146[RSP],Table146[Company],$P$3,Table146[Date],$A133,Table146[Bill No.],$B133),IFERROR($E133/$C133,"")))))</f>
        <v/>
      </c>
      <c r="E133" s="330" t="str">
        <f>IF($A133="","",IF($K133="DIESEL",SUMIFS(Table1[Amount],Table1[Customer],$P$3,Table1[Date],$A133,Table1[Bill No.],$B133),IF($K133="PETROL",SUMIFS(Table14[Amount],Table14[Customer],$P$3,Table14[Date],$A133,Table14[Bill No.],$B133),IF($K133="XtraGreen",SUMIFS(Table146[Amount],Table146[Company],$P$3,Table146[Date],$A133,Table146[Bill No.],$B133),SUMIFS('Other Sale'!$D:$D,'Other Sale'!$E:$E,$P$3,'Other Sale'!$C:$C,$K133,'Other Sale'!$A:$A,$A133)))))</f>
        <v/>
      </c>
      <c r="F133" s="330" t="str" cm="1">
        <f t="array" ref="F133">IF($A133="","",IF($K133="Payment",IFERROR(INDEX(_xlfn._xlws.FILTER(MasterPaid[Amount Paid],(MasterPaid[Customer]=$P$3)*(MasterPaid[Date]=$A133)),COUNTIFS($A$6:$A133,$A133,$K$6:$K133,"Payment")),0),0))</f>
        <v/>
      </c>
      <c r="G133" s="331" t="s">
        <v>13</v>
      </c>
      <c r="H133" s="331"/>
      <c r="I133" s="330" t="str">
        <f t="shared" si="12"/>
        <v/>
      </c>
      <c r="J133" s="275"/>
      <c r="K133" s="289" t="str" cm="1">
        <f t="array" ref="K133">IFERROR(INDEX(_xlfn.ANCHORARRAY($R$6),ROW()-5,3),"")</f>
        <v/>
      </c>
      <c r="L133" s="430" t="str" cm="1">
        <f t="array" ref="L133">IF(OR($A133="",$J133="",$K133&lt;&gt;"DIESEL"),"",_xlfn.LET(_xlpm.qty,N($C133),_xlpm.pos,IF($J133="UNIT 1",$V$5:$V$54,$AC$5:$AC$54),_xlpm.alo,IF($J133="UNIT 1",$W$5:$W$54,$AD$5:$AD$54),_xlpm.usd,SUMIFS($C$6:$C132,$L$6:$L132,_xlpm.pos&amp;"",$J$6:$J132,$J133),_xlpm.bal,N(_xlpm.alo)-_xlpm.usd,IFERROR(INDEX(_xlfn._xlws.FILTER(_xlpm.pos,(_xlpm.pos&lt;&gt;"")*(_xlpm.qty&gt;0)*(_xlpm.bal&gt;=_xlpm.qty)),1),"")))</f>
        <v/>
      </c>
      <c r="M133" s="290"/>
      <c r="AQ133" s="409"/>
      <c r="AR133" s="410"/>
      <c r="AS133" s="410"/>
      <c r="AT133" s="411"/>
      <c r="AU133" s="412"/>
      <c r="AV133" s="413"/>
      <c r="AW133" s="413"/>
      <c r="AX133" s="413"/>
      <c r="AY133" s="413"/>
      <c r="AZ133" s="413" t="str">
        <f t="shared" si="9"/>
        <v/>
      </c>
      <c r="BB133" s="409"/>
      <c r="BC133" s="410"/>
      <c r="BD133" s="410"/>
      <c r="BE133" s="411"/>
      <c r="BF133" s="412"/>
      <c r="BG133" s="413"/>
      <c r="BH133" s="413"/>
      <c r="BI133" s="413"/>
      <c r="BJ133" s="413"/>
      <c r="BK133" s="413" t="str">
        <f t="shared" si="10"/>
        <v/>
      </c>
    </row>
    <row r="134" spans="1:63" ht="23" x14ac:dyDescent="0.25">
      <c r="A134" s="217" t="str" cm="1">
        <f t="array" ref="A134">IFERROR(INDEX(_xlfn.ANCHORARRAY($R$6),ROW()-5,1),"")</f>
        <v/>
      </c>
      <c r="B134" s="289" t="str" cm="1">
        <f t="array" ref="B134">IFERROR(INDEX(_xlfn.ANCHORARRAY($R$6),ROW()-5,2),"")</f>
        <v/>
      </c>
      <c r="C134" s="218" t="str">
        <f>IF($A134="","",IF($K134="DIESEL",SUMIFS(Table1[Quantity],Table1[Customer],$P$3,Table1[Date],$A134,Table1[Bill No.],$B134),IF($K134="PETROL",SUMIFS(Table14[Quantity],Table14[Customer],$P$3,Table14[Date],$A134,Table14[Bill No.],$B134),IF($K134="XtraGreen",SUMIFS(Table146[Quantity],Table146[Company],$P$3,Table146[Date],$A134,Table146[Bill No.],$B134),""))))</f>
        <v/>
      </c>
      <c r="D134" s="223" t="str">
        <f>IF($A134="","",IF($K134="DIESEL",AVERAGEIFS(Table1[RSP],Table1[Customer],$P$3,Table1[Date],$A134,Table1[Bill No.],$B134),IF($K134="PETROL",AVERAGEIFS(Table14[RSP],Table14[Customer],$P$3,Table14[Date],$A134,Table14[Bill No.],$B134),IF($K134="XtraGreen",AVERAGEIFS(Table146[RSP],Table146[Company],$P$3,Table146[Date],$A134,Table146[Bill No.],$B134),IFERROR($E134/$C134,"")))))</f>
        <v/>
      </c>
      <c r="E134" s="330" t="str">
        <f>IF($A134="","",IF($K134="DIESEL",SUMIFS(Table1[Amount],Table1[Customer],$P$3,Table1[Date],$A134,Table1[Bill No.],$B134),IF($K134="PETROL",SUMIFS(Table14[Amount],Table14[Customer],$P$3,Table14[Date],$A134,Table14[Bill No.],$B134),IF($K134="XtraGreen",SUMIFS(Table146[Amount],Table146[Company],$P$3,Table146[Date],$A134,Table146[Bill No.],$B134),SUMIFS('Other Sale'!$D:$D,'Other Sale'!$E:$E,$P$3,'Other Sale'!$C:$C,$K134,'Other Sale'!$A:$A,$A134)))))</f>
        <v/>
      </c>
      <c r="F134" s="330" t="str" cm="1">
        <f t="array" ref="F134">IF($A134="","",IF($K134="Payment",IFERROR(INDEX(_xlfn._xlws.FILTER(MasterPaid[Amount Paid],(MasterPaid[Customer]=$P$3)*(MasterPaid[Date]=$A134)),COUNTIFS($A$6:$A134,$A134,$K$6:$K134,"Payment")),0),0))</f>
        <v/>
      </c>
      <c r="G134" s="331" t="s">
        <v>13</v>
      </c>
      <c r="H134" s="331"/>
      <c r="I134" s="330" t="str">
        <f t="shared" si="12"/>
        <v/>
      </c>
      <c r="J134" s="275"/>
      <c r="K134" s="289" t="str" cm="1">
        <f t="array" ref="K134">IFERROR(INDEX(_xlfn.ANCHORARRAY($R$6),ROW()-5,3),"")</f>
        <v/>
      </c>
      <c r="L134" s="430" t="str" cm="1">
        <f t="array" ref="L134">IF(OR($A134="",$J134="",$K134&lt;&gt;"DIESEL"),"",_xlfn.LET(_xlpm.qty,N($C134),_xlpm.pos,IF($J134="UNIT 1",$V$5:$V$54,$AC$5:$AC$54),_xlpm.alo,IF($J134="UNIT 1",$W$5:$W$54,$AD$5:$AD$54),_xlpm.usd,SUMIFS($C$6:$C133,$L$6:$L133,_xlpm.pos&amp;"",$J$6:$J133,$J134),_xlpm.bal,N(_xlpm.alo)-_xlpm.usd,IFERROR(INDEX(_xlfn._xlws.FILTER(_xlpm.pos,(_xlpm.pos&lt;&gt;"")*(_xlpm.qty&gt;0)*(_xlpm.bal&gt;=_xlpm.qty)),1),"")))</f>
        <v/>
      </c>
      <c r="M134" s="290"/>
      <c r="AQ134" s="409"/>
      <c r="AR134" s="410"/>
      <c r="AS134" s="410"/>
      <c r="AT134" s="411"/>
      <c r="AU134" s="412"/>
      <c r="AV134" s="413"/>
      <c r="AW134" s="413"/>
      <c r="AX134" s="413"/>
      <c r="AY134" s="413"/>
      <c r="AZ134" s="413" t="str">
        <f t="shared" si="9"/>
        <v/>
      </c>
      <c r="BB134" s="409"/>
      <c r="BC134" s="410"/>
      <c r="BD134" s="410"/>
      <c r="BE134" s="411"/>
      <c r="BF134" s="412"/>
      <c r="BG134" s="413"/>
      <c r="BH134" s="413"/>
      <c r="BI134" s="413"/>
      <c r="BJ134" s="413"/>
      <c r="BK134" s="413" t="str">
        <f t="shared" si="10"/>
        <v/>
      </c>
    </row>
    <row r="135" spans="1:63" ht="23" x14ac:dyDescent="0.25">
      <c r="A135" s="217" t="str" cm="1">
        <f t="array" ref="A135">IFERROR(INDEX(_xlfn.ANCHORARRAY($R$6),ROW()-5,1),"")</f>
        <v/>
      </c>
      <c r="B135" s="289" t="str" cm="1">
        <f t="array" ref="B135">IFERROR(INDEX(_xlfn.ANCHORARRAY($R$6),ROW()-5,2),"")</f>
        <v/>
      </c>
      <c r="C135" s="218" t="str">
        <f>IF($A135="","",IF($K135="DIESEL",SUMIFS(Table1[Quantity],Table1[Customer],$P$3,Table1[Date],$A135,Table1[Bill No.],$B135),IF($K135="PETROL",SUMIFS(Table14[Quantity],Table14[Customer],$P$3,Table14[Date],$A135,Table14[Bill No.],$B135),IF($K135="XtraGreen",SUMIFS(Table146[Quantity],Table146[Company],$P$3,Table146[Date],$A135,Table146[Bill No.],$B135),""))))</f>
        <v/>
      </c>
      <c r="D135" s="223" t="str">
        <f>IF($A135="","",IF($K135="DIESEL",AVERAGEIFS(Table1[RSP],Table1[Customer],$P$3,Table1[Date],$A135,Table1[Bill No.],$B135),IF($K135="PETROL",AVERAGEIFS(Table14[RSP],Table14[Customer],$P$3,Table14[Date],$A135,Table14[Bill No.],$B135),IF($K135="XtraGreen",AVERAGEIFS(Table146[RSP],Table146[Company],$P$3,Table146[Date],$A135,Table146[Bill No.],$B135),IFERROR($E135/$C135,"")))))</f>
        <v/>
      </c>
      <c r="E135" s="330" t="str">
        <f>IF($A135="","",IF($K135="DIESEL",SUMIFS(Table1[Amount],Table1[Customer],$P$3,Table1[Date],$A135,Table1[Bill No.],$B135),IF($K135="PETROL",SUMIFS(Table14[Amount],Table14[Customer],$P$3,Table14[Date],$A135,Table14[Bill No.],$B135),IF($K135="XtraGreen",SUMIFS(Table146[Amount],Table146[Company],$P$3,Table146[Date],$A135,Table146[Bill No.],$B135),SUMIFS('Other Sale'!$D:$D,'Other Sale'!$E:$E,$P$3,'Other Sale'!$C:$C,$K135,'Other Sale'!$A:$A,$A135)))))</f>
        <v/>
      </c>
      <c r="F135" s="330" t="str" cm="1">
        <f t="array" ref="F135">IF($A135="","",IF($K135="Payment",IFERROR(INDEX(_xlfn._xlws.FILTER(MasterPaid[Amount Paid],(MasterPaid[Customer]=$P$3)*(MasterPaid[Date]=$A135)),COUNTIFS($A$6:$A135,$A135,$K$6:$K135,"Payment")),0),0))</f>
        <v/>
      </c>
      <c r="G135" s="331" t="s">
        <v>13</v>
      </c>
      <c r="H135" s="331"/>
      <c r="I135" s="330" t="str">
        <f t="shared" si="12"/>
        <v/>
      </c>
      <c r="J135" s="275"/>
      <c r="K135" s="289" t="str" cm="1">
        <f t="array" ref="K135">IFERROR(INDEX(_xlfn.ANCHORARRAY($R$6),ROW()-5,3),"")</f>
        <v/>
      </c>
      <c r="L135" s="430" t="str" cm="1">
        <f t="array" ref="L135">IF(OR($A135="",$J135="",$K135&lt;&gt;"DIESEL"),"",_xlfn.LET(_xlpm.qty,N($C135),_xlpm.pos,IF($J135="UNIT 1",$V$5:$V$54,$AC$5:$AC$54),_xlpm.alo,IF($J135="UNIT 1",$W$5:$W$54,$AD$5:$AD$54),_xlpm.usd,SUMIFS($C$6:$C134,$L$6:$L134,_xlpm.pos&amp;"",$J$6:$J134,$J135),_xlpm.bal,N(_xlpm.alo)-_xlpm.usd,IFERROR(INDEX(_xlfn._xlws.FILTER(_xlpm.pos,(_xlpm.pos&lt;&gt;"")*(_xlpm.qty&gt;0)*(_xlpm.bal&gt;=_xlpm.qty)),1),"")))</f>
        <v/>
      </c>
      <c r="M135" s="290"/>
      <c r="AQ135" s="409"/>
      <c r="AR135" s="410"/>
      <c r="AS135" s="410"/>
      <c r="AT135" s="411"/>
      <c r="AU135" s="412"/>
      <c r="AV135" s="413"/>
      <c r="AW135" s="413"/>
      <c r="AX135" s="413"/>
      <c r="AY135" s="413"/>
      <c r="AZ135" s="413" t="str">
        <f t="shared" ref="AZ135:AZ198" si="13">IF($AQ135="","",AZ134+N(AV135)-N(AW135)-N(AX135)-N(AY135))</f>
        <v/>
      </c>
      <c r="BB135" s="409"/>
      <c r="BC135" s="410"/>
      <c r="BD135" s="410"/>
      <c r="BE135" s="411"/>
      <c r="BF135" s="412"/>
      <c r="BG135" s="413"/>
      <c r="BH135" s="413"/>
      <c r="BI135" s="413"/>
      <c r="BJ135" s="413"/>
      <c r="BK135" s="413" t="str">
        <f t="shared" ref="BK135:BK198" si="14">IF($BB135="","",BK134+N(BG135)-N(BH135)-N(BI135)-N(BJ135))</f>
        <v/>
      </c>
    </row>
    <row r="136" spans="1:63" ht="23" x14ac:dyDescent="0.25">
      <c r="A136" s="217" t="str" cm="1">
        <f t="array" ref="A136">IFERROR(INDEX(_xlfn.ANCHORARRAY($R$6),ROW()-5,1),"")</f>
        <v/>
      </c>
      <c r="B136" s="289" t="str" cm="1">
        <f t="array" ref="B136">IFERROR(INDEX(_xlfn.ANCHORARRAY($R$6),ROW()-5,2),"")</f>
        <v/>
      </c>
      <c r="C136" s="218" t="str">
        <f>IF($A136="","",IF($K136="DIESEL",SUMIFS(Table1[Quantity],Table1[Customer],$P$3,Table1[Date],$A136,Table1[Bill No.],$B136),IF($K136="PETROL",SUMIFS(Table14[Quantity],Table14[Customer],$P$3,Table14[Date],$A136,Table14[Bill No.],$B136),IF($K136="XtraGreen",SUMIFS(Table146[Quantity],Table146[Company],$P$3,Table146[Date],$A136,Table146[Bill No.],$B136),""))))</f>
        <v/>
      </c>
      <c r="D136" s="223" t="str">
        <f>IF($A136="","",IF($K136="DIESEL",AVERAGEIFS(Table1[RSP],Table1[Customer],$P$3,Table1[Date],$A136,Table1[Bill No.],$B136),IF($K136="PETROL",AVERAGEIFS(Table14[RSP],Table14[Customer],$P$3,Table14[Date],$A136,Table14[Bill No.],$B136),IF($K136="XtraGreen",AVERAGEIFS(Table146[RSP],Table146[Company],$P$3,Table146[Date],$A136,Table146[Bill No.],$B136),IFERROR($E136/$C136,"")))))</f>
        <v/>
      </c>
      <c r="E136" s="330" t="str">
        <f>IF($A136="","",IF($K136="DIESEL",SUMIFS(Table1[Amount],Table1[Customer],$P$3,Table1[Date],$A136,Table1[Bill No.],$B136),IF($K136="PETROL",SUMIFS(Table14[Amount],Table14[Customer],$P$3,Table14[Date],$A136,Table14[Bill No.],$B136),IF($K136="XtraGreen",SUMIFS(Table146[Amount],Table146[Company],$P$3,Table146[Date],$A136,Table146[Bill No.],$B136),SUMIFS('Other Sale'!$D:$D,'Other Sale'!$E:$E,$P$3,'Other Sale'!$C:$C,$K136,'Other Sale'!$A:$A,$A136)))))</f>
        <v/>
      </c>
      <c r="F136" s="330" t="str" cm="1">
        <f t="array" ref="F136">IF($A136="","",IF($K136="Payment",IFERROR(INDEX(_xlfn._xlws.FILTER(MasterPaid[Amount Paid],(MasterPaid[Customer]=$P$3)*(MasterPaid[Date]=$A136)),COUNTIFS($A$6:$A136,$A136,$K$6:$K136,"Payment")),0),0))</f>
        <v/>
      </c>
      <c r="G136" s="331" t="s">
        <v>13</v>
      </c>
      <c r="H136" s="331"/>
      <c r="I136" s="330" t="str">
        <f t="shared" si="12"/>
        <v/>
      </c>
      <c r="J136" s="275"/>
      <c r="K136" s="289" t="str" cm="1">
        <f t="array" ref="K136">IFERROR(INDEX(_xlfn.ANCHORARRAY($R$6),ROW()-5,3),"")</f>
        <v/>
      </c>
      <c r="L136" s="430" t="str" cm="1">
        <f t="array" ref="L136">IF(OR($A136="",$J136="",$K136&lt;&gt;"DIESEL"),"",_xlfn.LET(_xlpm.qty,N($C136),_xlpm.pos,IF($J136="UNIT 1",$V$5:$V$54,$AC$5:$AC$54),_xlpm.alo,IF($J136="UNIT 1",$W$5:$W$54,$AD$5:$AD$54),_xlpm.usd,SUMIFS($C$6:$C135,$L$6:$L135,_xlpm.pos&amp;"",$J$6:$J135,$J136),_xlpm.bal,N(_xlpm.alo)-_xlpm.usd,IFERROR(INDEX(_xlfn._xlws.FILTER(_xlpm.pos,(_xlpm.pos&lt;&gt;"")*(_xlpm.qty&gt;0)*(_xlpm.bal&gt;=_xlpm.qty)),1),"")))</f>
        <v/>
      </c>
      <c r="M136" s="290"/>
      <c r="AQ136" s="409"/>
      <c r="AR136" s="410"/>
      <c r="AS136" s="410"/>
      <c r="AT136" s="411"/>
      <c r="AU136" s="412"/>
      <c r="AV136" s="413"/>
      <c r="AW136" s="413"/>
      <c r="AX136" s="413"/>
      <c r="AY136" s="413"/>
      <c r="AZ136" s="413" t="str">
        <f t="shared" si="13"/>
        <v/>
      </c>
      <c r="BB136" s="409"/>
      <c r="BC136" s="410"/>
      <c r="BD136" s="410"/>
      <c r="BE136" s="411"/>
      <c r="BF136" s="412"/>
      <c r="BG136" s="413"/>
      <c r="BH136" s="413"/>
      <c r="BI136" s="413"/>
      <c r="BJ136" s="413"/>
      <c r="BK136" s="413" t="str">
        <f t="shared" si="14"/>
        <v/>
      </c>
    </row>
    <row r="137" spans="1:63" ht="23" x14ac:dyDescent="0.25">
      <c r="A137" s="217" t="str" cm="1">
        <f t="array" ref="A137">IFERROR(INDEX(_xlfn.ANCHORARRAY($R$6),ROW()-5,1),"")</f>
        <v/>
      </c>
      <c r="B137" s="289" t="str" cm="1">
        <f t="array" ref="B137">IFERROR(INDEX(_xlfn.ANCHORARRAY($R$6),ROW()-5,2),"")</f>
        <v/>
      </c>
      <c r="C137" s="218" t="str">
        <f>IF($A137="","",IF($K137="DIESEL",SUMIFS(Table1[Quantity],Table1[Customer],$P$3,Table1[Date],$A137,Table1[Bill No.],$B137),IF($K137="PETROL",SUMIFS(Table14[Quantity],Table14[Customer],$P$3,Table14[Date],$A137,Table14[Bill No.],$B137),IF($K137="XtraGreen",SUMIFS(Table146[Quantity],Table146[Company],$P$3,Table146[Date],$A137,Table146[Bill No.],$B137),""))))</f>
        <v/>
      </c>
      <c r="D137" s="223" t="str">
        <f>IF($A137="","",IF($K137="DIESEL",AVERAGEIFS(Table1[RSP],Table1[Customer],$P$3,Table1[Date],$A137,Table1[Bill No.],$B137),IF($K137="PETROL",AVERAGEIFS(Table14[RSP],Table14[Customer],$P$3,Table14[Date],$A137,Table14[Bill No.],$B137),IF($K137="XtraGreen",AVERAGEIFS(Table146[RSP],Table146[Company],$P$3,Table146[Date],$A137,Table146[Bill No.],$B137),IFERROR($E137/$C137,"")))))</f>
        <v/>
      </c>
      <c r="E137" s="330" t="str">
        <f>IF($A137="","",IF($K137="DIESEL",SUMIFS(Table1[Amount],Table1[Customer],$P$3,Table1[Date],$A137,Table1[Bill No.],$B137),IF($K137="PETROL",SUMIFS(Table14[Amount],Table14[Customer],$P$3,Table14[Date],$A137,Table14[Bill No.],$B137),IF($K137="XtraGreen",SUMIFS(Table146[Amount],Table146[Company],$P$3,Table146[Date],$A137,Table146[Bill No.],$B137),SUMIFS('Other Sale'!$D:$D,'Other Sale'!$E:$E,$P$3,'Other Sale'!$C:$C,$K137,'Other Sale'!$A:$A,$A137)))))</f>
        <v/>
      </c>
      <c r="F137" s="330" t="str" cm="1">
        <f t="array" ref="F137">IF($A137="","",IF($K137="Payment",IFERROR(INDEX(_xlfn._xlws.FILTER(MasterPaid[Amount Paid],(MasterPaid[Customer]=$P$3)*(MasterPaid[Date]=$A137)),COUNTIFS($A$6:$A137,$A137,$K$6:$K137,"Payment")),0),0))</f>
        <v/>
      </c>
      <c r="G137" s="331" t="s">
        <v>13</v>
      </c>
      <c r="H137" s="331"/>
      <c r="I137" s="330" t="str">
        <f t="shared" si="12"/>
        <v/>
      </c>
      <c r="J137" s="275"/>
      <c r="K137" s="289" t="str" cm="1">
        <f t="array" ref="K137">IFERROR(INDEX(_xlfn.ANCHORARRAY($R$6),ROW()-5,3),"")</f>
        <v/>
      </c>
      <c r="L137" s="430" t="str" cm="1">
        <f t="array" ref="L137">IF(OR($A137="",$J137="",$K137&lt;&gt;"DIESEL"),"",_xlfn.LET(_xlpm.qty,N($C137),_xlpm.pos,IF($J137="UNIT 1",$V$5:$V$54,$AC$5:$AC$54),_xlpm.alo,IF($J137="UNIT 1",$W$5:$W$54,$AD$5:$AD$54),_xlpm.usd,SUMIFS($C$6:$C136,$L$6:$L136,_xlpm.pos&amp;"",$J$6:$J136,$J137),_xlpm.bal,N(_xlpm.alo)-_xlpm.usd,IFERROR(INDEX(_xlfn._xlws.FILTER(_xlpm.pos,(_xlpm.pos&lt;&gt;"")*(_xlpm.qty&gt;0)*(_xlpm.bal&gt;=_xlpm.qty)),1),"")))</f>
        <v/>
      </c>
      <c r="M137" s="290"/>
      <c r="AQ137" s="409"/>
      <c r="AR137" s="410"/>
      <c r="AS137" s="410"/>
      <c r="AT137" s="411"/>
      <c r="AU137" s="412"/>
      <c r="AV137" s="413"/>
      <c r="AW137" s="413"/>
      <c r="AX137" s="413"/>
      <c r="AY137" s="413"/>
      <c r="AZ137" s="413" t="str">
        <f t="shared" si="13"/>
        <v/>
      </c>
      <c r="BB137" s="409"/>
      <c r="BC137" s="410"/>
      <c r="BD137" s="410"/>
      <c r="BE137" s="411"/>
      <c r="BF137" s="412"/>
      <c r="BG137" s="413"/>
      <c r="BH137" s="413"/>
      <c r="BI137" s="413"/>
      <c r="BJ137" s="413"/>
      <c r="BK137" s="413" t="str">
        <f t="shared" si="14"/>
        <v/>
      </c>
    </row>
    <row r="138" spans="1:63" ht="23" x14ac:dyDescent="0.25">
      <c r="A138" s="217" t="str" cm="1">
        <f t="array" ref="A138">IFERROR(INDEX(_xlfn.ANCHORARRAY($R$6),ROW()-5,1),"")</f>
        <v/>
      </c>
      <c r="B138" s="289" t="str" cm="1">
        <f t="array" ref="B138">IFERROR(INDEX(_xlfn.ANCHORARRAY($R$6),ROW()-5,2),"")</f>
        <v/>
      </c>
      <c r="C138" s="218" t="str">
        <f>IF($A138="","",IF($K138="DIESEL",SUMIFS(Table1[Quantity],Table1[Customer],$P$3,Table1[Date],$A138,Table1[Bill No.],$B138),IF($K138="PETROL",SUMIFS(Table14[Quantity],Table14[Customer],$P$3,Table14[Date],$A138,Table14[Bill No.],$B138),IF($K138="XtraGreen",SUMIFS(Table146[Quantity],Table146[Company],$P$3,Table146[Date],$A138,Table146[Bill No.],$B138),""))))</f>
        <v/>
      </c>
      <c r="D138" s="223" t="str">
        <f>IF($A138="","",IF($K138="DIESEL",AVERAGEIFS(Table1[RSP],Table1[Customer],$P$3,Table1[Date],$A138,Table1[Bill No.],$B138),IF($K138="PETROL",AVERAGEIFS(Table14[RSP],Table14[Customer],$P$3,Table14[Date],$A138,Table14[Bill No.],$B138),IF($K138="XtraGreen",AVERAGEIFS(Table146[RSP],Table146[Company],$P$3,Table146[Date],$A138,Table146[Bill No.],$B138),IFERROR($E138/$C138,"")))))</f>
        <v/>
      </c>
      <c r="E138" s="330" t="str">
        <f>IF($A138="","",IF($K138="DIESEL",SUMIFS(Table1[Amount],Table1[Customer],$P$3,Table1[Date],$A138,Table1[Bill No.],$B138),IF($K138="PETROL",SUMIFS(Table14[Amount],Table14[Customer],$P$3,Table14[Date],$A138,Table14[Bill No.],$B138),IF($K138="XtraGreen",SUMIFS(Table146[Amount],Table146[Company],$P$3,Table146[Date],$A138,Table146[Bill No.],$B138),SUMIFS('Other Sale'!$D:$D,'Other Sale'!$E:$E,$P$3,'Other Sale'!$C:$C,$K138,'Other Sale'!$A:$A,$A138)))))</f>
        <v/>
      </c>
      <c r="F138" s="330" t="str" cm="1">
        <f t="array" ref="F138">IF($A138="","",IF($K138="Payment",IFERROR(INDEX(_xlfn._xlws.FILTER(MasterPaid[Amount Paid],(MasterPaid[Customer]=$P$3)*(MasterPaid[Date]=$A138)),COUNTIFS($A$6:$A138,$A138,$K$6:$K138,"Payment")),0),0))</f>
        <v/>
      </c>
      <c r="G138" s="331" t="s">
        <v>13</v>
      </c>
      <c r="H138" s="331"/>
      <c r="I138" s="330" t="str">
        <f t="shared" si="12"/>
        <v/>
      </c>
      <c r="J138" s="275"/>
      <c r="K138" s="289" t="str" cm="1">
        <f t="array" ref="K138">IFERROR(INDEX(_xlfn.ANCHORARRAY($R$6),ROW()-5,3),"")</f>
        <v/>
      </c>
      <c r="L138" s="430" t="str" cm="1">
        <f t="array" ref="L138">IF(OR($A138="",$J138="",$K138&lt;&gt;"DIESEL"),"",_xlfn.LET(_xlpm.qty,N($C138),_xlpm.pos,IF($J138="UNIT 1",$V$5:$V$54,$AC$5:$AC$54),_xlpm.alo,IF($J138="UNIT 1",$W$5:$W$54,$AD$5:$AD$54),_xlpm.usd,SUMIFS($C$6:$C137,$L$6:$L137,_xlpm.pos&amp;"",$J$6:$J137,$J138),_xlpm.bal,N(_xlpm.alo)-_xlpm.usd,IFERROR(INDEX(_xlfn._xlws.FILTER(_xlpm.pos,(_xlpm.pos&lt;&gt;"")*(_xlpm.qty&gt;0)*(_xlpm.bal&gt;=_xlpm.qty)),1),"")))</f>
        <v/>
      </c>
      <c r="M138" s="290"/>
      <c r="AQ138" s="409"/>
      <c r="AR138" s="410"/>
      <c r="AS138" s="410"/>
      <c r="AT138" s="411"/>
      <c r="AU138" s="412"/>
      <c r="AV138" s="413"/>
      <c r="AW138" s="413"/>
      <c r="AX138" s="413"/>
      <c r="AY138" s="413"/>
      <c r="AZ138" s="413" t="str">
        <f t="shared" si="13"/>
        <v/>
      </c>
      <c r="BB138" s="409"/>
      <c r="BC138" s="410"/>
      <c r="BD138" s="410"/>
      <c r="BE138" s="411"/>
      <c r="BF138" s="412"/>
      <c r="BG138" s="413"/>
      <c r="BH138" s="413"/>
      <c r="BI138" s="413"/>
      <c r="BJ138" s="413"/>
      <c r="BK138" s="413" t="str">
        <f t="shared" si="14"/>
        <v/>
      </c>
    </row>
    <row r="139" spans="1:63" ht="23" x14ac:dyDescent="0.25">
      <c r="A139" s="217" t="str" cm="1">
        <f t="array" ref="A139">IFERROR(INDEX(_xlfn.ANCHORARRAY($R$6),ROW()-5,1),"")</f>
        <v/>
      </c>
      <c r="B139" s="289" t="str" cm="1">
        <f t="array" ref="B139">IFERROR(INDEX(_xlfn.ANCHORARRAY($R$6),ROW()-5,2),"")</f>
        <v/>
      </c>
      <c r="C139" s="218" t="str">
        <f>IF($A139="","",IF($K139="DIESEL",SUMIFS(Table1[Quantity],Table1[Customer],$P$3,Table1[Date],$A139,Table1[Bill No.],$B139),IF($K139="PETROL",SUMIFS(Table14[Quantity],Table14[Customer],$P$3,Table14[Date],$A139,Table14[Bill No.],$B139),IF($K139="XtraGreen",SUMIFS(Table146[Quantity],Table146[Company],$P$3,Table146[Date],$A139,Table146[Bill No.],$B139),""))))</f>
        <v/>
      </c>
      <c r="D139" s="223" t="str">
        <f>IF($A139="","",IF($K139="DIESEL",AVERAGEIFS(Table1[RSP],Table1[Customer],$P$3,Table1[Date],$A139,Table1[Bill No.],$B139),IF($K139="PETROL",AVERAGEIFS(Table14[RSP],Table14[Customer],$P$3,Table14[Date],$A139,Table14[Bill No.],$B139),IF($K139="XtraGreen",AVERAGEIFS(Table146[RSP],Table146[Company],$P$3,Table146[Date],$A139,Table146[Bill No.],$B139),IFERROR($E139/$C139,"")))))</f>
        <v/>
      </c>
      <c r="E139" s="330" t="str">
        <f>IF($A139="","",IF($K139="DIESEL",SUMIFS(Table1[Amount],Table1[Customer],$P$3,Table1[Date],$A139,Table1[Bill No.],$B139),IF($K139="PETROL",SUMIFS(Table14[Amount],Table14[Customer],$P$3,Table14[Date],$A139,Table14[Bill No.],$B139),IF($K139="XtraGreen",SUMIFS(Table146[Amount],Table146[Company],$P$3,Table146[Date],$A139,Table146[Bill No.],$B139),SUMIFS('Other Sale'!$D:$D,'Other Sale'!$E:$E,$P$3,'Other Sale'!$C:$C,$K139,'Other Sale'!$A:$A,$A139)))))</f>
        <v/>
      </c>
      <c r="F139" s="330" t="str" cm="1">
        <f t="array" ref="F139">IF($A139="","",IF($K139="Payment",IFERROR(INDEX(_xlfn._xlws.FILTER(MasterPaid[Amount Paid],(MasterPaid[Customer]=$P$3)*(MasterPaid[Date]=$A139)),COUNTIFS($A$6:$A139,$A139,$K$6:$K139,"Payment")),0),0))</f>
        <v/>
      </c>
      <c r="G139" s="331" t="s">
        <v>13</v>
      </c>
      <c r="H139" s="331"/>
      <c r="I139" s="330" t="str">
        <f t="shared" si="12"/>
        <v/>
      </c>
      <c r="J139" s="275"/>
      <c r="K139" s="289" t="str" cm="1">
        <f t="array" ref="K139">IFERROR(INDEX(_xlfn.ANCHORARRAY($R$6),ROW()-5,3),"")</f>
        <v/>
      </c>
      <c r="L139" s="430" t="str" cm="1">
        <f t="array" ref="L139">IF(OR($A139="",$J139="",$K139&lt;&gt;"DIESEL"),"",_xlfn.LET(_xlpm.qty,N($C139),_xlpm.pos,IF($J139="UNIT 1",$V$5:$V$54,$AC$5:$AC$54),_xlpm.alo,IF($J139="UNIT 1",$W$5:$W$54,$AD$5:$AD$54),_xlpm.usd,SUMIFS($C$6:$C138,$L$6:$L138,_xlpm.pos&amp;"",$J$6:$J138,$J139),_xlpm.bal,N(_xlpm.alo)-_xlpm.usd,IFERROR(INDEX(_xlfn._xlws.FILTER(_xlpm.pos,(_xlpm.pos&lt;&gt;"")*(_xlpm.qty&gt;0)*(_xlpm.bal&gt;=_xlpm.qty)),1),"")))</f>
        <v/>
      </c>
      <c r="M139" s="290"/>
      <c r="AQ139" s="409"/>
      <c r="AR139" s="410"/>
      <c r="AS139" s="410"/>
      <c r="AT139" s="411"/>
      <c r="AU139" s="412"/>
      <c r="AV139" s="413"/>
      <c r="AW139" s="413"/>
      <c r="AX139" s="413"/>
      <c r="AY139" s="413"/>
      <c r="AZ139" s="413" t="str">
        <f t="shared" si="13"/>
        <v/>
      </c>
      <c r="BB139" s="409"/>
      <c r="BC139" s="410"/>
      <c r="BD139" s="410"/>
      <c r="BE139" s="411"/>
      <c r="BF139" s="412"/>
      <c r="BG139" s="413"/>
      <c r="BH139" s="413"/>
      <c r="BI139" s="413"/>
      <c r="BJ139" s="413"/>
      <c r="BK139" s="413" t="str">
        <f t="shared" si="14"/>
        <v/>
      </c>
    </row>
    <row r="140" spans="1:63" ht="23" x14ac:dyDescent="0.25">
      <c r="A140" s="217" t="str" cm="1">
        <f t="array" ref="A140">IFERROR(INDEX(_xlfn.ANCHORARRAY($R$6),ROW()-5,1),"")</f>
        <v/>
      </c>
      <c r="B140" s="289" t="str" cm="1">
        <f t="array" ref="B140">IFERROR(INDEX(_xlfn.ANCHORARRAY($R$6),ROW()-5,2),"")</f>
        <v/>
      </c>
      <c r="C140" s="218" t="str">
        <f>IF($A140="","",IF($K140="DIESEL",SUMIFS(Table1[Quantity],Table1[Customer],$P$3,Table1[Date],$A140,Table1[Bill No.],$B140),IF($K140="PETROL",SUMIFS(Table14[Quantity],Table14[Customer],$P$3,Table14[Date],$A140,Table14[Bill No.],$B140),IF($K140="XtraGreen",SUMIFS(Table146[Quantity],Table146[Company],$P$3,Table146[Date],$A140,Table146[Bill No.],$B140),""))))</f>
        <v/>
      </c>
      <c r="D140" s="223" t="str">
        <f>IF($A140="","",IF($K140="DIESEL",AVERAGEIFS(Table1[RSP],Table1[Customer],$P$3,Table1[Date],$A140,Table1[Bill No.],$B140),IF($K140="PETROL",AVERAGEIFS(Table14[RSP],Table14[Customer],$P$3,Table14[Date],$A140,Table14[Bill No.],$B140),IF($K140="XtraGreen",AVERAGEIFS(Table146[RSP],Table146[Company],$P$3,Table146[Date],$A140,Table146[Bill No.],$B140),IFERROR($E140/$C140,"")))))</f>
        <v/>
      </c>
      <c r="E140" s="330" t="str">
        <f>IF($A140="","",IF($K140="DIESEL",SUMIFS(Table1[Amount],Table1[Customer],$P$3,Table1[Date],$A140,Table1[Bill No.],$B140),IF($K140="PETROL",SUMIFS(Table14[Amount],Table14[Customer],$P$3,Table14[Date],$A140,Table14[Bill No.],$B140),IF($K140="XtraGreen",SUMIFS(Table146[Amount],Table146[Company],$P$3,Table146[Date],$A140,Table146[Bill No.],$B140),SUMIFS('Other Sale'!$D:$D,'Other Sale'!$E:$E,$P$3,'Other Sale'!$C:$C,$K140,'Other Sale'!$A:$A,$A140)))))</f>
        <v/>
      </c>
      <c r="F140" s="330" t="str" cm="1">
        <f t="array" ref="F140">IF($A140="","",IF($K140="Payment",IFERROR(INDEX(_xlfn._xlws.FILTER(MasterPaid[Amount Paid],(MasterPaid[Customer]=$P$3)*(MasterPaid[Date]=$A140)),COUNTIFS($A$6:$A140,$A140,$K$6:$K140,"Payment")),0),0))</f>
        <v/>
      </c>
      <c r="G140" s="331" t="s">
        <v>13</v>
      </c>
      <c r="H140" s="331"/>
      <c r="I140" s="330" t="str">
        <f t="shared" si="12"/>
        <v/>
      </c>
      <c r="J140" s="275"/>
      <c r="K140" s="289" t="str" cm="1">
        <f t="array" ref="K140">IFERROR(INDEX(_xlfn.ANCHORARRAY($R$6),ROW()-5,3),"")</f>
        <v/>
      </c>
      <c r="L140" s="430" t="str" cm="1">
        <f t="array" ref="L140">IF(OR($A140="",$J140="",$K140&lt;&gt;"DIESEL"),"",_xlfn.LET(_xlpm.qty,N($C140),_xlpm.pos,IF($J140="UNIT 1",$V$5:$V$54,$AC$5:$AC$54),_xlpm.alo,IF($J140="UNIT 1",$W$5:$W$54,$AD$5:$AD$54),_xlpm.usd,SUMIFS($C$6:$C139,$L$6:$L139,_xlpm.pos&amp;"",$J$6:$J139,$J140),_xlpm.bal,N(_xlpm.alo)-_xlpm.usd,IFERROR(INDEX(_xlfn._xlws.FILTER(_xlpm.pos,(_xlpm.pos&lt;&gt;"")*(_xlpm.qty&gt;0)*(_xlpm.bal&gt;=_xlpm.qty)),1),"")))</f>
        <v/>
      </c>
      <c r="M140" s="290"/>
      <c r="AQ140" s="409"/>
      <c r="AR140" s="410"/>
      <c r="AS140" s="410"/>
      <c r="AT140" s="411"/>
      <c r="AU140" s="412"/>
      <c r="AV140" s="413"/>
      <c r="AW140" s="413"/>
      <c r="AX140" s="413"/>
      <c r="AY140" s="413"/>
      <c r="AZ140" s="413" t="str">
        <f t="shared" si="13"/>
        <v/>
      </c>
      <c r="BB140" s="409"/>
      <c r="BC140" s="410"/>
      <c r="BD140" s="410"/>
      <c r="BE140" s="411"/>
      <c r="BF140" s="412"/>
      <c r="BG140" s="413"/>
      <c r="BH140" s="413"/>
      <c r="BI140" s="413"/>
      <c r="BJ140" s="413"/>
      <c r="BK140" s="413" t="str">
        <f t="shared" si="14"/>
        <v/>
      </c>
    </row>
    <row r="141" spans="1:63" ht="23" x14ac:dyDescent="0.25">
      <c r="A141" s="217" t="str" cm="1">
        <f t="array" ref="A141">IFERROR(INDEX(_xlfn.ANCHORARRAY($R$6),ROW()-5,1),"")</f>
        <v/>
      </c>
      <c r="B141" s="289" t="str" cm="1">
        <f t="array" ref="B141">IFERROR(INDEX(_xlfn.ANCHORARRAY($R$6),ROW()-5,2),"")</f>
        <v/>
      </c>
      <c r="C141" s="218" t="str">
        <f>IF($A141="","",IF($K141="DIESEL",SUMIFS(Table1[Quantity],Table1[Customer],$P$3,Table1[Date],$A141,Table1[Bill No.],$B141),IF($K141="PETROL",SUMIFS(Table14[Quantity],Table14[Customer],$P$3,Table14[Date],$A141,Table14[Bill No.],$B141),IF($K141="XtraGreen",SUMIFS(Table146[Quantity],Table146[Company],$P$3,Table146[Date],$A141,Table146[Bill No.],$B141),""))))</f>
        <v/>
      </c>
      <c r="D141" s="223" t="str">
        <f>IF($A141="","",IF($K141="DIESEL",AVERAGEIFS(Table1[RSP],Table1[Customer],$P$3,Table1[Date],$A141,Table1[Bill No.],$B141),IF($K141="PETROL",AVERAGEIFS(Table14[RSP],Table14[Customer],$P$3,Table14[Date],$A141,Table14[Bill No.],$B141),IF($K141="XtraGreen",AVERAGEIFS(Table146[RSP],Table146[Company],$P$3,Table146[Date],$A141,Table146[Bill No.],$B141),IFERROR($E141/$C141,"")))))</f>
        <v/>
      </c>
      <c r="E141" s="330" t="str">
        <f>IF($A141="","",IF($K141="DIESEL",SUMIFS(Table1[Amount],Table1[Customer],$P$3,Table1[Date],$A141,Table1[Bill No.],$B141),IF($K141="PETROL",SUMIFS(Table14[Amount],Table14[Customer],$P$3,Table14[Date],$A141,Table14[Bill No.],$B141),IF($K141="XtraGreen",SUMIFS(Table146[Amount],Table146[Company],$P$3,Table146[Date],$A141,Table146[Bill No.],$B141),SUMIFS('Other Sale'!$D:$D,'Other Sale'!$E:$E,$P$3,'Other Sale'!$C:$C,$K141,'Other Sale'!$A:$A,$A141)))))</f>
        <v/>
      </c>
      <c r="F141" s="330" t="str" cm="1">
        <f t="array" ref="F141">IF($A141="","",IF($K141="Payment",IFERROR(INDEX(_xlfn._xlws.FILTER(MasterPaid[Amount Paid],(MasterPaid[Customer]=$P$3)*(MasterPaid[Date]=$A141)),COUNTIFS($A$6:$A141,$A141,$K$6:$K141,"Payment")),0),0))</f>
        <v/>
      </c>
      <c r="G141" s="331" t="s">
        <v>13</v>
      </c>
      <c r="H141" s="331"/>
      <c r="I141" s="330" t="str">
        <f t="shared" si="12"/>
        <v/>
      </c>
      <c r="J141" s="275"/>
      <c r="K141" s="289" t="str" cm="1">
        <f t="array" ref="K141">IFERROR(INDEX(_xlfn.ANCHORARRAY($R$6),ROW()-5,3),"")</f>
        <v/>
      </c>
      <c r="L141" s="430" t="str" cm="1">
        <f t="array" ref="L141">IF(OR($A141="",$J141="",$K141&lt;&gt;"DIESEL"),"",_xlfn.LET(_xlpm.qty,N($C141),_xlpm.pos,IF($J141="UNIT 1",$V$5:$V$54,$AC$5:$AC$54),_xlpm.alo,IF($J141="UNIT 1",$W$5:$W$54,$AD$5:$AD$54),_xlpm.usd,SUMIFS($C$6:$C140,$L$6:$L140,_xlpm.pos&amp;"",$J$6:$J140,$J141),_xlpm.bal,N(_xlpm.alo)-_xlpm.usd,IFERROR(INDEX(_xlfn._xlws.FILTER(_xlpm.pos,(_xlpm.pos&lt;&gt;"")*(_xlpm.qty&gt;0)*(_xlpm.bal&gt;=_xlpm.qty)),1),"")))</f>
        <v/>
      </c>
      <c r="M141" s="290"/>
      <c r="AQ141" s="409"/>
      <c r="AR141" s="410"/>
      <c r="AS141" s="410"/>
      <c r="AT141" s="411"/>
      <c r="AU141" s="412"/>
      <c r="AV141" s="413"/>
      <c r="AW141" s="413"/>
      <c r="AX141" s="413"/>
      <c r="AY141" s="413"/>
      <c r="AZ141" s="413" t="str">
        <f t="shared" si="13"/>
        <v/>
      </c>
      <c r="BB141" s="409"/>
      <c r="BC141" s="410"/>
      <c r="BD141" s="410"/>
      <c r="BE141" s="411"/>
      <c r="BF141" s="412"/>
      <c r="BG141" s="413"/>
      <c r="BH141" s="413"/>
      <c r="BI141" s="413"/>
      <c r="BJ141" s="413"/>
      <c r="BK141" s="413" t="str">
        <f t="shared" si="14"/>
        <v/>
      </c>
    </row>
    <row r="142" spans="1:63" ht="23" x14ac:dyDescent="0.25">
      <c r="A142" s="217" t="str" cm="1">
        <f t="array" ref="A142">IFERROR(INDEX(_xlfn.ANCHORARRAY($R$6),ROW()-5,1),"")</f>
        <v/>
      </c>
      <c r="B142" s="289" t="str" cm="1">
        <f t="array" ref="B142">IFERROR(INDEX(_xlfn.ANCHORARRAY($R$6),ROW()-5,2),"")</f>
        <v/>
      </c>
      <c r="C142" s="218" t="str">
        <f>IF($A142="","",IF($K142="DIESEL",SUMIFS(Table1[Quantity],Table1[Customer],$P$3,Table1[Date],$A142,Table1[Bill No.],$B142),IF($K142="PETROL",SUMIFS(Table14[Quantity],Table14[Customer],$P$3,Table14[Date],$A142,Table14[Bill No.],$B142),IF($K142="XtraGreen",SUMIFS(Table146[Quantity],Table146[Company],$P$3,Table146[Date],$A142,Table146[Bill No.],$B142),""))))</f>
        <v/>
      </c>
      <c r="D142" s="223" t="str">
        <f>IF($A142="","",IF($K142="DIESEL",AVERAGEIFS(Table1[RSP],Table1[Customer],$P$3,Table1[Date],$A142,Table1[Bill No.],$B142),IF($K142="PETROL",AVERAGEIFS(Table14[RSP],Table14[Customer],$P$3,Table14[Date],$A142,Table14[Bill No.],$B142),IF($K142="XtraGreen",AVERAGEIFS(Table146[RSP],Table146[Company],$P$3,Table146[Date],$A142,Table146[Bill No.],$B142),IFERROR($E142/$C142,"")))))</f>
        <v/>
      </c>
      <c r="E142" s="330" t="str">
        <f>IF($A142="","",IF($K142="DIESEL",SUMIFS(Table1[Amount],Table1[Customer],$P$3,Table1[Date],$A142,Table1[Bill No.],$B142),IF($K142="PETROL",SUMIFS(Table14[Amount],Table14[Customer],$P$3,Table14[Date],$A142,Table14[Bill No.],$B142),IF($K142="XtraGreen",SUMIFS(Table146[Amount],Table146[Company],$P$3,Table146[Date],$A142,Table146[Bill No.],$B142),SUMIFS('Other Sale'!$D:$D,'Other Sale'!$E:$E,$P$3,'Other Sale'!$C:$C,$K142,'Other Sale'!$A:$A,$A142)))))</f>
        <v/>
      </c>
      <c r="F142" s="330" t="str" cm="1">
        <f t="array" ref="F142">IF($A142="","",IF($K142="Payment",IFERROR(INDEX(_xlfn._xlws.FILTER(MasterPaid[Amount Paid],(MasterPaid[Customer]=$P$3)*(MasterPaid[Date]=$A142)),COUNTIFS($A$6:$A142,$A142,$K$6:$K142,"Payment")),0),0))</f>
        <v/>
      </c>
      <c r="G142" s="331" t="s">
        <v>13</v>
      </c>
      <c r="H142" s="331"/>
      <c r="I142" s="330" t="str">
        <f t="shared" si="12"/>
        <v/>
      </c>
      <c r="J142" s="275"/>
      <c r="K142" s="289" t="str" cm="1">
        <f t="array" ref="K142">IFERROR(INDEX(_xlfn.ANCHORARRAY($R$6),ROW()-5,3),"")</f>
        <v/>
      </c>
      <c r="L142" s="430" t="str" cm="1">
        <f t="array" ref="L142">IF(OR($A142="",$J142="",$K142&lt;&gt;"DIESEL"),"",_xlfn.LET(_xlpm.qty,N($C142),_xlpm.pos,IF($J142="UNIT 1",$V$5:$V$54,$AC$5:$AC$54),_xlpm.alo,IF($J142="UNIT 1",$W$5:$W$54,$AD$5:$AD$54),_xlpm.usd,SUMIFS($C$6:$C141,$L$6:$L141,_xlpm.pos&amp;"",$J$6:$J141,$J142),_xlpm.bal,N(_xlpm.alo)-_xlpm.usd,IFERROR(INDEX(_xlfn._xlws.FILTER(_xlpm.pos,(_xlpm.pos&lt;&gt;"")*(_xlpm.qty&gt;0)*(_xlpm.bal&gt;=_xlpm.qty)),1),"")))</f>
        <v/>
      </c>
      <c r="M142" s="290"/>
      <c r="AQ142" s="409"/>
      <c r="AR142" s="410"/>
      <c r="AS142" s="410"/>
      <c r="AT142" s="411"/>
      <c r="AU142" s="412"/>
      <c r="AV142" s="413"/>
      <c r="AW142" s="413"/>
      <c r="AX142" s="413"/>
      <c r="AY142" s="413"/>
      <c r="AZ142" s="413" t="str">
        <f t="shared" si="13"/>
        <v/>
      </c>
      <c r="BB142" s="409"/>
      <c r="BC142" s="410"/>
      <c r="BD142" s="410"/>
      <c r="BE142" s="411"/>
      <c r="BF142" s="412"/>
      <c r="BG142" s="413"/>
      <c r="BH142" s="413"/>
      <c r="BI142" s="413"/>
      <c r="BJ142" s="413"/>
      <c r="BK142" s="413" t="str">
        <f t="shared" si="14"/>
        <v/>
      </c>
    </row>
    <row r="143" spans="1:63" ht="23" x14ac:dyDescent="0.25">
      <c r="A143" s="217" t="str" cm="1">
        <f t="array" ref="A143">IFERROR(INDEX(_xlfn.ANCHORARRAY($R$6),ROW()-5,1),"")</f>
        <v/>
      </c>
      <c r="B143" s="289" t="str" cm="1">
        <f t="array" ref="B143">IFERROR(INDEX(_xlfn.ANCHORARRAY($R$6),ROW()-5,2),"")</f>
        <v/>
      </c>
      <c r="C143" s="218" t="str">
        <f>IF($A143="","",IF($K143="DIESEL",SUMIFS(Table1[Quantity],Table1[Customer],$P$3,Table1[Date],$A143,Table1[Bill No.],$B143),IF($K143="PETROL",SUMIFS(Table14[Quantity],Table14[Customer],$P$3,Table14[Date],$A143,Table14[Bill No.],$B143),IF($K143="XtraGreen",SUMIFS(Table146[Quantity],Table146[Company],$P$3,Table146[Date],$A143,Table146[Bill No.],$B143),""))))</f>
        <v/>
      </c>
      <c r="D143" s="223" t="str">
        <f>IF($A143="","",IF($K143="DIESEL",AVERAGEIFS(Table1[RSP],Table1[Customer],$P$3,Table1[Date],$A143,Table1[Bill No.],$B143),IF($K143="PETROL",AVERAGEIFS(Table14[RSP],Table14[Customer],$P$3,Table14[Date],$A143,Table14[Bill No.],$B143),IF($K143="XtraGreen",AVERAGEIFS(Table146[RSP],Table146[Company],$P$3,Table146[Date],$A143,Table146[Bill No.],$B143),IFERROR($E143/$C143,"")))))</f>
        <v/>
      </c>
      <c r="E143" s="330" t="str">
        <f>IF($A143="","",IF($K143="DIESEL",SUMIFS(Table1[Amount],Table1[Customer],$P$3,Table1[Date],$A143,Table1[Bill No.],$B143),IF($K143="PETROL",SUMIFS(Table14[Amount],Table14[Customer],$P$3,Table14[Date],$A143,Table14[Bill No.],$B143),IF($K143="XtraGreen",SUMIFS(Table146[Amount],Table146[Company],$P$3,Table146[Date],$A143,Table146[Bill No.],$B143),SUMIFS('Other Sale'!$D:$D,'Other Sale'!$E:$E,$P$3,'Other Sale'!$C:$C,$K143,'Other Sale'!$A:$A,$A143)))))</f>
        <v/>
      </c>
      <c r="F143" s="330" t="str" cm="1">
        <f t="array" ref="F143">IF($A143="","",IF($K143="Payment",IFERROR(INDEX(_xlfn._xlws.FILTER(MasterPaid[Amount Paid],(MasterPaid[Customer]=$P$3)*(MasterPaid[Date]=$A143)),COUNTIFS($A$6:$A143,$A143,$K$6:$K143,"Payment")),0),0))</f>
        <v/>
      </c>
      <c r="G143" s="331" t="s">
        <v>13</v>
      </c>
      <c r="H143" s="331"/>
      <c r="I143" s="330" t="str">
        <f t="shared" si="12"/>
        <v/>
      </c>
      <c r="J143" s="275"/>
      <c r="K143" s="289" t="str" cm="1">
        <f t="array" ref="K143">IFERROR(INDEX(_xlfn.ANCHORARRAY($R$6),ROW()-5,3),"")</f>
        <v/>
      </c>
      <c r="L143" s="430" t="str" cm="1">
        <f t="array" ref="L143">IF(OR($A143="",$J143="",$K143&lt;&gt;"DIESEL"),"",_xlfn.LET(_xlpm.qty,N($C143),_xlpm.pos,IF($J143="UNIT 1",$V$5:$V$54,$AC$5:$AC$54),_xlpm.alo,IF($J143="UNIT 1",$W$5:$W$54,$AD$5:$AD$54),_xlpm.usd,SUMIFS($C$6:$C142,$L$6:$L142,_xlpm.pos&amp;"",$J$6:$J142,$J143),_xlpm.bal,N(_xlpm.alo)-_xlpm.usd,IFERROR(INDEX(_xlfn._xlws.FILTER(_xlpm.pos,(_xlpm.pos&lt;&gt;"")*(_xlpm.qty&gt;0)*(_xlpm.bal&gt;=_xlpm.qty)),1),"")))</f>
        <v/>
      </c>
      <c r="M143" s="290"/>
      <c r="AQ143" s="409"/>
      <c r="AR143" s="410"/>
      <c r="AS143" s="410"/>
      <c r="AT143" s="411"/>
      <c r="AU143" s="412"/>
      <c r="AV143" s="413"/>
      <c r="AW143" s="413"/>
      <c r="AX143" s="413"/>
      <c r="AY143" s="413"/>
      <c r="AZ143" s="413" t="str">
        <f t="shared" si="13"/>
        <v/>
      </c>
      <c r="BB143" s="409"/>
      <c r="BC143" s="410"/>
      <c r="BD143" s="410"/>
      <c r="BE143" s="411"/>
      <c r="BF143" s="412"/>
      <c r="BG143" s="413"/>
      <c r="BH143" s="413"/>
      <c r="BI143" s="413"/>
      <c r="BJ143" s="413"/>
      <c r="BK143" s="413" t="str">
        <f t="shared" si="14"/>
        <v/>
      </c>
    </row>
    <row r="144" spans="1:63" ht="23" x14ac:dyDescent="0.25">
      <c r="A144" s="217" t="str" cm="1">
        <f t="array" ref="A144">IFERROR(INDEX(_xlfn.ANCHORARRAY($R$6),ROW()-5,1),"")</f>
        <v/>
      </c>
      <c r="B144" s="289" t="str" cm="1">
        <f t="array" ref="B144">IFERROR(INDEX(_xlfn.ANCHORARRAY($R$6),ROW()-5,2),"")</f>
        <v/>
      </c>
      <c r="C144" s="218" t="str">
        <f>IF($A144="","",IF($K144="DIESEL",SUMIFS(Table1[Quantity],Table1[Customer],$P$3,Table1[Date],$A144,Table1[Bill No.],$B144),IF($K144="PETROL",SUMIFS(Table14[Quantity],Table14[Customer],$P$3,Table14[Date],$A144,Table14[Bill No.],$B144),IF($K144="XtraGreen",SUMIFS(Table146[Quantity],Table146[Company],$P$3,Table146[Date],$A144,Table146[Bill No.],$B144),""))))</f>
        <v/>
      </c>
      <c r="D144" s="223" t="str">
        <f>IF($A144="","",IF($K144="DIESEL",AVERAGEIFS(Table1[RSP],Table1[Customer],$P$3,Table1[Date],$A144,Table1[Bill No.],$B144),IF($K144="PETROL",AVERAGEIFS(Table14[RSP],Table14[Customer],$P$3,Table14[Date],$A144,Table14[Bill No.],$B144),IF($K144="XtraGreen",AVERAGEIFS(Table146[RSP],Table146[Company],$P$3,Table146[Date],$A144,Table146[Bill No.],$B144),IFERROR($E144/$C144,"")))))</f>
        <v/>
      </c>
      <c r="E144" s="330" t="str">
        <f>IF($A144="","",IF($K144="DIESEL",SUMIFS(Table1[Amount],Table1[Customer],$P$3,Table1[Date],$A144,Table1[Bill No.],$B144),IF($K144="PETROL",SUMIFS(Table14[Amount],Table14[Customer],$P$3,Table14[Date],$A144,Table14[Bill No.],$B144),IF($K144="XtraGreen",SUMIFS(Table146[Amount],Table146[Company],$P$3,Table146[Date],$A144,Table146[Bill No.],$B144),SUMIFS('Other Sale'!$D:$D,'Other Sale'!$E:$E,$P$3,'Other Sale'!$C:$C,$K144,'Other Sale'!$A:$A,$A144)))))</f>
        <v/>
      </c>
      <c r="F144" s="330" t="str" cm="1">
        <f t="array" ref="F144">IF($A144="","",IF($K144="Payment",IFERROR(INDEX(_xlfn._xlws.FILTER(MasterPaid[Amount Paid],(MasterPaid[Customer]=$P$3)*(MasterPaid[Date]=$A144)),COUNTIFS($A$6:$A144,$A144,$K$6:$K144,"Payment")),0),0))</f>
        <v/>
      </c>
      <c r="G144" s="331" t="s">
        <v>13</v>
      </c>
      <c r="H144" s="331"/>
      <c r="I144" s="330" t="str">
        <f t="shared" si="12"/>
        <v/>
      </c>
      <c r="J144" s="275"/>
      <c r="K144" s="289" t="str" cm="1">
        <f t="array" ref="K144">IFERROR(INDEX(_xlfn.ANCHORARRAY($R$6),ROW()-5,3),"")</f>
        <v/>
      </c>
      <c r="L144" s="430" t="str" cm="1">
        <f t="array" ref="L144">IF(OR($A144="",$J144="",$K144&lt;&gt;"DIESEL"),"",_xlfn.LET(_xlpm.qty,N($C144),_xlpm.pos,IF($J144="UNIT 1",$V$5:$V$54,$AC$5:$AC$54),_xlpm.alo,IF($J144="UNIT 1",$W$5:$W$54,$AD$5:$AD$54),_xlpm.usd,SUMIFS($C$6:$C143,$L$6:$L143,_xlpm.pos&amp;"",$J$6:$J143,$J144),_xlpm.bal,N(_xlpm.alo)-_xlpm.usd,IFERROR(INDEX(_xlfn._xlws.FILTER(_xlpm.pos,(_xlpm.pos&lt;&gt;"")*(_xlpm.qty&gt;0)*(_xlpm.bal&gt;=_xlpm.qty)),1),"")))</f>
        <v/>
      </c>
      <c r="M144" s="290"/>
      <c r="AQ144" s="409"/>
      <c r="AR144" s="410"/>
      <c r="AS144" s="410"/>
      <c r="AT144" s="411"/>
      <c r="AU144" s="412"/>
      <c r="AV144" s="413"/>
      <c r="AW144" s="413"/>
      <c r="AX144" s="413"/>
      <c r="AY144" s="413"/>
      <c r="AZ144" s="413" t="str">
        <f t="shared" si="13"/>
        <v/>
      </c>
      <c r="BB144" s="409"/>
      <c r="BC144" s="410"/>
      <c r="BD144" s="410"/>
      <c r="BE144" s="411"/>
      <c r="BF144" s="412"/>
      <c r="BG144" s="413"/>
      <c r="BH144" s="413"/>
      <c r="BI144" s="413"/>
      <c r="BJ144" s="413"/>
      <c r="BK144" s="413" t="str">
        <f t="shared" si="14"/>
        <v/>
      </c>
    </row>
    <row r="145" spans="1:63" ht="23" x14ac:dyDescent="0.25">
      <c r="A145" s="217" t="str" cm="1">
        <f t="array" ref="A145">IFERROR(INDEX(_xlfn.ANCHORARRAY($R$6),ROW()-5,1),"")</f>
        <v/>
      </c>
      <c r="B145" s="289" t="str" cm="1">
        <f t="array" ref="B145">IFERROR(INDEX(_xlfn.ANCHORARRAY($R$6),ROW()-5,2),"")</f>
        <v/>
      </c>
      <c r="C145" s="218" t="str">
        <f>IF($A145="","",IF($K145="DIESEL",SUMIFS(Table1[Quantity],Table1[Customer],$P$3,Table1[Date],$A145,Table1[Bill No.],$B145),IF($K145="PETROL",SUMIFS(Table14[Quantity],Table14[Customer],$P$3,Table14[Date],$A145,Table14[Bill No.],$B145),IF($K145="XtraGreen",SUMIFS(Table146[Quantity],Table146[Company],$P$3,Table146[Date],$A145,Table146[Bill No.],$B145),""))))</f>
        <v/>
      </c>
      <c r="D145" s="223" t="str">
        <f>IF($A145="","",IF($K145="DIESEL",AVERAGEIFS(Table1[RSP],Table1[Customer],$P$3,Table1[Date],$A145,Table1[Bill No.],$B145),IF($K145="PETROL",AVERAGEIFS(Table14[RSP],Table14[Customer],$P$3,Table14[Date],$A145,Table14[Bill No.],$B145),IF($K145="XtraGreen",AVERAGEIFS(Table146[RSP],Table146[Company],$P$3,Table146[Date],$A145,Table146[Bill No.],$B145),IFERROR($E145/$C145,"")))))</f>
        <v/>
      </c>
      <c r="E145" s="330" t="str">
        <f>IF($A145="","",IF($K145="DIESEL",SUMIFS(Table1[Amount],Table1[Customer],$P$3,Table1[Date],$A145,Table1[Bill No.],$B145),IF($K145="PETROL",SUMIFS(Table14[Amount],Table14[Customer],$P$3,Table14[Date],$A145,Table14[Bill No.],$B145),IF($K145="XtraGreen",SUMIFS(Table146[Amount],Table146[Company],$P$3,Table146[Date],$A145,Table146[Bill No.],$B145),SUMIFS('Other Sale'!$D:$D,'Other Sale'!$E:$E,$P$3,'Other Sale'!$C:$C,$K145,'Other Sale'!$A:$A,$A145)))))</f>
        <v/>
      </c>
      <c r="F145" s="330" t="str" cm="1">
        <f t="array" ref="F145">IF($A145="","",IF($K145="Payment",IFERROR(INDEX(_xlfn._xlws.FILTER(MasterPaid[Amount Paid],(MasterPaid[Customer]=$P$3)*(MasterPaid[Date]=$A145)),COUNTIFS($A$6:$A145,$A145,$K$6:$K145,"Payment")),0),0))</f>
        <v/>
      </c>
      <c r="G145" s="331" t="s">
        <v>13</v>
      </c>
      <c r="H145" s="331"/>
      <c r="I145" s="330" t="str">
        <f t="shared" si="12"/>
        <v/>
      </c>
      <c r="J145" s="275"/>
      <c r="K145" s="289" t="str" cm="1">
        <f t="array" ref="K145">IFERROR(INDEX(_xlfn.ANCHORARRAY($R$6),ROW()-5,3),"")</f>
        <v/>
      </c>
      <c r="L145" s="430" t="str" cm="1">
        <f t="array" ref="L145">IF(OR($A145="",$J145="",$K145&lt;&gt;"DIESEL"),"",_xlfn.LET(_xlpm.qty,N($C145),_xlpm.pos,IF($J145="UNIT 1",$V$5:$V$54,$AC$5:$AC$54),_xlpm.alo,IF($J145="UNIT 1",$W$5:$W$54,$AD$5:$AD$54),_xlpm.usd,SUMIFS($C$6:$C144,$L$6:$L144,_xlpm.pos&amp;"",$J$6:$J144,$J145),_xlpm.bal,N(_xlpm.alo)-_xlpm.usd,IFERROR(INDEX(_xlfn._xlws.FILTER(_xlpm.pos,(_xlpm.pos&lt;&gt;"")*(_xlpm.qty&gt;0)*(_xlpm.bal&gt;=_xlpm.qty)),1),"")))</f>
        <v/>
      </c>
      <c r="M145" s="290"/>
      <c r="AQ145" s="409"/>
      <c r="AR145" s="410"/>
      <c r="AS145" s="410"/>
      <c r="AT145" s="411"/>
      <c r="AU145" s="412"/>
      <c r="AV145" s="413"/>
      <c r="AW145" s="413"/>
      <c r="AX145" s="413"/>
      <c r="AY145" s="413"/>
      <c r="AZ145" s="413" t="str">
        <f t="shared" si="13"/>
        <v/>
      </c>
      <c r="BB145" s="409"/>
      <c r="BC145" s="410"/>
      <c r="BD145" s="410"/>
      <c r="BE145" s="411"/>
      <c r="BF145" s="412"/>
      <c r="BG145" s="413"/>
      <c r="BH145" s="413"/>
      <c r="BI145" s="413"/>
      <c r="BJ145" s="413"/>
      <c r="BK145" s="413" t="str">
        <f t="shared" si="14"/>
        <v/>
      </c>
    </row>
    <row r="146" spans="1:63" ht="23" x14ac:dyDescent="0.25">
      <c r="A146" s="217" t="str" cm="1">
        <f t="array" ref="A146">IFERROR(INDEX(_xlfn.ANCHORARRAY($R$6),ROW()-5,1),"")</f>
        <v/>
      </c>
      <c r="B146" s="289" t="str" cm="1">
        <f t="array" ref="B146">IFERROR(INDEX(_xlfn.ANCHORARRAY($R$6),ROW()-5,2),"")</f>
        <v/>
      </c>
      <c r="C146" s="218" t="str">
        <f>IF($A146="","",IF($K146="DIESEL",SUMIFS(Table1[Quantity],Table1[Customer],$P$3,Table1[Date],$A146,Table1[Bill No.],$B146),IF($K146="PETROL",SUMIFS(Table14[Quantity],Table14[Customer],$P$3,Table14[Date],$A146,Table14[Bill No.],$B146),IF($K146="XtraGreen",SUMIFS(Table146[Quantity],Table146[Company],$P$3,Table146[Date],$A146,Table146[Bill No.],$B146),""))))</f>
        <v/>
      </c>
      <c r="D146" s="223" t="str">
        <f>IF($A146="","",IF($K146="DIESEL",AVERAGEIFS(Table1[RSP],Table1[Customer],$P$3,Table1[Date],$A146,Table1[Bill No.],$B146),IF($K146="PETROL",AVERAGEIFS(Table14[RSP],Table14[Customer],$P$3,Table14[Date],$A146,Table14[Bill No.],$B146),IF($K146="XtraGreen",AVERAGEIFS(Table146[RSP],Table146[Company],$P$3,Table146[Date],$A146,Table146[Bill No.],$B146),IFERROR($E146/$C146,"")))))</f>
        <v/>
      </c>
      <c r="E146" s="330" t="str">
        <f>IF($A146="","",IF($K146="DIESEL",SUMIFS(Table1[Amount],Table1[Customer],$P$3,Table1[Date],$A146,Table1[Bill No.],$B146),IF($K146="PETROL",SUMIFS(Table14[Amount],Table14[Customer],$P$3,Table14[Date],$A146,Table14[Bill No.],$B146),IF($K146="XtraGreen",SUMIFS(Table146[Amount],Table146[Company],$P$3,Table146[Date],$A146,Table146[Bill No.],$B146),SUMIFS('Other Sale'!$D:$D,'Other Sale'!$E:$E,$P$3,'Other Sale'!$C:$C,$K146,'Other Sale'!$A:$A,$A146)))))</f>
        <v/>
      </c>
      <c r="F146" s="330" t="str" cm="1">
        <f t="array" ref="F146">IF($A146="","",IF($K146="Payment",IFERROR(INDEX(_xlfn._xlws.FILTER(MasterPaid[Amount Paid],(MasterPaid[Customer]=$P$3)*(MasterPaid[Date]=$A146)),COUNTIFS($A$6:$A146,$A146,$K$6:$K146,"Payment")),0),0))</f>
        <v/>
      </c>
      <c r="G146" s="331" t="s">
        <v>13</v>
      </c>
      <c r="H146" s="331"/>
      <c r="I146" s="330" t="str">
        <f t="shared" si="12"/>
        <v/>
      </c>
      <c r="J146" s="275"/>
      <c r="K146" s="289" t="str" cm="1">
        <f t="array" ref="K146">IFERROR(INDEX(_xlfn.ANCHORARRAY($R$6),ROW()-5,3),"")</f>
        <v/>
      </c>
      <c r="L146" s="430" t="str" cm="1">
        <f t="array" ref="L146">IF(OR($A146="",$J146="",$K146&lt;&gt;"DIESEL"),"",_xlfn.LET(_xlpm.qty,N($C146),_xlpm.pos,IF($J146="UNIT 1",$V$5:$V$54,$AC$5:$AC$54),_xlpm.alo,IF($J146="UNIT 1",$W$5:$W$54,$AD$5:$AD$54),_xlpm.usd,SUMIFS($C$6:$C145,$L$6:$L145,_xlpm.pos&amp;"",$J$6:$J145,$J146),_xlpm.bal,N(_xlpm.alo)-_xlpm.usd,IFERROR(INDEX(_xlfn._xlws.FILTER(_xlpm.pos,(_xlpm.pos&lt;&gt;"")*(_xlpm.qty&gt;0)*(_xlpm.bal&gt;=_xlpm.qty)),1),"")))</f>
        <v/>
      </c>
      <c r="M146" s="290"/>
      <c r="AQ146" s="409"/>
      <c r="AR146" s="410"/>
      <c r="AS146" s="410"/>
      <c r="AT146" s="411"/>
      <c r="AU146" s="412"/>
      <c r="AV146" s="413"/>
      <c r="AW146" s="413"/>
      <c r="AX146" s="413"/>
      <c r="AY146" s="413"/>
      <c r="AZ146" s="413" t="str">
        <f t="shared" si="13"/>
        <v/>
      </c>
      <c r="BB146" s="409"/>
      <c r="BC146" s="410"/>
      <c r="BD146" s="410"/>
      <c r="BE146" s="411"/>
      <c r="BF146" s="412"/>
      <c r="BG146" s="413"/>
      <c r="BH146" s="413"/>
      <c r="BI146" s="413"/>
      <c r="BJ146" s="413"/>
      <c r="BK146" s="413" t="str">
        <f t="shared" si="14"/>
        <v/>
      </c>
    </row>
    <row r="147" spans="1:63" ht="23" x14ac:dyDescent="0.25">
      <c r="A147" s="217" t="str" cm="1">
        <f t="array" ref="A147">IFERROR(INDEX(_xlfn.ANCHORARRAY($R$6),ROW()-5,1),"")</f>
        <v/>
      </c>
      <c r="B147" s="289" t="str" cm="1">
        <f t="array" ref="B147">IFERROR(INDEX(_xlfn.ANCHORARRAY($R$6),ROW()-5,2),"")</f>
        <v/>
      </c>
      <c r="C147" s="218" t="str">
        <f>IF($A147="","",IF($K147="DIESEL",SUMIFS(Table1[Quantity],Table1[Customer],$P$3,Table1[Date],$A147,Table1[Bill No.],$B147),IF($K147="PETROL",SUMIFS(Table14[Quantity],Table14[Customer],$P$3,Table14[Date],$A147,Table14[Bill No.],$B147),IF($K147="XtraGreen",SUMIFS(Table146[Quantity],Table146[Company],$P$3,Table146[Date],$A147,Table146[Bill No.],$B147),""))))</f>
        <v/>
      </c>
      <c r="D147" s="223" t="str">
        <f>IF($A147="","",IF($K147="DIESEL",AVERAGEIFS(Table1[RSP],Table1[Customer],$P$3,Table1[Date],$A147,Table1[Bill No.],$B147),IF($K147="PETROL",AVERAGEIFS(Table14[RSP],Table14[Customer],$P$3,Table14[Date],$A147,Table14[Bill No.],$B147),IF($K147="XtraGreen",AVERAGEIFS(Table146[RSP],Table146[Company],$P$3,Table146[Date],$A147,Table146[Bill No.],$B147),IFERROR($E147/$C147,"")))))</f>
        <v/>
      </c>
      <c r="E147" s="330" t="str">
        <f>IF($A147="","",IF($K147="DIESEL",SUMIFS(Table1[Amount],Table1[Customer],$P$3,Table1[Date],$A147,Table1[Bill No.],$B147),IF($K147="PETROL",SUMIFS(Table14[Amount],Table14[Customer],$P$3,Table14[Date],$A147,Table14[Bill No.],$B147),IF($K147="XtraGreen",SUMIFS(Table146[Amount],Table146[Company],$P$3,Table146[Date],$A147,Table146[Bill No.],$B147),SUMIFS('Other Sale'!$D:$D,'Other Sale'!$E:$E,$P$3,'Other Sale'!$C:$C,$K147,'Other Sale'!$A:$A,$A147)))))</f>
        <v/>
      </c>
      <c r="F147" s="330" t="str" cm="1">
        <f t="array" ref="F147">IF($A147="","",IF($K147="Payment",IFERROR(INDEX(_xlfn._xlws.FILTER(MasterPaid[Amount Paid],(MasterPaid[Customer]=$P$3)*(MasterPaid[Date]=$A147)),COUNTIFS($A$6:$A147,$A147,$K$6:$K147,"Payment")),0),0))</f>
        <v/>
      </c>
      <c r="G147" s="331" t="s">
        <v>13</v>
      </c>
      <c r="H147" s="331"/>
      <c r="I147" s="330" t="str">
        <f t="shared" si="12"/>
        <v/>
      </c>
      <c r="J147" s="275"/>
      <c r="K147" s="289" t="str" cm="1">
        <f t="array" ref="K147">IFERROR(INDEX(_xlfn.ANCHORARRAY($R$6),ROW()-5,3),"")</f>
        <v/>
      </c>
      <c r="L147" s="430" t="str" cm="1">
        <f t="array" ref="L147">IF(OR($A147="",$J147="",$K147&lt;&gt;"DIESEL"),"",_xlfn.LET(_xlpm.qty,N($C147),_xlpm.pos,IF($J147="UNIT 1",$V$5:$V$54,$AC$5:$AC$54),_xlpm.alo,IF($J147="UNIT 1",$W$5:$W$54,$AD$5:$AD$54),_xlpm.usd,SUMIFS($C$6:$C146,$L$6:$L146,_xlpm.pos&amp;"",$J$6:$J146,$J147),_xlpm.bal,N(_xlpm.alo)-_xlpm.usd,IFERROR(INDEX(_xlfn._xlws.FILTER(_xlpm.pos,(_xlpm.pos&lt;&gt;"")*(_xlpm.qty&gt;0)*(_xlpm.bal&gt;=_xlpm.qty)),1),"")))</f>
        <v/>
      </c>
      <c r="M147" s="290"/>
      <c r="AQ147" s="409"/>
      <c r="AR147" s="410"/>
      <c r="AS147" s="410"/>
      <c r="AT147" s="411"/>
      <c r="AU147" s="412"/>
      <c r="AV147" s="413"/>
      <c r="AW147" s="413"/>
      <c r="AX147" s="413"/>
      <c r="AY147" s="413"/>
      <c r="AZ147" s="413" t="str">
        <f t="shared" si="13"/>
        <v/>
      </c>
      <c r="BB147" s="409"/>
      <c r="BC147" s="410"/>
      <c r="BD147" s="410"/>
      <c r="BE147" s="411"/>
      <c r="BF147" s="412"/>
      <c r="BG147" s="413"/>
      <c r="BH147" s="413"/>
      <c r="BI147" s="413"/>
      <c r="BJ147" s="413"/>
      <c r="BK147" s="413" t="str">
        <f t="shared" si="14"/>
        <v/>
      </c>
    </row>
    <row r="148" spans="1:63" ht="23" x14ac:dyDescent="0.25">
      <c r="A148" s="217" t="str" cm="1">
        <f t="array" ref="A148">IFERROR(INDEX(_xlfn.ANCHORARRAY($R$6),ROW()-5,1),"")</f>
        <v/>
      </c>
      <c r="B148" s="289" t="str" cm="1">
        <f t="array" ref="B148">IFERROR(INDEX(_xlfn.ANCHORARRAY($R$6),ROW()-5,2),"")</f>
        <v/>
      </c>
      <c r="C148" s="218" t="str">
        <f>IF($A148="","",IF($K148="DIESEL",SUMIFS(Table1[Quantity],Table1[Customer],$P$3,Table1[Date],$A148,Table1[Bill No.],$B148),IF($K148="PETROL",SUMIFS(Table14[Quantity],Table14[Customer],$P$3,Table14[Date],$A148,Table14[Bill No.],$B148),IF($K148="XtraGreen",SUMIFS(Table146[Quantity],Table146[Company],$P$3,Table146[Date],$A148,Table146[Bill No.],$B148),""))))</f>
        <v/>
      </c>
      <c r="D148" s="223" t="str">
        <f>IF($A148="","",IF($K148="DIESEL",AVERAGEIFS(Table1[RSP],Table1[Customer],$P$3,Table1[Date],$A148,Table1[Bill No.],$B148),IF($K148="PETROL",AVERAGEIFS(Table14[RSP],Table14[Customer],$P$3,Table14[Date],$A148,Table14[Bill No.],$B148),IF($K148="XtraGreen",AVERAGEIFS(Table146[RSP],Table146[Company],$P$3,Table146[Date],$A148,Table146[Bill No.],$B148),IFERROR($E148/$C148,"")))))</f>
        <v/>
      </c>
      <c r="E148" s="330" t="str">
        <f>IF($A148="","",IF($K148="DIESEL",SUMIFS(Table1[Amount],Table1[Customer],$P$3,Table1[Date],$A148,Table1[Bill No.],$B148),IF($K148="PETROL",SUMIFS(Table14[Amount],Table14[Customer],$P$3,Table14[Date],$A148,Table14[Bill No.],$B148),IF($K148="XtraGreen",SUMIFS(Table146[Amount],Table146[Company],$P$3,Table146[Date],$A148,Table146[Bill No.],$B148),SUMIFS('Other Sale'!$D:$D,'Other Sale'!$E:$E,$P$3,'Other Sale'!$C:$C,$K148,'Other Sale'!$A:$A,$A148)))))</f>
        <v/>
      </c>
      <c r="F148" s="330" t="str" cm="1">
        <f t="array" ref="F148">IF($A148="","",IF($K148="Payment",IFERROR(INDEX(_xlfn._xlws.FILTER(MasterPaid[Amount Paid],(MasterPaid[Customer]=$P$3)*(MasterPaid[Date]=$A148)),COUNTIFS($A$6:$A148,$A148,$K$6:$K148,"Payment")),0),0))</f>
        <v/>
      </c>
      <c r="G148" s="331" t="s">
        <v>13</v>
      </c>
      <c r="H148" s="331"/>
      <c r="I148" s="330" t="str">
        <f t="shared" si="12"/>
        <v/>
      </c>
      <c r="J148" s="275"/>
      <c r="K148" s="289" t="str" cm="1">
        <f t="array" ref="K148">IFERROR(INDEX(_xlfn.ANCHORARRAY($R$6),ROW()-5,3),"")</f>
        <v/>
      </c>
      <c r="L148" s="430" t="str" cm="1">
        <f t="array" ref="L148">IF(OR($A148="",$J148="",$K148&lt;&gt;"DIESEL"),"",_xlfn.LET(_xlpm.qty,N($C148),_xlpm.pos,IF($J148="UNIT 1",$V$5:$V$54,$AC$5:$AC$54),_xlpm.alo,IF($J148="UNIT 1",$W$5:$W$54,$AD$5:$AD$54),_xlpm.usd,SUMIFS($C$6:$C147,$L$6:$L147,_xlpm.pos&amp;"",$J$6:$J147,$J148),_xlpm.bal,N(_xlpm.alo)-_xlpm.usd,IFERROR(INDEX(_xlfn._xlws.FILTER(_xlpm.pos,(_xlpm.pos&lt;&gt;"")*(_xlpm.qty&gt;0)*(_xlpm.bal&gt;=_xlpm.qty)),1),"")))</f>
        <v/>
      </c>
      <c r="M148" s="290"/>
      <c r="AQ148" s="409"/>
      <c r="AR148" s="410"/>
      <c r="AS148" s="410"/>
      <c r="AT148" s="411"/>
      <c r="AU148" s="412"/>
      <c r="AV148" s="413"/>
      <c r="AW148" s="413"/>
      <c r="AX148" s="413"/>
      <c r="AY148" s="413"/>
      <c r="AZ148" s="413" t="str">
        <f t="shared" si="13"/>
        <v/>
      </c>
      <c r="BB148" s="409"/>
      <c r="BC148" s="410"/>
      <c r="BD148" s="410"/>
      <c r="BE148" s="411"/>
      <c r="BF148" s="412"/>
      <c r="BG148" s="413"/>
      <c r="BH148" s="413"/>
      <c r="BI148" s="413"/>
      <c r="BJ148" s="413"/>
      <c r="BK148" s="413" t="str">
        <f t="shared" si="14"/>
        <v/>
      </c>
    </row>
    <row r="149" spans="1:63" ht="23" x14ac:dyDescent="0.25">
      <c r="A149" s="217" t="str" cm="1">
        <f t="array" ref="A149">IFERROR(INDEX(_xlfn.ANCHORARRAY($R$6),ROW()-5,1),"")</f>
        <v/>
      </c>
      <c r="B149" s="289" t="str" cm="1">
        <f t="array" ref="B149">IFERROR(INDEX(_xlfn.ANCHORARRAY($R$6),ROW()-5,2),"")</f>
        <v/>
      </c>
      <c r="C149" s="218" t="str">
        <f>IF($A149="","",IF($K149="DIESEL",SUMIFS(Table1[Quantity],Table1[Customer],$P$3,Table1[Date],$A149,Table1[Bill No.],$B149),IF($K149="PETROL",SUMIFS(Table14[Quantity],Table14[Customer],$P$3,Table14[Date],$A149,Table14[Bill No.],$B149),IF($K149="XtraGreen",SUMIFS(Table146[Quantity],Table146[Company],$P$3,Table146[Date],$A149,Table146[Bill No.],$B149),""))))</f>
        <v/>
      </c>
      <c r="D149" s="223" t="str">
        <f>IF($A149="","",IF($K149="DIESEL",AVERAGEIFS(Table1[RSP],Table1[Customer],$P$3,Table1[Date],$A149,Table1[Bill No.],$B149),IF($K149="PETROL",AVERAGEIFS(Table14[RSP],Table14[Customer],$P$3,Table14[Date],$A149,Table14[Bill No.],$B149),IF($K149="XtraGreen",AVERAGEIFS(Table146[RSP],Table146[Company],$P$3,Table146[Date],$A149,Table146[Bill No.],$B149),IFERROR($E149/$C149,"")))))</f>
        <v/>
      </c>
      <c r="E149" s="330" t="str">
        <f>IF($A149="","",IF($K149="DIESEL",SUMIFS(Table1[Amount],Table1[Customer],$P$3,Table1[Date],$A149,Table1[Bill No.],$B149),IF($K149="PETROL",SUMIFS(Table14[Amount],Table14[Customer],$P$3,Table14[Date],$A149,Table14[Bill No.],$B149),IF($K149="XtraGreen",SUMIFS(Table146[Amount],Table146[Company],$P$3,Table146[Date],$A149,Table146[Bill No.],$B149),SUMIFS('Other Sale'!$D:$D,'Other Sale'!$E:$E,$P$3,'Other Sale'!$C:$C,$K149,'Other Sale'!$A:$A,$A149)))))</f>
        <v/>
      </c>
      <c r="F149" s="330" t="str" cm="1">
        <f t="array" ref="F149">IF($A149="","",IF($K149="Payment",IFERROR(INDEX(_xlfn._xlws.FILTER(MasterPaid[Amount Paid],(MasterPaid[Customer]=$P$3)*(MasterPaid[Date]=$A149)),COUNTIFS($A$6:$A149,$A149,$K$6:$K149,"Payment")),0),0))</f>
        <v/>
      </c>
      <c r="G149" s="331" t="s">
        <v>13</v>
      </c>
      <c r="H149" s="331"/>
      <c r="I149" s="330" t="str">
        <f t="shared" si="12"/>
        <v/>
      </c>
      <c r="J149" s="275"/>
      <c r="K149" s="289" t="str" cm="1">
        <f t="array" ref="K149">IFERROR(INDEX(_xlfn.ANCHORARRAY($R$6),ROW()-5,3),"")</f>
        <v/>
      </c>
      <c r="L149" s="430" t="str" cm="1">
        <f t="array" ref="L149">IF(OR($A149="",$J149="",$K149&lt;&gt;"DIESEL"),"",_xlfn.LET(_xlpm.qty,N($C149),_xlpm.pos,IF($J149="UNIT 1",$V$5:$V$54,$AC$5:$AC$54),_xlpm.alo,IF($J149="UNIT 1",$W$5:$W$54,$AD$5:$AD$54),_xlpm.usd,SUMIFS($C$6:$C148,$L$6:$L148,_xlpm.pos&amp;"",$J$6:$J148,$J149),_xlpm.bal,N(_xlpm.alo)-_xlpm.usd,IFERROR(INDEX(_xlfn._xlws.FILTER(_xlpm.pos,(_xlpm.pos&lt;&gt;"")*(_xlpm.qty&gt;0)*(_xlpm.bal&gt;=_xlpm.qty)),1),"")))</f>
        <v/>
      </c>
      <c r="M149" s="290"/>
      <c r="AQ149" s="409"/>
      <c r="AR149" s="410"/>
      <c r="AS149" s="410"/>
      <c r="AT149" s="411"/>
      <c r="AU149" s="412"/>
      <c r="AV149" s="413"/>
      <c r="AW149" s="413"/>
      <c r="AX149" s="413"/>
      <c r="AY149" s="413"/>
      <c r="AZ149" s="413" t="str">
        <f t="shared" si="13"/>
        <v/>
      </c>
      <c r="BB149" s="409"/>
      <c r="BC149" s="410"/>
      <c r="BD149" s="410"/>
      <c r="BE149" s="411"/>
      <c r="BF149" s="412"/>
      <c r="BG149" s="413"/>
      <c r="BH149" s="413"/>
      <c r="BI149" s="413"/>
      <c r="BJ149" s="413"/>
      <c r="BK149" s="413" t="str">
        <f t="shared" si="14"/>
        <v/>
      </c>
    </row>
    <row r="150" spans="1:63" ht="23" x14ac:dyDescent="0.25">
      <c r="A150" s="217" t="str" cm="1">
        <f t="array" ref="A150">IFERROR(INDEX(_xlfn.ANCHORARRAY($R$6),ROW()-5,1),"")</f>
        <v/>
      </c>
      <c r="B150" s="289" t="str" cm="1">
        <f t="array" ref="B150">IFERROR(INDEX(_xlfn.ANCHORARRAY($R$6),ROW()-5,2),"")</f>
        <v/>
      </c>
      <c r="C150" s="218" t="str">
        <f>IF($A150="","",IF($K150="DIESEL",SUMIFS(Table1[Quantity],Table1[Customer],$P$3,Table1[Date],$A150,Table1[Bill No.],$B150),IF($K150="PETROL",SUMIFS(Table14[Quantity],Table14[Customer],$P$3,Table14[Date],$A150,Table14[Bill No.],$B150),IF($K150="XtraGreen",SUMIFS(Table146[Quantity],Table146[Company],$P$3,Table146[Date],$A150,Table146[Bill No.],$B150),""))))</f>
        <v/>
      </c>
      <c r="D150" s="223" t="str">
        <f>IF($A150="","",IF($K150="DIESEL",AVERAGEIFS(Table1[RSP],Table1[Customer],$P$3,Table1[Date],$A150,Table1[Bill No.],$B150),IF($K150="PETROL",AVERAGEIFS(Table14[RSP],Table14[Customer],$P$3,Table14[Date],$A150,Table14[Bill No.],$B150),IF($K150="XtraGreen",AVERAGEIFS(Table146[RSP],Table146[Company],$P$3,Table146[Date],$A150,Table146[Bill No.],$B150),IFERROR($E150/$C150,"")))))</f>
        <v/>
      </c>
      <c r="E150" s="330" t="str">
        <f>IF($A150="","",IF($K150="DIESEL",SUMIFS(Table1[Amount],Table1[Customer],$P$3,Table1[Date],$A150,Table1[Bill No.],$B150),IF($K150="PETROL",SUMIFS(Table14[Amount],Table14[Customer],$P$3,Table14[Date],$A150,Table14[Bill No.],$B150),IF($K150="XtraGreen",SUMIFS(Table146[Amount],Table146[Company],$P$3,Table146[Date],$A150,Table146[Bill No.],$B150),SUMIFS('Other Sale'!$D:$D,'Other Sale'!$E:$E,$P$3,'Other Sale'!$C:$C,$K150,'Other Sale'!$A:$A,$A150)))))</f>
        <v/>
      </c>
      <c r="F150" s="330" t="str" cm="1">
        <f t="array" ref="F150">IF($A150="","",IF($K150="Payment",IFERROR(INDEX(_xlfn._xlws.FILTER(MasterPaid[Amount Paid],(MasterPaid[Customer]=$P$3)*(MasterPaid[Date]=$A150)),COUNTIFS($A$6:$A150,$A150,$K$6:$K150,"Payment")),0),0))</f>
        <v/>
      </c>
      <c r="G150" s="331" t="s">
        <v>13</v>
      </c>
      <c r="H150" s="331"/>
      <c r="I150" s="330" t="str">
        <f t="shared" ref="I150:I213" si="15">IF($A150="","",I149+N(E150)-N(F150)-N(G150)-N(H150))</f>
        <v/>
      </c>
      <c r="J150" s="275"/>
      <c r="K150" s="289" t="str" cm="1">
        <f t="array" ref="K150">IFERROR(INDEX(_xlfn.ANCHORARRAY($R$6),ROW()-5,3),"")</f>
        <v/>
      </c>
      <c r="L150" s="430" t="str" cm="1">
        <f t="array" ref="L150">IF(OR($A150="",$J150="",$K150&lt;&gt;"DIESEL"),"",_xlfn.LET(_xlpm.qty,N($C150),_xlpm.pos,IF($J150="UNIT 1",$V$5:$V$54,$AC$5:$AC$54),_xlpm.alo,IF($J150="UNIT 1",$W$5:$W$54,$AD$5:$AD$54),_xlpm.usd,SUMIFS($C$6:$C149,$L$6:$L149,_xlpm.pos&amp;"",$J$6:$J149,$J150),_xlpm.bal,N(_xlpm.alo)-_xlpm.usd,IFERROR(INDEX(_xlfn._xlws.FILTER(_xlpm.pos,(_xlpm.pos&lt;&gt;"")*(_xlpm.qty&gt;0)*(_xlpm.bal&gt;=_xlpm.qty)),1),"")))</f>
        <v/>
      </c>
      <c r="M150" s="290"/>
      <c r="AQ150" s="409"/>
      <c r="AR150" s="410"/>
      <c r="AS150" s="410"/>
      <c r="AT150" s="411"/>
      <c r="AU150" s="412"/>
      <c r="AV150" s="413"/>
      <c r="AW150" s="413"/>
      <c r="AX150" s="413"/>
      <c r="AY150" s="413"/>
      <c r="AZ150" s="413" t="str">
        <f t="shared" si="13"/>
        <v/>
      </c>
      <c r="BB150" s="409"/>
      <c r="BC150" s="410"/>
      <c r="BD150" s="410"/>
      <c r="BE150" s="411"/>
      <c r="BF150" s="412"/>
      <c r="BG150" s="413"/>
      <c r="BH150" s="413"/>
      <c r="BI150" s="413"/>
      <c r="BJ150" s="413"/>
      <c r="BK150" s="413" t="str">
        <f t="shared" si="14"/>
        <v/>
      </c>
    </row>
    <row r="151" spans="1:63" ht="23" x14ac:dyDescent="0.25">
      <c r="A151" s="217" t="str" cm="1">
        <f t="array" ref="A151">IFERROR(INDEX(_xlfn.ANCHORARRAY($R$6),ROW()-5,1),"")</f>
        <v/>
      </c>
      <c r="B151" s="289" t="str" cm="1">
        <f t="array" ref="B151">IFERROR(INDEX(_xlfn.ANCHORARRAY($R$6),ROW()-5,2),"")</f>
        <v/>
      </c>
      <c r="C151" s="218" t="str">
        <f>IF($A151="","",IF($K151="DIESEL",SUMIFS(Table1[Quantity],Table1[Customer],$P$3,Table1[Date],$A151,Table1[Bill No.],$B151),IF($K151="PETROL",SUMIFS(Table14[Quantity],Table14[Customer],$P$3,Table14[Date],$A151,Table14[Bill No.],$B151),IF($K151="XtraGreen",SUMIFS(Table146[Quantity],Table146[Company],$P$3,Table146[Date],$A151,Table146[Bill No.],$B151),""))))</f>
        <v/>
      </c>
      <c r="D151" s="223" t="str">
        <f>IF($A151="","",IF($K151="DIESEL",AVERAGEIFS(Table1[RSP],Table1[Customer],$P$3,Table1[Date],$A151,Table1[Bill No.],$B151),IF($K151="PETROL",AVERAGEIFS(Table14[RSP],Table14[Customer],$P$3,Table14[Date],$A151,Table14[Bill No.],$B151),IF($K151="XtraGreen",AVERAGEIFS(Table146[RSP],Table146[Company],$P$3,Table146[Date],$A151,Table146[Bill No.],$B151),IFERROR($E151/$C151,"")))))</f>
        <v/>
      </c>
      <c r="E151" s="330" t="str">
        <f>IF($A151="","",IF($K151="DIESEL",SUMIFS(Table1[Amount],Table1[Customer],$P$3,Table1[Date],$A151,Table1[Bill No.],$B151),IF($K151="PETROL",SUMIFS(Table14[Amount],Table14[Customer],$P$3,Table14[Date],$A151,Table14[Bill No.],$B151),IF($K151="XtraGreen",SUMIFS(Table146[Amount],Table146[Company],$P$3,Table146[Date],$A151,Table146[Bill No.],$B151),SUMIFS('Other Sale'!$D:$D,'Other Sale'!$E:$E,$P$3,'Other Sale'!$C:$C,$K151,'Other Sale'!$A:$A,$A151)))))</f>
        <v/>
      </c>
      <c r="F151" s="330" t="str" cm="1">
        <f t="array" ref="F151">IF($A151="","",IF($K151="Payment",IFERROR(INDEX(_xlfn._xlws.FILTER(MasterPaid[Amount Paid],(MasterPaid[Customer]=$P$3)*(MasterPaid[Date]=$A151)),COUNTIFS($A$6:$A151,$A151,$K$6:$K151,"Payment")),0),0))</f>
        <v/>
      </c>
      <c r="G151" s="331" t="s">
        <v>13</v>
      </c>
      <c r="H151" s="331"/>
      <c r="I151" s="330" t="str">
        <f t="shared" si="15"/>
        <v/>
      </c>
      <c r="J151" s="275"/>
      <c r="K151" s="289" t="str" cm="1">
        <f t="array" ref="K151">IFERROR(INDEX(_xlfn.ANCHORARRAY($R$6),ROW()-5,3),"")</f>
        <v/>
      </c>
      <c r="L151" s="430" t="str" cm="1">
        <f t="array" ref="L151">IF(OR($A151="",$J151="",$K151&lt;&gt;"DIESEL"),"",_xlfn.LET(_xlpm.qty,N($C151),_xlpm.pos,IF($J151="UNIT 1",$V$5:$V$54,$AC$5:$AC$54),_xlpm.alo,IF($J151="UNIT 1",$W$5:$W$54,$AD$5:$AD$54),_xlpm.usd,SUMIFS($C$6:$C150,$L$6:$L150,_xlpm.pos&amp;"",$J$6:$J150,$J151),_xlpm.bal,N(_xlpm.alo)-_xlpm.usd,IFERROR(INDEX(_xlfn._xlws.FILTER(_xlpm.pos,(_xlpm.pos&lt;&gt;"")*(_xlpm.qty&gt;0)*(_xlpm.bal&gt;=_xlpm.qty)),1),"")))</f>
        <v/>
      </c>
      <c r="M151" s="290"/>
      <c r="AQ151" s="409"/>
      <c r="AR151" s="410"/>
      <c r="AS151" s="410"/>
      <c r="AT151" s="411"/>
      <c r="AU151" s="412"/>
      <c r="AV151" s="413"/>
      <c r="AW151" s="413"/>
      <c r="AX151" s="413"/>
      <c r="AY151" s="413"/>
      <c r="AZ151" s="413" t="str">
        <f t="shared" si="13"/>
        <v/>
      </c>
      <c r="BB151" s="409"/>
      <c r="BC151" s="410"/>
      <c r="BD151" s="410"/>
      <c r="BE151" s="411"/>
      <c r="BF151" s="412"/>
      <c r="BG151" s="413"/>
      <c r="BH151" s="413"/>
      <c r="BI151" s="413"/>
      <c r="BJ151" s="413"/>
      <c r="BK151" s="413" t="str">
        <f t="shared" si="14"/>
        <v/>
      </c>
    </row>
    <row r="152" spans="1:63" ht="23" x14ac:dyDescent="0.25">
      <c r="A152" s="217" t="str" cm="1">
        <f t="array" ref="A152">IFERROR(INDEX(_xlfn.ANCHORARRAY($R$6),ROW()-5,1),"")</f>
        <v/>
      </c>
      <c r="B152" s="289" t="str" cm="1">
        <f t="array" ref="B152">IFERROR(INDEX(_xlfn.ANCHORARRAY($R$6),ROW()-5,2),"")</f>
        <v/>
      </c>
      <c r="C152" s="218" t="str">
        <f>IF($A152="","",IF($K152="DIESEL",SUMIFS(Table1[Quantity],Table1[Customer],$P$3,Table1[Date],$A152,Table1[Bill No.],$B152),IF($K152="PETROL",SUMIFS(Table14[Quantity],Table14[Customer],$P$3,Table14[Date],$A152,Table14[Bill No.],$B152),IF($K152="XtraGreen",SUMIFS(Table146[Quantity],Table146[Company],$P$3,Table146[Date],$A152,Table146[Bill No.],$B152),""))))</f>
        <v/>
      </c>
      <c r="D152" s="223" t="str">
        <f>IF($A152="","",IF($K152="DIESEL",AVERAGEIFS(Table1[RSP],Table1[Customer],$P$3,Table1[Date],$A152,Table1[Bill No.],$B152),IF($K152="PETROL",AVERAGEIFS(Table14[RSP],Table14[Customer],$P$3,Table14[Date],$A152,Table14[Bill No.],$B152),IF($K152="XtraGreen",AVERAGEIFS(Table146[RSP],Table146[Company],$P$3,Table146[Date],$A152,Table146[Bill No.],$B152),IFERROR($E152/$C152,"")))))</f>
        <v/>
      </c>
      <c r="E152" s="330" t="str">
        <f>IF($A152="","",IF($K152="DIESEL",SUMIFS(Table1[Amount],Table1[Customer],$P$3,Table1[Date],$A152,Table1[Bill No.],$B152),IF($K152="PETROL",SUMIFS(Table14[Amount],Table14[Customer],$P$3,Table14[Date],$A152,Table14[Bill No.],$B152),IF($K152="XtraGreen",SUMIFS(Table146[Amount],Table146[Company],$P$3,Table146[Date],$A152,Table146[Bill No.],$B152),SUMIFS('Other Sale'!$D:$D,'Other Sale'!$E:$E,$P$3,'Other Sale'!$C:$C,$K152,'Other Sale'!$A:$A,$A152)))))</f>
        <v/>
      </c>
      <c r="F152" s="330" t="str" cm="1">
        <f t="array" ref="F152">IF($A152="","",IF($K152="Payment",IFERROR(INDEX(_xlfn._xlws.FILTER(MasterPaid[Amount Paid],(MasterPaid[Customer]=$P$3)*(MasterPaid[Date]=$A152)),COUNTIFS($A$6:$A152,$A152,$K$6:$K152,"Payment")),0),0))</f>
        <v/>
      </c>
      <c r="G152" s="331" t="s">
        <v>13</v>
      </c>
      <c r="H152" s="331"/>
      <c r="I152" s="330" t="str">
        <f t="shared" si="15"/>
        <v/>
      </c>
      <c r="J152" s="275"/>
      <c r="K152" s="289" t="str" cm="1">
        <f t="array" ref="K152">IFERROR(INDEX(_xlfn.ANCHORARRAY($R$6),ROW()-5,3),"")</f>
        <v/>
      </c>
      <c r="L152" s="430" t="str" cm="1">
        <f t="array" ref="L152">IF(OR($A152="",$J152="",$K152&lt;&gt;"DIESEL"),"",_xlfn.LET(_xlpm.qty,N($C152),_xlpm.pos,IF($J152="UNIT 1",$V$5:$V$54,$AC$5:$AC$54),_xlpm.alo,IF($J152="UNIT 1",$W$5:$W$54,$AD$5:$AD$54),_xlpm.usd,SUMIFS($C$6:$C151,$L$6:$L151,_xlpm.pos&amp;"",$J$6:$J151,$J152),_xlpm.bal,N(_xlpm.alo)-_xlpm.usd,IFERROR(INDEX(_xlfn._xlws.FILTER(_xlpm.pos,(_xlpm.pos&lt;&gt;"")*(_xlpm.qty&gt;0)*(_xlpm.bal&gt;=_xlpm.qty)),1),"")))</f>
        <v/>
      </c>
      <c r="M152" s="290"/>
      <c r="AQ152" s="409"/>
      <c r="AR152" s="410"/>
      <c r="AS152" s="410"/>
      <c r="AT152" s="411"/>
      <c r="AU152" s="412"/>
      <c r="AV152" s="413"/>
      <c r="AW152" s="413"/>
      <c r="AX152" s="413"/>
      <c r="AY152" s="413"/>
      <c r="AZ152" s="413" t="str">
        <f t="shared" si="13"/>
        <v/>
      </c>
      <c r="BB152" s="409"/>
      <c r="BC152" s="410"/>
      <c r="BD152" s="410"/>
      <c r="BE152" s="411"/>
      <c r="BF152" s="412"/>
      <c r="BG152" s="413"/>
      <c r="BH152" s="413"/>
      <c r="BI152" s="413"/>
      <c r="BJ152" s="413"/>
      <c r="BK152" s="413" t="str">
        <f t="shared" si="14"/>
        <v/>
      </c>
    </row>
    <row r="153" spans="1:63" ht="23" x14ac:dyDescent="0.25">
      <c r="A153" s="217" t="str" cm="1">
        <f t="array" ref="A153">IFERROR(INDEX(_xlfn.ANCHORARRAY($R$6),ROW()-5,1),"")</f>
        <v/>
      </c>
      <c r="B153" s="289" t="str" cm="1">
        <f t="array" ref="B153">IFERROR(INDEX(_xlfn.ANCHORARRAY($R$6),ROW()-5,2),"")</f>
        <v/>
      </c>
      <c r="C153" s="218" t="str">
        <f>IF($A153="","",IF($K153="DIESEL",SUMIFS(Table1[Quantity],Table1[Customer],$P$3,Table1[Date],$A153,Table1[Bill No.],$B153),IF($K153="PETROL",SUMIFS(Table14[Quantity],Table14[Customer],$P$3,Table14[Date],$A153,Table14[Bill No.],$B153),IF($K153="XtraGreen",SUMIFS(Table146[Quantity],Table146[Company],$P$3,Table146[Date],$A153,Table146[Bill No.],$B153),""))))</f>
        <v/>
      </c>
      <c r="D153" s="223" t="str">
        <f>IF($A153="","",IF($K153="DIESEL",AVERAGEIFS(Table1[RSP],Table1[Customer],$P$3,Table1[Date],$A153,Table1[Bill No.],$B153),IF($K153="PETROL",AVERAGEIFS(Table14[RSP],Table14[Customer],$P$3,Table14[Date],$A153,Table14[Bill No.],$B153),IF($K153="XtraGreen",AVERAGEIFS(Table146[RSP],Table146[Company],$P$3,Table146[Date],$A153,Table146[Bill No.],$B153),IFERROR($E153/$C153,"")))))</f>
        <v/>
      </c>
      <c r="E153" s="330" t="str">
        <f>IF($A153="","",IF($K153="DIESEL",SUMIFS(Table1[Amount],Table1[Customer],$P$3,Table1[Date],$A153,Table1[Bill No.],$B153),IF($K153="PETROL",SUMIFS(Table14[Amount],Table14[Customer],$P$3,Table14[Date],$A153,Table14[Bill No.],$B153),IF($K153="XtraGreen",SUMIFS(Table146[Amount],Table146[Company],$P$3,Table146[Date],$A153,Table146[Bill No.],$B153),SUMIFS('Other Sale'!$D:$D,'Other Sale'!$E:$E,$P$3,'Other Sale'!$C:$C,$K153,'Other Sale'!$A:$A,$A153)))))</f>
        <v/>
      </c>
      <c r="F153" s="330" t="str" cm="1">
        <f t="array" ref="F153">IF($A153="","",IF($K153="Payment",IFERROR(INDEX(_xlfn._xlws.FILTER(MasterPaid[Amount Paid],(MasterPaid[Customer]=$P$3)*(MasterPaid[Date]=$A153)),COUNTIFS($A$6:$A153,$A153,$K$6:$K153,"Payment")),0),0))</f>
        <v/>
      </c>
      <c r="G153" s="331" t="s">
        <v>13</v>
      </c>
      <c r="H153" s="331"/>
      <c r="I153" s="330" t="str">
        <f t="shared" si="15"/>
        <v/>
      </c>
      <c r="J153" s="275"/>
      <c r="K153" s="289" t="str" cm="1">
        <f t="array" ref="K153">IFERROR(INDEX(_xlfn.ANCHORARRAY($R$6),ROW()-5,3),"")</f>
        <v/>
      </c>
      <c r="L153" s="430" t="str" cm="1">
        <f t="array" ref="L153">IF(OR($A153="",$J153="",$K153&lt;&gt;"DIESEL"),"",_xlfn.LET(_xlpm.qty,N($C153),_xlpm.pos,IF($J153="UNIT 1",$V$5:$V$54,$AC$5:$AC$54),_xlpm.alo,IF($J153="UNIT 1",$W$5:$W$54,$AD$5:$AD$54),_xlpm.usd,SUMIFS($C$6:$C152,$L$6:$L152,_xlpm.pos&amp;"",$J$6:$J152,$J153),_xlpm.bal,N(_xlpm.alo)-_xlpm.usd,IFERROR(INDEX(_xlfn._xlws.FILTER(_xlpm.pos,(_xlpm.pos&lt;&gt;"")*(_xlpm.qty&gt;0)*(_xlpm.bal&gt;=_xlpm.qty)),1),"")))</f>
        <v/>
      </c>
      <c r="M153" s="290"/>
      <c r="AQ153" s="409"/>
      <c r="AR153" s="410"/>
      <c r="AS153" s="410"/>
      <c r="AT153" s="411"/>
      <c r="AU153" s="412"/>
      <c r="AV153" s="413"/>
      <c r="AW153" s="413"/>
      <c r="AX153" s="413"/>
      <c r="AY153" s="413"/>
      <c r="AZ153" s="413" t="str">
        <f t="shared" si="13"/>
        <v/>
      </c>
      <c r="BB153" s="409"/>
      <c r="BC153" s="410"/>
      <c r="BD153" s="410"/>
      <c r="BE153" s="411"/>
      <c r="BF153" s="412"/>
      <c r="BG153" s="413"/>
      <c r="BH153" s="413"/>
      <c r="BI153" s="413"/>
      <c r="BJ153" s="413"/>
      <c r="BK153" s="413" t="str">
        <f t="shared" si="14"/>
        <v/>
      </c>
    </row>
    <row r="154" spans="1:63" ht="23" x14ac:dyDescent="0.25">
      <c r="A154" s="217" t="str" cm="1">
        <f t="array" ref="A154">IFERROR(INDEX(_xlfn.ANCHORARRAY($R$6),ROW()-5,1),"")</f>
        <v/>
      </c>
      <c r="B154" s="289" t="str" cm="1">
        <f t="array" ref="B154">IFERROR(INDEX(_xlfn.ANCHORARRAY($R$6),ROW()-5,2),"")</f>
        <v/>
      </c>
      <c r="C154" s="218" t="str">
        <f>IF($A154="","",IF($K154="DIESEL",SUMIFS(Table1[Quantity],Table1[Customer],$P$3,Table1[Date],$A154,Table1[Bill No.],$B154),IF($K154="PETROL",SUMIFS(Table14[Quantity],Table14[Customer],$P$3,Table14[Date],$A154,Table14[Bill No.],$B154),IF($K154="XtraGreen",SUMIFS(Table146[Quantity],Table146[Company],$P$3,Table146[Date],$A154,Table146[Bill No.],$B154),""))))</f>
        <v/>
      </c>
      <c r="D154" s="223" t="str">
        <f>IF($A154="","",IF($K154="DIESEL",AVERAGEIFS(Table1[RSP],Table1[Customer],$P$3,Table1[Date],$A154,Table1[Bill No.],$B154),IF($K154="PETROL",AVERAGEIFS(Table14[RSP],Table14[Customer],$P$3,Table14[Date],$A154,Table14[Bill No.],$B154),IF($K154="XtraGreen",AVERAGEIFS(Table146[RSP],Table146[Company],$P$3,Table146[Date],$A154,Table146[Bill No.],$B154),IFERROR($E154/$C154,"")))))</f>
        <v/>
      </c>
      <c r="E154" s="330" t="str">
        <f>IF($A154="","",IF($K154="DIESEL",SUMIFS(Table1[Amount],Table1[Customer],$P$3,Table1[Date],$A154,Table1[Bill No.],$B154),IF($K154="PETROL",SUMIFS(Table14[Amount],Table14[Customer],$P$3,Table14[Date],$A154,Table14[Bill No.],$B154),IF($K154="XtraGreen",SUMIFS(Table146[Amount],Table146[Company],$P$3,Table146[Date],$A154,Table146[Bill No.],$B154),SUMIFS('Other Sale'!$D:$D,'Other Sale'!$E:$E,$P$3,'Other Sale'!$C:$C,$K154,'Other Sale'!$A:$A,$A154)))))</f>
        <v/>
      </c>
      <c r="F154" s="330" t="str" cm="1">
        <f t="array" ref="F154">IF($A154="","",IF($K154="Payment",IFERROR(INDEX(_xlfn._xlws.FILTER(MasterPaid[Amount Paid],(MasterPaid[Customer]=$P$3)*(MasterPaid[Date]=$A154)),COUNTIFS($A$6:$A154,$A154,$K$6:$K154,"Payment")),0),0))</f>
        <v/>
      </c>
      <c r="G154" s="331" t="s">
        <v>13</v>
      </c>
      <c r="H154" s="331"/>
      <c r="I154" s="330" t="str">
        <f t="shared" si="15"/>
        <v/>
      </c>
      <c r="J154" s="275"/>
      <c r="K154" s="289" t="str" cm="1">
        <f t="array" ref="K154">IFERROR(INDEX(_xlfn.ANCHORARRAY($R$6),ROW()-5,3),"")</f>
        <v/>
      </c>
      <c r="L154" s="430" t="str" cm="1">
        <f t="array" ref="L154">IF(OR($A154="",$J154="",$K154&lt;&gt;"DIESEL"),"",_xlfn.LET(_xlpm.qty,N($C154),_xlpm.pos,IF($J154="UNIT 1",$V$5:$V$54,$AC$5:$AC$54),_xlpm.alo,IF($J154="UNIT 1",$W$5:$W$54,$AD$5:$AD$54),_xlpm.usd,SUMIFS($C$6:$C153,$L$6:$L153,_xlpm.pos&amp;"",$J$6:$J153,$J154),_xlpm.bal,N(_xlpm.alo)-_xlpm.usd,IFERROR(INDEX(_xlfn._xlws.FILTER(_xlpm.pos,(_xlpm.pos&lt;&gt;"")*(_xlpm.qty&gt;0)*(_xlpm.bal&gt;=_xlpm.qty)),1),"")))</f>
        <v/>
      </c>
      <c r="M154" s="290"/>
      <c r="AQ154" s="409"/>
      <c r="AR154" s="410"/>
      <c r="AS154" s="410"/>
      <c r="AT154" s="411"/>
      <c r="AU154" s="412"/>
      <c r="AV154" s="413"/>
      <c r="AW154" s="413"/>
      <c r="AX154" s="413"/>
      <c r="AY154" s="413"/>
      <c r="AZ154" s="413" t="str">
        <f t="shared" si="13"/>
        <v/>
      </c>
      <c r="BB154" s="409"/>
      <c r="BC154" s="410"/>
      <c r="BD154" s="410"/>
      <c r="BE154" s="411"/>
      <c r="BF154" s="412"/>
      <c r="BG154" s="413"/>
      <c r="BH154" s="413"/>
      <c r="BI154" s="413"/>
      <c r="BJ154" s="413"/>
      <c r="BK154" s="413" t="str">
        <f t="shared" si="14"/>
        <v/>
      </c>
    </row>
    <row r="155" spans="1:63" ht="23" x14ac:dyDescent="0.25">
      <c r="A155" s="217" t="str" cm="1">
        <f t="array" ref="A155">IFERROR(INDEX(_xlfn.ANCHORARRAY($R$6),ROW()-5,1),"")</f>
        <v/>
      </c>
      <c r="B155" s="289" t="str" cm="1">
        <f t="array" ref="B155">IFERROR(INDEX(_xlfn.ANCHORARRAY($R$6),ROW()-5,2),"")</f>
        <v/>
      </c>
      <c r="C155" s="218" t="str">
        <f>IF($A155="","",IF($K155="DIESEL",SUMIFS(Table1[Quantity],Table1[Customer],$P$3,Table1[Date],$A155,Table1[Bill No.],$B155),IF($K155="PETROL",SUMIFS(Table14[Quantity],Table14[Customer],$P$3,Table14[Date],$A155,Table14[Bill No.],$B155),IF($K155="XtraGreen",SUMIFS(Table146[Quantity],Table146[Company],$P$3,Table146[Date],$A155,Table146[Bill No.],$B155),""))))</f>
        <v/>
      </c>
      <c r="D155" s="223" t="str">
        <f>IF($A155="","",IF($K155="DIESEL",AVERAGEIFS(Table1[RSP],Table1[Customer],$P$3,Table1[Date],$A155,Table1[Bill No.],$B155),IF($K155="PETROL",AVERAGEIFS(Table14[RSP],Table14[Customer],$P$3,Table14[Date],$A155,Table14[Bill No.],$B155),IF($K155="XtraGreen",AVERAGEIFS(Table146[RSP],Table146[Company],$P$3,Table146[Date],$A155,Table146[Bill No.],$B155),IFERROR($E155/$C155,"")))))</f>
        <v/>
      </c>
      <c r="E155" s="330" t="str">
        <f>IF($A155="","",IF($K155="DIESEL",SUMIFS(Table1[Amount],Table1[Customer],$P$3,Table1[Date],$A155,Table1[Bill No.],$B155),IF($K155="PETROL",SUMIFS(Table14[Amount],Table14[Customer],$P$3,Table14[Date],$A155,Table14[Bill No.],$B155),IF($K155="XtraGreen",SUMIFS(Table146[Amount],Table146[Company],$P$3,Table146[Date],$A155,Table146[Bill No.],$B155),SUMIFS('Other Sale'!$D:$D,'Other Sale'!$E:$E,$P$3,'Other Sale'!$C:$C,$K155,'Other Sale'!$A:$A,$A155)))))</f>
        <v/>
      </c>
      <c r="F155" s="330" t="str" cm="1">
        <f t="array" ref="F155">IF($A155="","",IF($K155="Payment",IFERROR(INDEX(_xlfn._xlws.FILTER(MasterPaid[Amount Paid],(MasterPaid[Customer]=$P$3)*(MasterPaid[Date]=$A155)),COUNTIFS($A$6:$A155,$A155,$K$6:$K155,"Payment")),0),0))</f>
        <v/>
      </c>
      <c r="G155" s="331" t="s">
        <v>13</v>
      </c>
      <c r="H155" s="331"/>
      <c r="I155" s="330" t="str">
        <f t="shared" si="15"/>
        <v/>
      </c>
      <c r="J155" s="275"/>
      <c r="K155" s="289" t="str" cm="1">
        <f t="array" ref="K155">IFERROR(INDEX(_xlfn.ANCHORARRAY($R$6),ROW()-5,3),"")</f>
        <v/>
      </c>
      <c r="L155" s="430" t="str" cm="1">
        <f t="array" ref="L155">IF(OR($A155="",$J155="",$K155&lt;&gt;"DIESEL"),"",_xlfn.LET(_xlpm.qty,N($C155),_xlpm.pos,IF($J155="UNIT 1",$V$5:$V$54,$AC$5:$AC$54),_xlpm.alo,IF($J155="UNIT 1",$W$5:$W$54,$AD$5:$AD$54),_xlpm.usd,SUMIFS($C$6:$C154,$L$6:$L154,_xlpm.pos&amp;"",$J$6:$J154,$J155),_xlpm.bal,N(_xlpm.alo)-_xlpm.usd,IFERROR(INDEX(_xlfn._xlws.FILTER(_xlpm.pos,(_xlpm.pos&lt;&gt;"")*(_xlpm.qty&gt;0)*(_xlpm.bal&gt;=_xlpm.qty)),1),"")))</f>
        <v/>
      </c>
      <c r="M155" s="290"/>
      <c r="AQ155" s="409"/>
      <c r="AR155" s="410"/>
      <c r="AS155" s="410"/>
      <c r="AT155" s="411"/>
      <c r="AU155" s="412"/>
      <c r="AV155" s="413"/>
      <c r="AW155" s="413"/>
      <c r="AX155" s="413"/>
      <c r="AY155" s="413"/>
      <c r="AZ155" s="413" t="str">
        <f t="shared" si="13"/>
        <v/>
      </c>
      <c r="BB155" s="409"/>
      <c r="BC155" s="410"/>
      <c r="BD155" s="410"/>
      <c r="BE155" s="411"/>
      <c r="BF155" s="412"/>
      <c r="BG155" s="413"/>
      <c r="BH155" s="413"/>
      <c r="BI155" s="413"/>
      <c r="BJ155" s="413"/>
      <c r="BK155" s="413" t="str">
        <f t="shared" si="14"/>
        <v/>
      </c>
    </row>
    <row r="156" spans="1:63" ht="23" x14ac:dyDescent="0.25">
      <c r="A156" s="217" t="str" cm="1">
        <f t="array" ref="A156">IFERROR(INDEX(_xlfn.ANCHORARRAY($R$6),ROW()-5,1),"")</f>
        <v/>
      </c>
      <c r="B156" s="289" t="str" cm="1">
        <f t="array" ref="B156">IFERROR(INDEX(_xlfn.ANCHORARRAY($R$6),ROW()-5,2),"")</f>
        <v/>
      </c>
      <c r="C156" s="218" t="str">
        <f>IF($A156="","",IF($K156="DIESEL",SUMIFS(Table1[Quantity],Table1[Customer],$P$3,Table1[Date],$A156,Table1[Bill No.],$B156),IF($K156="PETROL",SUMIFS(Table14[Quantity],Table14[Customer],$P$3,Table14[Date],$A156,Table14[Bill No.],$B156),IF($K156="XtraGreen",SUMIFS(Table146[Quantity],Table146[Company],$P$3,Table146[Date],$A156,Table146[Bill No.],$B156),""))))</f>
        <v/>
      </c>
      <c r="D156" s="223" t="str">
        <f>IF($A156="","",IF($K156="DIESEL",AVERAGEIFS(Table1[RSP],Table1[Customer],$P$3,Table1[Date],$A156,Table1[Bill No.],$B156),IF($K156="PETROL",AVERAGEIFS(Table14[RSP],Table14[Customer],$P$3,Table14[Date],$A156,Table14[Bill No.],$B156),IF($K156="XtraGreen",AVERAGEIFS(Table146[RSP],Table146[Company],$P$3,Table146[Date],$A156,Table146[Bill No.],$B156),IFERROR($E156/$C156,"")))))</f>
        <v/>
      </c>
      <c r="E156" s="330" t="str">
        <f>IF($A156="","",IF($K156="DIESEL",SUMIFS(Table1[Amount],Table1[Customer],$P$3,Table1[Date],$A156,Table1[Bill No.],$B156),IF($K156="PETROL",SUMIFS(Table14[Amount],Table14[Customer],$P$3,Table14[Date],$A156,Table14[Bill No.],$B156),IF($K156="XtraGreen",SUMIFS(Table146[Amount],Table146[Company],$P$3,Table146[Date],$A156,Table146[Bill No.],$B156),SUMIFS('Other Sale'!$D:$D,'Other Sale'!$E:$E,$P$3,'Other Sale'!$C:$C,$K156,'Other Sale'!$A:$A,$A156)))))</f>
        <v/>
      </c>
      <c r="F156" s="330" t="str" cm="1">
        <f t="array" ref="F156">IF($A156="","",IF($K156="Payment",IFERROR(INDEX(_xlfn._xlws.FILTER(MasterPaid[Amount Paid],(MasterPaid[Customer]=$P$3)*(MasterPaid[Date]=$A156)),COUNTIFS($A$6:$A156,$A156,$K$6:$K156,"Payment")),0),0))</f>
        <v/>
      </c>
      <c r="G156" s="331" t="s">
        <v>13</v>
      </c>
      <c r="H156" s="331"/>
      <c r="I156" s="330" t="str">
        <f t="shared" si="15"/>
        <v/>
      </c>
      <c r="J156" s="275"/>
      <c r="K156" s="289" t="str" cm="1">
        <f t="array" ref="K156">IFERROR(INDEX(_xlfn.ANCHORARRAY($R$6),ROW()-5,3),"")</f>
        <v/>
      </c>
      <c r="L156" s="430" t="str" cm="1">
        <f t="array" ref="L156">IF(OR($A156="",$J156="",$K156&lt;&gt;"DIESEL"),"",_xlfn.LET(_xlpm.qty,N($C156),_xlpm.pos,IF($J156="UNIT 1",$V$5:$V$54,$AC$5:$AC$54),_xlpm.alo,IF($J156="UNIT 1",$W$5:$W$54,$AD$5:$AD$54),_xlpm.usd,SUMIFS($C$6:$C155,$L$6:$L155,_xlpm.pos&amp;"",$J$6:$J155,$J156),_xlpm.bal,N(_xlpm.alo)-_xlpm.usd,IFERROR(INDEX(_xlfn._xlws.FILTER(_xlpm.pos,(_xlpm.pos&lt;&gt;"")*(_xlpm.qty&gt;0)*(_xlpm.bal&gt;=_xlpm.qty)),1),"")))</f>
        <v/>
      </c>
      <c r="M156" s="290"/>
      <c r="AQ156" s="409"/>
      <c r="AR156" s="410"/>
      <c r="AS156" s="410"/>
      <c r="AT156" s="411"/>
      <c r="AU156" s="412"/>
      <c r="AV156" s="413"/>
      <c r="AW156" s="413"/>
      <c r="AX156" s="413"/>
      <c r="AY156" s="413"/>
      <c r="AZ156" s="413" t="str">
        <f t="shared" si="13"/>
        <v/>
      </c>
      <c r="BB156" s="409"/>
      <c r="BC156" s="410"/>
      <c r="BD156" s="410"/>
      <c r="BE156" s="411"/>
      <c r="BF156" s="412"/>
      <c r="BG156" s="413"/>
      <c r="BH156" s="413"/>
      <c r="BI156" s="413"/>
      <c r="BJ156" s="413"/>
      <c r="BK156" s="413" t="str">
        <f t="shared" si="14"/>
        <v/>
      </c>
    </row>
    <row r="157" spans="1:63" ht="23" x14ac:dyDescent="0.25">
      <c r="A157" s="217" t="str" cm="1">
        <f t="array" ref="A157">IFERROR(INDEX(_xlfn.ANCHORARRAY($R$6),ROW()-5,1),"")</f>
        <v/>
      </c>
      <c r="B157" s="289" t="str" cm="1">
        <f t="array" ref="B157">IFERROR(INDEX(_xlfn.ANCHORARRAY($R$6),ROW()-5,2),"")</f>
        <v/>
      </c>
      <c r="C157" s="218" t="str">
        <f>IF($A157="","",IF($K157="DIESEL",SUMIFS(Table1[Quantity],Table1[Customer],$P$3,Table1[Date],$A157,Table1[Bill No.],$B157),IF($K157="PETROL",SUMIFS(Table14[Quantity],Table14[Customer],$P$3,Table14[Date],$A157,Table14[Bill No.],$B157),IF($K157="XtraGreen",SUMIFS(Table146[Quantity],Table146[Company],$P$3,Table146[Date],$A157,Table146[Bill No.],$B157),""))))</f>
        <v/>
      </c>
      <c r="D157" s="223" t="str">
        <f>IF($A157="","",IF($K157="DIESEL",AVERAGEIFS(Table1[RSP],Table1[Customer],$P$3,Table1[Date],$A157,Table1[Bill No.],$B157),IF($K157="PETROL",AVERAGEIFS(Table14[RSP],Table14[Customer],$P$3,Table14[Date],$A157,Table14[Bill No.],$B157),IF($K157="XtraGreen",AVERAGEIFS(Table146[RSP],Table146[Company],$P$3,Table146[Date],$A157,Table146[Bill No.],$B157),IFERROR($E157/$C157,"")))))</f>
        <v/>
      </c>
      <c r="E157" s="330" t="str">
        <f>IF($A157="","",IF($K157="DIESEL",SUMIFS(Table1[Amount],Table1[Customer],$P$3,Table1[Date],$A157,Table1[Bill No.],$B157),IF($K157="PETROL",SUMIFS(Table14[Amount],Table14[Customer],$P$3,Table14[Date],$A157,Table14[Bill No.],$B157),IF($K157="XtraGreen",SUMIFS(Table146[Amount],Table146[Company],$P$3,Table146[Date],$A157,Table146[Bill No.],$B157),SUMIFS('Other Sale'!$D:$D,'Other Sale'!$E:$E,$P$3,'Other Sale'!$C:$C,$K157,'Other Sale'!$A:$A,$A157)))))</f>
        <v/>
      </c>
      <c r="F157" s="330" t="str" cm="1">
        <f t="array" ref="F157">IF($A157="","",IF($K157="Payment",IFERROR(INDEX(_xlfn._xlws.FILTER(MasterPaid[Amount Paid],(MasterPaid[Customer]=$P$3)*(MasterPaid[Date]=$A157)),COUNTIFS($A$6:$A157,$A157,$K$6:$K157,"Payment")),0),0))</f>
        <v/>
      </c>
      <c r="G157" s="331" t="s">
        <v>13</v>
      </c>
      <c r="H157" s="331"/>
      <c r="I157" s="330" t="str">
        <f t="shared" si="15"/>
        <v/>
      </c>
      <c r="J157" s="275"/>
      <c r="K157" s="289" t="str" cm="1">
        <f t="array" ref="K157">IFERROR(INDEX(_xlfn.ANCHORARRAY($R$6),ROW()-5,3),"")</f>
        <v/>
      </c>
      <c r="L157" s="430" t="str" cm="1">
        <f t="array" ref="L157">IF(OR($A157="",$J157="",$K157&lt;&gt;"DIESEL"),"",_xlfn.LET(_xlpm.qty,N($C157),_xlpm.pos,IF($J157="UNIT 1",$V$5:$V$54,$AC$5:$AC$54),_xlpm.alo,IF($J157="UNIT 1",$W$5:$W$54,$AD$5:$AD$54),_xlpm.usd,SUMIFS($C$6:$C156,$L$6:$L156,_xlpm.pos&amp;"",$J$6:$J156,$J157),_xlpm.bal,N(_xlpm.alo)-_xlpm.usd,IFERROR(INDEX(_xlfn._xlws.FILTER(_xlpm.pos,(_xlpm.pos&lt;&gt;"")*(_xlpm.qty&gt;0)*(_xlpm.bal&gt;=_xlpm.qty)),1),"")))</f>
        <v/>
      </c>
      <c r="M157" s="290"/>
      <c r="AQ157" s="409"/>
      <c r="AR157" s="410"/>
      <c r="AS157" s="410"/>
      <c r="AT157" s="411"/>
      <c r="AU157" s="412"/>
      <c r="AV157" s="413"/>
      <c r="AW157" s="413"/>
      <c r="AX157" s="413"/>
      <c r="AY157" s="413"/>
      <c r="AZ157" s="413" t="str">
        <f t="shared" si="13"/>
        <v/>
      </c>
      <c r="BB157" s="409"/>
      <c r="BC157" s="410"/>
      <c r="BD157" s="410"/>
      <c r="BE157" s="411"/>
      <c r="BF157" s="412"/>
      <c r="BG157" s="413"/>
      <c r="BH157" s="413"/>
      <c r="BI157" s="413"/>
      <c r="BJ157" s="413"/>
      <c r="BK157" s="413" t="str">
        <f t="shared" si="14"/>
        <v/>
      </c>
    </row>
    <row r="158" spans="1:63" ht="23" x14ac:dyDescent="0.25">
      <c r="A158" s="217" t="str" cm="1">
        <f t="array" ref="A158">IFERROR(INDEX(_xlfn.ANCHORARRAY($R$6),ROW()-5,1),"")</f>
        <v/>
      </c>
      <c r="B158" s="289" t="str" cm="1">
        <f t="array" ref="B158">IFERROR(INDEX(_xlfn.ANCHORARRAY($R$6),ROW()-5,2),"")</f>
        <v/>
      </c>
      <c r="C158" s="218" t="str">
        <f>IF($A158="","",IF($K158="DIESEL",SUMIFS(Table1[Quantity],Table1[Customer],$P$3,Table1[Date],$A158,Table1[Bill No.],$B158),IF($K158="PETROL",SUMIFS(Table14[Quantity],Table14[Customer],$P$3,Table14[Date],$A158,Table14[Bill No.],$B158),IF($K158="XtraGreen",SUMIFS(Table146[Quantity],Table146[Company],$P$3,Table146[Date],$A158,Table146[Bill No.],$B158),""))))</f>
        <v/>
      </c>
      <c r="D158" s="223" t="str">
        <f>IF($A158="","",IF($K158="DIESEL",AVERAGEIFS(Table1[RSP],Table1[Customer],$P$3,Table1[Date],$A158,Table1[Bill No.],$B158),IF($K158="PETROL",AVERAGEIFS(Table14[RSP],Table14[Customer],$P$3,Table14[Date],$A158,Table14[Bill No.],$B158),IF($K158="XtraGreen",AVERAGEIFS(Table146[RSP],Table146[Company],$P$3,Table146[Date],$A158,Table146[Bill No.],$B158),IFERROR($E158/$C158,"")))))</f>
        <v/>
      </c>
      <c r="E158" s="330" t="str">
        <f>IF($A158="","",IF($K158="DIESEL",SUMIFS(Table1[Amount],Table1[Customer],$P$3,Table1[Date],$A158,Table1[Bill No.],$B158),IF($K158="PETROL",SUMIFS(Table14[Amount],Table14[Customer],$P$3,Table14[Date],$A158,Table14[Bill No.],$B158),IF($K158="XtraGreen",SUMIFS(Table146[Amount],Table146[Company],$P$3,Table146[Date],$A158,Table146[Bill No.],$B158),SUMIFS('Other Sale'!$D:$D,'Other Sale'!$E:$E,$P$3,'Other Sale'!$C:$C,$K158,'Other Sale'!$A:$A,$A158)))))</f>
        <v/>
      </c>
      <c r="F158" s="330" t="str" cm="1">
        <f t="array" ref="F158">IF($A158="","",IF($K158="Payment",IFERROR(INDEX(_xlfn._xlws.FILTER(MasterPaid[Amount Paid],(MasterPaid[Customer]=$P$3)*(MasterPaid[Date]=$A158)),COUNTIFS($A$6:$A158,$A158,$K$6:$K158,"Payment")),0),0))</f>
        <v/>
      </c>
      <c r="G158" s="331" t="s">
        <v>13</v>
      </c>
      <c r="H158" s="331"/>
      <c r="I158" s="330" t="str">
        <f t="shared" si="15"/>
        <v/>
      </c>
      <c r="J158" s="275"/>
      <c r="K158" s="289" t="str" cm="1">
        <f t="array" ref="K158">IFERROR(INDEX(_xlfn.ANCHORARRAY($R$6),ROW()-5,3),"")</f>
        <v/>
      </c>
      <c r="L158" s="430" t="str" cm="1">
        <f t="array" ref="L158">IF(OR($A158="",$J158="",$K158&lt;&gt;"DIESEL"),"",_xlfn.LET(_xlpm.qty,N($C158),_xlpm.pos,IF($J158="UNIT 1",$V$5:$V$54,$AC$5:$AC$54),_xlpm.alo,IF($J158="UNIT 1",$W$5:$W$54,$AD$5:$AD$54),_xlpm.usd,SUMIFS($C$6:$C157,$L$6:$L157,_xlpm.pos&amp;"",$J$6:$J157,$J158),_xlpm.bal,N(_xlpm.alo)-_xlpm.usd,IFERROR(INDEX(_xlfn._xlws.FILTER(_xlpm.pos,(_xlpm.pos&lt;&gt;"")*(_xlpm.qty&gt;0)*(_xlpm.bal&gt;=_xlpm.qty)),1),"")))</f>
        <v/>
      </c>
      <c r="M158" s="290"/>
      <c r="AQ158" s="409"/>
      <c r="AR158" s="410"/>
      <c r="AS158" s="410"/>
      <c r="AT158" s="411"/>
      <c r="AU158" s="412"/>
      <c r="AV158" s="413"/>
      <c r="AW158" s="413"/>
      <c r="AX158" s="413"/>
      <c r="AY158" s="413"/>
      <c r="AZ158" s="413" t="str">
        <f t="shared" si="13"/>
        <v/>
      </c>
      <c r="BB158" s="409"/>
      <c r="BC158" s="410"/>
      <c r="BD158" s="410"/>
      <c r="BE158" s="411"/>
      <c r="BF158" s="412"/>
      <c r="BG158" s="413"/>
      <c r="BH158" s="413"/>
      <c r="BI158" s="413"/>
      <c r="BJ158" s="413"/>
      <c r="BK158" s="413" t="str">
        <f t="shared" si="14"/>
        <v/>
      </c>
    </row>
    <row r="159" spans="1:63" ht="23" x14ac:dyDescent="0.25">
      <c r="A159" s="217" t="str" cm="1">
        <f t="array" ref="A159">IFERROR(INDEX(_xlfn.ANCHORARRAY($R$6),ROW()-5,1),"")</f>
        <v/>
      </c>
      <c r="B159" s="289" t="str" cm="1">
        <f t="array" ref="B159">IFERROR(INDEX(_xlfn.ANCHORARRAY($R$6),ROW()-5,2),"")</f>
        <v/>
      </c>
      <c r="C159" s="218" t="str">
        <f>IF($A159="","",IF($K159="DIESEL",SUMIFS(Table1[Quantity],Table1[Customer],$P$3,Table1[Date],$A159,Table1[Bill No.],$B159),IF($K159="PETROL",SUMIFS(Table14[Quantity],Table14[Customer],$P$3,Table14[Date],$A159,Table14[Bill No.],$B159),IF($K159="XtraGreen",SUMIFS(Table146[Quantity],Table146[Company],$P$3,Table146[Date],$A159,Table146[Bill No.],$B159),""))))</f>
        <v/>
      </c>
      <c r="D159" s="223" t="str">
        <f>IF($A159="","",IF($K159="DIESEL",AVERAGEIFS(Table1[RSP],Table1[Customer],$P$3,Table1[Date],$A159,Table1[Bill No.],$B159),IF($K159="PETROL",AVERAGEIFS(Table14[RSP],Table14[Customer],$P$3,Table14[Date],$A159,Table14[Bill No.],$B159),IF($K159="XtraGreen",AVERAGEIFS(Table146[RSP],Table146[Company],$P$3,Table146[Date],$A159,Table146[Bill No.],$B159),IFERROR($E159/$C159,"")))))</f>
        <v/>
      </c>
      <c r="E159" s="330" t="str">
        <f>IF($A159="","",IF($K159="DIESEL",SUMIFS(Table1[Amount],Table1[Customer],$P$3,Table1[Date],$A159,Table1[Bill No.],$B159),IF($K159="PETROL",SUMIFS(Table14[Amount],Table14[Customer],$P$3,Table14[Date],$A159,Table14[Bill No.],$B159),IF($K159="XtraGreen",SUMIFS(Table146[Amount],Table146[Company],$P$3,Table146[Date],$A159,Table146[Bill No.],$B159),SUMIFS('Other Sale'!$D:$D,'Other Sale'!$E:$E,$P$3,'Other Sale'!$C:$C,$K159,'Other Sale'!$A:$A,$A159)))))</f>
        <v/>
      </c>
      <c r="F159" s="330" t="str" cm="1">
        <f t="array" ref="F159">IF($A159="","",IF($K159="Payment",IFERROR(INDEX(_xlfn._xlws.FILTER(MasterPaid[Amount Paid],(MasterPaid[Customer]=$P$3)*(MasterPaid[Date]=$A159)),COUNTIFS($A$6:$A159,$A159,$K$6:$K159,"Payment")),0),0))</f>
        <v/>
      </c>
      <c r="G159" s="331" t="s">
        <v>13</v>
      </c>
      <c r="H159" s="331"/>
      <c r="I159" s="330" t="str">
        <f t="shared" si="15"/>
        <v/>
      </c>
      <c r="J159" s="275"/>
      <c r="K159" s="289" t="str" cm="1">
        <f t="array" ref="K159">IFERROR(INDEX(_xlfn.ANCHORARRAY($R$6),ROW()-5,3),"")</f>
        <v/>
      </c>
      <c r="L159" s="430" t="str" cm="1">
        <f t="array" ref="L159">IF(OR($A159="",$J159="",$K159&lt;&gt;"DIESEL"),"",_xlfn.LET(_xlpm.qty,N($C159),_xlpm.pos,IF($J159="UNIT 1",$V$5:$V$54,$AC$5:$AC$54),_xlpm.alo,IF($J159="UNIT 1",$W$5:$W$54,$AD$5:$AD$54),_xlpm.usd,SUMIFS($C$6:$C158,$L$6:$L158,_xlpm.pos&amp;"",$J$6:$J158,$J159),_xlpm.bal,N(_xlpm.alo)-_xlpm.usd,IFERROR(INDEX(_xlfn._xlws.FILTER(_xlpm.pos,(_xlpm.pos&lt;&gt;"")*(_xlpm.qty&gt;0)*(_xlpm.bal&gt;=_xlpm.qty)),1),"")))</f>
        <v/>
      </c>
      <c r="M159" s="290"/>
      <c r="AQ159" s="409"/>
      <c r="AR159" s="410"/>
      <c r="AS159" s="410"/>
      <c r="AT159" s="411"/>
      <c r="AU159" s="412"/>
      <c r="AV159" s="413"/>
      <c r="AW159" s="413"/>
      <c r="AX159" s="413"/>
      <c r="AY159" s="413"/>
      <c r="AZ159" s="413" t="str">
        <f t="shared" si="13"/>
        <v/>
      </c>
      <c r="BB159" s="409"/>
      <c r="BC159" s="410"/>
      <c r="BD159" s="410"/>
      <c r="BE159" s="411"/>
      <c r="BF159" s="412"/>
      <c r="BG159" s="413"/>
      <c r="BH159" s="413"/>
      <c r="BI159" s="413"/>
      <c r="BJ159" s="413"/>
      <c r="BK159" s="413" t="str">
        <f t="shared" si="14"/>
        <v/>
      </c>
    </row>
    <row r="160" spans="1:63" ht="23" x14ac:dyDescent="0.25">
      <c r="A160" s="217" t="str" cm="1">
        <f t="array" ref="A160">IFERROR(INDEX(_xlfn.ANCHORARRAY($R$6),ROW()-5,1),"")</f>
        <v/>
      </c>
      <c r="B160" s="289" t="str" cm="1">
        <f t="array" ref="B160">IFERROR(INDEX(_xlfn.ANCHORARRAY($R$6),ROW()-5,2),"")</f>
        <v/>
      </c>
      <c r="C160" s="218" t="str">
        <f>IF($A160="","",IF($K160="DIESEL",SUMIFS(Table1[Quantity],Table1[Customer],$P$3,Table1[Date],$A160,Table1[Bill No.],$B160),IF($K160="PETROL",SUMIFS(Table14[Quantity],Table14[Customer],$P$3,Table14[Date],$A160,Table14[Bill No.],$B160),IF($K160="XtraGreen",SUMIFS(Table146[Quantity],Table146[Company],$P$3,Table146[Date],$A160,Table146[Bill No.],$B160),""))))</f>
        <v/>
      </c>
      <c r="D160" s="223" t="str">
        <f>IF($A160="","",IF($K160="DIESEL",AVERAGEIFS(Table1[RSP],Table1[Customer],$P$3,Table1[Date],$A160,Table1[Bill No.],$B160),IF($K160="PETROL",AVERAGEIFS(Table14[RSP],Table14[Customer],$P$3,Table14[Date],$A160,Table14[Bill No.],$B160),IF($K160="XtraGreen",AVERAGEIFS(Table146[RSP],Table146[Company],$P$3,Table146[Date],$A160,Table146[Bill No.],$B160),IFERROR($E160/$C160,"")))))</f>
        <v/>
      </c>
      <c r="E160" s="330" t="str">
        <f>IF($A160="","",IF($K160="DIESEL",SUMIFS(Table1[Amount],Table1[Customer],$P$3,Table1[Date],$A160,Table1[Bill No.],$B160),IF($K160="PETROL",SUMIFS(Table14[Amount],Table14[Customer],$P$3,Table14[Date],$A160,Table14[Bill No.],$B160),IF($K160="XtraGreen",SUMIFS(Table146[Amount],Table146[Company],$P$3,Table146[Date],$A160,Table146[Bill No.],$B160),SUMIFS('Other Sale'!$D:$D,'Other Sale'!$E:$E,$P$3,'Other Sale'!$C:$C,$K160,'Other Sale'!$A:$A,$A160)))))</f>
        <v/>
      </c>
      <c r="F160" s="330" t="str" cm="1">
        <f t="array" ref="F160">IF($A160="","",IF($K160="Payment",IFERROR(INDEX(_xlfn._xlws.FILTER(MasterPaid[Amount Paid],(MasterPaid[Customer]=$P$3)*(MasterPaid[Date]=$A160)),COUNTIFS($A$6:$A160,$A160,$K$6:$K160,"Payment")),0),0))</f>
        <v/>
      </c>
      <c r="G160" s="331" t="s">
        <v>13</v>
      </c>
      <c r="H160" s="331"/>
      <c r="I160" s="330" t="str">
        <f t="shared" si="15"/>
        <v/>
      </c>
      <c r="J160" s="275"/>
      <c r="K160" s="289" t="str" cm="1">
        <f t="array" ref="K160">IFERROR(INDEX(_xlfn.ANCHORARRAY($R$6),ROW()-5,3),"")</f>
        <v/>
      </c>
      <c r="L160" s="430" t="str" cm="1">
        <f t="array" ref="L160">IF(OR($A160="",$J160="",$K160&lt;&gt;"DIESEL"),"",_xlfn.LET(_xlpm.qty,N($C160),_xlpm.pos,IF($J160="UNIT 1",$V$5:$V$54,$AC$5:$AC$54),_xlpm.alo,IF($J160="UNIT 1",$W$5:$W$54,$AD$5:$AD$54),_xlpm.usd,SUMIFS($C$6:$C159,$L$6:$L159,_xlpm.pos&amp;"",$J$6:$J159,$J160),_xlpm.bal,N(_xlpm.alo)-_xlpm.usd,IFERROR(INDEX(_xlfn._xlws.FILTER(_xlpm.pos,(_xlpm.pos&lt;&gt;"")*(_xlpm.qty&gt;0)*(_xlpm.bal&gt;=_xlpm.qty)),1),"")))</f>
        <v/>
      </c>
      <c r="M160" s="290"/>
      <c r="AQ160" s="409"/>
      <c r="AR160" s="410"/>
      <c r="AS160" s="410"/>
      <c r="AT160" s="411"/>
      <c r="AU160" s="412"/>
      <c r="AV160" s="413"/>
      <c r="AW160" s="413"/>
      <c r="AX160" s="413"/>
      <c r="AY160" s="413"/>
      <c r="AZ160" s="413" t="str">
        <f t="shared" si="13"/>
        <v/>
      </c>
      <c r="BB160" s="409"/>
      <c r="BC160" s="410"/>
      <c r="BD160" s="410"/>
      <c r="BE160" s="411"/>
      <c r="BF160" s="412"/>
      <c r="BG160" s="413"/>
      <c r="BH160" s="413"/>
      <c r="BI160" s="413"/>
      <c r="BJ160" s="413"/>
      <c r="BK160" s="413" t="str">
        <f t="shared" si="14"/>
        <v/>
      </c>
    </row>
    <row r="161" spans="1:63" ht="23" x14ac:dyDescent="0.25">
      <c r="A161" s="217" t="str" cm="1">
        <f t="array" ref="A161">IFERROR(INDEX(_xlfn.ANCHORARRAY($R$6),ROW()-5,1),"")</f>
        <v/>
      </c>
      <c r="B161" s="289" t="str" cm="1">
        <f t="array" ref="B161">IFERROR(INDEX(_xlfn.ANCHORARRAY($R$6),ROW()-5,2),"")</f>
        <v/>
      </c>
      <c r="C161" s="218" t="str">
        <f>IF($A161="","",IF($K161="DIESEL",SUMIFS(Table1[Quantity],Table1[Customer],$P$3,Table1[Date],$A161,Table1[Bill No.],$B161),IF($K161="PETROL",SUMIFS(Table14[Quantity],Table14[Customer],$P$3,Table14[Date],$A161,Table14[Bill No.],$B161),IF($K161="XtraGreen",SUMIFS(Table146[Quantity],Table146[Company],$P$3,Table146[Date],$A161,Table146[Bill No.],$B161),""))))</f>
        <v/>
      </c>
      <c r="D161" s="223" t="str">
        <f>IF($A161="","",IF($K161="DIESEL",AVERAGEIFS(Table1[RSP],Table1[Customer],$P$3,Table1[Date],$A161,Table1[Bill No.],$B161),IF($K161="PETROL",AVERAGEIFS(Table14[RSP],Table14[Customer],$P$3,Table14[Date],$A161,Table14[Bill No.],$B161),IF($K161="XtraGreen",AVERAGEIFS(Table146[RSP],Table146[Company],$P$3,Table146[Date],$A161,Table146[Bill No.],$B161),IFERROR($E161/$C161,"")))))</f>
        <v/>
      </c>
      <c r="E161" s="330" t="str">
        <f>IF($A161="","",IF($K161="DIESEL",SUMIFS(Table1[Amount],Table1[Customer],$P$3,Table1[Date],$A161,Table1[Bill No.],$B161),IF($K161="PETROL",SUMIFS(Table14[Amount],Table14[Customer],$P$3,Table14[Date],$A161,Table14[Bill No.],$B161),IF($K161="XtraGreen",SUMIFS(Table146[Amount],Table146[Company],$P$3,Table146[Date],$A161,Table146[Bill No.],$B161),SUMIFS('Other Sale'!$D:$D,'Other Sale'!$E:$E,$P$3,'Other Sale'!$C:$C,$K161,'Other Sale'!$A:$A,$A161)))))</f>
        <v/>
      </c>
      <c r="F161" s="330" t="str" cm="1">
        <f t="array" ref="F161">IF($A161="","",IF($K161="Payment",IFERROR(INDEX(_xlfn._xlws.FILTER(MasterPaid[Amount Paid],(MasterPaid[Customer]=$P$3)*(MasterPaid[Date]=$A161)),COUNTIFS($A$6:$A161,$A161,$K$6:$K161,"Payment")),0),0))</f>
        <v/>
      </c>
      <c r="G161" s="331" t="s">
        <v>13</v>
      </c>
      <c r="H161" s="331"/>
      <c r="I161" s="330" t="str">
        <f t="shared" si="15"/>
        <v/>
      </c>
      <c r="J161" s="275"/>
      <c r="K161" s="289" t="str" cm="1">
        <f t="array" ref="K161">IFERROR(INDEX(_xlfn.ANCHORARRAY($R$6),ROW()-5,3),"")</f>
        <v/>
      </c>
      <c r="L161" s="430" t="str" cm="1">
        <f t="array" ref="L161">IF(OR($A161="",$J161="",$K161&lt;&gt;"DIESEL"),"",_xlfn.LET(_xlpm.qty,N($C161),_xlpm.pos,IF($J161="UNIT 1",$V$5:$V$54,$AC$5:$AC$54),_xlpm.alo,IF($J161="UNIT 1",$W$5:$W$54,$AD$5:$AD$54),_xlpm.usd,SUMIFS($C$6:$C160,$L$6:$L160,_xlpm.pos&amp;"",$J$6:$J160,$J161),_xlpm.bal,N(_xlpm.alo)-_xlpm.usd,IFERROR(INDEX(_xlfn._xlws.FILTER(_xlpm.pos,(_xlpm.pos&lt;&gt;"")*(_xlpm.qty&gt;0)*(_xlpm.bal&gt;=_xlpm.qty)),1),"")))</f>
        <v/>
      </c>
      <c r="M161" s="290"/>
      <c r="AQ161" s="409"/>
      <c r="AR161" s="410"/>
      <c r="AS161" s="410"/>
      <c r="AT161" s="411"/>
      <c r="AU161" s="412"/>
      <c r="AV161" s="413"/>
      <c r="AW161" s="413"/>
      <c r="AX161" s="413"/>
      <c r="AY161" s="413"/>
      <c r="AZ161" s="413" t="str">
        <f t="shared" si="13"/>
        <v/>
      </c>
      <c r="BB161" s="409"/>
      <c r="BC161" s="410"/>
      <c r="BD161" s="410"/>
      <c r="BE161" s="411"/>
      <c r="BF161" s="412"/>
      <c r="BG161" s="413"/>
      <c r="BH161" s="413"/>
      <c r="BI161" s="413"/>
      <c r="BJ161" s="413"/>
      <c r="BK161" s="413" t="str">
        <f t="shared" si="14"/>
        <v/>
      </c>
    </row>
    <row r="162" spans="1:63" ht="23" x14ac:dyDescent="0.25">
      <c r="A162" s="217" t="str" cm="1">
        <f t="array" ref="A162">IFERROR(INDEX(_xlfn.ANCHORARRAY($R$6),ROW()-5,1),"")</f>
        <v/>
      </c>
      <c r="B162" s="289" t="str" cm="1">
        <f t="array" ref="B162">IFERROR(INDEX(_xlfn.ANCHORARRAY($R$6),ROW()-5,2),"")</f>
        <v/>
      </c>
      <c r="C162" s="218" t="str">
        <f>IF($A162="","",IF($K162="DIESEL",SUMIFS(Table1[Quantity],Table1[Customer],$P$3,Table1[Date],$A162,Table1[Bill No.],$B162),IF($K162="PETROL",SUMIFS(Table14[Quantity],Table14[Customer],$P$3,Table14[Date],$A162,Table14[Bill No.],$B162),IF($K162="XtraGreen",SUMIFS(Table146[Quantity],Table146[Company],$P$3,Table146[Date],$A162,Table146[Bill No.],$B162),""))))</f>
        <v/>
      </c>
      <c r="D162" s="223" t="str">
        <f>IF($A162="","",IF($K162="DIESEL",AVERAGEIFS(Table1[RSP],Table1[Customer],$P$3,Table1[Date],$A162,Table1[Bill No.],$B162),IF($K162="PETROL",AVERAGEIFS(Table14[RSP],Table14[Customer],$P$3,Table14[Date],$A162,Table14[Bill No.],$B162),IF($K162="XtraGreen",AVERAGEIFS(Table146[RSP],Table146[Company],$P$3,Table146[Date],$A162,Table146[Bill No.],$B162),IFERROR($E162/$C162,"")))))</f>
        <v/>
      </c>
      <c r="E162" s="330" t="str">
        <f>IF($A162="","",IF($K162="DIESEL",SUMIFS(Table1[Amount],Table1[Customer],$P$3,Table1[Date],$A162,Table1[Bill No.],$B162),IF($K162="PETROL",SUMIFS(Table14[Amount],Table14[Customer],$P$3,Table14[Date],$A162,Table14[Bill No.],$B162),IF($K162="XtraGreen",SUMIFS(Table146[Amount],Table146[Company],$P$3,Table146[Date],$A162,Table146[Bill No.],$B162),SUMIFS('Other Sale'!$D:$D,'Other Sale'!$E:$E,$P$3,'Other Sale'!$C:$C,$K162,'Other Sale'!$A:$A,$A162)))))</f>
        <v/>
      </c>
      <c r="F162" s="330" t="str" cm="1">
        <f t="array" ref="F162">IF($A162="","",IF($K162="Payment",IFERROR(INDEX(_xlfn._xlws.FILTER(MasterPaid[Amount Paid],(MasterPaid[Customer]=$P$3)*(MasterPaid[Date]=$A162)),COUNTIFS($A$6:$A162,$A162,$K$6:$K162,"Payment")),0),0))</f>
        <v/>
      </c>
      <c r="G162" s="331" t="s">
        <v>13</v>
      </c>
      <c r="H162" s="331"/>
      <c r="I162" s="330" t="str">
        <f t="shared" si="15"/>
        <v/>
      </c>
      <c r="J162" s="275"/>
      <c r="K162" s="289" t="str" cm="1">
        <f t="array" ref="K162">IFERROR(INDEX(_xlfn.ANCHORARRAY($R$6),ROW()-5,3),"")</f>
        <v/>
      </c>
      <c r="L162" s="430" t="str" cm="1">
        <f t="array" ref="L162">IF(OR($A162="",$J162="",$K162&lt;&gt;"DIESEL"),"",_xlfn.LET(_xlpm.qty,N($C162),_xlpm.pos,IF($J162="UNIT 1",$V$5:$V$54,$AC$5:$AC$54),_xlpm.alo,IF($J162="UNIT 1",$W$5:$W$54,$AD$5:$AD$54),_xlpm.usd,SUMIFS($C$6:$C161,$L$6:$L161,_xlpm.pos&amp;"",$J$6:$J161,$J162),_xlpm.bal,N(_xlpm.alo)-_xlpm.usd,IFERROR(INDEX(_xlfn._xlws.FILTER(_xlpm.pos,(_xlpm.pos&lt;&gt;"")*(_xlpm.qty&gt;0)*(_xlpm.bal&gt;=_xlpm.qty)),1),"")))</f>
        <v/>
      </c>
      <c r="M162" s="290"/>
      <c r="AQ162" s="409"/>
      <c r="AR162" s="410"/>
      <c r="AS162" s="410"/>
      <c r="AT162" s="411"/>
      <c r="AU162" s="412"/>
      <c r="AV162" s="413"/>
      <c r="AW162" s="413"/>
      <c r="AX162" s="413"/>
      <c r="AY162" s="413"/>
      <c r="AZ162" s="413" t="str">
        <f t="shared" si="13"/>
        <v/>
      </c>
      <c r="BB162" s="409"/>
      <c r="BC162" s="410"/>
      <c r="BD162" s="410"/>
      <c r="BE162" s="411"/>
      <c r="BF162" s="412"/>
      <c r="BG162" s="413"/>
      <c r="BH162" s="413"/>
      <c r="BI162" s="413"/>
      <c r="BJ162" s="413"/>
      <c r="BK162" s="413" t="str">
        <f t="shared" si="14"/>
        <v/>
      </c>
    </row>
    <row r="163" spans="1:63" ht="23" x14ac:dyDescent="0.25">
      <c r="A163" s="217" t="str" cm="1">
        <f t="array" ref="A163">IFERROR(INDEX(_xlfn.ANCHORARRAY($R$6),ROW()-5,1),"")</f>
        <v/>
      </c>
      <c r="B163" s="289" t="str" cm="1">
        <f t="array" ref="B163">IFERROR(INDEX(_xlfn.ANCHORARRAY($R$6),ROW()-5,2),"")</f>
        <v/>
      </c>
      <c r="C163" s="218" t="str">
        <f>IF($A163="","",IF($K163="DIESEL",SUMIFS(Table1[Quantity],Table1[Customer],$P$3,Table1[Date],$A163,Table1[Bill No.],$B163),IF($K163="PETROL",SUMIFS(Table14[Quantity],Table14[Customer],$P$3,Table14[Date],$A163,Table14[Bill No.],$B163),IF($K163="XtraGreen",SUMIFS(Table146[Quantity],Table146[Company],$P$3,Table146[Date],$A163,Table146[Bill No.],$B163),""))))</f>
        <v/>
      </c>
      <c r="D163" s="223" t="str">
        <f>IF($A163="","",IF($K163="DIESEL",AVERAGEIFS(Table1[RSP],Table1[Customer],$P$3,Table1[Date],$A163,Table1[Bill No.],$B163),IF($K163="PETROL",AVERAGEIFS(Table14[RSP],Table14[Customer],$P$3,Table14[Date],$A163,Table14[Bill No.],$B163),IF($K163="XtraGreen",AVERAGEIFS(Table146[RSP],Table146[Company],$P$3,Table146[Date],$A163,Table146[Bill No.],$B163),IFERROR($E163/$C163,"")))))</f>
        <v/>
      </c>
      <c r="E163" s="330" t="str">
        <f>IF($A163="","",IF($K163="DIESEL",SUMIFS(Table1[Amount],Table1[Customer],$P$3,Table1[Date],$A163,Table1[Bill No.],$B163),IF($K163="PETROL",SUMIFS(Table14[Amount],Table14[Customer],$P$3,Table14[Date],$A163,Table14[Bill No.],$B163),IF($K163="XtraGreen",SUMIFS(Table146[Amount],Table146[Company],$P$3,Table146[Date],$A163,Table146[Bill No.],$B163),SUMIFS('Other Sale'!$D:$D,'Other Sale'!$E:$E,$P$3,'Other Sale'!$C:$C,$K163,'Other Sale'!$A:$A,$A163)))))</f>
        <v/>
      </c>
      <c r="F163" s="330" t="str" cm="1">
        <f t="array" ref="F163">IF($A163="","",IF($K163="Payment",IFERROR(INDEX(_xlfn._xlws.FILTER(MasterPaid[Amount Paid],(MasterPaid[Customer]=$P$3)*(MasterPaid[Date]=$A163)),COUNTIFS($A$6:$A163,$A163,$K$6:$K163,"Payment")),0),0))</f>
        <v/>
      </c>
      <c r="G163" s="331" t="s">
        <v>13</v>
      </c>
      <c r="H163" s="331"/>
      <c r="I163" s="330" t="str">
        <f t="shared" si="15"/>
        <v/>
      </c>
      <c r="J163" s="275"/>
      <c r="K163" s="289" t="str" cm="1">
        <f t="array" ref="K163">IFERROR(INDEX(_xlfn.ANCHORARRAY($R$6),ROW()-5,3),"")</f>
        <v/>
      </c>
      <c r="L163" s="430" t="str" cm="1">
        <f t="array" ref="L163">IF(OR($A163="",$J163="",$K163&lt;&gt;"DIESEL"),"",_xlfn.LET(_xlpm.qty,N($C163),_xlpm.pos,IF($J163="UNIT 1",$V$5:$V$54,$AC$5:$AC$54),_xlpm.alo,IF($J163="UNIT 1",$W$5:$W$54,$AD$5:$AD$54),_xlpm.usd,SUMIFS($C$6:$C162,$L$6:$L162,_xlpm.pos&amp;"",$J$6:$J162,$J163),_xlpm.bal,N(_xlpm.alo)-_xlpm.usd,IFERROR(INDEX(_xlfn._xlws.FILTER(_xlpm.pos,(_xlpm.pos&lt;&gt;"")*(_xlpm.qty&gt;0)*(_xlpm.bal&gt;=_xlpm.qty)),1),"")))</f>
        <v/>
      </c>
      <c r="M163" s="290"/>
      <c r="AQ163" s="409"/>
      <c r="AR163" s="410"/>
      <c r="AS163" s="410"/>
      <c r="AT163" s="411"/>
      <c r="AU163" s="412"/>
      <c r="AV163" s="413"/>
      <c r="AW163" s="413"/>
      <c r="AX163" s="413"/>
      <c r="AY163" s="413"/>
      <c r="AZ163" s="413" t="str">
        <f t="shared" si="13"/>
        <v/>
      </c>
      <c r="BB163" s="409"/>
      <c r="BC163" s="410"/>
      <c r="BD163" s="410"/>
      <c r="BE163" s="411"/>
      <c r="BF163" s="412"/>
      <c r="BG163" s="413"/>
      <c r="BH163" s="413"/>
      <c r="BI163" s="413"/>
      <c r="BJ163" s="413"/>
      <c r="BK163" s="413" t="str">
        <f t="shared" si="14"/>
        <v/>
      </c>
    </row>
    <row r="164" spans="1:63" ht="23" x14ac:dyDescent="0.25">
      <c r="A164" s="217" t="str" cm="1">
        <f t="array" ref="A164">IFERROR(INDEX(_xlfn.ANCHORARRAY($R$6),ROW()-5,1),"")</f>
        <v/>
      </c>
      <c r="B164" s="289" t="str" cm="1">
        <f t="array" ref="B164">IFERROR(INDEX(_xlfn.ANCHORARRAY($R$6),ROW()-5,2),"")</f>
        <v/>
      </c>
      <c r="C164" s="218" t="str">
        <f>IF($A164="","",IF($K164="DIESEL",SUMIFS(Table1[Quantity],Table1[Customer],$P$3,Table1[Date],$A164,Table1[Bill No.],$B164),IF($K164="PETROL",SUMIFS(Table14[Quantity],Table14[Customer],$P$3,Table14[Date],$A164,Table14[Bill No.],$B164),IF($K164="XtraGreen",SUMIFS(Table146[Quantity],Table146[Company],$P$3,Table146[Date],$A164,Table146[Bill No.],$B164),""))))</f>
        <v/>
      </c>
      <c r="D164" s="223" t="str">
        <f>IF($A164="","",IF($K164="DIESEL",AVERAGEIFS(Table1[RSP],Table1[Customer],$P$3,Table1[Date],$A164,Table1[Bill No.],$B164),IF($K164="PETROL",AVERAGEIFS(Table14[RSP],Table14[Customer],$P$3,Table14[Date],$A164,Table14[Bill No.],$B164),IF($K164="XtraGreen",AVERAGEIFS(Table146[RSP],Table146[Company],$P$3,Table146[Date],$A164,Table146[Bill No.],$B164),IFERROR($E164/$C164,"")))))</f>
        <v/>
      </c>
      <c r="E164" s="330" t="str">
        <f>IF($A164="","",IF($K164="DIESEL",SUMIFS(Table1[Amount],Table1[Customer],$P$3,Table1[Date],$A164,Table1[Bill No.],$B164),IF($K164="PETROL",SUMIFS(Table14[Amount],Table14[Customer],$P$3,Table14[Date],$A164,Table14[Bill No.],$B164),IF($K164="XtraGreen",SUMIFS(Table146[Amount],Table146[Company],$P$3,Table146[Date],$A164,Table146[Bill No.],$B164),SUMIFS('Other Sale'!$D:$D,'Other Sale'!$E:$E,$P$3,'Other Sale'!$C:$C,$K164,'Other Sale'!$A:$A,$A164)))))</f>
        <v/>
      </c>
      <c r="F164" s="330" t="str" cm="1">
        <f t="array" ref="F164">IF($A164="","",IF($K164="Payment",IFERROR(INDEX(_xlfn._xlws.FILTER(MasterPaid[Amount Paid],(MasterPaid[Customer]=$P$3)*(MasterPaid[Date]=$A164)),COUNTIFS($A$6:$A164,$A164,$K$6:$K164,"Payment")),0),0))</f>
        <v/>
      </c>
      <c r="G164" s="331" t="s">
        <v>13</v>
      </c>
      <c r="H164" s="331"/>
      <c r="I164" s="330" t="str">
        <f t="shared" si="15"/>
        <v/>
      </c>
      <c r="J164" s="275"/>
      <c r="K164" s="289" t="str" cm="1">
        <f t="array" ref="K164">IFERROR(INDEX(_xlfn.ANCHORARRAY($R$6),ROW()-5,3),"")</f>
        <v/>
      </c>
      <c r="L164" s="430" t="str" cm="1">
        <f t="array" ref="L164">IF(OR($A164="",$J164="",$K164&lt;&gt;"DIESEL"),"",_xlfn.LET(_xlpm.qty,N($C164),_xlpm.pos,IF($J164="UNIT 1",$V$5:$V$54,$AC$5:$AC$54),_xlpm.alo,IF($J164="UNIT 1",$W$5:$W$54,$AD$5:$AD$54),_xlpm.usd,SUMIFS($C$6:$C163,$L$6:$L163,_xlpm.pos&amp;"",$J$6:$J163,$J164),_xlpm.bal,N(_xlpm.alo)-_xlpm.usd,IFERROR(INDEX(_xlfn._xlws.FILTER(_xlpm.pos,(_xlpm.pos&lt;&gt;"")*(_xlpm.qty&gt;0)*(_xlpm.bal&gt;=_xlpm.qty)),1),"")))</f>
        <v/>
      </c>
      <c r="M164" s="290"/>
      <c r="AQ164" s="409"/>
      <c r="AR164" s="410"/>
      <c r="AS164" s="410"/>
      <c r="AT164" s="411"/>
      <c r="AU164" s="412"/>
      <c r="AV164" s="413"/>
      <c r="AW164" s="413"/>
      <c r="AX164" s="413"/>
      <c r="AY164" s="413"/>
      <c r="AZ164" s="413" t="str">
        <f t="shared" si="13"/>
        <v/>
      </c>
      <c r="BB164" s="409"/>
      <c r="BC164" s="410"/>
      <c r="BD164" s="410"/>
      <c r="BE164" s="411"/>
      <c r="BF164" s="412"/>
      <c r="BG164" s="413"/>
      <c r="BH164" s="413"/>
      <c r="BI164" s="413"/>
      <c r="BJ164" s="413"/>
      <c r="BK164" s="413" t="str">
        <f t="shared" si="14"/>
        <v/>
      </c>
    </row>
    <row r="165" spans="1:63" ht="23" x14ac:dyDescent="0.25">
      <c r="A165" s="217" t="str" cm="1">
        <f t="array" ref="A165">IFERROR(INDEX(_xlfn.ANCHORARRAY($R$6),ROW()-5,1),"")</f>
        <v/>
      </c>
      <c r="B165" s="289" t="str" cm="1">
        <f t="array" ref="B165">IFERROR(INDEX(_xlfn.ANCHORARRAY($R$6),ROW()-5,2),"")</f>
        <v/>
      </c>
      <c r="C165" s="218" t="str">
        <f>IF($A165="","",IF($K165="DIESEL",SUMIFS(Table1[Quantity],Table1[Customer],$P$3,Table1[Date],$A165,Table1[Bill No.],$B165),IF($K165="PETROL",SUMIFS(Table14[Quantity],Table14[Customer],$P$3,Table14[Date],$A165,Table14[Bill No.],$B165),IF($K165="XtraGreen",SUMIFS(Table146[Quantity],Table146[Company],$P$3,Table146[Date],$A165,Table146[Bill No.],$B165),""))))</f>
        <v/>
      </c>
      <c r="D165" s="223" t="str">
        <f>IF($A165="","",IF($K165="DIESEL",AVERAGEIFS(Table1[RSP],Table1[Customer],$P$3,Table1[Date],$A165,Table1[Bill No.],$B165),IF($K165="PETROL",AVERAGEIFS(Table14[RSP],Table14[Customer],$P$3,Table14[Date],$A165,Table14[Bill No.],$B165),IF($K165="XtraGreen",AVERAGEIFS(Table146[RSP],Table146[Company],$P$3,Table146[Date],$A165,Table146[Bill No.],$B165),IFERROR($E165/$C165,"")))))</f>
        <v/>
      </c>
      <c r="E165" s="330" t="str">
        <f>IF($A165="","",IF($K165="DIESEL",SUMIFS(Table1[Amount],Table1[Customer],$P$3,Table1[Date],$A165,Table1[Bill No.],$B165),IF($K165="PETROL",SUMIFS(Table14[Amount],Table14[Customer],$P$3,Table14[Date],$A165,Table14[Bill No.],$B165),IF($K165="XtraGreen",SUMIFS(Table146[Amount],Table146[Company],$P$3,Table146[Date],$A165,Table146[Bill No.],$B165),SUMIFS('Other Sale'!$D:$D,'Other Sale'!$E:$E,$P$3,'Other Sale'!$C:$C,$K165,'Other Sale'!$A:$A,$A165)))))</f>
        <v/>
      </c>
      <c r="F165" s="330" t="str" cm="1">
        <f t="array" ref="F165">IF($A165="","",IF($K165="Payment",IFERROR(INDEX(_xlfn._xlws.FILTER(MasterPaid[Amount Paid],(MasterPaid[Customer]=$P$3)*(MasterPaid[Date]=$A165)),COUNTIFS($A$6:$A165,$A165,$K$6:$K165,"Payment")),0),0))</f>
        <v/>
      </c>
      <c r="G165" s="331" t="s">
        <v>13</v>
      </c>
      <c r="H165" s="331"/>
      <c r="I165" s="330" t="str">
        <f t="shared" si="15"/>
        <v/>
      </c>
      <c r="J165" s="275"/>
      <c r="K165" s="289" t="str" cm="1">
        <f t="array" ref="K165">IFERROR(INDEX(_xlfn.ANCHORARRAY($R$6),ROW()-5,3),"")</f>
        <v/>
      </c>
      <c r="L165" s="430" t="str" cm="1">
        <f t="array" ref="L165">IF(OR($A165="",$J165="",$K165&lt;&gt;"DIESEL"),"",_xlfn.LET(_xlpm.qty,N($C165),_xlpm.pos,IF($J165="UNIT 1",$V$5:$V$54,$AC$5:$AC$54),_xlpm.alo,IF($J165="UNIT 1",$W$5:$W$54,$AD$5:$AD$54),_xlpm.usd,SUMIFS($C$6:$C164,$L$6:$L164,_xlpm.pos&amp;"",$J$6:$J164,$J165),_xlpm.bal,N(_xlpm.alo)-_xlpm.usd,IFERROR(INDEX(_xlfn._xlws.FILTER(_xlpm.pos,(_xlpm.pos&lt;&gt;"")*(_xlpm.qty&gt;0)*(_xlpm.bal&gt;=_xlpm.qty)),1),"")))</f>
        <v/>
      </c>
      <c r="M165" s="290"/>
      <c r="AQ165" s="409"/>
      <c r="AR165" s="410"/>
      <c r="AS165" s="410"/>
      <c r="AT165" s="411"/>
      <c r="AU165" s="412"/>
      <c r="AV165" s="413"/>
      <c r="AW165" s="413"/>
      <c r="AX165" s="413"/>
      <c r="AY165" s="413"/>
      <c r="AZ165" s="413" t="str">
        <f t="shared" si="13"/>
        <v/>
      </c>
      <c r="BB165" s="409"/>
      <c r="BC165" s="410"/>
      <c r="BD165" s="410"/>
      <c r="BE165" s="411"/>
      <c r="BF165" s="412"/>
      <c r="BG165" s="413"/>
      <c r="BH165" s="413"/>
      <c r="BI165" s="413"/>
      <c r="BJ165" s="413"/>
      <c r="BK165" s="413" t="str">
        <f t="shared" si="14"/>
        <v/>
      </c>
    </row>
    <row r="166" spans="1:63" ht="23" x14ac:dyDescent="0.25">
      <c r="A166" s="217" t="str" cm="1">
        <f t="array" ref="A166">IFERROR(INDEX(_xlfn.ANCHORARRAY($R$6),ROW()-5,1),"")</f>
        <v/>
      </c>
      <c r="B166" s="289" t="str" cm="1">
        <f t="array" ref="B166">IFERROR(INDEX(_xlfn.ANCHORARRAY($R$6),ROW()-5,2),"")</f>
        <v/>
      </c>
      <c r="C166" s="218" t="str">
        <f>IF($A166="","",IF($K166="DIESEL",SUMIFS(Table1[Quantity],Table1[Customer],$P$3,Table1[Date],$A166,Table1[Bill No.],$B166),IF($K166="PETROL",SUMIFS(Table14[Quantity],Table14[Customer],$P$3,Table14[Date],$A166,Table14[Bill No.],$B166),IF($K166="XtraGreen",SUMIFS(Table146[Quantity],Table146[Company],$P$3,Table146[Date],$A166,Table146[Bill No.],$B166),""))))</f>
        <v/>
      </c>
      <c r="D166" s="223" t="str">
        <f>IF($A166="","",IF($K166="DIESEL",AVERAGEIFS(Table1[RSP],Table1[Customer],$P$3,Table1[Date],$A166,Table1[Bill No.],$B166),IF($K166="PETROL",AVERAGEIFS(Table14[RSP],Table14[Customer],$P$3,Table14[Date],$A166,Table14[Bill No.],$B166),IF($K166="XtraGreen",AVERAGEIFS(Table146[RSP],Table146[Company],$P$3,Table146[Date],$A166,Table146[Bill No.],$B166),IFERROR($E166/$C166,"")))))</f>
        <v/>
      </c>
      <c r="E166" s="330" t="str">
        <f>IF($A166="","",IF($K166="DIESEL",SUMIFS(Table1[Amount],Table1[Customer],$P$3,Table1[Date],$A166,Table1[Bill No.],$B166),IF($K166="PETROL",SUMIFS(Table14[Amount],Table14[Customer],$P$3,Table14[Date],$A166,Table14[Bill No.],$B166),IF($K166="XtraGreen",SUMIFS(Table146[Amount],Table146[Company],$P$3,Table146[Date],$A166,Table146[Bill No.],$B166),SUMIFS('Other Sale'!$D:$D,'Other Sale'!$E:$E,$P$3,'Other Sale'!$C:$C,$K166,'Other Sale'!$A:$A,$A166)))))</f>
        <v/>
      </c>
      <c r="F166" s="330" t="str" cm="1">
        <f t="array" ref="F166">IF($A166="","",IF($K166="Payment",IFERROR(INDEX(_xlfn._xlws.FILTER(MasterPaid[Amount Paid],(MasterPaid[Customer]=$P$3)*(MasterPaid[Date]=$A166)),COUNTIFS($A$6:$A166,$A166,$K$6:$K166,"Payment")),0),0))</f>
        <v/>
      </c>
      <c r="G166" s="331" t="s">
        <v>13</v>
      </c>
      <c r="H166" s="331"/>
      <c r="I166" s="330" t="str">
        <f t="shared" si="15"/>
        <v/>
      </c>
      <c r="J166" s="275"/>
      <c r="K166" s="289" t="str" cm="1">
        <f t="array" ref="K166">IFERROR(INDEX(_xlfn.ANCHORARRAY($R$6),ROW()-5,3),"")</f>
        <v/>
      </c>
      <c r="L166" s="430" t="str" cm="1">
        <f t="array" ref="L166">IF(OR($A166="",$J166="",$K166&lt;&gt;"DIESEL"),"",_xlfn.LET(_xlpm.qty,N($C166),_xlpm.pos,IF($J166="UNIT 1",$V$5:$V$54,$AC$5:$AC$54),_xlpm.alo,IF($J166="UNIT 1",$W$5:$W$54,$AD$5:$AD$54),_xlpm.usd,SUMIFS($C$6:$C165,$L$6:$L165,_xlpm.pos&amp;"",$J$6:$J165,$J166),_xlpm.bal,N(_xlpm.alo)-_xlpm.usd,IFERROR(INDEX(_xlfn._xlws.FILTER(_xlpm.pos,(_xlpm.pos&lt;&gt;"")*(_xlpm.qty&gt;0)*(_xlpm.bal&gt;=_xlpm.qty)),1),"")))</f>
        <v/>
      </c>
      <c r="M166" s="290"/>
      <c r="AQ166" s="409"/>
      <c r="AR166" s="410"/>
      <c r="AS166" s="410"/>
      <c r="AT166" s="411"/>
      <c r="AU166" s="412"/>
      <c r="AV166" s="413"/>
      <c r="AW166" s="413"/>
      <c r="AX166" s="413"/>
      <c r="AY166" s="413"/>
      <c r="AZ166" s="413" t="str">
        <f t="shared" si="13"/>
        <v/>
      </c>
      <c r="BB166" s="409"/>
      <c r="BC166" s="410"/>
      <c r="BD166" s="410"/>
      <c r="BE166" s="411"/>
      <c r="BF166" s="412"/>
      <c r="BG166" s="413"/>
      <c r="BH166" s="413"/>
      <c r="BI166" s="413"/>
      <c r="BJ166" s="413"/>
      <c r="BK166" s="413" t="str">
        <f t="shared" si="14"/>
        <v/>
      </c>
    </row>
    <row r="167" spans="1:63" ht="23" x14ac:dyDescent="0.25">
      <c r="A167" s="217" t="str" cm="1">
        <f t="array" ref="A167">IFERROR(INDEX(_xlfn.ANCHORARRAY($R$6),ROW()-5,1),"")</f>
        <v/>
      </c>
      <c r="B167" s="289" t="str" cm="1">
        <f t="array" ref="B167">IFERROR(INDEX(_xlfn.ANCHORARRAY($R$6),ROW()-5,2),"")</f>
        <v/>
      </c>
      <c r="C167" s="218" t="str">
        <f>IF($A167="","",IF($K167="DIESEL",SUMIFS(Table1[Quantity],Table1[Customer],$P$3,Table1[Date],$A167,Table1[Bill No.],$B167),IF($K167="PETROL",SUMIFS(Table14[Quantity],Table14[Customer],$P$3,Table14[Date],$A167,Table14[Bill No.],$B167),IF($K167="XtraGreen",SUMIFS(Table146[Quantity],Table146[Company],$P$3,Table146[Date],$A167,Table146[Bill No.],$B167),""))))</f>
        <v/>
      </c>
      <c r="D167" s="223" t="str">
        <f>IF($A167="","",IF($K167="DIESEL",AVERAGEIFS(Table1[RSP],Table1[Customer],$P$3,Table1[Date],$A167,Table1[Bill No.],$B167),IF($K167="PETROL",AVERAGEIFS(Table14[RSP],Table14[Customer],$P$3,Table14[Date],$A167,Table14[Bill No.],$B167),IF($K167="XtraGreen",AVERAGEIFS(Table146[RSP],Table146[Company],$P$3,Table146[Date],$A167,Table146[Bill No.],$B167),IFERROR($E167/$C167,"")))))</f>
        <v/>
      </c>
      <c r="E167" s="330" t="str">
        <f>IF($A167="","",IF($K167="DIESEL",SUMIFS(Table1[Amount],Table1[Customer],$P$3,Table1[Date],$A167,Table1[Bill No.],$B167),IF($K167="PETROL",SUMIFS(Table14[Amount],Table14[Customer],$P$3,Table14[Date],$A167,Table14[Bill No.],$B167),IF($K167="XtraGreen",SUMIFS(Table146[Amount],Table146[Company],$P$3,Table146[Date],$A167,Table146[Bill No.],$B167),SUMIFS('Other Sale'!$D:$D,'Other Sale'!$E:$E,$P$3,'Other Sale'!$C:$C,$K167,'Other Sale'!$A:$A,$A167)))))</f>
        <v/>
      </c>
      <c r="F167" s="330" t="str" cm="1">
        <f t="array" ref="F167">IF($A167="","",IF($K167="Payment",IFERROR(INDEX(_xlfn._xlws.FILTER(MasterPaid[Amount Paid],(MasterPaid[Customer]=$P$3)*(MasterPaid[Date]=$A167)),COUNTIFS($A$6:$A167,$A167,$K$6:$K167,"Payment")),0),0))</f>
        <v/>
      </c>
      <c r="G167" s="331" t="s">
        <v>13</v>
      </c>
      <c r="H167" s="331"/>
      <c r="I167" s="330" t="str">
        <f t="shared" si="15"/>
        <v/>
      </c>
      <c r="J167" s="275"/>
      <c r="K167" s="289" t="str" cm="1">
        <f t="array" ref="K167">IFERROR(INDEX(_xlfn.ANCHORARRAY($R$6),ROW()-5,3),"")</f>
        <v/>
      </c>
      <c r="L167" s="430" t="str" cm="1">
        <f t="array" ref="L167">IF(OR($A167="",$J167="",$K167&lt;&gt;"DIESEL"),"",_xlfn.LET(_xlpm.qty,N($C167),_xlpm.pos,IF($J167="UNIT 1",$V$5:$V$54,$AC$5:$AC$54),_xlpm.alo,IF($J167="UNIT 1",$W$5:$W$54,$AD$5:$AD$54),_xlpm.usd,SUMIFS($C$6:$C166,$L$6:$L166,_xlpm.pos&amp;"",$J$6:$J166,$J167),_xlpm.bal,N(_xlpm.alo)-_xlpm.usd,IFERROR(INDEX(_xlfn._xlws.FILTER(_xlpm.pos,(_xlpm.pos&lt;&gt;"")*(_xlpm.qty&gt;0)*(_xlpm.bal&gt;=_xlpm.qty)),1),"")))</f>
        <v/>
      </c>
      <c r="M167" s="290"/>
      <c r="AQ167" s="409"/>
      <c r="AR167" s="410"/>
      <c r="AS167" s="410"/>
      <c r="AT167" s="411"/>
      <c r="AU167" s="412"/>
      <c r="AV167" s="413"/>
      <c r="AW167" s="413"/>
      <c r="AX167" s="413"/>
      <c r="AY167" s="413"/>
      <c r="AZ167" s="413" t="str">
        <f t="shared" si="13"/>
        <v/>
      </c>
      <c r="BB167" s="409"/>
      <c r="BC167" s="410"/>
      <c r="BD167" s="410"/>
      <c r="BE167" s="411"/>
      <c r="BF167" s="412"/>
      <c r="BG167" s="413"/>
      <c r="BH167" s="413"/>
      <c r="BI167" s="413"/>
      <c r="BJ167" s="413"/>
      <c r="BK167" s="413" t="str">
        <f t="shared" si="14"/>
        <v/>
      </c>
    </row>
    <row r="168" spans="1:63" ht="23" x14ac:dyDescent="0.25">
      <c r="A168" s="217" t="str" cm="1">
        <f t="array" ref="A168">IFERROR(INDEX(_xlfn.ANCHORARRAY($R$6),ROW()-5,1),"")</f>
        <v/>
      </c>
      <c r="B168" s="289" t="str" cm="1">
        <f t="array" ref="B168">IFERROR(INDEX(_xlfn.ANCHORARRAY($R$6),ROW()-5,2),"")</f>
        <v/>
      </c>
      <c r="C168" s="218" t="str">
        <f>IF($A168="","",IF($K168="DIESEL",SUMIFS(Table1[Quantity],Table1[Customer],$P$3,Table1[Date],$A168,Table1[Bill No.],$B168),IF($K168="PETROL",SUMIFS(Table14[Quantity],Table14[Customer],$P$3,Table14[Date],$A168,Table14[Bill No.],$B168),IF($K168="XtraGreen",SUMIFS(Table146[Quantity],Table146[Company],$P$3,Table146[Date],$A168,Table146[Bill No.],$B168),""))))</f>
        <v/>
      </c>
      <c r="D168" s="223" t="str">
        <f>IF($A168="","",IF($K168="DIESEL",AVERAGEIFS(Table1[RSP],Table1[Customer],$P$3,Table1[Date],$A168,Table1[Bill No.],$B168),IF($K168="PETROL",AVERAGEIFS(Table14[RSP],Table14[Customer],$P$3,Table14[Date],$A168,Table14[Bill No.],$B168),IF($K168="XtraGreen",AVERAGEIFS(Table146[RSP],Table146[Company],$P$3,Table146[Date],$A168,Table146[Bill No.],$B168),IFERROR($E168/$C168,"")))))</f>
        <v/>
      </c>
      <c r="E168" s="330" t="str">
        <f>IF($A168="","",IF($K168="DIESEL",SUMIFS(Table1[Amount],Table1[Customer],$P$3,Table1[Date],$A168,Table1[Bill No.],$B168),IF($K168="PETROL",SUMIFS(Table14[Amount],Table14[Customer],$P$3,Table14[Date],$A168,Table14[Bill No.],$B168),IF($K168="XtraGreen",SUMIFS(Table146[Amount],Table146[Company],$P$3,Table146[Date],$A168,Table146[Bill No.],$B168),SUMIFS('Other Sale'!$D:$D,'Other Sale'!$E:$E,$P$3,'Other Sale'!$C:$C,$K168,'Other Sale'!$A:$A,$A168)))))</f>
        <v/>
      </c>
      <c r="F168" s="330" t="str" cm="1">
        <f t="array" ref="F168">IF($A168="","",IF($K168="Payment",IFERROR(INDEX(_xlfn._xlws.FILTER(MasterPaid[Amount Paid],(MasterPaid[Customer]=$P$3)*(MasterPaid[Date]=$A168)),COUNTIFS($A$6:$A168,$A168,$K$6:$K168,"Payment")),0),0))</f>
        <v/>
      </c>
      <c r="G168" s="331" t="s">
        <v>13</v>
      </c>
      <c r="H168" s="331"/>
      <c r="I168" s="330" t="str">
        <f t="shared" si="15"/>
        <v/>
      </c>
      <c r="J168" s="275"/>
      <c r="K168" s="289" t="str" cm="1">
        <f t="array" ref="K168">IFERROR(INDEX(_xlfn.ANCHORARRAY($R$6),ROW()-5,3),"")</f>
        <v/>
      </c>
      <c r="L168" s="430" t="str" cm="1">
        <f t="array" ref="L168">IF(OR($A168="",$J168="",$K168&lt;&gt;"DIESEL"),"",_xlfn.LET(_xlpm.qty,N($C168),_xlpm.pos,IF($J168="UNIT 1",$V$5:$V$54,$AC$5:$AC$54),_xlpm.alo,IF($J168="UNIT 1",$W$5:$W$54,$AD$5:$AD$54),_xlpm.usd,SUMIFS($C$6:$C167,$L$6:$L167,_xlpm.pos&amp;"",$J$6:$J167,$J168),_xlpm.bal,N(_xlpm.alo)-_xlpm.usd,IFERROR(INDEX(_xlfn._xlws.FILTER(_xlpm.pos,(_xlpm.pos&lt;&gt;"")*(_xlpm.qty&gt;0)*(_xlpm.bal&gt;=_xlpm.qty)),1),"")))</f>
        <v/>
      </c>
      <c r="M168" s="290"/>
      <c r="AQ168" s="409"/>
      <c r="AR168" s="410"/>
      <c r="AS168" s="410"/>
      <c r="AT168" s="411"/>
      <c r="AU168" s="412"/>
      <c r="AV168" s="413"/>
      <c r="AW168" s="413"/>
      <c r="AX168" s="413"/>
      <c r="AY168" s="413"/>
      <c r="AZ168" s="413" t="str">
        <f t="shared" si="13"/>
        <v/>
      </c>
      <c r="BB168" s="409"/>
      <c r="BC168" s="410"/>
      <c r="BD168" s="410"/>
      <c r="BE168" s="411"/>
      <c r="BF168" s="412"/>
      <c r="BG168" s="413"/>
      <c r="BH168" s="413"/>
      <c r="BI168" s="413"/>
      <c r="BJ168" s="413"/>
      <c r="BK168" s="413" t="str">
        <f t="shared" si="14"/>
        <v/>
      </c>
    </row>
    <row r="169" spans="1:63" ht="23" x14ac:dyDescent="0.25">
      <c r="A169" s="217" t="str" cm="1">
        <f t="array" ref="A169">IFERROR(INDEX(_xlfn.ANCHORARRAY($R$6),ROW()-5,1),"")</f>
        <v/>
      </c>
      <c r="B169" s="289" t="str" cm="1">
        <f t="array" ref="B169">IFERROR(INDEX(_xlfn.ANCHORARRAY($R$6),ROW()-5,2),"")</f>
        <v/>
      </c>
      <c r="C169" s="218" t="str">
        <f>IF($A169="","",IF($K169="DIESEL",SUMIFS(Table1[Quantity],Table1[Customer],$P$3,Table1[Date],$A169,Table1[Bill No.],$B169),IF($K169="PETROL",SUMIFS(Table14[Quantity],Table14[Customer],$P$3,Table14[Date],$A169,Table14[Bill No.],$B169),IF($K169="XtraGreen",SUMIFS(Table146[Quantity],Table146[Company],$P$3,Table146[Date],$A169,Table146[Bill No.],$B169),""))))</f>
        <v/>
      </c>
      <c r="D169" s="223" t="str">
        <f>IF($A169="","",IF($K169="DIESEL",AVERAGEIFS(Table1[RSP],Table1[Customer],$P$3,Table1[Date],$A169,Table1[Bill No.],$B169),IF($K169="PETROL",AVERAGEIFS(Table14[RSP],Table14[Customer],$P$3,Table14[Date],$A169,Table14[Bill No.],$B169),IF($K169="XtraGreen",AVERAGEIFS(Table146[RSP],Table146[Company],$P$3,Table146[Date],$A169,Table146[Bill No.],$B169),IFERROR($E169/$C169,"")))))</f>
        <v/>
      </c>
      <c r="E169" s="330" t="str">
        <f>IF($A169="","",IF($K169="DIESEL",SUMIFS(Table1[Amount],Table1[Customer],$P$3,Table1[Date],$A169,Table1[Bill No.],$B169),IF($K169="PETROL",SUMIFS(Table14[Amount],Table14[Customer],$P$3,Table14[Date],$A169,Table14[Bill No.],$B169),IF($K169="XtraGreen",SUMIFS(Table146[Amount],Table146[Company],$P$3,Table146[Date],$A169,Table146[Bill No.],$B169),SUMIFS('Other Sale'!$D:$D,'Other Sale'!$E:$E,$P$3,'Other Sale'!$C:$C,$K169,'Other Sale'!$A:$A,$A169)))))</f>
        <v/>
      </c>
      <c r="F169" s="330" t="str" cm="1">
        <f t="array" ref="F169">IF($A169="","",IF($K169="Payment",IFERROR(INDEX(_xlfn._xlws.FILTER(MasterPaid[Amount Paid],(MasterPaid[Customer]=$P$3)*(MasterPaid[Date]=$A169)),COUNTIFS($A$6:$A169,$A169,$K$6:$K169,"Payment")),0),0))</f>
        <v/>
      </c>
      <c r="G169" s="331" t="s">
        <v>13</v>
      </c>
      <c r="H169" s="331"/>
      <c r="I169" s="330" t="str">
        <f t="shared" si="15"/>
        <v/>
      </c>
      <c r="J169" s="275"/>
      <c r="K169" s="289" t="str" cm="1">
        <f t="array" ref="K169">IFERROR(INDEX(_xlfn.ANCHORARRAY($R$6),ROW()-5,3),"")</f>
        <v/>
      </c>
      <c r="L169" s="430" t="str" cm="1">
        <f t="array" ref="L169">IF(OR($A169="",$J169="",$K169&lt;&gt;"DIESEL"),"",_xlfn.LET(_xlpm.qty,N($C169),_xlpm.pos,IF($J169="UNIT 1",$V$5:$V$54,$AC$5:$AC$54),_xlpm.alo,IF($J169="UNIT 1",$W$5:$W$54,$AD$5:$AD$54),_xlpm.usd,SUMIFS($C$6:$C168,$L$6:$L168,_xlpm.pos&amp;"",$J$6:$J168,$J169),_xlpm.bal,N(_xlpm.alo)-_xlpm.usd,IFERROR(INDEX(_xlfn._xlws.FILTER(_xlpm.pos,(_xlpm.pos&lt;&gt;"")*(_xlpm.qty&gt;0)*(_xlpm.bal&gt;=_xlpm.qty)),1),"")))</f>
        <v/>
      </c>
      <c r="M169" s="290"/>
      <c r="AQ169" s="409"/>
      <c r="AR169" s="410"/>
      <c r="AS169" s="410"/>
      <c r="AT169" s="411"/>
      <c r="AU169" s="412"/>
      <c r="AV169" s="413"/>
      <c r="AW169" s="413"/>
      <c r="AX169" s="413"/>
      <c r="AY169" s="413"/>
      <c r="AZ169" s="413" t="str">
        <f t="shared" si="13"/>
        <v/>
      </c>
      <c r="BB169" s="409"/>
      <c r="BC169" s="410"/>
      <c r="BD169" s="410"/>
      <c r="BE169" s="411"/>
      <c r="BF169" s="412"/>
      <c r="BG169" s="413"/>
      <c r="BH169" s="413"/>
      <c r="BI169" s="413"/>
      <c r="BJ169" s="413"/>
      <c r="BK169" s="413" t="str">
        <f t="shared" si="14"/>
        <v/>
      </c>
    </row>
    <row r="170" spans="1:63" ht="23" x14ac:dyDescent="0.25">
      <c r="A170" s="217" t="str" cm="1">
        <f t="array" ref="A170">IFERROR(INDEX(_xlfn.ANCHORARRAY($R$6),ROW()-5,1),"")</f>
        <v/>
      </c>
      <c r="B170" s="289" t="str" cm="1">
        <f t="array" ref="B170">IFERROR(INDEX(_xlfn.ANCHORARRAY($R$6),ROW()-5,2),"")</f>
        <v/>
      </c>
      <c r="C170" s="218" t="str">
        <f>IF($A170="","",IF($K170="DIESEL",SUMIFS(Table1[Quantity],Table1[Customer],$P$3,Table1[Date],$A170,Table1[Bill No.],$B170),IF($K170="PETROL",SUMIFS(Table14[Quantity],Table14[Customer],$P$3,Table14[Date],$A170,Table14[Bill No.],$B170),IF($K170="XtraGreen",SUMIFS(Table146[Quantity],Table146[Company],$P$3,Table146[Date],$A170,Table146[Bill No.],$B170),""))))</f>
        <v/>
      </c>
      <c r="D170" s="223" t="str">
        <f>IF($A170="","",IF($K170="DIESEL",AVERAGEIFS(Table1[RSP],Table1[Customer],$P$3,Table1[Date],$A170,Table1[Bill No.],$B170),IF($K170="PETROL",AVERAGEIFS(Table14[RSP],Table14[Customer],$P$3,Table14[Date],$A170,Table14[Bill No.],$B170),IF($K170="XtraGreen",AVERAGEIFS(Table146[RSP],Table146[Company],$P$3,Table146[Date],$A170,Table146[Bill No.],$B170),IFERROR($E170/$C170,"")))))</f>
        <v/>
      </c>
      <c r="E170" s="330" t="str">
        <f>IF($A170="","",IF($K170="DIESEL",SUMIFS(Table1[Amount],Table1[Customer],$P$3,Table1[Date],$A170,Table1[Bill No.],$B170),IF($K170="PETROL",SUMIFS(Table14[Amount],Table14[Customer],$P$3,Table14[Date],$A170,Table14[Bill No.],$B170),IF($K170="XtraGreen",SUMIFS(Table146[Amount],Table146[Company],$P$3,Table146[Date],$A170,Table146[Bill No.],$B170),SUMIFS('Other Sale'!$D:$D,'Other Sale'!$E:$E,$P$3,'Other Sale'!$C:$C,$K170,'Other Sale'!$A:$A,$A170)))))</f>
        <v/>
      </c>
      <c r="F170" s="330" t="str" cm="1">
        <f t="array" ref="F170">IF($A170="","",IF($K170="Payment",IFERROR(INDEX(_xlfn._xlws.FILTER(MasterPaid[Amount Paid],(MasterPaid[Customer]=$P$3)*(MasterPaid[Date]=$A170)),COUNTIFS($A$6:$A170,$A170,$K$6:$K170,"Payment")),0),0))</f>
        <v/>
      </c>
      <c r="G170" s="331" t="s">
        <v>13</v>
      </c>
      <c r="H170" s="331"/>
      <c r="I170" s="330" t="str">
        <f t="shared" si="15"/>
        <v/>
      </c>
      <c r="J170" s="275"/>
      <c r="K170" s="289" t="str" cm="1">
        <f t="array" ref="K170">IFERROR(INDEX(_xlfn.ANCHORARRAY($R$6),ROW()-5,3),"")</f>
        <v/>
      </c>
      <c r="L170" s="430" t="str" cm="1">
        <f t="array" ref="L170">IF(OR($A170="",$J170="",$K170&lt;&gt;"DIESEL"),"",_xlfn.LET(_xlpm.qty,N($C170),_xlpm.pos,IF($J170="UNIT 1",$V$5:$V$54,$AC$5:$AC$54),_xlpm.alo,IF($J170="UNIT 1",$W$5:$W$54,$AD$5:$AD$54),_xlpm.usd,SUMIFS($C$6:$C169,$L$6:$L169,_xlpm.pos&amp;"",$J$6:$J169,$J170),_xlpm.bal,N(_xlpm.alo)-_xlpm.usd,IFERROR(INDEX(_xlfn._xlws.FILTER(_xlpm.pos,(_xlpm.pos&lt;&gt;"")*(_xlpm.qty&gt;0)*(_xlpm.bal&gt;=_xlpm.qty)),1),"")))</f>
        <v/>
      </c>
      <c r="M170" s="290"/>
      <c r="AQ170" s="409"/>
      <c r="AR170" s="410"/>
      <c r="AS170" s="410"/>
      <c r="AT170" s="411"/>
      <c r="AU170" s="412"/>
      <c r="AV170" s="413"/>
      <c r="AW170" s="413"/>
      <c r="AX170" s="413"/>
      <c r="AY170" s="413"/>
      <c r="AZ170" s="413" t="str">
        <f t="shared" si="13"/>
        <v/>
      </c>
      <c r="BB170" s="409"/>
      <c r="BC170" s="410"/>
      <c r="BD170" s="410"/>
      <c r="BE170" s="411"/>
      <c r="BF170" s="412"/>
      <c r="BG170" s="413"/>
      <c r="BH170" s="413"/>
      <c r="BI170" s="413"/>
      <c r="BJ170" s="413"/>
      <c r="BK170" s="413" t="str">
        <f t="shared" si="14"/>
        <v/>
      </c>
    </row>
    <row r="171" spans="1:63" ht="23" x14ac:dyDescent="0.25">
      <c r="A171" s="217" t="str" cm="1">
        <f t="array" ref="A171">IFERROR(INDEX(_xlfn.ANCHORARRAY($R$6),ROW()-5,1),"")</f>
        <v/>
      </c>
      <c r="B171" s="289" t="str" cm="1">
        <f t="array" ref="B171">IFERROR(INDEX(_xlfn.ANCHORARRAY($R$6),ROW()-5,2),"")</f>
        <v/>
      </c>
      <c r="C171" s="218" t="str">
        <f>IF($A171="","",IF($K171="DIESEL",SUMIFS(Table1[Quantity],Table1[Customer],$P$3,Table1[Date],$A171,Table1[Bill No.],$B171),IF($K171="PETROL",SUMIFS(Table14[Quantity],Table14[Customer],$P$3,Table14[Date],$A171,Table14[Bill No.],$B171),IF($K171="XtraGreen",SUMIFS(Table146[Quantity],Table146[Company],$P$3,Table146[Date],$A171,Table146[Bill No.],$B171),""))))</f>
        <v/>
      </c>
      <c r="D171" s="223" t="str">
        <f>IF($A171="","",IF($K171="DIESEL",AVERAGEIFS(Table1[RSP],Table1[Customer],$P$3,Table1[Date],$A171,Table1[Bill No.],$B171),IF($K171="PETROL",AVERAGEIFS(Table14[RSP],Table14[Customer],$P$3,Table14[Date],$A171,Table14[Bill No.],$B171),IF($K171="XtraGreen",AVERAGEIFS(Table146[RSP],Table146[Company],$P$3,Table146[Date],$A171,Table146[Bill No.],$B171),IFERROR($E171/$C171,"")))))</f>
        <v/>
      </c>
      <c r="E171" s="330" t="str">
        <f>IF($A171="","",IF($K171="DIESEL",SUMIFS(Table1[Amount],Table1[Customer],$P$3,Table1[Date],$A171,Table1[Bill No.],$B171),IF($K171="PETROL",SUMIFS(Table14[Amount],Table14[Customer],$P$3,Table14[Date],$A171,Table14[Bill No.],$B171),IF($K171="XtraGreen",SUMIFS(Table146[Amount],Table146[Company],$P$3,Table146[Date],$A171,Table146[Bill No.],$B171),SUMIFS('Other Sale'!$D:$D,'Other Sale'!$E:$E,$P$3,'Other Sale'!$C:$C,$K171,'Other Sale'!$A:$A,$A171)))))</f>
        <v/>
      </c>
      <c r="F171" s="330" t="str" cm="1">
        <f t="array" ref="F171">IF($A171="","",IF($K171="Payment",IFERROR(INDEX(_xlfn._xlws.FILTER(MasterPaid[Amount Paid],(MasterPaid[Customer]=$P$3)*(MasterPaid[Date]=$A171)),COUNTIFS($A$6:$A171,$A171,$K$6:$K171,"Payment")),0),0))</f>
        <v/>
      </c>
      <c r="G171" s="331" t="s">
        <v>13</v>
      </c>
      <c r="H171" s="331"/>
      <c r="I171" s="330" t="str">
        <f t="shared" si="15"/>
        <v/>
      </c>
      <c r="J171" s="275"/>
      <c r="K171" s="289" t="str" cm="1">
        <f t="array" ref="K171">IFERROR(INDEX(_xlfn.ANCHORARRAY($R$6),ROW()-5,3),"")</f>
        <v/>
      </c>
      <c r="L171" s="430" t="str" cm="1">
        <f t="array" ref="L171">IF(OR($A171="",$J171="",$K171&lt;&gt;"DIESEL"),"",_xlfn.LET(_xlpm.qty,N($C171),_xlpm.pos,IF($J171="UNIT 1",$V$5:$V$54,$AC$5:$AC$54),_xlpm.alo,IF($J171="UNIT 1",$W$5:$W$54,$AD$5:$AD$54),_xlpm.usd,SUMIFS($C$6:$C170,$L$6:$L170,_xlpm.pos&amp;"",$J$6:$J170,$J171),_xlpm.bal,N(_xlpm.alo)-_xlpm.usd,IFERROR(INDEX(_xlfn._xlws.FILTER(_xlpm.pos,(_xlpm.pos&lt;&gt;"")*(_xlpm.qty&gt;0)*(_xlpm.bal&gt;=_xlpm.qty)),1),"")))</f>
        <v/>
      </c>
      <c r="M171" s="290"/>
      <c r="AQ171" s="409"/>
      <c r="AR171" s="410"/>
      <c r="AS171" s="410"/>
      <c r="AT171" s="411"/>
      <c r="AU171" s="412"/>
      <c r="AV171" s="413"/>
      <c r="AW171" s="413"/>
      <c r="AX171" s="413"/>
      <c r="AY171" s="413"/>
      <c r="AZ171" s="413" t="str">
        <f t="shared" si="13"/>
        <v/>
      </c>
      <c r="BB171" s="409"/>
      <c r="BC171" s="410"/>
      <c r="BD171" s="410"/>
      <c r="BE171" s="411"/>
      <c r="BF171" s="412"/>
      <c r="BG171" s="413"/>
      <c r="BH171" s="413"/>
      <c r="BI171" s="413"/>
      <c r="BJ171" s="413"/>
      <c r="BK171" s="413" t="str">
        <f t="shared" si="14"/>
        <v/>
      </c>
    </row>
    <row r="172" spans="1:63" ht="23" x14ac:dyDescent="0.25">
      <c r="A172" s="217" t="str" cm="1">
        <f t="array" ref="A172">IFERROR(INDEX(_xlfn.ANCHORARRAY($R$6),ROW()-5,1),"")</f>
        <v/>
      </c>
      <c r="B172" s="289" t="str" cm="1">
        <f t="array" ref="B172">IFERROR(INDEX(_xlfn.ANCHORARRAY($R$6),ROW()-5,2),"")</f>
        <v/>
      </c>
      <c r="C172" s="218" t="str">
        <f>IF($A172="","",IF($K172="DIESEL",SUMIFS(Table1[Quantity],Table1[Customer],$P$3,Table1[Date],$A172,Table1[Bill No.],$B172),IF($K172="PETROL",SUMIFS(Table14[Quantity],Table14[Customer],$P$3,Table14[Date],$A172,Table14[Bill No.],$B172),IF($K172="XtraGreen",SUMIFS(Table146[Quantity],Table146[Company],$P$3,Table146[Date],$A172,Table146[Bill No.],$B172),""))))</f>
        <v/>
      </c>
      <c r="D172" s="223" t="str">
        <f>IF($A172="","",IF($K172="DIESEL",AVERAGEIFS(Table1[RSP],Table1[Customer],$P$3,Table1[Date],$A172,Table1[Bill No.],$B172),IF($K172="PETROL",AVERAGEIFS(Table14[RSP],Table14[Customer],$P$3,Table14[Date],$A172,Table14[Bill No.],$B172),IF($K172="XtraGreen",AVERAGEIFS(Table146[RSP],Table146[Company],$P$3,Table146[Date],$A172,Table146[Bill No.],$B172),IFERROR($E172/$C172,"")))))</f>
        <v/>
      </c>
      <c r="E172" s="330" t="str">
        <f>IF($A172="","",IF($K172="DIESEL",SUMIFS(Table1[Amount],Table1[Customer],$P$3,Table1[Date],$A172,Table1[Bill No.],$B172),IF($K172="PETROL",SUMIFS(Table14[Amount],Table14[Customer],$P$3,Table14[Date],$A172,Table14[Bill No.],$B172),IF($K172="XtraGreen",SUMIFS(Table146[Amount],Table146[Company],$P$3,Table146[Date],$A172,Table146[Bill No.],$B172),SUMIFS('Other Sale'!$D:$D,'Other Sale'!$E:$E,$P$3,'Other Sale'!$C:$C,$K172,'Other Sale'!$A:$A,$A172)))))</f>
        <v/>
      </c>
      <c r="F172" s="330" t="str" cm="1">
        <f t="array" ref="F172">IF($A172="","",IF($K172="Payment",IFERROR(INDEX(_xlfn._xlws.FILTER(MasterPaid[Amount Paid],(MasterPaid[Customer]=$P$3)*(MasterPaid[Date]=$A172)),COUNTIFS($A$6:$A172,$A172,$K$6:$K172,"Payment")),0),0))</f>
        <v/>
      </c>
      <c r="G172" s="331" t="s">
        <v>13</v>
      </c>
      <c r="H172" s="331"/>
      <c r="I172" s="330" t="str">
        <f t="shared" si="15"/>
        <v/>
      </c>
      <c r="J172" s="275"/>
      <c r="K172" s="289" t="str" cm="1">
        <f t="array" ref="K172">IFERROR(INDEX(_xlfn.ANCHORARRAY($R$6),ROW()-5,3),"")</f>
        <v/>
      </c>
      <c r="L172" s="430" t="str" cm="1">
        <f t="array" ref="L172">IF(OR($A172="",$J172="",$K172&lt;&gt;"DIESEL"),"",_xlfn.LET(_xlpm.qty,N($C172),_xlpm.pos,IF($J172="UNIT 1",$V$5:$V$54,$AC$5:$AC$54),_xlpm.alo,IF($J172="UNIT 1",$W$5:$W$54,$AD$5:$AD$54),_xlpm.usd,SUMIFS($C$6:$C171,$L$6:$L171,_xlpm.pos&amp;"",$J$6:$J171,$J172),_xlpm.bal,N(_xlpm.alo)-_xlpm.usd,IFERROR(INDEX(_xlfn._xlws.FILTER(_xlpm.pos,(_xlpm.pos&lt;&gt;"")*(_xlpm.qty&gt;0)*(_xlpm.bal&gt;=_xlpm.qty)),1),"")))</f>
        <v/>
      </c>
      <c r="M172" s="290"/>
      <c r="AQ172" s="409"/>
      <c r="AR172" s="410"/>
      <c r="AS172" s="410"/>
      <c r="AT172" s="411"/>
      <c r="AU172" s="412"/>
      <c r="AV172" s="413"/>
      <c r="AW172" s="413"/>
      <c r="AX172" s="413"/>
      <c r="AY172" s="413"/>
      <c r="AZ172" s="413" t="str">
        <f t="shared" si="13"/>
        <v/>
      </c>
      <c r="BB172" s="409"/>
      <c r="BC172" s="410"/>
      <c r="BD172" s="410"/>
      <c r="BE172" s="411"/>
      <c r="BF172" s="412"/>
      <c r="BG172" s="413"/>
      <c r="BH172" s="413"/>
      <c r="BI172" s="413"/>
      <c r="BJ172" s="413"/>
      <c r="BK172" s="413" t="str">
        <f t="shared" si="14"/>
        <v/>
      </c>
    </row>
    <row r="173" spans="1:63" ht="23" x14ac:dyDescent="0.25">
      <c r="A173" s="217" t="str" cm="1">
        <f t="array" ref="A173">IFERROR(INDEX(_xlfn.ANCHORARRAY($R$6),ROW()-5,1),"")</f>
        <v/>
      </c>
      <c r="B173" s="289" t="str" cm="1">
        <f t="array" ref="B173">IFERROR(INDEX(_xlfn.ANCHORARRAY($R$6),ROW()-5,2),"")</f>
        <v/>
      </c>
      <c r="C173" s="218" t="str">
        <f>IF($A173="","",IF($K173="DIESEL",SUMIFS(Table1[Quantity],Table1[Customer],$P$3,Table1[Date],$A173,Table1[Bill No.],$B173),IF($K173="PETROL",SUMIFS(Table14[Quantity],Table14[Customer],$P$3,Table14[Date],$A173,Table14[Bill No.],$B173),IF($K173="XtraGreen",SUMIFS(Table146[Quantity],Table146[Company],$P$3,Table146[Date],$A173,Table146[Bill No.],$B173),""))))</f>
        <v/>
      </c>
      <c r="D173" s="223" t="str">
        <f>IF($A173="","",IF($K173="DIESEL",AVERAGEIFS(Table1[RSP],Table1[Customer],$P$3,Table1[Date],$A173,Table1[Bill No.],$B173),IF($K173="PETROL",AVERAGEIFS(Table14[RSP],Table14[Customer],$P$3,Table14[Date],$A173,Table14[Bill No.],$B173),IF($K173="XtraGreen",AVERAGEIFS(Table146[RSP],Table146[Company],$P$3,Table146[Date],$A173,Table146[Bill No.],$B173),IFERROR($E173/$C173,"")))))</f>
        <v/>
      </c>
      <c r="E173" s="330" t="str">
        <f>IF($A173="","",IF($K173="DIESEL",SUMIFS(Table1[Amount],Table1[Customer],$P$3,Table1[Date],$A173,Table1[Bill No.],$B173),IF($K173="PETROL",SUMIFS(Table14[Amount],Table14[Customer],$P$3,Table14[Date],$A173,Table14[Bill No.],$B173),IF($K173="XtraGreen",SUMIFS(Table146[Amount],Table146[Company],$P$3,Table146[Date],$A173,Table146[Bill No.],$B173),SUMIFS('Other Sale'!$D:$D,'Other Sale'!$E:$E,$P$3,'Other Sale'!$C:$C,$K173,'Other Sale'!$A:$A,$A173)))))</f>
        <v/>
      </c>
      <c r="F173" s="330" t="str" cm="1">
        <f t="array" ref="F173">IF($A173="","",IF($K173="Payment",IFERROR(INDEX(_xlfn._xlws.FILTER(MasterPaid[Amount Paid],(MasterPaid[Customer]=$P$3)*(MasterPaid[Date]=$A173)),COUNTIFS($A$6:$A173,$A173,$K$6:$K173,"Payment")),0),0))</f>
        <v/>
      </c>
      <c r="G173" s="331" t="s">
        <v>13</v>
      </c>
      <c r="H173" s="331"/>
      <c r="I173" s="330" t="str">
        <f t="shared" si="15"/>
        <v/>
      </c>
      <c r="J173" s="275"/>
      <c r="K173" s="289" t="str" cm="1">
        <f t="array" ref="K173">IFERROR(INDEX(_xlfn.ANCHORARRAY($R$6),ROW()-5,3),"")</f>
        <v/>
      </c>
      <c r="L173" s="430" t="str" cm="1">
        <f t="array" ref="L173">IF(OR($A173="",$J173="",$K173&lt;&gt;"DIESEL"),"",_xlfn.LET(_xlpm.qty,N($C173),_xlpm.pos,IF($J173="UNIT 1",$V$5:$V$54,$AC$5:$AC$54),_xlpm.alo,IF($J173="UNIT 1",$W$5:$W$54,$AD$5:$AD$54),_xlpm.usd,SUMIFS($C$6:$C172,$L$6:$L172,_xlpm.pos&amp;"",$J$6:$J172,$J173),_xlpm.bal,N(_xlpm.alo)-_xlpm.usd,IFERROR(INDEX(_xlfn._xlws.FILTER(_xlpm.pos,(_xlpm.pos&lt;&gt;"")*(_xlpm.qty&gt;0)*(_xlpm.bal&gt;=_xlpm.qty)),1),"")))</f>
        <v/>
      </c>
      <c r="M173" s="290"/>
      <c r="AQ173" s="409"/>
      <c r="AR173" s="410"/>
      <c r="AS173" s="410"/>
      <c r="AT173" s="411"/>
      <c r="AU173" s="412"/>
      <c r="AV173" s="413"/>
      <c r="AW173" s="413"/>
      <c r="AX173" s="413"/>
      <c r="AY173" s="413"/>
      <c r="AZ173" s="413" t="str">
        <f t="shared" si="13"/>
        <v/>
      </c>
      <c r="BB173" s="409"/>
      <c r="BC173" s="410"/>
      <c r="BD173" s="410"/>
      <c r="BE173" s="411"/>
      <c r="BF173" s="412"/>
      <c r="BG173" s="413"/>
      <c r="BH173" s="413"/>
      <c r="BI173" s="413"/>
      <c r="BJ173" s="413"/>
      <c r="BK173" s="413" t="str">
        <f t="shared" si="14"/>
        <v/>
      </c>
    </row>
    <row r="174" spans="1:63" ht="23" x14ac:dyDescent="0.25">
      <c r="A174" s="217" t="str" cm="1">
        <f t="array" ref="A174">IFERROR(INDEX(_xlfn.ANCHORARRAY($R$6),ROW()-5,1),"")</f>
        <v/>
      </c>
      <c r="B174" s="289" t="str" cm="1">
        <f t="array" ref="B174">IFERROR(INDEX(_xlfn.ANCHORARRAY($R$6),ROW()-5,2),"")</f>
        <v/>
      </c>
      <c r="C174" s="218" t="str">
        <f>IF($A174="","",IF($K174="DIESEL",SUMIFS(Table1[Quantity],Table1[Customer],$P$3,Table1[Date],$A174,Table1[Bill No.],$B174),IF($K174="PETROL",SUMIFS(Table14[Quantity],Table14[Customer],$P$3,Table14[Date],$A174,Table14[Bill No.],$B174),IF($K174="XtraGreen",SUMIFS(Table146[Quantity],Table146[Company],$P$3,Table146[Date],$A174,Table146[Bill No.],$B174),""))))</f>
        <v/>
      </c>
      <c r="D174" s="223" t="str">
        <f>IF($A174="","",IF($K174="DIESEL",AVERAGEIFS(Table1[RSP],Table1[Customer],$P$3,Table1[Date],$A174,Table1[Bill No.],$B174),IF($K174="PETROL",AVERAGEIFS(Table14[RSP],Table14[Customer],$P$3,Table14[Date],$A174,Table14[Bill No.],$B174),IF($K174="XtraGreen",AVERAGEIFS(Table146[RSP],Table146[Company],$P$3,Table146[Date],$A174,Table146[Bill No.],$B174),IFERROR($E174/$C174,"")))))</f>
        <v/>
      </c>
      <c r="E174" s="330" t="str">
        <f>IF($A174="","",IF($K174="DIESEL",SUMIFS(Table1[Amount],Table1[Customer],$P$3,Table1[Date],$A174,Table1[Bill No.],$B174),IF($K174="PETROL",SUMIFS(Table14[Amount],Table14[Customer],$P$3,Table14[Date],$A174,Table14[Bill No.],$B174),IF($K174="XtraGreen",SUMIFS(Table146[Amount],Table146[Company],$P$3,Table146[Date],$A174,Table146[Bill No.],$B174),SUMIFS('Other Sale'!$D:$D,'Other Sale'!$E:$E,$P$3,'Other Sale'!$C:$C,$K174,'Other Sale'!$A:$A,$A174)))))</f>
        <v/>
      </c>
      <c r="F174" s="330" t="str" cm="1">
        <f t="array" ref="F174">IF($A174="","",IF($K174="Payment",IFERROR(INDEX(_xlfn._xlws.FILTER(MasterPaid[Amount Paid],(MasterPaid[Customer]=$P$3)*(MasterPaid[Date]=$A174)),COUNTIFS($A$6:$A174,$A174,$K$6:$K174,"Payment")),0),0))</f>
        <v/>
      </c>
      <c r="G174" s="331" t="s">
        <v>13</v>
      </c>
      <c r="H174" s="331"/>
      <c r="I174" s="330" t="str">
        <f t="shared" si="15"/>
        <v/>
      </c>
      <c r="J174" s="275"/>
      <c r="K174" s="289" t="str" cm="1">
        <f t="array" ref="K174">IFERROR(INDEX(_xlfn.ANCHORARRAY($R$6),ROW()-5,3),"")</f>
        <v/>
      </c>
      <c r="L174" s="430" t="str" cm="1">
        <f t="array" ref="L174">IF(OR($A174="",$J174="",$K174&lt;&gt;"DIESEL"),"",_xlfn.LET(_xlpm.qty,N($C174),_xlpm.pos,IF($J174="UNIT 1",$V$5:$V$54,$AC$5:$AC$54),_xlpm.alo,IF($J174="UNIT 1",$W$5:$W$54,$AD$5:$AD$54),_xlpm.usd,SUMIFS($C$6:$C173,$L$6:$L173,_xlpm.pos&amp;"",$J$6:$J173,$J174),_xlpm.bal,N(_xlpm.alo)-_xlpm.usd,IFERROR(INDEX(_xlfn._xlws.FILTER(_xlpm.pos,(_xlpm.pos&lt;&gt;"")*(_xlpm.qty&gt;0)*(_xlpm.bal&gt;=_xlpm.qty)),1),"")))</f>
        <v/>
      </c>
      <c r="M174" s="290"/>
      <c r="AQ174" s="409"/>
      <c r="AR174" s="410"/>
      <c r="AS174" s="410"/>
      <c r="AT174" s="411"/>
      <c r="AU174" s="412"/>
      <c r="AV174" s="413"/>
      <c r="AW174" s="413"/>
      <c r="AX174" s="413"/>
      <c r="AY174" s="413"/>
      <c r="AZ174" s="413" t="str">
        <f t="shared" si="13"/>
        <v/>
      </c>
      <c r="BB174" s="409"/>
      <c r="BC174" s="410"/>
      <c r="BD174" s="410"/>
      <c r="BE174" s="411"/>
      <c r="BF174" s="412"/>
      <c r="BG174" s="413"/>
      <c r="BH174" s="413"/>
      <c r="BI174" s="413"/>
      <c r="BJ174" s="413"/>
      <c r="BK174" s="413" t="str">
        <f t="shared" si="14"/>
        <v/>
      </c>
    </row>
    <row r="175" spans="1:63" ht="23" x14ac:dyDescent="0.25">
      <c r="A175" s="217" t="str" cm="1">
        <f t="array" ref="A175">IFERROR(INDEX(_xlfn.ANCHORARRAY($R$6),ROW()-5,1),"")</f>
        <v/>
      </c>
      <c r="B175" s="289" t="str" cm="1">
        <f t="array" ref="B175">IFERROR(INDEX(_xlfn.ANCHORARRAY($R$6),ROW()-5,2),"")</f>
        <v/>
      </c>
      <c r="C175" s="218" t="str">
        <f>IF($A175="","",IF($K175="DIESEL",SUMIFS(Table1[Quantity],Table1[Customer],$P$3,Table1[Date],$A175,Table1[Bill No.],$B175),IF($K175="PETROL",SUMIFS(Table14[Quantity],Table14[Customer],$P$3,Table14[Date],$A175,Table14[Bill No.],$B175),IF($K175="XtraGreen",SUMIFS(Table146[Quantity],Table146[Company],$P$3,Table146[Date],$A175,Table146[Bill No.],$B175),""))))</f>
        <v/>
      </c>
      <c r="D175" s="223" t="str">
        <f>IF($A175="","",IF($K175="DIESEL",AVERAGEIFS(Table1[RSP],Table1[Customer],$P$3,Table1[Date],$A175,Table1[Bill No.],$B175),IF($K175="PETROL",AVERAGEIFS(Table14[RSP],Table14[Customer],$P$3,Table14[Date],$A175,Table14[Bill No.],$B175),IF($K175="XtraGreen",AVERAGEIFS(Table146[RSP],Table146[Company],$P$3,Table146[Date],$A175,Table146[Bill No.],$B175),IFERROR($E175/$C175,"")))))</f>
        <v/>
      </c>
      <c r="E175" s="330" t="str">
        <f>IF($A175="","",IF($K175="DIESEL",SUMIFS(Table1[Amount],Table1[Customer],$P$3,Table1[Date],$A175,Table1[Bill No.],$B175),IF($K175="PETROL",SUMIFS(Table14[Amount],Table14[Customer],$P$3,Table14[Date],$A175,Table14[Bill No.],$B175),IF($K175="XtraGreen",SUMIFS(Table146[Amount],Table146[Company],$P$3,Table146[Date],$A175,Table146[Bill No.],$B175),SUMIFS('Other Sale'!$D:$D,'Other Sale'!$E:$E,$P$3,'Other Sale'!$C:$C,$K175,'Other Sale'!$A:$A,$A175)))))</f>
        <v/>
      </c>
      <c r="F175" s="330" t="str" cm="1">
        <f t="array" ref="F175">IF($A175="","",IF($K175="Payment",IFERROR(INDEX(_xlfn._xlws.FILTER(MasterPaid[Amount Paid],(MasterPaid[Customer]=$P$3)*(MasterPaid[Date]=$A175)),COUNTIFS($A$6:$A175,$A175,$K$6:$K175,"Payment")),0),0))</f>
        <v/>
      </c>
      <c r="G175" s="331" t="s">
        <v>13</v>
      </c>
      <c r="H175" s="331"/>
      <c r="I175" s="330" t="str">
        <f t="shared" si="15"/>
        <v/>
      </c>
      <c r="J175" s="275"/>
      <c r="K175" s="289" t="str" cm="1">
        <f t="array" ref="K175">IFERROR(INDEX(_xlfn.ANCHORARRAY($R$6),ROW()-5,3),"")</f>
        <v/>
      </c>
      <c r="L175" s="430" t="str" cm="1">
        <f t="array" ref="L175">IF(OR($A175="",$J175="",$K175&lt;&gt;"DIESEL"),"",_xlfn.LET(_xlpm.qty,N($C175),_xlpm.pos,IF($J175="UNIT 1",$V$5:$V$54,$AC$5:$AC$54),_xlpm.alo,IF($J175="UNIT 1",$W$5:$W$54,$AD$5:$AD$54),_xlpm.usd,SUMIFS($C$6:$C174,$L$6:$L174,_xlpm.pos&amp;"",$J$6:$J174,$J175),_xlpm.bal,N(_xlpm.alo)-_xlpm.usd,IFERROR(INDEX(_xlfn._xlws.FILTER(_xlpm.pos,(_xlpm.pos&lt;&gt;"")*(_xlpm.qty&gt;0)*(_xlpm.bal&gt;=_xlpm.qty)),1),"")))</f>
        <v/>
      </c>
      <c r="M175" s="290"/>
      <c r="AQ175" s="409"/>
      <c r="AR175" s="410"/>
      <c r="AS175" s="410"/>
      <c r="AT175" s="411"/>
      <c r="AU175" s="412"/>
      <c r="AV175" s="413"/>
      <c r="AW175" s="413"/>
      <c r="AX175" s="413"/>
      <c r="AY175" s="413"/>
      <c r="AZ175" s="413" t="str">
        <f t="shared" si="13"/>
        <v/>
      </c>
      <c r="BB175" s="409"/>
      <c r="BC175" s="410"/>
      <c r="BD175" s="410"/>
      <c r="BE175" s="411"/>
      <c r="BF175" s="412"/>
      <c r="BG175" s="413"/>
      <c r="BH175" s="413"/>
      <c r="BI175" s="413"/>
      <c r="BJ175" s="413"/>
      <c r="BK175" s="413" t="str">
        <f t="shared" si="14"/>
        <v/>
      </c>
    </row>
    <row r="176" spans="1:63" ht="23" x14ac:dyDescent="0.25">
      <c r="A176" s="217" t="str" cm="1">
        <f t="array" ref="A176">IFERROR(INDEX(_xlfn.ANCHORARRAY($R$6),ROW()-5,1),"")</f>
        <v/>
      </c>
      <c r="B176" s="289" t="str" cm="1">
        <f t="array" ref="B176">IFERROR(INDEX(_xlfn.ANCHORARRAY($R$6),ROW()-5,2),"")</f>
        <v/>
      </c>
      <c r="C176" s="218" t="str">
        <f>IF($A176="","",IF($K176="DIESEL",SUMIFS(Table1[Quantity],Table1[Customer],$P$3,Table1[Date],$A176,Table1[Bill No.],$B176),IF($K176="PETROL",SUMIFS(Table14[Quantity],Table14[Customer],$P$3,Table14[Date],$A176,Table14[Bill No.],$B176),IF($K176="XtraGreen",SUMIFS(Table146[Quantity],Table146[Company],$P$3,Table146[Date],$A176,Table146[Bill No.],$B176),""))))</f>
        <v/>
      </c>
      <c r="D176" s="223" t="str">
        <f>IF($A176="","",IF($K176="DIESEL",AVERAGEIFS(Table1[RSP],Table1[Customer],$P$3,Table1[Date],$A176,Table1[Bill No.],$B176),IF($K176="PETROL",AVERAGEIFS(Table14[RSP],Table14[Customer],$P$3,Table14[Date],$A176,Table14[Bill No.],$B176),IF($K176="XtraGreen",AVERAGEIFS(Table146[RSP],Table146[Company],$P$3,Table146[Date],$A176,Table146[Bill No.],$B176),IFERROR($E176/$C176,"")))))</f>
        <v/>
      </c>
      <c r="E176" s="330" t="str">
        <f>IF($A176="","",IF($K176="DIESEL",SUMIFS(Table1[Amount],Table1[Customer],$P$3,Table1[Date],$A176,Table1[Bill No.],$B176),IF($K176="PETROL",SUMIFS(Table14[Amount],Table14[Customer],$P$3,Table14[Date],$A176,Table14[Bill No.],$B176),IF($K176="XtraGreen",SUMIFS(Table146[Amount],Table146[Company],$P$3,Table146[Date],$A176,Table146[Bill No.],$B176),SUMIFS('Other Sale'!$D:$D,'Other Sale'!$E:$E,$P$3,'Other Sale'!$C:$C,$K176,'Other Sale'!$A:$A,$A176)))))</f>
        <v/>
      </c>
      <c r="F176" s="330" t="str" cm="1">
        <f t="array" ref="F176">IF($A176="","",IF($K176="Payment",IFERROR(INDEX(_xlfn._xlws.FILTER(MasterPaid[Amount Paid],(MasterPaid[Customer]=$P$3)*(MasterPaid[Date]=$A176)),COUNTIFS($A$6:$A176,$A176,$K$6:$K176,"Payment")),0),0))</f>
        <v/>
      </c>
      <c r="G176" s="331" t="s">
        <v>13</v>
      </c>
      <c r="H176" s="331"/>
      <c r="I176" s="330" t="str">
        <f t="shared" si="15"/>
        <v/>
      </c>
      <c r="J176" s="275"/>
      <c r="K176" s="289" t="str" cm="1">
        <f t="array" ref="K176">IFERROR(INDEX(_xlfn.ANCHORARRAY($R$6),ROW()-5,3),"")</f>
        <v/>
      </c>
      <c r="L176" s="430" t="str" cm="1">
        <f t="array" ref="L176">IF(OR($A176="",$J176="",$K176&lt;&gt;"DIESEL"),"",_xlfn.LET(_xlpm.qty,N($C176),_xlpm.pos,IF($J176="UNIT 1",$V$5:$V$54,$AC$5:$AC$54),_xlpm.alo,IF($J176="UNIT 1",$W$5:$W$54,$AD$5:$AD$54),_xlpm.usd,SUMIFS($C$6:$C175,$L$6:$L175,_xlpm.pos&amp;"",$J$6:$J175,$J176),_xlpm.bal,N(_xlpm.alo)-_xlpm.usd,IFERROR(INDEX(_xlfn._xlws.FILTER(_xlpm.pos,(_xlpm.pos&lt;&gt;"")*(_xlpm.qty&gt;0)*(_xlpm.bal&gt;=_xlpm.qty)),1),"")))</f>
        <v/>
      </c>
      <c r="M176" s="290"/>
      <c r="AQ176" s="409"/>
      <c r="AR176" s="410"/>
      <c r="AS176" s="410"/>
      <c r="AT176" s="411"/>
      <c r="AU176" s="412"/>
      <c r="AV176" s="413"/>
      <c r="AW176" s="413"/>
      <c r="AX176" s="413"/>
      <c r="AY176" s="413"/>
      <c r="AZ176" s="413" t="str">
        <f t="shared" si="13"/>
        <v/>
      </c>
      <c r="BB176" s="409"/>
      <c r="BC176" s="410"/>
      <c r="BD176" s="410"/>
      <c r="BE176" s="411"/>
      <c r="BF176" s="412"/>
      <c r="BG176" s="413"/>
      <c r="BH176" s="413"/>
      <c r="BI176" s="413"/>
      <c r="BJ176" s="413"/>
      <c r="BK176" s="413" t="str">
        <f t="shared" si="14"/>
        <v/>
      </c>
    </row>
    <row r="177" spans="1:63" ht="23" x14ac:dyDescent="0.25">
      <c r="A177" s="217" t="str" cm="1">
        <f t="array" ref="A177">IFERROR(INDEX(_xlfn.ANCHORARRAY($R$6),ROW()-5,1),"")</f>
        <v/>
      </c>
      <c r="B177" s="289" t="str" cm="1">
        <f t="array" ref="B177">IFERROR(INDEX(_xlfn.ANCHORARRAY($R$6),ROW()-5,2),"")</f>
        <v/>
      </c>
      <c r="C177" s="218" t="str">
        <f>IF($A177="","",IF($K177="DIESEL",SUMIFS(Table1[Quantity],Table1[Customer],$P$3,Table1[Date],$A177,Table1[Bill No.],$B177),IF($K177="PETROL",SUMIFS(Table14[Quantity],Table14[Customer],$P$3,Table14[Date],$A177,Table14[Bill No.],$B177),IF($K177="XtraGreen",SUMIFS(Table146[Quantity],Table146[Company],$P$3,Table146[Date],$A177,Table146[Bill No.],$B177),""))))</f>
        <v/>
      </c>
      <c r="D177" s="223" t="str">
        <f>IF($A177="","",IF($K177="DIESEL",AVERAGEIFS(Table1[RSP],Table1[Customer],$P$3,Table1[Date],$A177,Table1[Bill No.],$B177),IF($K177="PETROL",AVERAGEIFS(Table14[RSP],Table14[Customer],$P$3,Table14[Date],$A177,Table14[Bill No.],$B177),IF($K177="XtraGreen",AVERAGEIFS(Table146[RSP],Table146[Company],$P$3,Table146[Date],$A177,Table146[Bill No.],$B177),IFERROR($E177/$C177,"")))))</f>
        <v/>
      </c>
      <c r="E177" s="330" t="str">
        <f>IF($A177="","",IF($K177="DIESEL",SUMIFS(Table1[Amount],Table1[Customer],$P$3,Table1[Date],$A177,Table1[Bill No.],$B177),IF($K177="PETROL",SUMIFS(Table14[Amount],Table14[Customer],$P$3,Table14[Date],$A177,Table14[Bill No.],$B177),IF($K177="XtraGreen",SUMIFS(Table146[Amount],Table146[Company],$P$3,Table146[Date],$A177,Table146[Bill No.],$B177),SUMIFS('Other Sale'!$D:$D,'Other Sale'!$E:$E,$P$3,'Other Sale'!$C:$C,$K177,'Other Sale'!$A:$A,$A177)))))</f>
        <v/>
      </c>
      <c r="F177" s="330" t="str" cm="1">
        <f t="array" ref="F177">IF($A177="","",IF($K177="Payment",IFERROR(INDEX(_xlfn._xlws.FILTER(MasterPaid[Amount Paid],(MasterPaid[Customer]=$P$3)*(MasterPaid[Date]=$A177)),COUNTIFS($A$6:$A177,$A177,$K$6:$K177,"Payment")),0),0))</f>
        <v/>
      </c>
      <c r="G177" s="331" t="s">
        <v>13</v>
      </c>
      <c r="H177" s="331"/>
      <c r="I177" s="330" t="str">
        <f t="shared" si="15"/>
        <v/>
      </c>
      <c r="J177" s="275"/>
      <c r="K177" s="289" t="str" cm="1">
        <f t="array" ref="K177">IFERROR(INDEX(_xlfn.ANCHORARRAY($R$6),ROW()-5,3),"")</f>
        <v/>
      </c>
      <c r="L177" s="430" t="str" cm="1">
        <f t="array" ref="L177">IF(OR($A177="",$J177="",$K177&lt;&gt;"DIESEL"),"",_xlfn.LET(_xlpm.qty,N($C177),_xlpm.pos,IF($J177="UNIT 1",$V$5:$V$54,$AC$5:$AC$54),_xlpm.alo,IF($J177="UNIT 1",$W$5:$W$54,$AD$5:$AD$54),_xlpm.usd,SUMIFS($C$6:$C176,$L$6:$L176,_xlpm.pos&amp;"",$J$6:$J176,$J177),_xlpm.bal,N(_xlpm.alo)-_xlpm.usd,IFERROR(INDEX(_xlfn._xlws.FILTER(_xlpm.pos,(_xlpm.pos&lt;&gt;"")*(_xlpm.qty&gt;0)*(_xlpm.bal&gt;=_xlpm.qty)),1),"")))</f>
        <v/>
      </c>
      <c r="M177" s="290"/>
      <c r="AQ177" s="409"/>
      <c r="AR177" s="410"/>
      <c r="AS177" s="410"/>
      <c r="AT177" s="411"/>
      <c r="AU177" s="412"/>
      <c r="AV177" s="413"/>
      <c r="AW177" s="413"/>
      <c r="AX177" s="413"/>
      <c r="AY177" s="413"/>
      <c r="AZ177" s="413" t="str">
        <f t="shared" si="13"/>
        <v/>
      </c>
      <c r="BB177" s="409"/>
      <c r="BC177" s="410"/>
      <c r="BD177" s="410"/>
      <c r="BE177" s="411"/>
      <c r="BF177" s="412"/>
      <c r="BG177" s="413"/>
      <c r="BH177" s="413"/>
      <c r="BI177" s="413"/>
      <c r="BJ177" s="413"/>
      <c r="BK177" s="413" t="str">
        <f t="shared" si="14"/>
        <v/>
      </c>
    </row>
    <row r="178" spans="1:63" ht="23" x14ac:dyDescent="0.25">
      <c r="A178" s="217" t="str" cm="1">
        <f t="array" ref="A178">IFERROR(INDEX(_xlfn.ANCHORARRAY($R$6),ROW()-5,1),"")</f>
        <v/>
      </c>
      <c r="B178" s="289" t="str" cm="1">
        <f t="array" ref="B178">IFERROR(INDEX(_xlfn.ANCHORARRAY($R$6),ROW()-5,2),"")</f>
        <v/>
      </c>
      <c r="C178" s="218" t="str">
        <f>IF($A178="","",IF($K178="DIESEL",SUMIFS(Table1[Quantity],Table1[Customer],$P$3,Table1[Date],$A178,Table1[Bill No.],$B178),IF($K178="PETROL",SUMIFS(Table14[Quantity],Table14[Customer],$P$3,Table14[Date],$A178,Table14[Bill No.],$B178),IF($K178="XtraGreen",SUMIFS(Table146[Quantity],Table146[Company],$P$3,Table146[Date],$A178,Table146[Bill No.],$B178),""))))</f>
        <v/>
      </c>
      <c r="D178" s="223" t="str">
        <f>IF($A178="","",IF($K178="DIESEL",AVERAGEIFS(Table1[RSP],Table1[Customer],$P$3,Table1[Date],$A178,Table1[Bill No.],$B178),IF($K178="PETROL",AVERAGEIFS(Table14[RSP],Table14[Customer],$P$3,Table14[Date],$A178,Table14[Bill No.],$B178),IF($K178="XtraGreen",AVERAGEIFS(Table146[RSP],Table146[Company],$P$3,Table146[Date],$A178,Table146[Bill No.],$B178),IFERROR($E178/$C178,"")))))</f>
        <v/>
      </c>
      <c r="E178" s="330" t="str">
        <f>IF($A178="","",IF($K178="DIESEL",SUMIFS(Table1[Amount],Table1[Customer],$P$3,Table1[Date],$A178,Table1[Bill No.],$B178),IF($K178="PETROL",SUMIFS(Table14[Amount],Table14[Customer],$P$3,Table14[Date],$A178,Table14[Bill No.],$B178),IF($K178="XtraGreen",SUMIFS(Table146[Amount],Table146[Company],$P$3,Table146[Date],$A178,Table146[Bill No.],$B178),SUMIFS('Other Sale'!$D:$D,'Other Sale'!$E:$E,$P$3,'Other Sale'!$C:$C,$K178,'Other Sale'!$A:$A,$A178)))))</f>
        <v/>
      </c>
      <c r="F178" s="330" t="str" cm="1">
        <f t="array" ref="F178">IF($A178="","",IF($K178="Payment",IFERROR(INDEX(_xlfn._xlws.FILTER(MasterPaid[Amount Paid],(MasterPaid[Customer]=$P$3)*(MasterPaid[Date]=$A178)),COUNTIFS($A$6:$A178,$A178,$K$6:$K178,"Payment")),0),0))</f>
        <v/>
      </c>
      <c r="G178" s="331" t="s">
        <v>13</v>
      </c>
      <c r="H178" s="331"/>
      <c r="I178" s="330" t="str">
        <f t="shared" si="15"/>
        <v/>
      </c>
      <c r="J178" s="275"/>
      <c r="K178" s="289" t="str" cm="1">
        <f t="array" ref="K178">IFERROR(INDEX(_xlfn.ANCHORARRAY($R$6),ROW()-5,3),"")</f>
        <v/>
      </c>
      <c r="L178" s="430" t="str" cm="1">
        <f t="array" ref="L178">IF(OR($A178="",$J178="",$K178&lt;&gt;"DIESEL"),"",_xlfn.LET(_xlpm.qty,N($C178),_xlpm.pos,IF($J178="UNIT 1",$V$5:$V$54,$AC$5:$AC$54),_xlpm.alo,IF($J178="UNIT 1",$W$5:$W$54,$AD$5:$AD$54),_xlpm.usd,SUMIFS($C$6:$C177,$L$6:$L177,_xlpm.pos&amp;"",$J$6:$J177,$J178),_xlpm.bal,N(_xlpm.alo)-_xlpm.usd,IFERROR(INDEX(_xlfn._xlws.FILTER(_xlpm.pos,(_xlpm.pos&lt;&gt;"")*(_xlpm.qty&gt;0)*(_xlpm.bal&gt;=_xlpm.qty)),1),"")))</f>
        <v/>
      </c>
      <c r="M178" s="290"/>
      <c r="AQ178" s="409"/>
      <c r="AR178" s="410"/>
      <c r="AS178" s="410"/>
      <c r="AT178" s="411"/>
      <c r="AU178" s="412"/>
      <c r="AV178" s="413"/>
      <c r="AW178" s="413"/>
      <c r="AX178" s="413"/>
      <c r="AY178" s="413"/>
      <c r="AZ178" s="413" t="str">
        <f t="shared" si="13"/>
        <v/>
      </c>
      <c r="BB178" s="409"/>
      <c r="BC178" s="410"/>
      <c r="BD178" s="410"/>
      <c r="BE178" s="411"/>
      <c r="BF178" s="412"/>
      <c r="BG178" s="413"/>
      <c r="BH178" s="413"/>
      <c r="BI178" s="413"/>
      <c r="BJ178" s="413"/>
      <c r="BK178" s="413" t="str">
        <f t="shared" si="14"/>
        <v/>
      </c>
    </row>
    <row r="179" spans="1:63" ht="23" x14ac:dyDescent="0.25">
      <c r="A179" s="217" t="str" cm="1">
        <f t="array" ref="A179">IFERROR(INDEX(_xlfn.ANCHORARRAY($R$6),ROW()-5,1),"")</f>
        <v/>
      </c>
      <c r="B179" s="289" t="str" cm="1">
        <f t="array" ref="B179">IFERROR(INDEX(_xlfn.ANCHORARRAY($R$6),ROW()-5,2),"")</f>
        <v/>
      </c>
      <c r="C179" s="218" t="str">
        <f>IF($A179="","",IF($K179="DIESEL",SUMIFS(Table1[Quantity],Table1[Customer],$P$3,Table1[Date],$A179,Table1[Bill No.],$B179),IF($K179="PETROL",SUMIFS(Table14[Quantity],Table14[Customer],$P$3,Table14[Date],$A179,Table14[Bill No.],$B179),IF($K179="XtraGreen",SUMIFS(Table146[Quantity],Table146[Company],$P$3,Table146[Date],$A179,Table146[Bill No.],$B179),""))))</f>
        <v/>
      </c>
      <c r="D179" s="223" t="str">
        <f>IF($A179="","",IF($K179="DIESEL",AVERAGEIFS(Table1[RSP],Table1[Customer],$P$3,Table1[Date],$A179,Table1[Bill No.],$B179),IF($K179="PETROL",AVERAGEIFS(Table14[RSP],Table14[Customer],$P$3,Table14[Date],$A179,Table14[Bill No.],$B179),IF($K179="XtraGreen",AVERAGEIFS(Table146[RSP],Table146[Company],$P$3,Table146[Date],$A179,Table146[Bill No.],$B179),IFERROR($E179/$C179,"")))))</f>
        <v/>
      </c>
      <c r="E179" s="330" t="str">
        <f>IF($A179="","",IF($K179="DIESEL",SUMIFS(Table1[Amount],Table1[Customer],$P$3,Table1[Date],$A179,Table1[Bill No.],$B179),IF($K179="PETROL",SUMIFS(Table14[Amount],Table14[Customer],$P$3,Table14[Date],$A179,Table14[Bill No.],$B179),IF($K179="XtraGreen",SUMIFS(Table146[Amount],Table146[Company],$P$3,Table146[Date],$A179,Table146[Bill No.],$B179),SUMIFS('Other Sale'!$D:$D,'Other Sale'!$E:$E,$P$3,'Other Sale'!$C:$C,$K179,'Other Sale'!$A:$A,$A179)))))</f>
        <v/>
      </c>
      <c r="F179" s="330" t="str" cm="1">
        <f t="array" ref="F179">IF($A179="","",IF($K179="Payment",IFERROR(INDEX(_xlfn._xlws.FILTER(MasterPaid[Amount Paid],(MasterPaid[Customer]=$P$3)*(MasterPaid[Date]=$A179)),COUNTIFS($A$6:$A179,$A179,$K$6:$K179,"Payment")),0),0))</f>
        <v/>
      </c>
      <c r="G179" s="331" t="s">
        <v>13</v>
      </c>
      <c r="H179" s="331"/>
      <c r="I179" s="330" t="str">
        <f t="shared" si="15"/>
        <v/>
      </c>
      <c r="J179" s="275"/>
      <c r="K179" s="289" t="str" cm="1">
        <f t="array" ref="K179">IFERROR(INDEX(_xlfn.ANCHORARRAY($R$6),ROW()-5,3),"")</f>
        <v/>
      </c>
      <c r="L179" s="430" t="str" cm="1">
        <f t="array" ref="L179">IF(OR($A179="",$J179="",$K179&lt;&gt;"DIESEL"),"",_xlfn.LET(_xlpm.qty,N($C179),_xlpm.pos,IF($J179="UNIT 1",$V$5:$V$54,$AC$5:$AC$54),_xlpm.alo,IF($J179="UNIT 1",$W$5:$W$54,$AD$5:$AD$54),_xlpm.usd,SUMIFS($C$6:$C178,$L$6:$L178,_xlpm.pos&amp;"",$J$6:$J178,$J179),_xlpm.bal,N(_xlpm.alo)-_xlpm.usd,IFERROR(INDEX(_xlfn._xlws.FILTER(_xlpm.pos,(_xlpm.pos&lt;&gt;"")*(_xlpm.qty&gt;0)*(_xlpm.bal&gt;=_xlpm.qty)),1),"")))</f>
        <v/>
      </c>
      <c r="M179" s="290"/>
      <c r="AQ179" s="409"/>
      <c r="AR179" s="410"/>
      <c r="AS179" s="410"/>
      <c r="AT179" s="411"/>
      <c r="AU179" s="412"/>
      <c r="AV179" s="413"/>
      <c r="AW179" s="413"/>
      <c r="AX179" s="413"/>
      <c r="AY179" s="413"/>
      <c r="AZ179" s="413" t="str">
        <f t="shared" si="13"/>
        <v/>
      </c>
      <c r="BB179" s="409"/>
      <c r="BC179" s="410"/>
      <c r="BD179" s="410"/>
      <c r="BE179" s="411"/>
      <c r="BF179" s="412"/>
      <c r="BG179" s="413"/>
      <c r="BH179" s="413"/>
      <c r="BI179" s="413"/>
      <c r="BJ179" s="413"/>
      <c r="BK179" s="413" t="str">
        <f t="shared" si="14"/>
        <v/>
      </c>
    </row>
    <row r="180" spans="1:63" ht="23" x14ac:dyDescent="0.25">
      <c r="A180" s="217" t="str" cm="1">
        <f t="array" ref="A180">IFERROR(INDEX(_xlfn.ANCHORARRAY($R$6),ROW()-5,1),"")</f>
        <v/>
      </c>
      <c r="B180" s="289" t="str" cm="1">
        <f t="array" ref="B180">IFERROR(INDEX(_xlfn.ANCHORARRAY($R$6),ROW()-5,2),"")</f>
        <v/>
      </c>
      <c r="C180" s="218" t="str">
        <f>IF($A180="","",IF($K180="DIESEL",SUMIFS(Table1[Quantity],Table1[Customer],$P$3,Table1[Date],$A180,Table1[Bill No.],$B180),IF($K180="PETROL",SUMIFS(Table14[Quantity],Table14[Customer],$P$3,Table14[Date],$A180,Table14[Bill No.],$B180),IF($K180="XtraGreen",SUMIFS(Table146[Quantity],Table146[Company],$P$3,Table146[Date],$A180,Table146[Bill No.],$B180),""))))</f>
        <v/>
      </c>
      <c r="D180" s="223" t="str">
        <f>IF($A180="","",IF($K180="DIESEL",AVERAGEIFS(Table1[RSP],Table1[Customer],$P$3,Table1[Date],$A180,Table1[Bill No.],$B180),IF($K180="PETROL",AVERAGEIFS(Table14[RSP],Table14[Customer],$P$3,Table14[Date],$A180,Table14[Bill No.],$B180),IF($K180="XtraGreen",AVERAGEIFS(Table146[RSP],Table146[Company],$P$3,Table146[Date],$A180,Table146[Bill No.],$B180),IFERROR($E180/$C180,"")))))</f>
        <v/>
      </c>
      <c r="E180" s="330" t="str">
        <f>IF($A180="","",IF($K180="DIESEL",SUMIFS(Table1[Amount],Table1[Customer],$P$3,Table1[Date],$A180,Table1[Bill No.],$B180),IF($K180="PETROL",SUMIFS(Table14[Amount],Table14[Customer],$P$3,Table14[Date],$A180,Table14[Bill No.],$B180),IF($K180="XtraGreen",SUMIFS(Table146[Amount],Table146[Company],$P$3,Table146[Date],$A180,Table146[Bill No.],$B180),SUMIFS('Other Sale'!$D:$D,'Other Sale'!$E:$E,$P$3,'Other Sale'!$C:$C,$K180,'Other Sale'!$A:$A,$A180)))))</f>
        <v/>
      </c>
      <c r="F180" s="330" t="str" cm="1">
        <f t="array" ref="F180">IF($A180="","",IF($K180="Payment",IFERROR(INDEX(_xlfn._xlws.FILTER(MasterPaid[Amount Paid],(MasterPaid[Customer]=$P$3)*(MasterPaid[Date]=$A180)),COUNTIFS($A$6:$A180,$A180,$K$6:$K180,"Payment")),0),0))</f>
        <v/>
      </c>
      <c r="G180" s="331" t="s">
        <v>13</v>
      </c>
      <c r="H180" s="331"/>
      <c r="I180" s="330" t="str">
        <f t="shared" si="15"/>
        <v/>
      </c>
      <c r="J180" s="275"/>
      <c r="K180" s="289" t="str" cm="1">
        <f t="array" ref="K180">IFERROR(INDEX(_xlfn.ANCHORARRAY($R$6),ROW()-5,3),"")</f>
        <v/>
      </c>
      <c r="L180" s="430" t="str" cm="1">
        <f t="array" ref="L180">IF(OR($A180="",$J180="",$K180&lt;&gt;"DIESEL"),"",_xlfn.LET(_xlpm.qty,N($C180),_xlpm.pos,IF($J180="UNIT 1",$V$5:$V$54,$AC$5:$AC$54),_xlpm.alo,IF($J180="UNIT 1",$W$5:$W$54,$AD$5:$AD$54),_xlpm.usd,SUMIFS($C$6:$C179,$L$6:$L179,_xlpm.pos&amp;"",$J$6:$J179,$J180),_xlpm.bal,N(_xlpm.alo)-_xlpm.usd,IFERROR(INDEX(_xlfn._xlws.FILTER(_xlpm.pos,(_xlpm.pos&lt;&gt;"")*(_xlpm.qty&gt;0)*(_xlpm.bal&gt;=_xlpm.qty)),1),"")))</f>
        <v/>
      </c>
      <c r="M180" s="290"/>
      <c r="AQ180" s="409"/>
      <c r="AR180" s="410"/>
      <c r="AS180" s="410"/>
      <c r="AT180" s="411"/>
      <c r="AU180" s="412"/>
      <c r="AV180" s="413"/>
      <c r="AW180" s="413"/>
      <c r="AX180" s="413"/>
      <c r="AY180" s="413"/>
      <c r="AZ180" s="413" t="str">
        <f t="shared" si="13"/>
        <v/>
      </c>
      <c r="BB180" s="409"/>
      <c r="BC180" s="410"/>
      <c r="BD180" s="410"/>
      <c r="BE180" s="411"/>
      <c r="BF180" s="412"/>
      <c r="BG180" s="413"/>
      <c r="BH180" s="413"/>
      <c r="BI180" s="413"/>
      <c r="BJ180" s="413"/>
      <c r="BK180" s="413" t="str">
        <f t="shared" si="14"/>
        <v/>
      </c>
    </row>
    <row r="181" spans="1:63" ht="23" x14ac:dyDescent="0.25">
      <c r="A181" s="217" t="str" cm="1">
        <f t="array" ref="A181">IFERROR(INDEX(_xlfn.ANCHORARRAY($R$6),ROW()-5,1),"")</f>
        <v/>
      </c>
      <c r="B181" s="289" t="str" cm="1">
        <f t="array" ref="B181">IFERROR(INDEX(_xlfn.ANCHORARRAY($R$6),ROW()-5,2),"")</f>
        <v/>
      </c>
      <c r="C181" s="218" t="str">
        <f>IF($A181="","",IF($K181="DIESEL",SUMIFS(Table1[Quantity],Table1[Customer],$P$3,Table1[Date],$A181,Table1[Bill No.],$B181),IF($K181="PETROL",SUMIFS(Table14[Quantity],Table14[Customer],$P$3,Table14[Date],$A181,Table14[Bill No.],$B181),IF($K181="XtraGreen",SUMIFS(Table146[Quantity],Table146[Company],$P$3,Table146[Date],$A181,Table146[Bill No.],$B181),""))))</f>
        <v/>
      </c>
      <c r="D181" s="223" t="str">
        <f>IF($A181="","",IF($K181="DIESEL",AVERAGEIFS(Table1[RSP],Table1[Customer],$P$3,Table1[Date],$A181,Table1[Bill No.],$B181),IF($K181="PETROL",AVERAGEIFS(Table14[RSP],Table14[Customer],$P$3,Table14[Date],$A181,Table14[Bill No.],$B181),IF($K181="XtraGreen",AVERAGEIFS(Table146[RSP],Table146[Company],$P$3,Table146[Date],$A181,Table146[Bill No.],$B181),IFERROR($E181/$C181,"")))))</f>
        <v/>
      </c>
      <c r="E181" s="330" t="str">
        <f>IF($A181="","",IF($K181="DIESEL",SUMIFS(Table1[Amount],Table1[Customer],$P$3,Table1[Date],$A181,Table1[Bill No.],$B181),IF($K181="PETROL",SUMIFS(Table14[Amount],Table14[Customer],$P$3,Table14[Date],$A181,Table14[Bill No.],$B181),IF($K181="XtraGreen",SUMIFS(Table146[Amount],Table146[Company],$P$3,Table146[Date],$A181,Table146[Bill No.],$B181),SUMIFS('Other Sale'!$D:$D,'Other Sale'!$E:$E,$P$3,'Other Sale'!$C:$C,$K181,'Other Sale'!$A:$A,$A181)))))</f>
        <v/>
      </c>
      <c r="F181" s="330" t="str" cm="1">
        <f t="array" ref="F181">IF($A181="","",IF($K181="Payment",IFERROR(INDEX(_xlfn._xlws.FILTER(MasterPaid[Amount Paid],(MasterPaid[Customer]=$P$3)*(MasterPaid[Date]=$A181)),COUNTIFS($A$6:$A181,$A181,$K$6:$K181,"Payment")),0),0))</f>
        <v/>
      </c>
      <c r="G181" s="331" t="s">
        <v>13</v>
      </c>
      <c r="H181" s="331"/>
      <c r="I181" s="330" t="str">
        <f t="shared" si="15"/>
        <v/>
      </c>
      <c r="J181" s="275"/>
      <c r="K181" s="289" t="str" cm="1">
        <f t="array" ref="K181">IFERROR(INDEX(_xlfn.ANCHORARRAY($R$6),ROW()-5,3),"")</f>
        <v/>
      </c>
      <c r="L181" s="430" t="str" cm="1">
        <f t="array" ref="L181">IF(OR($A181="",$J181="",$K181&lt;&gt;"DIESEL"),"",_xlfn.LET(_xlpm.qty,N($C181),_xlpm.pos,IF($J181="UNIT 1",$V$5:$V$54,$AC$5:$AC$54),_xlpm.alo,IF($J181="UNIT 1",$W$5:$W$54,$AD$5:$AD$54),_xlpm.usd,SUMIFS($C$6:$C180,$L$6:$L180,_xlpm.pos&amp;"",$J$6:$J180,$J181),_xlpm.bal,N(_xlpm.alo)-_xlpm.usd,IFERROR(INDEX(_xlfn._xlws.FILTER(_xlpm.pos,(_xlpm.pos&lt;&gt;"")*(_xlpm.qty&gt;0)*(_xlpm.bal&gt;=_xlpm.qty)),1),"")))</f>
        <v/>
      </c>
      <c r="M181" s="290"/>
      <c r="AQ181" s="409"/>
      <c r="AR181" s="410"/>
      <c r="AS181" s="410"/>
      <c r="AT181" s="411"/>
      <c r="AU181" s="412"/>
      <c r="AV181" s="413"/>
      <c r="AW181" s="413"/>
      <c r="AX181" s="413"/>
      <c r="AY181" s="413"/>
      <c r="AZ181" s="413" t="str">
        <f t="shared" si="13"/>
        <v/>
      </c>
      <c r="BB181" s="409"/>
      <c r="BC181" s="410"/>
      <c r="BD181" s="410"/>
      <c r="BE181" s="411"/>
      <c r="BF181" s="412"/>
      <c r="BG181" s="413"/>
      <c r="BH181" s="413"/>
      <c r="BI181" s="413"/>
      <c r="BJ181" s="413"/>
      <c r="BK181" s="413" t="str">
        <f t="shared" si="14"/>
        <v/>
      </c>
    </row>
    <row r="182" spans="1:63" ht="23" x14ac:dyDescent="0.25">
      <c r="A182" s="217" t="str" cm="1">
        <f t="array" ref="A182">IFERROR(INDEX(_xlfn.ANCHORARRAY($R$6),ROW()-5,1),"")</f>
        <v/>
      </c>
      <c r="B182" s="289" t="str" cm="1">
        <f t="array" ref="B182">IFERROR(INDEX(_xlfn.ANCHORARRAY($R$6),ROW()-5,2),"")</f>
        <v/>
      </c>
      <c r="C182" s="218" t="str">
        <f>IF($A182="","",IF($K182="DIESEL",SUMIFS(Table1[Quantity],Table1[Customer],$P$3,Table1[Date],$A182,Table1[Bill No.],$B182),IF($K182="PETROL",SUMIFS(Table14[Quantity],Table14[Customer],$P$3,Table14[Date],$A182,Table14[Bill No.],$B182),IF($K182="XtraGreen",SUMIFS(Table146[Quantity],Table146[Company],$P$3,Table146[Date],$A182,Table146[Bill No.],$B182),""))))</f>
        <v/>
      </c>
      <c r="D182" s="223" t="str">
        <f>IF($A182="","",IF($K182="DIESEL",AVERAGEIFS(Table1[RSP],Table1[Customer],$P$3,Table1[Date],$A182,Table1[Bill No.],$B182),IF($K182="PETROL",AVERAGEIFS(Table14[RSP],Table14[Customer],$P$3,Table14[Date],$A182,Table14[Bill No.],$B182),IF($K182="XtraGreen",AVERAGEIFS(Table146[RSP],Table146[Company],$P$3,Table146[Date],$A182,Table146[Bill No.],$B182),IFERROR($E182/$C182,"")))))</f>
        <v/>
      </c>
      <c r="E182" s="330" t="str">
        <f>IF($A182="","",IF($K182="DIESEL",SUMIFS(Table1[Amount],Table1[Customer],$P$3,Table1[Date],$A182,Table1[Bill No.],$B182),IF($K182="PETROL",SUMIFS(Table14[Amount],Table14[Customer],$P$3,Table14[Date],$A182,Table14[Bill No.],$B182),IF($K182="XtraGreen",SUMIFS(Table146[Amount],Table146[Company],$P$3,Table146[Date],$A182,Table146[Bill No.],$B182),SUMIFS('Other Sale'!$D:$D,'Other Sale'!$E:$E,$P$3,'Other Sale'!$C:$C,$K182,'Other Sale'!$A:$A,$A182)))))</f>
        <v/>
      </c>
      <c r="F182" s="330" t="str" cm="1">
        <f t="array" ref="F182">IF($A182="","",IF($K182="Payment",IFERROR(INDEX(_xlfn._xlws.FILTER(MasterPaid[Amount Paid],(MasterPaid[Customer]=$P$3)*(MasterPaid[Date]=$A182)),COUNTIFS($A$6:$A182,$A182,$K$6:$K182,"Payment")),0),0))</f>
        <v/>
      </c>
      <c r="G182" s="331" t="s">
        <v>13</v>
      </c>
      <c r="H182" s="331"/>
      <c r="I182" s="330" t="str">
        <f t="shared" si="15"/>
        <v/>
      </c>
      <c r="J182" s="275"/>
      <c r="K182" s="289" t="str" cm="1">
        <f t="array" ref="K182">IFERROR(INDEX(_xlfn.ANCHORARRAY($R$6),ROW()-5,3),"")</f>
        <v/>
      </c>
      <c r="L182" s="430" t="str" cm="1">
        <f t="array" ref="L182">IF(OR($A182="",$J182="",$K182&lt;&gt;"DIESEL"),"",_xlfn.LET(_xlpm.qty,N($C182),_xlpm.pos,IF($J182="UNIT 1",$V$5:$V$54,$AC$5:$AC$54),_xlpm.alo,IF($J182="UNIT 1",$W$5:$W$54,$AD$5:$AD$54),_xlpm.usd,SUMIFS($C$6:$C181,$L$6:$L181,_xlpm.pos&amp;"",$J$6:$J181,$J182),_xlpm.bal,N(_xlpm.alo)-_xlpm.usd,IFERROR(INDEX(_xlfn._xlws.FILTER(_xlpm.pos,(_xlpm.pos&lt;&gt;"")*(_xlpm.qty&gt;0)*(_xlpm.bal&gt;=_xlpm.qty)),1),"")))</f>
        <v/>
      </c>
      <c r="M182" s="290"/>
      <c r="AQ182" s="409"/>
      <c r="AR182" s="410"/>
      <c r="AS182" s="410"/>
      <c r="AT182" s="411"/>
      <c r="AU182" s="412"/>
      <c r="AV182" s="413"/>
      <c r="AW182" s="413"/>
      <c r="AX182" s="413"/>
      <c r="AY182" s="413"/>
      <c r="AZ182" s="413" t="str">
        <f t="shared" si="13"/>
        <v/>
      </c>
      <c r="BB182" s="409"/>
      <c r="BC182" s="410"/>
      <c r="BD182" s="410"/>
      <c r="BE182" s="411"/>
      <c r="BF182" s="412"/>
      <c r="BG182" s="413"/>
      <c r="BH182" s="413"/>
      <c r="BI182" s="413"/>
      <c r="BJ182" s="413"/>
      <c r="BK182" s="413" t="str">
        <f t="shared" si="14"/>
        <v/>
      </c>
    </row>
    <row r="183" spans="1:63" ht="23" x14ac:dyDescent="0.25">
      <c r="A183" s="217" t="str" cm="1">
        <f t="array" ref="A183">IFERROR(INDEX(_xlfn.ANCHORARRAY($R$6),ROW()-5,1),"")</f>
        <v/>
      </c>
      <c r="B183" s="289" t="str" cm="1">
        <f t="array" ref="B183">IFERROR(INDEX(_xlfn.ANCHORARRAY($R$6),ROW()-5,2),"")</f>
        <v/>
      </c>
      <c r="C183" s="218" t="str">
        <f>IF($A183="","",IF($K183="DIESEL",SUMIFS(Table1[Quantity],Table1[Customer],$P$3,Table1[Date],$A183,Table1[Bill No.],$B183),IF($K183="PETROL",SUMIFS(Table14[Quantity],Table14[Customer],$P$3,Table14[Date],$A183,Table14[Bill No.],$B183),IF($K183="XtraGreen",SUMIFS(Table146[Quantity],Table146[Company],$P$3,Table146[Date],$A183,Table146[Bill No.],$B183),""))))</f>
        <v/>
      </c>
      <c r="D183" s="223" t="str">
        <f>IF($A183="","",IF($K183="DIESEL",AVERAGEIFS(Table1[RSP],Table1[Customer],$P$3,Table1[Date],$A183,Table1[Bill No.],$B183),IF($K183="PETROL",AVERAGEIFS(Table14[RSP],Table14[Customer],$P$3,Table14[Date],$A183,Table14[Bill No.],$B183),IF($K183="XtraGreen",AVERAGEIFS(Table146[RSP],Table146[Company],$P$3,Table146[Date],$A183,Table146[Bill No.],$B183),IFERROR($E183/$C183,"")))))</f>
        <v/>
      </c>
      <c r="E183" s="330" t="str">
        <f>IF($A183="","",IF($K183="DIESEL",SUMIFS(Table1[Amount],Table1[Customer],$P$3,Table1[Date],$A183,Table1[Bill No.],$B183),IF($K183="PETROL",SUMIFS(Table14[Amount],Table14[Customer],$P$3,Table14[Date],$A183,Table14[Bill No.],$B183),IF($K183="XtraGreen",SUMIFS(Table146[Amount],Table146[Company],$P$3,Table146[Date],$A183,Table146[Bill No.],$B183),SUMIFS('Other Sale'!$D:$D,'Other Sale'!$E:$E,$P$3,'Other Sale'!$C:$C,$K183,'Other Sale'!$A:$A,$A183)))))</f>
        <v/>
      </c>
      <c r="F183" s="330" t="str" cm="1">
        <f t="array" ref="F183">IF($A183="","",IF($K183="Payment",IFERROR(INDEX(_xlfn._xlws.FILTER(MasterPaid[Amount Paid],(MasterPaid[Customer]=$P$3)*(MasterPaid[Date]=$A183)),COUNTIFS($A$6:$A183,$A183,$K$6:$K183,"Payment")),0),0))</f>
        <v/>
      </c>
      <c r="G183" s="331" t="s">
        <v>13</v>
      </c>
      <c r="H183" s="331"/>
      <c r="I183" s="330" t="str">
        <f t="shared" si="15"/>
        <v/>
      </c>
      <c r="J183" s="275"/>
      <c r="K183" s="289" t="str" cm="1">
        <f t="array" ref="K183">IFERROR(INDEX(_xlfn.ANCHORARRAY($R$6),ROW()-5,3),"")</f>
        <v/>
      </c>
      <c r="L183" s="430" t="str" cm="1">
        <f t="array" ref="L183">IF(OR($A183="",$J183="",$K183&lt;&gt;"DIESEL"),"",_xlfn.LET(_xlpm.qty,N($C183),_xlpm.pos,IF($J183="UNIT 1",$V$5:$V$54,$AC$5:$AC$54),_xlpm.alo,IF($J183="UNIT 1",$W$5:$W$54,$AD$5:$AD$54),_xlpm.usd,SUMIFS($C$6:$C182,$L$6:$L182,_xlpm.pos&amp;"",$J$6:$J182,$J183),_xlpm.bal,N(_xlpm.alo)-_xlpm.usd,IFERROR(INDEX(_xlfn._xlws.FILTER(_xlpm.pos,(_xlpm.pos&lt;&gt;"")*(_xlpm.qty&gt;0)*(_xlpm.bal&gt;=_xlpm.qty)),1),"")))</f>
        <v/>
      </c>
      <c r="M183" s="290"/>
      <c r="AQ183" s="409"/>
      <c r="AR183" s="410"/>
      <c r="AS183" s="410"/>
      <c r="AT183" s="411"/>
      <c r="AU183" s="412"/>
      <c r="AV183" s="413"/>
      <c r="AW183" s="413"/>
      <c r="AX183" s="413"/>
      <c r="AY183" s="413"/>
      <c r="AZ183" s="413" t="str">
        <f t="shared" si="13"/>
        <v/>
      </c>
      <c r="BB183" s="409"/>
      <c r="BC183" s="410"/>
      <c r="BD183" s="410"/>
      <c r="BE183" s="411"/>
      <c r="BF183" s="412"/>
      <c r="BG183" s="413"/>
      <c r="BH183" s="413"/>
      <c r="BI183" s="413"/>
      <c r="BJ183" s="413"/>
      <c r="BK183" s="413" t="str">
        <f t="shared" si="14"/>
        <v/>
      </c>
    </row>
    <row r="184" spans="1:63" ht="23" x14ac:dyDescent="0.25">
      <c r="A184" s="217" t="str" cm="1">
        <f t="array" ref="A184">IFERROR(INDEX(_xlfn.ANCHORARRAY($R$6),ROW()-5,1),"")</f>
        <v/>
      </c>
      <c r="B184" s="289" t="str" cm="1">
        <f t="array" ref="B184">IFERROR(INDEX(_xlfn.ANCHORARRAY($R$6),ROW()-5,2),"")</f>
        <v/>
      </c>
      <c r="C184" s="218" t="str">
        <f>IF($A184="","",IF($K184="DIESEL",SUMIFS(Table1[Quantity],Table1[Customer],$P$3,Table1[Date],$A184,Table1[Bill No.],$B184),IF($K184="PETROL",SUMIFS(Table14[Quantity],Table14[Customer],$P$3,Table14[Date],$A184,Table14[Bill No.],$B184),IF($K184="XtraGreen",SUMIFS(Table146[Quantity],Table146[Company],$P$3,Table146[Date],$A184,Table146[Bill No.],$B184),""))))</f>
        <v/>
      </c>
      <c r="D184" s="223" t="str">
        <f>IF($A184="","",IF($K184="DIESEL",AVERAGEIFS(Table1[RSP],Table1[Customer],$P$3,Table1[Date],$A184,Table1[Bill No.],$B184),IF($K184="PETROL",AVERAGEIFS(Table14[RSP],Table14[Customer],$P$3,Table14[Date],$A184,Table14[Bill No.],$B184),IF($K184="XtraGreen",AVERAGEIFS(Table146[RSP],Table146[Company],$P$3,Table146[Date],$A184,Table146[Bill No.],$B184),IFERROR($E184/$C184,"")))))</f>
        <v/>
      </c>
      <c r="E184" s="330" t="str">
        <f>IF($A184="","",IF($K184="DIESEL",SUMIFS(Table1[Amount],Table1[Customer],$P$3,Table1[Date],$A184,Table1[Bill No.],$B184),IF($K184="PETROL",SUMIFS(Table14[Amount],Table14[Customer],$P$3,Table14[Date],$A184,Table14[Bill No.],$B184),IF($K184="XtraGreen",SUMIFS(Table146[Amount],Table146[Company],$P$3,Table146[Date],$A184,Table146[Bill No.],$B184),SUMIFS('Other Sale'!$D:$D,'Other Sale'!$E:$E,$P$3,'Other Sale'!$C:$C,$K184,'Other Sale'!$A:$A,$A184)))))</f>
        <v/>
      </c>
      <c r="F184" s="330" t="str" cm="1">
        <f t="array" ref="F184">IF($A184="","",IF($K184="Payment",IFERROR(INDEX(_xlfn._xlws.FILTER(MasterPaid[Amount Paid],(MasterPaid[Customer]=$P$3)*(MasterPaid[Date]=$A184)),COUNTIFS($A$6:$A184,$A184,$K$6:$K184,"Payment")),0),0))</f>
        <v/>
      </c>
      <c r="G184" s="331" t="s">
        <v>13</v>
      </c>
      <c r="H184" s="331"/>
      <c r="I184" s="330" t="str">
        <f t="shared" si="15"/>
        <v/>
      </c>
      <c r="J184" s="275"/>
      <c r="K184" s="289" t="str" cm="1">
        <f t="array" ref="K184">IFERROR(INDEX(_xlfn.ANCHORARRAY($R$6),ROW()-5,3),"")</f>
        <v/>
      </c>
      <c r="L184" s="430" t="str" cm="1">
        <f t="array" ref="L184">IF(OR($A184="",$J184="",$K184&lt;&gt;"DIESEL"),"",_xlfn.LET(_xlpm.qty,N($C184),_xlpm.pos,IF($J184="UNIT 1",$V$5:$V$54,$AC$5:$AC$54),_xlpm.alo,IF($J184="UNIT 1",$W$5:$W$54,$AD$5:$AD$54),_xlpm.usd,SUMIFS($C$6:$C183,$L$6:$L183,_xlpm.pos&amp;"",$J$6:$J183,$J184),_xlpm.bal,N(_xlpm.alo)-_xlpm.usd,IFERROR(INDEX(_xlfn._xlws.FILTER(_xlpm.pos,(_xlpm.pos&lt;&gt;"")*(_xlpm.qty&gt;0)*(_xlpm.bal&gt;=_xlpm.qty)),1),"")))</f>
        <v/>
      </c>
      <c r="M184" s="290"/>
      <c r="AQ184" s="409"/>
      <c r="AR184" s="410"/>
      <c r="AS184" s="410"/>
      <c r="AT184" s="411"/>
      <c r="AU184" s="412"/>
      <c r="AV184" s="413"/>
      <c r="AW184" s="413"/>
      <c r="AX184" s="413"/>
      <c r="AY184" s="413"/>
      <c r="AZ184" s="413" t="str">
        <f t="shared" si="13"/>
        <v/>
      </c>
      <c r="BB184" s="409"/>
      <c r="BC184" s="410"/>
      <c r="BD184" s="410"/>
      <c r="BE184" s="411"/>
      <c r="BF184" s="412"/>
      <c r="BG184" s="413"/>
      <c r="BH184" s="413"/>
      <c r="BI184" s="413"/>
      <c r="BJ184" s="413"/>
      <c r="BK184" s="413" t="str">
        <f t="shared" si="14"/>
        <v/>
      </c>
    </row>
    <row r="185" spans="1:63" ht="23" x14ac:dyDescent="0.25">
      <c r="A185" s="217" t="str" cm="1">
        <f t="array" ref="A185">IFERROR(INDEX(_xlfn.ANCHORARRAY($R$6),ROW()-5,1),"")</f>
        <v/>
      </c>
      <c r="B185" s="289" t="str" cm="1">
        <f t="array" ref="B185">IFERROR(INDEX(_xlfn.ANCHORARRAY($R$6),ROW()-5,2),"")</f>
        <v/>
      </c>
      <c r="C185" s="218" t="str">
        <f>IF($A185="","",IF($K185="DIESEL",SUMIFS(Table1[Quantity],Table1[Customer],$P$3,Table1[Date],$A185,Table1[Bill No.],$B185),IF($K185="PETROL",SUMIFS(Table14[Quantity],Table14[Customer],$P$3,Table14[Date],$A185,Table14[Bill No.],$B185),IF($K185="XtraGreen",SUMIFS(Table146[Quantity],Table146[Company],$P$3,Table146[Date],$A185,Table146[Bill No.],$B185),""))))</f>
        <v/>
      </c>
      <c r="D185" s="223" t="str">
        <f>IF($A185="","",IF($K185="DIESEL",AVERAGEIFS(Table1[RSP],Table1[Customer],$P$3,Table1[Date],$A185,Table1[Bill No.],$B185),IF($K185="PETROL",AVERAGEIFS(Table14[RSP],Table14[Customer],$P$3,Table14[Date],$A185,Table14[Bill No.],$B185),IF($K185="XtraGreen",AVERAGEIFS(Table146[RSP],Table146[Company],$P$3,Table146[Date],$A185,Table146[Bill No.],$B185),IFERROR($E185/$C185,"")))))</f>
        <v/>
      </c>
      <c r="E185" s="330" t="str">
        <f>IF($A185="","",IF($K185="DIESEL",SUMIFS(Table1[Amount],Table1[Customer],$P$3,Table1[Date],$A185,Table1[Bill No.],$B185),IF($K185="PETROL",SUMIFS(Table14[Amount],Table14[Customer],$P$3,Table14[Date],$A185,Table14[Bill No.],$B185),IF($K185="XtraGreen",SUMIFS(Table146[Amount],Table146[Company],$P$3,Table146[Date],$A185,Table146[Bill No.],$B185),SUMIFS('Other Sale'!$D:$D,'Other Sale'!$E:$E,$P$3,'Other Sale'!$C:$C,$K185,'Other Sale'!$A:$A,$A185)))))</f>
        <v/>
      </c>
      <c r="F185" s="330" t="str" cm="1">
        <f t="array" ref="F185">IF($A185="","",IF($K185="Payment",IFERROR(INDEX(_xlfn._xlws.FILTER(MasterPaid[Amount Paid],(MasterPaid[Customer]=$P$3)*(MasterPaid[Date]=$A185)),COUNTIFS($A$6:$A185,$A185,$K$6:$K185,"Payment")),0),0))</f>
        <v/>
      </c>
      <c r="G185" s="331" t="s">
        <v>13</v>
      </c>
      <c r="H185" s="331"/>
      <c r="I185" s="330" t="str">
        <f t="shared" si="15"/>
        <v/>
      </c>
      <c r="J185" s="275"/>
      <c r="K185" s="289" t="str" cm="1">
        <f t="array" ref="K185">IFERROR(INDEX(_xlfn.ANCHORARRAY($R$6),ROW()-5,3),"")</f>
        <v/>
      </c>
      <c r="L185" s="430" t="str" cm="1">
        <f t="array" ref="L185">IF(OR($A185="",$J185="",$K185&lt;&gt;"DIESEL"),"",_xlfn.LET(_xlpm.qty,N($C185),_xlpm.pos,IF($J185="UNIT 1",$V$5:$V$54,$AC$5:$AC$54),_xlpm.alo,IF($J185="UNIT 1",$W$5:$W$54,$AD$5:$AD$54),_xlpm.usd,SUMIFS($C$6:$C184,$L$6:$L184,_xlpm.pos&amp;"",$J$6:$J184,$J185),_xlpm.bal,N(_xlpm.alo)-_xlpm.usd,IFERROR(INDEX(_xlfn._xlws.FILTER(_xlpm.pos,(_xlpm.pos&lt;&gt;"")*(_xlpm.qty&gt;0)*(_xlpm.bal&gt;=_xlpm.qty)),1),"")))</f>
        <v/>
      </c>
      <c r="M185" s="290"/>
      <c r="AQ185" s="409"/>
      <c r="AR185" s="410"/>
      <c r="AS185" s="410"/>
      <c r="AT185" s="411"/>
      <c r="AU185" s="412"/>
      <c r="AV185" s="413"/>
      <c r="AW185" s="413"/>
      <c r="AX185" s="413"/>
      <c r="AY185" s="413"/>
      <c r="AZ185" s="413" t="str">
        <f t="shared" si="13"/>
        <v/>
      </c>
      <c r="BB185" s="409"/>
      <c r="BC185" s="410"/>
      <c r="BD185" s="410"/>
      <c r="BE185" s="411"/>
      <c r="BF185" s="412"/>
      <c r="BG185" s="413"/>
      <c r="BH185" s="413"/>
      <c r="BI185" s="413"/>
      <c r="BJ185" s="413"/>
      <c r="BK185" s="413" t="str">
        <f t="shared" si="14"/>
        <v/>
      </c>
    </row>
    <row r="186" spans="1:63" ht="23" x14ac:dyDescent="0.25">
      <c r="A186" s="217" t="str" cm="1">
        <f t="array" ref="A186">IFERROR(INDEX(_xlfn.ANCHORARRAY($R$6),ROW()-5,1),"")</f>
        <v/>
      </c>
      <c r="B186" s="289" t="str" cm="1">
        <f t="array" ref="B186">IFERROR(INDEX(_xlfn.ANCHORARRAY($R$6),ROW()-5,2),"")</f>
        <v/>
      </c>
      <c r="C186" s="218" t="str">
        <f>IF($A186="","",IF($K186="DIESEL",SUMIFS(Table1[Quantity],Table1[Customer],$P$3,Table1[Date],$A186,Table1[Bill No.],$B186),IF($K186="PETROL",SUMIFS(Table14[Quantity],Table14[Customer],$P$3,Table14[Date],$A186,Table14[Bill No.],$B186),IF($K186="XtraGreen",SUMIFS(Table146[Quantity],Table146[Company],$P$3,Table146[Date],$A186,Table146[Bill No.],$B186),""))))</f>
        <v/>
      </c>
      <c r="D186" s="223" t="str">
        <f>IF($A186="","",IF($K186="DIESEL",AVERAGEIFS(Table1[RSP],Table1[Customer],$P$3,Table1[Date],$A186,Table1[Bill No.],$B186),IF($K186="PETROL",AVERAGEIFS(Table14[RSP],Table14[Customer],$P$3,Table14[Date],$A186,Table14[Bill No.],$B186),IF($K186="XtraGreen",AVERAGEIFS(Table146[RSP],Table146[Company],$P$3,Table146[Date],$A186,Table146[Bill No.],$B186),IFERROR($E186/$C186,"")))))</f>
        <v/>
      </c>
      <c r="E186" s="330" t="str">
        <f>IF($A186="","",IF($K186="DIESEL",SUMIFS(Table1[Amount],Table1[Customer],$P$3,Table1[Date],$A186,Table1[Bill No.],$B186),IF($K186="PETROL",SUMIFS(Table14[Amount],Table14[Customer],$P$3,Table14[Date],$A186,Table14[Bill No.],$B186),IF($K186="XtraGreen",SUMIFS(Table146[Amount],Table146[Company],$P$3,Table146[Date],$A186,Table146[Bill No.],$B186),SUMIFS('Other Sale'!$D:$D,'Other Sale'!$E:$E,$P$3,'Other Sale'!$C:$C,$K186,'Other Sale'!$A:$A,$A186)))))</f>
        <v/>
      </c>
      <c r="F186" s="330" t="str" cm="1">
        <f t="array" ref="F186">IF($A186="","",IF($K186="Payment",IFERROR(INDEX(_xlfn._xlws.FILTER(MasterPaid[Amount Paid],(MasterPaid[Customer]=$P$3)*(MasterPaid[Date]=$A186)),COUNTIFS($A$6:$A186,$A186,$K$6:$K186,"Payment")),0),0))</f>
        <v/>
      </c>
      <c r="G186" s="331" t="s">
        <v>13</v>
      </c>
      <c r="H186" s="331"/>
      <c r="I186" s="330" t="str">
        <f t="shared" si="15"/>
        <v/>
      </c>
      <c r="J186" s="275"/>
      <c r="K186" s="289" t="str" cm="1">
        <f t="array" ref="K186">IFERROR(INDEX(_xlfn.ANCHORARRAY($R$6),ROW()-5,3),"")</f>
        <v/>
      </c>
      <c r="L186" s="430" t="str" cm="1">
        <f t="array" ref="L186">IF(OR($A186="",$J186="",$K186&lt;&gt;"DIESEL"),"",_xlfn.LET(_xlpm.qty,N($C186),_xlpm.pos,IF($J186="UNIT 1",$V$5:$V$54,$AC$5:$AC$54),_xlpm.alo,IF($J186="UNIT 1",$W$5:$W$54,$AD$5:$AD$54),_xlpm.usd,SUMIFS($C$6:$C185,$L$6:$L185,_xlpm.pos&amp;"",$J$6:$J185,$J186),_xlpm.bal,N(_xlpm.alo)-_xlpm.usd,IFERROR(INDEX(_xlfn._xlws.FILTER(_xlpm.pos,(_xlpm.pos&lt;&gt;"")*(_xlpm.qty&gt;0)*(_xlpm.bal&gt;=_xlpm.qty)),1),"")))</f>
        <v/>
      </c>
      <c r="M186" s="290"/>
      <c r="AQ186" s="409"/>
      <c r="AR186" s="410"/>
      <c r="AS186" s="410"/>
      <c r="AT186" s="411"/>
      <c r="AU186" s="412"/>
      <c r="AV186" s="413"/>
      <c r="AW186" s="413"/>
      <c r="AX186" s="413"/>
      <c r="AY186" s="413"/>
      <c r="AZ186" s="413" t="str">
        <f t="shared" si="13"/>
        <v/>
      </c>
      <c r="BB186" s="409"/>
      <c r="BC186" s="410"/>
      <c r="BD186" s="410"/>
      <c r="BE186" s="411"/>
      <c r="BF186" s="412"/>
      <c r="BG186" s="413"/>
      <c r="BH186" s="413"/>
      <c r="BI186" s="413"/>
      <c r="BJ186" s="413"/>
      <c r="BK186" s="413" t="str">
        <f t="shared" si="14"/>
        <v/>
      </c>
    </row>
    <row r="187" spans="1:63" ht="23" x14ac:dyDescent="0.25">
      <c r="A187" s="217" t="str" cm="1">
        <f t="array" ref="A187">IFERROR(INDEX(_xlfn.ANCHORARRAY($R$6),ROW()-5,1),"")</f>
        <v/>
      </c>
      <c r="B187" s="289" t="str" cm="1">
        <f t="array" ref="B187">IFERROR(INDEX(_xlfn.ANCHORARRAY($R$6),ROW()-5,2),"")</f>
        <v/>
      </c>
      <c r="C187" s="218" t="str">
        <f>IF($A187="","",IF($K187="DIESEL",SUMIFS(Table1[Quantity],Table1[Customer],$P$3,Table1[Date],$A187,Table1[Bill No.],$B187),IF($K187="PETROL",SUMIFS(Table14[Quantity],Table14[Customer],$P$3,Table14[Date],$A187,Table14[Bill No.],$B187),IF($K187="XtraGreen",SUMIFS(Table146[Quantity],Table146[Company],$P$3,Table146[Date],$A187,Table146[Bill No.],$B187),""))))</f>
        <v/>
      </c>
      <c r="D187" s="223" t="str">
        <f>IF($A187="","",IF($K187="DIESEL",AVERAGEIFS(Table1[RSP],Table1[Customer],$P$3,Table1[Date],$A187,Table1[Bill No.],$B187),IF($K187="PETROL",AVERAGEIFS(Table14[RSP],Table14[Customer],$P$3,Table14[Date],$A187,Table14[Bill No.],$B187),IF($K187="XtraGreen",AVERAGEIFS(Table146[RSP],Table146[Company],$P$3,Table146[Date],$A187,Table146[Bill No.],$B187),IFERROR($E187/$C187,"")))))</f>
        <v/>
      </c>
      <c r="E187" s="330" t="str">
        <f>IF($A187="","",IF($K187="DIESEL",SUMIFS(Table1[Amount],Table1[Customer],$P$3,Table1[Date],$A187,Table1[Bill No.],$B187),IF($K187="PETROL",SUMIFS(Table14[Amount],Table14[Customer],$P$3,Table14[Date],$A187,Table14[Bill No.],$B187),IF($K187="XtraGreen",SUMIFS(Table146[Amount],Table146[Company],$P$3,Table146[Date],$A187,Table146[Bill No.],$B187),SUMIFS('Other Sale'!$D:$D,'Other Sale'!$E:$E,$P$3,'Other Sale'!$C:$C,$K187,'Other Sale'!$A:$A,$A187)))))</f>
        <v/>
      </c>
      <c r="F187" s="330" t="str" cm="1">
        <f t="array" ref="F187">IF($A187="","",IF($K187="Payment",IFERROR(INDEX(_xlfn._xlws.FILTER(MasterPaid[Amount Paid],(MasterPaid[Customer]=$P$3)*(MasterPaid[Date]=$A187)),COUNTIFS($A$6:$A187,$A187,$K$6:$K187,"Payment")),0),0))</f>
        <v/>
      </c>
      <c r="G187" s="331" t="s">
        <v>13</v>
      </c>
      <c r="H187" s="331"/>
      <c r="I187" s="330" t="str">
        <f t="shared" si="15"/>
        <v/>
      </c>
      <c r="J187" s="275"/>
      <c r="K187" s="289" t="str" cm="1">
        <f t="array" ref="K187">IFERROR(INDEX(_xlfn.ANCHORARRAY($R$6),ROW()-5,3),"")</f>
        <v/>
      </c>
      <c r="L187" s="430" t="str" cm="1">
        <f t="array" ref="L187">IF(OR($A187="",$J187="",$K187&lt;&gt;"DIESEL"),"",_xlfn.LET(_xlpm.qty,N($C187),_xlpm.pos,IF($J187="UNIT 1",$V$5:$V$54,$AC$5:$AC$54),_xlpm.alo,IF($J187="UNIT 1",$W$5:$W$54,$AD$5:$AD$54),_xlpm.usd,SUMIFS($C$6:$C186,$L$6:$L186,_xlpm.pos&amp;"",$J$6:$J186,$J187),_xlpm.bal,N(_xlpm.alo)-_xlpm.usd,IFERROR(INDEX(_xlfn._xlws.FILTER(_xlpm.pos,(_xlpm.pos&lt;&gt;"")*(_xlpm.qty&gt;0)*(_xlpm.bal&gt;=_xlpm.qty)),1),"")))</f>
        <v/>
      </c>
      <c r="M187" s="290"/>
      <c r="AQ187" s="409"/>
      <c r="AR187" s="410"/>
      <c r="AS187" s="410"/>
      <c r="AT187" s="411"/>
      <c r="AU187" s="412"/>
      <c r="AV187" s="413"/>
      <c r="AW187" s="413"/>
      <c r="AX187" s="413"/>
      <c r="AY187" s="413"/>
      <c r="AZ187" s="413" t="str">
        <f t="shared" si="13"/>
        <v/>
      </c>
      <c r="BB187" s="409"/>
      <c r="BC187" s="410"/>
      <c r="BD187" s="410"/>
      <c r="BE187" s="411"/>
      <c r="BF187" s="412"/>
      <c r="BG187" s="413"/>
      <c r="BH187" s="413"/>
      <c r="BI187" s="413"/>
      <c r="BJ187" s="413"/>
      <c r="BK187" s="413" t="str">
        <f t="shared" si="14"/>
        <v/>
      </c>
    </row>
    <row r="188" spans="1:63" ht="23" x14ac:dyDescent="0.25">
      <c r="A188" s="217" t="str" cm="1">
        <f t="array" ref="A188">IFERROR(INDEX(_xlfn.ANCHORARRAY($R$6),ROW()-5,1),"")</f>
        <v/>
      </c>
      <c r="B188" s="289" t="str" cm="1">
        <f t="array" ref="B188">IFERROR(INDEX(_xlfn.ANCHORARRAY($R$6),ROW()-5,2),"")</f>
        <v/>
      </c>
      <c r="C188" s="218" t="str">
        <f>IF($A188="","",IF($K188="DIESEL",SUMIFS(Table1[Quantity],Table1[Customer],$P$3,Table1[Date],$A188,Table1[Bill No.],$B188),IF($K188="PETROL",SUMIFS(Table14[Quantity],Table14[Customer],$P$3,Table14[Date],$A188,Table14[Bill No.],$B188),IF($K188="XtraGreen",SUMIFS(Table146[Quantity],Table146[Company],$P$3,Table146[Date],$A188,Table146[Bill No.],$B188),""))))</f>
        <v/>
      </c>
      <c r="D188" s="223" t="str">
        <f>IF($A188="","",IF($K188="DIESEL",AVERAGEIFS(Table1[RSP],Table1[Customer],$P$3,Table1[Date],$A188,Table1[Bill No.],$B188),IF($K188="PETROL",AVERAGEIFS(Table14[RSP],Table14[Customer],$P$3,Table14[Date],$A188,Table14[Bill No.],$B188),IF($K188="XtraGreen",AVERAGEIFS(Table146[RSP],Table146[Company],$P$3,Table146[Date],$A188,Table146[Bill No.],$B188),IFERROR($E188/$C188,"")))))</f>
        <v/>
      </c>
      <c r="E188" s="330" t="str">
        <f>IF($A188="","",IF($K188="DIESEL",SUMIFS(Table1[Amount],Table1[Customer],$P$3,Table1[Date],$A188,Table1[Bill No.],$B188),IF($K188="PETROL",SUMIFS(Table14[Amount],Table14[Customer],$P$3,Table14[Date],$A188,Table14[Bill No.],$B188),IF($K188="XtraGreen",SUMIFS(Table146[Amount],Table146[Company],$P$3,Table146[Date],$A188,Table146[Bill No.],$B188),SUMIFS('Other Sale'!$D:$D,'Other Sale'!$E:$E,$P$3,'Other Sale'!$C:$C,$K188,'Other Sale'!$A:$A,$A188)))))</f>
        <v/>
      </c>
      <c r="F188" s="330" t="str" cm="1">
        <f t="array" ref="F188">IF($A188="","",IF($K188="Payment",IFERROR(INDEX(_xlfn._xlws.FILTER(MasterPaid[Amount Paid],(MasterPaid[Customer]=$P$3)*(MasterPaid[Date]=$A188)),COUNTIFS($A$6:$A188,$A188,$K$6:$K188,"Payment")),0),0))</f>
        <v/>
      </c>
      <c r="G188" s="331" t="s">
        <v>13</v>
      </c>
      <c r="H188" s="331"/>
      <c r="I188" s="330" t="str">
        <f t="shared" si="15"/>
        <v/>
      </c>
      <c r="J188" s="275"/>
      <c r="K188" s="289" t="str" cm="1">
        <f t="array" ref="K188">IFERROR(INDEX(_xlfn.ANCHORARRAY($R$6),ROW()-5,3),"")</f>
        <v/>
      </c>
      <c r="L188" s="430" t="str" cm="1">
        <f t="array" ref="L188">IF(OR($A188="",$J188="",$K188&lt;&gt;"DIESEL"),"",_xlfn.LET(_xlpm.qty,N($C188),_xlpm.pos,IF($J188="UNIT 1",$V$5:$V$54,$AC$5:$AC$54),_xlpm.alo,IF($J188="UNIT 1",$W$5:$W$54,$AD$5:$AD$54),_xlpm.usd,SUMIFS($C$6:$C187,$L$6:$L187,_xlpm.pos&amp;"",$J$6:$J187,$J188),_xlpm.bal,N(_xlpm.alo)-_xlpm.usd,IFERROR(INDEX(_xlfn._xlws.FILTER(_xlpm.pos,(_xlpm.pos&lt;&gt;"")*(_xlpm.qty&gt;0)*(_xlpm.bal&gt;=_xlpm.qty)),1),"")))</f>
        <v/>
      </c>
      <c r="M188" s="290"/>
      <c r="AQ188" s="409"/>
      <c r="AR188" s="410"/>
      <c r="AS188" s="410"/>
      <c r="AT188" s="411"/>
      <c r="AU188" s="412"/>
      <c r="AV188" s="413"/>
      <c r="AW188" s="413"/>
      <c r="AX188" s="413"/>
      <c r="AY188" s="413"/>
      <c r="AZ188" s="413" t="str">
        <f t="shared" si="13"/>
        <v/>
      </c>
      <c r="BB188" s="409"/>
      <c r="BC188" s="410"/>
      <c r="BD188" s="410"/>
      <c r="BE188" s="411"/>
      <c r="BF188" s="412"/>
      <c r="BG188" s="413"/>
      <c r="BH188" s="413"/>
      <c r="BI188" s="413"/>
      <c r="BJ188" s="413"/>
      <c r="BK188" s="413" t="str">
        <f t="shared" si="14"/>
        <v/>
      </c>
    </row>
    <row r="189" spans="1:63" ht="23" x14ac:dyDescent="0.25">
      <c r="A189" s="217" t="str" cm="1">
        <f t="array" ref="A189">IFERROR(INDEX(_xlfn.ANCHORARRAY($R$6),ROW()-5,1),"")</f>
        <v/>
      </c>
      <c r="B189" s="289" t="str" cm="1">
        <f t="array" ref="B189">IFERROR(INDEX(_xlfn.ANCHORARRAY($R$6),ROW()-5,2),"")</f>
        <v/>
      </c>
      <c r="C189" s="218" t="str">
        <f>IF($A189="","",IF($K189="DIESEL",SUMIFS(Table1[Quantity],Table1[Customer],$P$3,Table1[Date],$A189,Table1[Bill No.],$B189),IF($K189="PETROL",SUMIFS(Table14[Quantity],Table14[Customer],$P$3,Table14[Date],$A189,Table14[Bill No.],$B189),IF($K189="XtraGreen",SUMIFS(Table146[Quantity],Table146[Company],$P$3,Table146[Date],$A189,Table146[Bill No.],$B189),""))))</f>
        <v/>
      </c>
      <c r="D189" s="223" t="str">
        <f>IF($A189="","",IF($K189="DIESEL",AVERAGEIFS(Table1[RSP],Table1[Customer],$P$3,Table1[Date],$A189,Table1[Bill No.],$B189),IF($K189="PETROL",AVERAGEIFS(Table14[RSP],Table14[Customer],$P$3,Table14[Date],$A189,Table14[Bill No.],$B189),IF($K189="XtraGreen",AVERAGEIFS(Table146[RSP],Table146[Company],$P$3,Table146[Date],$A189,Table146[Bill No.],$B189),IFERROR($E189/$C189,"")))))</f>
        <v/>
      </c>
      <c r="E189" s="330" t="str">
        <f>IF($A189="","",IF($K189="DIESEL",SUMIFS(Table1[Amount],Table1[Customer],$P$3,Table1[Date],$A189,Table1[Bill No.],$B189),IF($K189="PETROL",SUMIFS(Table14[Amount],Table14[Customer],$P$3,Table14[Date],$A189,Table14[Bill No.],$B189),IF($K189="XtraGreen",SUMIFS(Table146[Amount],Table146[Company],$P$3,Table146[Date],$A189,Table146[Bill No.],$B189),SUMIFS('Other Sale'!$D:$D,'Other Sale'!$E:$E,$P$3,'Other Sale'!$C:$C,$K189,'Other Sale'!$A:$A,$A189)))))</f>
        <v/>
      </c>
      <c r="F189" s="330" t="str" cm="1">
        <f t="array" ref="F189">IF($A189="","",IF($K189="Payment",IFERROR(INDEX(_xlfn._xlws.FILTER(MasterPaid[Amount Paid],(MasterPaid[Customer]=$P$3)*(MasterPaid[Date]=$A189)),COUNTIFS($A$6:$A189,$A189,$K$6:$K189,"Payment")),0),0))</f>
        <v/>
      </c>
      <c r="G189" s="331" t="s">
        <v>13</v>
      </c>
      <c r="H189" s="331"/>
      <c r="I189" s="330" t="str">
        <f t="shared" si="15"/>
        <v/>
      </c>
      <c r="J189" s="275"/>
      <c r="K189" s="289" t="str" cm="1">
        <f t="array" ref="K189">IFERROR(INDEX(_xlfn.ANCHORARRAY($R$6),ROW()-5,3),"")</f>
        <v/>
      </c>
      <c r="L189" s="430" t="str" cm="1">
        <f t="array" ref="L189">IF(OR($A189="",$J189="",$K189&lt;&gt;"DIESEL"),"",_xlfn.LET(_xlpm.qty,N($C189),_xlpm.pos,IF($J189="UNIT 1",$V$5:$V$54,$AC$5:$AC$54),_xlpm.alo,IF($J189="UNIT 1",$W$5:$W$54,$AD$5:$AD$54),_xlpm.usd,SUMIFS($C$6:$C188,$L$6:$L188,_xlpm.pos&amp;"",$J$6:$J188,$J189),_xlpm.bal,N(_xlpm.alo)-_xlpm.usd,IFERROR(INDEX(_xlfn._xlws.FILTER(_xlpm.pos,(_xlpm.pos&lt;&gt;"")*(_xlpm.qty&gt;0)*(_xlpm.bal&gt;=_xlpm.qty)),1),"")))</f>
        <v/>
      </c>
      <c r="M189" s="290"/>
      <c r="AQ189" s="409"/>
      <c r="AR189" s="410"/>
      <c r="AS189" s="410"/>
      <c r="AT189" s="411"/>
      <c r="AU189" s="412"/>
      <c r="AV189" s="413"/>
      <c r="AW189" s="413"/>
      <c r="AX189" s="413"/>
      <c r="AY189" s="413"/>
      <c r="AZ189" s="413" t="str">
        <f t="shared" si="13"/>
        <v/>
      </c>
      <c r="BB189" s="409"/>
      <c r="BC189" s="410"/>
      <c r="BD189" s="410"/>
      <c r="BE189" s="411"/>
      <c r="BF189" s="412"/>
      <c r="BG189" s="413"/>
      <c r="BH189" s="413"/>
      <c r="BI189" s="413"/>
      <c r="BJ189" s="413"/>
      <c r="BK189" s="413" t="str">
        <f t="shared" si="14"/>
        <v/>
      </c>
    </row>
    <row r="190" spans="1:63" ht="23" x14ac:dyDescent="0.25">
      <c r="A190" s="217" t="str" cm="1">
        <f t="array" ref="A190">IFERROR(INDEX(_xlfn.ANCHORARRAY($R$6),ROW()-5,1),"")</f>
        <v/>
      </c>
      <c r="B190" s="289" t="str" cm="1">
        <f t="array" ref="B190">IFERROR(INDEX(_xlfn.ANCHORARRAY($R$6),ROW()-5,2),"")</f>
        <v/>
      </c>
      <c r="C190" s="218" t="str">
        <f>IF($A190="","",IF($K190="DIESEL",SUMIFS(Table1[Quantity],Table1[Customer],$P$3,Table1[Date],$A190,Table1[Bill No.],$B190),IF($K190="PETROL",SUMIFS(Table14[Quantity],Table14[Customer],$P$3,Table14[Date],$A190,Table14[Bill No.],$B190),IF($K190="XtraGreen",SUMIFS(Table146[Quantity],Table146[Company],$P$3,Table146[Date],$A190,Table146[Bill No.],$B190),""))))</f>
        <v/>
      </c>
      <c r="D190" s="223" t="str">
        <f>IF($A190="","",IF($K190="DIESEL",AVERAGEIFS(Table1[RSP],Table1[Customer],$P$3,Table1[Date],$A190,Table1[Bill No.],$B190),IF($K190="PETROL",AVERAGEIFS(Table14[RSP],Table14[Customer],$P$3,Table14[Date],$A190,Table14[Bill No.],$B190),IF($K190="XtraGreen",AVERAGEIFS(Table146[RSP],Table146[Company],$P$3,Table146[Date],$A190,Table146[Bill No.],$B190),IFERROR($E190/$C190,"")))))</f>
        <v/>
      </c>
      <c r="E190" s="330" t="str">
        <f>IF($A190="","",IF($K190="DIESEL",SUMIFS(Table1[Amount],Table1[Customer],$P$3,Table1[Date],$A190,Table1[Bill No.],$B190),IF($K190="PETROL",SUMIFS(Table14[Amount],Table14[Customer],$P$3,Table14[Date],$A190,Table14[Bill No.],$B190),IF($K190="XtraGreen",SUMIFS(Table146[Amount],Table146[Company],$P$3,Table146[Date],$A190,Table146[Bill No.],$B190),SUMIFS('Other Sale'!$D:$D,'Other Sale'!$E:$E,$P$3,'Other Sale'!$C:$C,$K190,'Other Sale'!$A:$A,$A190)))))</f>
        <v/>
      </c>
      <c r="F190" s="330" t="str" cm="1">
        <f t="array" ref="F190">IF($A190="","",IF($K190="Payment",IFERROR(INDEX(_xlfn._xlws.FILTER(MasterPaid[Amount Paid],(MasterPaid[Customer]=$P$3)*(MasterPaid[Date]=$A190)),COUNTIFS($A$6:$A190,$A190,$K$6:$K190,"Payment")),0),0))</f>
        <v/>
      </c>
      <c r="G190" s="331" t="s">
        <v>13</v>
      </c>
      <c r="H190" s="331"/>
      <c r="I190" s="330" t="str">
        <f t="shared" si="15"/>
        <v/>
      </c>
      <c r="J190" s="275"/>
      <c r="K190" s="289" t="str" cm="1">
        <f t="array" ref="K190">IFERROR(INDEX(_xlfn.ANCHORARRAY($R$6),ROW()-5,3),"")</f>
        <v/>
      </c>
      <c r="L190" s="430" t="str" cm="1">
        <f t="array" ref="L190">IF(OR($A190="",$J190="",$K190&lt;&gt;"DIESEL"),"",_xlfn.LET(_xlpm.qty,N($C190),_xlpm.pos,IF($J190="UNIT 1",$V$5:$V$54,$AC$5:$AC$54),_xlpm.alo,IF($J190="UNIT 1",$W$5:$W$54,$AD$5:$AD$54),_xlpm.usd,SUMIFS($C$6:$C189,$L$6:$L189,_xlpm.pos&amp;"",$J$6:$J189,$J190),_xlpm.bal,N(_xlpm.alo)-_xlpm.usd,IFERROR(INDEX(_xlfn._xlws.FILTER(_xlpm.pos,(_xlpm.pos&lt;&gt;"")*(_xlpm.qty&gt;0)*(_xlpm.bal&gt;=_xlpm.qty)),1),"")))</f>
        <v/>
      </c>
      <c r="M190" s="290"/>
      <c r="AQ190" s="409"/>
      <c r="AR190" s="410"/>
      <c r="AS190" s="410"/>
      <c r="AT190" s="411"/>
      <c r="AU190" s="412"/>
      <c r="AV190" s="413"/>
      <c r="AW190" s="413"/>
      <c r="AX190" s="413"/>
      <c r="AY190" s="413"/>
      <c r="AZ190" s="413" t="str">
        <f t="shared" si="13"/>
        <v/>
      </c>
      <c r="BB190" s="409"/>
      <c r="BC190" s="410"/>
      <c r="BD190" s="410"/>
      <c r="BE190" s="411"/>
      <c r="BF190" s="412"/>
      <c r="BG190" s="413"/>
      <c r="BH190" s="413"/>
      <c r="BI190" s="413"/>
      <c r="BJ190" s="413"/>
      <c r="BK190" s="413" t="str">
        <f t="shared" si="14"/>
        <v/>
      </c>
    </row>
    <row r="191" spans="1:63" ht="23" x14ac:dyDescent="0.25">
      <c r="A191" s="217" t="str" cm="1">
        <f t="array" ref="A191">IFERROR(INDEX(_xlfn.ANCHORARRAY($R$6),ROW()-5,1),"")</f>
        <v/>
      </c>
      <c r="B191" s="289" t="str" cm="1">
        <f t="array" ref="B191">IFERROR(INDEX(_xlfn.ANCHORARRAY($R$6),ROW()-5,2),"")</f>
        <v/>
      </c>
      <c r="C191" s="218" t="str">
        <f>IF($A191="","",IF($K191="DIESEL",SUMIFS(Table1[Quantity],Table1[Customer],$P$3,Table1[Date],$A191,Table1[Bill No.],$B191),IF($K191="PETROL",SUMIFS(Table14[Quantity],Table14[Customer],$P$3,Table14[Date],$A191,Table14[Bill No.],$B191),IF($K191="XtraGreen",SUMIFS(Table146[Quantity],Table146[Company],$P$3,Table146[Date],$A191,Table146[Bill No.],$B191),""))))</f>
        <v/>
      </c>
      <c r="D191" s="223" t="str">
        <f>IF($A191="","",IF($K191="DIESEL",AVERAGEIFS(Table1[RSP],Table1[Customer],$P$3,Table1[Date],$A191,Table1[Bill No.],$B191),IF($K191="PETROL",AVERAGEIFS(Table14[RSP],Table14[Customer],$P$3,Table14[Date],$A191,Table14[Bill No.],$B191),IF($K191="XtraGreen",AVERAGEIFS(Table146[RSP],Table146[Company],$P$3,Table146[Date],$A191,Table146[Bill No.],$B191),IFERROR($E191/$C191,"")))))</f>
        <v/>
      </c>
      <c r="E191" s="330" t="str">
        <f>IF($A191="","",IF($K191="DIESEL",SUMIFS(Table1[Amount],Table1[Customer],$P$3,Table1[Date],$A191,Table1[Bill No.],$B191),IF($K191="PETROL",SUMIFS(Table14[Amount],Table14[Customer],$P$3,Table14[Date],$A191,Table14[Bill No.],$B191),IF($K191="XtraGreen",SUMIFS(Table146[Amount],Table146[Company],$P$3,Table146[Date],$A191,Table146[Bill No.],$B191),SUMIFS('Other Sale'!$D:$D,'Other Sale'!$E:$E,$P$3,'Other Sale'!$C:$C,$K191,'Other Sale'!$A:$A,$A191)))))</f>
        <v/>
      </c>
      <c r="F191" s="330" t="str" cm="1">
        <f t="array" ref="F191">IF($A191="","",IF($K191="Payment",IFERROR(INDEX(_xlfn._xlws.FILTER(MasterPaid[Amount Paid],(MasterPaid[Customer]=$P$3)*(MasterPaid[Date]=$A191)),COUNTIFS($A$6:$A191,$A191,$K$6:$K191,"Payment")),0),0))</f>
        <v/>
      </c>
      <c r="G191" s="331" t="s">
        <v>13</v>
      </c>
      <c r="H191" s="331"/>
      <c r="I191" s="330" t="str">
        <f t="shared" si="15"/>
        <v/>
      </c>
      <c r="J191" s="275"/>
      <c r="K191" s="289" t="str" cm="1">
        <f t="array" ref="K191">IFERROR(INDEX(_xlfn.ANCHORARRAY($R$6),ROW()-5,3),"")</f>
        <v/>
      </c>
      <c r="L191" s="430" t="str" cm="1">
        <f t="array" ref="L191">IF(OR($A191="",$J191="",$K191&lt;&gt;"DIESEL"),"",_xlfn.LET(_xlpm.qty,N($C191),_xlpm.pos,IF($J191="UNIT 1",$V$5:$V$54,$AC$5:$AC$54),_xlpm.alo,IF($J191="UNIT 1",$W$5:$W$54,$AD$5:$AD$54),_xlpm.usd,SUMIFS($C$6:$C190,$L$6:$L190,_xlpm.pos&amp;"",$J$6:$J190,$J191),_xlpm.bal,N(_xlpm.alo)-_xlpm.usd,IFERROR(INDEX(_xlfn._xlws.FILTER(_xlpm.pos,(_xlpm.pos&lt;&gt;"")*(_xlpm.qty&gt;0)*(_xlpm.bal&gt;=_xlpm.qty)),1),"")))</f>
        <v/>
      </c>
      <c r="M191" s="290"/>
      <c r="AQ191" s="409"/>
      <c r="AR191" s="410"/>
      <c r="AS191" s="410"/>
      <c r="AT191" s="411"/>
      <c r="AU191" s="412"/>
      <c r="AV191" s="413"/>
      <c r="AW191" s="413"/>
      <c r="AX191" s="413"/>
      <c r="AY191" s="413"/>
      <c r="AZ191" s="413" t="str">
        <f t="shared" si="13"/>
        <v/>
      </c>
      <c r="BB191" s="409"/>
      <c r="BC191" s="410"/>
      <c r="BD191" s="410"/>
      <c r="BE191" s="411"/>
      <c r="BF191" s="412"/>
      <c r="BG191" s="413"/>
      <c r="BH191" s="413"/>
      <c r="BI191" s="413"/>
      <c r="BJ191" s="413"/>
      <c r="BK191" s="413" t="str">
        <f t="shared" si="14"/>
        <v/>
      </c>
    </row>
    <row r="192" spans="1:63" ht="23" x14ac:dyDescent="0.25">
      <c r="A192" s="217" t="str" cm="1">
        <f t="array" ref="A192">IFERROR(INDEX(_xlfn.ANCHORARRAY($R$6),ROW()-5,1),"")</f>
        <v/>
      </c>
      <c r="B192" s="289" t="str" cm="1">
        <f t="array" ref="B192">IFERROR(INDEX(_xlfn.ANCHORARRAY($R$6),ROW()-5,2),"")</f>
        <v/>
      </c>
      <c r="C192" s="218" t="str">
        <f>IF($A192="","",IF($K192="DIESEL",SUMIFS(Table1[Quantity],Table1[Customer],$P$3,Table1[Date],$A192,Table1[Bill No.],$B192),IF($K192="PETROL",SUMIFS(Table14[Quantity],Table14[Customer],$P$3,Table14[Date],$A192,Table14[Bill No.],$B192),IF($K192="XtraGreen",SUMIFS(Table146[Quantity],Table146[Company],$P$3,Table146[Date],$A192,Table146[Bill No.],$B192),""))))</f>
        <v/>
      </c>
      <c r="D192" s="223" t="str">
        <f>IF($A192="","",IF($K192="DIESEL",AVERAGEIFS(Table1[RSP],Table1[Customer],$P$3,Table1[Date],$A192,Table1[Bill No.],$B192),IF($K192="PETROL",AVERAGEIFS(Table14[RSP],Table14[Customer],$P$3,Table14[Date],$A192,Table14[Bill No.],$B192),IF($K192="XtraGreen",AVERAGEIFS(Table146[RSP],Table146[Company],$P$3,Table146[Date],$A192,Table146[Bill No.],$B192),IFERROR($E192/$C192,"")))))</f>
        <v/>
      </c>
      <c r="E192" s="330" t="str">
        <f>IF($A192="","",IF($K192="DIESEL",SUMIFS(Table1[Amount],Table1[Customer],$P$3,Table1[Date],$A192,Table1[Bill No.],$B192),IF($K192="PETROL",SUMIFS(Table14[Amount],Table14[Customer],$P$3,Table14[Date],$A192,Table14[Bill No.],$B192),IF($K192="XtraGreen",SUMIFS(Table146[Amount],Table146[Company],$P$3,Table146[Date],$A192,Table146[Bill No.],$B192),SUMIFS('Other Sale'!$D:$D,'Other Sale'!$E:$E,$P$3,'Other Sale'!$C:$C,$K192,'Other Sale'!$A:$A,$A192)))))</f>
        <v/>
      </c>
      <c r="F192" s="330" t="str" cm="1">
        <f t="array" ref="F192">IF($A192="","",IF($K192="Payment",IFERROR(INDEX(_xlfn._xlws.FILTER(MasterPaid[Amount Paid],(MasterPaid[Customer]=$P$3)*(MasterPaid[Date]=$A192)),COUNTIFS($A$6:$A192,$A192,$K$6:$K192,"Payment")),0),0))</f>
        <v/>
      </c>
      <c r="G192" s="331" t="s">
        <v>13</v>
      </c>
      <c r="H192" s="331"/>
      <c r="I192" s="330" t="str">
        <f t="shared" si="15"/>
        <v/>
      </c>
      <c r="J192" s="275"/>
      <c r="K192" s="289" t="str" cm="1">
        <f t="array" ref="K192">IFERROR(INDEX(_xlfn.ANCHORARRAY($R$6),ROW()-5,3),"")</f>
        <v/>
      </c>
      <c r="L192" s="430" t="str" cm="1">
        <f t="array" ref="L192">IF(OR($A192="",$J192="",$K192&lt;&gt;"DIESEL"),"",_xlfn.LET(_xlpm.qty,N($C192),_xlpm.pos,IF($J192="UNIT 1",$V$5:$V$54,$AC$5:$AC$54),_xlpm.alo,IF($J192="UNIT 1",$W$5:$W$54,$AD$5:$AD$54),_xlpm.usd,SUMIFS($C$6:$C191,$L$6:$L191,_xlpm.pos&amp;"",$J$6:$J191,$J192),_xlpm.bal,N(_xlpm.alo)-_xlpm.usd,IFERROR(INDEX(_xlfn._xlws.FILTER(_xlpm.pos,(_xlpm.pos&lt;&gt;"")*(_xlpm.qty&gt;0)*(_xlpm.bal&gt;=_xlpm.qty)),1),"")))</f>
        <v/>
      </c>
      <c r="M192" s="290"/>
      <c r="AQ192" s="409"/>
      <c r="AR192" s="410"/>
      <c r="AS192" s="410"/>
      <c r="AT192" s="411"/>
      <c r="AU192" s="412"/>
      <c r="AV192" s="413"/>
      <c r="AW192" s="413"/>
      <c r="AX192" s="413"/>
      <c r="AY192" s="413"/>
      <c r="AZ192" s="413" t="str">
        <f t="shared" si="13"/>
        <v/>
      </c>
      <c r="BB192" s="409"/>
      <c r="BC192" s="410"/>
      <c r="BD192" s="410"/>
      <c r="BE192" s="411"/>
      <c r="BF192" s="412"/>
      <c r="BG192" s="413"/>
      <c r="BH192" s="413"/>
      <c r="BI192" s="413"/>
      <c r="BJ192" s="413"/>
      <c r="BK192" s="413" t="str">
        <f t="shared" si="14"/>
        <v/>
      </c>
    </row>
    <row r="193" spans="1:63" ht="23" x14ac:dyDescent="0.25">
      <c r="A193" s="217" t="str" cm="1">
        <f t="array" ref="A193">IFERROR(INDEX(_xlfn.ANCHORARRAY($R$6),ROW()-5,1),"")</f>
        <v/>
      </c>
      <c r="B193" s="289" t="str" cm="1">
        <f t="array" ref="B193">IFERROR(INDEX(_xlfn.ANCHORARRAY($R$6),ROW()-5,2),"")</f>
        <v/>
      </c>
      <c r="C193" s="218" t="str">
        <f>IF($A193="","",IF($K193="DIESEL",SUMIFS(Table1[Quantity],Table1[Customer],$P$3,Table1[Date],$A193,Table1[Bill No.],$B193),IF($K193="PETROL",SUMIFS(Table14[Quantity],Table14[Customer],$P$3,Table14[Date],$A193,Table14[Bill No.],$B193),IF($K193="XtraGreen",SUMIFS(Table146[Quantity],Table146[Company],$P$3,Table146[Date],$A193,Table146[Bill No.],$B193),""))))</f>
        <v/>
      </c>
      <c r="D193" s="223" t="str">
        <f>IF($A193="","",IF($K193="DIESEL",AVERAGEIFS(Table1[RSP],Table1[Customer],$P$3,Table1[Date],$A193,Table1[Bill No.],$B193),IF($K193="PETROL",AVERAGEIFS(Table14[RSP],Table14[Customer],$P$3,Table14[Date],$A193,Table14[Bill No.],$B193),IF($K193="XtraGreen",AVERAGEIFS(Table146[RSP],Table146[Company],$P$3,Table146[Date],$A193,Table146[Bill No.],$B193),IFERROR($E193/$C193,"")))))</f>
        <v/>
      </c>
      <c r="E193" s="330" t="str">
        <f>IF($A193="","",IF($K193="DIESEL",SUMIFS(Table1[Amount],Table1[Customer],$P$3,Table1[Date],$A193,Table1[Bill No.],$B193),IF($K193="PETROL",SUMIFS(Table14[Amount],Table14[Customer],$P$3,Table14[Date],$A193,Table14[Bill No.],$B193),IF($K193="XtraGreen",SUMIFS(Table146[Amount],Table146[Company],$P$3,Table146[Date],$A193,Table146[Bill No.],$B193),SUMIFS('Other Sale'!$D:$D,'Other Sale'!$E:$E,$P$3,'Other Sale'!$C:$C,$K193,'Other Sale'!$A:$A,$A193)))))</f>
        <v/>
      </c>
      <c r="F193" s="330" t="str" cm="1">
        <f t="array" ref="F193">IF($A193="","",IF($K193="Payment",IFERROR(INDEX(_xlfn._xlws.FILTER(MasterPaid[Amount Paid],(MasterPaid[Customer]=$P$3)*(MasterPaid[Date]=$A193)),COUNTIFS($A$6:$A193,$A193,$K$6:$K193,"Payment")),0),0))</f>
        <v/>
      </c>
      <c r="G193" s="331" t="s">
        <v>13</v>
      </c>
      <c r="H193" s="331"/>
      <c r="I193" s="330" t="str">
        <f t="shared" si="15"/>
        <v/>
      </c>
      <c r="J193" s="275"/>
      <c r="K193" s="289" t="str" cm="1">
        <f t="array" ref="K193">IFERROR(INDEX(_xlfn.ANCHORARRAY($R$6),ROW()-5,3),"")</f>
        <v/>
      </c>
      <c r="L193" s="430" t="str" cm="1">
        <f t="array" ref="L193">IF(OR($A193="",$J193="",$K193&lt;&gt;"DIESEL"),"",_xlfn.LET(_xlpm.qty,N($C193),_xlpm.pos,IF($J193="UNIT 1",$V$5:$V$54,$AC$5:$AC$54),_xlpm.alo,IF($J193="UNIT 1",$W$5:$W$54,$AD$5:$AD$54),_xlpm.usd,SUMIFS($C$6:$C192,$L$6:$L192,_xlpm.pos&amp;"",$J$6:$J192,$J193),_xlpm.bal,N(_xlpm.alo)-_xlpm.usd,IFERROR(INDEX(_xlfn._xlws.FILTER(_xlpm.pos,(_xlpm.pos&lt;&gt;"")*(_xlpm.qty&gt;0)*(_xlpm.bal&gt;=_xlpm.qty)),1),"")))</f>
        <v/>
      </c>
      <c r="M193" s="290"/>
      <c r="AQ193" s="409"/>
      <c r="AR193" s="410"/>
      <c r="AS193" s="410"/>
      <c r="AT193" s="411"/>
      <c r="AU193" s="412"/>
      <c r="AV193" s="413"/>
      <c r="AW193" s="413"/>
      <c r="AX193" s="413"/>
      <c r="AY193" s="413"/>
      <c r="AZ193" s="413" t="str">
        <f t="shared" si="13"/>
        <v/>
      </c>
      <c r="BB193" s="409"/>
      <c r="BC193" s="410"/>
      <c r="BD193" s="410"/>
      <c r="BE193" s="411"/>
      <c r="BF193" s="412"/>
      <c r="BG193" s="413"/>
      <c r="BH193" s="413"/>
      <c r="BI193" s="413"/>
      <c r="BJ193" s="413"/>
      <c r="BK193" s="413" t="str">
        <f t="shared" si="14"/>
        <v/>
      </c>
    </row>
    <row r="194" spans="1:63" ht="23" x14ac:dyDescent="0.25">
      <c r="A194" s="217" t="str" cm="1">
        <f t="array" ref="A194">IFERROR(INDEX(_xlfn.ANCHORARRAY($R$6),ROW()-5,1),"")</f>
        <v/>
      </c>
      <c r="B194" s="289" t="str" cm="1">
        <f t="array" ref="B194">IFERROR(INDEX(_xlfn.ANCHORARRAY($R$6),ROW()-5,2),"")</f>
        <v/>
      </c>
      <c r="C194" s="218" t="str">
        <f>IF($A194="","",IF($K194="DIESEL",SUMIFS(Table1[Quantity],Table1[Customer],$P$3,Table1[Date],$A194,Table1[Bill No.],$B194),IF($K194="PETROL",SUMIFS(Table14[Quantity],Table14[Customer],$P$3,Table14[Date],$A194,Table14[Bill No.],$B194),IF($K194="XtraGreen",SUMIFS(Table146[Quantity],Table146[Company],$P$3,Table146[Date],$A194,Table146[Bill No.],$B194),""))))</f>
        <v/>
      </c>
      <c r="D194" s="223" t="str">
        <f>IF($A194="","",IF($K194="DIESEL",AVERAGEIFS(Table1[RSP],Table1[Customer],$P$3,Table1[Date],$A194,Table1[Bill No.],$B194),IF($K194="PETROL",AVERAGEIFS(Table14[RSP],Table14[Customer],$P$3,Table14[Date],$A194,Table14[Bill No.],$B194),IF($K194="XtraGreen",AVERAGEIFS(Table146[RSP],Table146[Company],$P$3,Table146[Date],$A194,Table146[Bill No.],$B194),IFERROR($E194/$C194,"")))))</f>
        <v/>
      </c>
      <c r="E194" s="330" t="str">
        <f>IF($A194="","",IF($K194="DIESEL",SUMIFS(Table1[Amount],Table1[Customer],$P$3,Table1[Date],$A194,Table1[Bill No.],$B194),IF($K194="PETROL",SUMIFS(Table14[Amount],Table14[Customer],$P$3,Table14[Date],$A194,Table14[Bill No.],$B194),IF($K194="XtraGreen",SUMIFS(Table146[Amount],Table146[Company],$P$3,Table146[Date],$A194,Table146[Bill No.],$B194),SUMIFS('Other Sale'!$D:$D,'Other Sale'!$E:$E,$P$3,'Other Sale'!$C:$C,$K194,'Other Sale'!$A:$A,$A194)))))</f>
        <v/>
      </c>
      <c r="F194" s="330" t="str" cm="1">
        <f t="array" ref="F194">IF($A194="","",IF($K194="Payment",IFERROR(INDEX(_xlfn._xlws.FILTER(MasterPaid[Amount Paid],(MasterPaid[Customer]=$P$3)*(MasterPaid[Date]=$A194)),COUNTIFS($A$6:$A194,$A194,$K$6:$K194,"Payment")),0),0))</f>
        <v/>
      </c>
      <c r="G194" s="331" t="s">
        <v>13</v>
      </c>
      <c r="H194" s="331"/>
      <c r="I194" s="330" t="str">
        <f t="shared" si="15"/>
        <v/>
      </c>
      <c r="J194" s="275"/>
      <c r="K194" s="289" t="str" cm="1">
        <f t="array" ref="K194">IFERROR(INDEX(_xlfn.ANCHORARRAY($R$6),ROW()-5,3),"")</f>
        <v/>
      </c>
      <c r="L194" s="430" t="str" cm="1">
        <f t="array" ref="L194">IF(OR($A194="",$J194="",$K194&lt;&gt;"DIESEL"),"",_xlfn.LET(_xlpm.qty,N($C194),_xlpm.pos,IF($J194="UNIT 1",$V$5:$V$54,$AC$5:$AC$54),_xlpm.alo,IF($J194="UNIT 1",$W$5:$W$54,$AD$5:$AD$54),_xlpm.usd,SUMIFS($C$6:$C193,$L$6:$L193,_xlpm.pos&amp;"",$J$6:$J193,$J194),_xlpm.bal,N(_xlpm.alo)-_xlpm.usd,IFERROR(INDEX(_xlfn._xlws.FILTER(_xlpm.pos,(_xlpm.pos&lt;&gt;"")*(_xlpm.qty&gt;0)*(_xlpm.bal&gt;=_xlpm.qty)),1),"")))</f>
        <v/>
      </c>
      <c r="M194" s="290"/>
      <c r="AQ194" s="409"/>
      <c r="AR194" s="410"/>
      <c r="AS194" s="410"/>
      <c r="AT194" s="411"/>
      <c r="AU194" s="412"/>
      <c r="AV194" s="413"/>
      <c r="AW194" s="413"/>
      <c r="AX194" s="413"/>
      <c r="AY194" s="413"/>
      <c r="AZ194" s="413" t="str">
        <f t="shared" si="13"/>
        <v/>
      </c>
      <c r="BB194" s="409"/>
      <c r="BC194" s="410"/>
      <c r="BD194" s="410"/>
      <c r="BE194" s="411"/>
      <c r="BF194" s="412"/>
      <c r="BG194" s="413"/>
      <c r="BH194" s="413"/>
      <c r="BI194" s="413"/>
      <c r="BJ194" s="413"/>
      <c r="BK194" s="413" t="str">
        <f t="shared" si="14"/>
        <v/>
      </c>
    </row>
    <row r="195" spans="1:63" ht="23" x14ac:dyDescent="0.25">
      <c r="A195" s="217" t="str" cm="1">
        <f t="array" ref="A195">IFERROR(INDEX(_xlfn.ANCHORARRAY($R$6),ROW()-5,1),"")</f>
        <v/>
      </c>
      <c r="B195" s="289" t="str" cm="1">
        <f t="array" ref="B195">IFERROR(INDEX(_xlfn.ANCHORARRAY($R$6),ROW()-5,2),"")</f>
        <v/>
      </c>
      <c r="C195" s="218" t="str">
        <f>IF($A195="","",IF($K195="DIESEL",SUMIFS(Table1[Quantity],Table1[Customer],$P$3,Table1[Date],$A195,Table1[Bill No.],$B195),IF($K195="PETROL",SUMIFS(Table14[Quantity],Table14[Customer],$P$3,Table14[Date],$A195,Table14[Bill No.],$B195),IF($K195="XtraGreen",SUMIFS(Table146[Quantity],Table146[Company],$P$3,Table146[Date],$A195,Table146[Bill No.],$B195),""))))</f>
        <v/>
      </c>
      <c r="D195" s="223" t="str">
        <f>IF($A195="","",IF($K195="DIESEL",AVERAGEIFS(Table1[RSP],Table1[Customer],$P$3,Table1[Date],$A195,Table1[Bill No.],$B195),IF($K195="PETROL",AVERAGEIFS(Table14[RSP],Table14[Customer],$P$3,Table14[Date],$A195,Table14[Bill No.],$B195),IF($K195="XtraGreen",AVERAGEIFS(Table146[RSP],Table146[Company],$P$3,Table146[Date],$A195,Table146[Bill No.],$B195),IFERROR($E195/$C195,"")))))</f>
        <v/>
      </c>
      <c r="E195" s="330" t="str">
        <f>IF($A195="","",IF($K195="DIESEL",SUMIFS(Table1[Amount],Table1[Customer],$P$3,Table1[Date],$A195,Table1[Bill No.],$B195),IF($K195="PETROL",SUMIFS(Table14[Amount],Table14[Customer],$P$3,Table14[Date],$A195,Table14[Bill No.],$B195),IF($K195="XtraGreen",SUMIFS(Table146[Amount],Table146[Company],$P$3,Table146[Date],$A195,Table146[Bill No.],$B195),SUMIFS('Other Sale'!$D:$D,'Other Sale'!$E:$E,$P$3,'Other Sale'!$C:$C,$K195,'Other Sale'!$A:$A,$A195)))))</f>
        <v/>
      </c>
      <c r="F195" s="330" t="str" cm="1">
        <f t="array" ref="F195">IF($A195="","",IF($K195="Payment",IFERROR(INDEX(_xlfn._xlws.FILTER(MasterPaid[Amount Paid],(MasterPaid[Customer]=$P$3)*(MasterPaid[Date]=$A195)),COUNTIFS($A$6:$A195,$A195,$K$6:$K195,"Payment")),0),0))</f>
        <v/>
      </c>
      <c r="G195" s="331" t="s">
        <v>13</v>
      </c>
      <c r="H195" s="331"/>
      <c r="I195" s="330" t="str">
        <f t="shared" si="15"/>
        <v/>
      </c>
      <c r="J195" s="275"/>
      <c r="K195" s="289" t="str" cm="1">
        <f t="array" ref="K195">IFERROR(INDEX(_xlfn.ANCHORARRAY($R$6),ROW()-5,3),"")</f>
        <v/>
      </c>
      <c r="L195" s="430" t="str" cm="1">
        <f t="array" ref="L195">IF(OR($A195="",$J195="",$K195&lt;&gt;"DIESEL"),"",_xlfn.LET(_xlpm.qty,N($C195),_xlpm.pos,IF($J195="UNIT 1",$V$5:$V$54,$AC$5:$AC$54),_xlpm.alo,IF($J195="UNIT 1",$W$5:$W$54,$AD$5:$AD$54),_xlpm.usd,SUMIFS($C$6:$C194,$L$6:$L194,_xlpm.pos&amp;"",$J$6:$J194,$J195),_xlpm.bal,N(_xlpm.alo)-_xlpm.usd,IFERROR(INDEX(_xlfn._xlws.FILTER(_xlpm.pos,(_xlpm.pos&lt;&gt;"")*(_xlpm.qty&gt;0)*(_xlpm.bal&gt;=_xlpm.qty)),1),"")))</f>
        <v/>
      </c>
      <c r="M195" s="290"/>
      <c r="AQ195" s="409"/>
      <c r="AR195" s="410"/>
      <c r="AS195" s="410"/>
      <c r="AT195" s="411"/>
      <c r="AU195" s="412"/>
      <c r="AV195" s="413"/>
      <c r="AW195" s="413"/>
      <c r="AX195" s="413"/>
      <c r="AY195" s="413"/>
      <c r="AZ195" s="413" t="str">
        <f t="shared" si="13"/>
        <v/>
      </c>
      <c r="BB195" s="409"/>
      <c r="BC195" s="410"/>
      <c r="BD195" s="410"/>
      <c r="BE195" s="411"/>
      <c r="BF195" s="412"/>
      <c r="BG195" s="413"/>
      <c r="BH195" s="413"/>
      <c r="BI195" s="413"/>
      <c r="BJ195" s="413"/>
      <c r="BK195" s="413" t="str">
        <f t="shared" si="14"/>
        <v/>
      </c>
    </row>
    <row r="196" spans="1:63" ht="23" x14ac:dyDescent="0.25">
      <c r="A196" s="217" t="str" cm="1">
        <f t="array" ref="A196">IFERROR(INDEX(_xlfn.ANCHORARRAY($R$6),ROW()-5,1),"")</f>
        <v/>
      </c>
      <c r="B196" s="289" t="str" cm="1">
        <f t="array" ref="B196">IFERROR(INDEX(_xlfn.ANCHORARRAY($R$6),ROW()-5,2),"")</f>
        <v/>
      </c>
      <c r="C196" s="218" t="str">
        <f>IF($A196="","",IF($K196="DIESEL",SUMIFS(Table1[Quantity],Table1[Customer],$P$3,Table1[Date],$A196,Table1[Bill No.],$B196),IF($K196="PETROL",SUMIFS(Table14[Quantity],Table14[Customer],$P$3,Table14[Date],$A196,Table14[Bill No.],$B196),IF($K196="XtraGreen",SUMIFS(Table146[Quantity],Table146[Company],$P$3,Table146[Date],$A196,Table146[Bill No.],$B196),""))))</f>
        <v/>
      </c>
      <c r="D196" s="223" t="str">
        <f>IF($A196="","",IF($K196="DIESEL",AVERAGEIFS(Table1[RSP],Table1[Customer],$P$3,Table1[Date],$A196,Table1[Bill No.],$B196),IF($K196="PETROL",AVERAGEIFS(Table14[RSP],Table14[Customer],$P$3,Table14[Date],$A196,Table14[Bill No.],$B196),IF($K196="XtraGreen",AVERAGEIFS(Table146[RSP],Table146[Company],$P$3,Table146[Date],$A196,Table146[Bill No.],$B196),IFERROR($E196/$C196,"")))))</f>
        <v/>
      </c>
      <c r="E196" s="330" t="str">
        <f>IF($A196="","",IF($K196="DIESEL",SUMIFS(Table1[Amount],Table1[Customer],$P$3,Table1[Date],$A196,Table1[Bill No.],$B196),IF($K196="PETROL",SUMIFS(Table14[Amount],Table14[Customer],$P$3,Table14[Date],$A196,Table14[Bill No.],$B196),IF($K196="XtraGreen",SUMIFS(Table146[Amount],Table146[Company],$P$3,Table146[Date],$A196,Table146[Bill No.],$B196),SUMIFS('Other Sale'!$D:$D,'Other Sale'!$E:$E,$P$3,'Other Sale'!$C:$C,$K196,'Other Sale'!$A:$A,$A196)))))</f>
        <v/>
      </c>
      <c r="F196" s="330" t="str" cm="1">
        <f t="array" ref="F196">IF($A196="","",IF($K196="Payment",IFERROR(INDEX(_xlfn._xlws.FILTER(MasterPaid[Amount Paid],(MasterPaid[Customer]=$P$3)*(MasterPaid[Date]=$A196)),COUNTIFS($A$6:$A196,$A196,$K$6:$K196,"Payment")),0),0))</f>
        <v/>
      </c>
      <c r="G196" s="331" t="s">
        <v>13</v>
      </c>
      <c r="H196" s="331"/>
      <c r="I196" s="330" t="str">
        <f t="shared" si="15"/>
        <v/>
      </c>
      <c r="J196" s="275"/>
      <c r="K196" s="289" t="str" cm="1">
        <f t="array" ref="K196">IFERROR(INDEX(_xlfn.ANCHORARRAY($R$6),ROW()-5,3),"")</f>
        <v/>
      </c>
      <c r="L196" s="430" t="str" cm="1">
        <f t="array" ref="L196">IF(OR($A196="",$J196="",$K196&lt;&gt;"DIESEL"),"",_xlfn.LET(_xlpm.qty,N($C196),_xlpm.pos,IF($J196="UNIT 1",$V$5:$V$54,$AC$5:$AC$54),_xlpm.alo,IF($J196="UNIT 1",$W$5:$W$54,$AD$5:$AD$54),_xlpm.usd,SUMIFS($C$6:$C195,$L$6:$L195,_xlpm.pos&amp;"",$J$6:$J195,$J196),_xlpm.bal,N(_xlpm.alo)-_xlpm.usd,IFERROR(INDEX(_xlfn._xlws.FILTER(_xlpm.pos,(_xlpm.pos&lt;&gt;"")*(_xlpm.qty&gt;0)*(_xlpm.bal&gt;=_xlpm.qty)),1),"")))</f>
        <v/>
      </c>
      <c r="M196" s="290"/>
      <c r="AQ196" s="409"/>
      <c r="AR196" s="410"/>
      <c r="AS196" s="410"/>
      <c r="AT196" s="411"/>
      <c r="AU196" s="412"/>
      <c r="AV196" s="413"/>
      <c r="AW196" s="413"/>
      <c r="AX196" s="413"/>
      <c r="AY196" s="413"/>
      <c r="AZ196" s="413" t="str">
        <f t="shared" si="13"/>
        <v/>
      </c>
      <c r="BB196" s="409"/>
      <c r="BC196" s="410"/>
      <c r="BD196" s="410"/>
      <c r="BE196" s="411"/>
      <c r="BF196" s="412"/>
      <c r="BG196" s="413"/>
      <c r="BH196" s="413"/>
      <c r="BI196" s="413"/>
      <c r="BJ196" s="413"/>
      <c r="BK196" s="413" t="str">
        <f t="shared" si="14"/>
        <v/>
      </c>
    </row>
    <row r="197" spans="1:63" ht="23" x14ac:dyDescent="0.25">
      <c r="A197" s="217" t="str" cm="1">
        <f t="array" ref="A197">IFERROR(INDEX(_xlfn.ANCHORARRAY($R$6),ROW()-5,1),"")</f>
        <v/>
      </c>
      <c r="B197" s="289" t="str" cm="1">
        <f t="array" ref="B197">IFERROR(INDEX(_xlfn.ANCHORARRAY($R$6),ROW()-5,2),"")</f>
        <v/>
      </c>
      <c r="C197" s="218" t="str">
        <f>IF($A197="","",IF($K197="DIESEL",SUMIFS(Table1[Quantity],Table1[Customer],$P$3,Table1[Date],$A197,Table1[Bill No.],$B197),IF($K197="PETROL",SUMIFS(Table14[Quantity],Table14[Customer],$P$3,Table14[Date],$A197,Table14[Bill No.],$B197),IF($K197="XtraGreen",SUMIFS(Table146[Quantity],Table146[Company],$P$3,Table146[Date],$A197,Table146[Bill No.],$B197),""))))</f>
        <v/>
      </c>
      <c r="D197" s="223" t="str">
        <f>IF($A197="","",IF($K197="DIESEL",AVERAGEIFS(Table1[RSP],Table1[Customer],$P$3,Table1[Date],$A197,Table1[Bill No.],$B197),IF($K197="PETROL",AVERAGEIFS(Table14[RSP],Table14[Customer],$P$3,Table14[Date],$A197,Table14[Bill No.],$B197),IF($K197="XtraGreen",AVERAGEIFS(Table146[RSP],Table146[Company],$P$3,Table146[Date],$A197,Table146[Bill No.],$B197),IFERROR($E197/$C197,"")))))</f>
        <v/>
      </c>
      <c r="E197" s="330" t="str">
        <f>IF($A197="","",IF($K197="DIESEL",SUMIFS(Table1[Amount],Table1[Customer],$P$3,Table1[Date],$A197,Table1[Bill No.],$B197),IF($K197="PETROL",SUMIFS(Table14[Amount],Table14[Customer],$P$3,Table14[Date],$A197,Table14[Bill No.],$B197),IF($K197="XtraGreen",SUMIFS(Table146[Amount],Table146[Company],$P$3,Table146[Date],$A197,Table146[Bill No.],$B197),SUMIFS('Other Sale'!$D:$D,'Other Sale'!$E:$E,$P$3,'Other Sale'!$C:$C,$K197,'Other Sale'!$A:$A,$A197)))))</f>
        <v/>
      </c>
      <c r="F197" s="330" t="str" cm="1">
        <f t="array" ref="F197">IF($A197="","",IF($K197="Payment",IFERROR(INDEX(_xlfn._xlws.FILTER(MasterPaid[Amount Paid],(MasterPaid[Customer]=$P$3)*(MasterPaid[Date]=$A197)),COUNTIFS($A$6:$A197,$A197,$K$6:$K197,"Payment")),0),0))</f>
        <v/>
      </c>
      <c r="G197" s="331" t="s">
        <v>13</v>
      </c>
      <c r="H197" s="331"/>
      <c r="I197" s="330" t="str">
        <f t="shared" si="15"/>
        <v/>
      </c>
      <c r="J197" s="275"/>
      <c r="K197" s="289" t="str" cm="1">
        <f t="array" ref="K197">IFERROR(INDEX(_xlfn.ANCHORARRAY($R$6),ROW()-5,3),"")</f>
        <v/>
      </c>
      <c r="L197" s="430" t="str" cm="1">
        <f t="array" ref="L197">IF(OR($A197="",$J197="",$K197&lt;&gt;"DIESEL"),"",_xlfn.LET(_xlpm.qty,N($C197),_xlpm.pos,IF($J197="UNIT 1",$V$5:$V$54,$AC$5:$AC$54),_xlpm.alo,IF($J197="UNIT 1",$W$5:$W$54,$AD$5:$AD$54),_xlpm.usd,SUMIFS($C$6:$C196,$L$6:$L196,_xlpm.pos&amp;"",$J$6:$J196,$J197),_xlpm.bal,N(_xlpm.alo)-_xlpm.usd,IFERROR(INDEX(_xlfn._xlws.FILTER(_xlpm.pos,(_xlpm.pos&lt;&gt;"")*(_xlpm.qty&gt;0)*(_xlpm.bal&gt;=_xlpm.qty)),1),"")))</f>
        <v/>
      </c>
      <c r="M197" s="290"/>
      <c r="AQ197" s="409"/>
      <c r="AR197" s="410"/>
      <c r="AS197" s="410"/>
      <c r="AT197" s="411"/>
      <c r="AU197" s="412"/>
      <c r="AV197" s="413"/>
      <c r="AW197" s="413"/>
      <c r="AX197" s="413"/>
      <c r="AY197" s="413"/>
      <c r="AZ197" s="413" t="str">
        <f t="shared" si="13"/>
        <v/>
      </c>
      <c r="BB197" s="409"/>
      <c r="BC197" s="410"/>
      <c r="BD197" s="410"/>
      <c r="BE197" s="411"/>
      <c r="BF197" s="412"/>
      <c r="BG197" s="413"/>
      <c r="BH197" s="413"/>
      <c r="BI197" s="413"/>
      <c r="BJ197" s="413"/>
      <c r="BK197" s="413" t="str">
        <f t="shared" si="14"/>
        <v/>
      </c>
    </row>
    <row r="198" spans="1:63" ht="23" x14ac:dyDescent="0.25">
      <c r="A198" s="217" t="str" cm="1">
        <f t="array" ref="A198">IFERROR(INDEX(_xlfn.ANCHORARRAY($R$6),ROW()-5,1),"")</f>
        <v/>
      </c>
      <c r="B198" s="289" t="str" cm="1">
        <f t="array" ref="B198">IFERROR(INDEX(_xlfn.ANCHORARRAY($R$6),ROW()-5,2),"")</f>
        <v/>
      </c>
      <c r="C198" s="218" t="str">
        <f>IF($A198="","",IF($K198="DIESEL",SUMIFS(Table1[Quantity],Table1[Customer],$P$3,Table1[Date],$A198,Table1[Bill No.],$B198),IF($K198="PETROL",SUMIFS(Table14[Quantity],Table14[Customer],$P$3,Table14[Date],$A198,Table14[Bill No.],$B198),IF($K198="XtraGreen",SUMIFS(Table146[Quantity],Table146[Company],$P$3,Table146[Date],$A198,Table146[Bill No.],$B198),""))))</f>
        <v/>
      </c>
      <c r="D198" s="223" t="str">
        <f>IF($A198="","",IF($K198="DIESEL",AVERAGEIFS(Table1[RSP],Table1[Customer],$P$3,Table1[Date],$A198,Table1[Bill No.],$B198),IF($K198="PETROL",AVERAGEIFS(Table14[RSP],Table14[Customer],$P$3,Table14[Date],$A198,Table14[Bill No.],$B198),IF($K198="XtraGreen",AVERAGEIFS(Table146[RSP],Table146[Company],$P$3,Table146[Date],$A198,Table146[Bill No.],$B198),IFERROR($E198/$C198,"")))))</f>
        <v/>
      </c>
      <c r="E198" s="330" t="str">
        <f>IF($A198="","",IF($K198="DIESEL",SUMIFS(Table1[Amount],Table1[Customer],$P$3,Table1[Date],$A198,Table1[Bill No.],$B198),IF($K198="PETROL",SUMIFS(Table14[Amount],Table14[Customer],$P$3,Table14[Date],$A198,Table14[Bill No.],$B198),IF($K198="XtraGreen",SUMIFS(Table146[Amount],Table146[Company],$P$3,Table146[Date],$A198,Table146[Bill No.],$B198),SUMIFS('Other Sale'!$D:$D,'Other Sale'!$E:$E,$P$3,'Other Sale'!$C:$C,$K198,'Other Sale'!$A:$A,$A198)))))</f>
        <v/>
      </c>
      <c r="F198" s="330" t="str" cm="1">
        <f t="array" ref="F198">IF($A198="","",IF($K198="Payment",IFERROR(INDEX(_xlfn._xlws.FILTER(MasterPaid[Amount Paid],(MasterPaid[Customer]=$P$3)*(MasterPaid[Date]=$A198)),COUNTIFS($A$6:$A198,$A198,$K$6:$K198,"Payment")),0),0))</f>
        <v/>
      </c>
      <c r="G198" s="331" t="s">
        <v>13</v>
      </c>
      <c r="H198" s="331"/>
      <c r="I198" s="330" t="str">
        <f t="shared" si="15"/>
        <v/>
      </c>
      <c r="J198" s="275"/>
      <c r="K198" s="289" t="str" cm="1">
        <f t="array" ref="K198">IFERROR(INDEX(_xlfn.ANCHORARRAY($R$6),ROW()-5,3),"")</f>
        <v/>
      </c>
      <c r="L198" s="430" t="str" cm="1">
        <f t="array" ref="L198">IF(OR($A198="",$J198="",$K198&lt;&gt;"DIESEL"),"",_xlfn.LET(_xlpm.qty,N($C198),_xlpm.pos,IF($J198="UNIT 1",$V$5:$V$54,$AC$5:$AC$54),_xlpm.alo,IF($J198="UNIT 1",$W$5:$W$54,$AD$5:$AD$54),_xlpm.usd,SUMIFS($C$6:$C197,$L$6:$L197,_xlpm.pos&amp;"",$J$6:$J197,$J198),_xlpm.bal,N(_xlpm.alo)-_xlpm.usd,IFERROR(INDEX(_xlfn._xlws.FILTER(_xlpm.pos,(_xlpm.pos&lt;&gt;"")*(_xlpm.qty&gt;0)*(_xlpm.bal&gt;=_xlpm.qty)),1),"")))</f>
        <v/>
      </c>
      <c r="M198" s="290"/>
      <c r="AQ198" s="409"/>
      <c r="AR198" s="410"/>
      <c r="AS198" s="410"/>
      <c r="AT198" s="411"/>
      <c r="AU198" s="412"/>
      <c r="AV198" s="413"/>
      <c r="AW198" s="413"/>
      <c r="AX198" s="413"/>
      <c r="AY198" s="413"/>
      <c r="AZ198" s="413" t="str">
        <f t="shared" si="13"/>
        <v/>
      </c>
      <c r="BB198" s="409"/>
      <c r="BC198" s="410"/>
      <c r="BD198" s="410"/>
      <c r="BE198" s="411"/>
      <c r="BF198" s="412"/>
      <c r="BG198" s="413"/>
      <c r="BH198" s="413"/>
      <c r="BI198" s="413"/>
      <c r="BJ198" s="413"/>
      <c r="BK198" s="413" t="str">
        <f t="shared" si="14"/>
        <v/>
      </c>
    </row>
    <row r="199" spans="1:63" ht="23" x14ac:dyDescent="0.25">
      <c r="A199" s="217" t="str" cm="1">
        <f t="array" ref="A199">IFERROR(INDEX(_xlfn.ANCHORARRAY($R$6),ROW()-5,1),"")</f>
        <v/>
      </c>
      <c r="B199" s="289" t="str" cm="1">
        <f t="array" ref="B199">IFERROR(INDEX(_xlfn.ANCHORARRAY($R$6),ROW()-5,2),"")</f>
        <v/>
      </c>
      <c r="C199" s="218" t="str">
        <f>IF($A199="","",IF($K199="DIESEL",SUMIFS(Table1[Quantity],Table1[Customer],$P$3,Table1[Date],$A199,Table1[Bill No.],$B199),IF($K199="PETROL",SUMIFS(Table14[Quantity],Table14[Customer],$P$3,Table14[Date],$A199,Table14[Bill No.],$B199),IF($K199="XtraGreen",SUMIFS(Table146[Quantity],Table146[Company],$P$3,Table146[Date],$A199,Table146[Bill No.],$B199),""))))</f>
        <v/>
      </c>
      <c r="D199" s="223" t="str">
        <f>IF($A199="","",IF($K199="DIESEL",AVERAGEIFS(Table1[RSP],Table1[Customer],$P$3,Table1[Date],$A199,Table1[Bill No.],$B199),IF($K199="PETROL",AVERAGEIFS(Table14[RSP],Table14[Customer],$P$3,Table14[Date],$A199,Table14[Bill No.],$B199),IF($K199="XtraGreen",AVERAGEIFS(Table146[RSP],Table146[Company],$P$3,Table146[Date],$A199,Table146[Bill No.],$B199),IFERROR($E199/$C199,"")))))</f>
        <v/>
      </c>
      <c r="E199" s="330" t="str">
        <f>IF($A199="","",IF($K199="DIESEL",SUMIFS(Table1[Amount],Table1[Customer],$P$3,Table1[Date],$A199,Table1[Bill No.],$B199),IF($K199="PETROL",SUMIFS(Table14[Amount],Table14[Customer],$P$3,Table14[Date],$A199,Table14[Bill No.],$B199),IF($K199="XtraGreen",SUMIFS(Table146[Amount],Table146[Company],$P$3,Table146[Date],$A199,Table146[Bill No.],$B199),SUMIFS('Other Sale'!$D:$D,'Other Sale'!$E:$E,$P$3,'Other Sale'!$C:$C,$K199,'Other Sale'!$A:$A,$A199)))))</f>
        <v/>
      </c>
      <c r="F199" s="330" t="str" cm="1">
        <f t="array" ref="F199">IF($A199="","",IF($K199="Payment",IFERROR(INDEX(_xlfn._xlws.FILTER(MasterPaid[Amount Paid],(MasterPaid[Customer]=$P$3)*(MasterPaid[Date]=$A199)),COUNTIFS($A$6:$A199,$A199,$K$6:$K199,"Payment")),0),0))</f>
        <v/>
      </c>
      <c r="G199" s="331" t="s">
        <v>13</v>
      </c>
      <c r="H199" s="331"/>
      <c r="I199" s="330" t="str">
        <f t="shared" si="15"/>
        <v/>
      </c>
      <c r="J199" s="275"/>
      <c r="K199" s="289" t="str" cm="1">
        <f t="array" ref="K199">IFERROR(INDEX(_xlfn.ANCHORARRAY($R$6),ROW()-5,3),"")</f>
        <v/>
      </c>
      <c r="L199" s="430" t="str" cm="1">
        <f t="array" ref="L199">IF(OR($A199="",$J199="",$K199&lt;&gt;"DIESEL"),"",_xlfn.LET(_xlpm.qty,N($C199),_xlpm.pos,IF($J199="UNIT 1",$V$5:$V$54,$AC$5:$AC$54),_xlpm.alo,IF($J199="UNIT 1",$W$5:$W$54,$AD$5:$AD$54),_xlpm.usd,SUMIFS($C$6:$C198,$L$6:$L198,_xlpm.pos&amp;"",$J$6:$J198,$J199),_xlpm.bal,N(_xlpm.alo)-_xlpm.usd,IFERROR(INDEX(_xlfn._xlws.FILTER(_xlpm.pos,(_xlpm.pos&lt;&gt;"")*(_xlpm.qty&gt;0)*(_xlpm.bal&gt;=_xlpm.qty)),1),"")))</f>
        <v/>
      </c>
      <c r="M199" s="290"/>
      <c r="AQ199" s="409"/>
      <c r="AR199" s="410"/>
      <c r="AS199" s="410"/>
      <c r="AT199" s="411"/>
      <c r="AU199" s="412"/>
      <c r="AV199" s="413"/>
      <c r="AW199" s="413"/>
      <c r="AX199" s="413"/>
      <c r="AY199" s="413"/>
      <c r="AZ199" s="413" t="str">
        <f t="shared" ref="AZ199:AZ262" si="16">IF($AQ199="","",AZ198+N(AV199)-N(AW199)-N(AX199)-N(AY199))</f>
        <v/>
      </c>
      <c r="BB199" s="409"/>
      <c r="BC199" s="410"/>
      <c r="BD199" s="410"/>
      <c r="BE199" s="411"/>
      <c r="BF199" s="412"/>
      <c r="BG199" s="413"/>
      <c r="BH199" s="413"/>
      <c r="BI199" s="413"/>
      <c r="BJ199" s="413"/>
      <c r="BK199" s="413" t="str">
        <f t="shared" ref="BK199:BK262" si="17">IF($BB199="","",BK198+N(BG199)-N(BH199)-N(BI199)-N(BJ199))</f>
        <v/>
      </c>
    </row>
    <row r="200" spans="1:63" ht="23" x14ac:dyDescent="0.25">
      <c r="A200" s="217" t="str" cm="1">
        <f t="array" ref="A200">IFERROR(INDEX(_xlfn.ANCHORARRAY($R$6),ROW()-5,1),"")</f>
        <v/>
      </c>
      <c r="B200" s="289" t="str" cm="1">
        <f t="array" ref="B200">IFERROR(INDEX(_xlfn.ANCHORARRAY($R$6),ROW()-5,2),"")</f>
        <v/>
      </c>
      <c r="C200" s="218" t="str">
        <f>IF($A200="","",IF($K200="DIESEL",SUMIFS(Table1[Quantity],Table1[Customer],$P$3,Table1[Date],$A200,Table1[Bill No.],$B200),IF($K200="PETROL",SUMIFS(Table14[Quantity],Table14[Customer],$P$3,Table14[Date],$A200,Table14[Bill No.],$B200),IF($K200="XtraGreen",SUMIFS(Table146[Quantity],Table146[Company],$P$3,Table146[Date],$A200,Table146[Bill No.],$B200),""))))</f>
        <v/>
      </c>
      <c r="D200" s="223" t="str">
        <f>IF($A200="","",IF($K200="DIESEL",AVERAGEIFS(Table1[RSP],Table1[Customer],$P$3,Table1[Date],$A200,Table1[Bill No.],$B200),IF($K200="PETROL",AVERAGEIFS(Table14[RSP],Table14[Customer],$P$3,Table14[Date],$A200,Table14[Bill No.],$B200),IF($K200="XtraGreen",AVERAGEIFS(Table146[RSP],Table146[Company],$P$3,Table146[Date],$A200,Table146[Bill No.],$B200),IFERROR($E200/$C200,"")))))</f>
        <v/>
      </c>
      <c r="E200" s="330" t="str">
        <f>IF($A200="","",IF($K200="DIESEL",SUMIFS(Table1[Amount],Table1[Customer],$P$3,Table1[Date],$A200,Table1[Bill No.],$B200),IF($K200="PETROL",SUMIFS(Table14[Amount],Table14[Customer],$P$3,Table14[Date],$A200,Table14[Bill No.],$B200),IF($K200="XtraGreen",SUMIFS(Table146[Amount],Table146[Company],$P$3,Table146[Date],$A200,Table146[Bill No.],$B200),SUMIFS('Other Sale'!$D:$D,'Other Sale'!$E:$E,$P$3,'Other Sale'!$C:$C,$K200,'Other Sale'!$A:$A,$A200)))))</f>
        <v/>
      </c>
      <c r="F200" s="330" t="str" cm="1">
        <f t="array" ref="F200">IF($A200="","",IF($K200="Payment",IFERROR(INDEX(_xlfn._xlws.FILTER(MasterPaid[Amount Paid],(MasterPaid[Customer]=$P$3)*(MasterPaid[Date]=$A200)),COUNTIFS($A$6:$A200,$A200,$K$6:$K200,"Payment")),0),0))</f>
        <v/>
      </c>
      <c r="G200" s="331" t="s">
        <v>13</v>
      </c>
      <c r="H200" s="331"/>
      <c r="I200" s="330" t="str">
        <f t="shared" si="15"/>
        <v/>
      </c>
      <c r="J200" s="275"/>
      <c r="K200" s="289" t="str" cm="1">
        <f t="array" ref="K200">IFERROR(INDEX(_xlfn.ANCHORARRAY($R$6),ROW()-5,3),"")</f>
        <v/>
      </c>
      <c r="L200" s="430" t="str" cm="1">
        <f t="array" ref="L200">IF(OR($A200="",$J200="",$K200&lt;&gt;"DIESEL"),"",_xlfn.LET(_xlpm.qty,N($C200),_xlpm.pos,IF($J200="UNIT 1",$V$5:$V$54,$AC$5:$AC$54),_xlpm.alo,IF($J200="UNIT 1",$W$5:$W$54,$AD$5:$AD$54),_xlpm.usd,SUMIFS($C$6:$C199,$L$6:$L199,_xlpm.pos&amp;"",$J$6:$J199,$J200),_xlpm.bal,N(_xlpm.alo)-_xlpm.usd,IFERROR(INDEX(_xlfn._xlws.FILTER(_xlpm.pos,(_xlpm.pos&lt;&gt;"")*(_xlpm.qty&gt;0)*(_xlpm.bal&gt;=_xlpm.qty)),1),"")))</f>
        <v/>
      </c>
      <c r="M200" s="290"/>
      <c r="AQ200" s="409"/>
      <c r="AR200" s="410"/>
      <c r="AS200" s="410"/>
      <c r="AT200" s="411"/>
      <c r="AU200" s="412"/>
      <c r="AV200" s="413"/>
      <c r="AW200" s="413"/>
      <c r="AX200" s="413"/>
      <c r="AY200" s="413"/>
      <c r="AZ200" s="413" t="str">
        <f t="shared" si="16"/>
        <v/>
      </c>
      <c r="BB200" s="409"/>
      <c r="BC200" s="410"/>
      <c r="BD200" s="410"/>
      <c r="BE200" s="411"/>
      <c r="BF200" s="412"/>
      <c r="BG200" s="413"/>
      <c r="BH200" s="413"/>
      <c r="BI200" s="413"/>
      <c r="BJ200" s="413"/>
      <c r="BK200" s="413" t="str">
        <f t="shared" si="17"/>
        <v/>
      </c>
    </row>
    <row r="201" spans="1:63" ht="23" x14ac:dyDescent="0.25">
      <c r="A201" s="217" t="str" cm="1">
        <f t="array" ref="A201">IFERROR(INDEX(_xlfn.ANCHORARRAY($R$6),ROW()-5,1),"")</f>
        <v/>
      </c>
      <c r="B201" s="289" t="str" cm="1">
        <f t="array" ref="B201">IFERROR(INDEX(_xlfn.ANCHORARRAY($R$6),ROW()-5,2),"")</f>
        <v/>
      </c>
      <c r="C201" s="218" t="str">
        <f>IF($A201="","",IF($K201="DIESEL",SUMIFS(Table1[Quantity],Table1[Customer],$P$3,Table1[Date],$A201,Table1[Bill No.],$B201),IF($K201="PETROL",SUMIFS(Table14[Quantity],Table14[Customer],$P$3,Table14[Date],$A201,Table14[Bill No.],$B201),IF($K201="XtraGreen",SUMIFS(Table146[Quantity],Table146[Company],$P$3,Table146[Date],$A201,Table146[Bill No.],$B201),""))))</f>
        <v/>
      </c>
      <c r="D201" s="223" t="str">
        <f>IF($A201="","",IF($K201="DIESEL",AVERAGEIFS(Table1[RSP],Table1[Customer],$P$3,Table1[Date],$A201,Table1[Bill No.],$B201),IF($K201="PETROL",AVERAGEIFS(Table14[RSP],Table14[Customer],$P$3,Table14[Date],$A201,Table14[Bill No.],$B201),IF($K201="XtraGreen",AVERAGEIFS(Table146[RSP],Table146[Company],$P$3,Table146[Date],$A201,Table146[Bill No.],$B201),IFERROR($E201/$C201,"")))))</f>
        <v/>
      </c>
      <c r="E201" s="330" t="str">
        <f>IF($A201="","",IF($K201="DIESEL",SUMIFS(Table1[Amount],Table1[Customer],$P$3,Table1[Date],$A201,Table1[Bill No.],$B201),IF($K201="PETROL",SUMIFS(Table14[Amount],Table14[Customer],$P$3,Table14[Date],$A201,Table14[Bill No.],$B201),IF($K201="XtraGreen",SUMIFS(Table146[Amount],Table146[Company],$P$3,Table146[Date],$A201,Table146[Bill No.],$B201),SUMIFS('Other Sale'!$D:$D,'Other Sale'!$E:$E,$P$3,'Other Sale'!$C:$C,$K201,'Other Sale'!$A:$A,$A201)))))</f>
        <v/>
      </c>
      <c r="F201" s="330" t="str" cm="1">
        <f t="array" ref="F201">IF($A201="","",IF($K201="Payment",IFERROR(INDEX(_xlfn._xlws.FILTER(MasterPaid[Amount Paid],(MasterPaid[Customer]=$P$3)*(MasterPaid[Date]=$A201)),COUNTIFS($A$6:$A201,$A201,$K$6:$K201,"Payment")),0),0))</f>
        <v/>
      </c>
      <c r="G201" s="331" t="s">
        <v>13</v>
      </c>
      <c r="H201" s="331"/>
      <c r="I201" s="330" t="str">
        <f t="shared" si="15"/>
        <v/>
      </c>
      <c r="J201" s="275"/>
      <c r="K201" s="289" t="str" cm="1">
        <f t="array" ref="K201">IFERROR(INDEX(_xlfn.ANCHORARRAY($R$6),ROW()-5,3),"")</f>
        <v/>
      </c>
      <c r="L201" s="430" t="str" cm="1">
        <f t="array" ref="L201">IF(OR($A201="",$J201="",$K201&lt;&gt;"DIESEL"),"",_xlfn.LET(_xlpm.qty,N($C201),_xlpm.pos,IF($J201="UNIT 1",$V$5:$V$54,$AC$5:$AC$54),_xlpm.alo,IF($J201="UNIT 1",$W$5:$W$54,$AD$5:$AD$54),_xlpm.usd,SUMIFS($C$6:$C200,$L$6:$L200,_xlpm.pos&amp;"",$J$6:$J200,$J201),_xlpm.bal,N(_xlpm.alo)-_xlpm.usd,IFERROR(INDEX(_xlfn._xlws.FILTER(_xlpm.pos,(_xlpm.pos&lt;&gt;"")*(_xlpm.qty&gt;0)*(_xlpm.bal&gt;=_xlpm.qty)),1),"")))</f>
        <v/>
      </c>
      <c r="M201" s="290"/>
      <c r="AQ201" s="409"/>
      <c r="AR201" s="410"/>
      <c r="AS201" s="410"/>
      <c r="AT201" s="411"/>
      <c r="AU201" s="412"/>
      <c r="AV201" s="413"/>
      <c r="AW201" s="413"/>
      <c r="AX201" s="413"/>
      <c r="AY201" s="413"/>
      <c r="AZ201" s="413" t="str">
        <f t="shared" si="16"/>
        <v/>
      </c>
      <c r="BB201" s="409"/>
      <c r="BC201" s="410"/>
      <c r="BD201" s="410"/>
      <c r="BE201" s="411"/>
      <c r="BF201" s="412"/>
      <c r="BG201" s="413"/>
      <c r="BH201" s="413"/>
      <c r="BI201" s="413"/>
      <c r="BJ201" s="413"/>
      <c r="BK201" s="413" t="str">
        <f t="shared" si="17"/>
        <v/>
      </c>
    </row>
    <row r="202" spans="1:63" ht="23" x14ac:dyDescent="0.25">
      <c r="A202" s="217" t="str" cm="1">
        <f t="array" ref="A202">IFERROR(INDEX(_xlfn.ANCHORARRAY($R$6),ROW()-5,1),"")</f>
        <v/>
      </c>
      <c r="B202" s="289" t="str" cm="1">
        <f t="array" ref="B202">IFERROR(INDEX(_xlfn.ANCHORARRAY($R$6),ROW()-5,2),"")</f>
        <v/>
      </c>
      <c r="C202" s="218" t="str">
        <f>IF($A202="","",IF($K202="DIESEL",SUMIFS(Table1[Quantity],Table1[Customer],$P$3,Table1[Date],$A202,Table1[Bill No.],$B202),IF($K202="PETROL",SUMIFS(Table14[Quantity],Table14[Customer],$P$3,Table14[Date],$A202,Table14[Bill No.],$B202),IF($K202="XtraGreen",SUMIFS(Table146[Quantity],Table146[Company],$P$3,Table146[Date],$A202,Table146[Bill No.],$B202),""))))</f>
        <v/>
      </c>
      <c r="D202" s="223" t="str">
        <f>IF($A202="","",IF($K202="DIESEL",AVERAGEIFS(Table1[RSP],Table1[Customer],$P$3,Table1[Date],$A202,Table1[Bill No.],$B202),IF($K202="PETROL",AVERAGEIFS(Table14[RSP],Table14[Customer],$P$3,Table14[Date],$A202,Table14[Bill No.],$B202),IF($K202="XtraGreen",AVERAGEIFS(Table146[RSP],Table146[Company],$P$3,Table146[Date],$A202,Table146[Bill No.],$B202),IFERROR($E202/$C202,"")))))</f>
        <v/>
      </c>
      <c r="E202" s="330" t="str">
        <f>IF($A202="","",IF($K202="DIESEL",SUMIFS(Table1[Amount],Table1[Customer],$P$3,Table1[Date],$A202,Table1[Bill No.],$B202),IF($K202="PETROL",SUMIFS(Table14[Amount],Table14[Customer],$P$3,Table14[Date],$A202,Table14[Bill No.],$B202),IF($K202="XtraGreen",SUMIFS(Table146[Amount],Table146[Company],$P$3,Table146[Date],$A202,Table146[Bill No.],$B202),SUMIFS('Other Sale'!$D:$D,'Other Sale'!$E:$E,$P$3,'Other Sale'!$C:$C,$K202,'Other Sale'!$A:$A,$A202)))))</f>
        <v/>
      </c>
      <c r="F202" s="330" t="str" cm="1">
        <f t="array" ref="F202">IF($A202="","",IF($K202="Payment",IFERROR(INDEX(_xlfn._xlws.FILTER(MasterPaid[Amount Paid],(MasterPaid[Customer]=$P$3)*(MasterPaid[Date]=$A202)),COUNTIFS($A$6:$A202,$A202,$K$6:$K202,"Payment")),0),0))</f>
        <v/>
      </c>
      <c r="G202" s="331" t="s">
        <v>13</v>
      </c>
      <c r="H202" s="331"/>
      <c r="I202" s="330" t="str">
        <f t="shared" si="15"/>
        <v/>
      </c>
      <c r="J202" s="275"/>
      <c r="K202" s="289" t="str" cm="1">
        <f t="array" ref="K202">IFERROR(INDEX(_xlfn.ANCHORARRAY($R$6),ROW()-5,3),"")</f>
        <v/>
      </c>
      <c r="L202" s="430" t="str" cm="1">
        <f t="array" ref="L202">IF(OR($A202="",$J202="",$K202&lt;&gt;"DIESEL"),"",_xlfn.LET(_xlpm.qty,N($C202),_xlpm.pos,IF($J202="UNIT 1",$V$5:$V$54,$AC$5:$AC$54),_xlpm.alo,IF($J202="UNIT 1",$W$5:$W$54,$AD$5:$AD$54),_xlpm.usd,SUMIFS($C$6:$C201,$L$6:$L201,_xlpm.pos&amp;"",$J$6:$J201,$J202),_xlpm.bal,N(_xlpm.alo)-_xlpm.usd,IFERROR(INDEX(_xlfn._xlws.FILTER(_xlpm.pos,(_xlpm.pos&lt;&gt;"")*(_xlpm.qty&gt;0)*(_xlpm.bal&gt;=_xlpm.qty)),1),"")))</f>
        <v/>
      </c>
      <c r="M202" s="290"/>
      <c r="AQ202" s="409"/>
      <c r="AR202" s="410"/>
      <c r="AS202" s="410"/>
      <c r="AT202" s="411"/>
      <c r="AU202" s="412"/>
      <c r="AV202" s="413"/>
      <c r="AW202" s="413"/>
      <c r="AX202" s="413"/>
      <c r="AY202" s="413"/>
      <c r="AZ202" s="413" t="str">
        <f t="shared" si="16"/>
        <v/>
      </c>
      <c r="BB202" s="409"/>
      <c r="BC202" s="410"/>
      <c r="BD202" s="410"/>
      <c r="BE202" s="411"/>
      <c r="BF202" s="412"/>
      <c r="BG202" s="413"/>
      <c r="BH202" s="413"/>
      <c r="BI202" s="413"/>
      <c r="BJ202" s="413"/>
      <c r="BK202" s="413" t="str">
        <f t="shared" si="17"/>
        <v/>
      </c>
    </row>
    <row r="203" spans="1:63" ht="23" x14ac:dyDescent="0.25">
      <c r="A203" s="217" t="str" cm="1">
        <f t="array" ref="A203">IFERROR(INDEX(_xlfn.ANCHORARRAY($R$6),ROW()-5,1),"")</f>
        <v/>
      </c>
      <c r="B203" s="289" t="str" cm="1">
        <f t="array" ref="B203">IFERROR(INDEX(_xlfn.ANCHORARRAY($R$6),ROW()-5,2),"")</f>
        <v/>
      </c>
      <c r="C203" s="218" t="str">
        <f>IF($A203="","",IF($K203="DIESEL",SUMIFS(Table1[Quantity],Table1[Customer],$P$3,Table1[Date],$A203,Table1[Bill No.],$B203),IF($K203="PETROL",SUMIFS(Table14[Quantity],Table14[Customer],$P$3,Table14[Date],$A203,Table14[Bill No.],$B203),IF($K203="XtraGreen",SUMIFS(Table146[Quantity],Table146[Company],$P$3,Table146[Date],$A203,Table146[Bill No.],$B203),""))))</f>
        <v/>
      </c>
      <c r="D203" s="223" t="str">
        <f>IF($A203="","",IF($K203="DIESEL",AVERAGEIFS(Table1[RSP],Table1[Customer],$P$3,Table1[Date],$A203,Table1[Bill No.],$B203),IF($K203="PETROL",AVERAGEIFS(Table14[RSP],Table14[Customer],$P$3,Table14[Date],$A203,Table14[Bill No.],$B203),IF($K203="XtraGreen",AVERAGEIFS(Table146[RSP],Table146[Company],$P$3,Table146[Date],$A203,Table146[Bill No.],$B203),IFERROR($E203/$C203,"")))))</f>
        <v/>
      </c>
      <c r="E203" s="330" t="str">
        <f>IF($A203="","",IF($K203="DIESEL",SUMIFS(Table1[Amount],Table1[Customer],$P$3,Table1[Date],$A203,Table1[Bill No.],$B203),IF($K203="PETROL",SUMIFS(Table14[Amount],Table14[Customer],$P$3,Table14[Date],$A203,Table14[Bill No.],$B203),IF($K203="XtraGreen",SUMIFS(Table146[Amount],Table146[Company],$P$3,Table146[Date],$A203,Table146[Bill No.],$B203),SUMIFS('Other Sale'!$D:$D,'Other Sale'!$E:$E,$P$3,'Other Sale'!$C:$C,$K203,'Other Sale'!$A:$A,$A203)))))</f>
        <v/>
      </c>
      <c r="F203" s="330" t="str" cm="1">
        <f t="array" ref="F203">IF($A203="","",IF($K203="Payment",IFERROR(INDEX(_xlfn._xlws.FILTER(MasterPaid[Amount Paid],(MasterPaid[Customer]=$P$3)*(MasterPaid[Date]=$A203)),COUNTIFS($A$6:$A203,$A203,$K$6:$K203,"Payment")),0),0))</f>
        <v/>
      </c>
      <c r="G203" s="331" t="s">
        <v>13</v>
      </c>
      <c r="H203" s="331"/>
      <c r="I203" s="330" t="str">
        <f t="shared" si="15"/>
        <v/>
      </c>
      <c r="J203" s="275"/>
      <c r="K203" s="289" t="str" cm="1">
        <f t="array" ref="K203">IFERROR(INDEX(_xlfn.ANCHORARRAY($R$6),ROW()-5,3),"")</f>
        <v/>
      </c>
      <c r="L203" s="430" t="str" cm="1">
        <f t="array" ref="L203">IF(OR($A203="",$J203="",$K203&lt;&gt;"DIESEL"),"",_xlfn.LET(_xlpm.qty,N($C203),_xlpm.pos,IF($J203="UNIT 1",$V$5:$V$54,$AC$5:$AC$54),_xlpm.alo,IF($J203="UNIT 1",$W$5:$W$54,$AD$5:$AD$54),_xlpm.usd,SUMIFS($C$6:$C202,$L$6:$L202,_xlpm.pos&amp;"",$J$6:$J202,$J203),_xlpm.bal,N(_xlpm.alo)-_xlpm.usd,IFERROR(INDEX(_xlfn._xlws.FILTER(_xlpm.pos,(_xlpm.pos&lt;&gt;"")*(_xlpm.qty&gt;0)*(_xlpm.bal&gt;=_xlpm.qty)),1),"")))</f>
        <v/>
      </c>
      <c r="M203" s="290"/>
      <c r="AQ203" s="409"/>
      <c r="AR203" s="410"/>
      <c r="AS203" s="410"/>
      <c r="AT203" s="411"/>
      <c r="AU203" s="412"/>
      <c r="AV203" s="413"/>
      <c r="AW203" s="413"/>
      <c r="AX203" s="413"/>
      <c r="AY203" s="413"/>
      <c r="AZ203" s="413" t="str">
        <f t="shared" si="16"/>
        <v/>
      </c>
      <c r="BB203" s="409"/>
      <c r="BC203" s="410"/>
      <c r="BD203" s="410"/>
      <c r="BE203" s="411"/>
      <c r="BF203" s="412"/>
      <c r="BG203" s="413"/>
      <c r="BH203" s="413"/>
      <c r="BI203" s="413"/>
      <c r="BJ203" s="413"/>
      <c r="BK203" s="413" t="str">
        <f t="shared" si="17"/>
        <v/>
      </c>
    </row>
    <row r="204" spans="1:63" ht="23" x14ac:dyDescent="0.25">
      <c r="A204" s="217" t="str" cm="1">
        <f t="array" ref="A204">IFERROR(INDEX(_xlfn.ANCHORARRAY($R$6),ROW()-5,1),"")</f>
        <v/>
      </c>
      <c r="B204" s="289" t="str" cm="1">
        <f t="array" ref="B204">IFERROR(INDEX(_xlfn.ANCHORARRAY($R$6),ROW()-5,2),"")</f>
        <v/>
      </c>
      <c r="C204" s="218" t="str">
        <f>IF($A204="","",IF($K204="DIESEL",SUMIFS(Table1[Quantity],Table1[Customer],$P$3,Table1[Date],$A204,Table1[Bill No.],$B204),IF($K204="PETROL",SUMIFS(Table14[Quantity],Table14[Customer],$P$3,Table14[Date],$A204,Table14[Bill No.],$B204),IF($K204="XtraGreen",SUMIFS(Table146[Quantity],Table146[Company],$P$3,Table146[Date],$A204,Table146[Bill No.],$B204),""))))</f>
        <v/>
      </c>
      <c r="D204" s="223" t="str">
        <f>IF($A204="","",IF($K204="DIESEL",AVERAGEIFS(Table1[RSP],Table1[Customer],$P$3,Table1[Date],$A204,Table1[Bill No.],$B204),IF($K204="PETROL",AVERAGEIFS(Table14[RSP],Table14[Customer],$P$3,Table14[Date],$A204,Table14[Bill No.],$B204),IF($K204="XtraGreen",AVERAGEIFS(Table146[RSP],Table146[Company],$P$3,Table146[Date],$A204,Table146[Bill No.],$B204),IFERROR($E204/$C204,"")))))</f>
        <v/>
      </c>
      <c r="E204" s="330" t="str">
        <f>IF($A204="","",IF($K204="DIESEL",SUMIFS(Table1[Amount],Table1[Customer],$P$3,Table1[Date],$A204,Table1[Bill No.],$B204),IF($K204="PETROL",SUMIFS(Table14[Amount],Table14[Customer],$P$3,Table14[Date],$A204,Table14[Bill No.],$B204),IF($K204="XtraGreen",SUMIFS(Table146[Amount],Table146[Company],$P$3,Table146[Date],$A204,Table146[Bill No.],$B204),SUMIFS('Other Sale'!$D:$D,'Other Sale'!$E:$E,$P$3,'Other Sale'!$C:$C,$K204,'Other Sale'!$A:$A,$A204)))))</f>
        <v/>
      </c>
      <c r="F204" s="330" t="str" cm="1">
        <f t="array" ref="F204">IF($A204="","",IF($K204="Payment",IFERROR(INDEX(_xlfn._xlws.FILTER(MasterPaid[Amount Paid],(MasterPaid[Customer]=$P$3)*(MasterPaid[Date]=$A204)),COUNTIFS($A$6:$A204,$A204,$K$6:$K204,"Payment")),0),0))</f>
        <v/>
      </c>
      <c r="G204" s="331" t="s">
        <v>13</v>
      </c>
      <c r="H204" s="331"/>
      <c r="I204" s="330" t="str">
        <f t="shared" si="15"/>
        <v/>
      </c>
      <c r="J204" s="275"/>
      <c r="K204" s="289" t="str" cm="1">
        <f t="array" ref="K204">IFERROR(INDEX(_xlfn.ANCHORARRAY($R$6),ROW()-5,3),"")</f>
        <v/>
      </c>
      <c r="L204" s="430" t="str" cm="1">
        <f t="array" ref="L204">IF(OR($A204="",$J204="",$K204&lt;&gt;"DIESEL"),"",_xlfn.LET(_xlpm.qty,N($C204),_xlpm.pos,IF($J204="UNIT 1",$V$5:$V$54,$AC$5:$AC$54),_xlpm.alo,IF($J204="UNIT 1",$W$5:$W$54,$AD$5:$AD$54),_xlpm.usd,SUMIFS($C$6:$C203,$L$6:$L203,_xlpm.pos&amp;"",$J$6:$J203,$J204),_xlpm.bal,N(_xlpm.alo)-_xlpm.usd,IFERROR(INDEX(_xlfn._xlws.FILTER(_xlpm.pos,(_xlpm.pos&lt;&gt;"")*(_xlpm.qty&gt;0)*(_xlpm.bal&gt;=_xlpm.qty)),1),"")))</f>
        <v/>
      </c>
      <c r="M204" s="290"/>
      <c r="AQ204" s="409"/>
      <c r="AR204" s="410"/>
      <c r="AS204" s="410"/>
      <c r="AT204" s="411"/>
      <c r="AU204" s="412"/>
      <c r="AV204" s="413"/>
      <c r="AW204" s="413"/>
      <c r="AX204" s="413"/>
      <c r="AY204" s="413"/>
      <c r="AZ204" s="413" t="str">
        <f t="shared" si="16"/>
        <v/>
      </c>
      <c r="BB204" s="409"/>
      <c r="BC204" s="410"/>
      <c r="BD204" s="410"/>
      <c r="BE204" s="411"/>
      <c r="BF204" s="412"/>
      <c r="BG204" s="413"/>
      <c r="BH204" s="413"/>
      <c r="BI204" s="413"/>
      <c r="BJ204" s="413"/>
      <c r="BK204" s="413" t="str">
        <f t="shared" si="17"/>
        <v/>
      </c>
    </row>
    <row r="205" spans="1:63" ht="23" x14ac:dyDescent="0.25">
      <c r="A205" s="217" t="str" cm="1">
        <f t="array" ref="A205">IFERROR(INDEX(_xlfn.ANCHORARRAY($R$6),ROW()-5,1),"")</f>
        <v/>
      </c>
      <c r="B205" s="289" t="str" cm="1">
        <f t="array" ref="B205">IFERROR(INDEX(_xlfn.ANCHORARRAY($R$6),ROW()-5,2),"")</f>
        <v/>
      </c>
      <c r="C205" s="218" t="str">
        <f>IF($A205="","",IF($K205="DIESEL",SUMIFS(Table1[Quantity],Table1[Customer],$P$3,Table1[Date],$A205,Table1[Bill No.],$B205),IF($K205="PETROL",SUMIFS(Table14[Quantity],Table14[Customer],$P$3,Table14[Date],$A205,Table14[Bill No.],$B205),IF($K205="XtraGreen",SUMIFS(Table146[Quantity],Table146[Company],$P$3,Table146[Date],$A205,Table146[Bill No.],$B205),""))))</f>
        <v/>
      </c>
      <c r="D205" s="223" t="str">
        <f>IF($A205="","",IF($K205="DIESEL",AVERAGEIFS(Table1[RSP],Table1[Customer],$P$3,Table1[Date],$A205,Table1[Bill No.],$B205),IF($K205="PETROL",AVERAGEIFS(Table14[RSP],Table14[Customer],$P$3,Table14[Date],$A205,Table14[Bill No.],$B205),IF($K205="XtraGreen",AVERAGEIFS(Table146[RSP],Table146[Company],$P$3,Table146[Date],$A205,Table146[Bill No.],$B205),IFERROR($E205/$C205,"")))))</f>
        <v/>
      </c>
      <c r="E205" s="330" t="str">
        <f>IF($A205="","",IF($K205="DIESEL",SUMIFS(Table1[Amount],Table1[Customer],$P$3,Table1[Date],$A205,Table1[Bill No.],$B205),IF($K205="PETROL",SUMIFS(Table14[Amount],Table14[Customer],$P$3,Table14[Date],$A205,Table14[Bill No.],$B205),IF($K205="XtraGreen",SUMIFS(Table146[Amount],Table146[Company],$P$3,Table146[Date],$A205,Table146[Bill No.],$B205),SUMIFS('Other Sale'!$D:$D,'Other Sale'!$E:$E,$P$3,'Other Sale'!$C:$C,$K205,'Other Sale'!$A:$A,$A205)))))</f>
        <v/>
      </c>
      <c r="F205" s="330" t="str" cm="1">
        <f t="array" ref="F205">IF($A205="","",IF($K205="Payment",IFERROR(INDEX(_xlfn._xlws.FILTER(MasterPaid[Amount Paid],(MasterPaid[Customer]=$P$3)*(MasterPaid[Date]=$A205)),COUNTIFS($A$6:$A205,$A205,$K$6:$K205,"Payment")),0),0))</f>
        <v/>
      </c>
      <c r="G205" s="331" t="s">
        <v>13</v>
      </c>
      <c r="H205" s="331"/>
      <c r="I205" s="330" t="str">
        <f t="shared" si="15"/>
        <v/>
      </c>
      <c r="J205" s="275"/>
      <c r="K205" s="289" t="str" cm="1">
        <f t="array" ref="K205">IFERROR(INDEX(_xlfn.ANCHORARRAY($R$6),ROW()-5,3),"")</f>
        <v/>
      </c>
      <c r="L205" s="430" t="str" cm="1">
        <f t="array" ref="L205">IF(OR($A205="",$J205="",$K205&lt;&gt;"DIESEL"),"",_xlfn.LET(_xlpm.qty,N($C205),_xlpm.pos,IF($J205="UNIT 1",$V$5:$V$54,$AC$5:$AC$54),_xlpm.alo,IF($J205="UNIT 1",$W$5:$W$54,$AD$5:$AD$54),_xlpm.usd,SUMIFS($C$6:$C204,$L$6:$L204,_xlpm.pos&amp;"",$J$6:$J204,$J205),_xlpm.bal,N(_xlpm.alo)-_xlpm.usd,IFERROR(INDEX(_xlfn._xlws.FILTER(_xlpm.pos,(_xlpm.pos&lt;&gt;"")*(_xlpm.qty&gt;0)*(_xlpm.bal&gt;=_xlpm.qty)),1),"")))</f>
        <v/>
      </c>
      <c r="M205" s="290"/>
      <c r="AQ205" s="409"/>
      <c r="AR205" s="410"/>
      <c r="AS205" s="410"/>
      <c r="AT205" s="411"/>
      <c r="AU205" s="412"/>
      <c r="AV205" s="413"/>
      <c r="AW205" s="413"/>
      <c r="AX205" s="413"/>
      <c r="AY205" s="413"/>
      <c r="AZ205" s="413" t="str">
        <f t="shared" si="16"/>
        <v/>
      </c>
      <c r="BB205" s="409"/>
      <c r="BC205" s="410"/>
      <c r="BD205" s="410"/>
      <c r="BE205" s="411"/>
      <c r="BF205" s="412"/>
      <c r="BG205" s="413"/>
      <c r="BH205" s="413"/>
      <c r="BI205" s="413"/>
      <c r="BJ205" s="413"/>
      <c r="BK205" s="413" t="str">
        <f t="shared" si="17"/>
        <v/>
      </c>
    </row>
    <row r="206" spans="1:63" ht="23" x14ac:dyDescent="0.25">
      <c r="A206" s="217" t="str" cm="1">
        <f t="array" ref="A206">IFERROR(INDEX(_xlfn.ANCHORARRAY($R$6),ROW()-5,1),"")</f>
        <v/>
      </c>
      <c r="B206" s="289" t="str" cm="1">
        <f t="array" ref="B206">IFERROR(INDEX(_xlfn.ANCHORARRAY($R$6),ROW()-5,2),"")</f>
        <v/>
      </c>
      <c r="C206" s="218" t="str">
        <f>IF($A206="","",IF($K206="DIESEL",SUMIFS(Table1[Quantity],Table1[Customer],$P$3,Table1[Date],$A206,Table1[Bill No.],$B206),IF($K206="PETROL",SUMIFS(Table14[Quantity],Table14[Customer],$P$3,Table14[Date],$A206,Table14[Bill No.],$B206),IF($K206="XtraGreen",SUMIFS(Table146[Quantity],Table146[Company],$P$3,Table146[Date],$A206,Table146[Bill No.],$B206),""))))</f>
        <v/>
      </c>
      <c r="D206" s="223" t="str">
        <f>IF($A206="","",IF($K206="DIESEL",AVERAGEIFS(Table1[RSP],Table1[Customer],$P$3,Table1[Date],$A206,Table1[Bill No.],$B206),IF($K206="PETROL",AVERAGEIFS(Table14[RSP],Table14[Customer],$P$3,Table14[Date],$A206,Table14[Bill No.],$B206),IF($K206="XtraGreen",AVERAGEIFS(Table146[RSP],Table146[Company],$P$3,Table146[Date],$A206,Table146[Bill No.],$B206),IFERROR($E206/$C206,"")))))</f>
        <v/>
      </c>
      <c r="E206" s="330" t="str">
        <f>IF($A206="","",IF($K206="DIESEL",SUMIFS(Table1[Amount],Table1[Customer],$P$3,Table1[Date],$A206,Table1[Bill No.],$B206),IF($K206="PETROL",SUMIFS(Table14[Amount],Table14[Customer],$P$3,Table14[Date],$A206,Table14[Bill No.],$B206),IF($K206="XtraGreen",SUMIFS(Table146[Amount],Table146[Company],$P$3,Table146[Date],$A206,Table146[Bill No.],$B206),SUMIFS('Other Sale'!$D:$D,'Other Sale'!$E:$E,$P$3,'Other Sale'!$C:$C,$K206,'Other Sale'!$A:$A,$A206)))))</f>
        <v/>
      </c>
      <c r="F206" s="330" t="str" cm="1">
        <f t="array" ref="F206">IF($A206="","",IF($K206="Payment",IFERROR(INDEX(_xlfn._xlws.FILTER(MasterPaid[Amount Paid],(MasterPaid[Customer]=$P$3)*(MasterPaid[Date]=$A206)),COUNTIFS($A$6:$A206,$A206,$K$6:$K206,"Payment")),0),0))</f>
        <v/>
      </c>
      <c r="G206" s="331" t="s">
        <v>13</v>
      </c>
      <c r="H206" s="331"/>
      <c r="I206" s="330" t="str">
        <f t="shared" si="15"/>
        <v/>
      </c>
      <c r="J206" s="275"/>
      <c r="K206" s="289" t="str" cm="1">
        <f t="array" ref="K206">IFERROR(INDEX(_xlfn.ANCHORARRAY($R$6),ROW()-5,3),"")</f>
        <v/>
      </c>
      <c r="L206" s="430" t="str" cm="1">
        <f t="array" ref="L206">IF(OR($A206="",$J206="",$K206&lt;&gt;"DIESEL"),"",_xlfn.LET(_xlpm.qty,N($C206),_xlpm.pos,IF($J206="UNIT 1",$V$5:$V$54,$AC$5:$AC$54),_xlpm.alo,IF($J206="UNIT 1",$W$5:$W$54,$AD$5:$AD$54),_xlpm.usd,SUMIFS($C$6:$C205,$L$6:$L205,_xlpm.pos&amp;"",$J$6:$J205,$J206),_xlpm.bal,N(_xlpm.alo)-_xlpm.usd,IFERROR(INDEX(_xlfn._xlws.FILTER(_xlpm.pos,(_xlpm.pos&lt;&gt;"")*(_xlpm.qty&gt;0)*(_xlpm.bal&gt;=_xlpm.qty)),1),"")))</f>
        <v/>
      </c>
      <c r="M206" s="290"/>
      <c r="AQ206" s="409"/>
      <c r="AR206" s="410"/>
      <c r="AS206" s="410"/>
      <c r="AT206" s="411"/>
      <c r="AU206" s="412"/>
      <c r="AV206" s="413"/>
      <c r="AW206" s="413"/>
      <c r="AX206" s="413"/>
      <c r="AY206" s="413"/>
      <c r="AZ206" s="413" t="str">
        <f t="shared" si="16"/>
        <v/>
      </c>
      <c r="BB206" s="409"/>
      <c r="BC206" s="410"/>
      <c r="BD206" s="410"/>
      <c r="BE206" s="411"/>
      <c r="BF206" s="412"/>
      <c r="BG206" s="413"/>
      <c r="BH206" s="413"/>
      <c r="BI206" s="413"/>
      <c r="BJ206" s="413"/>
      <c r="BK206" s="413" t="str">
        <f t="shared" si="17"/>
        <v/>
      </c>
    </row>
    <row r="207" spans="1:63" ht="23" x14ac:dyDescent="0.25">
      <c r="A207" s="217" t="str" cm="1">
        <f t="array" ref="A207">IFERROR(INDEX(_xlfn.ANCHORARRAY($R$6),ROW()-5,1),"")</f>
        <v/>
      </c>
      <c r="B207" s="289" t="str" cm="1">
        <f t="array" ref="B207">IFERROR(INDEX(_xlfn.ANCHORARRAY($R$6),ROW()-5,2),"")</f>
        <v/>
      </c>
      <c r="C207" s="218" t="str">
        <f>IF($A207="","",IF($K207="DIESEL",SUMIFS(Table1[Quantity],Table1[Customer],$P$3,Table1[Date],$A207,Table1[Bill No.],$B207),IF($K207="PETROL",SUMIFS(Table14[Quantity],Table14[Customer],$P$3,Table14[Date],$A207,Table14[Bill No.],$B207),IF($K207="XtraGreen",SUMIFS(Table146[Quantity],Table146[Company],$P$3,Table146[Date],$A207,Table146[Bill No.],$B207),""))))</f>
        <v/>
      </c>
      <c r="D207" s="223" t="str">
        <f>IF($A207="","",IF($K207="DIESEL",AVERAGEIFS(Table1[RSP],Table1[Customer],$P$3,Table1[Date],$A207,Table1[Bill No.],$B207),IF($K207="PETROL",AVERAGEIFS(Table14[RSP],Table14[Customer],$P$3,Table14[Date],$A207,Table14[Bill No.],$B207),IF($K207="XtraGreen",AVERAGEIFS(Table146[RSP],Table146[Company],$P$3,Table146[Date],$A207,Table146[Bill No.],$B207),IFERROR($E207/$C207,"")))))</f>
        <v/>
      </c>
      <c r="E207" s="330" t="str">
        <f>IF($A207="","",IF($K207="DIESEL",SUMIFS(Table1[Amount],Table1[Customer],$P$3,Table1[Date],$A207,Table1[Bill No.],$B207),IF($K207="PETROL",SUMIFS(Table14[Amount],Table14[Customer],$P$3,Table14[Date],$A207,Table14[Bill No.],$B207),IF($K207="XtraGreen",SUMIFS(Table146[Amount],Table146[Company],$P$3,Table146[Date],$A207,Table146[Bill No.],$B207),SUMIFS('Other Sale'!$D:$D,'Other Sale'!$E:$E,$P$3,'Other Sale'!$C:$C,$K207,'Other Sale'!$A:$A,$A207)))))</f>
        <v/>
      </c>
      <c r="F207" s="330" t="str" cm="1">
        <f t="array" ref="F207">IF($A207="","",IF($K207="Payment",IFERROR(INDEX(_xlfn._xlws.FILTER(MasterPaid[Amount Paid],(MasterPaid[Customer]=$P$3)*(MasterPaid[Date]=$A207)),COUNTIFS($A$6:$A207,$A207,$K$6:$K207,"Payment")),0),0))</f>
        <v/>
      </c>
      <c r="G207" s="331" t="s">
        <v>13</v>
      </c>
      <c r="H207" s="331"/>
      <c r="I207" s="330" t="str">
        <f t="shared" si="15"/>
        <v/>
      </c>
      <c r="J207" s="275"/>
      <c r="K207" s="289" t="str" cm="1">
        <f t="array" ref="K207">IFERROR(INDEX(_xlfn.ANCHORARRAY($R$6),ROW()-5,3),"")</f>
        <v/>
      </c>
      <c r="L207" s="430" t="str" cm="1">
        <f t="array" ref="L207">IF(OR($A207="",$J207="",$K207&lt;&gt;"DIESEL"),"",_xlfn.LET(_xlpm.qty,N($C207),_xlpm.pos,IF($J207="UNIT 1",$V$5:$V$54,$AC$5:$AC$54),_xlpm.alo,IF($J207="UNIT 1",$W$5:$W$54,$AD$5:$AD$54),_xlpm.usd,SUMIFS($C$6:$C206,$L$6:$L206,_xlpm.pos&amp;"",$J$6:$J206,$J207),_xlpm.bal,N(_xlpm.alo)-_xlpm.usd,IFERROR(INDEX(_xlfn._xlws.FILTER(_xlpm.pos,(_xlpm.pos&lt;&gt;"")*(_xlpm.qty&gt;0)*(_xlpm.bal&gt;=_xlpm.qty)),1),"")))</f>
        <v/>
      </c>
      <c r="M207" s="290"/>
      <c r="AQ207" s="409"/>
      <c r="AR207" s="410"/>
      <c r="AS207" s="410"/>
      <c r="AT207" s="411"/>
      <c r="AU207" s="412"/>
      <c r="AV207" s="413"/>
      <c r="AW207" s="413"/>
      <c r="AX207" s="413"/>
      <c r="AY207" s="413"/>
      <c r="AZ207" s="413" t="str">
        <f t="shared" si="16"/>
        <v/>
      </c>
      <c r="BB207" s="409"/>
      <c r="BC207" s="410"/>
      <c r="BD207" s="410"/>
      <c r="BE207" s="411"/>
      <c r="BF207" s="412"/>
      <c r="BG207" s="413"/>
      <c r="BH207" s="413"/>
      <c r="BI207" s="413"/>
      <c r="BJ207" s="413"/>
      <c r="BK207" s="413" t="str">
        <f t="shared" si="17"/>
        <v/>
      </c>
    </row>
    <row r="208" spans="1:63" ht="23" x14ac:dyDescent="0.25">
      <c r="A208" s="217" t="str" cm="1">
        <f t="array" ref="A208">IFERROR(INDEX(_xlfn.ANCHORARRAY($R$6),ROW()-5,1),"")</f>
        <v/>
      </c>
      <c r="B208" s="289" t="str" cm="1">
        <f t="array" ref="B208">IFERROR(INDEX(_xlfn.ANCHORARRAY($R$6),ROW()-5,2),"")</f>
        <v/>
      </c>
      <c r="C208" s="218" t="str">
        <f>IF($A208="","",IF($K208="DIESEL",SUMIFS(Table1[Quantity],Table1[Customer],$P$3,Table1[Date],$A208,Table1[Bill No.],$B208),IF($K208="PETROL",SUMIFS(Table14[Quantity],Table14[Customer],$P$3,Table14[Date],$A208,Table14[Bill No.],$B208),IF($K208="XtraGreen",SUMIFS(Table146[Quantity],Table146[Company],$P$3,Table146[Date],$A208,Table146[Bill No.],$B208),""))))</f>
        <v/>
      </c>
      <c r="D208" s="223" t="str">
        <f>IF($A208="","",IF($K208="DIESEL",AVERAGEIFS(Table1[RSP],Table1[Customer],$P$3,Table1[Date],$A208,Table1[Bill No.],$B208),IF($K208="PETROL",AVERAGEIFS(Table14[RSP],Table14[Customer],$P$3,Table14[Date],$A208,Table14[Bill No.],$B208),IF($K208="XtraGreen",AVERAGEIFS(Table146[RSP],Table146[Company],$P$3,Table146[Date],$A208,Table146[Bill No.],$B208),IFERROR($E208/$C208,"")))))</f>
        <v/>
      </c>
      <c r="E208" s="330" t="str">
        <f>IF($A208="","",IF($K208="DIESEL",SUMIFS(Table1[Amount],Table1[Customer],$P$3,Table1[Date],$A208,Table1[Bill No.],$B208),IF($K208="PETROL",SUMIFS(Table14[Amount],Table14[Customer],$P$3,Table14[Date],$A208,Table14[Bill No.],$B208),IF($K208="XtraGreen",SUMIFS(Table146[Amount],Table146[Company],$P$3,Table146[Date],$A208,Table146[Bill No.],$B208),SUMIFS('Other Sale'!$D:$D,'Other Sale'!$E:$E,$P$3,'Other Sale'!$C:$C,$K208,'Other Sale'!$A:$A,$A208)))))</f>
        <v/>
      </c>
      <c r="F208" s="330" t="str" cm="1">
        <f t="array" ref="F208">IF($A208="","",IF($K208="Payment",IFERROR(INDEX(_xlfn._xlws.FILTER(MasterPaid[Amount Paid],(MasterPaid[Customer]=$P$3)*(MasterPaid[Date]=$A208)),COUNTIFS($A$6:$A208,$A208,$K$6:$K208,"Payment")),0),0))</f>
        <v/>
      </c>
      <c r="G208" s="331" t="s">
        <v>13</v>
      </c>
      <c r="H208" s="331"/>
      <c r="I208" s="330" t="str">
        <f t="shared" si="15"/>
        <v/>
      </c>
      <c r="J208" s="275"/>
      <c r="K208" s="289" t="str" cm="1">
        <f t="array" ref="K208">IFERROR(INDEX(_xlfn.ANCHORARRAY($R$6),ROW()-5,3),"")</f>
        <v/>
      </c>
      <c r="L208" s="430" t="str" cm="1">
        <f t="array" ref="L208">IF(OR($A208="",$J208="",$K208&lt;&gt;"DIESEL"),"",_xlfn.LET(_xlpm.qty,N($C208),_xlpm.pos,IF($J208="UNIT 1",$V$5:$V$54,$AC$5:$AC$54),_xlpm.alo,IF($J208="UNIT 1",$W$5:$W$54,$AD$5:$AD$54),_xlpm.usd,SUMIFS($C$6:$C207,$L$6:$L207,_xlpm.pos&amp;"",$J$6:$J207,$J208),_xlpm.bal,N(_xlpm.alo)-_xlpm.usd,IFERROR(INDEX(_xlfn._xlws.FILTER(_xlpm.pos,(_xlpm.pos&lt;&gt;"")*(_xlpm.qty&gt;0)*(_xlpm.bal&gt;=_xlpm.qty)),1),"")))</f>
        <v/>
      </c>
      <c r="M208" s="290"/>
      <c r="AQ208" s="409"/>
      <c r="AR208" s="410"/>
      <c r="AS208" s="410"/>
      <c r="AT208" s="411"/>
      <c r="AU208" s="412"/>
      <c r="AV208" s="413"/>
      <c r="AW208" s="413"/>
      <c r="AX208" s="413"/>
      <c r="AY208" s="413"/>
      <c r="AZ208" s="413" t="str">
        <f t="shared" si="16"/>
        <v/>
      </c>
      <c r="BB208" s="409"/>
      <c r="BC208" s="410"/>
      <c r="BD208" s="410"/>
      <c r="BE208" s="411"/>
      <c r="BF208" s="412"/>
      <c r="BG208" s="413"/>
      <c r="BH208" s="413"/>
      <c r="BI208" s="413"/>
      <c r="BJ208" s="413"/>
      <c r="BK208" s="413" t="str">
        <f t="shared" si="17"/>
        <v/>
      </c>
    </row>
    <row r="209" spans="1:63" ht="23" x14ac:dyDescent="0.25">
      <c r="A209" s="217" t="str" cm="1">
        <f t="array" ref="A209">IFERROR(INDEX(_xlfn.ANCHORARRAY($R$6),ROW()-5,1),"")</f>
        <v/>
      </c>
      <c r="B209" s="289" t="str" cm="1">
        <f t="array" ref="B209">IFERROR(INDEX(_xlfn.ANCHORARRAY($R$6),ROW()-5,2),"")</f>
        <v/>
      </c>
      <c r="C209" s="218" t="str">
        <f>IF($A209="","",IF($K209="DIESEL",SUMIFS(Table1[Quantity],Table1[Customer],$P$3,Table1[Date],$A209,Table1[Bill No.],$B209),IF($K209="PETROL",SUMIFS(Table14[Quantity],Table14[Customer],$P$3,Table14[Date],$A209,Table14[Bill No.],$B209),IF($K209="XtraGreen",SUMIFS(Table146[Quantity],Table146[Company],$P$3,Table146[Date],$A209,Table146[Bill No.],$B209),""))))</f>
        <v/>
      </c>
      <c r="D209" s="223" t="str">
        <f>IF($A209="","",IF($K209="DIESEL",AVERAGEIFS(Table1[RSP],Table1[Customer],$P$3,Table1[Date],$A209,Table1[Bill No.],$B209),IF($K209="PETROL",AVERAGEIFS(Table14[RSP],Table14[Customer],$P$3,Table14[Date],$A209,Table14[Bill No.],$B209),IF($K209="XtraGreen",AVERAGEIFS(Table146[RSP],Table146[Company],$P$3,Table146[Date],$A209,Table146[Bill No.],$B209),IFERROR($E209/$C209,"")))))</f>
        <v/>
      </c>
      <c r="E209" s="330" t="str">
        <f>IF($A209="","",IF($K209="DIESEL",SUMIFS(Table1[Amount],Table1[Customer],$P$3,Table1[Date],$A209,Table1[Bill No.],$B209),IF($K209="PETROL",SUMIFS(Table14[Amount],Table14[Customer],$P$3,Table14[Date],$A209,Table14[Bill No.],$B209),IF($K209="XtraGreen",SUMIFS(Table146[Amount],Table146[Company],$P$3,Table146[Date],$A209,Table146[Bill No.],$B209),SUMIFS('Other Sale'!$D:$D,'Other Sale'!$E:$E,$P$3,'Other Sale'!$C:$C,$K209,'Other Sale'!$A:$A,$A209)))))</f>
        <v/>
      </c>
      <c r="F209" s="330" t="str" cm="1">
        <f t="array" ref="F209">IF($A209="","",IF($K209="Payment",IFERROR(INDEX(_xlfn._xlws.FILTER(MasterPaid[Amount Paid],(MasterPaid[Customer]=$P$3)*(MasterPaid[Date]=$A209)),COUNTIFS($A$6:$A209,$A209,$K$6:$K209,"Payment")),0),0))</f>
        <v/>
      </c>
      <c r="G209" s="331" t="s">
        <v>13</v>
      </c>
      <c r="H209" s="331"/>
      <c r="I209" s="330" t="str">
        <f t="shared" si="15"/>
        <v/>
      </c>
      <c r="J209" s="275"/>
      <c r="K209" s="289" t="str" cm="1">
        <f t="array" ref="K209">IFERROR(INDEX(_xlfn.ANCHORARRAY($R$6),ROW()-5,3),"")</f>
        <v/>
      </c>
      <c r="L209" s="430" t="str" cm="1">
        <f t="array" ref="L209">IF(OR($A209="",$J209="",$K209&lt;&gt;"DIESEL"),"",_xlfn.LET(_xlpm.qty,N($C209),_xlpm.pos,IF($J209="UNIT 1",$V$5:$V$54,$AC$5:$AC$54),_xlpm.alo,IF($J209="UNIT 1",$W$5:$W$54,$AD$5:$AD$54),_xlpm.usd,SUMIFS($C$6:$C208,$L$6:$L208,_xlpm.pos&amp;"",$J$6:$J208,$J209),_xlpm.bal,N(_xlpm.alo)-_xlpm.usd,IFERROR(INDEX(_xlfn._xlws.FILTER(_xlpm.pos,(_xlpm.pos&lt;&gt;"")*(_xlpm.qty&gt;0)*(_xlpm.bal&gt;=_xlpm.qty)),1),"")))</f>
        <v/>
      </c>
      <c r="M209" s="290"/>
      <c r="AQ209" s="409"/>
      <c r="AR209" s="410"/>
      <c r="AS209" s="410"/>
      <c r="AT209" s="411"/>
      <c r="AU209" s="412"/>
      <c r="AV209" s="413"/>
      <c r="AW209" s="413"/>
      <c r="AX209" s="413"/>
      <c r="AY209" s="413"/>
      <c r="AZ209" s="413" t="str">
        <f t="shared" si="16"/>
        <v/>
      </c>
      <c r="BB209" s="409"/>
      <c r="BC209" s="410"/>
      <c r="BD209" s="410"/>
      <c r="BE209" s="411"/>
      <c r="BF209" s="412"/>
      <c r="BG209" s="413"/>
      <c r="BH209" s="413"/>
      <c r="BI209" s="413"/>
      <c r="BJ209" s="413"/>
      <c r="BK209" s="413" t="str">
        <f t="shared" si="17"/>
        <v/>
      </c>
    </row>
    <row r="210" spans="1:63" ht="23" x14ac:dyDescent="0.25">
      <c r="A210" s="217" t="str" cm="1">
        <f t="array" ref="A210">IFERROR(INDEX(_xlfn.ANCHORARRAY($R$6),ROW()-5,1),"")</f>
        <v/>
      </c>
      <c r="B210" s="289" t="str" cm="1">
        <f t="array" ref="B210">IFERROR(INDEX(_xlfn.ANCHORARRAY($R$6),ROW()-5,2),"")</f>
        <v/>
      </c>
      <c r="C210" s="218" t="str">
        <f>IF($A210="","",IF($K210="DIESEL",SUMIFS(Table1[Quantity],Table1[Customer],$P$3,Table1[Date],$A210,Table1[Bill No.],$B210),IF($K210="PETROL",SUMIFS(Table14[Quantity],Table14[Customer],$P$3,Table14[Date],$A210,Table14[Bill No.],$B210),IF($K210="XtraGreen",SUMIFS(Table146[Quantity],Table146[Company],$P$3,Table146[Date],$A210,Table146[Bill No.],$B210),""))))</f>
        <v/>
      </c>
      <c r="D210" s="223" t="str">
        <f>IF($A210="","",IF($K210="DIESEL",AVERAGEIFS(Table1[RSP],Table1[Customer],$P$3,Table1[Date],$A210,Table1[Bill No.],$B210),IF($K210="PETROL",AVERAGEIFS(Table14[RSP],Table14[Customer],$P$3,Table14[Date],$A210,Table14[Bill No.],$B210),IF($K210="XtraGreen",AVERAGEIFS(Table146[RSP],Table146[Company],$P$3,Table146[Date],$A210,Table146[Bill No.],$B210),IFERROR($E210/$C210,"")))))</f>
        <v/>
      </c>
      <c r="E210" s="330" t="str">
        <f>IF($A210="","",IF($K210="DIESEL",SUMIFS(Table1[Amount],Table1[Customer],$P$3,Table1[Date],$A210,Table1[Bill No.],$B210),IF($K210="PETROL",SUMIFS(Table14[Amount],Table14[Customer],$P$3,Table14[Date],$A210,Table14[Bill No.],$B210),IF($K210="XtraGreen",SUMIFS(Table146[Amount],Table146[Company],$P$3,Table146[Date],$A210,Table146[Bill No.],$B210),SUMIFS('Other Sale'!$D:$D,'Other Sale'!$E:$E,$P$3,'Other Sale'!$C:$C,$K210,'Other Sale'!$A:$A,$A210)))))</f>
        <v/>
      </c>
      <c r="F210" s="330" t="str" cm="1">
        <f t="array" ref="F210">IF($A210="","",IF($K210="Payment",IFERROR(INDEX(_xlfn._xlws.FILTER(MasterPaid[Amount Paid],(MasterPaid[Customer]=$P$3)*(MasterPaid[Date]=$A210)),COUNTIFS($A$6:$A210,$A210,$K$6:$K210,"Payment")),0),0))</f>
        <v/>
      </c>
      <c r="G210" s="331" t="s">
        <v>13</v>
      </c>
      <c r="H210" s="331"/>
      <c r="I210" s="330" t="str">
        <f t="shared" si="15"/>
        <v/>
      </c>
      <c r="J210" s="275"/>
      <c r="K210" s="289" t="str" cm="1">
        <f t="array" ref="K210">IFERROR(INDEX(_xlfn.ANCHORARRAY($R$6),ROW()-5,3),"")</f>
        <v/>
      </c>
      <c r="L210" s="430" t="str" cm="1">
        <f t="array" ref="L210">IF(OR($A210="",$J210="",$K210&lt;&gt;"DIESEL"),"",_xlfn.LET(_xlpm.qty,N($C210),_xlpm.pos,IF($J210="UNIT 1",$V$5:$V$54,$AC$5:$AC$54),_xlpm.alo,IF($J210="UNIT 1",$W$5:$W$54,$AD$5:$AD$54),_xlpm.usd,SUMIFS($C$6:$C209,$L$6:$L209,_xlpm.pos&amp;"",$J$6:$J209,$J210),_xlpm.bal,N(_xlpm.alo)-_xlpm.usd,IFERROR(INDEX(_xlfn._xlws.FILTER(_xlpm.pos,(_xlpm.pos&lt;&gt;"")*(_xlpm.qty&gt;0)*(_xlpm.bal&gt;=_xlpm.qty)),1),"")))</f>
        <v/>
      </c>
      <c r="M210" s="290"/>
      <c r="AQ210" s="409"/>
      <c r="AR210" s="410"/>
      <c r="AS210" s="410"/>
      <c r="AT210" s="411"/>
      <c r="AU210" s="412"/>
      <c r="AV210" s="413"/>
      <c r="AW210" s="413"/>
      <c r="AX210" s="413"/>
      <c r="AY210" s="413"/>
      <c r="AZ210" s="413" t="str">
        <f t="shared" si="16"/>
        <v/>
      </c>
      <c r="BB210" s="409"/>
      <c r="BC210" s="410"/>
      <c r="BD210" s="410"/>
      <c r="BE210" s="411"/>
      <c r="BF210" s="412"/>
      <c r="BG210" s="413"/>
      <c r="BH210" s="413"/>
      <c r="BI210" s="413"/>
      <c r="BJ210" s="413"/>
      <c r="BK210" s="413" t="str">
        <f t="shared" si="17"/>
        <v/>
      </c>
    </row>
    <row r="211" spans="1:63" ht="23" x14ac:dyDescent="0.25">
      <c r="A211" s="217" t="str" cm="1">
        <f t="array" ref="A211">IFERROR(INDEX(_xlfn.ANCHORARRAY($R$6),ROW()-5,1),"")</f>
        <v/>
      </c>
      <c r="B211" s="289" t="str" cm="1">
        <f t="array" ref="B211">IFERROR(INDEX(_xlfn.ANCHORARRAY($R$6),ROW()-5,2),"")</f>
        <v/>
      </c>
      <c r="C211" s="218" t="str">
        <f>IF($A211="","",IF($K211="DIESEL",SUMIFS(Table1[Quantity],Table1[Customer],$P$3,Table1[Date],$A211,Table1[Bill No.],$B211),IF($K211="PETROL",SUMIFS(Table14[Quantity],Table14[Customer],$P$3,Table14[Date],$A211,Table14[Bill No.],$B211),IF($K211="XtraGreen",SUMIFS(Table146[Quantity],Table146[Company],$P$3,Table146[Date],$A211,Table146[Bill No.],$B211),""))))</f>
        <v/>
      </c>
      <c r="D211" s="223" t="str">
        <f>IF($A211="","",IF($K211="DIESEL",AVERAGEIFS(Table1[RSP],Table1[Customer],$P$3,Table1[Date],$A211,Table1[Bill No.],$B211),IF($K211="PETROL",AVERAGEIFS(Table14[RSP],Table14[Customer],$P$3,Table14[Date],$A211,Table14[Bill No.],$B211),IF($K211="XtraGreen",AVERAGEIFS(Table146[RSP],Table146[Company],$P$3,Table146[Date],$A211,Table146[Bill No.],$B211),IFERROR($E211/$C211,"")))))</f>
        <v/>
      </c>
      <c r="E211" s="330" t="str">
        <f>IF($A211="","",IF($K211="DIESEL",SUMIFS(Table1[Amount],Table1[Customer],$P$3,Table1[Date],$A211,Table1[Bill No.],$B211),IF($K211="PETROL",SUMIFS(Table14[Amount],Table14[Customer],$P$3,Table14[Date],$A211,Table14[Bill No.],$B211),IF($K211="XtraGreen",SUMIFS(Table146[Amount],Table146[Company],$P$3,Table146[Date],$A211,Table146[Bill No.],$B211),SUMIFS('Other Sale'!$D:$D,'Other Sale'!$E:$E,$P$3,'Other Sale'!$C:$C,$K211,'Other Sale'!$A:$A,$A211)))))</f>
        <v/>
      </c>
      <c r="F211" s="330" t="str" cm="1">
        <f t="array" ref="F211">IF($A211="","",IF($K211="Payment",IFERROR(INDEX(_xlfn._xlws.FILTER(MasterPaid[Amount Paid],(MasterPaid[Customer]=$P$3)*(MasterPaid[Date]=$A211)),COUNTIFS($A$6:$A211,$A211,$K$6:$K211,"Payment")),0),0))</f>
        <v/>
      </c>
      <c r="G211" s="331" t="s">
        <v>13</v>
      </c>
      <c r="H211" s="331"/>
      <c r="I211" s="330" t="str">
        <f t="shared" si="15"/>
        <v/>
      </c>
      <c r="J211" s="275"/>
      <c r="K211" s="289" t="str" cm="1">
        <f t="array" ref="K211">IFERROR(INDEX(_xlfn.ANCHORARRAY($R$6),ROW()-5,3),"")</f>
        <v/>
      </c>
      <c r="L211" s="430" t="str" cm="1">
        <f t="array" ref="L211">IF(OR($A211="",$J211="",$K211&lt;&gt;"DIESEL"),"",_xlfn.LET(_xlpm.qty,N($C211),_xlpm.pos,IF($J211="UNIT 1",$V$5:$V$54,$AC$5:$AC$54),_xlpm.alo,IF($J211="UNIT 1",$W$5:$W$54,$AD$5:$AD$54),_xlpm.usd,SUMIFS($C$6:$C210,$L$6:$L210,_xlpm.pos&amp;"",$J$6:$J210,$J211),_xlpm.bal,N(_xlpm.alo)-_xlpm.usd,IFERROR(INDEX(_xlfn._xlws.FILTER(_xlpm.pos,(_xlpm.pos&lt;&gt;"")*(_xlpm.qty&gt;0)*(_xlpm.bal&gt;=_xlpm.qty)),1),"")))</f>
        <v/>
      </c>
      <c r="M211" s="290"/>
      <c r="AQ211" s="409"/>
      <c r="AR211" s="410"/>
      <c r="AS211" s="410"/>
      <c r="AT211" s="411"/>
      <c r="AU211" s="412"/>
      <c r="AV211" s="413"/>
      <c r="AW211" s="413"/>
      <c r="AX211" s="413"/>
      <c r="AY211" s="413"/>
      <c r="AZ211" s="413" t="str">
        <f t="shared" si="16"/>
        <v/>
      </c>
      <c r="BB211" s="409"/>
      <c r="BC211" s="410"/>
      <c r="BD211" s="410"/>
      <c r="BE211" s="411"/>
      <c r="BF211" s="412"/>
      <c r="BG211" s="413"/>
      <c r="BH211" s="413"/>
      <c r="BI211" s="413"/>
      <c r="BJ211" s="413"/>
      <c r="BK211" s="413" t="str">
        <f t="shared" si="17"/>
        <v/>
      </c>
    </row>
    <row r="212" spans="1:63" ht="23" x14ac:dyDescent="0.25">
      <c r="A212" s="217" t="str" cm="1">
        <f t="array" ref="A212">IFERROR(INDEX(_xlfn.ANCHORARRAY($R$6),ROW()-5,1),"")</f>
        <v/>
      </c>
      <c r="B212" s="289" t="str" cm="1">
        <f t="array" ref="B212">IFERROR(INDEX(_xlfn.ANCHORARRAY($R$6),ROW()-5,2),"")</f>
        <v/>
      </c>
      <c r="C212" s="218" t="str">
        <f>IF($A212="","",IF($K212="DIESEL",SUMIFS(Table1[Quantity],Table1[Customer],$P$3,Table1[Date],$A212,Table1[Bill No.],$B212),IF($K212="PETROL",SUMIFS(Table14[Quantity],Table14[Customer],$P$3,Table14[Date],$A212,Table14[Bill No.],$B212),IF($K212="XtraGreen",SUMIFS(Table146[Quantity],Table146[Company],$P$3,Table146[Date],$A212,Table146[Bill No.],$B212),""))))</f>
        <v/>
      </c>
      <c r="D212" s="223" t="str">
        <f>IF($A212="","",IF($K212="DIESEL",AVERAGEIFS(Table1[RSP],Table1[Customer],$P$3,Table1[Date],$A212,Table1[Bill No.],$B212),IF($K212="PETROL",AVERAGEIFS(Table14[RSP],Table14[Customer],$P$3,Table14[Date],$A212,Table14[Bill No.],$B212),IF($K212="XtraGreen",AVERAGEIFS(Table146[RSP],Table146[Company],$P$3,Table146[Date],$A212,Table146[Bill No.],$B212),IFERROR($E212/$C212,"")))))</f>
        <v/>
      </c>
      <c r="E212" s="330" t="str">
        <f>IF($A212="","",IF($K212="DIESEL",SUMIFS(Table1[Amount],Table1[Customer],$P$3,Table1[Date],$A212,Table1[Bill No.],$B212),IF($K212="PETROL",SUMIFS(Table14[Amount],Table14[Customer],$P$3,Table14[Date],$A212,Table14[Bill No.],$B212),IF($K212="XtraGreen",SUMIFS(Table146[Amount],Table146[Company],$P$3,Table146[Date],$A212,Table146[Bill No.],$B212),SUMIFS('Other Sale'!$D:$D,'Other Sale'!$E:$E,$P$3,'Other Sale'!$C:$C,$K212,'Other Sale'!$A:$A,$A212)))))</f>
        <v/>
      </c>
      <c r="F212" s="330" t="str" cm="1">
        <f t="array" ref="F212">IF($A212="","",IF($K212="Payment",IFERROR(INDEX(_xlfn._xlws.FILTER(MasterPaid[Amount Paid],(MasterPaid[Customer]=$P$3)*(MasterPaid[Date]=$A212)),COUNTIFS($A$6:$A212,$A212,$K$6:$K212,"Payment")),0),0))</f>
        <v/>
      </c>
      <c r="G212" s="331" t="s">
        <v>13</v>
      </c>
      <c r="H212" s="331"/>
      <c r="I212" s="330" t="str">
        <f t="shared" si="15"/>
        <v/>
      </c>
      <c r="J212" s="275"/>
      <c r="K212" s="289" t="str" cm="1">
        <f t="array" ref="K212">IFERROR(INDEX(_xlfn.ANCHORARRAY($R$6),ROW()-5,3),"")</f>
        <v/>
      </c>
      <c r="L212" s="430" t="str" cm="1">
        <f t="array" ref="L212">IF(OR($A212="",$J212="",$K212&lt;&gt;"DIESEL"),"",_xlfn.LET(_xlpm.qty,N($C212),_xlpm.pos,IF($J212="UNIT 1",$V$5:$V$54,$AC$5:$AC$54),_xlpm.alo,IF($J212="UNIT 1",$W$5:$W$54,$AD$5:$AD$54),_xlpm.usd,SUMIFS($C$6:$C211,$L$6:$L211,_xlpm.pos&amp;"",$J$6:$J211,$J212),_xlpm.bal,N(_xlpm.alo)-_xlpm.usd,IFERROR(INDEX(_xlfn._xlws.FILTER(_xlpm.pos,(_xlpm.pos&lt;&gt;"")*(_xlpm.qty&gt;0)*(_xlpm.bal&gt;=_xlpm.qty)),1),"")))</f>
        <v/>
      </c>
      <c r="M212" s="290"/>
      <c r="AQ212" s="409"/>
      <c r="AR212" s="410"/>
      <c r="AS212" s="410"/>
      <c r="AT212" s="411"/>
      <c r="AU212" s="412"/>
      <c r="AV212" s="413"/>
      <c r="AW212" s="413"/>
      <c r="AX212" s="413"/>
      <c r="AY212" s="413"/>
      <c r="AZ212" s="413" t="str">
        <f t="shared" si="16"/>
        <v/>
      </c>
      <c r="BB212" s="409"/>
      <c r="BC212" s="410"/>
      <c r="BD212" s="410"/>
      <c r="BE212" s="411"/>
      <c r="BF212" s="412"/>
      <c r="BG212" s="413"/>
      <c r="BH212" s="413"/>
      <c r="BI212" s="413"/>
      <c r="BJ212" s="413"/>
      <c r="BK212" s="413" t="str">
        <f t="shared" si="17"/>
        <v/>
      </c>
    </row>
    <row r="213" spans="1:63" ht="23" x14ac:dyDescent="0.25">
      <c r="A213" s="217" t="str" cm="1">
        <f t="array" ref="A213">IFERROR(INDEX(_xlfn.ANCHORARRAY($R$6),ROW()-5,1),"")</f>
        <v/>
      </c>
      <c r="B213" s="289" t="str" cm="1">
        <f t="array" ref="B213">IFERROR(INDEX(_xlfn.ANCHORARRAY($R$6),ROW()-5,2),"")</f>
        <v/>
      </c>
      <c r="C213" s="218" t="str">
        <f>IF($A213="","",IF($K213="DIESEL",SUMIFS(Table1[Quantity],Table1[Customer],$P$3,Table1[Date],$A213,Table1[Bill No.],$B213),IF($K213="PETROL",SUMIFS(Table14[Quantity],Table14[Customer],$P$3,Table14[Date],$A213,Table14[Bill No.],$B213),IF($K213="XtraGreen",SUMIFS(Table146[Quantity],Table146[Company],$P$3,Table146[Date],$A213,Table146[Bill No.],$B213),""))))</f>
        <v/>
      </c>
      <c r="D213" s="223" t="str">
        <f>IF($A213="","",IF($K213="DIESEL",AVERAGEIFS(Table1[RSP],Table1[Customer],$P$3,Table1[Date],$A213,Table1[Bill No.],$B213),IF($K213="PETROL",AVERAGEIFS(Table14[RSP],Table14[Customer],$P$3,Table14[Date],$A213,Table14[Bill No.],$B213),IF($K213="XtraGreen",AVERAGEIFS(Table146[RSP],Table146[Company],$P$3,Table146[Date],$A213,Table146[Bill No.],$B213),IFERROR($E213/$C213,"")))))</f>
        <v/>
      </c>
      <c r="E213" s="330" t="str">
        <f>IF($A213="","",IF($K213="DIESEL",SUMIFS(Table1[Amount],Table1[Customer],$P$3,Table1[Date],$A213,Table1[Bill No.],$B213),IF($K213="PETROL",SUMIFS(Table14[Amount],Table14[Customer],$P$3,Table14[Date],$A213,Table14[Bill No.],$B213),IF($K213="XtraGreen",SUMIFS(Table146[Amount],Table146[Company],$P$3,Table146[Date],$A213,Table146[Bill No.],$B213),SUMIFS('Other Sale'!$D:$D,'Other Sale'!$E:$E,$P$3,'Other Sale'!$C:$C,$K213,'Other Sale'!$A:$A,$A213)))))</f>
        <v/>
      </c>
      <c r="F213" s="330" t="str" cm="1">
        <f t="array" ref="F213">IF($A213="","",IF($K213="Payment",IFERROR(INDEX(_xlfn._xlws.FILTER(MasterPaid[Amount Paid],(MasterPaid[Customer]=$P$3)*(MasterPaid[Date]=$A213)),COUNTIFS($A$6:$A213,$A213,$K$6:$K213,"Payment")),0),0))</f>
        <v/>
      </c>
      <c r="G213" s="331" t="s">
        <v>13</v>
      </c>
      <c r="H213" s="331"/>
      <c r="I213" s="330" t="str">
        <f t="shared" si="15"/>
        <v/>
      </c>
      <c r="J213" s="275"/>
      <c r="K213" s="289" t="str" cm="1">
        <f t="array" ref="K213">IFERROR(INDEX(_xlfn.ANCHORARRAY($R$6),ROW()-5,3),"")</f>
        <v/>
      </c>
      <c r="L213" s="430" t="str" cm="1">
        <f t="array" ref="L213">IF(OR($A213="",$J213="",$K213&lt;&gt;"DIESEL"),"",_xlfn.LET(_xlpm.qty,N($C213),_xlpm.pos,IF($J213="UNIT 1",$V$5:$V$54,$AC$5:$AC$54),_xlpm.alo,IF($J213="UNIT 1",$W$5:$W$54,$AD$5:$AD$54),_xlpm.usd,SUMIFS($C$6:$C212,$L$6:$L212,_xlpm.pos&amp;"",$J$6:$J212,$J213),_xlpm.bal,N(_xlpm.alo)-_xlpm.usd,IFERROR(INDEX(_xlfn._xlws.FILTER(_xlpm.pos,(_xlpm.pos&lt;&gt;"")*(_xlpm.qty&gt;0)*(_xlpm.bal&gt;=_xlpm.qty)),1),"")))</f>
        <v/>
      </c>
      <c r="M213" s="290"/>
      <c r="AQ213" s="409"/>
      <c r="AR213" s="410"/>
      <c r="AS213" s="410"/>
      <c r="AT213" s="411"/>
      <c r="AU213" s="412"/>
      <c r="AV213" s="413"/>
      <c r="AW213" s="413"/>
      <c r="AX213" s="413"/>
      <c r="AY213" s="413"/>
      <c r="AZ213" s="413" t="str">
        <f t="shared" si="16"/>
        <v/>
      </c>
      <c r="BB213" s="409"/>
      <c r="BC213" s="410"/>
      <c r="BD213" s="410"/>
      <c r="BE213" s="411"/>
      <c r="BF213" s="412"/>
      <c r="BG213" s="413"/>
      <c r="BH213" s="413"/>
      <c r="BI213" s="413"/>
      <c r="BJ213" s="413"/>
      <c r="BK213" s="413" t="str">
        <f t="shared" si="17"/>
        <v/>
      </c>
    </row>
    <row r="214" spans="1:63" ht="23" x14ac:dyDescent="0.25">
      <c r="A214" s="217" t="str" cm="1">
        <f t="array" ref="A214">IFERROR(INDEX(_xlfn.ANCHORARRAY($R$6),ROW()-5,1),"")</f>
        <v/>
      </c>
      <c r="B214" s="289" t="str" cm="1">
        <f t="array" ref="B214">IFERROR(INDEX(_xlfn.ANCHORARRAY($R$6),ROW()-5,2),"")</f>
        <v/>
      </c>
      <c r="C214" s="218" t="str">
        <f>IF($A214="","",IF($K214="DIESEL",SUMIFS(Table1[Quantity],Table1[Customer],$P$3,Table1[Date],$A214,Table1[Bill No.],$B214),IF($K214="PETROL",SUMIFS(Table14[Quantity],Table14[Customer],$P$3,Table14[Date],$A214,Table14[Bill No.],$B214),IF($K214="XtraGreen",SUMIFS(Table146[Quantity],Table146[Company],$P$3,Table146[Date],$A214,Table146[Bill No.],$B214),""))))</f>
        <v/>
      </c>
      <c r="D214" s="223" t="str">
        <f>IF($A214="","",IF($K214="DIESEL",AVERAGEIFS(Table1[RSP],Table1[Customer],$P$3,Table1[Date],$A214,Table1[Bill No.],$B214),IF($K214="PETROL",AVERAGEIFS(Table14[RSP],Table14[Customer],$P$3,Table14[Date],$A214,Table14[Bill No.],$B214),IF($K214="XtraGreen",AVERAGEIFS(Table146[RSP],Table146[Company],$P$3,Table146[Date],$A214,Table146[Bill No.],$B214),IFERROR($E214/$C214,"")))))</f>
        <v/>
      </c>
      <c r="E214" s="330" t="str">
        <f>IF($A214="","",IF($K214="DIESEL",SUMIFS(Table1[Amount],Table1[Customer],$P$3,Table1[Date],$A214,Table1[Bill No.],$B214),IF($K214="PETROL",SUMIFS(Table14[Amount],Table14[Customer],$P$3,Table14[Date],$A214,Table14[Bill No.],$B214),IF($K214="XtraGreen",SUMIFS(Table146[Amount],Table146[Company],$P$3,Table146[Date],$A214,Table146[Bill No.],$B214),SUMIFS('Other Sale'!$D:$D,'Other Sale'!$E:$E,$P$3,'Other Sale'!$C:$C,$K214,'Other Sale'!$A:$A,$A214)))))</f>
        <v/>
      </c>
      <c r="F214" s="330" t="str" cm="1">
        <f t="array" ref="F214">IF($A214="","",IF($K214="Payment",IFERROR(INDEX(_xlfn._xlws.FILTER(MasterPaid[Amount Paid],(MasterPaid[Customer]=$P$3)*(MasterPaid[Date]=$A214)),COUNTIFS($A$6:$A214,$A214,$K$6:$K214,"Payment")),0),0))</f>
        <v/>
      </c>
      <c r="G214" s="331" t="s">
        <v>13</v>
      </c>
      <c r="H214" s="331"/>
      <c r="I214" s="330" t="str">
        <f t="shared" ref="I214:I277" si="18">IF($A214="","",I213+N(E214)-N(F214)-N(G214)-N(H214))</f>
        <v/>
      </c>
      <c r="J214" s="275"/>
      <c r="K214" s="289" t="str" cm="1">
        <f t="array" ref="K214">IFERROR(INDEX(_xlfn.ANCHORARRAY($R$6),ROW()-5,3),"")</f>
        <v/>
      </c>
      <c r="L214" s="430" t="str" cm="1">
        <f t="array" ref="L214">IF(OR($A214="",$J214="",$K214&lt;&gt;"DIESEL"),"",_xlfn.LET(_xlpm.qty,N($C214),_xlpm.pos,IF($J214="UNIT 1",$V$5:$V$54,$AC$5:$AC$54),_xlpm.alo,IF($J214="UNIT 1",$W$5:$W$54,$AD$5:$AD$54),_xlpm.usd,SUMIFS($C$6:$C213,$L$6:$L213,_xlpm.pos&amp;"",$J$6:$J213,$J214),_xlpm.bal,N(_xlpm.alo)-_xlpm.usd,IFERROR(INDEX(_xlfn._xlws.FILTER(_xlpm.pos,(_xlpm.pos&lt;&gt;"")*(_xlpm.qty&gt;0)*(_xlpm.bal&gt;=_xlpm.qty)),1),"")))</f>
        <v/>
      </c>
      <c r="M214" s="290"/>
      <c r="AQ214" s="409"/>
      <c r="AR214" s="410"/>
      <c r="AS214" s="410"/>
      <c r="AT214" s="411"/>
      <c r="AU214" s="412"/>
      <c r="AV214" s="413"/>
      <c r="AW214" s="413"/>
      <c r="AX214" s="413"/>
      <c r="AY214" s="413"/>
      <c r="AZ214" s="413" t="str">
        <f t="shared" si="16"/>
        <v/>
      </c>
      <c r="BB214" s="409"/>
      <c r="BC214" s="410"/>
      <c r="BD214" s="410"/>
      <c r="BE214" s="411"/>
      <c r="BF214" s="412"/>
      <c r="BG214" s="413"/>
      <c r="BH214" s="413"/>
      <c r="BI214" s="413"/>
      <c r="BJ214" s="413"/>
      <c r="BK214" s="413" t="str">
        <f t="shared" si="17"/>
        <v/>
      </c>
    </row>
    <row r="215" spans="1:63" ht="23" x14ac:dyDescent="0.25">
      <c r="A215" s="217" t="str" cm="1">
        <f t="array" ref="A215">IFERROR(INDEX(_xlfn.ANCHORARRAY($R$6),ROW()-5,1),"")</f>
        <v/>
      </c>
      <c r="B215" s="289" t="str" cm="1">
        <f t="array" ref="B215">IFERROR(INDEX(_xlfn.ANCHORARRAY($R$6),ROW()-5,2),"")</f>
        <v/>
      </c>
      <c r="C215" s="218" t="str">
        <f>IF($A215="","",IF($K215="DIESEL",SUMIFS(Table1[Quantity],Table1[Customer],$P$3,Table1[Date],$A215,Table1[Bill No.],$B215),IF($K215="PETROL",SUMIFS(Table14[Quantity],Table14[Customer],$P$3,Table14[Date],$A215,Table14[Bill No.],$B215),IF($K215="XtraGreen",SUMIFS(Table146[Quantity],Table146[Company],$P$3,Table146[Date],$A215,Table146[Bill No.],$B215),""))))</f>
        <v/>
      </c>
      <c r="D215" s="223" t="str">
        <f>IF($A215="","",IF($K215="DIESEL",AVERAGEIFS(Table1[RSP],Table1[Customer],$P$3,Table1[Date],$A215,Table1[Bill No.],$B215),IF($K215="PETROL",AVERAGEIFS(Table14[RSP],Table14[Customer],$P$3,Table14[Date],$A215,Table14[Bill No.],$B215),IF($K215="XtraGreen",AVERAGEIFS(Table146[RSP],Table146[Company],$P$3,Table146[Date],$A215,Table146[Bill No.],$B215),IFERROR($E215/$C215,"")))))</f>
        <v/>
      </c>
      <c r="E215" s="330" t="str">
        <f>IF($A215="","",IF($K215="DIESEL",SUMIFS(Table1[Amount],Table1[Customer],$P$3,Table1[Date],$A215,Table1[Bill No.],$B215),IF($K215="PETROL",SUMIFS(Table14[Amount],Table14[Customer],$P$3,Table14[Date],$A215,Table14[Bill No.],$B215),IF($K215="XtraGreen",SUMIFS(Table146[Amount],Table146[Company],$P$3,Table146[Date],$A215,Table146[Bill No.],$B215),SUMIFS('Other Sale'!$D:$D,'Other Sale'!$E:$E,$P$3,'Other Sale'!$C:$C,$K215,'Other Sale'!$A:$A,$A215)))))</f>
        <v/>
      </c>
      <c r="F215" s="330" t="str" cm="1">
        <f t="array" ref="F215">IF($A215="","",IF($K215="Payment",IFERROR(INDEX(_xlfn._xlws.FILTER(MasterPaid[Amount Paid],(MasterPaid[Customer]=$P$3)*(MasterPaid[Date]=$A215)),COUNTIFS($A$6:$A215,$A215,$K$6:$K215,"Payment")),0),0))</f>
        <v/>
      </c>
      <c r="G215" s="331" t="s">
        <v>13</v>
      </c>
      <c r="H215" s="331"/>
      <c r="I215" s="330" t="str">
        <f t="shared" si="18"/>
        <v/>
      </c>
      <c r="J215" s="275"/>
      <c r="K215" s="289" t="str" cm="1">
        <f t="array" ref="K215">IFERROR(INDEX(_xlfn.ANCHORARRAY($R$6),ROW()-5,3),"")</f>
        <v/>
      </c>
      <c r="L215" s="430" t="str" cm="1">
        <f t="array" ref="L215">IF(OR($A215="",$J215="",$K215&lt;&gt;"DIESEL"),"",_xlfn.LET(_xlpm.qty,N($C215),_xlpm.pos,IF($J215="UNIT 1",$V$5:$V$54,$AC$5:$AC$54),_xlpm.alo,IF($J215="UNIT 1",$W$5:$W$54,$AD$5:$AD$54),_xlpm.usd,SUMIFS($C$6:$C214,$L$6:$L214,_xlpm.pos&amp;"",$J$6:$J214,$J215),_xlpm.bal,N(_xlpm.alo)-_xlpm.usd,IFERROR(INDEX(_xlfn._xlws.FILTER(_xlpm.pos,(_xlpm.pos&lt;&gt;"")*(_xlpm.qty&gt;0)*(_xlpm.bal&gt;=_xlpm.qty)),1),"")))</f>
        <v/>
      </c>
      <c r="M215" s="290"/>
      <c r="AQ215" s="409"/>
      <c r="AR215" s="410"/>
      <c r="AS215" s="410"/>
      <c r="AT215" s="411"/>
      <c r="AU215" s="412"/>
      <c r="AV215" s="413"/>
      <c r="AW215" s="413"/>
      <c r="AX215" s="413"/>
      <c r="AY215" s="413"/>
      <c r="AZ215" s="413" t="str">
        <f t="shared" si="16"/>
        <v/>
      </c>
      <c r="BB215" s="409"/>
      <c r="BC215" s="410"/>
      <c r="BD215" s="410"/>
      <c r="BE215" s="411"/>
      <c r="BF215" s="412"/>
      <c r="BG215" s="413"/>
      <c r="BH215" s="413"/>
      <c r="BI215" s="413"/>
      <c r="BJ215" s="413"/>
      <c r="BK215" s="413" t="str">
        <f t="shared" si="17"/>
        <v/>
      </c>
    </row>
    <row r="216" spans="1:63" ht="23" x14ac:dyDescent="0.25">
      <c r="A216" s="217" t="str" cm="1">
        <f t="array" ref="A216">IFERROR(INDEX(_xlfn.ANCHORARRAY($R$6),ROW()-5,1),"")</f>
        <v/>
      </c>
      <c r="B216" s="289" t="str" cm="1">
        <f t="array" ref="B216">IFERROR(INDEX(_xlfn.ANCHORARRAY($R$6),ROW()-5,2),"")</f>
        <v/>
      </c>
      <c r="C216" s="218" t="str">
        <f>IF($A216="","",IF($K216="DIESEL",SUMIFS(Table1[Quantity],Table1[Customer],$P$3,Table1[Date],$A216,Table1[Bill No.],$B216),IF($K216="PETROL",SUMIFS(Table14[Quantity],Table14[Customer],$P$3,Table14[Date],$A216,Table14[Bill No.],$B216),IF($K216="XtraGreen",SUMIFS(Table146[Quantity],Table146[Company],$P$3,Table146[Date],$A216,Table146[Bill No.],$B216),""))))</f>
        <v/>
      </c>
      <c r="D216" s="223" t="str">
        <f>IF($A216="","",IF($K216="DIESEL",AVERAGEIFS(Table1[RSP],Table1[Customer],$P$3,Table1[Date],$A216,Table1[Bill No.],$B216),IF($K216="PETROL",AVERAGEIFS(Table14[RSP],Table14[Customer],$P$3,Table14[Date],$A216,Table14[Bill No.],$B216),IF($K216="XtraGreen",AVERAGEIFS(Table146[RSP],Table146[Company],$P$3,Table146[Date],$A216,Table146[Bill No.],$B216),IFERROR($E216/$C216,"")))))</f>
        <v/>
      </c>
      <c r="E216" s="330" t="str">
        <f>IF($A216="","",IF($K216="DIESEL",SUMIFS(Table1[Amount],Table1[Customer],$P$3,Table1[Date],$A216,Table1[Bill No.],$B216),IF($K216="PETROL",SUMIFS(Table14[Amount],Table14[Customer],$P$3,Table14[Date],$A216,Table14[Bill No.],$B216),IF($K216="XtraGreen",SUMIFS(Table146[Amount],Table146[Company],$P$3,Table146[Date],$A216,Table146[Bill No.],$B216),SUMIFS('Other Sale'!$D:$D,'Other Sale'!$E:$E,$P$3,'Other Sale'!$C:$C,$K216,'Other Sale'!$A:$A,$A216)))))</f>
        <v/>
      </c>
      <c r="F216" s="330" t="str" cm="1">
        <f t="array" ref="F216">IF($A216="","",IF($K216="Payment",IFERROR(INDEX(_xlfn._xlws.FILTER(MasterPaid[Amount Paid],(MasterPaid[Customer]=$P$3)*(MasterPaid[Date]=$A216)),COUNTIFS($A$6:$A216,$A216,$K$6:$K216,"Payment")),0),0))</f>
        <v/>
      </c>
      <c r="G216" s="331" t="s">
        <v>13</v>
      </c>
      <c r="H216" s="331"/>
      <c r="I216" s="330" t="str">
        <f t="shared" si="18"/>
        <v/>
      </c>
      <c r="J216" s="275"/>
      <c r="K216" s="289" t="str" cm="1">
        <f t="array" ref="K216">IFERROR(INDEX(_xlfn.ANCHORARRAY($R$6),ROW()-5,3),"")</f>
        <v/>
      </c>
      <c r="L216" s="430" t="str" cm="1">
        <f t="array" ref="L216">IF(OR($A216="",$J216="",$K216&lt;&gt;"DIESEL"),"",_xlfn.LET(_xlpm.qty,N($C216),_xlpm.pos,IF($J216="UNIT 1",$V$5:$V$54,$AC$5:$AC$54),_xlpm.alo,IF($J216="UNIT 1",$W$5:$W$54,$AD$5:$AD$54),_xlpm.usd,SUMIFS($C$6:$C215,$L$6:$L215,_xlpm.pos&amp;"",$J$6:$J215,$J216),_xlpm.bal,N(_xlpm.alo)-_xlpm.usd,IFERROR(INDEX(_xlfn._xlws.FILTER(_xlpm.pos,(_xlpm.pos&lt;&gt;"")*(_xlpm.qty&gt;0)*(_xlpm.bal&gt;=_xlpm.qty)),1),"")))</f>
        <v/>
      </c>
      <c r="M216" s="290"/>
      <c r="AQ216" s="409"/>
      <c r="AR216" s="410"/>
      <c r="AS216" s="410"/>
      <c r="AT216" s="411"/>
      <c r="AU216" s="412"/>
      <c r="AV216" s="413"/>
      <c r="AW216" s="413"/>
      <c r="AX216" s="413"/>
      <c r="AY216" s="413"/>
      <c r="AZ216" s="413" t="str">
        <f t="shared" si="16"/>
        <v/>
      </c>
      <c r="BB216" s="409"/>
      <c r="BC216" s="410"/>
      <c r="BD216" s="410"/>
      <c r="BE216" s="411"/>
      <c r="BF216" s="412"/>
      <c r="BG216" s="413"/>
      <c r="BH216" s="413"/>
      <c r="BI216" s="413"/>
      <c r="BJ216" s="413"/>
      <c r="BK216" s="413" t="str">
        <f t="shared" si="17"/>
        <v/>
      </c>
    </row>
    <row r="217" spans="1:63" ht="23" x14ac:dyDescent="0.25">
      <c r="A217" s="217" t="str" cm="1">
        <f t="array" ref="A217">IFERROR(INDEX(_xlfn.ANCHORARRAY($R$6),ROW()-5,1),"")</f>
        <v/>
      </c>
      <c r="B217" s="289" t="str" cm="1">
        <f t="array" ref="B217">IFERROR(INDEX(_xlfn.ANCHORARRAY($R$6),ROW()-5,2),"")</f>
        <v/>
      </c>
      <c r="C217" s="218" t="str">
        <f>IF($A217="","",IF($K217="DIESEL",SUMIFS(Table1[Quantity],Table1[Customer],$P$3,Table1[Date],$A217,Table1[Bill No.],$B217),IF($K217="PETROL",SUMIFS(Table14[Quantity],Table14[Customer],$P$3,Table14[Date],$A217,Table14[Bill No.],$B217),IF($K217="XtraGreen",SUMIFS(Table146[Quantity],Table146[Company],$P$3,Table146[Date],$A217,Table146[Bill No.],$B217),""))))</f>
        <v/>
      </c>
      <c r="D217" s="223" t="str">
        <f>IF($A217="","",IF($K217="DIESEL",AVERAGEIFS(Table1[RSP],Table1[Customer],$P$3,Table1[Date],$A217,Table1[Bill No.],$B217),IF($K217="PETROL",AVERAGEIFS(Table14[RSP],Table14[Customer],$P$3,Table14[Date],$A217,Table14[Bill No.],$B217),IF($K217="XtraGreen",AVERAGEIFS(Table146[RSP],Table146[Company],$P$3,Table146[Date],$A217,Table146[Bill No.],$B217),IFERROR($E217/$C217,"")))))</f>
        <v/>
      </c>
      <c r="E217" s="330" t="str">
        <f>IF($A217="","",IF($K217="DIESEL",SUMIFS(Table1[Amount],Table1[Customer],$P$3,Table1[Date],$A217,Table1[Bill No.],$B217),IF($K217="PETROL",SUMIFS(Table14[Amount],Table14[Customer],$P$3,Table14[Date],$A217,Table14[Bill No.],$B217),IF($K217="XtraGreen",SUMIFS(Table146[Amount],Table146[Company],$P$3,Table146[Date],$A217,Table146[Bill No.],$B217),SUMIFS('Other Sale'!$D:$D,'Other Sale'!$E:$E,$P$3,'Other Sale'!$C:$C,$K217,'Other Sale'!$A:$A,$A217)))))</f>
        <v/>
      </c>
      <c r="F217" s="330" t="str" cm="1">
        <f t="array" ref="F217">IF($A217="","",IF($K217="Payment",IFERROR(INDEX(_xlfn._xlws.FILTER(MasterPaid[Amount Paid],(MasterPaid[Customer]=$P$3)*(MasterPaid[Date]=$A217)),COUNTIFS($A$6:$A217,$A217,$K$6:$K217,"Payment")),0),0))</f>
        <v/>
      </c>
      <c r="G217" s="331" t="s">
        <v>13</v>
      </c>
      <c r="H217" s="331"/>
      <c r="I217" s="330" t="str">
        <f t="shared" si="18"/>
        <v/>
      </c>
      <c r="J217" s="275"/>
      <c r="K217" s="289" t="str" cm="1">
        <f t="array" ref="K217">IFERROR(INDEX(_xlfn.ANCHORARRAY($R$6),ROW()-5,3),"")</f>
        <v/>
      </c>
      <c r="L217" s="430" t="str" cm="1">
        <f t="array" ref="L217">IF(OR($A217="",$J217="",$K217&lt;&gt;"DIESEL"),"",_xlfn.LET(_xlpm.qty,N($C217),_xlpm.pos,IF($J217="UNIT 1",$V$5:$V$54,$AC$5:$AC$54),_xlpm.alo,IF($J217="UNIT 1",$W$5:$W$54,$AD$5:$AD$54),_xlpm.usd,SUMIFS($C$6:$C216,$L$6:$L216,_xlpm.pos&amp;"",$J$6:$J216,$J217),_xlpm.bal,N(_xlpm.alo)-_xlpm.usd,IFERROR(INDEX(_xlfn._xlws.FILTER(_xlpm.pos,(_xlpm.pos&lt;&gt;"")*(_xlpm.qty&gt;0)*(_xlpm.bal&gt;=_xlpm.qty)),1),"")))</f>
        <v/>
      </c>
      <c r="M217" s="290"/>
      <c r="AQ217" s="409"/>
      <c r="AR217" s="410"/>
      <c r="AS217" s="410"/>
      <c r="AT217" s="411"/>
      <c r="AU217" s="412"/>
      <c r="AV217" s="413"/>
      <c r="AW217" s="413"/>
      <c r="AX217" s="413"/>
      <c r="AY217" s="413"/>
      <c r="AZ217" s="413" t="str">
        <f t="shared" si="16"/>
        <v/>
      </c>
      <c r="BB217" s="409"/>
      <c r="BC217" s="410"/>
      <c r="BD217" s="410"/>
      <c r="BE217" s="411"/>
      <c r="BF217" s="412"/>
      <c r="BG217" s="413"/>
      <c r="BH217" s="413"/>
      <c r="BI217" s="413"/>
      <c r="BJ217" s="413"/>
      <c r="BK217" s="413" t="str">
        <f t="shared" si="17"/>
        <v/>
      </c>
    </row>
    <row r="218" spans="1:63" ht="23" x14ac:dyDescent="0.25">
      <c r="A218" s="217" t="str" cm="1">
        <f t="array" ref="A218">IFERROR(INDEX(_xlfn.ANCHORARRAY($R$6),ROW()-5,1),"")</f>
        <v/>
      </c>
      <c r="B218" s="289" t="str" cm="1">
        <f t="array" ref="B218">IFERROR(INDEX(_xlfn.ANCHORARRAY($R$6),ROW()-5,2),"")</f>
        <v/>
      </c>
      <c r="C218" s="218" t="str">
        <f>IF($A218="","",IF($K218="DIESEL",SUMIFS(Table1[Quantity],Table1[Customer],$P$3,Table1[Date],$A218,Table1[Bill No.],$B218),IF($K218="PETROL",SUMIFS(Table14[Quantity],Table14[Customer],$P$3,Table14[Date],$A218,Table14[Bill No.],$B218),IF($K218="XtraGreen",SUMIFS(Table146[Quantity],Table146[Company],$P$3,Table146[Date],$A218,Table146[Bill No.],$B218),""))))</f>
        <v/>
      </c>
      <c r="D218" s="223" t="str">
        <f>IF($A218="","",IF($K218="DIESEL",AVERAGEIFS(Table1[RSP],Table1[Customer],$P$3,Table1[Date],$A218,Table1[Bill No.],$B218),IF($K218="PETROL",AVERAGEIFS(Table14[RSP],Table14[Customer],$P$3,Table14[Date],$A218,Table14[Bill No.],$B218),IF($K218="XtraGreen",AVERAGEIFS(Table146[RSP],Table146[Company],$P$3,Table146[Date],$A218,Table146[Bill No.],$B218),IFERROR($E218/$C218,"")))))</f>
        <v/>
      </c>
      <c r="E218" s="330" t="str">
        <f>IF($A218="","",IF($K218="DIESEL",SUMIFS(Table1[Amount],Table1[Customer],$P$3,Table1[Date],$A218,Table1[Bill No.],$B218),IF($K218="PETROL",SUMIFS(Table14[Amount],Table14[Customer],$P$3,Table14[Date],$A218,Table14[Bill No.],$B218),IF($K218="XtraGreen",SUMIFS(Table146[Amount],Table146[Company],$P$3,Table146[Date],$A218,Table146[Bill No.],$B218),SUMIFS('Other Sale'!$D:$D,'Other Sale'!$E:$E,$P$3,'Other Sale'!$C:$C,$K218,'Other Sale'!$A:$A,$A218)))))</f>
        <v/>
      </c>
      <c r="F218" s="330" t="str" cm="1">
        <f t="array" ref="F218">IF($A218="","",IF($K218="Payment",IFERROR(INDEX(_xlfn._xlws.FILTER(MasterPaid[Amount Paid],(MasterPaid[Customer]=$P$3)*(MasterPaid[Date]=$A218)),COUNTIFS($A$6:$A218,$A218,$K$6:$K218,"Payment")),0),0))</f>
        <v/>
      </c>
      <c r="G218" s="331" t="s">
        <v>13</v>
      </c>
      <c r="H218" s="331"/>
      <c r="I218" s="330" t="str">
        <f t="shared" si="18"/>
        <v/>
      </c>
      <c r="J218" s="275"/>
      <c r="K218" s="289" t="str" cm="1">
        <f t="array" ref="K218">IFERROR(INDEX(_xlfn.ANCHORARRAY($R$6),ROW()-5,3),"")</f>
        <v/>
      </c>
      <c r="L218" s="430" t="str" cm="1">
        <f t="array" ref="L218">IF(OR($A218="",$J218="",$K218&lt;&gt;"DIESEL"),"",_xlfn.LET(_xlpm.qty,N($C218),_xlpm.pos,IF($J218="UNIT 1",$V$5:$V$54,$AC$5:$AC$54),_xlpm.alo,IF($J218="UNIT 1",$W$5:$W$54,$AD$5:$AD$54),_xlpm.usd,SUMIFS($C$6:$C217,$L$6:$L217,_xlpm.pos&amp;"",$J$6:$J217,$J218),_xlpm.bal,N(_xlpm.alo)-_xlpm.usd,IFERROR(INDEX(_xlfn._xlws.FILTER(_xlpm.pos,(_xlpm.pos&lt;&gt;"")*(_xlpm.qty&gt;0)*(_xlpm.bal&gt;=_xlpm.qty)),1),"")))</f>
        <v/>
      </c>
      <c r="M218" s="290"/>
      <c r="AQ218" s="409"/>
      <c r="AR218" s="410"/>
      <c r="AS218" s="410"/>
      <c r="AT218" s="411"/>
      <c r="AU218" s="412"/>
      <c r="AV218" s="413"/>
      <c r="AW218" s="413"/>
      <c r="AX218" s="413"/>
      <c r="AY218" s="413"/>
      <c r="AZ218" s="413" t="str">
        <f t="shared" si="16"/>
        <v/>
      </c>
      <c r="BB218" s="409"/>
      <c r="BC218" s="410"/>
      <c r="BD218" s="410"/>
      <c r="BE218" s="411"/>
      <c r="BF218" s="412"/>
      <c r="BG218" s="413"/>
      <c r="BH218" s="413"/>
      <c r="BI218" s="413"/>
      <c r="BJ218" s="413"/>
      <c r="BK218" s="413" t="str">
        <f t="shared" si="17"/>
        <v/>
      </c>
    </row>
    <row r="219" spans="1:63" ht="23" x14ac:dyDescent="0.25">
      <c r="A219" s="217" t="str" cm="1">
        <f t="array" ref="A219">IFERROR(INDEX(_xlfn.ANCHORARRAY($R$6),ROW()-5,1),"")</f>
        <v/>
      </c>
      <c r="B219" s="289" t="str" cm="1">
        <f t="array" ref="B219">IFERROR(INDEX(_xlfn.ANCHORARRAY($R$6),ROW()-5,2),"")</f>
        <v/>
      </c>
      <c r="C219" s="218" t="str">
        <f>IF($A219="","",IF($K219="DIESEL",SUMIFS(Table1[Quantity],Table1[Customer],$P$3,Table1[Date],$A219,Table1[Bill No.],$B219),IF($K219="PETROL",SUMIFS(Table14[Quantity],Table14[Customer],$P$3,Table14[Date],$A219,Table14[Bill No.],$B219),IF($K219="XtraGreen",SUMIFS(Table146[Quantity],Table146[Company],$P$3,Table146[Date],$A219,Table146[Bill No.],$B219),""))))</f>
        <v/>
      </c>
      <c r="D219" s="223" t="str">
        <f>IF($A219="","",IF($K219="DIESEL",AVERAGEIFS(Table1[RSP],Table1[Customer],$P$3,Table1[Date],$A219,Table1[Bill No.],$B219),IF($K219="PETROL",AVERAGEIFS(Table14[RSP],Table14[Customer],$P$3,Table14[Date],$A219,Table14[Bill No.],$B219),IF($K219="XtraGreen",AVERAGEIFS(Table146[RSP],Table146[Company],$P$3,Table146[Date],$A219,Table146[Bill No.],$B219),IFERROR($E219/$C219,"")))))</f>
        <v/>
      </c>
      <c r="E219" s="330" t="str">
        <f>IF($A219="","",IF($K219="DIESEL",SUMIFS(Table1[Amount],Table1[Customer],$P$3,Table1[Date],$A219,Table1[Bill No.],$B219),IF($K219="PETROL",SUMIFS(Table14[Amount],Table14[Customer],$P$3,Table14[Date],$A219,Table14[Bill No.],$B219),IF($K219="XtraGreen",SUMIFS(Table146[Amount],Table146[Company],$P$3,Table146[Date],$A219,Table146[Bill No.],$B219),SUMIFS('Other Sale'!$D:$D,'Other Sale'!$E:$E,$P$3,'Other Sale'!$C:$C,$K219,'Other Sale'!$A:$A,$A219)))))</f>
        <v/>
      </c>
      <c r="F219" s="330" t="str" cm="1">
        <f t="array" ref="F219">IF($A219="","",IF($K219="Payment",IFERROR(INDEX(_xlfn._xlws.FILTER(MasterPaid[Amount Paid],(MasterPaid[Customer]=$P$3)*(MasterPaid[Date]=$A219)),COUNTIFS($A$6:$A219,$A219,$K$6:$K219,"Payment")),0),0))</f>
        <v/>
      </c>
      <c r="G219" s="331" t="s">
        <v>13</v>
      </c>
      <c r="H219" s="331"/>
      <c r="I219" s="330" t="str">
        <f t="shared" si="18"/>
        <v/>
      </c>
      <c r="J219" s="275"/>
      <c r="K219" s="289" t="str" cm="1">
        <f t="array" ref="K219">IFERROR(INDEX(_xlfn.ANCHORARRAY($R$6),ROW()-5,3),"")</f>
        <v/>
      </c>
      <c r="L219" s="430" t="str" cm="1">
        <f t="array" ref="L219">IF(OR($A219="",$J219="",$K219&lt;&gt;"DIESEL"),"",_xlfn.LET(_xlpm.qty,N($C219),_xlpm.pos,IF($J219="UNIT 1",$V$5:$V$54,$AC$5:$AC$54),_xlpm.alo,IF($J219="UNIT 1",$W$5:$W$54,$AD$5:$AD$54),_xlpm.usd,SUMIFS($C$6:$C218,$L$6:$L218,_xlpm.pos&amp;"",$J$6:$J218,$J219),_xlpm.bal,N(_xlpm.alo)-_xlpm.usd,IFERROR(INDEX(_xlfn._xlws.FILTER(_xlpm.pos,(_xlpm.pos&lt;&gt;"")*(_xlpm.qty&gt;0)*(_xlpm.bal&gt;=_xlpm.qty)),1),"")))</f>
        <v/>
      </c>
      <c r="M219" s="290"/>
      <c r="AQ219" s="409"/>
      <c r="AR219" s="410"/>
      <c r="AS219" s="410"/>
      <c r="AT219" s="411"/>
      <c r="AU219" s="412"/>
      <c r="AV219" s="413"/>
      <c r="AW219" s="413"/>
      <c r="AX219" s="413"/>
      <c r="AY219" s="413"/>
      <c r="AZ219" s="413" t="str">
        <f t="shared" si="16"/>
        <v/>
      </c>
      <c r="BB219" s="409"/>
      <c r="BC219" s="410"/>
      <c r="BD219" s="410"/>
      <c r="BE219" s="411"/>
      <c r="BF219" s="412"/>
      <c r="BG219" s="413"/>
      <c r="BH219" s="413"/>
      <c r="BI219" s="413"/>
      <c r="BJ219" s="413"/>
      <c r="BK219" s="413" t="str">
        <f t="shared" si="17"/>
        <v/>
      </c>
    </row>
    <row r="220" spans="1:63" ht="23" x14ac:dyDescent="0.25">
      <c r="A220" s="217" t="str" cm="1">
        <f t="array" ref="A220">IFERROR(INDEX(_xlfn.ANCHORARRAY($R$6),ROW()-5,1),"")</f>
        <v/>
      </c>
      <c r="B220" s="289" t="str" cm="1">
        <f t="array" ref="B220">IFERROR(INDEX(_xlfn.ANCHORARRAY($R$6),ROW()-5,2),"")</f>
        <v/>
      </c>
      <c r="C220" s="218" t="str">
        <f>IF($A220="","",IF($K220="DIESEL",SUMIFS(Table1[Quantity],Table1[Customer],$P$3,Table1[Date],$A220,Table1[Bill No.],$B220),IF($K220="PETROL",SUMIFS(Table14[Quantity],Table14[Customer],$P$3,Table14[Date],$A220,Table14[Bill No.],$B220),IF($K220="XtraGreen",SUMIFS(Table146[Quantity],Table146[Company],$P$3,Table146[Date],$A220,Table146[Bill No.],$B220),""))))</f>
        <v/>
      </c>
      <c r="D220" s="223" t="str">
        <f>IF($A220="","",IF($K220="DIESEL",AVERAGEIFS(Table1[RSP],Table1[Customer],$P$3,Table1[Date],$A220,Table1[Bill No.],$B220),IF($K220="PETROL",AVERAGEIFS(Table14[RSP],Table14[Customer],$P$3,Table14[Date],$A220,Table14[Bill No.],$B220),IF($K220="XtraGreen",AVERAGEIFS(Table146[RSP],Table146[Company],$P$3,Table146[Date],$A220,Table146[Bill No.],$B220),IFERROR($E220/$C220,"")))))</f>
        <v/>
      </c>
      <c r="E220" s="330" t="str">
        <f>IF($A220="","",IF($K220="DIESEL",SUMIFS(Table1[Amount],Table1[Customer],$P$3,Table1[Date],$A220,Table1[Bill No.],$B220),IF($K220="PETROL",SUMIFS(Table14[Amount],Table14[Customer],$P$3,Table14[Date],$A220,Table14[Bill No.],$B220),IF($K220="XtraGreen",SUMIFS(Table146[Amount],Table146[Company],$P$3,Table146[Date],$A220,Table146[Bill No.],$B220),SUMIFS('Other Sale'!$D:$D,'Other Sale'!$E:$E,$P$3,'Other Sale'!$C:$C,$K220,'Other Sale'!$A:$A,$A220)))))</f>
        <v/>
      </c>
      <c r="F220" s="330" t="str" cm="1">
        <f t="array" ref="F220">IF($A220="","",IF($K220="Payment",IFERROR(INDEX(_xlfn._xlws.FILTER(MasterPaid[Amount Paid],(MasterPaid[Customer]=$P$3)*(MasterPaid[Date]=$A220)),COUNTIFS($A$6:$A220,$A220,$K$6:$K220,"Payment")),0),0))</f>
        <v/>
      </c>
      <c r="G220" s="331" t="s">
        <v>13</v>
      </c>
      <c r="H220" s="331"/>
      <c r="I220" s="330" t="str">
        <f t="shared" si="18"/>
        <v/>
      </c>
      <c r="J220" s="275"/>
      <c r="K220" s="289" t="str" cm="1">
        <f t="array" ref="K220">IFERROR(INDEX(_xlfn.ANCHORARRAY($R$6),ROW()-5,3),"")</f>
        <v/>
      </c>
      <c r="L220" s="430" t="str" cm="1">
        <f t="array" ref="L220">IF(OR($A220="",$J220="",$K220&lt;&gt;"DIESEL"),"",_xlfn.LET(_xlpm.qty,N($C220),_xlpm.pos,IF($J220="UNIT 1",$V$5:$V$54,$AC$5:$AC$54),_xlpm.alo,IF($J220="UNIT 1",$W$5:$W$54,$AD$5:$AD$54),_xlpm.usd,SUMIFS($C$6:$C219,$L$6:$L219,_xlpm.pos&amp;"",$J$6:$J219,$J220),_xlpm.bal,N(_xlpm.alo)-_xlpm.usd,IFERROR(INDEX(_xlfn._xlws.FILTER(_xlpm.pos,(_xlpm.pos&lt;&gt;"")*(_xlpm.qty&gt;0)*(_xlpm.bal&gt;=_xlpm.qty)),1),"")))</f>
        <v/>
      </c>
      <c r="M220" s="290"/>
      <c r="AQ220" s="409"/>
      <c r="AR220" s="410"/>
      <c r="AS220" s="410"/>
      <c r="AT220" s="411"/>
      <c r="AU220" s="412"/>
      <c r="AV220" s="413"/>
      <c r="AW220" s="413"/>
      <c r="AX220" s="413"/>
      <c r="AY220" s="413"/>
      <c r="AZ220" s="413" t="str">
        <f t="shared" si="16"/>
        <v/>
      </c>
      <c r="BB220" s="409"/>
      <c r="BC220" s="410"/>
      <c r="BD220" s="410"/>
      <c r="BE220" s="411"/>
      <c r="BF220" s="412"/>
      <c r="BG220" s="413"/>
      <c r="BH220" s="413"/>
      <c r="BI220" s="413"/>
      <c r="BJ220" s="413"/>
      <c r="BK220" s="413" t="str">
        <f t="shared" si="17"/>
        <v/>
      </c>
    </row>
    <row r="221" spans="1:63" ht="23" x14ac:dyDescent="0.25">
      <c r="A221" s="217" t="str" cm="1">
        <f t="array" ref="A221">IFERROR(INDEX(_xlfn.ANCHORARRAY($R$6),ROW()-5,1),"")</f>
        <v/>
      </c>
      <c r="B221" s="289" t="str" cm="1">
        <f t="array" ref="B221">IFERROR(INDEX(_xlfn.ANCHORARRAY($R$6),ROW()-5,2),"")</f>
        <v/>
      </c>
      <c r="C221" s="218" t="str">
        <f>IF($A221="","",IF($K221="DIESEL",SUMIFS(Table1[Quantity],Table1[Customer],$P$3,Table1[Date],$A221,Table1[Bill No.],$B221),IF($K221="PETROL",SUMIFS(Table14[Quantity],Table14[Customer],$P$3,Table14[Date],$A221,Table14[Bill No.],$B221),IF($K221="XtraGreen",SUMIFS(Table146[Quantity],Table146[Company],$P$3,Table146[Date],$A221,Table146[Bill No.],$B221),""))))</f>
        <v/>
      </c>
      <c r="D221" s="223" t="str">
        <f>IF($A221="","",IF($K221="DIESEL",AVERAGEIFS(Table1[RSP],Table1[Customer],$P$3,Table1[Date],$A221,Table1[Bill No.],$B221),IF($K221="PETROL",AVERAGEIFS(Table14[RSP],Table14[Customer],$P$3,Table14[Date],$A221,Table14[Bill No.],$B221),IF($K221="XtraGreen",AVERAGEIFS(Table146[RSP],Table146[Company],$P$3,Table146[Date],$A221,Table146[Bill No.],$B221),IFERROR($E221/$C221,"")))))</f>
        <v/>
      </c>
      <c r="E221" s="330" t="str">
        <f>IF($A221="","",IF($K221="DIESEL",SUMIFS(Table1[Amount],Table1[Customer],$P$3,Table1[Date],$A221,Table1[Bill No.],$B221),IF($K221="PETROL",SUMIFS(Table14[Amount],Table14[Customer],$P$3,Table14[Date],$A221,Table14[Bill No.],$B221),IF($K221="XtraGreen",SUMIFS(Table146[Amount],Table146[Company],$P$3,Table146[Date],$A221,Table146[Bill No.],$B221),SUMIFS('Other Sale'!$D:$D,'Other Sale'!$E:$E,$P$3,'Other Sale'!$C:$C,$K221,'Other Sale'!$A:$A,$A221)))))</f>
        <v/>
      </c>
      <c r="F221" s="330" t="str" cm="1">
        <f t="array" ref="F221">IF($A221="","",IF($K221="Payment",IFERROR(INDEX(_xlfn._xlws.FILTER(MasterPaid[Amount Paid],(MasterPaid[Customer]=$P$3)*(MasterPaid[Date]=$A221)),COUNTIFS($A$6:$A221,$A221,$K$6:$K221,"Payment")),0),0))</f>
        <v/>
      </c>
      <c r="G221" s="331" t="s">
        <v>13</v>
      </c>
      <c r="H221" s="331"/>
      <c r="I221" s="330" t="str">
        <f t="shared" si="18"/>
        <v/>
      </c>
      <c r="J221" s="275"/>
      <c r="K221" s="289" t="str" cm="1">
        <f t="array" ref="K221">IFERROR(INDEX(_xlfn.ANCHORARRAY($R$6),ROW()-5,3),"")</f>
        <v/>
      </c>
      <c r="L221" s="430" t="str" cm="1">
        <f t="array" ref="L221">IF(OR($A221="",$J221="",$K221&lt;&gt;"DIESEL"),"",_xlfn.LET(_xlpm.qty,N($C221),_xlpm.pos,IF($J221="UNIT 1",$V$5:$V$54,$AC$5:$AC$54),_xlpm.alo,IF($J221="UNIT 1",$W$5:$W$54,$AD$5:$AD$54),_xlpm.usd,SUMIFS($C$6:$C220,$L$6:$L220,_xlpm.pos&amp;"",$J$6:$J220,$J221),_xlpm.bal,N(_xlpm.alo)-_xlpm.usd,IFERROR(INDEX(_xlfn._xlws.FILTER(_xlpm.pos,(_xlpm.pos&lt;&gt;"")*(_xlpm.qty&gt;0)*(_xlpm.bal&gt;=_xlpm.qty)),1),"")))</f>
        <v/>
      </c>
      <c r="M221" s="290"/>
      <c r="AQ221" s="409"/>
      <c r="AR221" s="410"/>
      <c r="AS221" s="410"/>
      <c r="AT221" s="411"/>
      <c r="AU221" s="412"/>
      <c r="AV221" s="413"/>
      <c r="AW221" s="413"/>
      <c r="AX221" s="413"/>
      <c r="AY221" s="413"/>
      <c r="AZ221" s="413" t="str">
        <f t="shared" si="16"/>
        <v/>
      </c>
      <c r="BB221" s="409"/>
      <c r="BC221" s="410"/>
      <c r="BD221" s="410"/>
      <c r="BE221" s="411"/>
      <c r="BF221" s="412"/>
      <c r="BG221" s="413"/>
      <c r="BH221" s="413"/>
      <c r="BI221" s="413"/>
      <c r="BJ221" s="413"/>
      <c r="BK221" s="413" t="str">
        <f t="shared" si="17"/>
        <v/>
      </c>
    </row>
    <row r="222" spans="1:63" ht="23" x14ac:dyDescent="0.25">
      <c r="A222" s="217" t="str" cm="1">
        <f t="array" ref="A222">IFERROR(INDEX(_xlfn.ANCHORARRAY($R$6),ROW()-5,1),"")</f>
        <v/>
      </c>
      <c r="B222" s="289" t="str" cm="1">
        <f t="array" ref="B222">IFERROR(INDEX(_xlfn.ANCHORARRAY($R$6),ROW()-5,2),"")</f>
        <v/>
      </c>
      <c r="C222" s="218" t="str">
        <f>IF($A222="","",IF($K222="DIESEL",SUMIFS(Table1[Quantity],Table1[Customer],$P$3,Table1[Date],$A222,Table1[Bill No.],$B222),IF($K222="PETROL",SUMIFS(Table14[Quantity],Table14[Customer],$P$3,Table14[Date],$A222,Table14[Bill No.],$B222),IF($K222="XtraGreen",SUMIFS(Table146[Quantity],Table146[Company],$P$3,Table146[Date],$A222,Table146[Bill No.],$B222),""))))</f>
        <v/>
      </c>
      <c r="D222" s="223" t="str">
        <f>IF($A222="","",IF($K222="DIESEL",AVERAGEIFS(Table1[RSP],Table1[Customer],$P$3,Table1[Date],$A222,Table1[Bill No.],$B222),IF($K222="PETROL",AVERAGEIFS(Table14[RSP],Table14[Customer],$P$3,Table14[Date],$A222,Table14[Bill No.],$B222),IF($K222="XtraGreen",AVERAGEIFS(Table146[RSP],Table146[Company],$P$3,Table146[Date],$A222,Table146[Bill No.],$B222),IFERROR($E222/$C222,"")))))</f>
        <v/>
      </c>
      <c r="E222" s="330" t="str">
        <f>IF($A222="","",IF($K222="DIESEL",SUMIFS(Table1[Amount],Table1[Customer],$P$3,Table1[Date],$A222,Table1[Bill No.],$B222),IF($K222="PETROL",SUMIFS(Table14[Amount],Table14[Customer],$P$3,Table14[Date],$A222,Table14[Bill No.],$B222),IF($K222="XtraGreen",SUMIFS(Table146[Amount],Table146[Company],$P$3,Table146[Date],$A222,Table146[Bill No.],$B222),SUMIFS('Other Sale'!$D:$D,'Other Sale'!$E:$E,$P$3,'Other Sale'!$C:$C,$K222,'Other Sale'!$A:$A,$A222)))))</f>
        <v/>
      </c>
      <c r="F222" s="330" t="str" cm="1">
        <f t="array" ref="F222">IF($A222="","",IF($K222="Payment",IFERROR(INDEX(_xlfn._xlws.FILTER(MasterPaid[Amount Paid],(MasterPaid[Customer]=$P$3)*(MasterPaid[Date]=$A222)),COUNTIFS($A$6:$A222,$A222,$K$6:$K222,"Payment")),0),0))</f>
        <v/>
      </c>
      <c r="G222" s="331" t="s">
        <v>13</v>
      </c>
      <c r="H222" s="331"/>
      <c r="I222" s="330" t="str">
        <f t="shared" si="18"/>
        <v/>
      </c>
      <c r="J222" s="275"/>
      <c r="K222" s="289" t="str" cm="1">
        <f t="array" ref="K222">IFERROR(INDEX(_xlfn.ANCHORARRAY($R$6),ROW()-5,3),"")</f>
        <v/>
      </c>
      <c r="L222" s="430" t="str" cm="1">
        <f t="array" ref="L222">IF(OR($A222="",$J222="",$K222&lt;&gt;"DIESEL"),"",_xlfn.LET(_xlpm.qty,N($C222),_xlpm.pos,IF($J222="UNIT 1",$V$5:$V$54,$AC$5:$AC$54),_xlpm.alo,IF($J222="UNIT 1",$W$5:$W$54,$AD$5:$AD$54),_xlpm.usd,SUMIFS($C$6:$C221,$L$6:$L221,_xlpm.pos&amp;"",$J$6:$J221,$J222),_xlpm.bal,N(_xlpm.alo)-_xlpm.usd,IFERROR(INDEX(_xlfn._xlws.FILTER(_xlpm.pos,(_xlpm.pos&lt;&gt;"")*(_xlpm.qty&gt;0)*(_xlpm.bal&gt;=_xlpm.qty)),1),"")))</f>
        <v/>
      </c>
      <c r="M222" s="290"/>
      <c r="AQ222" s="409"/>
      <c r="AR222" s="410"/>
      <c r="AS222" s="410"/>
      <c r="AT222" s="411"/>
      <c r="AU222" s="412"/>
      <c r="AV222" s="413"/>
      <c r="AW222" s="413"/>
      <c r="AX222" s="413"/>
      <c r="AY222" s="413"/>
      <c r="AZ222" s="413" t="str">
        <f t="shared" si="16"/>
        <v/>
      </c>
      <c r="BB222" s="409"/>
      <c r="BC222" s="410"/>
      <c r="BD222" s="410"/>
      <c r="BE222" s="411"/>
      <c r="BF222" s="412"/>
      <c r="BG222" s="413"/>
      <c r="BH222" s="413"/>
      <c r="BI222" s="413"/>
      <c r="BJ222" s="413"/>
      <c r="BK222" s="413" t="str">
        <f t="shared" si="17"/>
        <v/>
      </c>
    </row>
    <row r="223" spans="1:63" ht="23" x14ac:dyDescent="0.25">
      <c r="A223" s="217" t="str" cm="1">
        <f t="array" ref="A223">IFERROR(INDEX(_xlfn.ANCHORARRAY($R$6),ROW()-5,1),"")</f>
        <v/>
      </c>
      <c r="B223" s="289" t="str" cm="1">
        <f t="array" ref="B223">IFERROR(INDEX(_xlfn.ANCHORARRAY($R$6),ROW()-5,2),"")</f>
        <v/>
      </c>
      <c r="C223" s="218" t="str">
        <f>IF($A223="","",IF($K223="DIESEL",SUMIFS(Table1[Quantity],Table1[Customer],$P$3,Table1[Date],$A223,Table1[Bill No.],$B223),IF($K223="PETROL",SUMIFS(Table14[Quantity],Table14[Customer],$P$3,Table14[Date],$A223,Table14[Bill No.],$B223),IF($K223="XtraGreen",SUMIFS(Table146[Quantity],Table146[Company],$P$3,Table146[Date],$A223,Table146[Bill No.],$B223),""))))</f>
        <v/>
      </c>
      <c r="D223" s="223" t="str">
        <f>IF($A223="","",IF($K223="DIESEL",AVERAGEIFS(Table1[RSP],Table1[Customer],$P$3,Table1[Date],$A223,Table1[Bill No.],$B223),IF($K223="PETROL",AVERAGEIFS(Table14[RSP],Table14[Customer],$P$3,Table14[Date],$A223,Table14[Bill No.],$B223),IF($K223="XtraGreen",AVERAGEIFS(Table146[RSP],Table146[Company],$P$3,Table146[Date],$A223,Table146[Bill No.],$B223),IFERROR($E223/$C223,"")))))</f>
        <v/>
      </c>
      <c r="E223" s="330" t="str">
        <f>IF($A223="","",IF($K223="DIESEL",SUMIFS(Table1[Amount],Table1[Customer],$P$3,Table1[Date],$A223,Table1[Bill No.],$B223),IF($K223="PETROL",SUMIFS(Table14[Amount],Table14[Customer],$P$3,Table14[Date],$A223,Table14[Bill No.],$B223),IF($K223="XtraGreen",SUMIFS(Table146[Amount],Table146[Company],$P$3,Table146[Date],$A223,Table146[Bill No.],$B223),SUMIFS('Other Sale'!$D:$D,'Other Sale'!$E:$E,$P$3,'Other Sale'!$C:$C,$K223,'Other Sale'!$A:$A,$A223)))))</f>
        <v/>
      </c>
      <c r="F223" s="330" t="str" cm="1">
        <f t="array" ref="F223">IF($A223="","",IF($K223="Payment",IFERROR(INDEX(_xlfn._xlws.FILTER(MasterPaid[Amount Paid],(MasterPaid[Customer]=$P$3)*(MasterPaid[Date]=$A223)),COUNTIFS($A$6:$A223,$A223,$K$6:$K223,"Payment")),0),0))</f>
        <v/>
      </c>
      <c r="G223" s="331" t="s">
        <v>13</v>
      </c>
      <c r="H223" s="331"/>
      <c r="I223" s="330" t="str">
        <f t="shared" si="18"/>
        <v/>
      </c>
      <c r="J223" s="275"/>
      <c r="K223" s="289" t="str" cm="1">
        <f t="array" ref="K223">IFERROR(INDEX(_xlfn.ANCHORARRAY($R$6),ROW()-5,3),"")</f>
        <v/>
      </c>
      <c r="L223" s="430" t="str" cm="1">
        <f t="array" ref="L223">IF(OR($A223="",$J223="",$K223&lt;&gt;"DIESEL"),"",_xlfn.LET(_xlpm.qty,N($C223),_xlpm.pos,IF($J223="UNIT 1",$V$5:$V$54,$AC$5:$AC$54),_xlpm.alo,IF($J223="UNIT 1",$W$5:$W$54,$AD$5:$AD$54),_xlpm.usd,SUMIFS($C$6:$C222,$L$6:$L222,_xlpm.pos&amp;"",$J$6:$J222,$J223),_xlpm.bal,N(_xlpm.alo)-_xlpm.usd,IFERROR(INDEX(_xlfn._xlws.FILTER(_xlpm.pos,(_xlpm.pos&lt;&gt;"")*(_xlpm.qty&gt;0)*(_xlpm.bal&gt;=_xlpm.qty)),1),"")))</f>
        <v/>
      </c>
      <c r="M223" s="290"/>
      <c r="AQ223" s="409"/>
      <c r="AR223" s="410"/>
      <c r="AS223" s="410"/>
      <c r="AT223" s="411"/>
      <c r="AU223" s="412"/>
      <c r="AV223" s="413"/>
      <c r="AW223" s="413"/>
      <c r="AX223" s="413"/>
      <c r="AY223" s="413"/>
      <c r="AZ223" s="413" t="str">
        <f t="shared" si="16"/>
        <v/>
      </c>
      <c r="BB223" s="409"/>
      <c r="BC223" s="410"/>
      <c r="BD223" s="410"/>
      <c r="BE223" s="411"/>
      <c r="BF223" s="412"/>
      <c r="BG223" s="413"/>
      <c r="BH223" s="413"/>
      <c r="BI223" s="413"/>
      <c r="BJ223" s="413"/>
      <c r="BK223" s="413" t="str">
        <f t="shared" si="17"/>
        <v/>
      </c>
    </row>
    <row r="224" spans="1:63" ht="23" x14ac:dyDescent="0.25">
      <c r="A224" s="217" t="str" cm="1">
        <f t="array" ref="A224">IFERROR(INDEX(_xlfn.ANCHORARRAY($R$6),ROW()-5,1),"")</f>
        <v/>
      </c>
      <c r="B224" s="289" t="str" cm="1">
        <f t="array" ref="B224">IFERROR(INDEX(_xlfn.ANCHORARRAY($R$6),ROW()-5,2),"")</f>
        <v/>
      </c>
      <c r="C224" s="218" t="str">
        <f>IF($A224="","",IF($K224="DIESEL",SUMIFS(Table1[Quantity],Table1[Customer],$P$3,Table1[Date],$A224,Table1[Bill No.],$B224),IF($K224="PETROL",SUMIFS(Table14[Quantity],Table14[Customer],$P$3,Table14[Date],$A224,Table14[Bill No.],$B224),IF($K224="XtraGreen",SUMIFS(Table146[Quantity],Table146[Company],$P$3,Table146[Date],$A224,Table146[Bill No.],$B224),""))))</f>
        <v/>
      </c>
      <c r="D224" s="223" t="str">
        <f>IF($A224="","",IF($K224="DIESEL",AVERAGEIFS(Table1[RSP],Table1[Customer],$P$3,Table1[Date],$A224,Table1[Bill No.],$B224),IF($K224="PETROL",AVERAGEIFS(Table14[RSP],Table14[Customer],$P$3,Table14[Date],$A224,Table14[Bill No.],$B224),IF($K224="XtraGreen",AVERAGEIFS(Table146[RSP],Table146[Company],$P$3,Table146[Date],$A224,Table146[Bill No.],$B224),IFERROR($E224/$C224,"")))))</f>
        <v/>
      </c>
      <c r="E224" s="330" t="str">
        <f>IF($A224="","",IF($K224="DIESEL",SUMIFS(Table1[Amount],Table1[Customer],$P$3,Table1[Date],$A224,Table1[Bill No.],$B224),IF($K224="PETROL",SUMIFS(Table14[Amount],Table14[Customer],$P$3,Table14[Date],$A224,Table14[Bill No.],$B224),IF($K224="XtraGreen",SUMIFS(Table146[Amount],Table146[Company],$P$3,Table146[Date],$A224,Table146[Bill No.],$B224),SUMIFS('Other Sale'!$D:$D,'Other Sale'!$E:$E,$P$3,'Other Sale'!$C:$C,$K224,'Other Sale'!$A:$A,$A224)))))</f>
        <v/>
      </c>
      <c r="F224" s="330" t="str" cm="1">
        <f t="array" ref="F224">IF($A224="","",IF($K224="Payment",IFERROR(INDEX(_xlfn._xlws.FILTER(MasterPaid[Amount Paid],(MasterPaid[Customer]=$P$3)*(MasterPaid[Date]=$A224)),COUNTIFS($A$6:$A224,$A224,$K$6:$K224,"Payment")),0),0))</f>
        <v/>
      </c>
      <c r="G224" s="331" t="s">
        <v>13</v>
      </c>
      <c r="H224" s="331"/>
      <c r="I224" s="330" t="str">
        <f t="shared" si="18"/>
        <v/>
      </c>
      <c r="J224" s="275"/>
      <c r="K224" s="289" t="str" cm="1">
        <f t="array" ref="K224">IFERROR(INDEX(_xlfn.ANCHORARRAY($R$6),ROW()-5,3),"")</f>
        <v/>
      </c>
      <c r="L224" s="430" t="str" cm="1">
        <f t="array" ref="L224">IF(OR($A224="",$J224="",$K224&lt;&gt;"DIESEL"),"",_xlfn.LET(_xlpm.qty,N($C224),_xlpm.pos,IF($J224="UNIT 1",$V$5:$V$54,$AC$5:$AC$54),_xlpm.alo,IF($J224="UNIT 1",$W$5:$W$54,$AD$5:$AD$54),_xlpm.usd,SUMIFS($C$6:$C223,$L$6:$L223,_xlpm.pos&amp;"",$J$6:$J223,$J224),_xlpm.bal,N(_xlpm.alo)-_xlpm.usd,IFERROR(INDEX(_xlfn._xlws.FILTER(_xlpm.pos,(_xlpm.pos&lt;&gt;"")*(_xlpm.qty&gt;0)*(_xlpm.bal&gt;=_xlpm.qty)),1),"")))</f>
        <v/>
      </c>
      <c r="M224" s="290"/>
      <c r="AQ224" s="409"/>
      <c r="AR224" s="410"/>
      <c r="AS224" s="410"/>
      <c r="AT224" s="411"/>
      <c r="AU224" s="412"/>
      <c r="AV224" s="413"/>
      <c r="AW224" s="413"/>
      <c r="AX224" s="413"/>
      <c r="AY224" s="413"/>
      <c r="AZ224" s="413" t="str">
        <f t="shared" si="16"/>
        <v/>
      </c>
      <c r="BB224" s="409"/>
      <c r="BC224" s="410"/>
      <c r="BD224" s="410"/>
      <c r="BE224" s="411"/>
      <c r="BF224" s="412"/>
      <c r="BG224" s="413"/>
      <c r="BH224" s="413"/>
      <c r="BI224" s="413"/>
      <c r="BJ224" s="413"/>
      <c r="BK224" s="413" t="str">
        <f t="shared" si="17"/>
        <v/>
      </c>
    </row>
    <row r="225" spans="1:63" ht="23" x14ac:dyDescent="0.25">
      <c r="A225" s="217" t="str" cm="1">
        <f t="array" ref="A225">IFERROR(INDEX(_xlfn.ANCHORARRAY($R$6),ROW()-5,1),"")</f>
        <v/>
      </c>
      <c r="B225" s="289" t="str" cm="1">
        <f t="array" ref="B225">IFERROR(INDEX(_xlfn.ANCHORARRAY($R$6),ROW()-5,2),"")</f>
        <v/>
      </c>
      <c r="C225" s="218" t="str">
        <f>IF($A225="","",IF($K225="DIESEL",SUMIFS(Table1[Quantity],Table1[Customer],$P$3,Table1[Date],$A225,Table1[Bill No.],$B225),IF($K225="PETROL",SUMIFS(Table14[Quantity],Table14[Customer],$P$3,Table14[Date],$A225,Table14[Bill No.],$B225),IF($K225="XtraGreen",SUMIFS(Table146[Quantity],Table146[Company],$P$3,Table146[Date],$A225,Table146[Bill No.],$B225),""))))</f>
        <v/>
      </c>
      <c r="D225" s="223" t="str">
        <f>IF($A225="","",IF($K225="DIESEL",AVERAGEIFS(Table1[RSP],Table1[Customer],$P$3,Table1[Date],$A225,Table1[Bill No.],$B225),IF($K225="PETROL",AVERAGEIFS(Table14[RSP],Table14[Customer],$P$3,Table14[Date],$A225,Table14[Bill No.],$B225),IF($K225="XtraGreen",AVERAGEIFS(Table146[RSP],Table146[Company],$P$3,Table146[Date],$A225,Table146[Bill No.],$B225),IFERROR($E225/$C225,"")))))</f>
        <v/>
      </c>
      <c r="E225" s="330" t="str">
        <f>IF($A225="","",IF($K225="DIESEL",SUMIFS(Table1[Amount],Table1[Customer],$P$3,Table1[Date],$A225,Table1[Bill No.],$B225),IF($K225="PETROL",SUMIFS(Table14[Amount],Table14[Customer],$P$3,Table14[Date],$A225,Table14[Bill No.],$B225),IF($K225="XtraGreen",SUMIFS(Table146[Amount],Table146[Company],$P$3,Table146[Date],$A225,Table146[Bill No.],$B225),SUMIFS('Other Sale'!$D:$D,'Other Sale'!$E:$E,$P$3,'Other Sale'!$C:$C,$K225,'Other Sale'!$A:$A,$A225)))))</f>
        <v/>
      </c>
      <c r="F225" s="330" t="str" cm="1">
        <f t="array" ref="F225">IF($A225="","",IF($K225="Payment",IFERROR(INDEX(_xlfn._xlws.FILTER(MasterPaid[Amount Paid],(MasterPaid[Customer]=$P$3)*(MasterPaid[Date]=$A225)),COUNTIFS($A$6:$A225,$A225,$K$6:$K225,"Payment")),0),0))</f>
        <v/>
      </c>
      <c r="G225" s="331" t="s">
        <v>13</v>
      </c>
      <c r="H225" s="331"/>
      <c r="I225" s="330" t="str">
        <f t="shared" si="18"/>
        <v/>
      </c>
      <c r="J225" s="275"/>
      <c r="K225" s="289" t="str" cm="1">
        <f t="array" ref="K225">IFERROR(INDEX(_xlfn.ANCHORARRAY($R$6),ROW()-5,3),"")</f>
        <v/>
      </c>
      <c r="L225" s="430" t="str" cm="1">
        <f t="array" ref="L225">IF(OR($A225="",$J225="",$K225&lt;&gt;"DIESEL"),"",_xlfn.LET(_xlpm.qty,N($C225),_xlpm.pos,IF($J225="UNIT 1",$V$5:$V$54,$AC$5:$AC$54),_xlpm.alo,IF($J225="UNIT 1",$W$5:$W$54,$AD$5:$AD$54),_xlpm.usd,SUMIFS($C$6:$C224,$L$6:$L224,_xlpm.pos&amp;"",$J$6:$J224,$J225),_xlpm.bal,N(_xlpm.alo)-_xlpm.usd,IFERROR(INDEX(_xlfn._xlws.FILTER(_xlpm.pos,(_xlpm.pos&lt;&gt;"")*(_xlpm.qty&gt;0)*(_xlpm.bal&gt;=_xlpm.qty)),1),"")))</f>
        <v/>
      </c>
      <c r="M225" s="290"/>
      <c r="AQ225" s="409"/>
      <c r="AR225" s="410"/>
      <c r="AS225" s="410"/>
      <c r="AT225" s="411"/>
      <c r="AU225" s="412"/>
      <c r="AV225" s="413"/>
      <c r="AW225" s="413"/>
      <c r="AX225" s="413"/>
      <c r="AY225" s="413"/>
      <c r="AZ225" s="413" t="str">
        <f t="shared" si="16"/>
        <v/>
      </c>
      <c r="BB225" s="409"/>
      <c r="BC225" s="410"/>
      <c r="BD225" s="410"/>
      <c r="BE225" s="411"/>
      <c r="BF225" s="412"/>
      <c r="BG225" s="413"/>
      <c r="BH225" s="413"/>
      <c r="BI225" s="413"/>
      <c r="BJ225" s="413"/>
      <c r="BK225" s="413" t="str">
        <f t="shared" si="17"/>
        <v/>
      </c>
    </row>
    <row r="226" spans="1:63" ht="23" x14ac:dyDescent="0.25">
      <c r="A226" s="217" t="str" cm="1">
        <f t="array" ref="A226">IFERROR(INDEX(_xlfn.ANCHORARRAY($R$6),ROW()-5,1),"")</f>
        <v/>
      </c>
      <c r="B226" s="289" t="str" cm="1">
        <f t="array" ref="B226">IFERROR(INDEX(_xlfn.ANCHORARRAY($R$6),ROW()-5,2),"")</f>
        <v/>
      </c>
      <c r="C226" s="218" t="str">
        <f>IF($A226="","",IF($K226="DIESEL",SUMIFS(Table1[Quantity],Table1[Customer],$P$3,Table1[Date],$A226,Table1[Bill No.],$B226),IF($K226="PETROL",SUMIFS(Table14[Quantity],Table14[Customer],$P$3,Table14[Date],$A226,Table14[Bill No.],$B226),IF($K226="XtraGreen",SUMIFS(Table146[Quantity],Table146[Company],$P$3,Table146[Date],$A226,Table146[Bill No.],$B226),""))))</f>
        <v/>
      </c>
      <c r="D226" s="223" t="str">
        <f>IF($A226="","",IF($K226="DIESEL",AVERAGEIFS(Table1[RSP],Table1[Customer],$P$3,Table1[Date],$A226,Table1[Bill No.],$B226),IF($K226="PETROL",AVERAGEIFS(Table14[RSP],Table14[Customer],$P$3,Table14[Date],$A226,Table14[Bill No.],$B226),IF($K226="XtraGreen",AVERAGEIFS(Table146[RSP],Table146[Company],$P$3,Table146[Date],$A226,Table146[Bill No.],$B226),IFERROR($E226/$C226,"")))))</f>
        <v/>
      </c>
      <c r="E226" s="330" t="str">
        <f>IF($A226="","",IF($K226="DIESEL",SUMIFS(Table1[Amount],Table1[Customer],$P$3,Table1[Date],$A226,Table1[Bill No.],$B226),IF($K226="PETROL",SUMIFS(Table14[Amount],Table14[Customer],$P$3,Table14[Date],$A226,Table14[Bill No.],$B226),IF($K226="XtraGreen",SUMIFS(Table146[Amount],Table146[Company],$P$3,Table146[Date],$A226,Table146[Bill No.],$B226),SUMIFS('Other Sale'!$D:$D,'Other Sale'!$E:$E,$P$3,'Other Sale'!$C:$C,$K226,'Other Sale'!$A:$A,$A226)))))</f>
        <v/>
      </c>
      <c r="F226" s="330" t="str" cm="1">
        <f t="array" ref="F226">IF($A226="","",IF($K226="Payment",IFERROR(INDEX(_xlfn._xlws.FILTER(MasterPaid[Amount Paid],(MasterPaid[Customer]=$P$3)*(MasterPaid[Date]=$A226)),COUNTIFS($A$6:$A226,$A226,$K$6:$K226,"Payment")),0),0))</f>
        <v/>
      </c>
      <c r="G226" s="331" t="s">
        <v>13</v>
      </c>
      <c r="H226" s="331"/>
      <c r="I226" s="330" t="str">
        <f t="shared" si="18"/>
        <v/>
      </c>
      <c r="J226" s="275"/>
      <c r="K226" s="289" t="str" cm="1">
        <f t="array" ref="K226">IFERROR(INDEX(_xlfn.ANCHORARRAY($R$6),ROW()-5,3),"")</f>
        <v/>
      </c>
      <c r="L226" s="430" t="str" cm="1">
        <f t="array" ref="L226">IF(OR($A226="",$J226="",$K226&lt;&gt;"DIESEL"),"",_xlfn.LET(_xlpm.qty,N($C226),_xlpm.pos,IF($J226="UNIT 1",$V$5:$V$54,$AC$5:$AC$54),_xlpm.alo,IF($J226="UNIT 1",$W$5:$W$54,$AD$5:$AD$54),_xlpm.usd,SUMIFS($C$6:$C225,$L$6:$L225,_xlpm.pos&amp;"",$J$6:$J225,$J226),_xlpm.bal,N(_xlpm.alo)-_xlpm.usd,IFERROR(INDEX(_xlfn._xlws.FILTER(_xlpm.pos,(_xlpm.pos&lt;&gt;"")*(_xlpm.qty&gt;0)*(_xlpm.bal&gt;=_xlpm.qty)),1),"")))</f>
        <v/>
      </c>
      <c r="M226" s="290"/>
      <c r="AQ226" s="409"/>
      <c r="AR226" s="410"/>
      <c r="AS226" s="410"/>
      <c r="AT226" s="411"/>
      <c r="AU226" s="412"/>
      <c r="AV226" s="413"/>
      <c r="AW226" s="413"/>
      <c r="AX226" s="413"/>
      <c r="AY226" s="413"/>
      <c r="AZ226" s="413" t="str">
        <f t="shared" si="16"/>
        <v/>
      </c>
      <c r="BB226" s="409"/>
      <c r="BC226" s="410"/>
      <c r="BD226" s="410"/>
      <c r="BE226" s="411"/>
      <c r="BF226" s="412"/>
      <c r="BG226" s="413"/>
      <c r="BH226" s="413"/>
      <c r="BI226" s="413"/>
      <c r="BJ226" s="413"/>
      <c r="BK226" s="413" t="str">
        <f t="shared" si="17"/>
        <v/>
      </c>
    </row>
    <row r="227" spans="1:63" ht="23" x14ac:dyDescent="0.25">
      <c r="A227" s="217" t="str" cm="1">
        <f t="array" ref="A227">IFERROR(INDEX(_xlfn.ANCHORARRAY($R$6),ROW()-5,1),"")</f>
        <v/>
      </c>
      <c r="B227" s="289" t="str" cm="1">
        <f t="array" ref="B227">IFERROR(INDEX(_xlfn.ANCHORARRAY($R$6),ROW()-5,2),"")</f>
        <v/>
      </c>
      <c r="C227" s="218" t="str">
        <f>IF($A227="","",IF($K227="DIESEL",SUMIFS(Table1[Quantity],Table1[Customer],$P$3,Table1[Date],$A227,Table1[Bill No.],$B227),IF($K227="PETROL",SUMIFS(Table14[Quantity],Table14[Customer],$P$3,Table14[Date],$A227,Table14[Bill No.],$B227),IF($K227="XtraGreen",SUMIFS(Table146[Quantity],Table146[Company],$P$3,Table146[Date],$A227,Table146[Bill No.],$B227),""))))</f>
        <v/>
      </c>
      <c r="D227" s="223" t="str">
        <f>IF($A227="","",IF($K227="DIESEL",AVERAGEIFS(Table1[RSP],Table1[Customer],$P$3,Table1[Date],$A227,Table1[Bill No.],$B227),IF($K227="PETROL",AVERAGEIFS(Table14[RSP],Table14[Customer],$P$3,Table14[Date],$A227,Table14[Bill No.],$B227),IF($K227="XtraGreen",AVERAGEIFS(Table146[RSP],Table146[Company],$P$3,Table146[Date],$A227,Table146[Bill No.],$B227),IFERROR($E227/$C227,"")))))</f>
        <v/>
      </c>
      <c r="E227" s="330" t="str">
        <f>IF($A227="","",IF($K227="DIESEL",SUMIFS(Table1[Amount],Table1[Customer],$P$3,Table1[Date],$A227,Table1[Bill No.],$B227),IF($K227="PETROL",SUMIFS(Table14[Amount],Table14[Customer],$P$3,Table14[Date],$A227,Table14[Bill No.],$B227),IF($K227="XtraGreen",SUMIFS(Table146[Amount],Table146[Company],$P$3,Table146[Date],$A227,Table146[Bill No.],$B227),SUMIFS('Other Sale'!$D:$D,'Other Sale'!$E:$E,$P$3,'Other Sale'!$C:$C,$K227,'Other Sale'!$A:$A,$A227)))))</f>
        <v/>
      </c>
      <c r="F227" s="330" t="str" cm="1">
        <f t="array" ref="F227">IF($A227="","",IF($K227="Payment",IFERROR(INDEX(_xlfn._xlws.FILTER(MasterPaid[Amount Paid],(MasterPaid[Customer]=$P$3)*(MasterPaid[Date]=$A227)),COUNTIFS($A$6:$A227,$A227,$K$6:$K227,"Payment")),0),0))</f>
        <v/>
      </c>
      <c r="G227" s="331" t="s">
        <v>13</v>
      </c>
      <c r="H227" s="331"/>
      <c r="I227" s="330" t="str">
        <f t="shared" si="18"/>
        <v/>
      </c>
      <c r="J227" s="275"/>
      <c r="K227" s="289" t="str" cm="1">
        <f t="array" ref="K227">IFERROR(INDEX(_xlfn.ANCHORARRAY($R$6),ROW()-5,3),"")</f>
        <v/>
      </c>
      <c r="L227" s="430" t="str" cm="1">
        <f t="array" ref="L227">IF(OR($A227="",$J227="",$K227&lt;&gt;"DIESEL"),"",_xlfn.LET(_xlpm.qty,N($C227),_xlpm.pos,IF($J227="UNIT 1",$V$5:$V$54,$AC$5:$AC$54),_xlpm.alo,IF($J227="UNIT 1",$W$5:$W$54,$AD$5:$AD$54),_xlpm.usd,SUMIFS($C$6:$C226,$L$6:$L226,_xlpm.pos&amp;"",$J$6:$J226,$J227),_xlpm.bal,N(_xlpm.alo)-_xlpm.usd,IFERROR(INDEX(_xlfn._xlws.FILTER(_xlpm.pos,(_xlpm.pos&lt;&gt;"")*(_xlpm.qty&gt;0)*(_xlpm.bal&gt;=_xlpm.qty)),1),"")))</f>
        <v/>
      </c>
      <c r="M227" s="290"/>
      <c r="AQ227" s="409"/>
      <c r="AR227" s="410"/>
      <c r="AS227" s="410"/>
      <c r="AT227" s="411"/>
      <c r="AU227" s="412"/>
      <c r="AV227" s="413"/>
      <c r="AW227" s="413"/>
      <c r="AX227" s="413"/>
      <c r="AY227" s="413"/>
      <c r="AZ227" s="413" t="str">
        <f t="shared" si="16"/>
        <v/>
      </c>
      <c r="BB227" s="409"/>
      <c r="BC227" s="410"/>
      <c r="BD227" s="410"/>
      <c r="BE227" s="411"/>
      <c r="BF227" s="412"/>
      <c r="BG227" s="413"/>
      <c r="BH227" s="413"/>
      <c r="BI227" s="413"/>
      <c r="BJ227" s="413"/>
      <c r="BK227" s="413" t="str">
        <f t="shared" si="17"/>
        <v/>
      </c>
    </row>
    <row r="228" spans="1:63" ht="23" x14ac:dyDescent="0.25">
      <c r="A228" s="217" t="str" cm="1">
        <f t="array" ref="A228">IFERROR(INDEX(_xlfn.ANCHORARRAY($R$6),ROW()-5,1),"")</f>
        <v/>
      </c>
      <c r="B228" s="289" t="str" cm="1">
        <f t="array" ref="B228">IFERROR(INDEX(_xlfn.ANCHORARRAY($R$6),ROW()-5,2),"")</f>
        <v/>
      </c>
      <c r="C228" s="218" t="str">
        <f>IF($A228="","",IF($K228="DIESEL",SUMIFS(Table1[Quantity],Table1[Customer],$P$3,Table1[Date],$A228,Table1[Bill No.],$B228),IF($K228="PETROL",SUMIFS(Table14[Quantity],Table14[Customer],$P$3,Table14[Date],$A228,Table14[Bill No.],$B228),IF($K228="XtraGreen",SUMIFS(Table146[Quantity],Table146[Company],$P$3,Table146[Date],$A228,Table146[Bill No.],$B228),""))))</f>
        <v/>
      </c>
      <c r="D228" s="223" t="str">
        <f>IF($A228="","",IF($K228="DIESEL",AVERAGEIFS(Table1[RSP],Table1[Customer],$P$3,Table1[Date],$A228,Table1[Bill No.],$B228),IF($K228="PETROL",AVERAGEIFS(Table14[RSP],Table14[Customer],$P$3,Table14[Date],$A228,Table14[Bill No.],$B228),IF($K228="XtraGreen",AVERAGEIFS(Table146[RSP],Table146[Company],$P$3,Table146[Date],$A228,Table146[Bill No.],$B228),IFERROR($E228/$C228,"")))))</f>
        <v/>
      </c>
      <c r="E228" s="330" t="str">
        <f>IF($A228="","",IF($K228="DIESEL",SUMIFS(Table1[Amount],Table1[Customer],$P$3,Table1[Date],$A228,Table1[Bill No.],$B228),IF($K228="PETROL",SUMIFS(Table14[Amount],Table14[Customer],$P$3,Table14[Date],$A228,Table14[Bill No.],$B228),IF($K228="XtraGreen",SUMIFS(Table146[Amount],Table146[Company],$P$3,Table146[Date],$A228,Table146[Bill No.],$B228),SUMIFS('Other Sale'!$D:$D,'Other Sale'!$E:$E,$P$3,'Other Sale'!$C:$C,$K228,'Other Sale'!$A:$A,$A228)))))</f>
        <v/>
      </c>
      <c r="F228" s="330" t="str" cm="1">
        <f t="array" ref="F228">IF($A228="","",IF($K228="Payment",IFERROR(INDEX(_xlfn._xlws.FILTER(MasterPaid[Amount Paid],(MasterPaid[Customer]=$P$3)*(MasterPaid[Date]=$A228)),COUNTIFS($A$6:$A228,$A228,$K$6:$K228,"Payment")),0),0))</f>
        <v/>
      </c>
      <c r="G228" s="331" t="s">
        <v>13</v>
      </c>
      <c r="H228" s="331"/>
      <c r="I228" s="330" t="str">
        <f t="shared" si="18"/>
        <v/>
      </c>
      <c r="J228" s="275"/>
      <c r="K228" s="289" t="str" cm="1">
        <f t="array" ref="K228">IFERROR(INDEX(_xlfn.ANCHORARRAY($R$6),ROW()-5,3),"")</f>
        <v/>
      </c>
      <c r="L228" s="430" t="str" cm="1">
        <f t="array" ref="L228">IF(OR($A228="",$J228="",$K228&lt;&gt;"DIESEL"),"",_xlfn.LET(_xlpm.qty,N($C228),_xlpm.pos,IF($J228="UNIT 1",$V$5:$V$54,$AC$5:$AC$54),_xlpm.alo,IF($J228="UNIT 1",$W$5:$W$54,$AD$5:$AD$54),_xlpm.usd,SUMIFS($C$6:$C227,$L$6:$L227,_xlpm.pos&amp;"",$J$6:$J227,$J228),_xlpm.bal,N(_xlpm.alo)-_xlpm.usd,IFERROR(INDEX(_xlfn._xlws.FILTER(_xlpm.pos,(_xlpm.pos&lt;&gt;"")*(_xlpm.qty&gt;0)*(_xlpm.bal&gt;=_xlpm.qty)),1),"")))</f>
        <v/>
      </c>
      <c r="M228" s="290"/>
      <c r="AQ228" s="409"/>
      <c r="AR228" s="410"/>
      <c r="AS228" s="410"/>
      <c r="AT228" s="411"/>
      <c r="AU228" s="412"/>
      <c r="AV228" s="413"/>
      <c r="AW228" s="413"/>
      <c r="AX228" s="413"/>
      <c r="AY228" s="413"/>
      <c r="AZ228" s="413" t="str">
        <f t="shared" si="16"/>
        <v/>
      </c>
      <c r="BB228" s="409"/>
      <c r="BC228" s="410"/>
      <c r="BD228" s="410"/>
      <c r="BE228" s="411"/>
      <c r="BF228" s="412"/>
      <c r="BG228" s="413"/>
      <c r="BH228" s="413"/>
      <c r="BI228" s="413"/>
      <c r="BJ228" s="413"/>
      <c r="BK228" s="413" t="str">
        <f t="shared" si="17"/>
        <v/>
      </c>
    </row>
    <row r="229" spans="1:63" ht="23" x14ac:dyDescent="0.25">
      <c r="A229" s="217" t="str" cm="1">
        <f t="array" ref="A229">IFERROR(INDEX(_xlfn.ANCHORARRAY($R$6),ROW()-5,1),"")</f>
        <v/>
      </c>
      <c r="B229" s="289" t="str" cm="1">
        <f t="array" ref="B229">IFERROR(INDEX(_xlfn.ANCHORARRAY($R$6),ROW()-5,2),"")</f>
        <v/>
      </c>
      <c r="C229" s="218" t="str">
        <f>IF($A229="","",IF($K229="DIESEL",SUMIFS(Table1[Quantity],Table1[Customer],$P$3,Table1[Date],$A229,Table1[Bill No.],$B229),IF($K229="PETROL",SUMIFS(Table14[Quantity],Table14[Customer],$P$3,Table14[Date],$A229,Table14[Bill No.],$B229),IF($K229="XtraGreen",SUMIFS(Table146[Quantity],Table146[Company],$P$3,Table146[Date],$A229,Table146[Bill No.],$B229),""))))</f>
        <v/>
      </c>
      <c r="D229" s="223" t="str">
        <f>IF($A229="","",IF($K229="DIESEL",AVERAGEIFS(Table1[RSP],Table1[Customer],$P$3,Table1[Date],$A229,Table1[Bill No.],$B229),IF($K229="PETROL",AVERAGEIFS(Table14[RSP],Table14[Customer],$P$3,Table14[Date],$A229,Table14[Bill No.],$B229),IF($K229="XtraGreen",AVERAGEIFS(Table146[RSP],Table146[Company],$P$3,Table146[Date],$A229,Table146[Bill No.],$B229),IFERROR($E229/$C229,"")))))</f>
        <v/>
      </c>
      <c r="E229" s="330" t="str">
        <f>IF($A229="","",IF($K229="DIESEL",SUMIFS(Table1[Amount],Table1[Customer],$P$3,Table1[Date],$A229,Table1[Bill No.],$B229),IF($K229="PETROL",SUMIFS(Table14[Amount],Table14[Customer],$P$3,Table14[Date],$A229,Table14[Bill No.],$B229),IF($K229="XtraGreen",SUMIFS(Table146[Amount],Table146[Company],$P$3,Table146[Date],$A229,Table146[Bill No.],$B229),SUMIFS('Other Sale'!$D:$D,'Other Sale'!$E:$E,$P$3,'Other Sale'!$C:$C,$K229,'Other Sale'!$A:$A,$A229)))))</f>
        <v/>
      </c>
      <c r="F229" s="330" t="str" cm="1">
        <f t="array" ref="F229">IF($A229="","",IF($K229="Payment",IFERROR(INDEX(_xlfn._xlws.FILTER(MasterPaid[Amount Paid],(MasterPaid[Customer]=$P$3)*(MasterPaid[Date]=$A229)),COUNTIFS($A$6:$A229,$A229,$K$6:$K229,"Payment")),0),0))</f>
        <v/>
      </c>
      <c r="G229" s="331" t="s">
        <v>13</v>
      </c>
      <c r="H229" s="331"/>
      <c r="I229" s="330" t="str">
        <f t="shared" si="18"/>
        <v/>
      </c>
      <c r="J229" s="275"/>
      <c r="K229" s="289" t="str" cm="1">
        <f t="array" ref="K229">IFERROR(INDEX(_xlfn.ANCHORARRAY($R$6),ROW()-5,3),"")</f>
        <v/>
      </c>
      <c r="L229" s="430" t="str" cm="1">
        <f t="array" ref="L229">IF(OR($A229="",$J229="",$K229&lt;&gt;"DIESEL"),"",_xlfn.LET(_xlpm.qty,N($C229),_xlpm.pos,IF($J229="UNIT 1",$V$5:$V$54,$AC$5:$AC$54),_xlpm.alo,IF($J229="UNIT 1",$W$5:$W$54,$AD$5:$AD$54),_xlpm.usd,SUMIFS($C$6:$C228,$L$6:$L228,_xlpm.pos&amp;"",$J$6:$J228,$J229),_xlpm.bal,N(_xlpm.alo)-_xlpm.usd,IFERROR(INDEX(_xlfn._xlws.FILTER(_xlpm.pos,(_xlpm.pos&lt;&gt;"")*(_xlpm.qty&gt;0)*(_xlpm.bal&gt;=_xlpm.qty)),1),"")))</f>
        <v/>
      </c>
      <c r="M229" s="290"/>
      <c r="AQ229" s="409"/>
      <c r="AR229" s="410"/>
      <c r="AS229" s="410"/>
      <c r="AT229" s="411"/>
      <c r="AU229" s="412"/>
      <c r="AV229" s="413"/>
      <c r="AW229" s="413"/>
      <c r="AX229" s="413"/>
      <c r="AY229" s="413"/>
      <c r="AZ229" s="413" t="str">
        <f t="shared" si="16"/>
        <v/>
      </c>
      <c r="BB229" s="409"/>
      <c r="BC229" s="410"/>
      <c r="BD229" s="410"/>
      <c r="BE229" s="411"/>
      <c r="BF229" s="412"/>
      <c r="BG229" s="413"/>
      <c r="BH229" s="413"/>
      <c r="BI229" s="413"/>
      <c r="BJ229" s="413"/>
      <c r="BK229" s="413" t="str">
        <f t="shared" si="17"/>
        <v/>
      </c>
    </row>
    <row r="230" spans="1:63" ht="23" x14ac:dyDescent="0.25">
      <c r="A230" s="217" t="str" cm="1">
        <f t="array" ref="A230">IFERROR(INDEX(_xlfn.ANCHORARRAY($R$6),ROW()-5,1),"")</f>
        <v/>
      </c>
      <c r="B230" s="289" t="str" cm="1">
        <f t="array" ref="B230">IFERROR(INDEX(_xlfn.ANCHORARRAY($R$6),ROW()-5,2),"")</f>
        <v/>
      </c>
      <c r="C230" s="218" t="str">
        <f>IF($A230="","",IF($K230="DIESEL",SUMIFS(Table1[Quantity],Table1[Customer],$P$3,Table1[Date],$A230,Table1[Bill No.],$B230),IF($K230="PETROL",SUMIFS(Table14[Quantity],Table14[Customer],$P$3,Table14[Date],$A230,Table14[Bill No.],$B230),IF($K230="XtraGreen",SUMIFS(Table146[Quantity],Table146[Company],$P$3,Table146[Date],$A230,Table146[Bill No.],$B230),""))))</f>
        <v/>
      </c>
      <c r="D230" s="223" t="str">
        <f>IF($A230="","",IF($K230="DIESEL",AVERAGEIFS(Table1[RSP],Table1[Customer],$P$3,Table1[Date],$A230,Table1[Bill No.],$B230),IF($K230="PETROL",AVERAGEIFS(Table14[RSP],Table14[Customer],$P$3,Table14[Date],$A230,Table14[Bill No.],$B230),IF($K230="XtraGreen",AVERAGEIFS(Table146[RSP],Table146[Company],$P$3,Table146[Date],$A230,Table146[Bill No.],$B230),IFERROR($E230/$C230,"")))))</f>
        <v/>
      </c>
      <c r="E230" s="330" t="str">
        <f>IF($A230="","",IF($K230="DIESEL",SUMIFS(Table1[Amount],Table1[Customer],$P$3,Table1[Date],$A230,Table1[Bill No.],$B230),IF($K230="PETROL",SUMIFS(Table14[Amount],Table14[Customer],$P$3,Table14[Date],$A230,Table14[Bill No.],$B230),IF($K230="XtraGreen",SUMIFS(Table146[Amount],Table146[Company],$P$3,Table146[Date],$A230,Table146[Bill No.],$B230),SUMIFS('Other Sale'!$D:$D,'Other Sale'!$E:$E,$P$3,'Other Sale'!$C:$C,$K230,'Other Sale'!$A:$A,$A230)))))</f>
        <v/>
      </c>
      <c r="F230" s="330" t="str" cm="1">
        <f t="array" ref="F230">IF($A230="","",IF($K230="Payment",IFERROR(INDEX(_xlfn._xlws.FILTER(MasterPaid[Amount Paid],(MasterPaid[Customer]=$P$3)*(MasterPaid[Date]=$A230)),COUNTIFS($A$6:$A230,$A230,$K$6:$K230,"Payment")),0),0))</f>
        <v/>
      </c>
      <c r="G230" s="331" t="s">
        <v>13</v>
      </c>
      <c r="H230" s="331"/>
      <c r="I230" s="330" t="str">
        <f t="shared" si="18"/>
        <v/>
      </c>
      <c r="J230" s="275"/>
      <c r="K230" s="289" t="str" cm="1">
        <f t="array" ref="K230">IFERROR(INDEX(_xlfn.ANCHORARRAY($R$6),ROW()-5,3),"")</f>
        <v/>
      </c>
      <c r="L230" s="430" t="str" cm="1">
        <f t="array" ref="L230">IF(OR($A230="",$J230="",$K230&lt;&gt;"DIESEL"),"",_xlfn.LET(_xlpm.qty,N($C230),_xlpm.pos,IF($J230="UNIT 1",$V$5:$V$54,$AC$5:$AC$54),_xlpm.alo,IF($J230="UNIT 1",$W$5:$W$54,$AD$5:$AD$54),_xlpm.usd,SUMIFS($C$6:$C229,$L$6:$L229,_xlpm.pos&amp;"",$J$6:$J229,$J230),_xlpm.bal,N(_xlpm.alo)-_xlpm.usd,IFERROR(INDEX(_xlfn._xlws.FILTER(_xlpm.pos,(_xlpm.pos&lt;&gt;"")*(_xlpm.qty&gt;0)*(_xlpm.bal&gt;=_xlpm.qty)),1),"")))</f>
        <v/>
      </c>
      <c r="M230" s="290"/>
      <c r="AQ230" s="409"/>
      <c r="AR230" s="410"/>
      <c r="AS230" s="410"/>
      <c r="AT230" s="411"/>
      <c r="AU230" s="412"/>
      <c r="AV230" s="413"/>
      <c r="AW230" s="413"/>
      <c r="AX230" s="413"/>
      <c r="AY230" s="413"/>
      <c r="AZ230" s="413" t="str">
        <f t="shared" si="16"/>
        <v/>
      </c>
      <c r="BB230" s="409"/>
      <c r="BC230" s="410"/>
      <c r="BD230" s="410"/>
      <c r="BE230" s="411"/>
      <c r="BF230" s="412"/>
      <c r="BG230" s="413"/>
      <c r="BH230" s="413"/>
      <c r="BI230" s="413"/>
      <c r="BJ230" s="413"/>
      <c r="BK230" s="413" t="str">
        <f t="shared" si="17"/>
        <v/>
      </c>
    </row>
    <row r="231" spans="1:63" ht="23" x14ac:dyDescent="0.25">
      <c r="A231" s="217" t="str" cm="1">
        <f t="array" ref="A231">IFERROR(INDEX(_xlfn.ANCHORARRAY($R$6),ROW()-5,1),"")</f>
        <v/>
      </c>
      <c r="B231" s="289" t="str" cm="1">
        <f t="array" ref="B231">IFERROR(INDEX(_xlfn.ANCHORARRAY($R$6),ROW()-5,2),"")</f>
        <v/>
      </c>
      <c r="C231" s="218" t="str">
        <f>IF($A231="","",IF($K231="DIESEL",SUMIFS(Table1[Quantity],Table1[Customer],$P$3,Table1[Date],$A231,Table1[Bill No.],$B231),IF($K231="PETROL",SUMIFS(Table14[Quantity],Table14[Customer],$P$3,Table14[Date],$A231,Table14[Bill No.],$B231),IF($K231="XtraGreen",SUMIFS(Table146[Quantity],Table146[Company],$P$3,Table146[Date],$A231,Table146[Bill No.],$B231),""))))</f>
        <v/>
      </c>
      <c r="D231" s="223" t="str">
        <f>IF($A231="","",IF($K231="DIESEL",AVERAGEIFS(Table1[RSP],Table1[Customer],$P$3,Table1[Date],$A231,Table1[Bill No.],$B231),IF($K231="PETROL",AVERAGEIFS(Table14[RSP],Table14[Customer],$P$3,Table14[Date],$A231,Table14[Bill No.],$B231),IF($K231="XtraGreen",AVERAGEIFS(Table146[RSP],Table146[Company],$P$3,Table146[Date],$A231,Table146[Bill No.],$B231),IFERROR($E231/$C231,"")))))</f>
        <v/>
      </c>
      <c r="E231" s="330" t="str">
        <f>IF($A231="","",IF($K231="DIESEL",SUMIFS(Table1[Amount],Table1[Customer],$P$3,Table1[Date],$A231,Table1[Bill No.],$B231),IF($K231="PETROL",SUMIFS(Table14[Amount],Table14[Customer],$P$3,Table14[Date],$A231,Table14[Bill No.],$B231),IF($K231="XtraGreen",SUMIFS(Table146[Amount],Table146[Company],$P$3,Table146[Date],$A231,Table146[Bill No.],$B231),SUMIFS('Other Sale'!$D:$D,'Other Sale'!$E:$E,$P$3,'Other Sale'!$C:$C,$K231,'Other Sale'!$A:$A,$A231)))))</f>
        <v/>
      </c>
      <c r="F231" s="330" t="str" cm="1">
        <f t="array" ref="F231">IF($A231="","",IF($K231="Payment",IFERROR(INDEX(_xlfn._xlws.FILTER(MasterPaid[Amount Paid],(MasterPaid[Customer]=$P$3)*(MasterPaid[Date]=$A231)),COUNTIFS($A$6:$A231,$A231,$K$6:$K231,"Payment")),0),0))</f>
        <v/>
      </c>
      <c r="G231" s="331" t="s">
        <v>13</v>
      </c>
      <c r="H231" s="331"/>
      <c r="I231" s="330" t="str">
        <f t="shared" si="18"/>
        <v/>
      </c>
      <c r="J231" s="275"/>
      <c r="K231" s="289" t="str" cm="1">
        <f t="array" ref="K231">IFERROR(INDEX(_xlfn.ANCHORARRAY($R$6),ROW()-5,3),"")</f>
        <v/>
      </c>
      <c r="L231" s="430" t="str" cm="1">
        <f t="array" ref="L231">IF(OR($A231="",$J231="",$K231&lt;&gt;"DIESEL"),"",_xlfn.LET(_xlpm.qty,N($C231),_xlpm.pos,IF($J231="UNIT 1",$V$5:$V$54,$AC$5:$AC$54),_xlpm.alo,IF($J231="UNIT 1",$W$5:$W$54,$AD$5:$AD$54),_xlpm.usd,SUMIFS($C$6:$C230,$L$6:$L230,_xlpm.pos&amp;"",$J$6:$J230,$J231),_xlpm.bal,N(_xlpm.alo)-_xlpm.usd,IFERROR(INDEX(_xlfn._xlws.FILTER(_xlpm.pos,(_xlpm.pos&lt;&gt;"")*(_xlpm.qty&gt;0)*(_xlpm.bal&gt;=_xlpm.qty)),1),"")))</f>
        <v/>
      </c>
      <c r="M231" s="290"/>
      <c r="AQ231" s="409"/>
      <c r="AR231" s="410"/>
      <c r="AS231" s="410"/>
      <c r="AT231" s="411"/>
      <c r="AU231" s="412"/>
      <c r="AV231" s="413"/>
      <c r="AW231" s="413"/>
      <c r="AX231" s="413"/>
      <c r="AY231" s="413"/>
      <c r="AZ231" s="413" t="str">
        <f t="shared" si="16"/>
        <v/>
      </c>
      <c r="BB231" s="409"/>
      <c r="BC231" s="410"/>
      <c r="BD231" s="410"/>
      <c r="BE231" s="411"/>
      <c r="BF231" s="412"/>
      <c r="BG231" s="413"/>
      <c r="BH231" s="413"/>
      <c r="BI231" s="413"/>
      <c r="BJ231" s="413"/>
      <c r="BK231" s="413" t="str">
        <f t="shared" si="17"/>
        <v/>
      </c>
    </row>
    <row r="232" spans="1:63" ht="23" x14ac:dyDescent="0.25">
      <c r="A232" s="217" t="str" cm="1">
        <f t="array" ref="A232">IFERROR(INDEX(_xlfn.ANCHORARRAY($R$6),ROW()-5,1),"")</f>
        <v/>
      </c>
      <c r="B232" s="289" t="str" cm="1">
        <f t="array" ref="B232">IFERROR(INDEX(_xlfn.ANCHORARRAY($R$6),ROW()-5,2),"")</f>
        <v/>
      </c>
      <c r="C232" s="218" t="str">
        <f>IF($A232="","",IF($K232="DIESEL",SUMIFS(Table1[Quantity],Table1[Customer],$P$3,Table1[Date],$A232,Table1[Bill No.],$B232),IF($K232="PETROL",SUMIFS(Table14[Quantity],Table14[Customer],$P$3,Table14[Date],$A232,Table14[Bill No.],$B232),IF($K232="XtraGreen",SUMIFS(Table146[Quantity],Table146[Company],$P$3,Table146[Date],$A232,Table146[Bill No.],$B232),""))))</f>
        <v/>
      </c>
      <c r="D232" s="223" t="str">
        <f>IF($A232="","",IF($K232="DIESEL",AVERAGEIFS(Table1[RSP],Table1[Customer],$P$3,Table1[Date],$A232,Table1[Bill No.],$B232),IF($K232="PETROL",AVERAGEIFS(Table14[RSP],Table14[Customer],$P$3,Table14[Date],$A232,Table14[Bill No.],$B232),IF($K232="XtraGreen",AVERAGEIFS(Table146[RSP],Table146[Company],$P$3,Table146[Date],$A232,Table146[Bill No.],$B232),IFERROR($E232/$C232,"")))))</f>
        <v/>
      </c>
      <c r="E232" s="330" t="str">
        <f>IF($A232="","",IF($K232="DIESEL",SUMIFS(Table1[Amount],Table1[Customer],$P$3,Table1[Date],$A232,Table1[Bill No.],$B232),IF($K232="PETROL",SUMIFS(Table14[Amount],Table14[Customer],$P$3,Table14[Date],$A232,Table14[Bill No.],$B232),IF($K232="XtraGreen",SUMIFS(Table146[Amount],Table146[Company],$P$3,Table146[Date],$A232,Table146[Bill No.],$B232),SUMIFS('Other Sale'!$D:$D,'Other Sale'!$E:$E,$P$3,'Other Sale'!$C:$C,$K232,'Other Sale'!$A:$A,$A232)))))</f>
        <v/>
      </c>
      <c r="F232" s="330" t="str" cm="1">
        <f t="array" ref="F232">IF($A232="","",IF($K232="Payment",IFERROR(INDEX(_xlfn._xlws.FILTER(MasterPaid[Amount Paid],(MasterPaid[Customer]=$P$3)*(MasterPaid[Date]=$A232)),COUNTIFS($A$6:$A232,$A232,$K$6:$K232,"Payment")),0),0))</f>
        <v/>
      </c>
      <c r="G232" s="331" t="s">
        <v>13</v>
      </c>
      <c r="H232" s="331"/>
      <c r="I232" s="330" t="str">
        <f t="shared" si="18"/>
        <v/>
      </c>
      <c r="J232" s="275"/>
      <c r="K232" s="289" t="str" cm="1">
        <f t="array" ref="K232">IFERROR(INDEX(_xlfn.ANCHORARRAY($R$6),ROW()-5,3),"")</f>
        <v/>
      </c>
      <c r="L232" s="430" t="str" cm="1">
        <f t="array" ref="L232">IF(OR($A232="",$J232="",$K232&lt;&gt;"DIESEL"),"",_xlfn.LET(_xlpm.qty,N($C232),_xlpm.pos,IF($J232="UNIT 1",$V$5:$V$54,$AC$5:$AC$54),_xlpm.alo,IF($J232="UNIT 1",$W$5:$W$54,$AD$5:$AD$54),_xlpm.usd,SUMIFS($C$6:$C231,$L$6:$L231,_xlpm.pos&amp;"",$J$6:$J231,$J232),_xlpm.bal,N(_xlpm.alo)-_xlpm.usd,IFERROR(INDEX(_xlfn._xlws.FILTER(_xlpm.pos,(_xlpm.pos&lt;&gt;"")*(_xlpm.qty&gt;0)*(_xlpm.bal&gt;=_xlpm.qty)),1),"")))</f>
        <v/>
      </c>
      <c r="M232" s="290"/>
      <c r="AQ232" s="409"/>
      <c r="AR232" s="410"/>
      <c r="AS232" s="410"/>
      <c r="AT232" s="411"/>
      <c r="AU232" s="412"/>
      <c r="AV232" s="413"/>
      <c r="AW232" s="413"/>
      <c r="AX232" s="413"/>
      <c r="AY232" s="413"/>
      <c r="AZ232" s="413" t="str">
        <f t="shared" si="16"/>
        <v/>
      </c>
      <c r="BB232" s="409"/>
      <c r="BC232" s="410"/>
      <c r="BD232" s="410"/>
      <c r="BE232" s="411"/>
      <c r="BF232" s="412"/>
      <c r="BG232" s="413"/>
      <c r="BH232" s="413"/>
      <c r="BI232" s="413"/>
      <c r="BJ232" s="413"/>
      <c r="BK232" s="413" t="str">
        <f t="shared" si="17"/>
        <v/>
      </c>
    </row>
    <row r="233" spans="1:63" ht="23" x14ac:dyDescent="0.25">
      <c r="A233" s="217" t="str" cm="1">
        <f t="array" ref="A233">IFERROR(INDEX(_xlfn.ANCHORARRAY($R$6),ROW()-5,1),"")</f>
        <v/>
      </c>
      <c r="B233" s="289" t="str" cm="1">
        <f t="array" ref="B233">IFERROR(INDEX(_xlfn.ANCHORARRAY($R$6),ROW()-5,2),"")</f>
        <v/>
      </c>
      <c r="C233" s="218" t="str">
        <f>IF($A233="","",IF($K233="DIESEL",SUMIFS(Table1[Quantity],Table1[Customer],$P$3,Table1[Date],$A233,Table1[Bill No.],$B233),IF($K233="PETROL",SUMIFS(Table14[Quantity],Table14[Customer],$P$3,Table14[Date],$A233,Table14[Bill No.],$B233),IF($K233="XtraGreen",SUMIFS(Table146[Quantity],Table146[Company],$P$3,Table146[Date],$A233,Table146[Bill No.],$B233),""))))</f>
        <v/>
      </c>
      <c r="D233" s="223" t="str">
        <f>IF($A233="","",IF($K233="DIESEL",AVERAGEIFS(Table1[RSP],Table1[Customer],$P$3,Table1[Date],$A233,Table1[Bill No.],$B233),IF($K233="PETROL",AVERAGEIFS(Table14[RSP],Table14[Customer],$P$3,Table14[Date],$A233,Table14[Bill No.],$B233),IF($K233="XtraGreen",AVERAGEIFS(Table146[RSP],Table146[Company],$P$3,Table146[Date],$A233,Table146[Bill No.],$B233),IFERROR($E233/$C233,"")))))</f>
        <v/>
      </c>
      <c r="E233" s="330" t="str">
        <f>IF($A233="","",IF($K233="DIESEL",SUMIFS(Table1[Amount],Table1[Customer],$P$3,Table1[Date],$A233,Table1[Bill No.],$B233),IF($K233="PETROL",SUMIFS(Table14[Amount],Table14[Customer],$P$3,Table14[Date],$A233,Table14[Bill No.],$B233),IF($K233="XtraGreen",SUMIFS(Table146[Amount],Table146[Company],$P$3,Table146[Date],$A233,Table146[Bill No.],$B233),SUMIFS('Other Sale'!$D:$D,'Other Sale'!$E:$E,$P$3,'Other Sale'!$C:$C,$K233,'Other Sale'!$A:$A,$A233)))))</f>
        <v/>
      </c>
      <c r="F233" s="330" t="str" cm="1">
        <f t="array" ref="F233">IF($A233="","",IF($K233="Payment",IFERROR(INDEX(_xlfn._xlws.FILTER(MasterPaid[Amount Paid],(MasterPaid[Customer]=$P$3)*(MasterPaid[Date]=$A233)),COUNTIFS($A$6:$A233,$A233,$K$6:$K233,"Payment")),0),0))</f>
        <v/>
      </c>
      <c r="G233" s="331" t="s">
        <v>13</v>
      </c>
      <c r="H233" s="331"/>
      <c r="I233" s="330" t="str">
        <f t="shared" si="18"/>
        <v/>
      </c>
      <c r="J233" s="275"/>
      <c r="K233" s="289" t="str" cm="1">
        <f t="array" ref="K233">IFERROR(INDEX(_xlfn.ANCHORARRAY($R$6),ROW()-5,3),"")</f>
        <v/>
      </c>
      <c r="L233" s="430" t="str" cm="1">
        <f t="array" ref="L233">IF(OR($A233="",$J233="",$K233&lt;&gt;"DIESEL"),"",_xlfn.LET(_xlpm.qty,N($C233),_xlpm.pos,IF($J233="UNIT 1",$V$5:$V$54,$AC$5:$AC$54),_xlpm.alo,IF($J233="UNIT 1",$W$5:$W$54,$AD$5:$AD$54),_xlpm.usd,SUMIFS($C$6:$C232,$L$6:$L232,_xlpm.pos&amp;"",$J$6:$J232,$J233),_xlpm.bal,N(_xlpm.alo)-_xlpm.usd,IFERROR(INDEX(_xlfn._xlws.FILTER(_xlpm.pos,(_xlpm.pos&lt;&gt;"")*(_xlpm.qty&gt;0)*(_xlpm.bal&gt;=_xlpm.qty)),1),"")))</f>
        <v/>
      </c>
      <c r="M233" s="290"/>
      <c r="AQ233" s="409"/>
      <c r="AR233" s="410"/>
      <c r="AS233" s="410"/>
      <c r="AT233" s="411"/>
      <c r="AU233" s="412"/>
      <c r="AV233" s="413"/>
      <c r="AW233" s="413"/>
      <c r="AX233" s="413"/>
      <c r="AY233" s="413"/>
      <c r="AZ233" s="413" t="str">
        <f t="shared" si="16"/>
        <v/>
      </c>
      <c r="BB233" s="409"/>
      <c r="BC233" s="410"/>
      <c r="BD233" s="410"/>
      <c r="BE233" s="411"/>
      <c r="BF233" s="412"/>
      <c r="BG233" s="413"/>
      <c r="BH233" s="413"/>
      <c r="BI233" s="413"/>
      <c r="BJ233" s="413"/>
      <c r="BK233" s="413" t="str">
        <f t="shared" si="17"/>
        <v/>
      </c>
    </row>
    <row r="234" spans="1:63" ht="23" x14ac:dyDescent="0.25">
      <c r="A234" s="217" t="str" cm="1">
        <f t="array" ref="A234">IFERROR(INDEX(_xlfn.ANCHORARRAY($R$6),ROW()-5,1),"")</f>
        <v/>
      </c>
      <c r="B234" s="289" t="str" cm="1">
        <f t="array" ref="B234">IFERROR(INDEX(_xlfn.ANCHORARRAY($R$6),ROW()-5,2),"")</f>
        <v/>
      </c>
      <c r="C234" s="218" t="str">
        <f>IF($A234="","",IF($K234="DIESEL",SUMIFS(Table1[Quantity],Table1[Customer],$P$3,Table1[Date],$A234,Table1[Bill No.],$B234),IF($K234="PETROL",SUMIFS(Table14[Quantity],Table14[Customer],$P$3,Table14[Date],$A234,Table14[Bill No.],$B234),IF($K234="XtraGreen",SUMIFS(Table146[Quantity],Table146[Company],$P$3,Table146[Date],$A234,Table146[Bill No.],$B234),""))))</f>
        <v/>
      </c>
      <c r="D234" s="223" t="str">
        <f>IF($A234="","",IF($K234="DIESEL",AVERAGEIFS(Table1[RSP],Table1[Customer],$P$3,Table1[Date],$A234,Table1[Bill No.],$B234),IF($K234="PETROL",AVERAGEIFS(Table14[RSP],Table14[Customer],$P$3,Table14[Date],$A234,Table14[Bill No.],$B234),IF($K234="XtraGreen",AVERAGEIFS(Table146[RSP],Table146[Company],$P$3,Table146[Date],$A234,Table146[Bill No.],$B234),IFERROR($E234/$C234,"")))))</f>
        <v/>
      </c>
      <c r="E234" s="330" t="str">
        <f>IF($A234="","",IF($K234="DIESEL",SUMIFS(Table1[Amount],Table1[Customer],$P$3,Table1[Date],$A234,Table1[Bill No.],$B234),IF($K234="PETROL",SUMIFS(Table14[Amount],Table14[Customer],$P$3,Table14[Date],$A234,Table14[Bill No.],$B234),IF($K234="XtraGreen",SUMIFS(Table146[Amount],Table146[Company],$P$3,Table146[Date],$A234,Table146[Bill No.],$B234),SUMIFS('Other Sale'!$D:$D,'Other Sale'!$E:$E,$P$3,'Other Sale'!$C:$C,$K234,'Other Sale'!$A:$A,$A234)))))</f>
        <v/>
      </c>
      <c r="F234" s="330" t="str" cm="1">
        <f t="array" ref="F234">IF($A234="","",IF($K234="Payment",IFERROR(INDEX(_xlfn._xlws.FILTER(MasterPaid[Amount Paid],(MasterPaid[Customer]=$P$3)*(MasterPaid[Date]=$A234)),COUNTIFS($A$6:$A234,$A234,$K$6:$K234,"Payment")),0),0))</f>
        <v/>
      </c>
      <c r="G234" s="331" t="s">
        <v>13</v>
      </c>
      <c r="H234" s="331"/>
      <c r="I234" s="330" t="str">
        <f t="shared" si="18"/>
        <v/>
      </c>
      <c r="J234" s="275"/>
      <c r="K234" s="289" t="str" cm="1">
        <f t="array" ref="K234">IFERROR(INDEX(_xlfn.ANCHORARRAY($R$6),ROW()-5,3),"")</f>
        <v/>
      </c>
      <c r="L234" s="430" t="str" cm="1">
        <f t="array" ref="L234">IF(OR($A234="",$J234="",$K234&lt;&gt;"DIESEL"),"",_xlfn.LET(_xlpm.qty,N($C234),_xlpm.pos,IF($J234="UNIT 1",$V$5:$V$54,$AC$5:$AC$54),_xlpm.alo,IF($J234="UNIT 1",$W$5:$W$54,$AD$5:$AD$54),_xlpm.usd,SUMIFS($C$6:$C233,$L$6:$L233,_xlpm.pos&amp;"",$J$6:$J233,$J234),_xlpm.bal,N(_xlpm.alo)-_xlpm.usd,IFERROR(INDEX(_xlfn._xlws.FILTER(_xlpm.pos,(_xlpm.pos&lt;&gt;"")*(_xlpm.qty&gt;0)*(_xlpm.bal&gt;=_xlpm.qty)),1),"")))</f>
        <v/>
      </c>
      <c r="M234" s="290"/>
      <c r="AQ234" s="409"/>
      <c r="AR234" s="410"/>
      <c r="AS234" s="410"/>
      <c r="AT234" s="411"/>
      <c r="AU234" s="412"/>
      <c r="AV234" s="413"/>
      <c r="AW234" s="413"/>
      <c r="AX234" s="413"/>
      <c r="AY234" s="413"/>
      <c r="AZ234" s="413" t="str">
        <f t="shared" si="16"/>
        <v/>
      </c>
      <c r="BB234" s="409"/>
      <c r="BC234" s="410"/>
      <c r="BD234" s="410"/>
      <c r="BE234" s="411"/>
      <c r="BF234" s="412"/>
      <c r="BG234" s="413"/>
      <c r="BH234" s="413"/>
      <c r="BI234" s="413"/>
      <c r="BJ234" s="413"/>
      <c r="BK234" s="413" t="str">
        <f t="shared" si="17"/>
        <v/>
      </c>
    </row>
    <row r="235" spans="1:63" ht="23" x14ac:dyDescent="0.25">
      <c r="A235" s="217" t="str" cm="1">
        <f t="array" ref="A235">IFERROR(INDEX(_xlfn.ANCHORARRAY($R$6),ROW()-5,1),"")</f>
        <v/>
      </c>
      <c r="B235" s="289" t="str" cm="1">
        <f t="array" ref="B235">IFERROR(INDEX(_xlfn.ANCHORARRAY($R$6),ROW()-5,2),"")</f>
        <v/>
      </c>
      <c r="C235" s="218" t="str">
        <f>IF($A235="","",IF($K235="DIESEL",SUMIFS(Table1[Quantity],Table1[Customer],$P$3,Table1[Date],$A235,Table1[Bill No.],$B235),IF($K235="PETROL",SUMIFS(Table14[Quantity],Table14[Customer],$P$3,Table14[Date],$A235,Table14[Bill No.],$B235),IF($K235="XtraGreen",SUMIFS(Table146[Quantity],Table146[Company],$P$3,Table146[Date],$A235,Table146[Bill No.],$B235),""))))</f>
        <v/>
      </c>
      <c r="D235" s="223" t="str">
        <f>IF($A235="","",IF($K235="DIESEL",AVERAGEIFS(Table1[RSP],Table1[Customer],$P$3,Table1[Date],$A235,Table1[Bill No.],$B235),IF($K235="PETROL",AVERAGEIFS(Table14[RSP],Table14[Customer],$P$3,Table14[Date],$A235,Table14[Bill No.],$B235),IF($K235="XtraGreen",AVERAGEIFS(Table146[RSP],Table146[Company],$P$3,Table146[Date],$A235,Table146[Bill No.],$B235),IFERROR($E235/$C235,"")))))</f>
        <v/>
      </c>
      <c r="E235" s="330" t="str">
        <f>IF($A235="","",IF($K235="DIESEL",SUMIFS(Table1[Amount],Table1[Customer],$P$3,Table1[Date],$A235,Table1[Bill No.],$B235),IF($K235="PETROL",SUMIFS(Table14[Amount],Table14[Customer],$P$3,Table14[Date],$A235,Table14[Bill No.],$B235),IF($K235="XtraGreen",SUMIFS(Table146[Amount],Table146[Company],$P$3,Table146[Date],$A235,Table146[Bill No.],$B235),SUMIFS('Other Sale'!$D:$D,'Other Sale'!$E:$E,$P$3,'Other Sale'!$C:$C,$K235,'Other Sale'!$A:$A,$A235)))))</f>
        <v/>
      </c>
      <c r="F235" s="330" t="str" cm="1">
        <f t="array" ref="F235">IF($A235="","",IF($K235="Payment",IFERROR(INDEX(_xlfn._xlws.FILTER(MasterPaid[Amount Paid],(MasterPaid[Customer]=$P$3)*(MasterPaid[Date]=$A235)),COUNTIFS($A$6:$A235,$A235,$K$6:$K235,"Payment")),0),0))</f>
        <v/>
      </c>
      <c r="G235" s="331" t="s">
        <v>13</v>
      </c>
      <c r="H235" s="331"/>
      <c r="I235" s="330" t="str">
        <f t="shared" si="18"/>
        <v/>
      </c>
      <c r="J235" s="275"/>
      <c r="K235" s="289" t="str" cm="1">
        <f t="array" ref="K235">IFERROR(INDEX(_xlfn.ANCHORARRAY($R$6),ROW()-5,3),"")</f>
        <v/>
      </c>
      <c r="L235" s="430" t="str" cm="1">
        <f t="array" ref="L235">IF(OR($A235="",$J235="",$K235&lt;&gt;"DIESEL"),"",_xlfn.LET(_xlpm.qty,N($C235),_xlpm.pos,IF($J235="UNIT 1",$V$5:$V$54,$AC$5:$AC$54),_xlpm.alo,IF($J235="UNIT 1",$W$5:$W$54,$AD$5:$AD$54),_xlpm.usd,SUMIFS($C$6:$C234,$L$6:$L234,_xlpm.pos&amp;"",$J$6:$J234,$J235),_xlpm.bal,N(_xlpm.alo)-_xlpm.usd,IFERROR(INDEX(_xlfn._xlws.FILTER(_xlpm.pos,(_xlpm.pos&lt;&gt;"")*(_xlpm.qty&gt;0)*(_xlpm.bal&gt;=_xlpm.qty)),1),"")))</f>
        <v/>
      </c>
      <c r="M235" s="290"/>
      <c r="AQ235" s="409"/>
      <c r="AR235" s="410"/>
      <c r="AS235" s="410"/>
      <c r="AT235" s="411"/>
      <c r="AU235" s="412"/>
      <c r="AV235" s="413"/>
      <c r="AW235" s="413"/>
      <c r="AX235" s="413"/>
      <c r="AY235" s="413"/>
      <c r="AZ235" s="413" t="str">
        <f t="shared" si="16"/>
        <v/>
      </c>
      <c r="BB235" s="409"/>
      <c r="BC235" s="410"/>
      <c r="BD235" s="410"/>
      <c r="BE235" s="411"/>
      <c r="BF235" s="412"/>
      <c r="BG235" s="413"/>
      <c r="BH235" s="413"/>
      <c r="BI235" s="413"/>
      <c r="BJ235" s="413"/>
      <c r="BK235" s="413" t="str">
        <f t="shared" si="17"/>
        <v/>
      </c>
    </row>
    <row r="236" spans="1:63" ht="23" x14ac:dyDescent="0.25">
      <c r="A236" s="217" t="str" cm="1">
        <f t="array" ref="A236">IFERROR(INDEX(_xlfn.ANCHORARRAY($R$6),ROW()-5,1),"")</f>
        <v/>
      </c>
      <c r="B236" s="289" t="str" cm="1">
        <f t="array" ref="B236">IFERROR(INDEX(_xlfn.ANCHORARRAY($R$6),ROW()-5,2),"")</f>
        <v/>
      </c>
      <c r="C236" s="218" t="str">
        <f>IF($A236="","",IF($K236="DIESEL",SUMIFS(Table1[Quantity],Table1[Customer],$P$3,Table1[Date],$A236,Table1[Bill No.],$B236),IF($K236="PETROL",SUMIFS(Table14[Quantity],Table14[Customer],$P$3,Table14[Date],$A236,Table14[Bill No.],$B236),IF($K236="XtraGreen",SUMIFS(Table146[Quantity],Table146[Company],$P$3,Table146[Date],$A236,Table146[Bill No.],$B236),""))))</f>
        <v/>
      </c>
      <c r="D236" s="223" t="str">
        <f>IF($A236="","",IF($K236="DIESEL",AVERAGEIFS(Table1[RSP],Table1[Customer],$P$3,Table1[Date],$A236,Table1[Bill No.],$B236),IF($K236="PETROL",AVERAGEIFS(Table14[RSP],Table14[Customer],$P$3,Table14[Date],$A236,Table14[Bill No.],$B236),IF($K236="XtraGreen",AVERAGEIFS(Table146[RSP],Table146[Company],$P$3,Table146[Date],$A236,Table146[Bill No.],$B236),IFERROR($E236/$C236,"")))))</f>
        <v/>
      </c>
      <c r="E236" s="330" t="str">
        <f>IF($A236="","",IF($K236="DIESEL",SUMIFS(Table1[Amount],Table1[Customer],$P$3,Table1[Date],$A236,Table1[Bill No.],$B236),IF($K236="PETROL",SUMIFS(Table14[Amount],Table14[Customer],$P$3,Table14[Date],$A236,Table14[Bill No.],$B236),IF($K236="XtraGreen",SUMIFS(Table146[Amount],Table146[Company],$P$3,Table146[Date],$A236,Table146[Bill No.],$B236),SUMIFS('Other Sale'!$D:$D,'Other Sale'!$E:$E,$P$3,'Other Sale'!$C:$C,$K236,'Other Sale'!$A:$A,$A236)))))</f>
        <v/>
      </c>
      <c r="F236" s="330" t="str" cm="1">
        <f t="array" ref="F236">IF($A236="","",IF($K236="Payment",IFERROR(INDEX(_xlfn._xlws.FILTER(MasterPaid[Amount Paid],(MasterPaid[Customer]=$P$3)*(MasterPaid[Date]=$A236)),COUNTIFS($A$6:$A236,$A236,$K$6:$K236,"Payment")),0),0))</f>
        <v/>
      </c>
      <c r="G236" s="331" t="s">
        <v>13</v>
      </c>
      <c r="H236" s="331"/>
      <c r="I236" s="330" t="str">
        <f t="shared" si="18"/>
        <v/>
      </c>
      <c r="J236" s="275"/>
      <c r="K236" s="289" t="str" cm="1">
        <f t="array" ref="K236">IFERROR(INDEX(_xlfn.ANCHORARRAY($R$6),ROW()-5,3),"")</f>
        <v/>
      </c>
      <c r="L236" s="430" t="str" cm="1">
        <f t="array" ref="L236">IF(OR($A236="",$J236="",$K236&lt;&gt;"DIESEL"),"",_xlfn.LET(_xlpm.qty,N($C236),_xlpm.pos,IF($J236="UNIT 1",$V$5:$V$54,$AC$5:$AC$54),_xlpm.alo,IF($J236="UNIT 1",$W$5:$W$54,$AD$5:$AD$54),_xlpm.usd,SUMIFS($C$6:$C235,$L$6:$L235,_xlpm.pos&amp;"",$J$6:$J235,$J236),_xlpm.bal,N(_xlpm.alo)-_xlpm.usd,IFERROR(INDEX(_xlfn._xlws.FILTER(_xlpm.pos,(_xlpm.pos&lt;&gt;"")*(_xlpm.qty&gt;0)*(_xlpm.bal&gt;=_xlpm.qty)),1),"")))</f>
        <v/>
      </c>
      <c r="M236" s="290"/>
      <c r="AQ236" s="409"/>
      <c r="AR236" s="410"/>
      <c r="AS236" s="410"/>
      <c r="AT236" s="411"/>
      <c r="AU236" s="412"/>
      <c r="AV236" s="413"/>
      <c r="AW236" s="413"/>
      <c r="AX236" s="413"/>
      <c r="AY236" s="413"/>
      <c r="AZ236" s="413" t="str">
        <f t="shared" si="16"/>
        <v/>
      </c>
      <c r="BB236" s="409"/>
      <c r="BC236" s="410"/>
      <c r="BD236" s="410"/>
      <c r="BE236" s="411"/>
      <c r="BF236" s="412"/>
      <c r="BG236" s="413"/>
      <c r="BH236" s="413"/>
      <c r="BI236" s="413"/>
      <c r="BJ236" s="413"/>
      <c r="BK236" s="413" t="str">
        <f t="shared" si="17"/>
        <v/>
      </c>
    </row>
    <row r="237" spans="1:63" ht="23" x14ac:dyDescent="0.25">
      <c r="A237" s="217" t="str" cm="1">
        <f t="array" ref="A237">IFERROR(INDEX(_xlfn.ANCHORARRAY($R$6),ROW()-5,1),"")</f>
        <v/>
      </c>
      <c r="B237" s="289" t="str" cm="1">
        <f t="array" ref="B237">IFERROR(INDEX(_xlfn.ANCHORARRAY($R$6),ROW()-5,2),"")</f>
        <v/>
      </c>
      <c r="C237" s="218" t="str">
        <f>IF($A237="","",IF($K237="DIESEL",SUMIFS(Table1[Quantity],Table1[Customer],$P$3,Table1[Date],$A237,Table1[Bill No.],$B237),IF($K237="PETROL",SUMIFS(Table14[Quantity],Table14[Customer],$P$3,Table14[Date],$A237,Table14[Bill No.],$B237),IF($K237="XtraGreen",SUMIFS(Table146[Quantity],Table146[Company],$P$3,Table146[Date],$A237,Table146[Bill No.],$B237),""))))</f>
        <v/>
      </c>
      <c r="D237" s="223" t="str">
        <f>IF($A237="","",IF($K237="DIESEL",AVERAGEIFS(Table1[RSP],Table1[Customer],$P$3,Table1[Date],$A237,Table1[Bill No.],$B237),IF($K237="PETROL",AVERAGEIFS(Table14[RSP],Table14[Customer],$P$3,Table14[Date],$A237,Table14[Bill No.],$B237),IF($K237="XtraGreen",AVERAGEIFS(Table146[RSP],Table146[Company],$P$3,Table146[Date],$A237,Table146[Bill No.],$B237),IFERROR($E237/$C237,"")))))</f>
        <v/>
      </c>
      <c r="E237" s="330" t="str">
        <f>IF($A237="","",IF($K237="DIESEL",SUMIFS(Table1[Amount],Table1[Customer],$P$3,Table1[Date],$A237,Table1[Bill No.],$B237),IF($K237="PETROL",SUMIFS(Table14[Amount],Table14[Customer],$P$3,Table14[Date],$A237,Table14[Bill No.],$B237),IF($K237="XtraGreen",SUMIFS(Table146[Amount],Table146[Company],$P$3,Table146[Date],$A237,Table146[Bill No.],$B237),SUMIFS('Other Sale'!$D:$D,'Other Sale'!$E:$E,$P$3,'Other Sale'!$C:$C,$K237,'Other Sale'!$A:$A,$A237)))))</f>
        <v/>
      </c>
      <c r="F237" s="330" t="str" cm="1">
        <f t="array" ref="F237">IF($A237="","",IF($K237="Payment",IFERROR(INDEX(_xlfn._xlws.FILTER(MasterPaid[Amount Paid],(MasterPaid[Customer]=$P$3)*(MasterPaid[Date]=$A237)),COUNTIFS($A$6:$A237,$A237,$K$6:$K237,"Payment")),0),0))</f>
        <v/>
      </c>
      <c r="G237" s="331" t="s">
        <v>13</v>
      </c>
      <c r="H237" s="331"/>
      <c r="I237" s="330" t="str">
        <f t="shared" si="18"/>
        <v/>
      </c>
      <c r="J237" s="275"/>
      <c r="K237" s="289" t="str" cm="1">
        <f t="array" ref="K237">IFERROR(INDEX(_xlfn.ANCHORARRAY($R$6),ROW()-5,3),"")</f>
        <v/>
      </c>
      <c r="L237" s="430" t="str" cm="1">
        <f t="array" ref="L237">IF(OR($A237="",$J237="",$K237&lt;&gt;"DIESEL"),"",_xlfn.LET(_xlpm.qty,N($C237),_xlpm.pos,IF($J237="UNIT 1",$V$5:$V$54,$AC$5:$AC$54),_xlpm.alo,IF($J237="UNIT 1",$W$5:$W$54,$AD$5:$AD$54),_xlpm.usd,SUMIFS($C$6:$C236,$L$6:$L236,_xlpm.pos&amp;"",$J$6:$J236,$J237),_xlpm.bal,N(_xlpm.alo)-_xlpm.usd,IFERROR(INDEX(_xlfn._xlws.FILTER(_xlpm.pos,(_xlpm.pos&lt;&gt;"")*(_xlpm.qty&gt;0)*(_xlpm.bal&gt;=_xlpm.qty)),1),"")))</f>
        <v/>
      </c>
      <c r="M237" s="290"/>
      <c r="AQ237" s="409"/>
      <c r="AR237" s="410"/>
      <c r="AS237" s="410"/>
      <c r="AT237" s="411"/>
      <c r="AU237" s="412"/>
      <c r="AV237" s="413"/>
      <c r="AW237" s="413"/>
      <c r="AX237" s="413"/>
      <c r="AY237" s="413"/>
      <c r="AZ237" s="413" t="str">
        <f t="shared" si="16"/>
        <v/>
      </c>
      <c r="BB237" s="409"/>
      <c r="BC237" s="410"/>
      <c r="BD237" s="410"/>
      <c r="BE237" s="411"/>
      <c r="BF237" s="412"/>
      <c r="BG237" s="413"/>
      <c r="BH237" s="413"/>
      <c r="BI237" s="413"/>
      <c r="BJ237" s="413"/>
      <c r="BK237" s="413" t="str">
        <f t="shared" si="17"/>
        <v/>
      </c>
    </row>
    <row r="238" spans="1:63" ht="23" x14ac:dyDescent="0.25">
      <c r="A238" s="217" t="str" cm="1">
        <f t="array" ref="A238">IFERROR(INDEX(_xlfn.ANCHORARRAY($R$6),ROW()-5,1),"")</f>
        <v/>
      </c>
      <c r="B238" s="289" t="str" cm="1">
        <f t="array" ref="B238">IFERROR(INDEX(_xlfn.ANCHORARRAY($R$6),ROW()-5,2),"")</f>
        <v/>
      </c>
      <c r="C238" s="218" t="str">
        <f>IF($A238="","",IF($K238="DIESEL",SUMIFS(Table1[Quantity],Table1[Customer],$P$3,Table1[Date],$A238,Table1[Bill No.],$B238),IF($K238="PETROL",SUMIFS(Table14[Quantity],Table14[Customer],$P$3,Table14[Date],$A238,Table14[Bill No.],$B238),IF($K238="XtraGreen",SUMIFS(Table146[Quantity],Table146[Company],$P$3,Table146[Date],$A238,Table146[Bill No.],$B238),""))))</f>
        <v/>
      </c>
      <c r="D238" s="223" t="str">
        <f>IF($A238="","",IF($K238="DIESEL",AVERAGEIFS(Table1[RSP],Table1[Customer],$P$3,Table1[Date],$A238,Table1[Bill No.],$B238),IF($K238="PETROL",AVERAGEIFS(Table14[RSP],Table14[Customer],$P$3,Table14[Date],$A238,Table14[Bill No.],$B238),IF($K238="XtraGreen",AVERAGEIFS(Table146[RSP],Table146[Company],$P$3,Table146[Date],$A238,Table146[Bill No.],$B238),IFERROR($E238/$C238,"")))))</f>
        <v/>
      </c>
      <c r="E238" s="330" t="str">
        <f>IF($A238="","",IF($K238="DIESEL",SUMIFS(Table1[Amount],Table1[Customer],$P$3,Table1[Date],$A238,Table1[Bill No.],$B238),IF($K238="PETROL",SUMIFS(Table14[Amount],Table14[Customer],$P$3,Table14[Date],$A238,Table14[Bill No.],$B238),IF($K238="XtraGreen",SUMIFS(Table146[Amount],Table146[Company],$P$3,Table146[Date],$A238,Table146[Bill No.],$B238),SUMIFS('Other Sale'!$D:$D,'Other Sale'!$E:$E,$P$3,'Other Sale'!$C:$C,$K238,'Other Sale'!$A:$A,$A238)))))</f>
        <v/>
      </c>
      <c r="F238" s="330" t="str" cm="1">
        <f t="array" ref="F238">IF($A238="","",IF($K238="Payment",IFERROR(INDEX(_xlfn._xlws.FILTER(MasterPaid[Amount Paid],(MasterPaid[Customer]=$P$3)*(MasterPaid[Date]=$A238)),COUNTIFS($A$6:$A238,$A238,$K$6:$K238,"Payment")),0),0))</f>
        <v/>
      </c>
      <c r="G238" s="331" t="s">
        <v>13</v>
      </c>
      <c r="H238" s="331"/>
      <c r="I238" s="330" t="str">
        <f t="shared" si="18"/>
        <v/>
      </c>
      <c r="J238" s="275"/>
      <c r="K238" s="289" t="str" cm="1">
        <f t="array" ref="K238">IFERROR(INDEX(_xlfn.ANCHORARRAY($R$6),ROW()-5,3),"")</f>
        <v/>
      </c>
      <c r="L238" s="430" t="str" cm="1">
        <f t="array" ref="L238">IF(OR($A238="",$J238="",$K238&lt;&gt;"DIESEL"),"",_xlfn.LET(_xlpm.qty,N($C238),_xlpm.pos,IF($J238="UNIT 1",$V$5:$V$54,$AC$5:$AC$54),_xlpm.alo,IF($J238="UNIT 1",$W$5:$W$54,$AD$5:$AD$54),_xlpm.usd,SUMIFS($C$6:$C237,$L$6:$L237,_xlpm.pos&amp;"",$J$6:$J237,$J238),_xlpm.bal,N(_xlpm.alo)-_xlpm.usd,IFERROR(INDEX(_xlfn._xlws.FILTER(_xlpm.pos,(_xlpm.pos&lt;&gt;"")*(_xlpm.qty&gt;0)*(_xlpm.bal&gt;=_xlpm.qty)),1),"")))</f>
        <v/>
      </c>
      <c r="M238" s="290"/>
      <c r="AQ238" s="409"/>
      <c r="AR238" s="410"/>
      <c r="AS238" s="410"/>
      <c r="AT238" s="411"/>
      <c r="AU238" s="412"/>
      <c r="AV238" s="413"/>
      <c r="AW238" s="413"/>
      <c r="AX238" s="413"/>
      <c r="AY238" s="413"/>
      <c r="AZ238" s="413" t="str">
        <f t="shared" si="16"/>
        <v/>
      </c>
      <c r="BB238" s="409"/>
      <c r="BC238" s="410"/>
      <c r="BD238" s="410"/>
      <c r="BE238" s="411"/>
      <c r="BF238" s="412"/>
      <c r="BG238" s="413"/>
      <c r="BH238" s="413"/>
      <c r="BI238" s="413"/>
      <c r="BJ238" s="413"/>
      <c r="BK238" s="413" t="str">
        <f t="shared" si="17"/>
        <v/>
      </c>
    </row>
    <row r="239" spans="1:63" ht="23" x14ac:dyDescent="0.25">
      <c r="A239" s="217" t="str" cm="1">
        <f t="array" ref="A239">IFERROR(INDEX(_xlfn.ANCHORARRAY($R$6),ROW()-5,1),"")</f>
        <v/>
      </c>
      <c r="B239" s="289" t="str" cm="1">
        <f t="array" ref="B239">IFERROR(INDEX(_xlfn.ANCHORARRAY($R$6),ROW()-5,2),"")</f>
        <v/>
      </c>
      <c r="C239" s="218" t="str">
        <f>IF($A239="","",IF($K239="DIESEL",SUMIFS(Table1[Quantity],Table1[Customer],$P$3,Table1[Date],$A239,Table1[Bill No.],$B239),IF($K239="PETROL",SUMIFS(Table14[Quantity],Table14[Customer],$P$3,Table14[Date],$A239,Table14[Bill No.],$B239),IF($K239="XtraGreen",SUMIFS(Table146[Quantity],Table146[Company],$P$3,Table146[Date],$A239,Table146[Bill No.],$B239),""))))</f>
        <v/>
      </c>
      <c r="D239" s="223" t="str">
        <f>IF($A239="","",IF($K239="DIESEL",AVERAGEIFS(Table1[RSP],Table1[Customer],$P$3,Table1[Date],$A239,Table1[Bill No.],$B239),IF($K239="PETROL",AVERAGEIFS(Table14[RSP],Table14[Customer],$P$3,Table14[Date],$A239,Table14[Bill No.],$B239),IF($K239="XtraGreen",AVERAGEIFS(Table146[RSP],Table146[Company],$P$3,Table146[Date],$A239,Table146[Bill No.],$B239),IFERROR($E239/$C239,"")))))</f>
        <v/>
      </c>
      <c r="E239" s="330" t="str">
        <f>IF($A239="","",IF($K239="DIESEL",SUMIFS(Table1[Amount],Table1[Customer],$P$3,Table1[Date],$A239,Table1[Bill No.],$B239),IF($K239="PETROL",SUMIFS(Table14[Amount],Table14[Customer],$P$3,Table14[Date],$A239,Table14[Bill No.],$B239),IF($K239="XtraGreen",SUMIFS(Table146[Amount],Table146[Company],$P$3,Table146[Date],$A239,Table146[Bill No.],$B239),SUMIFS('Other Sale'!$D:$D,'Other Sale'!$E:$E,$P$3,'Other Sale'!$C:$C,$K239,'Other Sale'!$A:$A,$A239)))))</f>
        <v/>
      </c>
      <c r="F239" s="330" t="str" cm="1">
        <f t="array" ref="F239">IF($A239="","",IF($K239="Payment",IFERROR(INDEX(_xlfn._xlws.FILTER(MasterPaid[Amount Paid],(MasterPaid[Customer]=$P$3)*(MasterPaid[Date]=$A239)),COUNTIFS($A$6:$A239,$A239,$K$6:$K239,"Payment")),0),0))</f>
        <v/>
      </c>
      <c r="G239" s="331" t="s">
        <v>13</v>
      </c>
      <c r="H239" s="331"/>
      <c r="I239" s="330" t="str">
        <f t="shared" si="18"/>
        <v/>
      </c>
      <c r="J239" s="275"/>
      <c r="K239" s="289" t="str" cm="1">
        <f t="array" ref="K239">IFERROR(INDEX(_xlfn.ANCHORARRAY($R$6),ROW()-5,3),"")</f>
        <v/>
      </c>
      <c r="L239" s="430" t="str" cm="1">
        <f t="array" ref="L239">IF(OR($A239="",$J239="",$K239&lt;&gt;"DIESEL"),"",_xlfn.LET(_xlpm.qty,N($C239),_xlpm.pos,IF($J239="UNIT 1",$V$5:$V$54,$AC$5:$AC$54),_xlpm.alo,IF($J239="UNIT 1",$W$5:$W$54,$AD$5:$AD$54),_xlpm.usd,SUMIFS($C$6:$C238,$L$6:$L238,_xlpm.pos&amp;"",$J$6:$J238,$J239),_xlpm.bal,N(_xlpm.alo)-_xlpm.usd,IFERROR(INDEX(_xlfn._xlws.FILTER(_xlpm.pos,(_xlpm.pos&lt;&gt;"")*(_xlpm.qty&gt;0)*(_xlpm.bal&gt;=_xlpm.qty)),1),"")))</f>
        <v/>
      </c>
      <c r="M239" s="290"/>
      <c r="AQ239" s="409"/>
      <c r="AR239" s="410"/>
      <c r="AS239" s="410"/>
      <c r="AT239" s="411"/>
      <c r="AU239" s="412"/>
      <c r="AV239" s="413"/>
      <c r="AW239" s="413"/>
      <c r="AX239" s="413"/>
      <c r="AY239" s="413"/>
      <c r="AZ239" s="413" t="str">
        <f t="shared" si="16"/>
        <v/>
      </c>
      <c r="BB239" s="409"/>
      <c r="BC239" s="410"/>
      <c r="BD239" s="410"/>
      <c r="BE239" s="411"/>
      <c r="BF239" s="412"/>
      <c r="BG239" s="413"/>
      <c r="BH239" s="413"/>
      <c r="BI239" s="413"/>
      <c r="BJ239" s="413"/>
      <c r="BK239" s="413" t="str">
        <f t="shared" si="17"/>
        <v/>
      </c>
    </row>
    <row r="240" spans="1:63" ht="23" x14ac:dyDescent="0.25">
      <c r="A240" s="217" t="str" cm="1">
        <f t="array" ref="A240">IFERROR(INDEX(_xlfn.ANCHORARRAY($R$6),ROW()-5,1),"")</f>
        <v/>
      </c>
      <c r="B240" s="289" t="str" cm="1">
        <f t="array" ref="B240">IFERROR(INDEX(_xlfn.ANCHORARRAY($R$6),ROW()-5,2),"")</f>
        <v/>
      </c>
      <c r="C240" s="218" t="str">
        <f>IF($A240="","",IF($K240="DIESEL",SUMIFS(Table1[Quantity],Table1[Customer],$P$3,Table1[Date],$A240,Table1[Bill No.],$B240),IF($K240="PETROL",SUMIFS(Table14[Quantity],Table14[Customer],$P$3,Table14[Date],$A240,Table14[Bill No.],$B240),IF($K240="XtraGreen",SUMIFS(Table146[Quantity],Table146[Company],$P$3,Table146[Date],$A240,Table146[Bill No.],$B240),""))))</f>
        <v/>
      </c>
      <c r="D240" s="223" t="str">
        <f>IF($A240="","",IF($K240="DIESEL",AVERAGEIFS(Table1[RSP],Table1[Customer],$P$3,Table1[Date],$A240,Table1[Bill No.],$B240),IF($K240="PETROL",AVERAGEIFS(Table14[RSP],Table14[Customer],$P$3,Table14[Date],$A240,Table14[Bill No.],$B240),IF($K240="XtraGreen",AVERAGEIFS(Table146[RSP],Table146[Company],$P$3,Table146[Date],$A240,Table146[Bill No.],$B240),IFERROR($E240/$C240,"")))))</f>
        <v/>
      </c>
      <c r="E240" s="330" t="str">
        <f>IF($A240="","",IF($K240="DIESEL",SUMIFS(Table1[Amount],Table1[Customer],$P$3,Table1[Date],$A240,Table1[Bill No.],$B240),IF($K240="PETROL",SUMIFS(Table14[Amount],Table14[Customer],$P$3,Table14[Date],$A240,Table14[Bill No.],$B240),IF($K240="XtraGreen",SUMIFS(Table146[Amount],Table146[Company],$P$3,Table146[Date],$A240,Table146[Bill No.],$B240),SUMIFS('Other Sale'!$D:$D,'Other Sale'!$E:$E,$P$3,'Other Sale'!$C:$C,$K240,'Other Sale'!$A:$A,$A240)))))</f>
        <v/>
      </c>
      <c r="F240" s="330" t="str" cm="1">
        <f t="array" ref="F240">IF($A240="","",IF($K240="Payment",IFERROR(INDEX(_xlfn._xlws.FILTER(MasterPaid[Amount Paid],(MasterPaid[Customer]=$P$3)*(MasterPaid[Date]=$A240)),COUNTIFS($A$6:$A240,$A240,$K$6:$K240,"Payment")),0),0))</f>
        <v/>
      </c>
      <c r="G240" s="331" t="s">
        <v>13</v>
      </c>
      <c r="H240" s="331"/>
      <c r="I240" s="330" t="str">
        <f t="shared" si="18"/>
        <v/>
      </c>
      <c r="J240" s="275"/>
      <c r="K240" s="289" t="str" cm="1">
        <f t="array" ref="K240">IFERROR(INDEX(_xlfn.ANCHORARRAY($R$6),ROW()-5,3),"")</f>
        <v/>
      </c>
      <c r="L240" s="430" t="str" cm="1">
        <f t="array" ref="L240">IF(OR($A240="",$J240="",$K240&lt;&gt;"DIESEL"),"",_xlfn.LET(_xlpm.qty,N($C240),_xlpm.pos,IF($J240="UNIT 1",$V$5:$V$54,$AC$5:$AC$54),_xlpm.alo,IF($J240="UNIT 1",$W$5:$W$54,$AD$5:$AD$54),_xlpm.usd,SUMIFS($C$6:$C239,$L$6:$L239,_xlpm.pos&amp;"",$J$6:$J239,$J240),_xlpm.bal,N(_xlpm.alo)-_xlpm.usd,IFERROR(INDEX(_xlfn._xlws.FILTER(_xlpm.pos,(_xlpm.pos&lt;&gt;"")*(_xlpm.qty&gt;0)*(_xlpm.bal&gt;=_xlpm.qty)),1),"")))</f>
        <v/>
      </c>
      <c r="M240" s="290"/>
      <c r="AQ240" s="409"/>
      <c r="AR240" s="410"/>
      <c r="AS240" s="410"/>
      <c r="AT240" s="411"/>
      <c r="AU240" s="412"/>
      <c r="AV240" s="413"/>
      <c r="AW240" s="413"/>
      <c r="AX240" s="413"/>
      <c r="AY240" s="413"/>
      <c r="AZ240" s="413" t="str">
        <f t="shared" si="16"/>
        <v/>
      </c>
      <c r="BB240" s="409"/>
      <c r="BC240" s="410"/>
      <c r="BD240" s="410"/>
      <c r="BE240" s="411"/>
      <c r="BF240" s="412"/>
      <c r="BG240" s="413"/>
      <c r="BH240" s="413"/>
      <c r="BI240" s="413"/>
      <c r="BJ240" s="413"/>
      <c r="BK240" s="413" t="str">
        <f t="shared" si="17"/>
        <v/>
      </c>
    </row>
    <row r="241" spans="1:63" ht="23" x14ac:dyDescent="0.25">
      <c r="A241" s="217" t="str" cm="1">
        <f t="array" ref="A241">IFERROR(INDEX(_xlfn.ANCHORARRAY($R$6),ROW()-5,1),"")</f>
        <v/>
      </c>
      <c r="B241" s="289" t="str" cm="1">
        <f t="array" ref="B241">IFERROR(INDEX(_xlfn.ANCHORARRAY($R$6),ROW()-5,2),"")</f>
        <v/>
      </c>
      <c r="C241" s="218" t="str">
        <f>IF($A241="","",IF($K241="DIESEL",SUMIFS(Table1[Quantity],Table1[Customer],$P$3,Table1[Date],$A241,Table1[Bill No.],$B241),IF($K241="PETROL",SUMIFS(Table14[Quantity],Table14[Customer],$P$3,Table14[Date],$A241,Table14[Bill No.],$B241),IF($K241="XtraGreen",SUMIFS(Table146[Quantity],Table146[Company],$P$3,Table146[Date],$A241,Table146[Bill No.],$B241),""))))</f>
        <v/>
      </c>
      <c r="D241" s="223" t="str">
        <f>IF($A241="","",IF($K241="DIESEL",AVERAGEIFS(Table1[RSP],Table1[Customer],$P$3,Table1[Date],$A241,Table1[Bill No.],$B241),IF($K241="PETROL",AVERAGEIFS(Table14[RSP],Table14[Customer],$P$3,Table14[Date],$A241,Table14[Bill No.],$B241),IF($K241="XtraGreen",AVERAGEIFS(Table146[RSP],Table146[Company],$P$3,Table146[Date],$A241,Table146[Bill No.],$B241),IFERROR($E241/$C241,"")))))</f>
        <v/>
      </c>
      <c r="E241" s="330" t="str">
        <f>IF($A241="","",IF($K241="DIESEL",SUMIFS(Table1[Amount],Table1[Customer],$P$3,Table1[Date],$A241,Table1[Bill No.],$B241),IF($K241="PETROL",SUMIFS(Table14[Amount],Table14[Customer],$P$3,Table14[Date],$A241,Table14[Bill No.],$B241),IF($K241="XtraGreen",SUMIFS(Table146[Amount],Table146[Company],$P$3,Table146[Date],$A241,Table146[Bill No.],$B241),SUMIFS('Other Sale'!$D:$D,'Other Sale'!$E:$E,$P$3,'Other Sale'!$C:$C,$K241,'Other Sale'!$A:$A,$A241)))))</f>
        <v/>
      </c>
      <c r="F241" s="330" t="str" cm="1">
        <f t="array" ref="F241">IF($A241="","",IF($K241="Payment",IFERROR(INDEX(_xlfn._xlws.FILTER(MasterPaid[Amount Paid],(MasterPaid[Customer]=$P$3)*(MasterPaid[Date]=$A241)),COUNTIFS($A$6:$A241,$A241,$K$6:$K241,"Payment")),0),0))</f>
        <v/>
      </c>
      <c r="G241" s="331" t="s">
        <v>13</v>
      </c>
      <c r="H241" s="331"/>
      <c r="I241" s="330" t="str">
        <f t="shared" si="18"/>
        <v/>
      </c>
      <c r="J241" s="275"/>
      <c r="K241" s="289" t="str" cm="1">
        <f t="array" ref="K241">IFERROR(INDEX(_xlfn.ANCHORARRAY($R$6),ROW()-5,3),"")</f>
        <v/>
      </c>
      <c r="L241" s="430" t="str" cm="1">
        <f t="array" ref="L241">IF(OR($A241="",$J241="",$K241&lt;&gt;"DIESEL"),"",_xlfn.LET(_xlpm.qty,N($C241),_xlpm.pos,IF($J241="UNIT 1",$V$5:$V$54,$AC$5:$AC$54),_xlpm.alo,IF($J241="UNIT 1",$W$5:$W$54,$AD$5:$AD$54),_xlpm.usd,SUMIFS($C$6:$C240,$L$6:$L240,_xlpm.pos&amp;"",$J$6:$J240,$J241),_xlpm.bal,N(_xlpm.alo)-_xlpm.usd,IFERROR(INDEX(_xlfn._xlws.FILTER(_xlpm.pos,(_xlpm.pos&lt;&gt;"")*(_xlpm.qty&gt;0)*(_xlpm.bal&gt;=_xlpm.qty)),1),"")))</f>
        <v/>
      </c>
      <c r="M241" s="290"/>
      <c r="AQ241" s="409"/>
      <c r="AR241" s="410"/>
      <c r="AS241" s="410"/>
      <c r="AT241" s="411"/>
      <c r="AU241" s="412"/>
      <c r="AV241" s="413"/>
      <c r="AW241" s="413"/>
      <c r="AX241" s="413"/>
      <c r="AY241" s="413"/>
      <c r="AZ241" s="413" t="str">
        <f t="shared" si="16"/>
        <v/>
      </c>
      <c r="BB241" s="409"/>
      <c r="BC241" s="410"/>
      <c r="BD241" s="410"/>
      <c r="BE241" s="411"/>
      <c r="BF241" s="412"/>
      <c r="BG241" s="413"/>
      <c r="BH241" s="413"/>
      <c r="BI241" s="413"/>
      <c r="BJ241" s="413"/>
      <c r="BK241" s="413" t="str">
        <f t="shared" si="17"/>
        <v/>
      </c>
    </row>
    <row r="242" spans="1:63" ht="23" x14ac:dyDescent="0.25">
      <c r="A242" s="217" t="str" cm="1">
        <f t="array" ref="A242">IFERROR(INDEX(_xlfn.ANCHORARRAY($R$6),ROW()-5,1),"")</f>
        <v/>
      </c>
      <c r="B242" s="289" t="str" cm="1">
        <f t="array" ref="B242">IFERROR(INDEX(_xlfn.ANCHORARRAY($R$6),ROW()-5,2),"")</f>
        <v/>
      </c>
      <c r="C242" s="218" t="str">
        <f>IF($A242="","",IF($K242="DIESEL",SUMIFS(Table1[Quantity],Table1[Customer],$P$3,Table1[Date],$A242,Table1[Bill No.],$B242),IF($K242="PETROL",SUMIFS(Table14[Quantity],Table14[Customer],$P$3,Table14[Date],$A242,Table14[Bill No.],$B242),IF($K242="XtraGreen",SUMIFS(Table146[Quantity],Table146[Company],$P$3,Table146[Date],$A242,Table146[Bill No.],$B242),""))))</f>
        <v/>
      </c>
      <c r="D242" s="223" t="str">
        <f>IF($A242="","",IF($K242="DIESEL",AVERAGEIFS(Table1[RSP],Table1[Customer],$P$3,Table1[Date],$A242,Table1[Bill No.],$B242),IF($K242="PETROL",AVERAGEIFS(Table14[RSP],Table14[Customer],$P$3,Table14[Date],$A242,Table14[Bill No.],$B242),IF($K242="XtraGreen",AVERAGEIFS(Table146[RSP],Table146[Company],$P$3,Table146[Date],$A242,Table146[Bill No.],$B242),IFERROR($E242/$C242,"")))))</f>
        <v/>
      </c>
      <c r="E242" s="330" t="str">
        <f>IF($A242="","",IF($K242="DIESEL",SUMIFS(Table1[Amount],Table1[Customer],$P$3,Table1[Date],$A242,Table1[Bill No.],$B242),IF($K242="PETROL",SUMIFS(Table14[Amount],Table14[Customer],$P$3,Table14[Date],$A242,Table14[Bill No.],$B242),IF($K242="XtraGreen",SUMIFS(Table146[Amount],Table146[Company],$P$3,Table146[Date],$A242,Table146[Bill No.],$B242),SUMIFS('Other Sale'!$D:$D,'Other Sale'!$E:$E,$P$3,'Other Sale'!$C:$C,$K242,'Other Sale'!$A:$A,$A242)))))</f>
        <v/>
      </c>
      <c r="F242" s="330" t="str" cm="1">
        <f t="array" ref="F242">IF($A242="","",IF($K242="Payment",IFERROR(INDEX(_xlfn._xlws.FILTER(MasterPaid[Amount Paid],(MasterPaid[Customer]=$P$3)*(MasterPaid[Date]=$A242)),COUNTIFS($A$6:$A242,$A242,$K$6:$K242,"Payment")),0),0))</f>
        <v/>
      </c>
      <c r="G242" s="331" t="s">
        <v>13</v>
      </c>
      <c r="H242" s="331"/>
      <c r="I242" s="330" t="str">
        <f t="shared" si="18"/>
        <v/>
      </c>
      <c r="J242" s="275"/>
      <c r="K242" s="289" t="str" cm="1">
        <f t="array" ref="K242">IFERROR(INDEX(_xlfn.ANCHORARRAY($R$6),ROW()-5,3),"")</f>
        <v/>
      </c>
      <c r="L242" s="430" t="str" cm="1">
        <f t="array" ref="L242">IF(OR($A242="",$J242="",$K242&lt;&gt;"DIESEL"),"",_xlfn.LET(_xlpm.qty,N($C242),_xlpm.pos,IF($J242="UNIT 1",$V$5:$V$54,$AC$5:$AC$54),_xlpm.alo,IF($J242="UNIT 1",$W$5:$W$54,$AD$5:$AD$54),_xlpm.usd,SUMIFS($C$6:$C241,$L$6:$L241,_xlpm.pos&amp;"",$J$6:$J241,$J242),_xlpm.bal,N(_xlpm.alo)-_xlpm.usd,IFERROR(INDEX(_xlfn._xlws.FILTER(_xlpm.pos,(_xlpm.pos&lt;&gt;"")*(_xlpm.qty&gt;0)*(_xlpm.bal&gt;=_xlpm.qty)),1),"")))</f>
        <v/>
      </c>
      <c r="M242" s="290"/>
      <c r="AQ242" s="409"/>
      <c r="AR242" s="410"/>
      <c r="AS242" s="410"/>
      <c r="AT242" s="411"/>
      <c r="AU242" s="412"/>
      <c r="AV242" s="413"/>
      <c r="AW242" s="413"/>
      <c r="AX242" s="413"/>
      <c r="AY242" s="413"/>
      <c r="AZ242" s="413" t="str">
        <f t="shared" si="16"/>
        <v/>
      </c>
      <c r="BB242" s="409"/>
      <c r="BC242" s="410"/>
      <c r="BD242" s="410"/>
      <c r="BE242" s="411"/>
      <c r="BF242" s="412"/>
      <c r="BG242" s="413"/>
      <c r="BH242" s="413"/>
      <c r="BI242" s="413"/>
      <c r="BJ242" s="413"/>
      <c r="BK242" s="413" t="str">
        <f t="shared" si="17"/>
        <v/>
      </c>
    </row>
    <row r="243" spans="1:63" ht="23" x14ac:dyDescent="0.25">
      <c r="A243" s="217" t="str" cm="1">
        <f t="array" ref="A243">IFERROR(INDEX(_xlfn.ANCHORARRAY($R$6),ROW()-5,1),"")</f>
        <v/>
      </c>
      <c r="B243" s="289" t="str" cm="1">
        <f t="array" ref="B243">IFERROR(INDEX(_xlfn.ANCHORARRAY($R$6),ROW()-5,2),"")</f>
        <v/>
      </c>
      <c r="C243" s="218" t="str">
        <f>IF($A243="","",IF($K243="DIESEL",SUMIFS(Table1[Quantity],Table1[Customer],$P$3,Table1[Date],$A243,Table1[Bill No.],$B243),IF($K243="PETROL",SUMIFS(Table14[Quantity],Table14[Customer],$P$3,Table14[Date],$A243,Table14[Bill No.],$B243),IF($K243="XtraGreen",SUMIFS(Table146[Quantity],Table146[Company],$P$3,Table146[Date],$A243,Table146[Bill No.],$B243),""))))</f>
        <v/>
      </c>
      <c r="D243" s="223" t="str">
        <f>IF($A243="","",IF($K243="DIESEL",AVERAGEIFS(Table1[RSP],Table1[Customer],$P$3,Table1[Date],$A243,Table1[Bill No.],$B243),IF($K243="PETROL",AVERAGEIFS(Table14[RSP],Table14[Customer],$P$3,Table14[Date],$A243,Table14[Bill No.],$B243),IF($K243="XtraGreen",AVERAGEIFS(Table146[RSP],Table146[Company],$P$3,Table146[Date],$A243,Table146[Bill No.],$B243),IFERROR($E243/$C243,"")))))</f>
        <v/>
      </c>
      <c r="E243" s="330" t="str">
        <f>IF($A243="","",IF($K243="DIESEL",SUMIFS(Table1[Amount],Table1[Customer],$P$3,Table1[Date],$A243,Table1[Bill No.],$B243),IF($K243="PETROL",SUMIFS(Table14[Amount],Table14[Customer],$P$3,Table14[Date],$A243,Table14[Bill No.],$B243),IF($K243="XtraGreen",SUMIFS(Table146[Amount],Table146[Company],$P$3,Table146[Date],$A243,Table146[Bill No.],$B243),SUMIFS('Other Sale'!$D:$D,'Other Sale'!$E:$E,$P$3,'Other Sale'!$C:$C,$K243,'Other Sale'!$A:$A,$A243)))))</f>
        <v/>
      </c>
      <c r="F243" s="330" t="str" cm="1">
        <f t="array" ref="F243">IF($A243="","",IF($K243="Payment",IFERROR(INDEX(_xlfn._xlws.FILTER(MasterPaid[Amount Paid],(MasterPaid[Customer]=$P$3)*(MasterPaid[Date]=$A243)),COUNTIFS($A$6:$A243,$A243,$K$6:$K243,"Payment")),0),0))</f>
        <v/>
      </c>
      <c r="G243" s="331" t="s">
        <v>13</v>
      </c>
      <c r="H243" s="331"/>
      <c r="I243" s="330" t="str">
        <f t="shared" si="18"/>
        <v/>
      </c>
      <c r="J243" s="275"/>
      <c r="K243" s="289" t="str" cm="1">
        <f t="array" ref="K243">IFERROR(INDEX(_xlfn.ANCHORARRAY($R$6),ROW()-5,3),"")</f>
        <v/>
      </c>
      <c r="L243" s="430" t="str" cm="1">
        <f t="array" ref="L243">IF(OR($A243="",$J243="",$K243&lt;&gt;"DIESEL"),"",_xlfn.LET(_xlpm.qty,N($C243),_xlpm.pos,IF($J243="UNIT 1",$V$5:$V$54,$AC$5:$AC$54),_xlpm.alo,IF($J243="UNIT 1",$W$5:$W$54,$AD$5:$AD$54),_xlpm.usd,SUMIFS($C$6:$C242,$L$6:$L242,_xlpm.pos&amp;"",$J$6:$J242,$J243),_xlpm.bal,N(_xlpm.alo)-_xlpm.usd,IFERROR(INDEX(_xlfn._xlws.FILTER(_xlpm.pos,(_xlpm.pos&lt;&gt;"")*(_xlpm.qty&gt;0)*(_xlpm.bal&gt;=_xlpm.qty)),1),"")))</f>
        <v/>
      </c>
      <c r="M243" s="290"/>
      <c r="AQ243" s="409"/>
      <c r="AR243" s="410"/>
      <c r="AS243" s="410"/>
      <c r="AT243" s="411"/>
      <c r="AU243" s="412"/>
      <c r="AV243" s="413"/>
      <c r="AW243" s="413"/>
      <c r="AX243" s="413"/>
      <c r="AY243" s="413"/>
      <c r="AZ243" s="413" t="str">
        <f t="shared" si="16"/>
        <v/>
      </c>
      <c r="BB243" s="409"/>
      <c r="BC243" s="410"/>
      <c r="BD243" s="410"/>
      <c r="BE243" s="411"/>
      <c r="BF243" s="412"/>
      <c r="BG243" s="413"/>
      <c r="BH243" s="413"/>
      <c r="BI243" s="413"/>
      <c r="BJ243" s="413"/>
      <c r="BK243" s="413" t="str">
        <f t="shared" si="17"/>
        <v/>
      </c>
    </row>
    <row r="244" spans="1:63" ht="23" x14ac:dyDescent="0.25">
      <c r="A244" s="217" t="str" cm="1">
        <f t="array" ref="A244">IFERROR(INDEX(_xlfn.ANCHORARRAY($R$6),ROW()-5,1),"")</f>
        <v/>
      </c>
      <c r="B244" s="289" t="str" cm="1">
        <f t="array" ref="B244">IFERROR(INDEX(_xlfn.ANCHORARRAY($R$6),ROW()-5,2),"")</f>
        <v/>
      </c>
      <c r="C244" s="218" t="str">
        <f>IF($A244="","",IF($K244="DIESEL",SUMIFS(Table1[Quantity],Table1[Customer],$P$3,Table1[Date],$A244,Table1[Bill No.],$B244),IF($K244="PETROL",SUMIFS(Table14[Quantity],Table14[Customer],$P$3,Table14[Date],$A244,Table14[Bill No.],$B244),IF($K244="XtraGreen",SUMIFS(Table146[Quantity],Table146[Company],$P$3,Table146[Date],$A244,Table146[Bill No.],$B244),""))))</f>
        <v/>
      </c>
      <c r="D244" s="223" t="str">
        <f>IF($A244="","",IF($K244="DIESEL",AVERAGEIFS(Table1[RSP],Table1[Customer],$P$3,Table1[Date],$A244,Table1[Bill No.],$B244),IF($K244="PETROL",AVERAGEIFS(Table14[RSP],Table14[Customer],$P$3,Table14[Date],$A244,Table14[Bill No.],$B244),IF($K244="XtraGreen",AVERAGEIFS(Table146[RSP],Table146[Company],$P$3,Table146[Date],$A244,Table146[Bill No.],$B244),IFERROR($E244/$C244,"")))))</f>
        <v/>
      </c>
      <c r="E244" s="330" t="str">
        <f>IF($A244="","",IF($K244="DIESEL",SUMIFS(Table1[Amount],Table1[Customer],$P$3,Table1[Date],$A244,Table1[Bill No.],$B244),IF($K244="PETROL",SUMIFS(Table14[Amount],Table14[Customer],$P$3,Table14[Date],$A244,Table14[Bill No.],$B244),IF($K244="XtraGreen",SUMIFS(Table146[Amount],Table146[Company],$P$3,Table146[Date],$A244,Table146[Bill No.],$B244),SUMIFS('Other Sale'!$D:$D,'Other Sale'!$E:$E,$P$3,'Other Sale'!$C:$C,$K244,'Other Sale'!$A:$A,$A244)))))</f>
        <v/>
      </c>
      <c r="F244" s="330" t="str" cm="1">
        <f t="array" ref="F244">IF($A244="","",IF($K244="Payment",IFERROR(INDEX(_xlfn._xlws.FILTER(MasterPaid[Amount Paid],(MasterPaid[Customer]=$P$3)*(MasterPaid[Date]=$A244)),COUNTIFS($A$6:$A244,$A244,$K$6:$K244,"Payment")),0),0))</f>
        <v/>
      </c>
      <c r="G244" s="331" t="s">
        <v>13</v>
      </c>
      <c r="H244" s="331"/>
      <c r="I244" s="330" t="str">
        <f t="shared" si="18"/>
        <v/>
      </c>
      <c r="J244" s="275"/>
      <c r="K244" s="289" t="str" cm="1">
        <f t="array" ref="K244">IFERROR(INDEX(_xlfn.ANCHORARRAY($R$6),ROW()-5,3),"")</f>
        <v/>
      </c>
      <c r="L244" s="430" t="str" cm="1">
        <f t="array" ref="L244">IF(OR($A244="",$J244="",$K244&lt;&gt;"DIESEL"),"",_xlfn.LET(_xlpm.qty,N($C244),_xlpm.pos,IF($J244="UNIT 1",$V$5:$V$54,$AC$5:$AC$54),_xlpm.alo,IF($J244="UNIT 1",$W$5:$W$54,$AD$5:$AD$54),_xlpm.usd,SUMIFS($C$6:$C243,$L$6:$L243,_xlpm.pos&amp;"",$J$6:$J243,$J244),_xlpm.bal,N(_xlpm.alo)-_xlpm.usd,IFERROR(INDEX(_xlfn._xlws.FILTER(_xlpm.pos,(_xlpm.pos&lt;&gt;"")*(_xlpm.qty&gt;0)*(_xlpm.bal&gt;=_xlpm.qty)),1),"")))</f>
        <v/>
      </c>
      <c r="M244" s="290"/>
      <c r="AQ244" s="409"/>
      <c r="AR244" s="410"/>
      <c r="AS244" s="410"/>
      <c r="AT244" s="411"/>
      <c r="AU244" s="412"/>
      <c r="AV244" s="413"/>
      <c r="AW244" s="413"/>
      <c r="AX244" s="413"/>
      <c r="AY244" s="413"/>
      <c r="AZ244" s="413" t="str">
        <f t="shared" si="16"/>
        <v/>
      </c>
      <c r="BB244" s="409"/>
      <c r="BC244" s="410"/>
      <c r="BD244" s="410"/>
      <c r="BE244" s="411"/>
      <c r="BF244" s="412"/>
      <c r="BG244" s="413"/>
      <c r="BH244" s="413"/>
      <c r="BI244" s="413"/>
      <c r="BJ244" s="413"/>
      <c r="BK244" s="413" t="str">
        <f t="shared" si="17"/>
        <v/>
      </c>
    </row>
    <row r="245" spans="1:63" ht="23" x14ac:dyDescent="0.25">
      <c r="A245" s="217" t="str" cm="1">
        <f t="array" ref="A245">IFERROR(INDEX(_xlfn.ANCHORARRAY($R$6),ROW()-5,1),"")</f>
        <v/>
      </c>
      <c r="B245" s="289" t="str" cm="1">
        <f t="array" ref="B245">IFERROR(INDEX(_xlfn.ANCHORARRAY($R$6),ROW()-5,2),"")</f>
        <v/>
      </c>
      <c r="C245" s="218" t="str">
        <f>IF($A245="","",IF($K245="DIESEL",SUMIFS(Table1[Quantity],Table1[Customer],$P$3,Table1[Date],$A245,Table1[Bill No.],$B245),IF($K245="PETROL",SUMIFS(Table14[Quantity],Table14[Customer],$P$3,Table14[Date],$A245,Table14[Bill No.],$B245),IF($K245="XtraGreen",SUMIFS(Table146[Quantity],Table146[Company],$P$3,Table146[Date],$A245,Table146[Bill No.],$B245),""))))</f>
        <v/>
      </c>
      <c r="D245" s="223" t="str">
        <f>IF($A245="","",IF($K245="DIESEL",AVERAGEIFS(Table1[RSP],Table1[Customer],$P$3,Table1[Date],$A245,Table1[Bill No.],$B245),IF($K245="PETROL",AVERAGEIFS(Table14[RSP],Table14[Customer],$P$3,Table14[Date],$A245,Table14[Bill No.],$B245),IF($K245="XtraGreen",AVERAGEIFS(Table146[RSP],Table146[Company],$P$3,Table146[Date],$A245,Table146[Bill No.],$B245),IFERROR($E245/$C245,"")))))</f>
        <v/>
      </c>
      <c r="E245" s="330" t="str">
        <f>IF($A245="","",IF($K245="DIESEL",SUMIFS(Table1[Amount],Table1[Customer],$P$3,Table1[Date],$A245,Table1[Bill No.],$B245),IF($K245="PETROL",SUMIFS(Table14[Amount],Table14[Customer],$P$3,Table14[Date],$A245,Table14[Bill No.],$B245),IF($K245="XtraGreen",SUMIFS(Table146[Amount],Table146[Company],$P$3,Table146[Date],$A245,Table146[Bill No.],$B245),SUMIFS('Other Sale'!$D:$D,'Other Sale'!$E:$E,$P$3,'Other Sale'!$C:$C,$K245,'Other Sale'!$A:$A,$A245)))))</f>
        <v/>
      </c>
      <c r="F245" s="330" t="str" cm="1">
        <f t="array" ref="F245">IF($A245="","",IF($K245="Payment",IFERROR(INDEX(_xlfn._xlws.FILTER(MasterPaid[Amount Paid],(MasterPaid[Customer]=$P$3)*(MasterPaid[Date]=$A245)),COUNTIFS($A$6:$A245,$A245,$K$6:$K245,"Payment")),0),0))</f>
        <v/>
      </c>
      <c r="G245" s="331" t="s">
        <v>13</v>
      </c>
      <c r="H245" s="331"/>
      <c r="I245" s="330" t="str">
        <f t="shared" si="18"/>
        <v/>
      </c>
      <c r="J245" s="275"/>
      <c r="K245" s="289" t="str" cm="1">
        <f t="array" ref="K245">IFERROR(INDEX(_xlfn.ANCHORARRAY($R$6),ROW()-5,3),"")</f>
        <v/>
      </c>
      <c r="L245" s="430" t="str" cm="1">
        <f t="array" ref="L245">IF(OR($A245="",$J245="",$K245&lt;&gt;"DIESEL"),"",_xlfn.LET(_xlpm.qty,N($C245),_xlpm.pos,IF($J245="UNIT 1",$V$5:$V$54,$AC$5:$AC$54),_xlpm.alo,IF($J245="UNIT 1",$W$5:$W$54,$AD$5:$AD$54),_xlpm.usd,SUMIFS($C$6:$C244,$L$6:$L244,_xlpm.pos&amp;"",$J$6:$J244,$J245),_xlpm.bal,N(_xlpm.alo)-_xlpm.usd,IFERROR(INDEX(_xlfn._xlws.FILTER(_xlpm.pos,(_xlpm.pos&lt;&gt;"")*(_xlpm.qty&gt;0)*(_xlpm.bal&gt;=_xlpm.qty)),1),"")))</f>
        <v/>
      </c>
      <c r="M245" s="290"/>
      <c r="AQ245" s="409"/>
      <c r="AR245" s="410"/>
      <c r="AS245" s="410"/>
      <c r="AT245" s="411"/>
      <c r="AU245" s="412"/>
      <c r="AV245" s="413"/>
      <c r="AW245" s="413"/>
      <c r="AX245" s="413"/>
      <c r="AY245" s="413"/>
      <c r="AZ245" s="413" t="str">
        <f t="shared" si="16"/>
        <v/>
      </c>
      <c r="BB245" s="409"/>
      <c r="BC245" s="410"/>
      <c r="BD245" s="410"/>
      <c r="BE245" s="411"/>
      <c r="BF245" s="412"/>
      <c r="BG245" s="413"/>
      <c r="BH245" s="413"/>
      <c r="BI245" s="413"/>
      <c r="BJ245" s="413"/>
      <c r="BK245" s="413" t="str">
        <f t="shared" si="17"/>
        <v/>
      </c>
    </row>
    <row r="246" spans="1:63" ht="23" x14ac:dyDescent="0.25">
      <c r="A246" s="217" t="str" cm="1">
        <f t="array" ref="A246">IFERROR(INDEX(_xlfn.ANCHORARRAY($R$6),ROW()-5,1),"")</f>
        <v/>
      </c>
      <c r="B246" s="289" t="str" cm="1">
        <f t="array" ref="B246">IFERROR(INDEX(_xlfn.ANCHORARRAY($R$6),ROW()-5,2),"")</f>
        <v/>
      </c>
      <c r="C246" s="218" t="str">
        <f>IF($A246="","",IF($K246="DIESEL",SUMIFS(Table1[Quantity],Table1[Customer],$P$3,Table1[Date],$A246,Table1[Bill No.],$B246),IF($K246="PETROL",SUMIFS(Table14[Quantity],Table14[Customer],$P$3,Table14[Date],$A246,Table14[Bill No.],$B246),IF($K246="XtraGreen",SUMIFS(Table146[Quantity],Table146[Company],$P$3,Table146[Date],$A246,Table146[Bill No.],$B246),""))))</f>
        <v/>
      </c>
      <c r="D246" s="223" t="str">
        <f>IF($A246="","",IF($K246="DIESEL",AVERAGEIFS(Table1[RSP],Table1[Customer],$P$3,Table1[Date],$A246,Table1[Bill No.],$B246),IF($K246="PETROL",AVERAGEIFS(Table14[RSP],Table14[Customer],$P$3,Table14[Date],$A246,Table14[Bill No.],$B246),IF($K246="XtraGreen",AVERAGEIFS(Table146[RSP],Table146[Company],$P$3,Table146[Date],$A246,Table146[Bill No.],$B246),IFERROR($E246/$C246,"")))))</f>
        <v/>
      </c>
      <c r="E246" s="330" t="str">
        <f>IF($A246="","",IF($K246="DIESEL",SUMIFS(Table1[Amount],Table1[Customer],$P$3,Table1[Date],$A246,Table1[Bill No.],$B246),IF($K246="PETROL",SUMIFS(Table14[Amount],Table14[Customer],$P$3,Table14[Date],$A246,Table14[Bill No.],$B246),IF($K246="XtraGreen",SUMIFS(Table146[Amount],Table146[Company],$P$3,Table146[Date],$A246,Table146[Bill No.],$B246),SUMIFS('Other Sale'!$D:$D,'Other Sale'!$E:$E,$P$3,'Other Sale'!$C:$C,$K246,'Other Sale'!$A:$A,$A246)))))</f>
        <v/>
      </c>
      <c r="F246" s="330" t="str" cm="1">
        <f t="array" ref="F246">IF($A246="","",IF($K246="Payment",IFERROR(INDEX(_xlfn._xlws.FILTER(MasterPaid[Amount Paid],(MasterPaid[Customer]=$P$3)*(MasterPaid[Date]=$A246)),COUNTIFS($A$6:$A246,$A246,$K$6:$K246,"Payment")),0),0))</f>
        <v/>
      </c>
      <c r="G246" s="331" t="s">
        <v>13</v>
      </c>
      <c r="H246" s="331"/>
      <c r="I246" s="330" t="str">
        <f t="shared" si="18"/>
        <v/>
      </c>
      <c r="J246" s="275"/>
      <c r="K246" s="289" t="str" cm="1">
        <f t="array" ref="K246">IFERROR(INDEX(_xlfn.ANCHORARRAY($R$6),ROW()-5,3),"")</f>
        <v/>
      </c>
      <c r="L246" s="430" t="str" cm="1">
        <f t="array" ref="L246">IF(OR($A246="",$J246="",$K246&lt;&gt;"DIESEL"),"",_xlfn.LET(_xlpm.qty,N($C246),_xlpm.pos,IF($J246="UNIT 1",$V$5:$V$54,$AC$5:$AC$54),_xlpm.alo,IF($J246="UNIT 1",$W$5:$W$54,$AD$5:$AD$54),_xlpm.usd,SUMIFS($C$6:$C245,$L$6:$L245,_xlpm.pos&amp;"",$J$6:$J245,$J246),_xlpm.bal,N(_xlpm.alo)-_xlpm.usd,IFERROR(INDEX(_xlfn._xlws.FILTER(_xlpm.pos,(_xlpm.pos&lt;&gt;"")*(_xlpm.qty&gt;0)*(_xlpm.bal&gt;=_xlpm.qty)),1),"")))</f>
        <v/>
      </c>
      <c r="M246" s="290"/>
      <c r="AQ246" s="409"/>
      <c r="AR246" s="410"/>
      <c r="AS246" s="410"/>
      <c r="AT246" s="411"/>
      <c r="AU246" s="412"/>
      <c r="AV246" s="413"/>
      <c r="AW246" s="413"/>
      <c r="AX246" s="413"/>
      <c r="AY246" s="413"/>
      <c r="AZ246" s="413" t="str">
        <f t="shared" si="16"/>
        <v/>
      </c>
      <c r="BB246" s="409"/>
      <c r="BC246" s="410"/>
      <c r="BD246" s="410"/>
      <c r="BE246" s="411"/>
      <c r="BF246" s="412"/>
      <c r="BG246" s="413"/>
      <c r="BH246" s="413"/>
      <c r="BI246" s="413"/>
      <c r="BJ246" s="413"/>
      <c r="BK246" s="413" t="str">
        <f t="shared" si="17"/>
        <v/>
      </c>
    </row>
    <row r="247" spans="1:63" ht="23" x14ac:dyDescent="0.25">
      <c r="A247" s="217" t="str" cm="1">
        <f t="array" ref="A247">IFERROR(INDEX(_xlfn.ANCHORARRAY($R$6),ROW()-5,1),"")</f>
        <v/>
      </c>
      <c r="B247" s="289" t="str" cm="1">
        <f t="array" ref="B247">IFERROR(INDEX(_xlfn.ANCHORARRAY($R$6),ROW()-5,2),"")</f>
        <v/>
      </c>
      <c r="C247" s="218" t="str">
        <f>IF($A247="","",IF($K247="DIESEL",SUMIFS(Table1[Quantity],Table1[Customer],$P$3,Table1[Date],$A247,Table1[Bill No.],$B247),IF($K247="PETROL",SUMIFS(Table14[Quantity],Table14[Customer],$P$3,Table14[Date],$A247,Table14[Bill No.],$B247),IF($K247="XtraGreen",SUMIFS(Table146[Quantity],Table146[Company],$P$3,Table146[Date],$A247,Table146[Bill No.],$B247),""))))</f>
        <v/>
      </c>
      <c r="D247" s="223" t="str">
        <f>IF($A247="","",IF($K247="DIESEL",AVERAGEIFS(Table1[RSP],Table1[Customer],$P$3,Table1[Date],$A247,Table1[Bill No.],$B247),IF($K247="PETROL",AVERAGEIFS(Table14[RSP],Table14[Customer],$P$3,Table14[Date],$A247,Table14[Bill No.],$B247),IF($K247="XtraGreen",AVERAGEIFS(Table146[RSP],Table146[Company],$P$3,Table146[Date],$A247,Table146[Bill No.],$B247),IFERROR($E247/$C247,"")))))</f>
        <v/>
      </c>
      <c r="E247" s="330" t="str">
        <f>IF($A247="","",IF($K247="DIESEL",SUMIFS(Table1[Amount],Table1[Customer],$P$3,Table1[Date],$A247,Table1[Bill No.],$B247),IF($K247="PETROL",SUMIFS(Table14[Amount],Table14[Customer],$P$3,Table14[Date],$A247,Table14[Bill No.],$B247),IF($K247="XtraGreen",SUMIFS(Table146[Amount],Table146[Company],$P$3,Table146[Date],$A247,Table146[Bill No.],$B247),SUMIFS('Other Sale'!$D:$D,'Other Sale'!$E:$E,$P$3,'Other Sale'!$C:$C,$K247,'Other Sale'!$A:$A,$A247)))))</f>
        <v/>
      </c>
      <c r="F247" s="330" t="str" cm="1">
        <f t="array" ref="F247">IF($A247="","",IF($K247="Payment",IFERROR(INDEX(_xlfn._xlws.FILTER(MasterPaid[Amount Paid],(MasterPaid[Customer]=$P$3)*(MasterPaid[Date]=$A247)),COUNTIFS($A$6:$A247,$A247,$K$6:$K247,"Payment")),0),0))</f>
        <v/>
      </c>
      <c r="G247" s="331" t="s">
        <v>13</v>
      </c>
      <c r="H247" s="331"/>
      <c r="I247" s="330" t="str">
        <f t="shared" si="18"/>
        <v/>
      </c>
      <c r="J247" s="275"/>
      <c r="K247" s="289" t="str" cm="1">
        <f t="array" ref="K247">IFERROR(INDEX(_xlfn.ANCHORARRAY($R$6),ROW()-5,3),"")</f>
        <v/>
      </c>
      <c r="L247" s="430" t="str" cm="1">
        <f t="array" ref="L247">IF(OR($A247="",$J247="",$K247&lt;&gt;"DIESEL"),"",_xlfn.LET(_xlpm.qty,N($C247),_xlpm.pos,IF($J247="UNIT 1",$V$5:$V$54,$AC$5:$AC$54),_xlpm.alo,IF($J247="UNIT 1",$W$5:$W$54,$AD$5:$AD$54),_xlpm.usd,SUMIFS($C$6:$C246,$L$6:$L246,_xlpm.pos&amp;"",$J$6:$J246,$J247),_xlpm.bal,N(_xlpm.alo)-_xlpm.usd,IFERROR(INDEX(_xlfn._xlws.FILTER(_xlpm.pos,(_xlpm.pos&lt;&gt;"")*(_xlpm.qty&gt;0)*(_xlpm.bal&gt;=_xlpm.qty)),1),"")))</f>
        <v/>
      </c>
      <c r="M247" s="290"/>
      <c r="AQ247" s="409"/>
      <c r="AR247" s="410"/>
      <c r="AS247" s="410"/>
      <c r="AT247" s="411"/>
      <c r="AU247" s="412"/>
      <c r="AV247" s="413"/>
      <c r="AW247" s="413"/>
      <c r="AX247" s="413"/>
      <c r="AY247" s="413"/>
      <c r="AZ247" s="413" t="str">
        <f t="shared" si="16"/>
        <v/>
      </c>
      <c r="BB247" s="409"/>
      <c r="BC247" s="410"/>
      <c r="BD247" s="410"/>
      <c r="BE247" s="411"/>
      <c r="BF247" s="412"/>
      <c r="BG247" s="413"/>
      <c r="BH247" s="413"/>
      <c r="BI247" s="413"/>
      <c r="BJ247" s="413"/>
      <c r="BK247" s="413" t="str">
        <f t="shared" si="17"/>
        <v/>
      </c>
    </row>
    <row r="248" spans="1:63" ht="23" x14ac:dyDescent="0.25">
      <c r="A248" s="217" t="str" cm="1">
        <f t="array" ref="A248">IFERROR(INDEX(_xlfn.ANCHORARRAY($R$6),ROW()-5,1),"")</f>
        <v/>
      </c>
      <c r="B248" s="289" t="str" cm="1">
        <f t="array" ref="B248">IFERROR(INDEX(_xlfn.ANCHORARRAY($R$6),ROW()-5,2),"")</f>
        <v/>
      </c>
      <c r="C248" s="218" t="str">
        <f>IF($A248="","",IF($K248="DIESEL",SUMIFS(Table1[Quantity],Table1[Customer],$P$3,Table1[Date],$A248,Table1[Bill No.],$B248),IF($K248="PETROL",SUMIFS(Table14[Quantity],Table14[Customer],$P$3,Table14[Date],$A248,Table14[Bill No.],$B248),IF($K248="XtraGreen",SUMIFS(Table146[Quantity],Table146[Company],$P$3,Table146[Date],$A248,Table146[Bill No.],$B248),""))))</f>
        <v/>
      </c>
      <c r="D248" s="223" t="str">
        <f>IF($A248="","",IF($K248="DIESEL",AVERAGEIFS(Table1[RSP],Table1[Customer],$P$3,Table1[Date],$A248,Table1[Bill No.],$B248),IF($K248="PETROL",AVERAGEIFS(Table14[RSP],Table14[Customer],$P$3,Table14[Date],$A248,Table14[Bill No.],$B248),IF($K248="XtraGreen",AVERAGEIFS(Table146[RSP],Table146[Company],$P$3,Table146[Date],$A248,Table146[Bill No.],$B248),IFERROR($E248/$C248,"")))))</f>
        <v/>
      </c>
      <c r="E248" s="330" t="str">
        <f>IF($A248="","",IF($K248="DIESEL",SUMIFS(Table1[Amount],Table1[Customer],$P$3,Table1[Date],$A248,Table1[Bill No.],$B248),IF($K248="PETROL",SUMIFS(Table14[Amount],Table14[Customer],$P$3,Table14[Date],$A248,Table14[Bill No.],$B248),IF($K248="XtraGreen",SUMIFS(Table146[Amount],Table146[Company],$P$3,Table146[Date],$A248,Table146[Bill No.],$B248),SUMIFS('Other Sale'!$D:$D,'Other Sale'!$E:$E,$P$3,'Other Sale'!$C:$C,$K248,'Other Sale'!$A:$A,$A248)))))</f>
        <v/>
      </c>
      <c r="F248" s="330" t="str" cm="1">
        <f t="array" ref="F248">IF($A248="","",IF($K248="Payment",IFERROR(INDEX(_xlfn._xlws.FILTER(MasterPaid[Amount Paid],(MasterPaid[Customer]=$P$3)*(MasterPaid[Date]=$A248)),COUNTIFS($A$6:$A248,$A248,$K$6:$K248,"Payment")),0),0))</f>
        <v/>
      </c>
      <c r="G248" s="331" t="s">
        <v>13</v>
      </c>
      <c r="H248" s="331"/>
      <c r="I248" s="330" t="str">
        <f t="shared" si="18"/>
        <v/>
      </c>
      <c r="J248" s="275"/>
      <c r="K248" s="289" t="str" cm="1">
        <f t="array" ref="K248">IFERROR(INDEX(_xlfn.ANCHORARRAY($R$6),ROW()-5,3),"")</f>
        <v/>
      </c>
      <c r="L248" s="430" t="str" cm="1">
        <f t="array" ref="L248">IF(OR($A248="",$J248="",$K248&lt;&gt;"DIESEL"),"",_xlfn.LET(_xlpm.qty,N($C248),_xlpm.pos,IF($J248="UNIT 1",$V$5:$V$54,$AC$5:$AC$54),_xlpm.alo,IF($J248="UNIT 1",$W$5:$W$54,$AD$5:$AD$54),_xlpm.usd,SUMIFS($C$6:$C247,$L$6:$L247,_xlpm.pos&amp;"",$J$6:$J247,$J248),_xlpm.bal,N(_xlpm.alo)-_xlpm.usd,IFERROR(INDEX(_xlfn._xlws.FILTER(_xlpm.pos,(_xlpm.pos&lt;&gt;"")*(_xlpm.qty&gt;0)*(_xlpm.bal&gt;=_xlpm.qty)),1),"")))</f>
        <v/>
      </c>
      <c r="M248" s="290"/>
      <c r="AQ248" s="409"/>
      <c r="AR248" s="410"/>
      <c r="AS248" s="410"/>
      <c r="AT248" s="411"/>
      <c r="AU248" s="412"/>
      <c r="AV248" s="413"/>
      <c r="AW248" s="413"/>
      <c r="AX248" s="413"/>
      <c r="AY248" s="413"/>
      <c r="AZ248" s="413" t="str">
        <f t="shared" si="16"/>
        <v/>
      </c>
      <c r="BB248" s="409"/>
      <c r="BC248" s="410"/>
      <c r="BD248" s="410"/>
      <c r="BE248" s="411"/>
      <c r="BF248" s="412"/>
      <c r="BG248" s="413"/>
      <c r="BH248" s="413"/>
      <c r="BI248" s="413"/>
      <c r="BJ248" s="413"/>
      <c r="BK248" s="413" t="str">
        <f t="shared" si="17"/>
        <v/>
      </c>
    </row>
    <row r="249" spans="1:63" ht="23" x14ac:dyDescent="0.25">
      <c r="A249" s="217" t="str" cm="1">
        <f t="array" ref="A249">IFERROR(INDEX(_xlfn.ANCHORARRAY($R$6),ROW()-5,1),"")</f>
        <v/>
      </c>
      <c r="B249" s="289" t="str" cm="1">
        <f t="array" ref="B249">IFERROR(INDEX(_xlfn.ANCHORARRAY($R$6),ROW()-5,2),"")</f>
        <v/>
      </c>
      <c r="C249" s="218" t="str">
        <f>IF($A249="","",IF($K249="DIESEL",SUMIFS(Table1[Quantity],Table1[Customer],$P$3,Table1[Date],$A249,Table1[Bill No.],$B249),IF($K249="PETROL",SUMIFS(Table14[Quantity],Table14[Customer],$P$3,Table14[Date],$A249,Table14[Bill No.],$B249),IF($K249="XtraGreen",SUMIFS(Table146[Quantity],Table146[Company],$P$3,Table146[Date],$A249,Table146[Bill No.],$B249),""))))</f>
        <v/>
      </c>
      <c r="D249" s="223" t="str">
        <f>IF($A249="","",IF($K249="DIESEL",AVERAGEIFS(Table1[RSP],Table1[Customer],$P$3,Table1[Date],$A249,Table1[Bill No.],$B249),IF($K249="PETROL",AVERAGEIFS(Table14[RSP],Table14[Customer],$P$3,Table14[Date],$A249,Table14[Bill No.],$B249),IF($K249="XtraGreen",AVERAGEIFS(Table146[RSP],Table146[Company],$P$3,Table146[Date],$A249,Table146[Bill No.],$B249),IFERROR($E249/$C249,"")))))</f>
        <v/>
      </c>
      <c r="E249" s="330" t="str">
        <f>IF($A249="","",IF($K249="DIESEL",SUMIFS(Table1[Amount],Table1[Customer],$P$3,Table1[Date],$A249,Table1[Bill No.],$B249),IF($K249="PETROL",SUMIFS(Table14[Amount],Table14[Customer],$P$3,Table14[Date],$A249,Table14[Bill No.],$B249),IF($K249="XtraGreen",SUMIFS(Table146[Amount],Table146[Company],$P$3,Table146[Date],$A249,Table146[Bill No.],$B249),SUMIFS('Other Sale'!$D:$D,'Other Sale'!$E:$E,$P$3,'Other Sale'!$C:$C,$K249,'Other Sale'!$A:$A,$A249)))))</f>
        <v/>
      </c>
      <c r="F249" s="330" t="str" cm="1">
        <f t="array" ref="F249">IF($A249="","",IF($K249="Payment",IFERROR(INDEX(_xlfn._xlws.FILTER(MasterPaid[Amount Paid],(MasterPaid[Customer]=$P$3)*(MasterPaid[Date]=$A249)),COUNTIFS($A$6:$A249,$A249,$K$6:$K249,"Payment")),0),0))</f>
        <v/>
      </c>
      <c r="G249" s="331" t="s">
        <v>13</v>
      </c>
      <c r="H249" s="331"/>
      <c r="I249" s="330" t="str">
        <f t="shared" si="18"/>
        <v/>
      </c>
      <c r="J249" s="275"/>
      <c r="K249" s="289" t="str" cm="1">
        <f t="array" ref="K249">IFERROR(INDEX(_xlfn.ANCHORARRAY($R$6),ROW()-5,3),"")</f>
        <v/>
      </c>
      <c r="L249" s="430" t="str" cm="1">
        <f t="array" ref="L249">IF(OR($A249="",$J249="",$K249&lt;&gt;"DIESEL"),"",_xlfn.LET(_xlpm.qty,N($C249),_xlpm.pos,IF($J249="UNIT 1",$V$5:$V$54,$AC$5:$AC$54),_xlpm.alo,IF($J249="UNIT 1",$W$5:$W$54,$AD$5:$AD$54),_xlpm.usd,SUMIFS($C$6:$C248,$L$6:$L248,_xlpm.pos&amp;"",$J$6:$J248,$J249),_xlpm.bal,N(_xlpm.alo)-_xlpm.usd,IFERROR(INDEX(_xlfn._xlws.FILTER(_xlpm.pos,(_xlpm.pos&lt;&gt;"")*(_xlpm.qty&gt;0)*(_xlpm.bal&gt;=_xlpm.qty)),1),"")))</f>
        <v/>
      </c>
      <c r="M249" s="290"/>
      <c r="AQ249" s="409"/>
      <c r="AR249" s="410"/>
      <c r="AS249" s="410"/>
      <c r="AT249" s="411"/>
      <c r="AU249" s="412"/>
      <c r="AV249" s="413"/>
      <c r="AW249" s="413"/>
      <c r="AX249" s="413"/>
      <c r="AY249" s="413"/>
      <c r="AZ249" s="413" t="str">
        <f t="shared" si="16"/>
        <v/>
      </c>
      <c r="BB249" s="409"/>
      <c r="BC249" s="410"/>
      <c r="BD249" s="410"/>
      <c r="BE249" s="411"/>
      <c r="BF249" s="412"/>
      <c r="BG249" s="413"/>
      <c r="BH249" s="413"/>
      <c r="BI249" s="413"/>
      <c r="BJ249" s="413"/>
      <c r="BK249" s="413" t="str">
        <f t="shared" si="17"/>
        <v/>
      </c>
    </row>
    <row r="250" spans="1:63" ht="23" x14ac:dyDescent="0.25">
      <c r="A250" s="217" t="str" cm="1">
        <f t="array" ref="A250">IFERROR(INDEX(_xlfn.ANCHORARRAY($R$6),ROW()-5,1),"")</f>
        <v/>
      </c>
      <c r="B250" s="289" t="str" cm="1">
        <f t="array" ref="B250">IFERROR(INDEX(_xlfn.ANCHORARRAY($R$6),ROW()-5,2),"")</f>
        <v/>
      </c>
      <c r="C250" s="218" t="str">
        <f>IF($A250="","",IF($K250="DIESEL",SUMIFS(Table1[Quantity],Table1[Customer],$P$3,Table1[Date],$A250,Table1[Bill No.],$B250),IF($K250="PETROL",SUMIFS(Table14[Quantity],Table14[Customer],$P$3,Table14[Date],$A250,Table14[Bill No.],$B250),IF($K250="XtraGreen",SUMIFS(Table146[Quantity],Table146[Company],$P$3,Table146[Date],$A250,Table146[Bill No.],$B250),""))))</f>
        <v/>
      </c>
      <c r="D250" s="223" t="str">
        <f>IF($A250="","",IF($K250="DIESEL",AVERAGEIFS(Table1[RSP],Table1[Customer],$P$3,Table1[Date],$A250,Table1[Bill No.],$B250),IF($K250="PETROL",AVERAGEIFS(Table14[RSP],Table14[Customer],$P$3,Table14[Date],$A250,Table14[Bill No.],$B250),IF($K250="XtraGreen",AVERAGEIFS(Table146[RSP],Table146[Company],$P$3,Table146[Date],$A250,Table146[Bill No.],$B250),IFERROR($E250/$C250,"")))))</f>
        <v/>
      </c>
      <c r="E250" s="330" t="str">
        <f>IF($A250="","",IF($K250="DIESEL",SUMIFS(Table1[Amount],Table1[Customer],$P$3,Table1[Date],$A250,Table1[Bill No.],$B250),IF($K250="PETROL",SUMIFS(Table14[Amount],Table14[Customer],$P$3,Table14[Date],$A250,Table14[Bill No.],$B250),IF($K250="XtraGreen",SUMIFS(Table146[Amount],Table146[Company],$P$3,Table146[Date],$A250,Table146[Bill No.],$B250),SUMIFS('Other Sale'!$D:$D,'Other Sale'!$E:$E,$P$3,'Other Sale'!$C:$C,$K250,'Other Sale'!$A:$A,$A250)))))</f>
        <v/>
      </c>
      <c r="F250" s="330" t="str" cm="1">
        <f t="array" ref="F250">IF($A250="","",IF($K250="Payment",IFERROR(INDEX(_xlfn._xlws.FILTER(MasterPaid[Amount Paid],(MasterPaid[Customer]=$P$3)*(MasterPaid[Date]=$A250)),COUNTIFS($A$6:$A250,$A250,$K$6:$K250,"Payment")),0),0))</f>
        <v/>
      </c>
      <c r="G250" s="331" t="s">
        <v>13</v>
      </c>
      <c r="H250" s="331"/>
      <c r="I250" s="330" t="str">
        <f t="shared" si="18"/>
        <v/>
      </c>
      <c r="J250" s="275"/>
      <c r="K250" s="289" t="str" cm="1">
        <f t="array" ref="K250">IFERROR(INDEX(_xlfn.ANCHORARRAY($R$6),ROW()-5,3),"")</f>
        <v/>
      </c>
      <c r="L250" s="430" t="str" cm="1">
        <f t="array" ref="L250">IF(OR($A250="",$J250="",$K250&lt;&gt;"DIESEL"),"",_xlfn.LET(_xlpm.qty,N($C250),_xlpm.pos,IF($J250="UNIT 1",$V$5:$V$54,$AC$5:$AC$54),_xlpm.alo,IF($J250="UNIT 1",$W$5:$W$54,$AD$5:$AD$54),_xlpm.usd,SUMIFS($C$6:$C249,$L$6:$L249,_xlpm.pos&amp;"",$J$6:$J249,$J250),_xlpm.bal,N(_xlpm.alo)-_xlpm.usd,IFERROR(INDEX(_xlfn._xlws.FILTER(_xlpm.pos,(_xlpm.pos&lt;&gt;"")*(_xlpm.qty&gt;0)*(_xlpm.bal&gt;=_xlpm.qty)),1),"")))</f>
        <v/>
      </c>
      <c r="M250" s="290"/>
      <c r="AQ250" s="409"/>
      <c r="AR250" s="410"/>
      <c r="AS250" s="410"/>
      <c r="AT250" s="411"/>
      <c r="AU250" s="412"/>
      <c r="AV250" s="413"/>
      <c r="AW250" s="413"/>
      <c r="AX250" s="413"/>
      <c r="AY250" s="413"/>
      <c r="AZ250" s="413" t="str">
        <f t="shared" si="16"/>
        <v/>
      </c>
      <c r="BB250" s="409"/>
      <c r="BC250" s="410"/>
      <c r="BD250" s="410"/>
      <c r="BE250" s="411"/>
      <c r="BF250" s="412"/>
      <c r="BG250" s="413"/>
      <c r="BH250" s="413"/>
      <c r="BI250" s="413"/>
      <c r="BJ250" s="413"/>
      <c r="BK250" s="413" t="str">
        <f t="shared" si="17"/>
        <v/>
      </c>
    </row>
    <row r="251" spans="1:63" ht="23" x14ac:dyDescent="0.25">
      <c r="A251" s="217" t="str" cm="1">
        <f t="array" ref="A251">IFERROR(INDEX(_xlfn.ANCHORARRAY($R$6),ROW()-5,1),"")</f>
        <v/>
      </c>
      <c r="B251" s="289" t="str" cm="1">
        <f t="array" ref="B251">IFERROR(INDEX(_xlfn.ANCHORARRAY($R$6),ROW()-5,2),"")</f>
        <v/>
      </c>
      <c r="C251" s="218" t="str">
        <f>IF($A251="","",IF($K251="DIESEL",SUMIFS(Table1[Quantity],Table1[Customer],$P$3,Table1[Date],$A251,Table1[Bill No.],$B251),IF($K251="PETROL",SUMIFS(Table14[Quantity],Table14[Customer],$P$3,Table14[Date],$A251,Table14[Bill No.],$B251),IF($K251="XtraGreen",SUMIFS(Table146[Quantity],Table146[Company],$P$3,Table146[Date],$A251,Table146[Bill No.],$B251),""))))</f>
        <v/>
      </c>
      <c r="D251" s="223" t="str">
        <f>IF($A251="","",IF($K251="DIESEL",AVERAGEIFS(Table1[RSP],Table1[Customer],$P$3,Table1[Date],$A251,Table1[Bill No.],$B251),IF($K251="PETROL",AVERAGEIFS(Table14[RSP],Table14[Customer],$P$3,Table14[Date],$A251,Table14[Bill No.],$B251),IF($K251="XtraGreen",AVERAGEIFS(Table146[RSP],Table146[Company],$P$3,Table146[Date],$A251,Table146[Bill No.],$B251),IFERROR($E251/$C251,"")))))</f>
        <v/>
      </c>
      <c r="E251" s="330" t="str">
        <f>IF($A251="","",IF($K251="DIESEL",SUMIFS(Table1[Amount],Table1[Customer],$P$3,Table1[Date],$A251,Table1[Bill No.],$B251),IF($K251="PETROL",SUMIFS(Table14[Amount],Table14[Customer],$P$3,Table14[Date],$A251,Table14[Bill No.],$B251),IF($K251="XtraGreen",SUMIFS(Table146[Amount],Table146[Company],$P$3,Table146[Date],$A251,Table146[Bill No.],$B251),SUMIFS('Other Sale'!$D:$D,'Other Sale'!$E:$E,$P$3,'Other Sale'!$C:$C,$K251,'Other Sale'!$A:$A,$A251)))))</f>
        <v/>
      </c>
      <c r="F251" s="330" t="str" cm="1">
        <f t="array" ref="F251">IF($A251="","",IF($K251="Payment",IFERROR(INDEX(_xlfn._xlws.FILTER(MasterPaid[Amount Paid],(MasterPaid[Customer]=$P$3)*(MasterPaid[Date]=$A251)),COUNTIFS($A$6:$A251,$A251,$K$6:$K251,"Payment")),0),0))</f>
        <v/>
      </c>
      <c r="G251" s="331" t="s">
        <v>13</v>
      </c>
      <c r="H251" s="331"/>
      <c r="I251" s="330" t="str">
        <f t="shared" si="18"/>
        <v/>
      </c>
      <c r="J251" s="275"/>
      <c r="K251" s="289" t="str" cm="1">
        <f t="array" ref="K251">IFERROR(INDEX(_xlfn.ANCHORARRAY($R$6),ROW()-5,3),"")</f>
        <v/>
      </c>
      <c r="L251" s="430" t="str" cm="1">
        <f t="array" ref="L251">IF(OR($A251="",$J251="",$K251&lt;&gt;"DIESEL"),"",_xlfn.LET(_xlpm.qty,N($C251),_xlpm.pos,IF($J251="UNIT 1",$V$5:$V$54,$AC$5:$AC$54),_xlpm.alo,IF($J251="UNIT 1",$W$5:$W$54,$AD$5:$AD$54),_xlpm.usd,SUMIFS($C$6:$C250,$L$6:$L250,_xlpm.pos&amp;"",$J$6:$J250,$J251),_xlpm.bal,N(_xlpm.alo)-_xlpm.usd,IFERROR(INDEX(_xlfn._xlws.FILTER(_xlpm.pos,(_xlpm.pos&lt;&gt;"")*(_xlpm.qty&gt;0)*(_xlpm.bal&gt;=_xlpm.qty)),1),"")))</f>
        <v/>
      </c>
      <c r="M251" s="290"/>
      <c r="AQ251" s="409"/>
      <c r="AR251" s="410"/>
      <c r="AS251" s="410"/>
      <c r="AT251" s="411"/>
      <c r="AU251" s="412"/>
      <c r="AV251" s="413"/>
      <c r="AW251" s="413"/>
      <c r="AX251" s="413"/>
      <c r="AY251" s="413"/>
      <c r="AZ251" s="413" t="str">
        <f t="shared" si="16"/>
        <v/>
      </c>
      <c r="BB251" s="409"/>
      <c r="BC251" s="410"/>
      <c r="BD251" s="410"/>
      <c r="BE251" s="411"/>
      <c r="BF251" s="412"/>
      <c r="BG251" s="413"/>
      <c r="BH251" s="413"/>
      <c r="BI251" s="413"/>
      <c r="BJ251" s="413"/>
      <c r="BK251" s="413" t="str">
        <f t="shared" si="17"/>
        <v/>
      </c>
    </row>
    <row r="252" spans="1:63" ht="23" x14ac:dyDescent="0.25">
      <c r="A252" s="217" t="str" cm="1">
        <f t="array" ref="A252">IFERROR(INDEX(_xlfn.ANCHORARRAY($R$6),ROW()-5,1),"")</f>
        <v/>
      </c>
      <c r="B252" s="289" t="str" cm="1">
        <f t="array" ref="B252">IFERROR(INDEX(_xlfn.ANCHORARRAY($R$6),ROW()-5,2),"")</f>
        <v/>
      </c>
      <c r="C252" s="218" t="str">
        <f>IF($A252="","",IF($K252="DIESEL",SUMIFS(Table1[Quantity],Table1[Customer],$P$3,Table1[Date],$A252,Table1[Bill No.],$B252),IF($K252="PETROL",SUMIFS(Table14[Quantity],Table14[Customer],$P$3,Table14[Date],$A252,Table14[Bill No.],$B252),IF($K252="XtraGreen",SUMIFS(Table146[Quantity],Table146[Company],$P$3,Table146[Date],$A252,Table146[Bill No.],$B252),""))))</f>
        <v/>
      </c>
      <c r="D252" s="223" t="str">
        <f>IF($A252="","",IF($K252="DIESEL",AVERAGEIFS(Table1[RSP],Table1[Customer],$P$3,Table1[Date],$A252,Table1[Bill No.],$B252),IF($K252="PETROL",AVERAGEIFS(Table14[RSP],Table14[Customer],$P$3,Table14[Date],$A252,Table14[Bill No.],$B252),IF($K252="XtraGreen",AVERAGEIFS(Table146[RSP],Table146[Company],$P$3,Table146[Date],$A252,Table146[Bill No.],$B252),IFERROR($E252/$C252,"")))))</f>
        <v/>
      </c>
      <c r="E252" s="330" t="str">
        <f>IF($A252="","",IF($K252="DIESEL",SUMIFS(Table1[Amount],Table1[Customer],$P$3,Table1[Date],$A252,Table1[Bill No.],$B252),IF($K252="PETROL",SUMIFS(Table14[Amount],Table14[Customer],$P$3,Table14[Date],$A252,Table14[Bill No.],$B252),IF($K252="XtraGreen",SUMIFS(Table146[Amount],Table146[Company],$P$3,Table146[Date],$A252,Table146[Bill No.],$B252),SUMIFS('Other Sale'!$D:$D,'Other Sale'!$E:$E,$P$3,'Other Sale'!$C:$C,$K252,'Other Sale'!$A:$A,$A252)))))</f>
        <v/>
      </c>
      <c r="F252" s="330" t="str" cm="1">
        <f t="array" ref="F252">IF($A252="","",IF($K252="Payment",IFERROR(INDEX(_xlfn._xlws.FILTER(MasterPaid[Amount Paid],(MasterPaid[Customer]=$P$3)*(MasterPaid[Date]=$A252)),COUNTIFS($A$6:$A252,$A252,$K$6:$K252,"Payment")),0),0))</f>
        <v/>
      </c>
      <c r="G252" s="331" t="s">
        <v>13</v>
      </c>
      <c r="H252" s="331"/>
      <c r="I252" s="330" t="str">
        <f t="shared" si="18"/>
        <v/>
      </c>
      <c r="J252" s="275"/>
      <c r="K252" s="289" t="str" cm="1">
        <f t="array" ref="K252">IFERROR(INDEX(_xlfn.ANCHORARRAY($R$6),ROW()-5,3),"")</f>
        <v/>
      </c>
      <c r="L252" s="430" t="str" cm="1">
        <f t="array" ref="L252">IF(OR($A252="",$J252="",$K252&lt;&gt;"DIESEL"),"",_xlfn.LET(_xlpm.qty,N($C252),_xlpm.pos,IF($J252="UNIT 1",$V$5:$V$54,$AC$5:$AC$54),_xlpm.alo,IF($J252="UNIT 1",$W$5:$W$54,$AD$5:$AD$54),_xlpm.usd,SUMIFS($C$6:$C251,$L$6:$L251,_xlpm.pos&amp;"",$J$6:$J251,$J252),_xlpm.bal,N(_xlpm.alo)-_xlpm.usd,IFERROR(INDEX(_xlfn._xlws.FILTER(_xlpm.pos,(_xlpm.pos&lt;&gt;"")*(_xlpm.qty&gt;0)*(_xlpm.bal&gt;=_xlpm.qty)),1),"")))</f>
        <v/>
      </c>
      <c r="M252" s="290"/>
      <c r="AQ252" s="409"/>
      <c r="AR252" s="410"/>
      <c r="AS252" s="410"/>
      <c r="AT252" s="411"/>
      <c r="AU252" s="412"/>
      <c r="AV252" s="413"/>
      <c r="AW252" s="413"/>
      <c r="AX252" s="413"/>
      <c r="AY252" s="413"/>
      <c r="AZ252" s="413" t="str">
        <f t="shared" si="16"/>
        <v/>
      </c>
      <c r="BB252" s="409"/>
      <c r="BC252" s="410"/>
      <c r="BD252" s="410"/>
      <c r="BE252" s="411"/>
      <c r="BF252" s="412"/>
      <c r="BG252" s="413"/>
      <c r="BH252" s="413"/>
      <c r="BI252" s="413"/>
      <c r="BJ252" s="413"/>
      <c r="BK252" s="413" t="str">
        <f t="shared" si="17"/>
        <v/>
      </c>
    </row>
    <row r="253" spans="1:63" ht="23" x14ac:dyDescent="0.25">
      <c r="A253" s="217" t="str" cm="1">
        <f t="array" ref="A253">IFERROR(INDEX(_xlfn.ANCHORARRAY($R$6),ROW()-5,1),"")</f>
        <v/>
      </c>
      <c r="B253" s="289" t="str" cm="1">
        <f t="array" ref="B253">IFERROR(INDEX(_xlfn.ANCHORARRAY($R$6),ROW()-5,2),"")</f>
        <v/>
      </c>
      <c r="C253" s="218" t="str">
        <f>IF($A253="","",IF($K253="DIESEL",SUMIFS(Table1[Quantity],Table1[Customer],$P$3,Table1[Date],$A253,Table1[Bill No.],$B253),IF($K253="PETROL",SUMIFS(Table14[Quantity],Table14[Customer],$P$3,Table14[Date],$A253,Table14[Bill No.],$B253),IF($K253="XtraGreen",SUMIFS(Table146[Quantity],Table146[Company],$P$3,Table146[Date],$A253,Table146[Bill No.],$B253),""))))</f>
        <v/>
      </c>
      <c r="D253" s="223" t="str">
        <f>IF($A253="","",IF($K253="DIESEL",AVERAGEIFS(Table1[RSP],Table1[Customer],$P$3,Table1[Date],$A253,Table1[Bill No.],$B253),IF($K253="PETROL",AVERAGEIFS(Table14[RSP],Table14[Customer],$P$3,Table14[Date],$A253,Table14[Bill No.],$B253),IF($K253="XtraGreen",AVERAGEIFS(Table146[RSP],Table146[Company],$P$3,Table146[Date],$A253,Table146[Bill No.],$B253),IFERROR($E253/$C253,"")))))</f>
        <v/>
      </c>
      <c r="E253" s="330" t="str">
        <f>IF($A253="","",IF($K253="DIESEL",SUMIFS(Table1[Amount],Table1[Customer],$P$3,Table1[Date],$A253,Table1[Bill No.],$B253),IF($K253="PETROL",SUMIFS(Table14[Amount],Table14[Customer],$P$3,Table14[Date],$A253,Table14[Bill No.],$B253),IF($K253="XtraGreen",SUMIFS(Table146[Amount],Table146[Company],$P$3,Table146[Date],$A253,Table146[Bill No.],$B253),SUMIFS('Other Sale'!$D:$D,'Other Sale'!$E:$E,$P$3,'Other Sale'!$C:$C,$K253,'Other Sale'!$A:$A,$A253)))))</f>
        <v/>
      </c>
      <c r="F253" s="330" t="str" cm="1">
        <f t="array" ref="F253">IF($A253="","",IF($K253="Payment",IFERROR(INDEX(_xlfn._xlws.FILTER(MasterPaid[Amount Paid],(MasterPaid[Customer]=$P$3)*(MasterPaid[Date]=$A253)),COUNTIFS($A$6:$A253,$A253,$K$6:$K253,"Payment")),0),0))</f>
        <v/>
      </c>
      <c r="G253" s="331" t="s">
        <v>13</v>
      </c>
      <c r="H253" s="331"/>
      <c r="I253" s="330" t="str">
        <f t="shared" si="18"/>
        <v/>
      </c>
      <c r="J253" s="275"/>
      <c r="K253" s="289" t="str" cm="1">
        <f t="array" ref="K253">IFERROR(INDEX(_xlfn.ANCHORARRAY($R$6),ROW()-5,3),"")</f>
        <v/>
      </c>
      <c r="L253" s="430" t="str" cm="1">
        <f t="array" ref="L253">IF(OR($A253="",$J253="",$K253&lt;&gt;"DIESEL"),"",_xlfn.LET(_xlpm.qty,N($C253),_xlpm.pos,IF($J253="UNIT 1",$V$5:$V$54,$AC$5:$AC$54),_xlpm.alo,IF($J253="UNIT 1",$W$5:$W$54,$AD$5:$AD$54),_xlpm.usd,SUMIFS($C$6:$C252,$L$6:$L252,_xlpm.pos&amp;"",$J$6:$J252,$J253),_xlpm.bal,N(_xlpm.alo)-_xlpm.usd,IFERROR(INDEX(_xlfn._xlws.FILTER(_xlpm.pos,(_xlpm.pos&lt;&gt;"")*(_xlpm.qty&gt;0)*(_xlpm.bal&gt;=_xlpm.qty)),1),"")))</f>
        <v/>
      </c>
      <c r="M253" s="290"/>
      <c r="AQ253" s="409"/>
      <c r="AR253" s="410"/>
      <c r="AS253" s="410"/>
      <c r="AT253" s="411"/>
      <c r="AU253" s="412"/>
      <c r="AV253" s="413"/>
      <c r="AW253" s="413"/>
      <c r="AX253" s="413"/>
      <c r="AY253" s="413"/>
      <c r="AZ253" s="413" t="str">
        <f t="shared" si="16"/>
        <v/>
      </c>
      <c r="BB253" s="409"/>
      <c r="BC253" s="410"/>
      <c r="BD253" s="410"/>
      <c r="BE253" s="411"/>
      <c r="BF253" s="412"/>
      <c r="BG253" s="413"/>
      <c r="BH253" s="413"/>
      <c r="BI253" s="413"/>
      <c r="BJ253" s="413"/>
      <c r="BK253" s="413" t="str">
        <f t="shared" si="17"/>
        <v/>
      </c>
    </row>
    <row r="254" spans="1:63" ht="23" x14ac:dyDescent="0.25">
      <c r="A254" s="217" t="str" cm="1">
        <f t="array" ref="A254">IFERROR(INDEX(_xlfn.ANCHORARRAY($R$6),ROW()-5,1),"")</f>
        <v/>
      </c>
      <c r="B254" s="289" t="str" cm="1">
        <f t="array" ref="B254">IFERROR(INDEX(_xlfn.ANCHORARRAY($R$6),ROW()-5,2),"")</f>
        <v/>
      </c>
      <c r="C254" s="218" t="str">
        <f>IF($A254="","",IF($K254="DIESEL",SUMIFS(Table1[Quantity],Table1[Customer],$P$3,Table1[Date],$A254,Table1[Bill No.],$B254),IF($K254="PETROL",SUMIFS(Table14[Quantity],Table14[Customer],$P$3,Table14[Date],$A254,Table14[Bill No.],$B254),IF($K254="XtraGreen",SUMIFS(Table146[Quantity],Table146[Company],$P$3,Table146[Date],$A254,Table146[Bill No.],$B254),""))))</f>
        <v/>
      </c>
      <c r="D254" s="223" t="str">
        <f>IF($A254="","",IF($K254="DIESEL",AVERAGEIFS(Table1[RSP],Table1[Customer],$P$3,Table1[Date],$A254,Table1[Bill No.],$B254),IF($K254="PETROL",AVERAGEIFS(Table14[RSP],Table14[Customer],$P$3,Table14[Date],$A254,Table14[Bill No.],$B254),IF($K254="XtraGreen",AVERAGEIFS(Table146[RSP],Table146[Company],$P$3,Table146[Date],$A254,Table146[Bill No.],$B254),IFERROR($E254/$C254,"")))))</f>
        <v/>
      </c>
      <c r="E254" s="330" t="str">
        <f>IF($A254="","",IF($K254="DIESEL",SUMIFS(Table1[Amount],Table1[Customer],$P$3,Table1[Date],$A254,Table1[Bill No.],$B254),IF($K254="PETROL",SUMIFS(Table14[Amount],Table14[Customer],$P$3,Table14[Date],$A254,Table14[Bill No.],$B254),IF($K254="XtraGreen",SUMIFS(Table146[Amount],Table146[Company],$P$3,Table146[Date],$A254,Table146[Bill No.],$B254),SUMIFS('Other Sale'!$D:$D,'Other Sale'!$E:$E,$P$3,'Other Sale'!$C:$C,$K254,'Other Sale'!$A:$A,$A254)))))</f>
        <v/>
      </c>
      <c r="F254" s="330" t="str" cm="1">
        <f t="array" ref="F254">IF($A254="","",IF($K254="Payment",IFERROR(INDEX(_xlfn._xlws.FILTER(MasterPaid[Amount Paid],(MasterPaid[Customer]=$P$3)*(MasterPaid[Date]=$A254)),COUNTIFS($A$6:$A254,$A254,$K$6:$K254,"Payment")),0),0))</f>
        <v/>
      </c>
      <c r="G254" s="331" t="s">
        <v>13</v>
      </c>
      <c r="H254" s="331"/>
      <c r="I254" s="330" t="str">
        <f t="shared" si="18"/>
        <v/>
      </c>
      <c r="J254" s="275"/>
      <c r="K254" s="289" t="str" cm="1">
        <f t="array" ref="K254">IFERROR(INDEX(_xlfn.ANCHORARRAY($R$6),ROW()-5,3),"")</f>
        <v/>
      </c>
      <c r="L254" s="430" t="str" cm="1">
        <f t="array" ref="L254">IF(OR($A254="",$J254="",$K254&lt;&gt;"DIESEL"),"",_xlfn.LET(_xlpm.qty,N($C254),_xlpm.pos,IF($J254="UNIT 1",$V$5:$V$54,$AC$5:$AC$54),_xlpm.alo,IF($J254="UNIT 1",$W$5:$W$54,$AD$5:$AD$54),_xlpm.usd,SUMIFS($C$6:$C253,$L$6:$L253,_xlpm.pos&amp;"",$J$6:$J253,$J254),_xlpm.bal,N(_xlpm.alo)-_xlpm.usd,IFERROR(INDEX(_xlfn._xlws.FILTER(_xlpm.pos,(_xlpm.pos&lt;&gt;"")*(_xlpm.qty&gt;0)*(_xlpm.bal&gt;=_xlpm.qty)),1),"")))</f>
        <v/>
      </c>
      <c r="M254" s="290"/>
      <c r="AQ254" s="409"/>
      <c r="AR254" s="410"/>
      <c r="AS254" s="410"/>
      <c r="AT254" s="411"/>
      <c r="AU254" s="412"/>
      <c r="AV254" s="413"/>
      <c r="AW254" s="413"/>
      <c r="AX254" s="413"/>
      <c r="AY254" s="413"/>
      <c r="AZ254" s="413" t="str">
        <f t="shared" si="16"/>
        <v/>
      </c>
      <c r="BB254" s="409"/>
      <c r="BC254" s="410"/>
      <c r="BD254" s="410"/>
      <c r="BE254" s="411"/>
      <c r="BF254" s="412"/>
      <c r="BG254" s="413"/>
      <c r="BH254" s="413"/>
      <c r="BI254" s="413"/>
      <c r="BJ254" s="413"/>
      <c r="BK254" s="413" t="str">
        <f t="shared" si="17"/>
        <v/>
      </c>
    </row>
    <row r="255" spans="1:63" ht="23" x14ac:dyDescent="0.25">
      <c r="A255" s="217" t="str" cm="1">
        <f t="array" ref="A255">IFERROR(INDEX(_xlfn.ANCHORARRAY($R$6),ROW()-5,1),"")</f>
        <v/>
      </c>
      <c r="B255" s="289" t="str" cm="1">
        <f t="array" ref="B255">IFERROR(INDEX(_xlfn.ANCHORARRAY($R$6),ROW()-5,2),"")</f>
        <v/>
      </c>
      <c r="C255" s="218" t="str">
        <f>IF($A255="","",IF($K255="DIESEL",SUMIFS(Table1[Quantity],Table1[Customer],$P$3,Table1[Date],$A255,Table1[Bill No.],$B255),IF($K255="PETROL",SUMIFS(Table14[Quantity],Table14[Customer],$P$3,Table14[Date],$A255,Table14[Bill No.],$B255),IF($K255="XtraGreen",SUMIFS(Table146[Quantity],Table146[Company],$P$3,Table146[Date],$A255,Table146[Bill No.],$B255),""))))</f>
        <v/>
      </c>
      <c r="D255" s="223" t="str">
        <f>IF($A255="","",IF($K255="DIESEL",AVERAGEIFS(Table1[RSP],Table1[Customer],$P$3,Table1[Date],$A255,Table1[Bill No.],$B255),IF($K255="PETROL",AVERAGEIFS(Table14[RSP],Table14[Customer],$P$3,Table14[Date],$A255,Table14[Bill No.],$B255),IF($K255="XtraGreen",AVERAGEIFS(Table146[RSP],Table146[Company],$P$3,Table146[Date],$A255,Table146[Bill No.],$B255),IFERROR($E255/$C255,"")))))</f>
        <v/>
      </c>
      <c r="E255" s="330" t="str">
        <f>IF($A255="","",IF($K255="DIESEL",SUMIFS(Table1[Amount],Table1[Customer],$P$3,Table1[Date],$A255,Table1[Bill No.],$B255),IF($K255="PETROL",SUMIFS(Table14[Amount],Table14[Customer],$P$3,Table14[Date],$A255,Table14[Bill No.],$B255),IF($K255="XtraGreen",SUMIFS(Table146[Amount],Table146[Company],$P$3,Table146[Date],$A255,Table146[Bill No.],$B255),SUMIFS('Other Sale'!$D:$D,'Other Sale'!$E:$E,$P$3,'Other Sale'!$C:$C,$K255,'Other Sale'!$A:$A,$A255)))))</f>
        <v/>
      </c>
      <c r="F255" s="330" t="str" cm="1">
        <f t="array" ref="F255">IF($A255="","",IF($K255="Payment",IFERROR(INDEX(_xlfn._xlws.FILTER(MasterPaid[Amount Paid],(MasterPaid[Customer]=$P$3)*(MasterPaid[Date]=$A255)),COUNTIFS($A$6:$A255,$A255,$K$6:$K255,"Payment")),0),0))</f>
        <v/>
      </c>
      <c r="G255" s="331" t="s">
        <v>13</v>
      </c>
      <c r="H255" s="331"/>
      <c r="I255" s="330" t="str">
        <f t="shared" si="18"/>
        <v/>
      </c>
      <c r="J255" s="275"/>
      <c r="K255" s="289" t="str" cm="1">
        <f t="array" ref="K255">IFERROR(INDEX(_xlfn.ANCHORARRAY($R$6),ROW()-5,3),"")</f>
        <v/>
      </c>
      <c r="L255" s="430" t="str" cm="1">
        <f t="array" ref="L255">IF(OR($A255="",$J255="",$K255&lt;&gt;"DIESEL"),"",_xlfn.LET(_xlpm.qty,N($C255),_xlpm.pos,IF($J255="UNIT 1",$V$5:$V$54,$AC$5:$AC$54),_xlpm.alo,IF($J255="UNIT 1",$W$5:$W$54,$AD$5:$AD$54),_xlpm.usd,SUMIFS($C$6:$C254,$L$6:$L254,_xlpm.pos&amp;"",$J$6:$J254,$J255),_xlpm.bal,N(_xlpm.alo)-_xlpm.usd,IFERROR(INDEX(_xlfn._xlws.FILTER(_xlpm.pos,(_xlpm.pos&lt;&gt;"")*(_xlpm.qty&gt;0)*(_xlpm.bal&gt;=_xlpm.qty)),1),"")))</f>
        <v/>
      </c>
      <c r="M255" s="290"/>
      <c r="AQ255" s="409"/>
      <c r="AR255" s="410"/>
      <c r="AS255" s="410"/>
      <c r="AT255" s="411"/>
      <c r="AU255" s="412"/>
      <c r="AV255" s="413"/>
      <c r="AW255" s="413"/>
      <c r="AX255" s="413"/>
      <c r="AY255" s="413"/>
      <c r="AZ255" s="413" t="str">
        <f t="shared" si="16"/>
        <v/>
      </c>
      <c r="BB255" s="409"/>
      <c r="BC255" s="410"/>
      <c r="BD255" s="410"/>
      <c r="BE255" s="411"/>
      <c r="BF255" s="412"/>
      <c r="BG255" s="413"/>
      <c r="BH255" s="413"/>
      <c r="BI255" s="413"/>
      <c r="BJ255" s="413"/>
      <c r="BK255" s="413" t="str">
        <f t="shared" si="17"/>
        <v/>
      </c>
    </row>
    <row r="256" spans="1:63" ht="23" x14ac:dyDescent="0.25">
      <c r="A256" s="217" t="str" cm="1">
        <f t="array" ref="A256">IFERROR(INDEX(_xlfn.ANCHORARRAY($R$6),ROW()-5,1),"")</f>
        <v/>
      </c>
      <c r="B256" s="289" t="str" cm="1">
        <f t="array" ref="B256">IFERROR(INDEX(_xlfn.ANCHORARRAY($R$6),ROW()-5,2),"")</f>
        <v/>
      </c>
      <c r="C256" s="218" t="str">
        <f>IF($A256="","",IF($K256="DIESEL",SUMIFS(Table1[Quantity],Table1[Customer],$P$3,Table1[Date],$A256,Table1[Bill No.],$B256),IF($K256="PETROL",SUMIFS(Table14[Quantity],Table14[Customer],$P$3,Table14[Date],$A256,Table14[Bill No.],$B256),IF($K256="XtraGreen",SUMIFS(Table146[Quantity],Table146[Company],$P$3,Table146[Date],$A256,Table146[Bill No.],$B256),""))))</f>
        <v/>
      </c>
      <c r="D256" s="223" t="str">
        <f>IF($A256="","",IF($K256="DIESEL",AVERAGEIFS(Table1[RSP],Table1[Customer],$P$3,Table1[Date],$A256,Table1[Bill No.],$B256),IF($K256="PETROL",AVERAGEIFS(Table14[RSP],Table14[Customer],$P$3,Table14[Date],$A256,Table14[Bill No.],$B256),IF($K256="XtraGreen",AVERAGEIFS(Table146[RSP],Table146[Company],$P$3,Table146[Date],$A256,Table146[Bill No.],$B256),IFERROR($E256/$C256,"")))))</f>
        <v/>
      </c>
      <c r="E256" s="330" t="str">
        <f>IF($A256="","",IF($K256="DIESEL",SUMIFS(Table1[Amount],Table1[Customer],$P$3,Table1[Date],$A256,Table1[Bill No.],$B256),IF($K256="PETROL",SUMIFS(Table14[Amount],Table14[Customer],$P$3,Table14[Date],$A256,Table14[Bill No.],$B256),IF($K256="XtraGreen",SUMIFS(Table146[Amount],Table146[Company],$P$3,Table146[Date],$A256,Table146[Bill No.],$B256),SUMIFS('Other Sale'!$D:$D,'Other Sale'!$E:$E,$P$3,'Other Sale'!$C:$C,$K256,'Other Sale'!$A:$A,$A256)))))</f>
        <v/>
      </c>
      <c r="F256" s="330" t="str" cm="1">
        <f t="array" ref="F256">IF($A256="","",IF($K256="Payment",IFERROR(INDEX(_xlfn._xlws.FILTER(MasterPaid[Amount Paid],(MasterPaid[Customer]=$P$3)*(MasterPaid[Date]=$A256)),COUNTIFS($A$6:$A256,$A256,$K$6:$K256,"Payment")),0),0))</f>
        <v/>
      </c>
      <c r="G256" s="331" t="s">
        <v>13</v>
      </c>
      <c r="H256" s="331"/>
      <c r="I256" s="330" t="str">
        <f t="shared" si="18"/>
        <v/>
      </c>
      <c r="J256" s="275"/>
      <c r="K256" s="289" t="str" cm="1">
        <f t="array" ref="K256">IFERROR(INDEX(_xlfn.ANCHORARRAY($R$6),ROW()-5,3),"")</f>
        <v/>
      </c>
      <c r="L256" s="430" t="str" cm="1">
        <f t="array" ref="L256">IF(OR($A256="",$J256="",$K256&lt;&gt;"DIESEL"),"",_xlfn.LET(_xlpm.qty,N($C256),_xlpm.pos,IF($J256="UNIT 1",$V$5:$V$54,$AC$5:$AC$54),_xlpm.alo,IF($J256="UNIT 1",$W$5:$W$54,$AD$5:$AD$54),_xlpm.usd,SUMIFS($C$6:$C255,$L$6:$L255,_xlpm.pos&amp;"",$J$6:$J255,$J256),_xlpm.bal,N(_xlpm.alo)-_xlpm.usd,IFERROR(INDEX(_xlfn._xlws.FILTER(_xlpm.pos,(_xlpm.pos&lt;&gt;"")*(_xlpm.qty&gt;0)*(_xlpm.bal&gt;=_xlpm.qty)),1),"")))</f>
        <v/>
      </c>
      <c r="M256" s="290"/>
      <c r="AQ256" s="409"/>
      <c r="AR256" s="410"/>
      <c r="AS256" s="410"/>
      <c r="AT256" s="411"/>
      <c r="AU256" s="412"/>
      <c r="AV256" s="413"/>
      <c r="AW256" s="413"/>
      <c r="AX256" s="413"/>
      <c r="AY256" s="413"/>
      <c r="AZ256" s="413" t="str">
        <f t="shared" si="16"/>
        <v/>
      </c>
      <c r="BB256" s="409"/>
      <c r="BC256" s="410"/>
      <c r="BD256" s="410"/>
      <c r="BE256" s="411"/>
      <c r="BF256" s="412"/>
      <c r="BG256" s="413"/>
      <c r="BH256" s="413"/>
      <c r="BI256" s="413"/>
      <c r="BJ256" s="413"/>
      <c r="BK256" s="413" t="str">
        <f t="shared" si="17"/>
        <v/>
      </c>
    </row>
    <row r="257" spans="1:63" ht="23" x14ac:dyDescent="0.25">
      <c r="A257" s="217" t="str" cm="1">
        <f t="array" ref="A257">IFERROR(INDEX(_xlfn.ANCHORARRAY($R$6),ROW()-5,1),"")</f>
        <v/>
      </c>
      <c r="B257" s="289" t="str" cm="1">
        <f t="array" ref="B257">IFERROR(INDEX(_xlfn.ANCHORARRAY($R$6),ROW()-5,2),"")</f>
        <v/>
      </c>
      <c r="C257" s="218" t="str">
        <f>IF($A257="","",IF($K257="DIESEL",SUMIFS(Table1[Quantity],Table1[Customer],$P$3,Table1[Date],$A257,Table1[Bill No.],$B257),IF($K257="PETROL",SUMIFS(Table14[Quantity],Table14[Customer],$P$3,Table14[Date],$A257,Table14[Bill No.],$B257),IF($K257="XtraGreen",SUMIFS(Table146[Quantity],Table146[Company],$P$3,Table146[Date],$A257,Table146[Bill No.],$B257),""))))</f>
        <v/>
      </c>
      <c r="D257" s="223" t="str">
        <f>IF($A257="","",IF($K257="DIESEL",AVERAGEIFS(Table1[RSP],Table1[Customer],$P$3,Table1[Date],$A257,Table1[Bill No.],$B257),IF($K257="PETROL",AVERAGEIFS(Table14[RSP],Table14[Customer],$P$3,Table14[Date],$A257,Table14[Bill No.],$B257),IF($K257="XtraGreen",AVERAGEIFS(Table146[RSP],Table146[Company],$P$3,Table146[Date],$A257,Table146[Bill No.],$B257),IFERROR($E257/$C257,"")))))</f>
        <v/>
      </c>
      <c r="E257" s="330" t="str">
        <f>IF($A257="","",IF($K257="DIESEL",SUMIFS(Table1[Amount],Table1[Customer],$P$3,Table1[Date],$A257,Table1[Bill No.],$B257),IF($K257="PETROL",SUMIFS(Table14[Amount],Table14[Customer],$P$3,Table14[Date],$A257,Table14[Bill No.],$B257),IF($K257="XtraGreen",SUMIFS(Table146[Amount],Table146[Company],$P$3,Table146[Date],$A257,Table146[Bill No.],$B257),SUMIFS('Other Sale'!$D:$D,'Other Sale'!$E:$E,$P$3,'Other Sale'!$C:$C,$K257,'Other Sale'!$A:$A,$A257)))))</f>
        <v/>
      </c>
      <c r="F257" s="330" t="str" cm="1">
        <f t="array" ref="F257">IF($A257="","",IF($K257="Payment",IFERROR(INDEX(_xlfn._xlws.FILTER(MasterPaid[Amount Paid],(MasterPaid[Customer]=$P$3)*(MasterPaid[Date]=$A257)),COUNTIFS($A$6:$A257,$A257,$K$6:$K257,"Payment")),0),0))</f>
        <v/>
      </c>
      <c r="G257" s="331" t="s">
        <v>13</v>
      </c>
      <c r="H257" s="331"/>
      <c r="I257" s="330" t="str">
        <f t="shared" si="18"/>
        <v/>
      </c>
      <c r="J257" s="275"/>
      <c r="K257" s="289" t="str" cm="1">
        <f t="array" ref="K257">IFERROR(INDEX(_xlfn.ANCHORARRAY($R$6),ROW()-5,3),"")</f>
        <v/>
      </c>
      <c r="L257" s="430" t="str" cm="1">
        <f t="array" ref="L257">IF(OR($A257="",$J257="",$K257&lt;&gt;"DIESEL"),"",_xlfn.LET(_xlpm.qty,N($C257),_xlpm.pos,IF($J257="UNIT 1",$V$5:$V$54,$AC$5:$AC$54),_xlpm.alo,IF($J257="UNIT 1",$W$5:$W$54,$AD$5:$AD$54),_xlpm.usd,SUMIFS($C$6:$C256,$L$6:$L256,_xlpm.pos&amp;"",$J$6:$J256,$J257),_xlpm.bal,N(_xlpm.alo)-_xlpm.usd,IFERROR(INDEX(_xlfn._xlws.FILTER(_xlpm.pos,(_xlpm.pos&lt;&gt;"")*(_xlpm.qty&gt;0)*(_xlpm.bal&gt;=_xlpm.qty)),1),"")))</f>
        <v/>
      </c>
      <c r="M257" s="290"/>
      <c r="AQ257" s="409"/>
      <c r="AR257" s="410"/>
      <c r="AS257" s="410"/>
      <c r="AT257" s="411"/>
      <c r="AU257" s="412"/>
      <c r="AV257" s="413"/>
      <c r="AW257" s="413"/>
      <c r="AX257" s="413"/>
      <c r="AY257" s="413"/>
      <c r="AZ257" s="413" t="str">
        <f t="shared" si="16"/>
        <v/>
      </c>
      <c r="BB257" s="409"/>
      <c r="BC257" s="410"/>
      <c r="BD257" s="410"/>
      <c r="BE257" s="411"/>
      <c r="BF257" s="412"/>
      <c r="BG257" s="413"/>
      <c r="BH257" s="413"/>
      <c r="BI257" s="413"/>
      <c r="BJ257" s="413"/>
      <c r="BK257" s="413" t="str">
        <f t="shared" si="17"/>
        <v/>
      </c>
    </row>
    <row r="258" spans="1:63" ht="23" x14ac:dyDescent="0.25">
      <c r="A258" s="217" t="str" cm="1">
        <f t="array" ref="A258">IFERROR(INDEX(_xlfn.ANCHORARRAY($R$6),ROW()-5,1),"")</f>
        <v/>
      </c>
      <c r="B258" s="289" t="str" cm="1">
        <f t="array" ref="B258">IFERROR(INDEX(_xlfn.ANCHORARRAY($R$6),ROW()-5,2),"")</f>
        <v/>
      </c>
      <c r="C258" s="218" t="str">
        <f>IF($A258="","",IF($K258="DIESEL",SUMIFS(Table1[Quantity],Table1[Customer],$P$3,Table1[Date],$A258,Table1[Bill No.],$B258),IF($K258="PETROL",SUMIFS(Table14[Quantity],Table14[Customer],$P$3,Table14[Date],$A258,Table14[Bill No.],$B258),IF($K258="XtraGreen",SUMIFS(Table146[Quantity],Table146[Company],$P$3,Table146[Date],$A258,Table146[Bill No.],$B258),""))))</f>
        <v/>
      </c>
      <c r="D258" s="223" t="str">
        <f>IF($A258="","",IF($K258="DIESEL",AVERAGEIFS(Table1[RSP],Table1[Customer],$P$3,Table1[Date],$A258,Table1[Bill No.],$B258),IF($K258="PETROL",AVERAGEIFS(Table14[RSP],Table14[Customer],$P$3,Table14[Date],$A258,Table14[Bill No.],$B258),IF($K258="XtraGreen",AVERAGEIFS(Table146[RSP],Table146[Company],$P$3,Table146[Date],$A258,Table146[Bill No.],$B258),IFERROR($E258/$C258,"")))))</f>
        <v/>
      </c>
      <c r="E258" s="330" t="str">
        <f>IF($A258="","",IF($K258="DIESEL",SUMIFS(Table1[Amount],Table1[Customer],$P$3,Table1[Date],$A258,Table1[Bill No.],$B258),IF($K258="PETROL",SUMIFS(Table14[Amount],Table14[Customer],$P$3,Table14[Date],$A258,Table14[Bill No.],$B258),IF($K258="XtraGreen",SUMIFS(Table146[Amount],Table146[Company],$P$3,Table146[Date],$A258,Table146[Bill No.],$B258),SUMIFS('Other Sale'!$D:$D,'Other Sale'!$E:$E,$P$3,'Other Sale'!$C:$C,$K258,'Other Sale'!$A:$A,$A258)))))</f>
        <v/>
      </c>
      <c r="F258" s="330" t="str" cm="1">
        <f t="array" ref="F258">IF($A258="","",IF($K258="Payment",IFERROR(INDEX(_xlfn._xlws.FILTER(MasterPaid[Amount Paid],(MasterPaid[Customer]=$P$3)*(MasterPaid[Date]=$A258)),COUNTIFS($A$6:$A258,$A258,$K$6:$K258,"Payment")),0),0))</f>
        <v/>
      </c>
      <c r="G258" s="331" t="s">
        <v>13</v>
      </c>
      <c r="H258" s="331"/>
      <c r="I258" s="330" t="str">
        <f t="shared" si="18"/>
        <v/>
      </c>
      <c r="J258" s="275"/>
      <c r="K258" s="289" t="str" cm="1">
        <f t="array" ref="K258">IFERROR(INDEX(_xlfn.ANCHORARRAY($R$6),ROW()-5,3),"")</f>
        <v/>
      </c>
      <c r="L258" s="430" t="str" cm="1">
        <f t="array" ref="L258">IF(OR($A258="",$J258="",$K258&lt;&gt;"DIESEL"),"",_xlfn.LET(_xlpm.qty,N($C258),_xlpm.pos,IF($J258="UNIT 1",$V$5:$V$54,$AC$5:$AC$54),_xlpm.alo,IF($J258="UNIT 1",$W$5:$W$54,$AD$5:$AD$54),_xlpm.usd,SUMIFS($C$6:$C257,$L$6:$L257,_xlpm.pos&amp;"",$J$6:$J257,$J258),_xlpm.bal,N(_xlpm.alo)-_xlpm.usd,IFERROR(INDEX(_xlfn._xlws.FILTER(_xlpm.pos,(_xlpm.pos&lt;&gt;"")*(_xlpm.qty&gt;0)*(_xlpm.bal&gt;=_xlpm.qty)),1),"")))</f>
        <v/>
      </c>
      <c r="M258" s="290"/>
      <c r="AQ258" s="409"/>
      <c r="AR258" s="410"/>
      <c r="AS258" s="410"/>
      <c r="AT258" s="411"/>
      <c r="AU258" s="412"/>
      <c r="AV258" s="413"/>
      <c r="AW258" s="413"/>
      <c r="AX258" s="413"/>
      <c r="AY258" s="413"/>
      <c r="AZ258" s="413" t="str">
        <f t="shared" si="16"/>
        <v/>
      </c>
      <c r="BB258" s="409"/>
      <c r="BC258" s="410"/>
      <c r="BD258" s="410"/>
      <c r="BE258" s="411"/>
      <c r="BF258" s="412"/>
      <c r="BG258" s="413"/>
      <c r="BH258" s="413"/>
      <c r="BI258" s="413"/>
      <c r="BJ258" s="413"/>
      <c r="BK258" s="413" t="str">
        <f t="shared" si="17"/>
        <v/>
      </c>
    </row>
    <row r="259" spans="1:63" ht="23" x14ac:dyDescent="0.25">
      <c r="A259" s="217" t="str" cm="1">
        <f t="array" ref="A259">IFERROR(INDEX(_xlfn.ANCHORARRAY($R$6),ROW()-5,1),"")</f>
        <v/>
      </c>
      <c r="B259" s="289" t="str" cm="1">
        <f t="array" ref="B259">IFERROR(INDEX(_xlfn.ANCHORARRAY($R$6),ROW()-5,2),"")</f>
        <v/>
      </c>
      <c r="C259" s="218" t="str">
        <f>IF($A259="","",IF($K259="DIESEL",SUMIFS(Table1[Quantity],Table1[Customer],$P$3,Table1[Date],$A259,Table1[Bill No.],$B259),IF($K259="PETROL",SUMIFS(Table14[Quantity],Table14[Customer],$P$3,Table14[Date],$A259,Table14[Bill No.],$B259),IF($K259="XtraGreen",SUMIFS(Table146[Quantity],Table146[Company],$P$3,Table146[Date],$A259,Table146[Bill No.],$B259),""))))</f>
        <v/>
      </c>
      <c r="D259" s="223" t="str">
        <f>IF($A259="","",IF($K259="DIESEL",AVERAGEIFS(Table1[RSP],Table1[Customer],$P$3,Table1[Date],$A259,Table1[Bill No.],$B259),IF($K259="PETROL",AVERAGEIFS(Table14[RSP],Table14[Customer],$P$3,Table14[Date],$A259,Table14[Bill No.],$B259),IF($K259="XtraGreen",AVERAGEIFS(Table146[RSP],Table146[Company],$P$3,Table146[Date],$A259,Table146[Bill No.],$B259),IFERROR($E259/$C259,"")))))</f>
        <v/>
      </c>
      <c r="E259" s="330" t="str">
        <f>IF($A259="","",IF($K259="DIESEL",SUMIFS(Table1[Amount],Table1[Customer],$P$3,Table1[Date],$A259,Table1[Bill No.],$B259),IF($K259="PETROL",SUMIFS(Table14[Amount],Table14[Customer],$P$3,Table14[Date],$A259,Table14[Bill No.],$B259),IF($K259="XtraGreen",SUMIFS(Table146[Amount],Table146[Company],$P$3,Table146[Date],$A259,Table146[Bill No.],$B259),SUMIFS('Other Sale'!$D:$D,'Other Sale'!$E:$E,$P$3,'Other Sale'!$C:$C,$K259,'Other Sale'!$A:$A,$A259)))))</f>
        <v/>
      </c>
      <c r="F259" s="330" t="str" cm="1">
        <f t="array" ref="F259">IF($A259="","",IF($K259="Payment",IFERROR(INDEX(_xlfn._xlws.FILTER(MasterPaid[Amount Paid],(MasterPaid[Customer]=$P$3)*(MasterPaid[Date]=$A259)),COUNTIFS($A$6:$A259,$A259,$K$6:$K259,"Payment")),0),0))</f>
        <v/>
      </c>
      <c r="G259" s="331" t="s">
        <v>13</v>
      </c>
      <c r="H259" s="331"/>
      <c r="I259" s="330" t="str">
        <f t="shared" si="18"/>
        <v/>
      </c>
      <c r="J259" s="275"/>
      <c r="K259" s="289" t="str" cm="1">
        <f t="array" ref="K259">IFERROR(INDEX(_xlfn.ANCHORARRAY($R$6),ROW()-5,3),"")</f>
        <v/>
      </c>
      <c r="L259" s="430" t="str" cm="1">
        <f t="array" ref="L259">IF(OR($A259="",$J259="",$K259&lt;&gt;"DIESEL"),"",_xlfn.LET(_xlpm.qty,N($C259),_xlpm.pos,IF($J259="UNIT 1",$V$5:$V$54,$AC$5:$AC$54),_xlpm.alo,IF($J259="UNIT 1",$W$5:$W$54,$AD$5:$AD$54),_xlpm.usd,SUMIFS($C$6:$C258,$L$6:$L258,_xlpm.pos&amp;"",$J$6:$J258,$J259),_xlpm.bal,N(_xlpm.alo)-_xlpm.usd,IFERROR(INDEX(_xlfn._xlws.FILTER(_xlpm.pos,(_xlpm.pos&lt;&gt;"")*(_xlpm.qty&gt;0)*(_xlpm.bal&gt;=_xlpm.qty)),1),"")))</f>
        <v/>
      </c>
      <c r="M259" s="290"/>
      <c r="AQ259" s="409"/>
      <c r="AR259" s="410"/>
      <c r="AS259" s="410"/>
      <c r="AT259" s="411"/>
      <c r="AU259" s="412"/>
      <c r="AV259" s="413"/>
      <c r="AW259" s="413"/>
      <c r="AX259" s="413"/>
      <c r="AY259" s="413"/>
      <c r="AZ259" s="413" t="str">
        <f t="shared" si="16"/>
        <v/>
      </c>
      <c r="BB259" s="409"/>
      <c r="BC259" s="410"/>
      <c r="BD259" s="410"/>
      <c r="BE259" s="411"/>
      <c r="BF259" s="412"/>
      <c r="BG259" s="413"/>
      <c r="BH259" s="413"/>
      <c r="BI259" s="413"/>
      <c r="BJ259" s="413"/>
      <c r="BK259" s="413" t="str">
        <f t="shared" si="17"/>
        <v/>
      </c>
    </row>
    <row r="260" spans="1:63" ht="23" x14ac:dyDescent="0.25">
      <c r="A260" s="217" t="str" cm="1">
        <f t="array" ref="A260">IFERROR(INDEX(_xlfn.ANCHORARRAY($R$6),ROW()-5,1),"")</f>
        <v/>
      </c>
      <c r="B260" s="289" t="str" cm="1">
        <f t="array" ref="B260">IFERROR(INDEX(_xlfn.ANCHORARRAY($R$6),ROW()-5,2),"")</f>
        <v/>
      </c>
      <c r="C260" s="218" t="str">
        <f>IF($A260="","",IF($K260="DIESEL",SUMIFS(Table1[Quantity],Table1[Customer],$P$3,Table1[Date],$A260,Table1[Bill No.],$B260),IF($K260="PETROL",SUMIFS(Table14[Quantity],Table14[Customer],$P$3,Table14[Date],$A260,Table14[Bill No.],$B260),IF($K260="XtraGreen",SUMIFS(Table146[Quantity],Table146[Company],$P$3,Table146[Date],$A260,Table146[Bill No.],$B260),""))))</f>
        <v/>
      </c>
      <c r="D260" s="223" t="str">
        <f>IF($A260="","",IF($K260="DIESEL",AVERAGEIFS(Table1[RSP],Table1[Customer],$P$3,Table1[Date],$A260,Table1[Bill No.],$B260),IF($K260="PETROL",AVERAGEIFS(Table14[RSP],Table14[Customer],$P$3,Table14[Date],$A260,Table14[Bill No.],$B260),IF($K260="XtraGreen",AVERAGEIFS(Table146[RSP],Table146[Company],$P$3,Table146[Date],$A260,Table146[Bill No.],$B260),IFERROR($E260/$C260,"")))))</f>
        <v/>
      </c>
      <c r="E260" s="330" t="str">
        <f>IF($A260="","",IF($K260="DIESEL",SUMIFS(Table1[Amount],Table1[Customer],$P$3,Table1[Date],$A260,Table1[Bill No.],$B260),IF($K260="PETROL",SUMIFS(Table14[Amount],Table14[Customer],$P$3,Table14[Date],$A260,Table14[Bill No.],$B260),IF($K260="XtraGreen",SUMIFS(Table146[Amount],Table146[Company],$P$3,Table146[Date],$A260,Table146[Bill No.],$B260),SUMIFS('Other Sale'!$D:$D,'Other Sale'!$E:$E,$P$3,'Other Sale'!$C:$C,$K260,'Other Sale'!$A:$A,$A260)))))</f>
        <v/>
      </c>
      <c r="F260" s="330" t="str" cm="1">
        <f t="array" ref="F260">IF($A260="","",IF($K260="Payment",IFERROR(INDEX(_xlfn._xlws.FILTER(MasterPaid[Amount Paid],(MasterPaid[Customer]=$P$3)*(MasterPaid[Date]=$A260)),COUNTIFS($A$6:$A260,$A260,$K$6:$K260,"Payment")),0),0))</f>
        <v/>
      </c>
      <c r="G260" s="331" t="s">
        <v>13</v>
      </c>
      <c r="H260" s="331"/>
      <c r="I260" s="330" t="str">
        <f t="shared" si="18"/>
        <v/>
      </c>
      <c r="J260" s="275"/>
      <c r="K260" s="289" t="str" cm="1">
        <f t="array" ref="K260">IFERROR(INDEX(_xlfn.ANCHORARRAY($R$6),ROW()-5,3),"")</f>
        <v/>
      </c>
      <c r="L260" s="430" t="str" cm="1">
        <f t="array" ref="L260">IF(OR($A260="",$J260="",$K260&lt;&gt;"DIESEL"),"",_xlfn.LET(_xlpm.qty,N($C260),_xlpm.pos,IF($J260="UNIT 1",$V$5:$V$54,$AC$5:$AC$54),_xlpm.alo,IF($J260="UNIT 1",$W$5:$W$54,$AD$5:$AD$54),_xlpm.usd,SUMIFS($C$6:$C259,$L$6:$L259,_xlpm.pos&amp;"",$J$6:$J259,$J260),_xlpm.bal,N(_xlpm.alo)-_xlpm.usd,IFERROR(INDEX(_xlfn._xlws.FILTER(_xlpm.pos,(_xlpm.pos&lt;&gt;"")*(_xlpm.qty&gt;0)*(_xlpm.bal&gt;=_xlpm.qty)),1),"")))</f>
        <v/>
      </c>
      <c r="M260" s="290"/>
      <c r="AQ260" s="409"/>
      <c r="AR260" s="410"/>
      <c r="AS260" s="410"/>
      <c r="AT260" s="411"/>
      <c r="AU260" s="412"/>
      <c r="AV260" s="413"/>
      <c r="AW260" s="413"/>
      <c r="AX260" s="413"/>
      <c r="AY260" s="413"/>
      <c r="AZ260" s="413" t="str">
        <f t="shared" si="16"/>
        <v/>
      </c>
      <c r="BB260" s="409"/>
      <c r="BC260" s="410"/>
      <c r="BD260" s="410"/>
      <c r="BE260" s="411"/>
      <c r="BF260" s="412"/>
      <c r="BG260" s="413"/>
      <c r="BH260" s="413"/>
      <c r="BI260" s="413"/>
      <c r="BJ260" s="413"/>
      <c r="BK260" s="413" t="str">
        <f t="shared" si="17"/>
        <v/>
      </c>
    </row>
    <row r="261" spans="1:63" ht="23" x14ac:dyDescent="0.25">
      <c r="A261" s="217" t="str" cm="1">
        <f t="array" ref="A261">IFERROR(INDEX(_xlfn.ANCHORARRAY($R$6),ROW()-5,1),"")</f>
        <v/>
      </c>
      <c r="B261" s="289" t="str" cm="1">
        <f t="array" ref="B261">IFERROR(INDEX(_xlfn.ANCHORARRAY($R$6),ROW()-5,2),"")</f>
        <v/>
      </c>
      <c r="C261" s="218" t="str">
        <f>IF($A261="","",IF($K261="DIESEL",SUMIFS(Table1[Quantity],Table1[Customer],$P$3,Table1[Date],$A261,Table1[Bill No.],$B261),IF($K261="PETROL",SUMIFS(Table14[Quantity],Table14[Customer],$P$3,Table14[Date],$A261,Table14[Bill No.],$B261),IF($K261="XtraGreen",SUMIFS(Table146[Quantity],Table146[Company],$P$3,Table146[Date],$A261,Table146[Bill No.],$B261),""))))</f>
        <v/>
      </c>
      <c r="D261" s="223" t="str">
        <f>IF($A261="","",IF($K261="DIESEL",AVERAGEIFS(Table1[RSP],Table1[Customer],$P$3,Table1[Date],$A261,Table1[Bill No.],$B261),IF($K261="PETROL",AVERAGEIFS(Table14[RSP],Table14[Customer],$P$3,Table14[Date],$A261,Table14[Bill No.],$B261),IF($K261="XtraGreen",AVERAGEIFS(Table146[RSP],Table146[Company],$P$3,Table146[Date],$A261,Table146[Bill No.],$B261),IFERROR($E261/$C261,"")))))</f>
        <v/>
      </c>
      <c r="E261" s="330" t="str">
        <f>IF($A261="","",IF($K261="DIESEL",SUMIFS(Table1[Amount],Table1[Customer],$P$3,Table1[Date],$A261,Table1[Bill No.],$B261),IF($K261="PETROL",SUMIFS(Table14[Amount],Table14[Customer],$P$3,Table14[Date],$A261,Table14[Bill No.],$B261),IF($K261="XtraGreen",SUMIFS(Table146[Amount],Table146[Company],$P$3,Table146[Date],$A261,Table146[Bill No.],$B261),SUMIFS('Other Sale'!$D:$D,'Other Sale'!$E:$E,$P$3,'Other Sale'!$C:$C,$K261,'Other Sale'!$A:$A,$A261)))))</f>
        <v/>
      </c>
      <c r="F261" s="330" t="str" cm="1">
        <f t="array" ref="F261">IF($A261="","",IF($K261="Payment",IFERROR(INDEX(_xlfn._xlws.FILTER(MasterPaid[Amount Paid],(MasterPaid[Customer]=$P$3)*(MasterPaid[Date]=$A261)),COUNTIFS($A$6:$A261,$A261,$K$6:$K261,"Payment")),0),0))</f>
        <v/>
      </c>
      <c r="G261" s="331" t="s">
        <v>13</v>
      </c>
      <c r="H261" s="331"/>
      <c r="I261" s="330" t="str">
        <f t="shared" si="18"/>
        <v/>
      </c>
      <c r="J261" s="275"/>
      <c r="K261" s="289" t="str" cm="1">
        <f t="array" ref="K261">IFERROR(INDEX(_xlfn.ANCHORARRAY($R$6),ROW()-5,3),"")</f>
        <v/>
      </c>
      <c r="L261" s="430" t="str" cm="1">
        <f t="array" ref="L261">IF(OR($A261="",$J261="",$K261&lt;&gt;"DIESEL"),"",_xlfn.LET(_xlpm.qty,N($C261),_xlpm.pos,IF($J261="UNIT 1",$V$5:$V$54,$AC$5:$AC$54),_xlpm.alo,IF($J261="UNIT 1",$W$5:$W$54,$AD$5:$AD$54),_xlpm.usd,SUMIFS($C$6:$C260,$L$6:$L260,_xlpm.pos&amp;"",$J$6:$J260,$J261),_xlpm.bal,N(_xlpm.alo)-_xlpm.usd,IFERROR(INDEX(_xlfn._xlws.FILTER(_xlpm.pos,(_xlpm.pos&lt;&gt;"")*(_xlpm.qty&gt;0)*(_xlpm.bal&gt;=_xlpm.qty)),1),"")))</f>
        <v/>
      </c>
      <c r="M261" s="290"/>
      <c r="AQ261" s="409"/>
      <c r="AR261" s="410"/>
      <c r="AS261" s="410"/>
      <c r="AT261" s="411"/>
      <c r="AU261" s="412"/>
      <c r="AV261" s="413"/>
      <c r="AW261" s="413"/>
      <c r="AX261" s="413"/>
      <c r="AY261" s="413"/>
      <c r="AZ261" s="413" t="str">
        <f t="shared" si="16"/>
        <v/>
      </c>
      <c r="BB261" s="409"/>
      <c r="BC261" s="410"/>
      <c r="BD261" s="410"/>
      <c r="BE261" s="411"/>
      <c r="BF261" s="412"/>
      <c r="BG261" s="413"/>
      <c r="BH261" s="413"/>
      <c r="BI261" s="413"/>
      <c r="BJ261" s="413"/>
      <c r="BK261" s="413" t="str">
        <f t="shared" si="17"/>
        <v/>
      </c>
    </row>
    <row r="262" spans="1:63" ht="23" x14ac:dyDescent="0.25">
      <c r="A262" s="217" t="str" cm="1">
        <f t="array" ref="A262">IFERROR(INDEX(_xlfn.ANCHORARRAY($R$6),ROW()-5,1),"")</f>
        <v/>
      </c>
      <c r="B262" s="289" t="str" cm="1">
        <f t="array" ref="B262">IFERROR(INDEX(_xlfn.ANCHORARRAY($R$6),ROW()-5,2),"")</f>
        <v/>
      </c>
      <c r="C262" s="218" t="str">
        <f>IF($A262="","",IF($K262="DIESEL",SUMIFS(Table1[Quantity],Table1[Customer],$P$3,Table1[Date],$A262,Table1[Bill No.],$B262),IF($K262="PETROL",SUMIFS(Table14[Quantity],Table14[Customer],$P$3,Table14[Date],$A262,Table14[Bill No.],$B262),IF($K262="XtraGreen",SUMIFS(Table146[Quantity],Table146[Company],$P$3,Table146[Date],$A262,Table146[Bill No.],$B262),""))))</f>
        <v/>
      </c>
      <c r="D262" s="223" t="str">
        <f>IF($A262="","",IF($K262="DIESEL",AVERAGEIFS(Table1[RSP],Table1[Customer],$P$3,Table1[Date],$A262,Table1[Bill No.],$B262),IF($K262="PETROL",AVERAGEIFS(Table14[RSP],Table14[Customer],$P$3,Table14[Date],$A262,Table14[Bill No.],$B262),IF($K262="XtraGreen",AVERAGEIFS(Table146[RSP],Table146[Company],$P$3,Table146[Date],$A262,Table146[Bill No.],$B262),IFERROR($E262/$C262,"")))))</f>
        <v/>
      </c>
      <c r="E262" s="330" t="str">
        <f>IF($A262="","",IF($K262="DIESEL",SUMIFS(Table1[Amount],Table1[Customer],$P$3,Table1[Date],$A262,Table1[Bill No.],$B262),IF($K262="PETROL",SUMIFS(Table14[Amount],Table14[Customer],$P$3,Table14[Date],$A262,Table14[Bill No.],$B262),IF($K262="XtraGreen",SUMIFS(Table146[Amount],Table146[Company],$P$3,Table146[Date],$A262,Table146[Bill No.],$B262),SUMIFS('Other Sale'!$D:$D,'Other Sale'!$E:$E,$P$3,'Other Sale'!$C:$C,$K262,'Other Sale'!$A:$A,$A262)))))</f>
        <v/>
      </c>
      <c r="F262" s="330" t="str" cm="1">
        <f t="array" ref="F262">IF($A262="","",IF($K262="Payment",IFERROR(INDEX(_xlfn._xlws.FILTER(MasterPaid[Amount Paid],(MasterPaid[Customer]=$P$3)*(MasterPaid[Date]=$A262)),COUNTIFS($A$6:$A262,$A262,$K$6:$K262,"Payment")),0),0))</f>
        <v/>
      </c>
      <c r="G262" s="331" t="s">
        <v>13</v>
      </c>
      <c r="H262" s="331"/>
      <c r="I262" s="330" t="str">
        <f t="shared" si="18"/>
        <v/>
      </c>
      <c r="J262" s="275"/>
      <c r="K262" s="289" t="str" cm="1">
        <f t="array" ref="K262">IFERROR(INDEX(_xlfn.ANCHORARRAY($R$6),ROW()-5,3),"")</f>
        <v/>
      </c>
      <c r="L262" s="430" t="str" cm="1">
        <f t="array" ref="L262">IF(OR($A262="",$J262="",$K262&lt;&gt;"DIESEL"),"",_xlfn.LET(_xlpm.qty,N($C262),_xlpm.pos,IF($J262="UNIT 1",$V$5:$V$54,$AC$5:$AC$54),_xlpm.alo,IF($J262="UNIT 1",$W$5:$W$54,$AD$5:$AD$54),_xlpm.usd,SUMIFS($C$6:$C261,$L$6:$L261,_xlpm.pos&amp;"",$J$6:$J261,$J262),_xlpm.bal,N(_xlpm.alo)-_xlpm.usd,IFERROR(INDEX(_xlfn._xlws.FILTER(_xlpm.pos,(_xlpm.pos&lt;&gt;"")*(_xlpm.qty&gt;0)*(_xlpm.bal&gt;=_xlpm.qty)),1),"")))</f>
        <v/>
      </c>
      <c r="M262" s="290"/>
      <c r="AQ262" s="409"/>
      <c r="AR262" s="410"/>
      <c r="AS262" s="410"/>
      <c r="AT262" s="411"/>
      <c r="AU262" s="412"/>
      <c r="AV262" s="413"/>
      <c r="AW262" s="413"/>
      <c r="AX262" s="413"/>
      <c r="AY262" s="413"/>
      <c r="AZ262" s="413" t="str">
        <f t="shared" si="16"/>
        <v/>
      </c>
      <c r="BB262" s="409"/>
      <c r="BC262" s="410"/>
      <c r="BD262" s="410"/>
      <c r="BE262" s="411"/>
      <c r="BF262" s="412"/>
      <c r="BG262" s="413"/>
      <c r="BH262" s="413"/>
      <c r="BI262" s="413"/>
      <c r="BJ262" s="413"/>
      <c r="BK262" s="413" t="str">
        <f t="shared" si="17"/>
        <v/>
      </c>
    </row>
    <row r="263" spans="1:63" ht="23" x14ac:dyDescent="0.25">
      <c r="A263" s="217" t="str" cm="1">
        <f t="array" ref="A263">IFERROR(INDEX(_xlfn.ANCHORARRAY($R$6),ROW()-5,1),"")</f>
        <v/>
      </c>
      <c r="B263" s="289" t="str" cm="1">
        <f t="array" ref="B263">IFERROR(INDEX(_xlfn.ANCHORARRAY($R$6),ROW()-5,2),"")</f>
        <v/>
      </c>
      <c r="C263" s="218" t="str">
        <f>IF($A263="","",IF($K263="DIESEL",SUMIFS(Table1[Quantity],Table1[Customer],$P$3,Table1[Date],$A263,Table1[Bill No.],$B263),IF($K263="PETROL",SUMIFS(Table14[Quantity],Table14[Customer],$P$3,Table14[Date],$A263,Table14[Bill No.],$B263),IF($K263="XtraGreen",SUMIFS(Table146[Quantity],Table146[Company],$P$3,Table146[Date],$A263,Table146[Bill No.],$B263),""))))</f>
        <v/>
      </c>
      <c r="D263" s="223" t="str">
        <f>IF($A263="","",IF($K263="DIESEL",AVERAGEIFS(Table1[RSP],Table1[Customer],$P$3,Table1[Date],$A263,Table1[Bill No.],$B263),IF($K263="PETROL",AVERAGEIFS(Table14[RSP],Table14[Customer],$P$3,Table14[Date],$A263,Table14[Bill No.],$B263),IF($K263="XtraGreen",AVERAGEIFS(Table146[RSP],Table146[Company],$P$3,Table146[Date],$A263,Table146[Bill No.],$B263),IFERROR($E263/$C263,"")))))</f>
        <v/>
      </c>
      <c r="E263" s="330" t="str">
        <f>IF($A263="","",IF($K263="DIESEL",SUMIFS(Table1[Amount],Table1[Customer],$P$3,Table1[Date],$A263,Table1[Bill No.],$B263),IF($K263="PETROL",SUMIFS(Table14[Amount],Table14[Customer],$P$3,Table14[Date],$A263,Table14[Bill No.],$B263),IF($K263="XtraGreen",SUMIFS(Table146[Amount],Table146[Company],$P$3,Table146[Date],$A263,Table146[Bill No.],$B263),SUMIFS('Other Sale'!$D:$D,'Other Sale'!$E:$E,$P$3,'Other Sale'!$C:$C,$K263,'Other Sale'!$A:$A,$A263)))))</f>
        <v/>
      </c>
      <c r="F263" s="330" t="str" cm="1">
        <f t="array" ref="F263">IF($A263="","",IF($K263="Payment",IFERROR(INDEX(_xlfn._xlws.FILTER(MasterPaid[Amount Paid],(MasterPaid[Customer]=$P$3)*(MasterPaid[Date]=$A263)),COUNTIFS($A$6:$A263,$A263,$K$6:$K263,"Payment")),0),0))</f>
        <v/>
      </c>
      <c r="G263" s="331" t="s">
        <v>13</v>
      </c>
      <c r="H263" s="331"/>
      <c r="I263" s="330" t="str">
        <f t="shared" si="18"/>
        <v/>
      </c>
      <c r="J263" s="275"/>
      <c r="K263" s="289" t="str" cm="1">
        <f t="array" ref="K263">IFERROR(INDEX(_xlfn.ANCHORARRAY($R$6),ROW()-5,3),"")</f>
        <v/>
      </c>
      <c r="L263" s="430" t="str" cm="1">
        <f t="array" ref="L263">IF(OR($A263="",$J263="",$K263&lt;&gt;"DIESEL"),"",_xlfn.LET(_xlpm.qty,N($C263),_xlpm.pos,IF($J263="UNIT 1",$V$5:$V$54,$AC$5:$AC$54),_xlpm.alo,IF($J263="UNIT 1",$W$5:$W$54,$AD$5:$AD$54),_xlpm.usd,SUMIFS($C$6:$C262,$L$6:$L262,_xlpm.pos&amp;"",$J$6:$J262,$J263),_xlpm.bal,N(_xlpm.alo)-_xlpm.usd,IFERROR(INDEX(_xlfn._xlws.FILTER(_xlpm.pos,(_xlpm.pos&lt;&gt;"")*(_xlpm.qty&gt;0)*(_xlpm.bal&gt;=_xlpm.qty)),1),"")))</f>
        <v/>
      </c>
      <c r="M263" s="290"/>
      <c r="AQ263" s="409"/>
      <c r="AR263" s="410"/>
      <c r="AS263" s="410"/>
      <c r="AT263" s="411"/>
      <c r="AU263" s="412"/>
      <c r="AV263" s="413"/>
      <c r="AW263" s="413"/>
      <c r="AX263" s="413"/>
      <c r="AY263" s="413"/>
      <c r="AZ263" s="413" t="str">
        <f t="shared" ref="AZ263:AZ326" si="19">IF($AQ263="","",AZ262+N(AV263)-N(AW263)-N(AX263)-N(AY263))</f>
        <v/>
      </c>
      <c r="BB263" s="409"/>
      <c r="BC263" s="410"/>
      <c r="BD263" s="410"/>
      <c r="BE263" s="411"/>
      <c r="BF263" s="412"/>
      <c r="BG263" s="413"/>
      <c r="BH263" s="413"/>
      <c r="BI263" s="413"/>
      <c r="BJ263" s="413"/>
      <c r="BK263" s="413" t="str">
        <f t="shared" ref="BK263:BK326" si="20">IF($BB263="","",BK262+N(BG263)-N(BH263)-N(BI263)-N(BJ263))</f>
        <v/>
      </c>
    </row>
    <row r="264" spans="1:63" ht="23" x14ac:dyDescent="0.25">
      <c r="A264" s="217" t="str" cm="1">
        <f t="array" ref="A264">IFERROR(INDEX(_xlfn.ANCHORARRAY($R$6),ROW()-5,1),"")</f>
        <v/>
      </c>
      <c r="B264" s="289" t="str" cm="1">
        <f t="array" ref="B264">IFERROR(INDEX(_xlfn.ANCHORARRAY($R$6),ROW()-5,2),"")</f>
        <v/>
      </c>
      <c r="C264" s="218" t="str">
        <f>IF($A264="","",IF($K264="DIESEL",SUMIFS(Table1[Quantity],Table1[Customer],$P$3,Table1[Date],$A264,Table1[Bill No.],$B264),IF($K264="PETROL",SUMIFS(Table14[Quantity],Table14[Customer],$P$3,Table14[Date],$A264,Table14[Bill No.],$B264),IF($K264="XtraGreen",SUMIFS(Table146[Quantity],Table146[Company],$P$3,Table146[Date],$A264,Table146[Bill No.],$B264),""))))</f>
        <v/>
      </c>
      <c r="D264" s="223" t="str">
        <f>IF($A264="","",IF($K264="DIESEL",AVERAGEIFS(Table1[RSP],Table1[Customer],$P$3,Table1[Date],$A264,Table1[Bill No.],$B264),IF($K264="PETROL",AVERAGEIFS(Table14[RSP],Table14[Customer],$P$3,Table14[Date],$A264,Table14[Bill No.],$B264),IF($K264="XtraGreen",AVERAGEIFS(Table146[RSP],Table146[Company],$P$3,Table146[Date],$A264,Table146[Bill No.],$B264),IFERROR($E264/$C264,"")))))</f>
        <v/>
      </c>
      <c r="E264" s="330" t="str">
        <f>IF($A264="","",IF($K264="DIESEL",SUMIFS(Table1[Amount],Table1[Customer],$P$3,Table1[Date],$A264,Table1[Bill No.],$B264),IF($K264="PETROL",SUMIFS(Table14[Amount],Table14[Customer],$P$3,Table14[Date],$A264,Table14[Bill No.],$B264),IF($K264="XtraGreen",SUMIFS(Table146[Amount],Table146[Company],$P$3,Table146[Date],$A264,Table146[Bill No.],$B264),SUMIFS('Other Sale'!$D:$D,'Other Sale'!$E:$E,$P$3,'Other Sale'!$C:$C,$K264,'Other Sale'!$A:$A,$A264)))))</f>
        <v/>
      </c>
      <c r="F264" s="330" t="str" cm="1">
        <f t="array" ref="F264">IF($A264="","",IF($K264="Payment",IFERROR(INDEX(_xlfn._xlws.FILTER(MasterPaid[Amount Paid],(MasterPaid[Customer]=$P$3)*(MasterPaid[Date]=$A264)),COUNTIFS($A$6:$A264,$A264,$K$6:$K264,"Payment")),0),0))</f>
        <v/>
      </c>
      <c r="G264" s="331" t="s">
        <v>13</v>
      </c>
      <c r="H264" s="331"/>
      <c r="I264" s="330" t="str">
        <f t="shared" si="18"/>
        <v/>
      </c>
      <c r="J264" s="275"/>
      <c r="K264" s="289" t="str" cm="1">
        <f t="array" ref="K264">IFERROR(INDEX(_xlfn.ANCHORARRAY($R$6),ROW()-5,3),"")</f>
        <v/>
      </c>
      <c r="L264" s="430" t="str" cm="1">
        <f t="array" ref="L264">IF(OR($A264="",$J264="",$K264&lt;&gt;"DIESEL"),"",_xlfn.LET(_xlpm.qty,N($C264),_xlpm.pos,IF($J264="UNIT 1",$V$5:$V$54,$AC$5:$AC$54),_xlpm.alo,IF($J264="UNIT 1",$W$5:$W$54,$AD$5:$AD$54),_xlpm.usd,SUMIFS($C$6:$C263,$L$6:$L263,_xlpm.pos&amp;"",$J$6:$J263,$J264),_xlpm.bal,N(_xlpm.alo)-_xlpm.usd,IFERROR(INDEX(_xlfn._xlws.FILTER(_xlpm.pos,(_xlpm.pos&lt;&gt;"")*(_xlpm.qty&gt;0)*(_xlpm.bal&gt;=_xlpm.qty)),1),"")))</f>
        <v/>
      </c>
      <c r="M264" s="290"/>
      <c r="AQ264" s="409"/>
      <c r="AR264" s="410"/>
      <c r="AS264" s="410"/>
      <c r="AT264" s="411"/>
      <c r="AU264" s="412"/>
      <c r="AV264" s="413"/>
      <c r="AW264" s="413"/>
      <c r="AX264" s="413"/>
      <c r="AY264" s="413"/>
      <c r="AZ264" s="413" t="str">
        <f t="shared" si="19"/>
        <v/>
      </c>
      <c r="BB264" s="409"/>
      <c r="BC264" s="410"/>
      <c r="BD264" s="410"/>
      <c r="BE264" s="411"/>
      <c r="BF264" s="412"/>
      <c r="BG264" s="413"/>
      <c r="BH264" s="413"/>
      <c r="BI264" s="413"/>
      <c r="BJ264" s="413"/>
      <c r="BK264" s="413" t="str">
        <f t="shared" si="20"/>
        <v/>
      </c>
    </row>
    <row r="265" spans="1:63" ht="23" x14ac:dyDescent="0.25">
      <c r="A265" s="217" t="str" cm="1">
        <f t="array" ref="A265">IFERROR(INDEX(_xlfn.ANCHORARRAY($R$6),ROW()-5,1),"")</f>
        <v/>
      </c>
      <c r="B265" s="289" t="str" cm="1">
        <f t="array" ref="B265">IFERROR(INDEX(_xlfn.ANCHORARRAY($R$6),ROW()-5,2),"")</f>
        <v/>
      </c>
      <c r="C265" s="218" t="str">
        <f>IF($A265="","",IF($K265="DIESEL",SUMIFS(Table1[Quantity],Table1[Customer],$P$3,Table1[Date],$A265,Table1[Bill No.],$B265),IF($K265="PETROL",SUMIFS(Table14[Quantity],Table14[Customer],$P$3,Table14[Date],$A265,Table14[Bill No.],$B265),IF($K265="XtraGreen",SUMIFS(Table146[Quantity],Table146[Company],$P$3,Table146[Date],$A265,Table146[Bill No.],$B265),""))))</f>
        <v/>
      </c>
      <c r="D265" s="223" t="str">
        <f>IF($A265="","",IF($K265="DIESEL",AVERAGEIFS(Table1[RSP],Table1[Customer],$P$3,Table1[Date],$A265,Table1[Bill No.],$B265),IF($K265="PETROL",AVERAGEIFS(Table14[RSP],Table14[Customer],$P$3,Table14[Date],$A265,Table14[Bill No.],$B265),IF($K265="XtraGreen",AVERAGEIFS(Table146[RSP],Table146[Company],$P$3,Table146[Date],$A265,Table146[Bill No.],$B265),IFERROR($E265/$C265,"")))))</f>
        <v/>
      </c>
      <c r="E265" s="330" t="str">
        <f>IF($A265="","",IF($K265="DIESEL",SUMIFS(Table1[Amount],Table1[Customer],$P$3,Table1[Date],$A265,Table1[Bill No.],$B265),IF($K265="PETROL",SUMIFS(Table14[Amount],Table14[Customer],$P$3,Table14[Date],$A265,Table14[Bill No.],$B265),IF($K265="XtraGreen",SUMIFS(Table146[Amount],Table146[Company],$P$3,Table146[Date],$A265,Table146[Bill No.],$B265),SUMIFS('Other Sale'!$D:$D,'Other Sale'!$E:$E,$P$3,'Other Sale'!$C:$C,$K265,'Other Sale'!$A:$A,$A265)))))</f>
        <v/>
      </c>
      <c r="F265" s="330" t="str" cm="1">
        <f t="array" ref="F265">IF($A265="","",IF($K265="Payment",IFERROR(INDEX(_xlfn._xlws.FILTER(MasterPaid[Amount Paid],(MasterPaid[Customer]=$P$3)*(MasterPaid[Date]=$A265)),COUNTIFS($A$6:$A265,$A265,$K$6:$K265,"Payment")),0),0))</f>
        <v/>
      </c>
      <c r="G265" s="331" t="s">
        <v>13</v>
      </c>
      <c r="H265" s="331"/>
      <c r="I265" s="330" t="str">
        <f t="shared" si="18"/>
        <v/>
      </c>
      <c r="J265" s="275"/>
      <c r="K265" s="289" t="str" cm="1">
        <f t="array" ref="K265">IFERROR(INDEX(_xlfn.ANCHORARRAY($R$6),ROW()-5,3),"")</f>
        <v/>
      </c>
      <c r="L265" s="430" t="str" cm="1">
        <f t="array" ref="L265">IF(OR($A265="",$J265="",$K265&lt;&gt;"DIESEL"),"",_xlfn.LET(_xlpm.qty,N($C265),_xlpm.pos,IF($J265="UNIT 1",$V$5:$V$54,$AC$5:$AC$54),_xlpm.alo,IF($J265="UNIT 1",$W$5:$W$54,$AD$5:$AD$54),_xlpm.usd,SUMIFS($C$6:$C264,$L$6:$L264,_xlpm.pos&amp;"",$J$6:$J264,$J265),_xlpm.bal,N(_xlpm.alo)-_xlpm.usd,IFERROR(INDEX(_xlfn._xlws.FILTER(_xlpm.pos,(_xlpm.pos&lt;&gt;"")*(_xlpm.qty&gt;0)*(_xlpm.bal&gt;=_xlpm.qty)),1),"")))</f>
        <v/>
      </c>
      <c r="M265" s="290"/>
      <c r="AQ265" s="409"/>
      <c r="AR265" s="410"/>
      <c r="AS265" s="410"/>
      <c r="AT265" s="411"/>
      <c r="AU265" s="412"/>
      <c r="AV265" s="413"/>
      <c r="AW265" s="413"/>
      <c r="AX265" s="413"/>
      <c r="AY265" s="413"/>
      <c r="AZ265" s="413" t="str">
        <f t="shared" si="19"/>
        <v/>
      </c>
      <c r="BB265" s="409"/>
      <c r="BC265" s="410"/>
      <c r="BD265" s="410"/>
      <c r="BE265" s="411"/>
      <c r="BF265" s="412"/>
      <c r="BG265" s="413"/>
      <c r="BH265" s="413"/>
      <c r="BI265" s="413"/>
      <c r="BJ265" s="413"/>
      <c r="BK265" s="413" t="str">
        <f t="shared" si="20"/>
        <v/>
      </c>
    </row>
    <row r="266" spans="1:63" ht="23" x14ac:dyDescent="0.25">
      <c r="A266" s="217" t="str" cm="1">
        <f t="array" ref="A266">IFERROR(INDEX(_xlfn.ANCHORARRAY($R$6),ROW()-5,1),"")</f>
        <v/>
      </c>
      <c r="B266" s="289" t="str" cm="1">
        <f t="array" ref="B266">IFERROR(INDEX(_xlfn.ANCHORARRAY($R$6),ROW()-5,2),"")</f>
        <v/>
      </c>
      <c r="C266" s="218" t="str">
        <f>IF($A266="","",IF($K266="DIESEL",SUMIFS(Table1[Quantity],Table1[Customer],$P$3,Table1[Date],$A266,Table1[Bill No.],$B266),IF($K266="PETROL",SUMIFS(Table14[Quantity],Table14[Customer],$P$3,Table14[Date],$A266,Table14[Bill No.],$B266),IF($K266="XtraGreen",SUMIFS(Table146[Quantity],Table146[Company],$P$3,Table146[Date],$A266,Table146[Bill No.],$B266),""))))</f>
        <v/>
      </c>
      <c r="D266" s="223" t="str">
        <f>IF($A266="","",IF($K266="DIESEL",AVERAGEIFS(Table1[RSP],Table1[Customer],$P$3,Table1[Date],$A266,Table1[Bill No.],$B266),IF($K266="PETROL",AVERAGEIFS(Table14[RSP],Table14[Customer],$P$3,Table14[Date],$A266,Table14[Bill No.],$B266),IF($K266="XtraGreen",AVERAGEIFS(Table146[RSP],Table146[Company],$P$3,Table146[Date],$A266,Table146[Bill No.],$B266),IFERROR($E266/$C266,"")))))</f>
        <v/>
      </c>
      <c r="E266" s="330" t="str">
        <f>IF($A266="","",IF($K266="DIESEL",SUMIFS(Table1[Amount],Table1[Customer],$P$3,Table1[Date],$A266,Table1[Bill No.],$B266),IF($K266="PETROL",SUMIFS(Table14[Amount],Table14[Customer],$P$3,Table14[Date],$A266,Table14[Bill No.],$B266),IF($K266="XtraGreen",SUMIFS(Table146[Amount],Table146[Company],$P$3,Table146[Date],$A266,Table146[Bill No.],$B266),SUMIFS('Other Sale'!$D:$D,'Other Sale'!$E:$E,$P$3,'Other Sale'!$C:$C,$K266,'Other Sale'!$A:$A,$A266)))))</f>
        <v/>
      </c>
      <c r="F266" s="330" t="str" cm="1">
        <f t="array" ref="F266">IF($A266="","",IF($K266="Payment",IFERROR(INDEX(_xlfn._xlws.FILTER(MasterPaid[Amount Paid],(MasterPaid[Customer]=$P$3)*(MasterPaid[Date]=$A266)),COUNTIFS($A$6:$A266,$A266,$K$6:$K266,"Payment")),0),0))</f>
        <v/>
      </c>
      <c r="G266" s="331" t="s">
        <v>13</v>
      </c>
      <c r="H266" s="331"/>
      <c r="I266" s="330" t="str">
        <f t="shared" si="18"/>
        <v/>
      </c>
      <c r="J266" s="275"/>
      <c r="K266" s="289" t="str" cm="1">
        <f t="array" ref="K266">IFERROR(INDEX(_xlfn.ANCHORARRAY($R$6),ROW()-5,3),"")</f>
        <v/>
      </c>
      <c r="L266" s="430" t="str" cm="1">
        <f t="array" ref="L266">IF(OR($A266="",$J266="",$K266&lt;&gt;"DIESEL"),"",_xlfn.LET(_xlpm.qty,N($C266),_xlpm.pos,IF($J266="UNIT 1",$V$5:$V$54,$AC$5:$AC$54),_xlpm.alo,IF($J266="UNIT 1",$W$5:$W$54,$AD$5:$AD$54),_xlpm.usd,SUMIFS($C$6:$C265,$L$6:$L265,_xlpm.pos&amp;"",$J$6:$J265,$J266),_xlpm.bal,N(_xlpm.alo)-_xlpm.usd,IFERROR(INDEX(_xlfn._xlws.FILTER(_xlpm.pos,(_xlpm.pos&lt;&gt;"")*(_xlpm.qty&gt;0)*(_xlpm.bal&gt;=_xlpm.qty)),1),"")))</f>
        <v/>
      </c>
      <c r="M266" s="290"/>
      <c r="AQ266" s="409"/>
      <c r="AR266" s="410"/>
      <c r="AS266" s="410"/>
      <c r="AT266" s="411"/>
      <c r="AU266" s="412"/>
      <c r="AV266" s="413"/>
      <c r="AW266" s="413"/>
      <c r="AX266" s="413"/>
      <c r="AY266" s="413"/>
      <c r="AZ266" s="413" t="str">
        <f t="shared" si="19"/>
        <v/>
      </c>
      <c r="BB266" s="409"/>
      <c r="BC266" s="410"/>
      <c r="BD266" s="410"/>
      <c r="BE266" s="411"/>
      <c r="BF266" s="412"/>
      <c r="BG266" s="413"/>
      <c r="BH266" s="413"/>
      <c r="BI266" s="413"/>
      <c r="BJ266" s="413"/>
      <c r="BK266" s="413" t="str">
        <f t="shared" si="20"/>
        <v/>
      </c>
    </row>
    <row r="267" spans="1:63" ht="23" x14ac:dyDescent="0.25">
      <c r="A267" s="217" t="str" cm="1">
        <f t="array" ref="A267">IFERROR(INDEX(_xlfn.ANCHORARRAY($R$6),ROW()-5,1),"")</f>
        <v/>
      </c>
      <c r="B267" s="289" t="str" cm="1">
        <f t="array" ref="B267">IFERROR(INDEX(_xlfn.ANCHORARRAY($R$6),ROW()-5,2),"")</f>
        <v/>
      </c>
      <c r="C267" s="218" t="str">
        <f>IF($A267="","",IF($K267="DIESEL",SUMIFS(Table1[Quantity],Table1[Customer],$P$3,Table1[Date],$A267,Table1[Bill No.],$B267),IF($K267="PETROL",SUMIFS(Table14[Quantity],Table14[Customer],$P$3,Table14[Date],$A267,Table14[Bill No.],$B267),IF($K267="XtraGreen",SUMIFS(Table146[Quantity],Table146[Company],$P$3,Table146[Date],$A267,Table146[Bill No.],$B267),""))))</f>
        <v/>
      </c>
      <c r="D267" s="223" t="str">
        <f>IF($A267="","",IF($K267="DIESEL",AVERAGEIFS(Table1[RSP],Table1[Customer],$P$3,Table1[Date],$A267,Table1[Bill No.],$B267),IF($K267="PETROL",AVERAGEIFS(Table14[RSP],Table14[Customer],$P$3,Table14[Date],$A267,Table14[Bill No.],$B267),IF($K267="XtraGreen",AVERAGEIFS(Table146[RSP],Table146[Company],$P$3,Table146[Date],$A267,Table146[Bill No.],$B267),IFERROR($E267/$C267,"")))))</f>
        <v/>
      </c>
      <c r="E267" s="330" t="str">
        <f>IF($A267="","",IF($K267="DIESEL",SUMIFS(Table1[Amount],Table1[Customer],$P$3,Table1[Date],$A267,Table1[Bill No.],$B267),IF($K267="PETROL",SUMIFS(Table14[Amount],Table14[Customer],$P$3,Table14[Date],$A267,Table14[Bill No.],$B267),IF($K267="XtraGreen",SUMIFS(Table146[Amount],Table146[Company],$P$3,Table146[Date],$A267,Table146[Bill No.],$B267),SUMIFS('Other Sale'!$D:$D,'Other Sale'!$E:$E,$P$3,'Other Sale'!$C:$C,$K267,'Other Sale'!$A:$A,$A267)))))</f>
        <v/>
      </c>
      <c r="F267" s="330" t="str" cm="1">
        <f t="array" ref="F267">IF($A267="","",IF($K267="Payment",IFERROR(INDEX(_xlfn._xlws.FILTER(MasterPaid[Amount Paid],(MasterPaid[Customer]=$P$3)*(MasterPaid[Date]=$A267)),COUNTIFS($A$6:$A267,$A267,$K$6:$K267,"Payment")),0),0))</f>
        <v/>
      </c>
      <c r="G267" s="331" t="s">
        <v>13</v>
      </c>
      <c r="H267" s="331"/>
      <c r="I267" s="330" t="str">
        <f t="shared" si="18"/>
        <v/>
      </c>
      <c r="J267" s="275"/>
      <c r="K267" s="289" t="str" cm="1">
        <f t="array" ref="K267">IFERROR(INDEX(_xlfn.ANCHORARRAY($R$6),ROW()-5,3),"")</f>
        <v/>
      </c>
      <c r="L267" s="430" t="str" cm="1">
        <f t="array" ref="L267">IF(OR($A267="",$J267="",$K267&lt;&gt;"DIESEL"),"",_xlfn.LET(_xlpm.qty,N($C267),_xlpm.pos,IF($J267="UNIT 1",$V$5:$V$54,$AC$5:$AC$54),_xlpm.alo,IF($J267="UNIT 1",$W$5:$W$54,$AD$5:$AD$54),_xlpm.usd,SUMIFS($C$6:$C266,$L$6:$L266,_xlpm.pos&amp;"",$J$6:$J266,$J267),_xlpm.bal,N(_xlpm.alo)-_xlpm.usd,IFERROR(INDEX(_xlfn._xlws.FILTER(_xlpm.pos,(_xlpm.pos&lt;&gt;"")*(_xlpm.qty&gt;0)*(_xlpm.bal&gt;=_xlpm.qty)),1),"")))</f>
        <v/>
      </c>
      <c r="M267" s="290"/>
      <c r="AQ267" s="409"/>
      <c r="AR267" s="410"/>
      <c r="AS267" s="410"/>
      <c r="AT267" s="411"/>
      <c r="AU267" s="412"/>
      <c r="AV267" s="413"/>
      <c r="AW267" s="413"/>
      <c r="AX267" s="413"/>
      <c r="AY267" s="413"/>
      <c r="AZ267" s="413" t="str">
        <f t="shared" si="19"/>
        <v/>
      </c>
      <c r="BB267" s="409"/>
      <c r="BC267" s="410"/>
      <c r="BD267" s="410"/>
      <c r="BE267" s="411"/>
      <c r="BF267" s="412"/>
      <c r="BG267" s="413"/>
      <c r="BH267" s="413"/>
      <c r="BI267" s="413"/>
      <c r="BJ267" s="413"/>
      <c r="BK267" s="413" t="str">
        <f t="shared" si="20"/>
        <v/>
      </c>
    </row>
    <row r="268" spans="1:63" ht="23" x14ac:dyDescent="0.25">
      <c r="A268" s="217" t="str" cm="1">
        <f t="array" ref="A268">IFERROR(INDEX(_xlfn.ANCHORARRAY($R$6),ROW()-5,1),"")</f>
        <v/>
      </c>
      <c r="B268" s="289" t="str" cm="1">
        <f t="array" ref="B268">IFERROR(INDEX(_xlfn.ANCHORARRAY($R$6),ROW()-5,2),"")</f>
        <v/>
      </c>
      <c r="C268" s="218" t="str">
        <f>IF($A268="","",IF($K268="DIESEL",SUMIFS(Table1[Quantity],Table1[Customer],$P$3,Table1[Date],$A268,Table1[Bill No.],$B268),IF($K268="PETROL",SUMIFS(Table14[Quantity],Table14[Customer],$P$3,Table14[Date],$A268,Table14[Bill No.],$B268),IF($K268="XtraGreen",SUMIFS(Table146[Quantity],Table146[Company],$P$3,Table146[Date],$A268,Table146[Bill No.],$B268),""))))</f>
        <v/>
      </c>
      <c r="D268" s="223" t="str">
        <f>IF($A268="","",IF($K268="DIESEL",AVERAGEIFS(Table1[RSP],Table1[Customer],$P$3,Table1[Date],$A268,Table1[Bill No.],$B268),IF($K268="PETROL",AVERAGEIFS(Table14[RSP],Table14[Customer],$P$3,Table14[Date],$A268,Table14[Bill No.],$B268),IF($K268="XtraGreen",AVERAGEIFS(Table146[RSP],Table146[Company],$P$3,Table146[Date],$A268,Table146[Bill No.],$B268),IFERROR($E268/$C268,"")))))</f>
        <v/>
      </c>
      <c r="E268" s="330" t="str">
        <f>IF($A268="","",IF($K268="DIESEL",SUMIFS(Table1[Amount],Table1[Customer],$P$3,Table1[Date],$A268,Table1[Bill No.],$B268),IF($K268="PETROL",SUMIFS(Table14[Amount],Table14[Customer],$P$3,Table14[Date],$A268,Table14[Bill No.],$B268),IF($K268="XtraGreen",SUMIFS(Table146[Amount],Table146[Company],$P$3,Table146[Date],$A268,Table146[Bill No.],$B268),SUMIFS('Other Sale'!$D:$D,'Other Sale'!$E:$E,$P$3,'Other Sale'!$C:$C,$K268,'Other Sale'!$A:$A,$A268)))))</f>
        <v/>
      </c>
      <c r="F268" s="330" t="str" cm="1">
        <f t="array" ref="F268">IF($A268="","",IF($K268="Payment",IFERROR(INDEX(_xlfn._xlws.FILTER(MasterPaid[Amount Paid],(MasterPaid[Customer]=$P$3)*(MasterPaid[Date]=$A268)),COUNTIFS($A$6:$A268,$A268,$K$6:$K268,"Payment")),0),0))</f>
        <v/>
      </c>
      <c r="G268" s="331" t="s">
        <v>13</v>
      </c>
      <c r="H268" s="331"/>
      <c r="I268" s="330" t="str">
        <f t="shared" si="18"/>
        <v/>
      </c>
      <c r="J268" s="275"/>
      <c r="K268" s="289" t="str" cm="1">
        <f t="array" ref="K268">IFERROR(INDEX(_xlfn.ANCHORARRAY($R$6),ROW()-5,3),"")</f>
        <v/>
      </c>
      <c r="L268" s="430" t="str" cm="1">
        <f t="array" ref="L268">IF(OR($A268="",$J268="",$K268&lt;&gt;"DIESEL"),"",_xlfn.LET(_xlpm.qty,N($C268),_xlpm.pos,IF($J268="UNIT 1",$V$5:$V$54,$AC$5:$AC$54),_xlpm.alo,IF($J268="UNIT 1",$W$5:$W$54,$AD$5:$AD$54),_xlpm.usd,SUMIFS($C$6:$C267,$L$6:$L267,_xlpm.pos&amp;"",$J$6:$J267,$J268),_xlpm.bal,N(_xlpm.alo)-_xlpm.usd,IFERROR(INDEX(_xlfn._xlws.FILTER(_xlpm.pos,(_xlpm.pos&lt;&gt;"")*(_xlpm.qty&gt;0)*(_xlpm.bal&gt;=_xlpm.qty)),1),"")))</f>
        <v/>
      </c>
      <c r="M268" s="290"/>
      <c r="AQ268" s="409"/>
      <c r="AR268" s="410"/>
      <c r="AS268" s="410"/>
      <c r="AT268" s="411"/>
      <c r="AU268" s="412"/>
      <c r="AV268" s="413"/>
      <c r="AW268" s="413"/>
      <c r="AX268" s="413"/>
      <c r="AY268" s="413"/>
      <c r="AZ268" s="413" t="str">
        <f t="shared" si="19"/>
        <v/>
      </c>
      <c r="BB268" s="409"/>
      <c r="BC268" s="410"/>
      <c r="BD268" s="410"/>
      <c r="BE268" s="411"/>
      <c r="BF268" s="412"/>
      <c r="BG268" s="413"/>
      <c r="BH268" s="413"/>
      <c r="BI268" s="413"/>
      <c r="BJ268" s="413"/>
      <c r="BK268" s="413" t="str">
        <f t="shared" si="20"/>
        <v/>
      </c>
    </row>
    <row r="269" spans="1:63" ht="23" x14ac:dyDescent="0.25">
      <c r="A269" s="217" t="str" cm="1">
        <f t="array" ref="A269">IFERROR(INDEX(_xlfn.ANCHORARRAY($R$6),ROW()-5,1),"")</f>
        <v/>
      </c>
      <c r="B269" s="289" t="str" cm="1">
        <f t="array" ref="B269">IFERROR(INDEX(_xlfn.ANCHORARRAY($R$6),ROW()-5,2),"")</f>
        <v/>
      </c>
      <c r="C269" s="218" t="str">
        <f>IF($A269="","",IF($K269="DIESEL",SUMIFS(Table1[Quantity],Table1[Customer],$P$3,Table1[Date],$A269,Table1[Bill No.],$B269),IF($K269="PETROL",SUMIFS(Table14[Quantity],Table14[Customer],$P$3,Table14[Date],$A269,Table14[Bill No.],$B269),IF($K269="XtraGreen",SUMIFS(Table146[Quantity],Table146[Company],$P$3,Table146[Date],$A269,Table146[Bill No.],$B269),""))))</f>
        <v/>
      </c>
      <c r="D269" s="223" t="str">
        <f>IF($A269="","",IF($K269="DIESEL",AVERAGEIFS(Table1[RSP],Table1[Customer],$P$3,Table1[Date],$A269,Table1[Bill No.],$B269),IF($K269="PETROL",AVERAGEIFS(Table14[RSP],Table14[Customer],$P$3,Table14[Date],$A269,Table14[Bill No.],$B269),IF($K269="XtraGreen",AVERAGEIFS(Table146[RSP],Table146[Company],$P$3,Table146[Date],$A269,Table146[Bill No.],$B269),IFERROR($E269/$C269,"")))))</f>
        <v/>
      </c>
      <c r="E269" s="330" t="str">
        <f>IF($A269="","",IF($K269="DIESEL",SUMIFS(Table1[Amount],Table1[Customer],$P$3,Table1[Date],$A269,Table1[Bill No.],$B269),IF($K269="PETROL",SUMIFS(Table14[Amount],Table14[Customer],$P$3,Table14[Date],$A269,Table14[Bill No.],$B269),IF($K269="XtraGreen",SUMIFS(Table146[Amount],Table146[Company],$P$3,Table146[Date],$A269,Table146[Bill No.],$B269),SUMIFS('Other Sale'!$D:$D,'Other Sale'!$E:$E,$P$3,'Other Sale'!$C:$C,$K269,'Other Sale'!$A:$A,$A269)))))</f>
        <v/>
      </c>
      <c r="F269" s="330" t="str" cm="1">
        <f t="array" ref="F269">IF($A269="","",IF($K269="Payment",IFERROR(INDEX(_xlfn._xlws.FILTER(MasterPaid[Amount Paid],(MasterPaid[Customer]=$P$3)*(MasterPaid[Date]=$A269)),COUNTIFS($A$6:$A269,$A269,$K$6:$K269,"Payment")),0),0))</f>
        <v/>
      </c>
      <c r="G269" s="331" t="s">
        <v>13</v>
      </c>
      <c r="H269" s="331"/>
      <c r="I269" s="330" t="str">
        <f t="shared" si="18"/>
        <v/>
      </c>
      <c r="J269" s="275"/>
      <c r="K269" s="289" t="str" cm="1">
        <f t="array" ref="K269">IFERROR(INDEX(_xlfn.ANCHORARRAY($R$6),ROW()-5,3),"")</f>
        <v/>
      </c>
      <c r="L269" s="430" t="str" cm="1">
        <f t="array" ref="L269">IF(OR($A269="",$J269="",$K269&lt;&gt;"DIESEL"),"",_xlfn.LET(_xlpm.qty,N($C269),_xlpm.pos,IF($J269="UNIT 1",$V$5:$V$54,$AC$5:$AC$54),_xlpm.alo,IF($J269="UNIT 1",$W$5:$W$54,$AD$5:$AD$54),_xlpm.usd,SUMIFS($C$6:$C268,$L$6:$L268,_xlpm.pos&amp;"",$J$6:$J268,$J269),_xlpm.bal,N(_xlpm.alo)-_xlpm.usd,IFERROR(INDEX(_xlfn._xlws.FILTER(_xlpm.pos,(_xlpm.pos&lt;&gt;"")*(_xlpm.qty&gt;0)*(_xlpm.bal&gt;=_xlpm.qty)),1),"")))</f>
        <v/>
      </c>
      <c r="M269" s="290"/>
      <c r="AQ269" s="409"/>
      <c r="AR269" s="410"/>
      <c r="AS269" s="410"/>
      <c r="AT269" s="411"/>
      <c r="AU269" s="412"/>
      <c r="AV269" s="413"/>
      <c r="AW269" s="413"/>
      <c r="AX269" s="413"/>
      <c r="AY269" s="413"/>
      <c r="AZ269" s="413" t="str">
        <f t="shared" si="19"/>
        <v/>
      </c>
      <c r="BB269" s="409"/>
      <c r="BC269" s="410"/>
      <c r="BD269" s="410"/>
      <c r="BE269" s="411"/>
      <c r="BF269" s="412"/>
      <c r="BG269" s="413"/>
      <c r="BH269" s="413"/>
      <c r="BI269" s="413"/>
      <c r="BJ269" s="413"/>
      <c r="BK269" s="413" t="str">
        <f t="shared" si="20"/>
        <v/>
      </c>
    </row>
    <row r="270" spans="1:63" ht="23" x14ac:dyDescent="0.25">
      <c r="A270" s="217" t="str" cm="1">
        <f t="array" ref="A270">IFERROR(INDEX(_xlfn.ANCHORARRAY($R$6),ROW()-5,1),"")</f>
        <v/>
      </c>
      <c r="B270" s="289" t="str" cm="1">
        <f t="array" ref="B270">IFERROR(INDEX(_xlfn.ANCHORARRAY($R$6),ROW()-5,2),"")</f>
        <v/>
      </c>
      <c r="C270" s="218" t="str">
        <f>IF($A270="","",IF($K270="DIESEL",SUMIFS(Table1[Quantity],Table1[Customer],$P$3,Table1[Date],$A270,Table1[Bill No.],$B270),IF($K270="PETROL",SUMIFS(Table14[Quantity],Table14[Customer],$P$3,Table14[Date],$A270,Table14[Bill No.],$B270),IF($K270="XtraGreen",SUMIFS(Table146[Quantity],Table146[Company],$P$3,Table146[Date],$A270,Table146[Bill No.],$B270),""))))</f>
        <v/>
      </c>
      <c r="D270" s="223" t="str">
        <f>IF($A270="","",IF($K270="DIESEL",AVERAGEIFS(Table1[RSP],Table1[Customer],$P$3,Table1[Date],$A270,Table1[Bill No.],$B270),IF($K270="PETROL",AVERAGEIFS(Table14[RSP],Table14[Customer],$P$3,Table14[Date],$A270,Table14[Bill No.],$B270),IF($K270="XtraGreen",AVERAGEIFS(Table146[RSP],Table146[Company],$P$3,Table146[Date],$A270,Table146[Bill No.],$B270),IFERROR($E270/$C270,"")))))</f>
        <v/>
      </c>
      <c r="E270" s="330" t="str">
        <f>IF($A270="","",IF($K270="DIESEL",SUMIFS(Table1[Amount],Table1[Customer],$P$3,Table1[Date],$A270,Table1[Bill No.],$B270),IF($K270="PETROL",SUMIFS(Table14[Amount],Table14[Customer],$P$3,Table14[Date],$A270,Table14[Bill No.],$B270),IF($K270="XtraGreen",SUMIFS(Table146[Amount],Table146[Company],$P$3,Table146[Date],$A270,Table146[Bill No.],$B270),SUMIFS('Other Sale'!$D:$D,'Other Sale'!$E:$E,$P$3,'Other Sale'!$C:$C,$K270,'Other Sale'!$A:$A,$A270)))))</f>
        <v/>
      </c>
      <c r="F270" s="330" t="str" cm="1">
        <f t="array" ref="F270">IF($A270="","",IF($K270="Payment",IFERROR(INDEX(_xlfn._xlws.FILTER(MasterPaid[Amount Paid],(MasterPaid[Customer]=$P$3)*(MasterPaid[Date]=$A270)),COUNTIFS($A$6:$A270,$A270,$K$6:$K270,"Payment")),0),0))</f>
        <v/>
      </c>
      <c r="G270" s="331" t="s">
        <v>13</v>
      </c>
      <c r="H270" s="331"/>
      <c r="I270" s="330" t="str">
        <f t="shared" si="18"/>
        <v/>
      </c>
      <c r="J270" s="275"/>
      <c r="K270" s="289" t="str" cm="1">
        <f t="array" ref="K270">IFERROR(INDEX(_xlfn.ANCHORARRAY($R$6),ROW()-5,3),"")</f>
        <v/>
      </c>
      <c r="L270" s="430" t="str" cm="1">
        <f t="array" ref="L270">IF(OR($A270="",$J270="",$K270&lt;&gt;"DIESEL"),"",_xlfn.LET(_xlpm.qty,N($C270),_xlpm.pos,IF($J270="UNIT 1",$V$5:$V$54,$AC$5:$AC$54),_xlpm.alo,IF($J270="UNIT 1",$W$5:$W$54,$AD$5:$AD$54),_xlpm.usd,SUMIFS($C$6:$C269,$L$6:$L269,_xlpm.pos&amp;"",$J$6:$J269,$J270),_xlpm.bal,N(_xlpm.alo)-_xlpm.usd,IFERROR(INDEX(_xlfn._xlws.FILTER(_xlpm.pos,(_xlpm.pos&lt;&gt;"")*(_xlpm.qty&gt;0)*(_xlpm.bal&gt;=_xlpm.qty)),1),"")))</f>
        <v/>
      </c>
      <c r="M270" s="290"/>
      <c r="AQ270" s="409"/>
      <c r="AR270" s="410"/>
      <c r="AS270" s="410"/>
      <c r="AT270" s="411"/>
      <c r="AU270" s="412"/>
      <c r="AV270" s="413"/>
      <c r="AW270" s="413"/>
      <c r="AX270" s="413"/>
      <c r="AY270" s="413"/>
      <c r="AZ270" s="413" t="str">
        <f t="shared" si="19"/>
        <v/>
      </c>
      <c r="BB270" s="409"/>
      <c r="BC270" s="410"/>
      <c r="BD270" s="410"/>
      <c r="BE270" s="411"/>
      <c r="BF270" s="412"/>
      <c r="BG270" s="413"/>
      <c r="BH270" s="413"/>
      <c r="BI270" s="413"/>
      <c r="BJ270" s="413"/>
      <c r="BK270" s="413" t="str">
        <f t="shared" si="20"/>
        <v/>
      </c>
    </row>
    <row r="271" spans="1:63" ht="23" x14ac:dyDescent="0.25">
      <c r="A271" s="217" t="str" cm="1">
        <f t="array" ref="A271">IFERROR(INDEX(_xlfn.ANCHORARRAY($R$6),ROW()-5,1),"")</f>
        <v/>
      </c>
      <c r="B271" s="289" t="str" cm="1">
        <f t="array" ref="B271">IFERROR(INDEX(_xlfn.ANCHORARRAY($R$6),ROW()-5,2),"")</f>
        <v/>
      </c>
      <c r="C271" s="218" t="str">
        <f>IF($A271="","",IF($K271="DIESEL",SUMIFS(Table1[Quantity],Table1[Customer],$P$3,Table1[Date],$A271,Table1[Bill No.],$B271),IF($K271="PETROL",SUMIFS(Table14[Quantity],Table14[Customer],$P$3,Table14[Date],$A271,Table14[Bill No.],$B271),IF($K271="XtraGreen",SUMIFS(Table146[Quantity],Table146[Company],$P$3,Table146[Date],$A271,Table146[Bill No.],$B271),""))))</f>
        <v/>
      </c>
      <c r="D271" s="223" t="str">
        <f>IF($A271="","",IF($K271="DIESEL",AVERAGEIFS(Table1[RSP],Table1[Customer],$P$3,Table1[Date],$A271,Table1[Bill No.],$B271),IF($K271="PETROL",AVERAGEIFS(Table14[RSP],Table14[Customer],$P$3,Table14[Date],$A271,Table14[Bill No.],$B271),IF($K271="XtraGreen",AVERAGEIFS(Table146[RSP],Table146[Company],$P$3,Table146[Date],$A271,Table146[Bill No.],$B271),IFERROR($E271/$C271,"")))))</f>
        <v/>
      </c>
      <c r="E271" s="330" t="str">
        <f>IF($A271="","",IF($K271="DIESEL",SUMIFS(Table1[Amount],Table1[Customer],$P$3,Table1[Date],$A271,Table1[Bill No.],$B271),IF($K271="PETROL",SUMIFS(Table14[Amount],Table14[Customer],$P$3,Table14[Date],$A271,Table14[Bill No.],$B271),IF($K271="XtraGreen",SUMIFS(Table146[Amount],Table146[Company],$P$3,Table146[Date],$A271,Table146[Bill No.],$B271),SUMIFS('Other Sale'!$D:$D,'Other Sale'!$E:$E,$P$3,'Other Sale'!$C:$C,$K271,'Other Sale'!$A:$A,$A271)))))</f>
        <v/>
      </c>
      <c r="F271" s="330" t="str" cm="1">
        <f t="array" ref="F271">IF($A271="","",IF($K271="Payment",IFERROR(INDEX(_xlfn._xlws.FILTER(MasterPaid[Amount Paid],(MasterPaid[Customer]=$P$3)*(MasterPaid[Date]=$A271)),COUNTIFS($A$6:$A271,$A271,$K$6:$K271,"Payment")),0),0))</f>
        <v/>
      </c>
      <c r="G271" s="331" t="s">
        <v>13</v>
      </c>
      <c r="H271" s="331"/>
      <c r="I271" s="330" t="str">
        <f t="shared" si="18"/>
        <v/>
      </c>
      <c r="J271" s="275"/>
      <c r="K271" s="289" t="str" cm="1">
        <f t="array" ref="K271">IFERROR(INDEX(_xlfn.ANCHORARRAY($R$6),ROW()-5,3),"")</f>
        <v/>
      </c>
      <c r="L271" s="430" t="str" cm="1">
        <f t="array" ref="L271">IF(OR($A271="",$J271="",$K271&lt;&gt;"DIESEL"),"",_xlfn.LET(_xlpm.qty,N($C271),_xlpm.pos,IF($J271="UNIT 1",$V$5:$V$54,$AC$5:$AC$54),_xlpm.alo,IF($J271="UNIT 1",$W$5:$W$54,$AD$5:$AD$54),_xlpm.usd,SUMIFS($C$6:$C270,$L$6:$L270,_xlpm.pos&amp;"",$J$6:$J270,$J271),_xlpm.bal,N(_xlpm.alo)-_xlpm.usd,IFERROR(INDEX(_xlfn._xlws.FILTER(_xlpm.pos,(_xlpm.pos&lt;&gt;"")*(_xlpm.qty&gt;0)*(_xlpm.bal&gt;=_xlpm.qty)),1),"")))</f>
        <v/>
      </c>
      <c r="M271" s="290"/>
      <c r="AQ271" s="409"/>
      <c r="AR271" s="410"/>
      <c r="AS271" s="410"/>
      <c r="AT271" s="411"/>
      <c r="AU271" s="412"/>
      <c r="AV271" s="413"/>
      <c r="AW271" s="413"/>
      <c r="AX271" s="413"/>
      <c r="AY271" s="413"/>
      <c r="AZ271" s="413" t="str">
        <f t="shared" si="19"/>
        <v/>
      </c>
      <c r="BB271" s="409"/>
      <c r="BC271" s="410"/>
      <c r="BD271" s="410"/>
      <c r="BE271" s="411"/>
      <c r="BF271" s="412"/>
      <c r="BG271" s="413"/>
      <c r="BH271" s="413"/>
      <c r="BI271" s="413"/>
      <c r="BJ271" s="413"/>
      <c r="BK271" s="413" t="str">
        <f t="shared" si="20"/>
        <v/>
      </c>
    </row>
    <row r="272" spans="1:63" ht="23" x14ac:dyDescent="0.25">
      <c r="A272" s="217" t="str" cm="1">
        <f t="array" ref="A272">IFERROR(INDEX(_xlfn.ANCHORARRAY($R$6),ROW()-5,1),"")</f>
        <v/>
      </c>
      <c r="B272" s="289" t="str" cm="1">
        <f t="array" ref="B272">IFERROR(INDEX(_xlfn.ANCHORARRAY($R$6),ROW()-5,2),"")</f>
        <v/>
      </c>
      <c r="C272" s="218" t="str">
        <f>IF($A272="","",IF($K272="DIESEL",SUMIFS(Table1[Quantity],Table1[Customer],$P$3,Table1[Date],$A272,Table1[Bill No.],$B272),IF($K272="PETROL",SUMIFS(Table14[Quantity],Table14[Customer],$P$3,Table14[Date],$A272,Table14[Bill No.],$B272),IF($K272="XtraGreen",SUMIFS(Table146[Quantity],Table146[Company],$P$3,Table146[Date],$A272,Table146[Bill No.],$B272),""))))</f>
        <v/>
      </c>
      <c r="D272" s="223" t="str">
        <f>IF($A272="","",IF($K272="DIESEL",AVERAGEIFS(Table1[RSP],Table1[Customer],$P$3,Table1[Date],$A272,Table1[Bill No.],$B272),IF($K272="PETROL",AVERAGEIFS(Table14[RSP],Table14[Customer],$P$3,Table14[Date],$A272,Table14[Bill No.],$B272),IF($K272="XtraGreen",AVERAGEIFS(Table146[RSP],Table146[Company],$P$3,Table146[Date],$A272,Table146[Bill No.],$B272),IFERROR($E272/$C272,"")))))</f>
        <v/>
      </c>
      <c r="E272" s="330" t="str">
        <f>IF($A272="","",IF($K272="DIESEL",SUMIFS(Table1[Amount],Table1[Customer],$P$3,Table1[Date],$A272,Table1[Bill No.],$B272),IF($K272="PETROL",SUMIFS(Table14[Amount],Table14[Customer],$P$3,Table14[Date],$A272,Table14[Bill No.],$B272),IF($K272="XtraGreen",SUMIFS(Table146[Amount],Table146[Company],$P$3,Table146[Date],$A272,Table146[Bill No.],$B272),SUMIFS('Other Sale'!$D:$D,'Other Sale'!$E:$E,$P$3,'Other Sale'!$C:$C,$K272,'Other Sale'!$A:$A,$A272)))))</f>
        <v/>
      </c>
      <c r="F272" s="330" t="str" cm="1">
        <f t="array" ref="F272">IF($A272="","",IF($K272="Payment",IFERROR(INDEX(_xlfn._xlws.FILTER(MasterPaid[Amount Paid],(MasterPaid[Customer]=$P$3)*(MasterPaid[Date]=$A272)),COUNTIFS($A$6:$A272,$A272,$K$6:$K272,"Payment")),0),0))</f>
        <v/>
      </c>
      <c r="G272" s="331" t="s">
        <v>13</v>
      </c>
      <c r="H272" s="331"/>
      <c r="I272" s="330" t="str">
        <f t="shared" si="18"/>
        <v/>
      </c>
      <c r="J272" s="275"/>
      <c r="K272" s="289" t="str" cm="1">
        <f t="array" ref="K272">IFERROR(INDEX(_xlfn.ANCHORARRAY($R$6),ROW()-5,3),"")</f>
        <v/>
      </c>
      <c r="L272" s="430" t="str" cm="1">
        <f t="array" ref="L272">IF(OR($A272="",$J272="",$K272&lt;&gt;"DIESEL"),"",_xlfn.LET(_xlpm.qty,N($C272),_xlpm.pos,IF($J272="UNIT 1",$V$5:$V$54,$AC$5:$AC$54),_xlpm.alo,IF($J272="UNIT 1",$W$5:$W$54,$AD$5:$AD$54),_xlpm.usd,SUMIFS($C$6:$C271,$L$6:$L271,_xlpm.pos&amp;"",$J$6:$J271,$J272),_xlpm.bal,N(_xlpm.alo)-_xlpm.usd,IFERROR(INDEX(_xlfn._xlws.FILTER(_xlpm.pos,(_xlpm.pos&lt;&gt;"")*(_xlpm.qty&gt;0)*(_xlpm.bal&gt;=_xlpm.qty)),1),"")))</f>
        <v/>
      </c>
      <c r="M272" s="290"/>
      <c r="AQ272" s="409"/>
      <c r="AR272" s="410"/>
      <c r="AS272" s="410"/>
      <c r="AT272" s="411"/>
      <c r="AU272" s="412"/>
      <c r="AV272" s="413"/>
      <c r="AW272" s="413"/>
      <c r="AX272" s="413"/>
      <c r="AY272" s="413"/>
      <c r="AZ272" s="413" t="str">
        <f t="shared" si="19"/>
        <v/>
      </c>
      <c r="BB272" s="409"/>
      <c r="BC272" s="410"/>
      <c r="BD272" s="410"/>
      <c r="BE272" s="411"/>
      <c r="BF272" s="412"/>
      <c r="BG272" s="413"/>
      <c r="BH272" s="413"/>
      <c r="BI272" s="413"/>
      <c r="BJ272" s="413"/>
      <c r="BK272" s="413" t="str">
        <f t="shared" si="20"/>
        <v/>
      </c>
    </row>
    <row r="273" spans="1:63" ht="23" x14ac:dyDescent="0.25">
      <c r="A273" s="217" t="str" cm="1">
        <f t="array" ref="A273">IFERROR(INDEX(_xlfn.ANCHORARRAY($R$6),ROW()-5,1),"")</f>
        <v/>
      </c>
      <c r="B273" s="289" t="str" cm="1">
        <f t="array" ref="B273">IFERROR(INDEX(_xlfn.ANCHORARRAY($R$6),ROW()-5,2),"")</f>
        <v/>
      </c>
      <c r="C273" s="218" t="str">
        <f>IF($A273="","",IF($K273="DIESEL",SUMIFS(Table1[Quantity],Table1[Customer],$P$3,Table1[Date],$A273,Table1[Bill No.],$B273),IF($K273="PETROL",SUMIFS(Table14[Quantity],Table14[Customer],$P$3,Table14[Date],$A273,Table14[Bill No.],$B273),IF($K273="XtraGreen",SUMIFS(Table146[Quantity],Table146[Company],$P$3,Table146[Date],$A273,Table146[Bill No.],$B273),""))))</f>
        <v/>
      </c>
      <c r="D273" s="223" t="str">
        <f>IF($A273="","",IF($K273="DIESEL",AVERAGEIFS(Table1[RSP],Table1[Customer],$P$3,Table1[Date],$A273,Table1[Bill No.],$B273),IF($K273="PETROL",AVERAGEIFS(Table14[RSP],Table14[Customer],$P$3,Table14[Date],$A273,Table14[Bill No.],$B273),IF($K273="XtraGreen",AVERAGEIFS(Table146[RSP],Table146[Company],$P$3,Table146[Date],$A273,Table146[Bill No.],$B273),IFERROR($E273/$C273,"")))))</f>
        <v/>
      </c>
      <c r="E273" s="330" t="str">
        <f>IF($A273="","",IF($K273="DIESEL",SUMIFS(Table1[Amount],Table1[Customer],$P$3,Table1[Date],$A273,Table1[Bill No.],$B273),IF($K273="PETROL",SUMIFS(Table14[Amount],Table14[Customer],$P$3,Table14[Date],$A273,Table14[Bill No.],$B273),IF($K273="XtraGreen",SUMIFS(Table146[Amount],Table146[Company],$P$3,Table146[Date],$A273,Table146[Bill No.],$B273),SUMIFS('Other Sale'!$D:$D,'Other Sale'!$E:$E,$P$3,'Other Sale'!$C:$C,$K273,'Other Sale'!$A:$A,$A273)))))</f>
        <v/>
      </c>
      <c r="F273" s="330" t="str" cm="1">
        <f t="array" ref="F273">IF($A273="","",IF($K273="Payment",IFERROR(INDEX(_xlfn._xlws.FILTER(MasterPaid[Amount Paid],(MasterPaid[Customer]=$P$3)*(MasterPaid[Date]=$A273)),COUNTIFS($A$6:$A273,$A273,$K$6:$K273,"Payment")),0),0))</f>
        <v/>
      </c>
      <c r="G273" s="331" t="s">
        <v>13</v>
      </c>
      <c r="H273" s="331"/>
      <c r="I273" s="330" t="str">
        <f t="shared" si="18"/>
        <v/>
      </c>
      <c r="J273" s="275"/>
      <c r="K273" s="289" t="str" cm="1">
        <f t="array" ref="K273">IFERROR(INDEX(_xlfn.ANCHORARRAY($R$6),ROW()-5,3),"")</f>
        <v/>
      </c>
      <c r="L273" s="430" t="str" cm="1">
        <f t="array" ref="L273">IF(OR($A273="",$J273="",$K273&lt;&gt;"DIESEL"),"",_xlfn.LET(_xlpm.qty,N($C273),_xlpm.pos,IF($J273="UNIT 1",$V$5:$V$54,$AC$5:$AC$54),_xlpm.alo,IF($J273="UNIT 1",$W$5:$W$54,$AD$5:$AD$54),_xlpm.usd,SUMIFS($C$6:$C272,$L$6:$L272,_xlpm.pos&amp;"",$J$6:$J272,$J273),_xlpm.bal,N(_xlpm.alo)-_xlpm.usd,IFERROR(INDEX(_xlfn._xlws.FILTER(_xlpm.pos,(_xlpm.pos&lt;&gt;"")*(_xlpm.qty&gt;0)*(_xlpm.bal&gt;=_xlpm.qty)),1),"")))</f>
        <v/>
      </c>
      <c r="M273" s="290"/>
      <c r="AQ273" s="409"/>
      <c r="AR273" s="410"/>
      <c r="AS273" s="410"/>
      <c r="AT273" s="411"/>
      <c r="AU273" s="412"/>
      <c r="AV273" s="413"/>
      <c r="AW273" s="413"/>
      <c r="AX273" s="413"/>
      <c r="AY273" s="413"/>
      <c r="AZ273" s="413" t="str">
        <f t="shared" si="19"/>
        <v/>
      </c>
      <c r="BB273" s="409"/>
      <c r="BC273" s="410"/>
      <c r="BD273" s="410"/>
      <c r="BE273" s="411"/>
      <c r="BF273" s="412"/>
      <c r="BG273" s="413"/>
      <c r="BH273" s="413"/>
      <c r="BI273" s="413"/>
      <c r="BJ273" s="413"/>
      <c r="BK273" s="413" t="str">
        <f t="shared" si="20"/>
        <v/>
      </c>
    </row>
    <row r="274" spans="1:63" ht="23" x14ac:dyDescent="0.25">
      <c r="A274" s="217" t="str" cm="1">
        <f t="array" ref="A274">IFERROR(INDEX(_xlfn.ANCHORARRAY($R$6),ROW()-5,1),"")</f>
        <v/>
      </c>
      <c r="B274" s="289" t="str" cm="1">
        <f t="array" ref="B274">IFERROR(INDEX(_xlfn.ANCHORARRAY($R$6),ROW()-5,2),"")</f>
        <v/>
      </c>
      <c r="C274" s="218" t="str">
        <f>IF($A274="","",IF($K274="DIESEL",SUMIFS(Table1[Quantity],Table1[Customer],$P$3,Table1[Date],$A274,Table1[Bill No.],$B274),IF($K274="PETROL",SUMIFS(Table14[Quantity],Table14[Customer],$P$3,Table14[Date],$A274,Table14[Bill No.],$B274),IF($K274="XtraGreen",SUMIFS(Table146[Quantity],Table146[Company],$P$3,Table146[Date],$A274,Table146[Bill No.],$B274),""))))</f>
        <v/>
      </c>
      <c r="D274" s="223" t="str">
        <f>IF($A274="","",IF($K274="DIESEL",AVERAGEIFS(Table1[RSP],Table1[Customer],$P$3,Table1[Date],$A274,Table1[Bill No.],$B274),IF($K274="PETROL",AVERAGEIFS(Table14[RSP],Table14[Customer],$P$3,Table14[Date],$A274,Table14[Bill No.],$B274),IF($K274="XtraGreen",AVERAGEIFS(Table146[RSP],Table146[Company],$P$3,Table146[Date],$A274,Table146[Bill No.],$B274),IFERROR($E274/$C274,"")))))</f>
        <v/>
      </c>
      <c r="E274" s="330" t="str">
        <f>IF($A274="","",IF($K274="DIESEL",SUMIFS(Table1[Amount],Table1[Customer],$P$3,Table1[Date],$A274,Table1[Bill No.],$B274),IF($K274="PETROL",SUMIFS(Table14[Amount],Table14[Customer],$P$3,Table14[Date],$A274,Table14[Bill No.],$B274),IF($K274="XtraGreen",SUMIFS(Table146[Amount],Table146[Company],$P$3,Table146[Date],$A274,Table146[Bill No.],$B274),SUMIFS('Other Sale'!$D:$D,'Other Sale'!$E:$E,$P$3,'Other Sale'!$C:$C,$K274,'Other Sale'!$A:$A,$A274)))))</f>
        <v/>
      </c>
      <c r="F274" s="330" t="str" cm="1">
        <f t="array" ref="F274">IF($A274="","",IF($K274="Payment",IFERROR(INDEX(_xlfn._xlws.FILTER(MasterPaid[Amount Paid],(MasterPaid[Customer]=$P$3)*(MasterPaid[Date]=$A274)),COUNTIFS($A$6:$A274,$A274,$K$6:$K274,"Payment")),0),0))</f>
        <v/>
      </c>
      <c r="G274" s="331" t="s">
        <v>13</v>
      </c>
      <c r="H274" s="331"/>
      <c r="I274" s="330" t="str">
        <f t="shared" si="18"/>
        <v/>
      </c>
      <c r="J274" s="275"/>
      <c r="K274" s="289" t="str" cm="1">
        <f t="array" ref="K274">IFERROR(INDEX(_xlfn.ANCHORARRAY($R$6),ROW()-5,3),"")</f>
        <v/>
      </c>
      <c r="L274" s="430" t="str" cm="1">
        <f t="array" ref="L274">IF(OR($A274="",$J274="",$K274&lt;&gt;"DIESEL"),"",_xlfn.LET(_xlpm.qty,N($C274),_xlpm.pos,IF($J274="UNIT 1",$V$5:$V$54,$AC$5:$AC$54),_xlpm.alo,IF($J274="UNIT 1",$W$5:$W$54,$AD$5:$AD$54),_xlpm.usd,SUMIFS($C$6:$C273,$L$6:$L273,_xlpm.pos&amp;"",$J$6:$J273,$J274),_xlpm.bal,N(_xlpm.alo)-_xlpm.usd,IFERROR(INDEX(_xlfn._xlws.FILTER(_xlpm.pos,(_xlpm.pos&lt;&gt;"")*(_xlpm.qty&gt;0)*(_xlpm.bal&gt;=_xlpm.qty)),1),"")))</f>
        <v/>
      </c>
      <c r="M274" s="290"/>
      <c r="AQ274" s="409"/>
      <c r="AR274" s="410"/>
      <c r="AS274" s="410"/>
      <c r="AT274" s="411"/>
      <c r="AU274" s="412"/>
      <c r="AV274" s="413"/>
      <c r="AW274" s="413"/>
      <c r="AX274" s="413"/>
      <c r="AY274" s="413"/>
      <c r="AZ274" s="413" t="str">
        <f t="shared" si="19"/>
        <v/>
      </c>
      <c r="BB274" s="409"/>
      <c r="BC274" s="410"/>
      <c r="BD274" s="410"/>
      <c r="BE274" s="411"/>
      <c r="BF274" s="412"/>
      <c r="BG274" s="413"/>
      <c r="BH274" s="413"/>
      <c r="BI274" s="413"/>
      <c r="BJ274" s="413"/>
      <c r="BK274" s="413" t="str">
        <f t="shared" si="20"/>
        <v/>
      </c>
    </row>
    <row r="275" spans="1:63" ht="23" x14ac:dyDescent="0.25">
      <c r="A275" s="217" t="str" cm="1">
        <f t="array" ref="A275">IFERROR(INDEX(_xlfn.ANCHORARRAY($R$6),ROW()-5,1),"")</f>
        <v/>
      </c>
      <c r="B275" s="289" t="str" cm="1">
        <f t="array" ref="B275">IFERROR(INDEX(_xlfn.ANCHORARRAY($R$6),ROW()-5,2),"")</f>
        <v/>
      </c>
      <c r="C275" s="218" t="str">
        <f>IF($A275="","",IF($K275="DIESEL",SUMIFS(Table1[Quantity],Table1[Customer],$P$3,Table1[Date],$A275,Table1[Bill No.],$B275),IF($K275="PETROL",SUMIFS(Table14[Quantity],Table14[Customer],$P$3,Table14[Date],$A275,Table14[Bill No.],$B275),IF($K275="XtraGreen",SUMIFS(Table146[Quantity],Table146[Company],$P$3,Table146[Date],$A275,Table146[Bill No.],$B275),""))))</f>
        <v/>
      </c>
      <c r="D275" s="223" t="str">
        <f>IF($A275="","",IF($K275="DIESEL",AVERAGEIFS(Table1[RSP],Table1[Customer],$P$3,Table1[Date],$A275,Table1[Bill No.],$B275),IF($K275="PETROL",AVERAGEIFS(Table14[RSP],Table14[Customer],$P$3,Table14[Date],$A275,Table14[Bill No.],$B275),IF($K275="XtraGreen",AVERAGEIFS(Table146[RSP],Table146[Company],$P$3,Table146[Date],$A275,Table146[Bill No.],$B275),IFERROR($E275/$C275,"")))))</f>
        <v/>
      </c>
      <c r="E275" s="330" t="str">
        <f>IF($A275="","",IF($K275="DIESEL",SUMIFS(Table1[Amount],Table1[Customer],$P$3,Table1[Date],$A275,Table1[Bill No.],$B275),IF($K275="PETROL",SUMIFS(Table14[Amount],Table14[Customer],$P$3,Table14[Date],$A275,Table14[Bill No.],$B275),IF($K275="XtraGreen",SUMIFS(Table146[Amount],Table146[Company],$P$3,Table146[Date],$A275,Table146[Bill No.],$B275),SUMIFS('Other Sale'!$D:$D,'Other Sale'!$E:$E,$P$3,'Other Sale'!$C:$C,$K275,'Other Sale'!$A:$A,$A275)))))</f>
        <v/>
      </c>
      <c r="F275" s="330" t="str" cm="1">
        <f t="array" ref="F275">IF($A275="","",IF($K275="Payment",IFERROR(INDEX(_xlfn._xlws.FILTER(MasterPaid[Amount Paid],(MasterPaid[Customer]=$P$3)*(MasterPaid[Date]=$A275)),COUNTIFS($A$6:$A275,$A275,$K$6:$K275,"Payment")),0),0))</f>
        <v/>
      </c>
      <c r="G275" s="331" t="s">
        <v>13</v>
      </c>
      <c r="H275" s="331"/>
      <c r="I275" s="330" t="str">
        <f t="shared" si="18"/>
        <v/>
      </c>
      <c r="J275" s="275"/>
      <c r="K275" s="289" t="str" cm="1">
        <f t="array" ref="K275">IFERROR(INDEX(_xlfn.ANCHORARRAY($R$6),ROW()-5,3),"")</f>
        <v/>
      </c>
      <c r="L275" s="430" t="str" cm="1">
        <f t="array" ref="L275">IF(OR($A275="",$J275="",$K275&lt;&gt;"DIESEL"),"",_xlfn.LET(_xlpm.qty,N($C275),_xlpm.pos,IF($J275="UNIT 1",$V$5:$V$54,$AC$5:$AC$54),_xlpm.alo,IF($J275="UNIT 1",$W$5:$W$54,$AD$5:$AD$54),_xlpm.usd,SUMIFS($C$6:$C274,$L$6:$L274,_xlpm.pos&amp;"",$J$6:$J274,$J275),_xlpm.bal,N(_xlpm.alo)-_xlpm.usd,IFERROR(INDEX(_xlfn._xlws.FILTER(_xlpm.pos,(_xlpm.pos&lt;&gt;"")*(_xlpm.qty&gt;0)*(_xlpm.bal&gt;=_xlpm.qty)),1),"")))</f>
        <v/>
      </c>
      <c r="M275" s="290"/>
      <c r="AQ275" s="409"/>
      <c r="AR275" s="410"/>
      <c r="AS275" s="410"/>
      <c r="AT275" s="411"/>
      <c r="AU275" s="412"/>
      <c r="AV275" s="413"/>
      <c r="AW275" s="413"/>
      <c r="AX275" s="413"/>
      <c r="AY275" s="413"/>
      <c r="AZ275" s="413" t="str">
        <f t="shared" si="19"/>
        <v/>
      </c>
      <c r="BB275" s="409"/>
      <c r="BC275" s="410"/>
      <c r="BD275" s="410"/>
      <c r="BE275" s="411"/>
      <c r="BF275" s="412"/>
      <c r="BG275" s="413"/>
      <c r="BH275" s="413"/>
      <c r="BI275" s="413"/>
      <c r="BJ275" s="413"/>
      <c r="BK275" s="413" t="str">
        <f t="shared" si="20"/>
        <v/>
      </c>
    </row>
    <row r="276" spans="1:63" ht="23" x14ac:dyDescent="0.25">
      <c r="A276" s="217" t="str" cm="1">
        <f t="array" ref="A276">IFERROR(INDEX(_xlfn.ANCHORARRAY($R$6),ROW()-5,1),"")</f>
        <v/>
      </c>
      <c r="B276" s="289" t="str" cm="1">
        <f t="array" ref="B276">IFERROR(INDEX(_xlfn.ANCHORARRAY($R$6),ROW()-5,2),"")</f>
        <v/>
      </c>
      <c r="C276" s="218" t="str">
        <f>IF($A276="","",IF($K276="DIESEL",SUMIFS(Table1[Quantity],Table1[Customer],$P$3,Table1[Date],$A276,Table1[Bill No.],$B276),IF($K276="PETROL",SUMIFS(Table14[Quantity],Table14[Customer],$P$3,Table14[Date],$A276,Table14[Bill No.],$B276),IF($K276="XtraGreen",SUMIFS(Table146[Quantity],Table146[Company],$P$3,Table146[Date],$A276,Table146[Bill No.],$B276),""))))</f>
        <v/>
      </c>
      <c r="D276" s="223" t="str">
        <f>IF($A276="","",IF($K276="DIESEL",AVERAGEIFS(Table1[RSP],Table1[Customer],$P$3,Table1[Date],$A276,Table1[Bill No.],$B276),IF($K276="PETROL",AVERAGEIFS(Table14[RSP],Table14[Customer],$P$3,Table14[Date],$A276,Table14[Bill No.],$B276),IF($K276="XtraGreen",AVERAGEIFS(Table146[RSP],Table146[Company],$P$3,Table146[Date],$A276,Table146[Bill No.],$B276),IFERROR($E276/$C276,"")))))</f>
        <v/>
      </c>
      <c r="E276" s="330" t="str">
        <f>IF($A276="","",IF($K276="DIESEL",SUMIFS(Table1[Amount],Table1[Customer],$P$3,Table1[Date],$A276,Table1[Bill No.],$B276),IF($K276="PETROL",SUMIFS(Table14[Amount],Table14[Customer],$P$3,Table14[Date],$A276,Table14[Bill No.],$B276),IF($K276="XtraGreen",SUMIFS(Table146[Amount],Table146[Company],$P$3,Table146[Date],$A276,Table146[Bill No.],$B276),SUMIFS('Other Sale'!$D:$D,'Other Sale'!$E:$E,$P$3,'Other Sale'!$C:$C,$K276,'Other Sale'!$A:$A,$A276)))))</f>
        <v/>
      </c>
      <c r="F276" s="330" t="str" cm="1">
        <f t="array" ref="F276">IF($A276="","",IF($K276="Payment",IFERROR(INDEX(_xlfn._xlws.FILTER(MasterPaid[Amount Paid],(MasterPaid[Customer]=$P$3)*(MasterPaid[Date]=$A276)),COUNTIFS($A$6:$A276,$A276,$K$6:$K276,"Payment")),0),0))</f>
        <v/>
      </c>
      <c r="G276" s="331" t="s">
        <v>13</v>
      </c>
      <c r="H276" s="331"/>
      <c r="I276" s="330" t="str">
        <f t="shared" si="18"/>
        <v/>
      </c>
      <c r="J276" s="275"/>
      <c r="K276" s="289" t="str" cm="1">
        <f t="array" ref="K276">IFERROR(INDEX(_xlfn.ANCHORARRAY($R$6),ROW()-5,3),"")</f>
        <v/>
      </c>
      <c r="L276" s="430" t="str" cm="1">
        <f t="array" ref="L276">IF(OR($A276="",$J276="",$K276&lt;&gt;"DIESEL"),"",_xlfn.LET(_xlpm.qty,N($C276),_xlpm.pos,IF($J276="UNIT 1",$V$5:$V$54,$AC$5:$AC$54),_xlpm.alo,IF($J276="UNIT 1",$W$5:$W$54,$AD$5:$AD$54),_xlpm.usd,SUMIFS($C$6:$C275,$L$6:$L275,_xlpm.pos&amp;"",$J$6:$J275,$J276),_xlpm.bal,N(_xlpm.alo)-_xlpm.usd,IFERROR(INDEX(_xlfn._xlws.FILTER(_xlpm.pos,(_xlpm.pos&lt;&gt;"")*(_xlpm.qty&gt;0)*(_xlpm.bal&gt;=_xlpm.qty)),1),"")))</f>
        <v/>
      </c>
      <c r="M276" s="290"/>
      <c r="AQ276" s="409"/>
      <c r="AR276" s="410"/>
      <c r="AS276" s="410"/>
      <c r="AT276" s="411"/>
      <c r="AU276" s="412"/>
      <c r="AV276" s="413"/>
      <c r="AW276" s="413"/>
      <c r="AX276" s="413"/>
      <c r="AY276" s="413"/>
      <c r="AZ276" s="413" t="str">
        <f t="shared" si="19"/>
        <v/>
      </c>
      <c r="BB276" s="409"/>
      <c r="BC276" s="410"/>
      <c r="BD276" s="410"/>
      <c r="BE276" s="411"/>
      <c r="BF276" s="412"/>
      <c r="BG276" s="413"/>
      <c r="BH276" s="413"/>
      <c r="BI276" s="413"/>
      <c r="BJ276" s="413"/>
      <c r="BK276" s="413" t="str">
        <f t="shared" si="20"/>
        <v/>
      </c>
    </row>
    <row r="277" spans="1:63" ht="23" x14ac:dyDescent="0.25">
      <c r="A277" s="217" t="str" cm="1">
        <f t="array" ref="A277">IFERROR(INDEX(_xlfn.ANCHORARRAY($R$6),ROW()-5,1),"")</f>
        <v/>
      </c>
      <c r="B277" s="289" t="str" cm="1">
        <f t="array" ref="B277">IFERROR(INDEX(_xlfn.ANCHORARRAY($R$6),ROW()-5,2),"")</f>
        <v/>
      </c>
      <c r="C277" s="218" t="str">
        <f>IF($A277="","",IF($K277="DIESEL",SUMIFS(Table1[Quantity],Table1[Customer],$P$3,Table1[Date],$A277,Table1[Bill No.],$B277),IF($K277="PETROL",SUMIFS(Table14[Quantity],Table14[Customer],$P$3,Table14[Date],$A277,Table14[Bill No.],$B277),IF($K277="XtraGreen",SUMIFS(Table146[Quantity],Table146[Company],$P$3,Table146[Date],$A277,Table146[Bill No.],$B277),""))))</f>
        <v/>
      </c>
      <c r="D277" s="223" t="str">
        <f>IF($A277="","",IF($K277="DIESEL",AVERAGEIFS(Table1[RSP],Table1[Customer],$P$3,Table1[Date],$A277,Table1[Bill No.],$B277),IF($K277="PETROL",AVERAGEIFS(Table14[RSP],Table14[Customer],$P$3,Table14[Date],$A277,Table14[Bill No.],$B277),IF($K277="XtraGreen",AVERAGEIFS(Table146[RSP],Table146[Company],$P$3,Table146[Date],$A277,Table146[Bill No.],$B277),IFERROR($E277/$C277,"")))))</f>
        <v/>
      </c>
      <c r="E277" s="330" t="str">
        <f>IF($A277="","",IF($K277="DIESEL",SUMIFS(Table1[Amount],Table1[Customer],$P$3,Table1[Date],$A277,Table1[Bill No.],$B277),IF($K277="PETROL",SUMIFS(Table14[Amount],Table14[Customer],$P$3,Table14[Date],$A277,Table14[Bill No.],$B277),IF($K277="XtraGreen",SUMIFS(Table146[Amount],Table146[Company],$P$3,Table146[Date],$A277,Table146[Bill No.],$B277),SUMIFS('Other Sale'!$D:$D,'Other Sale'!$E:$E,$P$3,'Other Sale'!$C:$C,$K277,'Other Sale'!$A:$A,$A277)))))</f>
        <v/>
      </c>
      <c r="F277" s="330" t="str" cm="1">
        <f t="array" ref="F277">IF($A277="","",IF($K277="Payment",IFERROR(INDEX(_xlfn._xlws.FILTER(MasterPaid[Amount Paid],(MasterPaid[Customer]=$P$3)*(MasterPaid[Date]=$A277)),COUNTIFS($A$6:$A277,$A277,$K$6:$K277,"Payment")),0),0))</f>
        <v/>
      </c>
      <c r="G277" s="331" t="s">
        <v>13</v>
      </c>
      <c r="H277" s="331"/>
      <c r="I277" s="330" t="str">
        <f t="shared" si="18"/>
        <v/>
      </c>
      <c r="J277" s="275"/>
      <c r="K277" s="289" t="str" cm="1">
        <f t="array" ref="K277">IFERROR(INDEX(_xlfn.ANCHORARRAY($R$6),ROW()-5,3),"")</f>
        <v/>
      </c>
      <c r="L277" s="430" t="str" cm="1">
        <f t="array" ref="L277">IF(OR($A277="",$J277="",$K277&lt;&gt;"DIESEL"),"",_xlfn.LET(_xlpm.qty,N($C277),_xlpm.pos,IF($J277="UNIT 1",$V$5:$V$54,$AC$5:$AC$54),_xlpm.alo,IF($J277="UNIT 1",$W$5:$W$54,$AD$5:$AD$54),_xlpm.usd,SUMIFS($C$6:$C276,$L$6:$L276,_xlpm.pos&amp;"",$J$6:$J276,$J277),_xlpm.bal,N(_xlpm.alo)-_xlpm.usd,IFERROR(INDEX(_xlfn._xlws.FILTER(_xlpm.pos,(_xlpm.pos&lt;&gt;"")*(_xlpm.qty&gt;0)*(_xlpm.bal&gt;=_xlpm.qty)),1),"")))</f>
        <v/>
      </c>
      <c r="M277" s="290"/>
      <c r="AQ277" s="409"/>
      <c r="AR277" s="410"/>
      <c r="AS277" s="410"/>
      <c r="AT277" s="411"/>
      <c r="AU277" s="412"/>
      <c r="AV277" s="413"/>
      <c r="AW277" s="413"/>
      <c r="AX277" s="413"/>
      <c r="AY277" s="413"/>
      <c r="AZ277" s="413" t="str">
        <f t="shared" si="19"/>
        <v/>
      </c>
      <c r="BB277" s="409"/>
      <c r="BC277" s="410"/>
      <c r="BD277" s="410"/>
      <c r="BE277" s="411"/>
      <c r="BF277" s="412"/>
      <c r="BG277" s="413"/>
      <c r="BH277" s="413"/>
      <c r="BI277" s="413"/>
      <c r="BJ277" s="413"/>
      <c r="BK277" s="413" t="str">
        <f t="shared" si="20"/>
        <v/>
      </c>
    </row>
    <row r="278" spans="1:63" ht="23" x14ac:dyDescent="0.25">
      <c r="A278" s="217" t="str" cm="1">
        <f t="array" ref="A278">IFERROR(INDEX(_xlfn.ANCHORARRAY($R$6),ROW()-5,1),"")</f>
        <v/>
      </c>
      <c r="B278" s="289" t="str" cm="1">
        <f t="array" ref="B278">IFERROR(INDEX(_xlfn.ANCHORARRAY($R$6),ROW()-5,2),"")</f>
        <v/>
      </c>
      <c r="C278" s="218" t="str">
        <f>IF($A278="","",IF($K278="DIESEL",SUMIFS(Table1[Quantity],Table1[Customer],$P$3,Table1[Date],$A278,Table1[Bill No.],$B278),IF($K278="PETROL",SUMIFS(Table14[Quantity],Table14[Customer],$P$3,Table14[Date],$A278,Table14[Bill No.],$B278),IF($K278="XtraGreen",SUMIFS(Table146[Quantity],Table146[Company],$P$3,Table146[Date],$A278,Table146[Bill No.],$B278),""))))</f>
        <v/>
      </c>
      <c r="D278" s="223" t="str">
        <f>IF($A278="","",IF($K278="DIESEL",AVERAGEIFS(Table1[RSP],Table1[Customer],$P$3,Table1[Date],$A278,Table1[Bill No.],$B278),IF($K278="PETROL",AVERAGEIFS(Table14[RSP],Table14[Customer],$P$3,Table14[Date],$A278,Table14[Bill No.],$B278),IF($K278="XtraGreen",AVERAGEIFS(Table146[RSP],Table146[Company],$P$3,Table146[Date],$A278,Table146[Bill No.],$B278),IFERROR($E278/$C278,"")))))</f>
        <v/>
      </c>
      <c r="E278" s="330" t="str">
        <f>IF($A278="","",IF($K278="DIESEL",SUMIFS(Table1[Amount],Table1[Customer],$P$3,Table1[Date],$A278,Table1[Bill No.],$B278),IF($K278="PETROL",SUMIFS(Table14[Amount],Table14[Customer],$P$3,Table14[Date],$A278,Table14[Bill No.],$B278),IF($K278="XtraGreen",SUMIFS(Table146[Amount],Table146[Company],$P$3,Table146[Date],$A278,Table146[Bill No.],$B278),SUMIFS('Other Sale'!$D:$D,'Other Sale'!$E:$E,$P$3,'Other Sale'!$C:$C,$K278,'Other Sale'!$A:$A,$A278)))))</f>
        <v/>
      </c>
      <c r="F278" s="330" t="str" cm="1">
        <f t="array" ref="F278">IF($A278="","",IF($K278="Payment",IFERROR(INDEX(_xlfn._xlws.FILTER(MasterPaid[Amount Paid],(MasterPaid[Customer]=$P$3)*(MasterPaid[Date]=$A278)),COUNTIFS($A$6:$A278,$A278,$K$6:$K278,"Payment")),0),0))</f>
        <v/>
      </c>
      <c r="G278" s="331" t="s">
        <v>13</v>
      </c>
      <c r="H278" s="331"/>
      <c r="I278" s="330" t="str">
        <f t="shared" ref="I278:I341" si="21">IF($A278="","",I277+N(E278)-N(F278)-N(G278)-N(H278))</f>
        <v/>
      </c>
      <c r="J278" s="275"/>
      <c r="K278" s="289" t="str" cm="1">
        <f t="array" ref="K278">IFERROR(INDEX(_xlfn.ANCHORARRAY($R$6),ROW()-5,3),"")</f>
        <v/>
      </c>
      <c r="L278" s="430" t="str" cm="1">
        <f t="array" ref="L278">IF(OR($A278="",$J278="",$K278&lt;&gt;"DIESEL"),"",_xlfn.LET(_xlpm.qty,N($C278),_xlpm.pos,IF($J278="UNIT 1",$V$5:$V$54,$AC$5:$AC$54),_xlpm.alo,IF($J278="UNIT 1",$W$5:$W$54,$AD$5:$AD$54),_xlpm.usd,SUMIFS($C$6:$C277,$L$6:$L277,_xlpm.pos&amp;"",$J$6:$J277,$J278),_xlpm.bal,N(_xlpm.alo)-_xlpm.usd,IFERROR(INDEX(_xlfn._xlws.FILTER(_xlpm.pos,(_xlpm.pos&lt;&gt;"")*(_xlpm.qty&gt;0)*(_xlpm.bal&gt;=_xlpm.qty)),1),"")))</f>
        <v/>
      </c>
      <c r="M278" s="290"/>
      <c r="AQ278" s="409"/>
      <c r="AR278" s="410"/>
      <c r="AS278" s="410"/>
      <c r="AT278" s="411"/>
      <c r="AU278" s="412"/>
      <c r="AV278" s="413"/>
      <c r="AW278" s="413"/>
      <c r="AX278" s="413"/>
      <c r="AY278" s="413"/>
      <c r="AZ278" s="413" t="str">
        <f t="shared" si="19"/>
        <v/>
      </c>
      <c r="BB278" s="409"/>
      <c r="BC278" s="410"/>
      <c r="BD278" s="410"/>
      <c r="BE278" s="411"/>
      <c r="BF278" s="412"/>
      <c r="BG278" s="413"/>
      <c r="BH278" s="413"/>
      <c r="BI278" s="413"/>
      <c r="BJ278" s="413"/>
      <c r="BK278" s="413" t="str">
        <f t="shared" si="20"/>
        <v/>
      </c>
    </row>
    <row r="279" spans="1:63" ht="23" x14ac:dyDescent="0.25">
      <c r="A279" s="217" t="str" cm="1">
        <f t="array" ref="A279">IFERROR(INDEX(_xlfn.ANCHORARRAY($R$6),ROW()-5,1),"")</f>
        <v/>
      </c>
      <c r="B279" s="289" t="str" cm="1">
        <f t="array" ref="B279">IFERROR(INDEX(_xlfn.ANCHORARRAY($R$6),ROW()-5,2),"")</f>
        <v/>
      </c>
      <c r="C279" s="218" t="str">
        <f>IF($A279="","",IF($K279="DIESEL",SUMIFS(Table1[Quantity],Table1[Customer],$P$3,Table1[Date],$A279,Table1[Bill No.],$B279),IF($K279="PETROL",SUMIFS(Table14[Quantity],Table14[Customer],$P$3,Table14[Date],$A279,Table14[Bill No.],$B279),IF($K279="XtraGreen",SUMIFS(Table146[Quantity],Table146[Company],$P$3,Table146[Date],$A279,Table146[Bill No.],$B279),""))))</f>
        <v/>
      </c>
      <c r="D279" s="223" t="str">
        <f>IF($A279="","",IF($K279="DIESEL",AVERAGEIFS(Table1[RSP],Table1[Customer],$P$3,Table1[Date],$A279,Table1[Bill No.],$B279),IF($K279="PETROL",AVERAGEIFS(Table14[RSP],Table14[Customer],$P$3,Table14[Date],$A279,Table14[Bill No.],$B279),IF($K279="XtraGreen",AVERAGEIFS(Table146[RSP],Table146[Company],$P$3,Table146[Date],$A279,Table146[Bill No.],$B279),IFERROR($E279/$C279,"")))))</f>
        <v/>
      </c>
      <c r="E279" s="330" t="str">
        <f>IF($A279="","",IF($K279="DIESEL",SUMIFS(Table1[Amount],Table1[Customer],$P$3,Table1[Date],$A279,Table1[Bill No.],$B279),IF($K279="PETROL",SUMIFS(Table14[Amount],Table14[Customer],$P$3,Table14[Date],$A279,Table14[Bill No.],$B279),IF($K279="XtraGreen",SUMIFS(Table146[Amount],Table146[Company],$P$3,Table146[Date],$A279,Table146[Bill No.],$B279),SUMIFS('Other Sale'!$D:$D,'Other Sale'!$E:$E,$P$3,'Other Sale'!$C:$C,$K279,'Other Sale'!$A:$A,$A279)))))</f>
        <v/>
      </c>
      <c r="F279" s="330" t="str" cm="1">
        <f t="array" ref="F279">IF($A279="","",IF($K279="Payment",IFERROR(INDEX(_xlfn._xlws.FILTER(MasterPaid[Amount Paid],(MasterPaid[Customer]=$P$3)*(MasterPaid[Date]=$A279)),COUNTIFS($A$6:$A279,$A279,$K$6:$K279,"Payment")),0),0))</f>
        <v/>
      </c>
      <c r="G279" s="331" t="s">
        <v>13</v>
      </c>
      <c r="H279" s="331"/>
      <c r="I279" s="330" t="str">
        <f t="shared" si="21"/>
        <v/>
      </c>
      <c r="J279" s="275"/>
      <c r="K279" s="289" t="str" cm="1">
        <f t="array" ref="K279">IFERROR(INDEX(_xlfn.ANCHORARRAY($R$6),ROW()-5,3),"")</f>
        <v/>
      </c>
      <c r="L279" s="430" t="str" cm="1">
        <f t="array" ref="L279">IF(OR($A279="",$J279="",$K279&lt;&gt;"DIESEL"),"",_xlfn.LET(_xlpm.qty,N($C279),_xlpm.pos,IF($J279="UNIT 1",$V$5:$V$54,$AC$5:$AC$54),_xlpm.alo,IF($J279="UNIT 1",$W$5:$W$54,$AD$5:$AD$54),_xlpm.usd,SUMIFS($C$6:$C278,$L$6:$L278,_xlpm.pos&amp;"",$J$6:$J278,$J279),_xlpm.bal,N(_xlpm.alo)-_xlpm.usd,IFERROR(INDEX(_xlfn._xlws.FILTER(_xlpm.pos,(_xlpm.pos&lt;&gt;"")*(_xlpm.qty&gt;0)*(_xlpm.bal&gt;=_xlpm.qty)),1),"")))</f>
        <v/>
      </c>
      <c r="M279" s="290"/>
      <c r="AQ279" s="409"/>
      <c r="AR279" s="410"/>
      <c r="AS279" s="410"/>
      <c r="AT279" s="411"/>
      <c r="AU279" s="412"/>
      <c r="AV279" s="413"/>
      <c r="AW279" s="413"/>
      <c r="AX279" s="413"/>
      <c r="AY279" s="413"/>
      <c r="AZ279" s="413" t="str">
        <f t="shared" si="19"/>
        <v/>
      </c>
      <c r="BB279" s="409"/>
      <c r="BC279" s="410"/>
      <c r="BD279" s="410"/>
      <c r="BE279" s="411"/>
      <c r="BF279" s="412"/>
      <c r="BG279" s="413"/>
      <c r="BH279" s="413"/>
      <c r="BI279" s="413"/>
      <c r="BJ279" s="413"/>
      <c r="BK279" s="413" t="str">
        <f t="shared" si="20"/>
        <v/>
      </c>
    </row>
    <row r="280" spans="1:63" ht="23" x14ac:dyDescent="0.25">
      <c r="A280" s="217" t="str" cm="1">
        <f t="array" ref="A280">IFERROR(INDEX(_xlfn.ANCHORARRAY($R$6),ROW()-5,1),"")</f>
        <v/>
      </c>
      <c r="B280" s="289" t="str" cm="1">
        <f t="array" ref="B280">IFERROR(INDEX(_xlfn.ANCHORARRAY($R$6),ROW()-5,2),"")</f>
        <v/>
      </c>
      <c r="C280" s="218" t="str">
        <f>IF($A280="","",IF($K280="DIESEL",SUMIFS(Table1[Quantity],Table1[Customer],$P$3,Table1[Date],$A280,Table1[Bill No.],$B280),IF($K280="PETROL",SUMIFS(Table14[Quantity],Table14[Customer],$P$3,Table14[Date],$A280,Table14[Bill No.],$B280),IF($K280="XtraGreen",SUMIFS(Table146[Quantity],Table146[Company],$P$3,Table146[Date],$A280,Table146[Bill No.],$B280),""))))</f>
        <v/>
      </c>
      <c r="D280" s="223" t="str">
        <f>IF($A280="","",IF($K280="DIESEL",AVERAGEIFS(Table1[RSP],Table1[Customer],$P$3,Table1[Date],$A280,Table1[Bill No.],$B280),IF($K280="PETROL",AVERAGEIFS(Table14[RSP],Table14[Customer],$P$3,Table14[Date],$A280,Table14[Bill No.],$B280),IF($K280="XtraGreen",AVERAGEIFS(Table146[RSP],Table146[Company],$P$3,Table146[Date],$A280,Table146[Bill No.],$B280),IFERROR($E280/$C280,"")))))</f>
        <v/>
      </c>
      <c r="E280" s="330" t="str">
        <f>IF($A280="","",IF($K280="DIESEL",SUMIFS(Table1[Amount],Table1[Customer],$P$3,Table1[Date],$A280,Table1[Bill No.],$B280),IF($K280="PETROL",SUMIFS(Table14[Amount],Table14[Customer],$P$3,Table14[Date],$A280,Table14[Bill No.],$B280),IF($K280="XtraGreen",SUMIFS(Table146[Amount],Table146[Company],$P$3,Table146[Date],$A280,Table146[Bill No.],$B280),SUMIFS('Other Sale'!$D:$D,'Other Sale'!$E:$E,$P$3,'Other Sale'!$C:$C,$K280,'Other Sale'!$A:$A,$A280)))))</f>
        <v/>
      </c>
      <c r="F280" s="330" t="str" cm="1">
        <f t="array" ref="F280">IF($A280="","",IF($K280="Payment",IFERROR(INDEX(_xlfn._xlws.FILTER(MasterPaid[Amount Paid],(MasterPaid[Customer]=$P$3)*(MasterPaid[Date]=$A280)),COUNTIFS($A$6:$A280,$A280,$K$6:$K280,"Payment")),0),0))</f>
        <v/>
      </c>
      <c r="G280" s="331" t="s">
        <v>13</v>
      </c>
      <c r="H280" s="331"/>
      <c r="I280" s="330" t="str">
        <f t="shared" si="21"/>
        <v/>
      </c>
      <c r="J280" s="275"/>
      <c r="K280" s="289" t="str" cm="1">
        <f t="array" ref="K280">IFERROR(INDEX(_xlfn.ANCHORARRAY($R$6),ROW()-5,3),"")</f>
        <v/>
      </c>
      <c r="L280" s="430" t="str" cm="1">
        <f t="array" ref="L280">IF(OR($A280="",$J280="",$K280&lt;&gt;"DIESEL"),"",_xlfn.LET(_xlpm.qty,N($C280),_xlpm.pos,IF($J280="UNIT 1",$V$5:$V$54,$AC$5:$AC$54),_xlpm.alo,IF($J280="UNIT 1",$W$5:$W$54,$AD$5:$AD$54),_xlpm.usd,SUMIFS($C$6:$C279,$L$6:$L279,_xlpm.pos&amp;"",$J$6:$J279,$J280),_xlpm.bal,N(_xlpm.alo)-_xlpm.usd,IFERROR(INDEX(_xlfn._xlws.FILTER(_xlpm.pos,(_xlpm.pos&lt;&gt;"")*(_xlpm.qty&gt;0)*(_xlpm.bal&gt;=_xlpm.qty)),1),"")))</f>
        <v/>
      </c>
      <c r="M280" s="290"/>
      <c r="AQ280" s="409"/>
      <c r="AR280" s="410"/>
      <c r="AS280" s="410"/>
      <c r="AT280" s="411"/>
      <c r="AU280" s="412"/>
      <c r="AV280" s="413"/>
      <c r="AW280" s="413"/>
      <c r="AX280" s="413"/>
      <c r="AY280" s="413"/>
      <c r="AZ280" s="413" t="str">
        <f t="shared" si="19"/>
        <v/>
      </c>
      <c r="BB280" s="409"/>
      <c r="BC280" s="410"/>
      <c r="BD280" s="410"/>
      <c r="BE280" s="411"/>
      <c r="BF280" s="412"/>
      <c r="BG280" s="413"/>
      <c r="BH280" s="413"/>
      <c r="BI280" s="413"/>
      <c r="BJ280" s="413"/>
      <c r="BK280" s="413" t="str">
        <f t="shared" si="20"/>
        <v/>
      </c>
    </row>
    <row r="281" spans="1:63" ht="23" x14ac:dyDescent="0.25">
      <c r="A281" s="217" t="str" cm="1">
        <f t="array" ref="A281">IFERROR(INDEX(_xlfn.ANCHORARRAY($R$6),ROW()-5,1),"")</f>
        <v/>
      </c>
      <c r="B281" s="289" t="str" cm="1">
        <f t="array" ref="B281">IFERROR(INDEX(_xlfn.ANCHORARRAY($R$6),ROW()-5,2),"")</f>
        <v/>
      </c>
      <c r="C281" s="218" t="str">
        <f>IF($A281="","",IF($K281="DIESEL",SUMIFS(Table1[Quantity],Table1[Customer],$P$3,Table1[Date],$A281,Table1[Bill No.],$B281),IF($K281="PETROL",SUMIFS(Table14[Quantity],Table14[Customer],$P$3,Table14[Date],$A281,Table14[Bill No.],$B281),IF($K281="XtraGreen",SUMIFS(Table146[Quantity],Table146[Company],$P$3,Table146[Date],$A281,Table146[Bill No.],$B281),""))))</f>
        <v/>
      </c>
      <c r="D281" s="223" t="str">
        <f>IF($A281="","",IF($K281="DIESEL",AVERAGEIFS(Table1[RSP],Table1[Customer],$P$3,Table1[Date],$A281,Table1[Bill No.],$B281),IF($K281="PETROL",AVERAGEIFS(Table14[RSP],Table14[Customer],$P$3,Table14[Date],$A281,Table14[Bill No.],$B281),IF($K281="XtraGreen",AVERAGEIFS(Table146[RSP],Table146[Company],$P$3,Table146[Date],$A281,Table146[Bill No.],$B281),IFERROR($E281/$C281,"")))))</f>
        <v/>
      </c>
      <c r="E281" s="330" t="str">
        <f>IF($A281="","",IF($K281="DIESEL",SUMIFS(Table1[Amount],Table1[Customer],$P$3,Table1[Date],$A281,Table1[Bill No.],$B281),IF($K281="PETROL",SUMIFS(Table14[Amount],Table14[Customer],$P$3,Table14[Date],$A281,Table14[Bill No.],$B281),IF($K281="XtraGreen",SUMIFS(Table146[Amount],Table146[Company],$P$3,Table146[Date],$A281,Table146[Bill No.],$B281),SUMIFS('Other Sale'!$D:$D,'Other Sale'!$E:$E,$P$3,'Other Sale'!$C:$C,$K281,'Other Sale'!$A:$A,$A281)))))</f>
        <v/>
      </c>
      <c r="F281" s="330" t="str" cm="1">
        <f t="array" ref="F281">IF($A281="","",IF($K281="Payment",IFERROR(INDEX(_xlfn._xlws.FILTER(MasterPaid[Amount Paid],(MasterPaid[Customer]=$P$3)*(MasterPaid[Date]=$A281)),COUNTIFS($A$6:$A281,$A281,$K$6:$K281,"Payment")),0),0))</f>
        <v/>
      </c>
      <c r="G281" s="331" t="s">
        <v>13</v>
      </c>
      <c r="H281" s="331"/>
      <c r="I281" s="330" t="str">
        <f t="shared" si="21"/>
        <v/>
      </c>
      <c r="J281" s="275"/>
      <c r="K281" s="289" t="str" cm="1">
        <f t="array" ref="K281">IFERROR(INDEX(_xlfn.ANCHORARRAY($R$6),ROW()-5,3),"")</f>
        <v/>
      </c>
      <c r="L281" s="430" t="str" cm="1">
        <f t="array" ref="L281">IF(OR($A281="",$J281="",$K281&lt;&gt;"DIESEL"),"",_xlfn.LET(_xlpm.qty,N($C281),_xlpm.pos,IF($J281="UNIT 1",$V$5:$V$54,$AC$5:$AC$54),_xlpm.alo,IF($J281="UNIT 1",$W$5:$W$54,$AD$5:$AD$54),_xlpm.usd,SUMIFS($C$6:$C280,$L$6:$L280,_xlpm.pos&amp;"",$J$6:$J280,$J281),_xlpm.bal,N(_xlpm.alo)-_xlpm.usd,IFERROR(INDEX(_xlfn._xlws.FILTER(_xlpm.pos,(_xlpm.pos&lt;&gt;"")*(_xlpm.qty&gt;0)*(_xlpm.bal&gt;=_xlpm.qty)),1),"")))</f>
        <v/>
      </c>
      <c r="M281" s="290"/>
      <c r="AQ281" s="409"/>
      <c r="AR281" s="410"/>
      <c r="AS281" s="410"/>
      <c r="AT281" s="411"/>
      <c r="AU281" s="412"/>
      <c r="AV281" s="413"/>
      <c r="AW281" s="413"/>
      <c r="AX281" s="413"/>
      <c r="AY281" s="413"/>
      <c r="AZ281" s="413" t="str">
        <f t="shared" si="19"/>
        <v/>
      </c>
      <c r="BB281" s="409"/>
      <c r="BC281" s="410"/>
      <c r="BD281" s="410"/>
      <c r="BE281" s="411"/>
      <c r="BF281" s="412"/>
      <c r="BG281" s="413"/>
      <c r="BH281" s="413"/>
      <c r="BI281" s="413"/>
      <c r="BJ281" s="413"/>
      <c r="BK281" s="413" t="str">
        <f t="shared" si="20"/>
        <v/>
      </c>
    </row>
    <row r="282" spans="1:63" ht="23" x14ac:dyDescent="0.25">
      <c r="A282" s="217" t="str" cm="1">
        <f t="array" ref="A282">IFERROR(INDEX(_xlfn.ANCHORARRAY($R$6),ROW()-5,1),"")</f>
        <v/>
      </c>
      <c r="B282" s="289" t="str" cm="1">
        <f t="array" ref="B282">IFERROR(INDEX(_xlfn.ANCHORARRAY($R$6),ROW()-5,2),"")</f>
        <v/>
      </c>
      <c r="C282" s="218" t="str">
        <f>IF($A282="","",IF($K282="DIESEL",SUMIFS(Table1[Quantity],Table1[Customer],$P$3,Table1[Date],$A282,Table1[Bill No.],$B282),IF($K282="PETROL",SUMIFS(Table14[Quantity],Table14[Customer],$P$3,Table14[Date],$A282,Table14[Bill No.],$B282),IF($K282="XtraGreen",SUMIFS(Table146[Quantity],Table146[Company],$P$3,Table146[Date],$A282,Table146[Bill No.],$B282),""))))</f>
        <v/>
      </c>
      <c r="D282" s="223" t="str">
        <f>IF($A282="","",IF($K282="DIESEL",AVERAGEIFS(Table1[RSP],Table1[Customer],$P$3,Table1[Date],$A282,Table1[Bill No.],$B282),IF($K282="PETROL",AVERAGEIFS(Table14[RSP],Table14[Customer],$P$3,Table14[Date],$A282,Table14[Bill No.],$B282),IF($K282="XtraGreen",AVERAGEIFS(Table146[RSP],Table146[Company],$P$3,Table146[Date],$A282,Table146[Bill No.],$B282),IFERROR($E282/$C282,"")))))</f>
        <v/>
      </c>
      <c r="E282" s="330" t="str">
        <f>IF($A282="","",IF($K282="DIESEL",SUMIFS(Table1[Amount],Table1[Customer],$P$3,Table1[Date],$A282,Table1[Bill No.],$B282),IF($K282="PETROL",SUMIFS(Table14[Amount],Table14[Customer],$P$3,Table14[Date],$A282,Table14[Bill No.],$B282),IF($K282="XtraGreen",SUMIFS(Table146[Amount],Table146[Company],$P$3,Table146[Date],$A282,Table146[Bill No.],$B282),SUMIFS('Other Sale'!$D:$D,'Other Sale'!$E:$E,$P$3,'Other Sale'!$C:$C,$K282,'Other Sale'!$A:$A,$A282)))))</f>
        <v/>
      </c>
      <c r="F282" s="330" t="str" cm="1">
        <f t="array" ref="F282">IF($A282="","",IF($K282="Payment",IFERROR(INDEX(_xlfn._xlws.FILTER(MasterPaid[Amount Paid],(MasterPaid[Customer]=$P$3)*(MasterPaid[Date]=$A282)),COUNTIFS($A$6:$A282,$A282,$K$6:$K282,"Payment")),0),0))</f>
        <v/>
      </c>
      <c r="G282" s="331" t="s">
        <v>13</v>
      </c>
      <c r="H282" s="331"/>
      <c r="I282" s="330" t="str">
        <f t="shared" si="21"/>
        <v/>
      </c>
      <c r="J282" s="275"/>
      <c r="K282" s="289" t="str" cm="1">
        <f t="array" ref="K282">IFERROR(INDEX(_xlfn.ANCHORARRAY($R$6),ROW()-5,3),"")</f>
        <v/>
      </c>
      <c r="L282" s="430" t="str" cm="1">
        <f t="array" ref="L282">IF(OR($A282="",$J282="",$K282&lt;&gt;"DIESEL"),"",_xlfn.LET(_xlpm.qty,N($C282),_xlpm.pos,IF($J282="UNIT 1",$V$5:$V$54,$AC$5:$AC$54),_xlpm.alo,IF($J282="UNIT 1",$W$5:$W$54,$AD$5:$AD$54),_xlpm.usd,SUMIFS($C$6:$C281,$L$6:$L281,_xlpm.pos&amp;"",$J$6:$J281,$J282),_xlpm.bal,N(_xlpm.alo)-_xlpm.usd,IFERROR(INDEX(_xlfn._xlws.FILTER(_xlpm.pos,(_xlpm.pos&lt;&gt;"")*(_xlpm.qty&gt;0)*(_xlpm.bal&gt;=_xlpm.qty)),1),"")))</f>
        <v/>
      </c>
      <c r="M282" s="290"/>
      <c r="AQ282" s="409"/>
      <c r="AR282" s="410"/>
      <c r="AS282" s="410"/>
      <c r="AT282" s="411"/>
      <c r="AU282" s="412"/>
      <c r="AV282" s="413"/>
      <c r="AW282" s="413"/>
      <c r="AX282" s="413"/>
      <c r="AY282" s="413"/>
      <c r="AZ282" s="413" t="str">
        <f t="shared" si="19"/>
        <v/>
      </c>
      <c r="BB282" s="409"/>
      <c r="BC282" s="410"/>
      <c r="BD282" s="410"/>
      <c r="BE282" s="411"/>
      <c r="BF282" s="412"/>
      <c r="BG282" s="413"/>
      <c r="BH282" s="413"/>
      <c r="BI282" s="413"/>
      <c r="BJ282" s="413"/>
      <c r="BK282" s="413" t="str">
        <f t="shared" si="20"/>
        <v/>
      </c>
    </row>
    <row r="283" spans="1:63" ht="23" x14ac:dyDescent="0.25">
      <c r="A283" s="217" t="str" cm="1">
        <f t="array" ref="A283">IFERROR(INDEX(_xlfn.ANCHORARRAY($R$6),ROW()-5,1),"")</f>
        <v/>
      </c>
      <c r="B283" s="289" t="str" cm="1">
        <f t="array" ref="B283">IFERROR(INDEX(_xlfn.ANCHORARRAY($R$6),ROW()-5,2),"")</f>
        <v/>
      </c>
      <c r="C283" s="218" t="str">
        <f>IF($A283="","",IF($K283="DIESEL",SUMIFS(Table1[Quantity],Table1[Customer],$P$3,Table1[Date],$A283,Table1[Bill No.],$B283),IF($K283="PETROL",SUMIFS(Table14[Quantity],Table14[Customer],$P$3,Table14[Date],$A283,Table14[Bill No.],$B283),IF($K283="XtraGreen",SUMIFS(Table146[Quantity],Table146[Company],$P$3,Table146[Date],$A283,Table146[Bill No.],$B283),""))))</f>
        <v/>
      </c>
      <c r="D283" s="223" t="str">
        <f>IF($A283="","",IF($K283="DIESEL",AVERAGEIFS(Table1[RSP],Table1[Customer],$P$3,Table1[Date],$A283,Table1[Bill No.],$B283),IF($K283="PETROL",AVERAGEIFS(Table14[RSP],Table14[Customer],$P$3,Table14[Date],$A283,Table14[Bill No.],$B283),IF($K283="XtraGreen",AVERAGEIFS(Table146[RSP],Table146[Company],$P$3,Table146[Date],$A283,Table146[Bill No.],$B283),IFERROR($E283/$C283,"")))))</f>
        <v/>
      </c>
      <c r="E283" s="330" t="str">
        <f>IF($A283="","",IF($K283="DIESEL",SUMIFS(Table1[Amount],Table1[Customer],$P$3,Table1[Date],$A283,Table1[Bill No.],$B283),IF($K283="PETROL",SUMIFS(Table14[Amount],Table14[Customer],$P$3,Table14[Date],$A283,Table14[Bill No.],$B283),IF($K283="XtraGreen",SUMIFS(Table146[Amount],Table146[Company],$P$3,Table146[Date],$A283,Table146[Bill No.],$B283),SUMIFS('Other Sale'!$D:$D,'Other Sale'!$E:$E,$P$3,'Other Sale'!$C:$C,$K283,'Other Sale'!$A:$A,$A283)))))</f>
        <v/>
      </c>
      <c r="F283" s="330" t="str" cm="1">
        <f t="array" ref="F283">IF($A283="","",IF($K283="Payment",IFERROR(INDEX(_xlfn._xlws.FILTER(MasterPaid[Amount Paid],(MasterPaid[Customer]=$P$3)*(MasterPaid[Date]=$A283)),COUNTIFS($A$6:$A283,$A283,$K$6:$K283,"Payment")),0),0))</f>
        <v/>
      </c>
      <c r="G283" s="331" t="s">
        <v>13</v>
      </c>
      <c r="H283" s="331"/>
      <c r="I283" s="330" t="str">
        <f t="shared" si="21"/>
        <v/>
      </c>
      <c r="J283" s="275"/>
      <c r="K283" s="289" t="str" cm="1">
        <f t="array" ref="K283">IFERROR(INDEX(_xlfn.ANCHORARRAY($R$6),ROW()-5,3),"")</f>
        <v/>
      </c>
      <c r="L283" s="430" t="str" cm="1">
        <f t="array" ref="L283">IF(OR($A283="",$J283="",$K283&lt;&gt;"DIESEL"),"",_xlfn.LET(_xlpm.qty,N($C283),_xlpm.pos,IF($J283="UNIT 1",$V$5:$V$54,$AC$5:$AC$54),_xlpm.alo,IF($J283="UNIT 1",$W$5:$W$54,$AD$5:$AD$54),_xlpm.usd,SUMIFS($C$6:$C282,$L$6:$L282,_xlpm.pos&amp;"",$J$6:$J282,$J283),_xlpm.bal,N(_xlpm.alo)-_xlpm.usd,IFERROR(INDEX(_xlfn._xlws.FILTER(_xlpm.pos,(_xlpm.pos&lt;&gt;"")*(_xlpm.qty&gt;0)*(_xlpm.bal&gt;=_xlpm.qty)),1),"")))</f>
        <v/>
      </c>
      <c r="M283" s="290"/>
      <c r="AQ283" s="409"/>
      <c r="AR283" s="410"/>
      <c r="AS283" s="410"/>
      <c r="AT283" s="411"/>
      <c r="AU283" s="412"/>
      <c r="AV283" s="413"/>
      <c r="AW283" s="413"/>
      <c r="AX283" s="413"/>
      <c r="AY283" s="413"/>
      <c r="AZ283" s="413" t="str">
        <f t="shared" si="19"/>
        <v/>
      </c>
      <c r="BB283" s="409"/>
      <c r="BC283" s="410"/>
      <c r="BD283" s="410"/>
      <c r="BE283" s="411"/>
      <c r="BF283" s="412"/>
      <c r="BG283" s="413"/>
      <c r="BH283" s="413"/>
      <c r="BI283" s="413"/>
      <c r="BJ283" s="413"/>
      <c r="BK283" s="413" t="str">
        <f t="shared" si="20"/>
        <v/>
      </c>
    </row>
    <row r="284" spans="1:63" ht="23" x14ac:dyDescent="0.25">
      <c r="A284" s="217" t="str" cm="1">
        <f t="array" ref="A284">IFERROR(INDEX(_xlfn.ANCHORARRAY($R$6),ROW()-5,1),"")</f>
        <v/>
      </c>
      <c r="B284" s="289" t="str" cm="1">
        <f t="array" ref="B284">IFERROR(INDEX(_xlfn.ANCHORARRAY($R$6),ROW()-5,2),"")</f>
        <v/>
      </c>
      <c r="C284" s="218" t="str">
        <f>IF($A284="","",IF($K284="DIESEL",SUMIFS(Table1[Quantity],Table1[Customer],$P$3,Table1[Date],$A284,Table1[Bill No.],$B284),IF($K284="PETROL",SUMIFS(Table14[Quantity],Table14[Customer],$P$3,Table14[Date],$A284,Table14[Bill No.],$B284),IF($K284="XtraGreen",SUMIFS(Table146[Quantity],Table146[Company],$P$3,Table146[Date],$A284,Table146[Bill No.],$B284),""))))</f>
        <v/>
      </c>
      <c r="D284" s="223" t="str">
        <f>IF($A284="","",IF($K284="DIESEL",AVERAGEIFS(Table1[RSP],Table1[Customer],$P$3,Table1[Date],$A284,Table1[Bill No.],$B284),IF($K284="PETROL",AVERAGEIFS(Table14[RSP],Table14[Customer],$P$3,Table14[Date],$A284,Table14[Bill No.],$B284),IF($K284="XtraGreen",AVERAGEIFS(Table146[RSP],Table146[Company],$P$3,Table146[Date],$A284,Table146[Bill No.],$B284),IFERROR($E284/$C284,"")))))</f>
        <v/>
      </c>
      <c r="E284" s="330" t="str">
        <f>IF($A284="","",IF($K284="DIESEL",SUMIFS(Table1[Amount],Table1[Customer],$P$3,Table1[Date],$A284,Table1[Bill No.],$B284),IF($K284="PETROL",SUMIFS(Table14[Amount],Table14[Customer],$P$3,Table14[Date],$A284,Table14[Bill No.],$B284),IF($K284="XtraGreen",SUMIFS(Table146[Amount],Table146[Company],$P$3,Table146[Date],$A284,Table146[Bill No.],$B284),SUMIFS('Other Sale'!$D:$D,'Other Sale'!$E:$E,$P$3,'Other Sale'!$C:$C,$K284,'Other Sale'!$A:$A,$A284)))))</f>
        <v/>
      </c>
      <c r="F284" s="330" t="str" cm="1">
        <f t="array" ref="F284">IF($A284="","",IF($K284="Payment",IFERROR(INDEX(_xlfn._xlws.FILTER(MasterPaid[Amount Paid],(MasterPaid[Customer]=$P$3)*(MasterPaid[Date]=$A284)),COUNTIFS($A$6:$A284,$A284,$K$6:$K284,"Payment")),0),0))</f>
        <v/>
      </c>
      <c r="G284" s="331" t="s">
        <v>13</v>
      </c>
      <c r="H284" s="331"/>
      <c r="I284" s="330" t="str">
        <f t="shared" si="21"/>
        <v/>
      </c>
      <c r="J284" s="275"/>
      <c r="K284" s="289" t="str" cm="1">
        <f t="array" ref="K284">IFERROR(INDEX(_xlfn.ANCHORARRAY($R$6),ROW()-5,3),"")</f>
        <v/>
      </c>
      <c r="L284" s="430" t="str" cm="1">
        <f t="array" ref="L284">IF(OR($A284="",$J284="",$K284&lt;&gt;"DIESEL"),"",_xlfn.LET(_xlpm.qty,N($C284),_xlpm.pos,IF($J284="UNIT 1",$V$5:$V$54,$AC$5:$AC$54),_xlpm.alo,IF($J284="UNIT 1",$W$5:$W$54,$AD$5:$AD$54),_xlpm.usd,SUMIFS($C$6:$C283,$L$6:$L283,_xlpm.pos&amp;"",$J$6:$J283,$J284),_xlpm.bal,N(_xlpm.alo)-_xlpm.usd,IFERROR(INDEX(_xlfn._xlws.FILTER(_xlpm.pos,(_xlpm.pos&lt;&gt;"")*(_xlpm.qty&gt;0)*(_xlpm.bal&gt;=_xlpm.qty)),1),"")))</f>
        <v/>
      </c>
      <c r="M284" s="290"/>
      <c r="AQ284" s="409"/>
      <c r="AR284" s="410"/>
      <c r="AS284" s="410"/>
      <c r="AT284" s="411"/>
      <c r="AU284" s="412"/>
      <c r="AV284" s="413"/>
      <c r="AW284" s="413"/>
      <c r="AX284" s="413"/>
      <c r="AY284" s="413"/>
      <c r="AZ284" s="413" t="str">
        <f t="shared" si="19"/>
        <v/>
      </c>
      <c r="BB284" s="409"/>
      <c r="BC284" s="410"/>
      <c r="BD284" s="410"/>
      <c r="BE284" s="411"/>
      <c r="BF284" s="412"/>
      <c r="BG284" s="413"/>
      <c r="BH284" s="413"/>
      <c r="BI284" s="413"/>
      <c r="BJ284" s="413"/>
      <c r="BK284" s="413" t="str">
        <f t="shared" si="20"/>
        <v/>
      </c>
    </row>
    <row r="285" spans="1:63" ht="23" x14ac:dyDescent="0.25">
      <c r="A285" s="217" t="str" cm="1">
        <f t="array" ref="A285">IFERROR(INDEX(_xlfn.ANCHORARRAY($R$6),ROW()-5,1),"")</f>
        <v/>
      </c>
      <c r="B285" s="289" t="str" cm="1">
        <f t="array" ref="B285">IFERROR(INDEX(_xlfn.ANCHORARRAY($R$6),ROW()-5,2),"")</f>
        <v/>
      </c>
      <c r="C285" s="218" t="str">
        <f>IF($A285="","",IF($K285="DIESEL",SUMIFS(Table1[Quantity],Table1[Customer],$P$3,Table1[Date],$A285,Table1[Bill No.],$B285),IF($K285="PETROL",SUMIFS(Table14[Quantity],Table14[Customer],$P$3,Table14[Date],$A285,Table14[Bill No.],$B285),IF($K285="XtraGreen",SUMIFS(Table146[Quantity],Table146[Company],$P$3,Table146[Date],$A285,Table146[Bill No.],$B285),""))))</f>
        <v/>
      </c>
      <c r="D285" s="223" t="str">
        <f>IF($A285="","",IF($K285="DIESEL",AVERAGEIFS(Table1[RSP],Table1[Customer],$P$3,Table1[Date],$A285,Table1[Bill No.],$B285),IF($K285="PETROL",AVERAGEIFS(Table14[RSP],Table14[Customer],$P$3,Table14[Date],$A285,Table14[Bill No.],$B285),IF($K285="XtraGreen",AVERAGEIFS(Table146[RSP],Table146[Company],$P$3,Table146[Date],$A285,Table146[Bill No.],$B285),IFERROR($E285/$C285,"")))))</f>
        <v/>
      </c>
      <c r="E285" s="330" t="str">
        <f>IF($A285="","",IF($K285="DIESEL",SUMIFS(Table1[Amount],Table1[Customer],$P$3,Table1[Date],$A285,Table1[Bill No.],$B285),IF($K285="PETROL",SUMIFS(Table14[Amount],Table14[Customer],$P$3,Table14[Date],$A285,Table14[Bill No.],$B285),IF($K285="XtraGreen",SUMIFS(Table146[Amount],Table146[Company],$P$3,Table146[Date],$A285,Table146[Bill No.],$B285),SUMIFS('Other Sale'!$D:$D,'Other Sale'!$E:$E,$P$3,'Other Sale'!$C:$C,$K285,'Other Sale'!$A:$A,$A285)))))</f>
        <v/>
      </c>
      <c r="F285" s="330" t="str" cm="1">
        <f t="array" ref="F285">IF($A285="","",IF($K285="Payment",IFERROR(INDEX(_xlfn._xlws.FILTER(MasterPaid[Amount Paid],(MasterPaid[Customer]=$P$3)*(MasterPaid[Date]=$A285)),COUNTIFS($A$6:$A285,$A285,$K$6:$K285,"Payment")),0),0))</f>
        <v/>
      </c>
      <c r="G285" s="331" t="s">
        <v>13</v>
      </c>
      <c r="H285" s="331"/>
      <c r="I285" s="330" t="str">
        <f t="shared" si="21"/>
        <v/>
      </c>
      <c r="J285" s="275"/>
      <c r="K285" s="289" t="str" cm="1">
        <f t="array" ref="K285">IFERROR(INDEX(_xlfn.ANCHORARRAY($R$6),ROW()-5,3),"")</f>
        <v/>
      </c>
      <c r="L285" s="430" t="str" cm="1">
        <f t="array" ref="L285">IF(OR($A285="",$J285="",$K285&lt;&gt;"DIESEL"),"",_xlfn.LET(_xlpm.qty,N($C285),_xlpm.pos,IF($J285="UNIT 1",$V$5:$V$54,$AC$5:$AC$54),_xlpm.alo,IF($J285="UNIT 1",$W$5:$W$54,$AD$5:$AD$54),_xlpm.usd,SUMIFS($C$6:$C284,$L$6:$L284,_xlpm.pos&amp;"",$J$6:$J284,$J285),_xlpm.bal,N(_xlpm.alo)-_xlpm.usd,IFERROR(INDEX(_xlfn._xlws.FILTER(_xlpm.pos,(_xlpm.pos&lt;&gt;"")*(_xlpm.qty&gt;0)*(_xlpm.bal&gt;=_xlpm.qty)),1),"")))</f>
        <v/>
      </c>
      <c r="M285" s="290"/>
      <c r="AQ285" s="409"/>
      <c r="AR285" s="410"/>
      <c r="AS285" s="410"/>
      <c r="AT285" s="411"/>
      <c r="AU285" s="412"/>
      <c r="AV285" s="413"/>
      <c r="AW285" s="413"/>
      <c r="AX285" s="413"/>
      <c r="AY285" s="413"/>
      <c r="AZ285" s="413" t="str">
        <f t="shared" si="19"/>
        <v/>
      </c>
      <c r="BB285" s="409"/>
      <c r="BC285" s="410"/>
      <c r="BD285" s="410"/>
      <c r="BE285" s="411"/>
      <c r="BF285" s="412"/>
      <c r="BG285" s="413"/>
      <c r="BH285" s="413"/>
      <c r="BI285" s="413"/>
      <c r="BJ285" s="413"/>
      <c r="BK285" s="413" t="str">
        <f t="shared" si="20"/>
        <v/>
      </c>
    </row>
    <row r="286" spans="1:63" ht="23" x14ac:dyDescent="0.25">
      <c r="A286" s="217" t="str" cm="1">
        <f t="array" ref="A286">IFERROR(INDEX(_xlfn.ANCHORARRAY($R$6),ROW()-5,1),"")</f>
        <v/>
      </c>
      <c r="B286" s="289" t="str" cm="1">
        <f t="array" ref="B286">IFERROR(INDEX(_xlfn.ANCHORARRAY($R$6),ROW()-5,2),"")</f>
        <v/>
      </c>
      <c r="C286" s="218" t="str">
        <f>IF($A286="","",IF($K286="DIESEL",SUMIFS(Table1[Quantity],Table1[Customer],$P$3,Table1[Date],$A286,Table1[Bill No.],$B286),IF($K286="PETROL",SUMIFS(Table14[Quantity],Table14[Customer],$P$3,Table14[Date],$A286,Table14[Bill No.],$B286),IF($K286="XtraGreen",SUMIFS(Table146[Quantity],Table146[Company],$P$3,Table146[Date],$A286,Table146[Bill No.],$B286),""))))</f>
        <v/>
      </c>
      <c r="D286" s="223" t="str">
        <f>IF($A286="","",IF($K286="DIESEL",AVERAGEIFS(Table1[RSP],Table1[Customer],$P$3,Table1[Date],$A286,Table1[Bill No.],$B286),IF($K286="PETROL",AVERAGEIFS(Table14[RSP],Table14[Customer],$P$3,Table14[Date],$A286,Table14[Bill No.],$B286),IF($K286="XtraGreen",AVERAGEIFS(Table146[RSP],Table146[Company],$P$3,Table146[Date],$A286,Table146[Bill No.],$B286),IFERROR($E286/$C286,"")))))</f>
        <v/>
      </c>
      <c r="E286" s="330" t="str">
        <f>IF($A286="","",IF($K286="DIESEL",SUMIFS(Table1[Amount],Table1[Customer],$P$3,Table1[Date],$A286,Table1[Bill No.],$B286),IF($K286="PETROL",SUMIFS(Table14[Amount],Table14[Customer],$P$3,Table14[Date],$A286,Table14[Bill No.],$B286),IF($K286="XtraGreen",SUMIFS(Table146[Amount],Table146[Company],$P$3,Table146[Date],$A286,Table146[Bill No.],$B286),SUMIFS('Other Sale'!$D:$D,'Other Sale'!$E:$E,$P$3,'Other Sale'!$C:$C,$K286,'Other Sale'!$A:$A,$A286)))))</f>
        <v/>
      </c>
      <c r="F286" s="330" t="str" cm="1">
        <f t="array" ref="F286">IF($A286="","",IF($K286="Payment",IFERROR(INDEX(_xlfn._xlws.FILTER(MasterPaid[Amount Paid],(MasterPaid[Customer]=$P$3)*(MasterPaid[Date]=$A286)),COUNTIFS($A$6:$A286,$A286,$K$6:$K286,"Payment")),0),0))</f>
        <v/>
      </c>
      <c r="G286" s="331" t="s">
        <v>13</v>
      </c>
      <c r="H286" s="331"/>
      <c r="I286" s="330" t="str">
        <f t="shared" si="21"/>
        <v/>
      </c>
      <c r="J286" s="275"/>
      <c r="K286" s="289" t="str" cm="1">
        <f t="array" ref="K286">IFERROR(INDEX(_xlfn.ANCHORARRAY($R$6),ROW()-5,3),"")</f>
        <v/>
      </c>
      <c r="L286" s="430" t="str" cm="1">
        <f t="array" ref="L286">IF(OR($A286="",$J286="",$K286&lt;&gt;"DIESEL"),"",_xlfn.LET(_xlpm.qty,N($C286),_xlpm.pos,IF($J286="UNIT 1",$V$5:$V$54,$AC$5:$AC$54),_xlpm.alo,IF($J286="UNIT 1",$W$5:$W$54,$AD$5:$AD$54),_xlpm.usd,SUMIFS($C$6:$C285,$L$6:$L285,_xlpm.pos&amp;"",$J$6:$J285,$J286),_xlpm.bal,N(_xlpm.alo)-_xlpm.usd,IFERROR(INDEX(_xlfn._xlws.FILTER(_xlpm.pos,(_xlpm.pos&lt;&gt;"")*(_xlpm.qty&gt;0)*(_xlpm.bal&gt;=_xlpm.qty)),1),"")))</f>
        <v/>
      </c>
      <c r="M286" s="290"/>
      <c r="AQ286" s="409"/>
      <c r="AR286" s="410"/>
      <c r="AS286" s="410"/>
      <c r="AT286" s="411"/>
      <c r="AU286" s="412"/>
      <c r="AV286" s="413"/>
      <c r="AW286" s="413"/>
      <c r="AX286" s="413"/>
      <c r="AY286" s="413"/>
      <c r="AZ286" s="413" t="str">
        <f t="shared" si="19"/>
        <v/>
      </c>
      <c r="BB286" s="409"/>
      <c r="BC286" s="410"/>
      <c r="BD286" s="410"/>
      <c r="BE286" s="411"/>
      <c r="BF286" s="412"/>
      <c r="BG286" s="413"/>
      <c r="BH286" s="413"/>
      <c r="BI286" s="413"/>
      <c r="BJ286" s="413"/>
      <c r="BK286" s="413" t="str">
        <f t="shared" si="20"/>
        <v/>
      </c>
    </row>
    <row r="287" spans="1:63" ht="23" x14ac:dyDescent="0.25">
      <c r="A287" s="217" t="str" cm="1">
        <f t="array" ref="A287">IFERROR(INDEX(_xlfn.ANCHORARRAY($R$6),ROW()-5,1),"")</f>
        <v/>
      </c>
      <c r="B287" s="289" t="str" cm="1">
        <f t="array" ref="B287">IFERROR(INDEX(_xlfn.ANCHORARRAY($R$6),ROW()-5,2),"")</f>
        <v/>
      </c>
      <c r="C287" s="218" t="str">
        <f>IF($A287="","",IF($K287="DIESEL",SUMIFS(Table1[Quantity],Table1[Customer],$P$3,Table1[Date],$A287,Table1[Bill No.],$B287),IF($K287="PETROL",SUMIFS(Table14[Quantity],Table14[Customer],$P$3,Table14[Date],$A287,Table14[Bill No.],$B287),IF($K287="XtraGreen",SUMIFS(Table146[Quantity],Table146[Company],$P$3,Table146[Date],$A287,Table146[Bill No.],$B287),""))))</f>
        <v/>
      </c>
      <c r="D287" s="223" t="str">
        <f>IF($A287="","",IF($K287="DIESEL",AVERAGEIFS(Table1[RSP],Table1[Customer],$P$3,Table1[Date],$A287,Table1[Bill No.],$B287),IF($K287="PETROL",AVERAGEIFS(Table14[RSP],Table14[Customer],$P$3,Table14[Date],$A287,Table14[Bill No.],$B287),IF($K287="XtraGreen",AVERAGEIFS(Table146[RSP],Table146[Company],$P$3,Table146[Date],$A287,Table146[Bill No.],$B287),IFERROR($E287/$C287,"")))))</f>
        <v/>
      </c>
      <c r="E287" s="330" t="str">
        <f>IF($A287="","",IF($K287="DIESEL",SUMIFS(Table1[Amount],Table1[Customer],$P$3,Table1[Date],$A287,Table1[Bill No.],$B287),IF($K287="PETROL",SUMIFS(Table14[Amount],Table14[Customer],$P$3,Table14[Date],$A287,Table14[Bill No.],$B287),IF($K287="XtraGreen",SUMIFS(Table146[Amount],Table146[Company],$P$3,Table146[Date],$A287,Table146[Bill No.],$B287),SUMIFS('Other Sale'!$D:$D,'Other Sale'!$E:$E,$P$3,'Other Sale'!$C:$C,$K287,'Other Sale'!$A:$A,$A287)))))</f>
        <v/>
      </c>
      <c r="F287" s="330" t="str" cm="1">
        <f t="array" ref="F287">IF($A287="","",IF($K287="Payment",IFERROR(INDEX(_xlfn._xlws.FILTER(MasterPaid[Amount Paid],(MasterPaid[Customer]=$P$3)*(MasterPaid[Date]=$A287)),COUNTIFS($A$6:$A287,$A287,$K$6:$K287,"Payment")),0),0))</f>
        <v/>
      </c>
      <c r="G287" s="331" t="s">
        <v>13</v>
      </c>
      <c r="H287" s="331"/>
      <c r="I287" s="330" t="str">
        <f t="shared" si="21"/>
        <v/>
      </c>
      <c r="J287" s="275"/>
      <c r="K287" s="289" t="str" cm="1">
        <f t="array" ref="K287">IFERROR(INDEX(_xlfn.ANCHORARRAY($R$6),ROW()-5,3),"")</f>
        <v/>
      </c>
      <c r="L287" s="430" t="str" cm="1">
        <f t="array" ref="L287">IF(OR($A287="",$J287="",$K287&lt;&gt;"DIESEL"),"",_xlfn.LET(_xlpm.qty,N($C287),_xlpm.pos,IF($J287="UNIT 1",$V$5:$V$54,$AC$5:$AC$54),_xlpm.alo,IF($J287="UNIT 1",$W$5:$W$54,$AD$5:$AD$54),_xlpm.usd,SUMIFS($C$6:$C286,$L$6:$L286,_xlpm.pos&amp;"",$J$6:$J286,$J287),_xlpm.bal,N(_xlpm.alo)-_xlpm.usd,IFERROR(INDEX(_xlfn._xlws.FILTER(_xlpm.pos,(_xlpm.pos&lt;&gt;"")*(_xlpm.qty&gt;0)*(_xlpm.bal&gt;=_xlpm.qty)),1),"")))</f>
        <v/>
      </c>
      <c r="M287" s="290"/>
      <c r="AQ287" s="409"/>
      <c r="AR287" s="410"/>
      <c r="AS287" s="410"/>
      <c r="AT287" s="411"/>
      <c r="AU287" s="412"/>
      <c r="AV287" s="413"/>
      <c r="AW287" s="413"/>
      <c r="AX287" s="413"/>
      <c r="AY287" s="413"/>
      <c r="AZ287" s="413" t="str">
        <f t="shared" si="19"/>
        <v/>
      </c>
      <c r="BB287" s="409"/>
      <c r="BC287" s="410"/>
      <c r="BD287" s="410"/>
      <c r="BE287" s="411"/>
      <c r="BF287" s="412"/>
      <c r="BG287" s="413"/>
      <c r="BH287" s="413"/>
      <c r="BI287" s="413"/>
      <c r="BJ287" s="413"/>
      <c r="BK287" s="413" t="str">
        <f t="shared" si="20"/>
        <v/>
      </c>
    </row>
    <row r="288" spans="1:63" ht="23" x14ac:dyDescent="0.25">
      <c r="A288" s="217" t="str" cm="1">
        <f t="array" ref="A288">IFERROR(INDEX(_xlfn.ANCHORARRAY($R$6),ROW()-5,1),"")</f>
        <v/>
      </c>
      <c r="B288" s="289" t="str" cm="1">
        <f t="array" ref="B288">IFERROR(INDEX(_xlfn.ANCHORARRAY($R$6),ROW()-5,2),"")</f>
        <v/>
      </c>
      <c r="C288" s="218" t="str">
        <f>IF($A288="","",IF($K288="DIESEL",SUMIFS(Table1[Quantity],Table1[Customer],$P$3,Table1[Date],$A288,Table1[Bill No.],$B288),IF($K288="PETROL",SUMIFS(Table14[Quantity],Table14[Customer],$P$3,Table14[Date],$A288,Table14[Bill No.],$B288),IF($K288="XtraGreen",SUMIFS(Table146[Quantity],Table146[Company],$P$3,Table146[Date],$A288,Table146[Bill No.],$B288),""))))</f>
        <v/>
      </c>
      <c r="D288" s="223" t="str">
        <f>IF($A288="","",IF($K288="DIESEL",AVERAGEIFS(Table1[RSP],Table1[Customer],$P$3,Table1[Date],$A288,Table1[Bill No.],$B288),IF($K288="PETROL",AVERAGEIFS(Table14[RSP],Table14[Customer],$P$3,Table14[Date],$A288,Table14[Bill No.],$B288),IF($K288="XtraGreen",AVERAGEIFS(Table146[RSP],Table146[Company],$P$3,Table146[Date],$A288,Table146[Bill No.],$B288),IFERROR($E288/$C288,"")))))</f>
        <v/>
      </c>
      <c r="E288" s="330" t="str">
        <f>IF($A288="","",IF($K288="DIESEL",SUMIFS(Table1[Amount],Table1[Customer],$P$3,Table1[Date],$A288,Table1[Bill No.],$B288),IF($K288="PETROL",SUMIFS(Table14[Amount],Table14[Customer],$P$3,Table14[Date],$A288,Table14[Bill No.],$B288),IF($K288="XtraGreen",SUMIFS(Table146[Amount],Table146[Company],$P$3,Table146[Date],$A288,Table146[Bill No.],$B288),SUMIFS('Other Sale'!$D:$D,'Other Sale'!$E:$E,$P$3,'Other Sale'!$C:$C,$K288,'Other Sale'!$A:$A,$A288)))))</f>
        <v/>
      </c>
      <c r="F288" s="330" t="str" cm="1">
        <f t="array" ref="F288">IF($A288="","",IF($K288="Payment",IFERROR(INDEX(_xlfn._xlws.FILTER(MasterPaid[Amount Paid],(MasterPaid[Customer]=$P$3)*(MasterPaid[Date]=$A288)),COUNTIFS($A$6:$A288,$A288,$K$6:$K288,"Payment")),0),0))</f>
        <v/>
      </c>
      <c r="G288" s="331" t="s">
        <v>13</v>
      </c>
      <c r="H288" s="331"/>
      <c r="I288" s="330" t="str">
        <f t="shared" si="21"/>
        <v/>
      </c>
      <c r="J288" s="275"/>
      <c r="K288" s="289" t="str" cm="1">
        <f t="array" ref="K288">IFERROR(INDEX(_xlfn.ANCHORARRAY($R$6),ROW()-5,3),"")</f>
        <v/>
      </c>
      <c r="L288" s="430" t="str" cm="1">
        <f t="array" ref="L288">IF(OR($A288="",$J288="",$K288&lt;&gt;"DIESEL"),"",_xlfn.LET(_xlpm.qty,N($C288),_xlpm.pos,IF($J288="UNIT 1",$V$5:$V$54,$AC$5:$AC$54),_xlpm.alo,IF($J288="UNIT 1",$W$5:$W$54,$AD$5:$AD$54),_xlpm.usd,SUMIFS($C$6:$C287,$L$6:$L287,_xlpm.pos&amp;"",$J$6:$J287,$J288),_xlpm.bal,N(_xlpm.alo)-_xlpm.usd,IFERROR(INDEX(_xlfn._xlws.FILTER(_xlpm.pos,(_xlpm.pos&lt;&gt;"")*(_xlpm.qty&gt;0)*(_xlpm.bal&gt;=_xlpm.qty)),1),"")))</f>
        <v/>
      </c>
      <c r="M288" s="290"/>
      <c r="AQ288" s="409"/>
      <c r="AR288" s="410"/>
      <c r="AS288" s="410"/>
      <c r="AT288" s="411"/>
      <c r="AU288" s="412"/>
      <c r="AV288" s="413"/>
      <c r="AW288" s="413"/>
      <c r="AX288" s="413"/>
      <c r="AY288" s="413"/>
      <c r="AZ288" s="413" t="str">
        <f t="shared" si="19"/>
        <v/>
      </c>
      <c r="BB288" s="409"/>
      <c r="BC288" s="410"/>
      <c r="BD288" s="410"/>
      <c r="BE288" s="411"/>
      <c r="BF288" s="412"/>
      <c r="BG288" s="413"/>
      <c r="BH288" s="413"/>
      <c r="BI288" s="413"/>
      <c r="BJ288" s="413"/>
      <c r="BK288" s="413" t="str">
        <f t="shared" si="20"/>
        <v/>
      </c>
    </row>
    <row r="289" spans="1:63" ht="23" x14ac:dyDescent="0.25">
      <c r="A289" s="217" t="str" cm="1">
        <f t="array" ref="A289">IFERROR(INDEX(_xlfn.ANCHORARRAY($R$6),ROW()-5,1),"")</f>
        <v/>
      </c>
      <c r="B289" s="289" t="str" cm="1">
        <f t="array" ref="B289">IFERROR(INDEX(_xlfn.ANCHORARRAY($R$6),ROW()-5,2),"")</f>
        <v/>
      </c>
      <c r="C289" s="218" t="str">
        <f>IF($A289="","",IF($K289="DIESEL",SUMIFS(Table1[Quantity],Table1[Customer],$P$3,Table1[Date],$A289,Table1[Bill No.],$B289),IF($K289="PETROL",SUMIFS(Table14[Quantity],Table14[Customer],$P$3,Table14[Date],$A289,Table14[Bill No.],$B289),IF($K289="XtraGreen",SUMIFS(Table146[Quantity],Table146[Company],$P$3,Table146[Date],$A289,Table146[Bill No.],$B289),""))))</f>
        <v/>
      </c>
      <c r="D289" s="223" t="str">
        <f>IF($A289="","",IF($K289="DIESEL",AVERAGEIFS(Table1[RSP],Table1[Customer],$P$3,Table1[Date],$A289,Table1[Bill No.],$B289),IF($K289="PETROL",AVERAGEIFS(Table14[RSP],Table14[Customer],$P$3,Table14[Date],$A289,Table14[Bill No.],$B289),IF($K289="XtraGreen",AVERAGEIFS(Table146[RSP],Table146[Company],$P$3,Table146[Date],$A289,Table146[Bill No.],$B289),IFERROR($E289/$C289,"")))))</f>
        <v/>
      </c>
      <c r="E289" s="330" t="str">
        <f>IF($A289="","",IF($K289="DIESEL",SUMIFS(Table1[Amount],Table1[Customer],$P$3,Table1[Date],$A289,Table1[Bill No.],$B289),IF($K289="PETROL",SUMIFS(Table14[Amount],Table14[Customer],$P$3,Table14[Date],$A289,Table14[Bill No.],$B289),IF($K289="XtraGreen",SUMIFS(Table146[Amount],Table146[Company],$P$3,Table146[Date],$A289,Table146[Bill No.],$B289),SUMIFS('Other Sale'!$D:$D,'Other Sale'!$E:$E,$P$3,'Other Sale'!$C:$C,$K289,'Other Sale'!$A:$A,$A289)))))</f>
        <v/>
      </c>
      <c r="F289" s="330" t="str" cm="1">
        <f t="array" ref="F289">IF($A289="","",IF($K289="Payment",IFERROR(INDEX(_xlfn._xlws.FILTER(MasterPaid[Amount Paid],(MasterPaid[Customer]=$P$3)*(MasterPaid[Date]=$A289)),COUNTIFS($A$6:$A289,$A289,$K$6:$K289,"Payment")),0),0))</f>
        <v/>
      </c>
      <c r="G289" s="331" t="s">
        <v>13</v>
      </c>
      <c r="H289" s="331"/>
      <c r="I289" s="330" t="str">
        <f t="shared" si="21"/>
        <v/>
      </c>
      <c r="J289" s="275"/>
      <c r="K289" s="289" t="str" cm="1">
        <f t="array" ref="K289">IFERROR(INDEX(_xlfn.ANCHORARRAY($R$6),ROW()-5,3),"")</f>
        <v/>
      </c>
      <c r="L289" s="430" t="str" cm="1">
        <f t="array" ref="L289">IF(OR($A289="",$J289="",$K289&lt;&gt;"DIESEL"),"",_xlfn.LET(_xlpm.qty,N($C289),_xlpm.pos,IF($J289="UNIT 1",$V$5:$V$54,$AC$5:$AC$54),_xlpm.alo,IF($J289="UNIT 1",$W$5:$W$54,$AD$5:$AD$54),_xlpm.usd,SUMIFS($C$6:$C288,$L$6:$L288,_xlpm.pos&amp;"",$J$6:$J288,$J289),_xlpm.bal,N(_xlpm.alo)-_xlpm.usd,IFERROR(INDEX(_xlfn._xlws.FILTER(_xlpm.pos,(_xlpm.pos&lt;&gt;"")*(_xlpm.qty&gt;0)*(_xlpm.bal&gt;=_xlpm.qty)),1),"")))</f>
        <v/>
      </c>
      <c r="M289" s="290"/>
      <c r="AQ289" s="409"/>
      <c r="AR289" s="410"/>
      <c r="AS289" s="410"/>
      <c r="AT289" s="411"/>
      <c r="AU289" s="412"/>
      <c r="AV289" s="413"/>
      <c r="AW289" s="413"/>
      <c r="AX289" s="413"/>
      <c r="AY289" s="413"/>
      <c r="AZ289" s="413" t="str">
        <f t="shared" si="19"/>
        <v/>
      </c>
      <c r="BB289" s="409"/>
      <c r="BC289" s="410"/>
      <c r="BD289" s="410"/>
      <c r="BE289" s="411"/>
      <c r="BF289" s="412"/>
      <c r="BG289" s="413"/>
      <c r="BH289" s="413"/>
      <c r="BI289" s="413"/>
      <c r="BJ289" s="413"/>
      <c r="BK289" s="413" t="str">
        <f t="shared" si="20"/>
        <v/>
      </c>
    </row>
    <row r="290" spans="1:63" ht="23" x14ac:dyDescent="0.25">
      <c r="A290" s="217" t="str" cm="1">
        <f t="array" ref="A290">IFERROR(INDEX(_xlfn.ANCHORARRAY($R$6),ROW()-5,1),"")</f>
        <v/>
      </c>
      <c r="B290" s="289" t="str" cm="1">
        <f t="array" ref="B290">IFERROR(INDEX(_xlfn.ANCHORARRAY($R$6),ROW()-5,2),"")</f>
        <v/>
      </c>
      <c r="C290" s="218" t="str">
        <f>IF($A290="","",IF($K290="DIESEL",SUMIFS(Table1[Quantity],Table1[Customer],$P$3,Table1[Date],$A290,Table1[Bill No.],$B290),IF($K290="PETROL",SUMIFS(Table14[Quantity],Table14[Customer],$P$3,Table14[Date],$A290,Table14[Bill No.],$B290),IF($K290="XtraGreen",SUMIFS(Table146[Quantity],Table146[Company],$P$3,Table146[Date],$A290,Table146[Bill No.],$B290),""))))</f>
        <v/>
      </c>
      <c r="D290" s="223" t="str">
        <f>IF($A290="","",IF($K290="DIESEL",AVERAGEIFS(Table1[RSP],Table1[Customer],$P$3,Table1[Date],$A290,Table1[Bill No.],$B290),IF($K290="PETROL",AVERAGEIFS(Table14[RSP],Table14[Customer],$P$3,Table14[Date],$A290,Table14[Bill No.],$B290),IF($K290="XtraGreen",AVERAGEIFS(Table146[RSP],Table146[Company],$P$3,Table146[Date],$A290,Table146[Bill No.],$B290),IFERROR($E290/$C290,"")))))</f>
        <v/>
      </c>
      <c r="E290" s="330" t="str">
        <f>IF($A290="","",IF($K290="DIESEL",SUMIFS(Table1[Amount],Table1[Customer],$P$3,Table1[Date],$A290,Table1[Bill No.],$B290),IF($K290="PETROL",SUMIFS(Table14[Amount],Table14[Customer],$P$3,Table14[Date],$A290,Table14[Bill No.],$B290),IF($K290="XtraGreen",SUMIFS(Table146[Amount],Table146[Company],$P$3,Table146[Date],$A290,Table146[Bill No.],$B290),SUMIFS('Other Sale'!$D:$D,'Other Sale'!$E:$E,$P$3,'Other Sale'!$C:$C,$K290,'Other Sale'!$A:$A,$A290)))))</f>
        <v/>
      </c>
      <c r="F290" s="330" t="str" cm="1">
        <f t="array" ref="F290">IF($A290="","",IF($K290="Payment",IFERROR(INDEX(_xlfn._xlws.FILTER(MasterPaid[Amount Paid],(MasterPaid[Customer]=$P$3)*(MasterPaid[Date]=$A290)),COUNTIFS($A$6:$A290,$A290,$K$6:$K290,"Payment")),0),0))</f>
        <v/>
      </c>
      <c r="G290" s="331" t="s">
        <v>13</v>
      </c>
      <c r="H290" s="331"/>
      <c r="I290" s="330" t="str">
        <f t="shared" si="21"/>
        <v/>
      </c>
      <c r="J290" s="275"/>
      <c r="K290" s="289" t="str" cm="1">
        <f t="array" ref="K290">IFERROR(INDEX(_xlfn.ANCHORARRAY($R$6),ROW()-5,3),"")</f>
        <v/>
      </c>
      <c r="L290" s="430" t="str" cm="1">
        <f t="array" ref="L290">IF(OR($A290="",$J290="",$K290&lt;&gt;"DIESEL"),"",_xlfn.LET(_xlpm.qty,N($C290),_xlpm.pos,IF($J290="UNIT 1",$V$5:$V$54,$AC$5:$AC$54),_xlpm.alo,IF($J290="UNIT 1",$W$5:$W$54,$AD$5:$AD$54),_xlpm.usd,SUMIFS($C$6:$C289,$L$6:$L289,_xlpm.pos&amp;"",$J$6:$J289,$J290),_xlpm.bal,N(_xlpm.alo)-_xlpm.usd,IFERROR(INDEX(_xlfn._xlws.FILTER(_xlpm.pos,(_xlpm.pos&lt;&gt;"")*(_xlpm.qty&gt;0)*(_xlpm.bal&gt;=_xlpm.qty)),1),"")))</f>
        <v/>
      </c>
      <c r="M290" s="290"/>
      <c r="AQ290" s="409"/>
      <c r="AR290" s="410"/>
      <c r="AS290" s="410"/>
      <c r="AT290" s="411"/>
      <c r="AU290" s="412"/>
      <c r="AV290" s="413"/>
      <c r="AW290" s="413"/>
      <c r="AX290" s="413"/>
      <c r="AY290" s="413"/>
      <c r="AZ290" s="413" t="str">
        <f t="shared" si="19"/>
        <v/>
      </c>
      <c r="BB290" s="409"/>
      <c r="BC290" s="410"/>
      <c r="BD290" s="410"/>
      <c r="BE290" s="411"/>
      <c r="BF290" s="412"/>
      <c r="BG290" s="413"/>
      <c r="BH290" s="413"/>
      <c r="BI290" s="413"/>
      <c r="BJ290" s="413"/>
      <c r="BK290" s="413" t="str">
        <f t="shared" si="20"/>
        <v/>
      </c>
    </row>
    <row r="291" spans="1:63" ht="23" x14ac:dyDescent="0.25">
      <c r="A291" s="217" t="str" cm="1">
        <f t="array" ref="A291">IFERROR(INDEX(_xlfn.ANCHORARRAY($R$6),ROW()-5,1),"")</f>
        <v/>
      </c>
      <c r="B291" s="289" t="str" cm="1">
        <f t="array" ref="B291">IFERROR(INDEX(_xlfn.ANCHORARRAY($R$6),ROW()-5,2),"")</f>
        <v/>
      </c>
      <c r="C291" s="218" t="str">
        <f>IF($A291="","",IF($K291="DIESEL",SUMIFS(Table1[Quantity],Table1[Customer],$P$3,Table1[Date],$A291,Table1[Bill No.],$B291),IF($K291="PETROL",SUMIFS(Table14[Quantity],Table14[Customer],$P$3,Table14[Date],$A291,Table14[Bill No.],$B291),IF($K291="XtraGreen",SUMIFS(Table146[Quantity],Table146[Company],$P$3,Table146[Date],$A291,Table146[Bill No.],$B291),""))))</f>
        <v/>
      </c>
      <c r="D291" s="223" t="str">
        <f>IF($A291="","",IF($K291="DIESEL",AVERAGEIFS(Table1[RSP],Table1[Customer],$P$3,Table1[Date],$A291,Table1[Bill No.],$B291),IF($K291="PETROL",AVERAGEIFS(Table14[RSP],Table14[Customer],$P$3,Table14[Date],$A291,Table14[Bill No.],$B291),IF($K291="XtraGreen",AVERAGEIFS(Table146[RSP],Table146[Company],$P$3,Table146[Date],$A291,Table146[Bill No.],$B291),IFERROR($E291/$C291,"")))))</f>
        <v/>
      </c>
      <c r="E291" s="330" t="str">
        <f>IF($A291="","",IF($K291="DIESEL",SUMIFS(Table1[Amount],Table1[Customer],$P$3,Table1[Date],$A291,Table1[Bill No.],$B291),IF($K291="PETROL",SUMIFS(Table14[Amount],Table14[Customer],$P$3,Table14[Date],$A291,Table14[Bill No.],$B291),IF($K291="XtraGreen",SUMIFS(Table146[Amount],Table146[Company],$P$3,Table146[Date],$A291,Table146[Bill No.],$B291),SUMIFS('Other Sale'!$D:$D,'Other Sale'!$E:$E,$P$3,'Other Sale'!$C:$C,$K291,'Other Sale'!$A:$A,$A291)))))</f>
        <v/>
      </c>
      <c r="F291" s="330" t="str" cm="1">
        <f t="array" ref="F291">IF($A291="","",IF($K291="Payment",IFERROR(INDEX(_xlfn._xlws.FILTER(MasterPaid[Amount Paid],(MasterPaid[Customer]=$P$3)*(MasterPaid[Date]=$A291)),COUNTIFS($A$6:$A291,$A291,$K$6:$K291,"Payment")),0),0))</f>
        <v/>
      </c>
      <c r="G291" s="331" t="s">
        <v>13</v>
      </c>
      <c r="H291" s="331"/>
      <c r="I291" s="330" t="str">
        <f t="shared" si="21"/>
        <v/>
      </c>
      <c r="J291" s="275"/>
      <c r="K291" s="289" t="str" cm="1">
        <f t="array" ref="K291">IFERROR(INDEX(_xlfn.ANCHORARRAY($R$6),ROW()-5,3),"")</f>
        <v/>
      </c>
      <c r="L291" s="430" t="str" cm="1">
        <f t="array" ref="L291">IF(OR($A291="",$J291="",$K291&lt;&gt;"DIESEL"),"",_xlfn.LET(_xlpm.qty,N($C291),_xlpm.pos,IF($J291="UNIT 1",$V$5:$V$54,$AC$5:$AC$54),_xlpm.alo,IF($J291="UNIT 1",$W$5:$W$54,$AD$5:$AD$54),_xlpm.usd,SUMIFS($C$6:$C290,$L$6:$L290,_xlpm.pos&amp;"",$J$6:$J290,$J291),_xlpm.bal,N(_xlpm.alo)-_xlpm.usd,IFERROR(INDEX(_xlfn._xlws.FILTER(_xlpm.pos,(_xlpm.pos&lt;&gt;"")*(_xlpm.qty&gt;0)*(_xlpm.bal&gt;=_xlpm.qty)),1),"")))</f>
        <v/>
      </c>
      <c r="M291" s="290"/>
      <c r="AQ291" s="409"/>
      <c r="AR291" s="410"/>
      <c r="AS291" s="410"/>
      <c r="AT291" s="411"/>
      <c r="AU291" s="412"/>
      <c r="AV291" s="413"/>
      <c r="AW291" s="413"/>
      <c r="AX291" s="413"/>
      <c r="AY291" s="413"/>
      <c r="AZ291" s="413" t="str">
        <f t="shared" si="19"/>
        <v/>
      </c>
      <c r="BB291" s="409"/>
      <c r="BC291" s="410"/>
      <c r="BD291" s="410"/>
      <c r="BE291" s="411"/>
      <c r="BF291" s="412"/>
      <c r="BG291" s="413"/>
      <c r="BH291" s="413"/>
      <c r="BI291" s="413"/>
      <c r="BJ291" s="413"/>
      <c r="BK291" s="413" t="str">
        <f t="shared" si="20"/>
        <v/>
      </c>
    </row>
    <row r="292" spans="1:63" ht="23" x14ac:dyDescent="0.25">
      <c r="A292" s="217" t="str" cm="1">
        <f t="array" ref="A292">IFERROR(INDEX(_xlfn.ANCHORARRAY($R$6),ROW()-5,1),"")</f>
        <v/>
      </c>
      <c r="B292" s="289" t="str" cm="1">
        <f t="array" ref="B292">IFERROR(INDEX(_xlfn.ANCHORARRAY($R$6),ROW()-5,2),"")</f>
        <v/>
      </c>
      <c r="C292" s="218" t="str">
        <f>IF($A292="","",IF($K292="DIESEL",SUMIFS(Table1[Quantity],Table1[Customer],$P$3,Table1[Date],$A292,Table1[Bill No.],$B292),IF($K292="PETROL",SUMIFS(Table14[Quantity],Table14[Customer],$P$3,Table14[Date],$A292,Table14[Bill No.],$B292),IF($K292="XtraGreen",SUMIFS(Table146[Quantity],Table146[Company],$P$3,Table146[Date],$A292,Table146[Bill No.],$B292),""))))</f>
        <v/>
      </c>
      <c r="D292" s="223" t="str">
        <f>IF($A292="","",IF($K292="DIESEL",AVERAGEIFS(Table1[RSP],Table1[Customer],$P$3,Table1[Date],$A292,Table1[Bill No.],$B292),IF($K292="PETROL",AVERAGEIFS(Table14[RSP],Table14[Customer],$P$3,Table14[Date],$A292,Table14[Bill No.],$B292),IF($K292="XtraGreen",AVERAGEIFS(Table146[RSP],Table146[Company],$P$3,Table146[Date],$A292,Table146[Bill No.],$B292),IFERROR($E292/$C292,"")))))</f>
        <v/>
      </c>
      <c r="E292" s="330" t="str">
        <f>IF($A292="","",IF($K292="DIESEL",SUMIFS(Table1[Amount],Table1[Customer],$P$3,Table1[Date],$A292,Table1[Bill No.],$B292),IF($K292="PETROL",SUMIFS(Table14[Amount],Table14[Customer],$P$3,Table14[Date],$A292,Table14[Bill No.],$B292),IF($K292="XtraGreen",SUMIFS(Table146[Amount],Table146[Company],$P$3,Table146[Date],$A292,Table146[Bill No.],$B292),SUMIFS('Other Sale'!$D:$D,'Other Sale'!$E:$E,$P$3,'Other Sale'!$C:$C,$K292,'Other Sale'!$A:$A,$A292)))))</f>
        <v/>
      </c>
      <c r="F292" s="330" t="str" cm="1">
        <f t="array" ref="F292">IF($A292="","",IF($K292="Payment",IFERROR(INDEX(_xlfn._xlws.FILTER(MasterPaid[Amount Paid],(MasterPaid[Customer]=$P$3)*(MasterPaid[Date]=$A292)),COUNTIFS($A$6:$A292,$A292,$K$6:$K292,"Payment")),0),0))</f>
        <v/>
      </c>
      <c r="G292" s="331" t="s">
        <v>13</v>
      </c>
      <c r="H292" s="331"/>
      <c r="I292" s="330" t="str">
        <f t="shared" si="21"/>
        <v/>
      </c>
      <c r="J292" s="275"/>
      <c r="K292" s="289" t="str" cm="1">
        <f t="array" ref="K292">IFERROR(INDEX(_xlfn.ANCHORARRAY($R$6),ROW()-5,3),"")</f>
        <v/>
      </c>
      <c r="L292" s="430" t="str" cm="1">
        <f t="array" ref="L292">IF(OR($A292="",$J292="",$K292&lt;&gt;"DIESEL"),"",_xlfn.LET(_xlpm.qty,N($C292),_xlpm.pos,IF($J292="UNIT 1",$V$5:$V$54,$AC$5:$AC$54),_xlpm.alo,IF($J292="UNIT 1",$W$5:$W$54,$AD$5:$AD$54),_xlpm.usd,SUMIFS($C$6:$C291,$L$6:$L291,_xlpm.pos&amp;"",$J$6:$J291,$J292),_xlpm.bal,N(_xlpm.alo)-_xlpm.usd,IFERROR(INDEX(_xlfn._xlws.FILTER(_xlpm.pos,(_xlpm.pos&lt;&gt;"")*(_xlpm.qty&gt;0)*(_xlpm.bal&gt;=_xlpm.qty)),1),"")))</f>
        <v/>
      </c>
      <c r="M292" s="290"/>
      <c r="AQ292" s="409"/>
      <c r="AR292" s="410"/>
      <c r="AS292" s="410"/>
      <c r="AT292" s="411"/>
      <c r="AU292" s="412"/>
      <c r="AV292" s="413"/>
      <c r="AW292" s="413"/>
      <c r="AX292" s="413"/>
      <c r="AY292" s="413"/>
      <c r="AZ292" s="413" t="str">
        <f t="shared" si="19"/>
        <v/>
      </c>
      <c r="BB292" s="409"/>
      <c r="BC292" s="410"/>
      <c r="BD292" s="410"/>
      <c r="BE292" s="411"/>
      <c r="BF292" s="412"/>
      <c r="BG292" s="413"/>
      <c r="BH292" s="413"/>
      <c r="BI292" s="413"/>
      <c r="BJ292" s="413"/>
      <c r="BK292" s="413" t="str">
        <f t="shared" si="20"/>
        <v/>
      </c>
    </row>
    <row r="293" spans="1:63" ht="23" x14ac:dyDescent="0.25">
      <c r="A293" s="217" t="str" cm="1">
        <f t="array" ref="A293">IFERROR(INDEX(_xlfn.ANCHORARRAY($R$6),ROW()-5,1),"")</f>
        <v/>
      </c>
      <c r="B293" s="289" t="str" cm="1">
        <f t="array" ref="B293">IFERROR(INDEX(_xlfn.ANCHORARRAY($R$6),ROW()-5,2),"")</f>
        <v/>
      </c>
      <c r="C293" s="218" t="str">
        <f>IF($A293="","",IF($K293="DIESEL",SUMIFS(Table1[Quantity],Table1[Customer],$P$3,Table1[Date],$A293,Table1[Bill No.],$B293),IF($K293="PETROL",SUMIFS(Table14[Quantity],Table14[Customer],$P$3,Table14[Date],$A293,Table14[Bill No.],$B293),IF($K293="XtraGreen",SUMIFS(Table146[Quantity],Table146[Company],$P$3,Table146[Date],$A293,Table146[Bill No.],$B293),""))))</f>
        <v/>
      </c>
      <c r="D293" s="223" t="str">
        <f>IF($A293="","",IF($K293="DIESEL",AVERAGEIFS(Table1[RSP],Table1[Customer],$P$3,Table1[Date],$A293,Table1[Bill No.],$B293),IF($K293="PETROL",AVERAGEIFS(Table14[RSP],Table14[Customer],$P$3,Table14[Date],$A293,Table14[Bill No.],$B293),IF($K293="XtraGreen",AVERAGEIFS(Table146[RSP],Table146[Company],$P$3,Table146[Date],$A293,Table146[Bill No.],$B293),IFERROR($E293/$C293,"")))))</f>
        <v/>
      </c>
      <c r="E293" s="330" t="str">
        <f>IF($A293="","",IF($K293="DIESEL",SUMIFS(Table1[Amount],Table1[Customer],$P$3,Table1[Date],$A293,Table1[Bill No.],$B293),IF($K293="PETROL",SUMIFS(Table14[Amount],Table14[Customer],$P$3,Table14[Date],$A293,Table14[Bill No.],$B293),IF($K293="XtraGreen",SUMIFS(Table146[Amount],Table146[Company],$P$3,Table146[Date],$A293,Table146[Bill No.],$B293),SUMIFS('Other Sale'!$D:$D,'Other Sale'!$E:$E,$P$3,'Other Sale'!$C:$C,$K293,'Other Sale'!$A:$A,$A293)))))</f>
        <v/>
      </c>
      <c r="F293" s="330" t="str" cm="1">
        <f t="array" ref="F293">IF($A293="","",IF($K293="Payment",IFERROR(INDEX(_xlfn._xlws.FILTER(MasterPaid[Amount Paid],(MasterPaid[Customer]=$P$3)*(MasterPaid[Date]=$A293)),COUNTIFS($A$6:$A293,$A293,$K$6:$K293,"Payment")),0),0))</f>
        <v/>
      </c>
      <c r="G293" s="331" t="s">
        <v>13</v>
      </c>
      <c r="H293" s="331"/>
      <c r="I293" s="330" t="str">
        <f t="shared" si="21"/>
        <v/>
      </c>
      <c r="J293" s="275"/>
      <c r="K293" s="289" t="str" cm="1">
        <f t="array" ref="K293">IFERROR(INDEX(_xlfn.ANCHORARRAY($R$6),ROW()-5,3),"")</f>
        <v/>
      </c>
      <c r="L293" s="430" t="str" cm="1">
        <f t="array" ref="L293">IF(OR($A293="",$J293="",$K293&lt;&gt;"DIESEL"),"",_xlfn.LET(_xlpm.qty,N($C293),_xlpm.pos,IF($J293="UNIT 1",$V$5:$V$54,$AC$5:$AC$54),_xlpm.alo,IF($J293="UNIT 1",$W$5:$W$54,$AD$5:$AD$54),_xlpm.usd,SUMIFS($C$6:$C292,$L$6:$L292,_xlpm.pos&amp;"",$J$6:$J292,$J293),_xlpm.bal,N(_xlpm.alo)-_xlpm.usd,IFERROR(INDEX(_xlfn._xlws.FILTER(_xlpm.pos,(_xlpm.pos&lt;&gt;"")*(_xlpm.qty&gt;0)*(_xlpm.bal&gt;=_xlpm.qty)),1),"")))</f>
        <v/>
      </c>
      <c r="M293" s="290"/>
      <c r="AQ293" s="409"/>
      <c r="AR293" s="410"/>
      <c r="AS293" s="410"/>
      <c r="AT293" s="411"/>
      <c r="AU293" s="412"/>
      <c r="AV293" s="413"/>
      <c r="AW293" s="413"/>
      <c r="AX293" s="413"/>
      <c r="AY293" s="413"/>
      <c r="AZ293" s="413" t="str">
        <f t="shared" si="19"/>
        <v/>
      </c>
      <c r="BB293" s="409"/>
      <c r="BC293" s="410"/>
      <c r="BD293" s="410"/>
      <c r="BE293" s="411"/>
      <c r="BF293" s="412"/>
      <c r="BG293" s="413"/>
      <c r="BH293" s="413"/>
      <c r="BI293" s="413"/>
      <c r="BJ293" s="413"/>
      <c r="BK293" s="413" t="str">
        <f t="shared" si="20"/>
        <v/>
      </c>
    </row>
    <row r="294" spans="1:63" ht="23" x14ac:dyDescent="0.25">
      <c r="A294" s="217" t="str" cm="1">
        <f t="array" ref="A294">IFERROR(INDEX(_xlfn.ANCHORARRAY($R$6),ROW()-5,1),"")</f>
        <v/>
      </c>
      <c r="B294" s="289" t="str" cm="1">
        <f t="array" ref="B294">IFERROR(INDEX(_xlfn.ANCHORARRAY($R$6),ROW()-5,2),"")</f>
        <v/>
      </c>
      <c r="C294" s="218" t="str">
        <f>IF($A294="","",IF($K294="DIESEL",SUMIFS(Table1[Quantity],Table1[Customer],$P$3,Table1[Date],$A294,Table1[Bill No.],$B294),IF($K294="PETROL",SUMIFS(Table14[Quantity],Table14[Customer],$P$3,Table14[Date],$A294,Table14[Bill No.],$B294),IF($K294="XtraGreen",SUMIFS(Table146[Quantity],Table146[Company],$P$3,Table146[Date],$A294,Table146[Bill No.],$B294),""))))</f>
        <v/>
      </c>
      <c r="D294" s="223" t="str">
        <f>IF($A294="","",IF($K294="DIESEL",AVERAGEIFS(Table1[RSP],Table1[Customer],$P$3,Table1[Date],$A294,Table1[Bill No.],$B294),IF($K294="PETROL",AVERAGEIFS(Table14[RSP],Table14[Customer],$P$3,Table14[Date],$A294,Table14[Bill No.],$B294),IF($K294="XtraGreen",AVERAGEIFS(Table146[RSP],Table146[Company],$P$3,Table146[Date],$A294,Table146[Bill No.],$B294),IFERROR($E294/$C294,"")))))</f>
        <v/>
      </c>
      <c r="E294" s="330" t="str">
        <f>IF($A294="","",IF($K294="DIESEL",SUMIFS(Table1[Amount],Table1[Customer],$P$3,Table1[Date],$A294,Table1[Bill No.],$B294),IF($K294="PETROL",SUMIFS(Table14[Amount],Table14[Customer],$P$3,Table14[Date],$A294,Table14[Bill No.],$B294),IF($K294="XtraGreen",SUMIFS(Table146[Amount],Table146[Company],$P$3,Table146[Date],$A294,Table146[Bill No.],$B294),SUMIFS('Other Sale'!$D:$D,'Other Sale'!$E:$E,$P$3,'Other Sale'!$C:$C,$K294,'Other Sale'!$A:$A,$A294)))))</f>
        <v/>
      </c>
      <c r="F294" s="330" t="str" cm="1">
        <f t="array" ref="F294">IF($A294="","",IF($K294="Payment",IFERROR(INDEX(_xlfn._xlws.FILTER(MasterPaid[Amount Paid],(MasterPaid[Customer]=$P$3)*(MasterPaid[Date]=$A294)),COUNTIFS($A$6:$A294,$A294,$K$6:$K294,"Payment")),0),0))</f>
        <v/>
      </c>
      <c r="G294" s="331" t="s">
        <v>13</v>
      </c>
      <c r="H294" s="331"/>
      <c r="I294" s="330" t="str">
        <f t="shared" si="21"/>
        <v/>
      </c>
      <c r="J294" s="275"/>
      <c r="K294" s="289" t="str" cm="1">
        <f t="array" ref="K294">IFERROR(INDEX(_xlfn.ANCHORARRAY($R$6),ROW()-5,3),"")</f>
        <v/>
      </c>
      <c r="L294" s="430" t="str" cm="1">
        <f t="array" ref="L294">IF(OR($A294="",$J294="",$K294&lt;&gt;"DIESEL"),"",_xlfn.LET(_xlpm.qty,N($C294),_xlpm.pos,IF($J294="UNIT 1",$V$5:$V$54,$AC$5:$AC$54),_xlpm.alo,IF($J294="UNIT 1",$W$5:$W$54,$AD$5:$AD$54),_xlpm.usd,SUMIFS($C$6:$C293,$L$6:$L293,_xlpm.pos&amp;"",$J$6:$J293,$J294),_xlpm.bal,N(_xlpm.alo)-_xlpm.usd,IFERROR(INDEX(_xlfn._xlws.FILTER(_xlpm.pos,(_xlpm.pos&lt;&gt;"")*(_xlpm.qty&gt;0)*(_xlpm.bal&gt;=_xlpm.qty)),1),"")))</f>
        <v/>
      </c>
      <c r="M294" s="290"/>
      <c r="AQ294" s="409"/>
      <c r="AR294" s="410"/>
      <c r="AS294" s="410"/>
      <c r="AT294" s="411"/>
      <c r="AU294" s="412"/>
      <c r="AV294" s="413"/>
      <c r="AW294" s="413"/>
      <c r="AX294" s="413"/>
      <c r="AY294" s="413"/>
      <c r="AZ294" s="413" t="str">
        <f t="shared" si="19"/>
        <v/>
      </c>
      <c r="BB294" s="409"/>
      <c r="BC294" s="410"/>
      <c r="BD294" s="410"/>
      <c r="BE294" s="411"/>
      <c r="BF294" s="412"/>
      <c r="BG294" s="413"/>
      <c r="BH294" s="413"/>
      <c r="BI294" s="413"/>
      <c r="BJ294" s="413"/>
      <c r="BK294" s="413" t="str">
        <f t="shared" si="20"/>
        <v/>
      </c>
    </row>
    <row r="295" spans="1:63" ht="23" x14ac:dyDescent="0.25">
      <c r="A295" s="217" t="str" cm="1">
        <f t="array" ref="A295">IFERROR(INDEX(_xlfn.ANCHORARRAY($R$6),ROW()-5,1),"")</f>
        <v/>
      </c>
      <c r="B295" s="289" t="str" cm="1">
        <f t="array" ref="B295">IFERROR(INDEX(_xlfn.ANCHORARRAY($R$6),ROW()-5,2),"")</f>
        <v/>
      </c>
      <c r="C295" s="218" t="str">
        <f>IF($A295="","",IF($K295="DIESEL",SUMIFS(Table1[Quantity],Table1[Customer],$P$3,Table1[Date],$A295,Table1[Bill No.],$B295),IF($K295="PETROL",SUMIFS(Table14[Quantity],Table14[Customer],$P$3,Table14[Date],$A295,Table14[Bill No.],$B295),IF($K295="XtraGreen",SUMIFS(Table146[Quantity],Table146[Company],$P$3,Table146[Date],$A295,Table146[Bill No.],$B295),""))))</f>
        <v/>
      </c>
      <c r="D295" s="223" t="str">
        <f>IF($A295="","",IF($K295="DIESEL",AVERAGEIFS(Table1[RSP],Table1[Customer],$P$3,Table1[Date],$A295,Table1[Bill No.],$B295),IF($K295="PETROL",AVERAGEIFS(Table14[RSP],Table14[Customer],$P$3,Table14[Date],$A295,Table14[Bill No.],$B295),IF($K295="XtraGreen",AVERAGEIFS(Table146[RSP],Table146[Company],$P$3,Table146[Date],$A295,Table146[Bill No.],$B295),IFERROR($E295/$C295,"")))))</f>
        <v/>
      </c>
      <c r="E295" s="330" t="str">
        <f>IF($A295="","",IF($K295="DIESEL",SUMIFS(Table1[Amount],Table1[Customer],$P$3,Table1[Date],$A295,Table1[Bill No.],$B295),IF($K295="PETROL",SUMIFS(Table14[Amount],Table14[Customer],$P$3,Table14[Date],$A295,Table14[Bill No.],$B295),IF($K295="XtraGreen",SUMIFS(Table146[Amount],Table146[Company],$P$3,Table146[Date],$A295,Table146[Bill No.],$B295),SUMIFS('Other Sale'!$D:$D,'Other Sale'!$E:$E,$P$3,'Other Sale'!$C:$C,$K295,'Other Sale'!$A:$A,$A295)))))</f>
        <v/>
      </c>
      <c r="F295" s="330" t="str" cm="1">
        <f t="array" ref="F295">IF($A295="","",IF($K295="Payment",IFERROR(INDEX(_xlfn._xlws.FILTER(MasterPaid[Amount Paid],(MasterPaid[Customer]=$P$3)*(MasterPaid[Date]=$A295)),COUNTIFS($A$6:$A295,$A295,$K$6:$K295,"Payment")),0),0))</f>
        <v/>
      </c>
      <c r="G295" s="331" t="s">
        <v>13</v>
      </c>
      <c r="H295" s="331"/>
      <c r="I295" s="330" t="str">
        <f t="shared" si="21"/>
        <v/>
      </c>
      <c r="J295" s="275"/>
      <c r="K295" s="289" t="str" cm="1">
        <f t="array" ref="K295">IFERROR(INDEX(_xlfn.ANCHORARRAY($R$6),ROW()-5,3),"")</f>
        <v/>
      </c>
      <c r="L295" s="430" t="str" cm="1">
        <f t="array" ref="L295">IF(OR($A295="",$J295="",$K295&lt;&gt;"DIESEL"),"",_xlfn.LET(_xlpm.qty,N($C295),_xlpm.pos,IF($J295="UNIT 1",$V$5:$V$54,$AC$5:$AC$54),_xlpm.alo,IF($J295="UNIT 1",$W$5:$W$54,$AD$5:$AD$54),_xlpm.usd,SUMIFS($C$6:$C294,$L$6:$L294,_xlpm.pos&amp;"",$J$6:$J294,$J295),_xlpm.bal,N(_xlpm.alo)-_xlpm.usd,IFERROR(INDEX(_xlfn._xlws.FILTER(_xlpm.pos,(_xlpm.pos&lt;&gt;"")*(_xlpm.qty&gt;0)*(_xlpm.bal&gt;=_xlpm.qty)),1),"")))</f>
        <v/>
      </c>
      <c r="M295" s="290"/>
      <c r="AQ295" s="409"/>
      <c r="AR295" s="410"/>
      <c r="AS295" s="410"/>
      <c r="AT295" s="411"/>
      <c r="AU295" s="412"/>
      <c r="AV295" s="413"/>
      <c r="AW295" s="413"/>
      <c r="AX295" s="413"/>
      <c r="AY295" s="413"/>
      <c r="AZ295" s="413" t="str">
        <f t="shared" si="19"/>
        <v/>
      </c>
      <c r="BB295" s="409"/>
      <c r="BC295" s="410"/>
      <c r="BD295" s="410"/>
      <c r="BE295" s="411"/>
      <c r="BF295" s="412"/>
      <c r="BG295" s="413"/>
      <c r="BH295" s="413"/>
      <c r="BI295" s="413"/>
      <c r="BJ295" s="413"/>
      <c r="BK295" s="413" t="str">
        <f t="shared" si="20"/>
        <v/>
      </c>
    </row>
    <row r="296" spans="1:63" ht="23" x14ac:dyDescent="0.25">
      <c r="A296" s="217" t="str" cm="1">
        <f t="array" ref="A296">IFERROR(INDEX(_xlfn.ANCHORARRAY($R$6),ROW()-5,1),"")</f>
        <v/>
      </c>
      <c r="B296" s="289" t="str" cm="1">
        <f t="array" ref="B296">IFERROR(INDEX(_xlfn.ANCHORARRAY($R$6),ROW()-5,2),"")</f>
        <v/>
      </c>
      <c r="C296" s="218" t="str">
        <f>IF($A296="","",IF($K296="DIESEL",SUMIFS(Table1[Quantity],Table1[Customer],$P$3,Table1[Date],$A296,Table1[Bill No.],$B296),IF($K296="PETROL",SUMIFS(Table14[Quantity],Table14[Customer],$P$3,Table14[Date],$A296,Table14[Bill No.],$B296),IF($K296="XtraGreen",SUMIFS(Table146[Quantity],Table146[Company],$P$3,Table146[Date],$A296,Table146[Bill No.],$B296),""))))</f>
        <v/>
      </c>
      <c r="D296" s="223" t="str">
        <f>IF($A296="","",IF($K296="DIESEL",AVERAGEIFS(Table1[RSP],Table1[Customer],$P$3,Table1[Date],$A296,Table1[Bill No.],$B296),IF($K296="PETROL",AVERAGEIFS(Table14[RSP],Table14[Customer],$P$3,Table14[Date],$A296,Table14[Bill No.],$B296),IF($K296="XtraGreen",AVERAGEIFS(Table146[RSP],Table146[Company],$P$3,Table146[Date],$A296,Table146[Bill No.],$B296),IFERROR($E296/$C296,"")))))</f>
        <v/>
      </c>
      <c r="E296" s="330" t="str">
        <f>IF($A296="","",IF($K296="DIESEL",SUMIFS(Table1[Amount],Table1[Customer],$P$3,Table1[Date],$A296,Table1[Bill No.],$B296),IF($K296="PETROL",SUMIFS(Table14[Amount],Table14[Customer],$P$3,Table14[Date],$A296,Table14[Bill No.],$B296),IF($K296="XtraGreen",SUMIFS(Table146[Amount],Table146[Company],$P$3,Table146[Date],$A296,Table146[Bill No.],$B296),SUMIFS('Other Sale'!$D:$D,'Other Sale'!$E:$E,$P$3,'Other Sale'!$C:$C,$K296,'Other Sale'!$A:$A,$A296)))))</f>
        <v/>
      </c>
      <c r="F296" s="330" t="str" cm="1">
        <f t="array" ref="F296">IF($A296="","",IF($K296="Payment",IFERROR(INDEX(_xlfn._xlws.FILTER(MasterPaid[Amount Paid],(MasterPaid[Customer]=$P$3)*(MasterPaid[Date]=$A296)),COUNTIFS($A$6:$A296,$A296,$K$6:$K296,"Payment")),0),0))</f>
        <v/>
      </c>
      <c r="G296" s="331" t="s">
        <v>13</v>
      </c>
      <c r="H296" s="331"/>
      <c r="I296" s="330" t="str">
        <f t="shared" si="21"/>
        <v/>
      </c>
      <c r="J296" s="275"/>
      <c r="K296" s="289" t="str" cm="1">
        <f t="array" ref="K296">IFERROR(INDEX(_xlfn.ANCHORARRAY($R$6),ROW()-5,3),"")</f>
        <v/>
      </c>
      <c r="L296" s="430" t="str" cm="1">
        <f t="array" ref="L296">IF(OR($A296="",$J296="",$K296&lt;&gt;"DIESEL"),"",_xlfn.LET(_xlpm.qty,N($C296),_xlpm.pos,IF($J296="UNIT 1",$V$5:$V$54,$AC$5:$AC$54),_xlpm.alo,IF($J296="UNIT 1",$W$5:$W$54,$AD$5:$AD$54),_xlpm.usd,SUMIFS($C$6:$C295,$L$6:$L295,_xlpm.pos&amp;"",$J$6:$J295,$J296),_xlpm.bal,N(_xlpm.alo)-_xlpm.usd,IFERROR(INDEX(_xlfn._xlws.FILTER(_xlpm.pos,(_xlpm.pos&lt;&gt;"")*(_xlpm.qty&gt;0)*(_xlpm.bal&gt;=_xlpm.qty)),1),"")))</f>
        <v/>
      </c>
      <c r="M296" s="290"/>
      <c r="AQ296" s="409"/>
      <c r="AR296" s="410"/>
      <c r="AS296" s="410"/>
      <c r="AT296" s="411"/>
      <c r="AU296" s="412"/>
      <c r="AV296" s="413"/>
      <c r="AW296" s="413"/>
      <c r="AX296" s="413"/>
      <c r="AY296" s="413"/>
      <c r="AZ296" s="413" t="str">
        <f t="shared" si="19"/>
        <v/>
      </c>
      <c r="BB296" s="409"/>
      <c r="BC296" s="410"/>
      <c r="BD296" s="410"/>
      <c r="BE296" s="411"/>
      <c r="BF296" s="412"/>
      <c r="BG296" s="413"/>
      <c r="BH296" s="413"/>
      <c r="BI296" s="413"/>
      <c r="BJ296" s="413"/>
      <c r="BK296" s="413" t="str">
        <f t="shared" si="20"/>
        <v/>
      </c>
    </row>
    <row r="297" spans="1:63" ht="23" x14ac:dyDescent="0.25">
      <c r="A297" s="217" t="str" cm="1">
        <f t="array" ref="A297">IFERROR(INDEX(_xlfn.ANCHORARRAY($R$6),ROW()-5,1),"")</f>
        <v/>
      </c>
      <c r="B297" s="289" t="str" cm="1">
        <f t="array" ref="B297">IFERROR(INDEX(_xlfn.ANCHORARRAY($R$6),ROW()-5,2),"")</f>
        <v/>
      </c>
      <c r="C297" s="218" t="str">
        <f>IF($A297="","",IF($K297="DIESEL",SUMIFS(Table1[Quantity],Table1[Customer],$P$3,Table1[Date],$A297,Table1[Bill No.],$B297),IF($K297="PETROL",SUMIFS(Table14[Quantity],Table14[Customer],$P$3,Table14[Date],$A297,Table14[Bill No.],$B297),IF($K297="XtraGreen",SUMIFS(Table146[Quantity],Table146[Company],$P$3,Table146[Date],$A297,Table146[Bill No.],$B297),""))))</f>
        <v/>
      </c>
      <c r="D297" s="223" t="str">
        <f>IF($A297="","",IF($K297="DIESEL",AVERAGEIFS(Table1[RSP],Table1[Customer],$P$3,Table1[Date],$A297,Table1[Bill No.],$B297),IF($K297="PETROL",AVERAGEIFS(Table14[RSP],Table14[Customer],$P$3,Table14[Date],$A297,Table14[Bill No.],$B297),IF($K297="XtraGreen",AVERAGEIFS(Table146[RSP],Table146[Company],$P$3,Table146[Date],$A297,Table146[Bill No.],$B297),IFERROR($E297/$C297,"")))))</f>
        <v/>
      </c>
      <c r="E297" s="330" t="str">
        <f>IF($A297="","",IF($K297="DIESEL",SUMIFS(Table1[Amount],Table1[Customer],$P$3,Table1[Date],$A297,Table1[Bill No.],$B297),IF($K297="PETROL",SUMIFS(Table14[Amount],Table14[Customer],$P$3,Table14[Date],$A297,Table14[Bill No.],$B297),IF($K297="XtraGreen",SUMIFS(Table146[Amount],Table146[Company],$P$3,Table146[Date],$A297,Table146[Bill No.],$B297),SUMIFS('Other Sale'!$D:$D,'Other Sale'!$E:$E,$P$3,'Other Sale'!$C:$C,$K297,'Other Sale'!$A:$A,$A297)))))</f>
        <v/>
      </c>
      <c r="F297" s="330" t="str" cm="1">
        <f t="array" ref="F297">IF($A297="","",IF($K297="Payment",IFERROR(INDEX(_xlfn._xlws.FILTER(MasterPaid[Amount Paid],(MasterPaid[Customer]=$P$3)*(MasterPaid[Date]=$A297)),COUNTIFS($A$6:$A297,$A297,$K$6:$K297,"Payment")),0),0))</f>
        <v/>
      </c>
      <c r="G297" s="331" t="s">
        <v>13</v>
      </c>
      <c r="H297" s="331"/>
      <c r="I297" s="330" t="str">
        <f t="shared" si="21"/>
        <v/>
      </c>
      <c r="J297" s="275"/>
      <c r="K297" s="289" t="str" cm="1">
        <f t="array" ref="K297">IFERROR(INDEX(_xlfn.ANCHORARRAY($R$6),ROW()-5,3),"")</f>
        <v/>
      </c>
      <c r="L297" s="430" t="str" cm="1">
        <f t="array" ref="L297">IF(OR($A297="",$J297="",$K297&lt;&gt;"DIESEL"),"",_xlfn.LET(_xlpm.qty,N($C297),_xlpm.pos,IF($J297="UNIT 1",$V$5:$V$54,$AC$5:$AC$54),_xlpm.alo,IF($J297="UNIT 1",$W$5:$W$54,$AD$5:$AD$54),_xlpm.usd,SUMIFS($C$6:$C296,$L$6:$L296,_xlpm.pos&amp;"",$J$6:$J296,$J297),_xlpm.bal,N(_xlpm.alo)-_xlpm.usd,IFERROR(INDEX(_xlfn._xlws.FILTER(_xlpm.pos,(_xlpm.pos&lt;&gt;"")*(_xlpm.qty&gt;0)*(_xlpm.bal&gt;=_xlpm.qty)),1),"")))</f>
        <v/>
      </c>
      <c r="M297" s="290"/>
      <c r="AQ297" s="409"/>
      <c r="AR297" s="410"/>
      <c r="AS297" s="410"/>
      <c r="AT297" s="411"/>
      <c r="AU297" s="412"/>
      <c r="AV297" s="413"/>
      <c r="AW297" s="413"/>
      <c r="AX297" s="413"/>
      <c r="AY297" s="413"/>
      <c r="AZ297" s="413" t="str">
        <f t="shared" si="19"/>
        <v/>
      </c>
      <c r="BB297" s="409"/>
      <c r="BC297" s="410"/>
      <c r="BD297" s="410"/>
      <c r="BE297" s="411"/>
      <c r="BF297" s="412"/>
      <c r="BG297" s="413"/>
      <c r="BH297" s="413"/>
      <c r="BI297" s="413"/>
      <c r="BJ297" s="413"/>
      <c r="BK297" s="413" t="str">
        <f t="shared" si="20"/>
        <v/>
      </c>
    </row>
    <row r="298" spans="1:63" ht="23" x14ac:dyDescent="0.25">
      <c r="A298" s="217" t="str" cm="1">
        <f t="array" ref="A298">IFERROR(INDEX(_xlfn.ANCHORARRAY($R$6),ROW()-5,1),"")</f>
        <v/>
      </c>
      <c r="B298" s="289" t="str" cm="1">
        <f t="array" ref="B298">IFERROR(INDEX(_xlfn.ANCHORARRAY($R$6),ROW()-5,2),"")</f>
        <v/>
      </c>
      <c r="C298" s="218" t="str">
        <f>IF($A298="","",IF($K298="DIESEL",SUMIFS(Table1[Quantity],Table1[Customer],$P$3,Table1[Date],$A298,Table1[Bill No.],$B298),IF($K298="PETROL",SUMIFS(Table14[Quantity],Table14[Customer],$P$3,Table14[Date],$A298,Table14[Bill No.],$B298),IF($K298="XtraGreen",SUMIFS(Table146[Quantity],Table146[Company],$P$3,Table146[Date],$A298,Table146[Bill No.],$B298),""))))</f>
        <v/>
      </c>
      <c r="D298" s="223" t="str">
        <f>IF($A298="","",IF($K298="DIESEL",AVERAGEIFS(Table1[RSP],Table1[Customer],$P$3,Table1[Date],$A298,Table1[Bill No.],$B298),IF($K298="PETROL",AVERAGEIFS(Table14[RSP],Table14[Customer],$P$3,Table14[Date],$A298,Table14[Bill No.],$B298),IF($K298="XtraGreen",AVERAGEIFS(Table146[RSP],Table146[Company],$P$3,Table146[Date],$A298,Table146[Bill No.],$B298),IFERROR($E298/$C298,"")))))</f>
        <v/>
      </c>
      <c r="E298" s="330" t="str">
        <f>IF($A298="","",IF($K298="DIESEL",SUMIFS(Table1[Amount],Table1[Customer],$P$3,Table1[Date],$A298,Table1[Bill No.],$B298),IF($K298="PETROL",SUMIFS(Table14[Amount],Table14[Customer],$P$3,Table14[Date],$A298,Table14[Bill No.],$B298),IF($K298="XtraGreen",SUMIFS(Table146[Amount],Table146[Company],$P$3,Table146[Date],$A298,Table146[Bill No.],$B298),SUMIFS('Other Sale'!$D:$D,'Other Sale'!$E:$E,$P$3,'Other Sale'!$C:$C,$K298,'Other Sale'!$A:$A,$A298)))))</f>
        <v/>
      </c>
      <c r="F298" s="330" t="str" cm="1">
        <f t="array" ref="F298">IF($A298="","",IF($K298="Payment",IFERROR(INDEX(_xlfn._xlws.FILTER(MasterPaid[Amount Paid],(MasterPaid[Customer]=$P$3)*(MasterPaid[Date]=$A298)),COUNTIFS($A$6:$A298,$A298,$K$6:$K298,"Payment")),0),0))</f>
        <v/>
      </c>
      <c r="G298" s="331" t="s">
        <v>13</v>
      </c>
      <c r="H298" s="331"/>
      <c r="I298" s="330" t="str">
        <f t="shared" si="21"/>
        <v/>
      </c>
      <c r="J298" s="275"/>
      <c r="K298" s="289" t="str" cm="1">
        <f t="array" ref="K298">IFERROR(INDEX(_xlfn.ANCHORARRAY($R$6),ROW()-5,3),"")</f>
        <v/>
      </c>
      <c r="L298" s="430" t="str" cm="1">
        <f t="array" ref="L298">IF(OR($A298="",$J298="",$K298&lt;&gt;"DIESEL"),"",_xlfn.LET(_xlpm.qty,N($C298),_xlpm.pos,IF($J298="UNIT 1",$V$5:$V$54,$AC$5:$AC$54),_xlpm.alo,IF($J298="UNIT 1",$W$5:$W$54,$AD$5:$AD$54),_xlpm.usd,SUMIFS($C$6:$C297,$L$6:$L297,_xlpm.pos&amp;"",$J$6:$J297,$J298),_xlpm.bal,N(_xlpm.alo)-_xlpm.usd,IFERROR(INDEX(_xlfn._xlws.FILTER(_xlpm.pos,(_xlpm.pos&lt;&gt;"")*(_xlpm.qty&gt;0)*(_xlpm.bal&gt;=_xlpm.qty)),1),"")))</f>
        <v/>
      </c>
      <c r="M298" s="290"/>
      <c r="AQ298" s="409"/>
      <c r="AR298" s="410"/>
      <c r="AS298" s="410"/>
      <c r="AT298" s="411"/>
      <c r="AU298" s="412"/>
      <c r="AV298" s="413"/>
      <c r="AW298" s="413"/>
      <c r="AX298" s="413"/>
      <c r="AY298" s="413"/>
      <c r="AZ298" s="413" t="str">
        <f t="shared" si="19"/>
        <v/>
      </c>
      <c r="BB298" s="409"/>
      <c r="BC298" s="410"/>
      <c r="BD298" s="410"/>
      <c r="BE298" s="411"/>
      <c r="BF298" s="412"/>
      <c r="BG298" s="413"/>
      <c r="BH298" s="413"/>
      <c r="BI298" s="413"/>
      <c r="BJ298" s="413"/>
      <c r="BK298" s="413" t="str">
        <f t="shared" si="20"/>
        <v/>
      </c>
    </row>
    <row r="299" spans="1:63" ht="23" x14ac:dyDescent="0.25">
      <c r="A299" s="217" t="str" cm="1">
        <f t="array" ref="A299">IFERROR(INDEX(_xlfn.ANCHORARRAY($R$6),ROW()-5,1),"")</f>
        <v/>
      </c>
      <c r="B299" s="289" t="str" cm="1">
        <f t="array" ref="B299">IFERROR(INDEX(_xlfn.ANCHORARRAY($R$6),ROW()-5,2),"")</f>
        <v/>
      </c>
      <c r="C299" s="218" t="str">
        <f>IF($A299="","",IF($K299="DIESEL",SUMIFS(Table1[Quantity],Table1[Customer],$P$3,Table1[Date],$A299,Table1[Bill No.],$B299),IF($K299="PETROL",SUMIFS(Table14[Quantity],Table14[Customer],$P$3,Table14[Date],$A299,Table14[Bill No.],$B299),IF($K299="XtraGreen",SUMIFS(Table146[Quantity],Table146[Company],$P$3,Table146[Date],$A299,Table146[Bill No.],$B299),""))))</f>
        <v/>
      </c>
      <c r="D299" s="223" t="str">
        <f>IF($A299="","",IF($K299="DIESEL",AVERAGEIFS(Table1[RSP],Table1[Customer],$P$3,Table1[Date],$A299,Table1[Bill No.],$B299),IF($K299="PETROL",AVERAGEIFS(Table14[RSP],Table14[Customer],$P$3,Table14[Date],$A299,Table14[Bill No.],$B299),IF($K299="XtraGreen",AVERAGEIFS(Table146[RSP],Table146[Company],$P$3,Table146[Date],$A299,Table146[Bill No.],$B299),IFERROR($E299/$C299,"")))))</f>
        <v/>
      </c>
      <c r="E299" s="330" t="str">
        <f>IF($A299="","",IF($K299="DIESEL",SUMIFS(Table1[Amount],Table1[Customer],$P$3,Table1[Date],$A299,Table1[Bill No.],$B299),IF($K299="PETROL",SUMIFS(Table14[Amount],Table14[Customer],$P$3,Table14[Date],$A299,Table14[Bill No.],$B299),IF($K299="XtraGreen",SUMIFS(Table146[Amount],Table146[Company],$P$3,Table146[Date],$A299,Table146[Bill No.],$B299),SUMIFS('Other Sale'!$D:$D,'Other Sale'!$E:$E,$P$3,'Other Sale'!$C:$C,$K299,'Other Sale'!$A:$A,$A299)))))</f>
        <v/>
      </c>
      <c r="F299" s="330" t="str" cm="1">
        <f t="array" ref="F299">IF($A299="","",IF($K299="Payment",IFERROR(INDEX(_xlfn._xlws.FILTER(MasterPaid[Amount Paid],(MasterPaid[Customer]=$P$3)*(MasterPaid[Date]=$A299)),COUNTIFS($A$6:$A299,$A299,$K$6:$K299,"Payment")),0),0))</f>
        <v/>
      </c>
      <c r="G299" s="331" t="s">
        <v>13</v>
      </c>
      <c r="H299" s="331"/>
      <c r="I299" s="330" t="str">
        <f t="shared" si="21"/>
        <v/>
      </c>
      <c r="J299" s="275"/>
      <c r="K299" s="289" t="str" cm="1">
        <f t="array" ref="K299">IFERROR(INDEX(_xlfn.ANCHORARRAY($R$6),ROW()-5,3),"")</f>
        <v/>
      </c>
      <c r="L299" s="430" t="str" cm="1">
        <f t="array" ref="L299">IF(OR($A299="",$J299="",$K299&lt;&gt;"DIESEL"),"",_xlfn.LET(_xlpm.qty,N($C299),_xlpm.pos,IF($J299="UNIT 1",$V$5:$V$54,$AC$5:$AC$54),_xlpm.alo,IF($J299="UNIT 1",$W$5:$W$54,$AD$5:$AD$54),_xlpm.usd,SUMIFS($C$6:$C298,$L$6:$L298,_xlpm.pos&amp;"",$J$6:$J298,$J299),_xlpm.bal,N(_xlpm.alo)-_xlpm.usd,IFERROR(INDEX(_xlfn._xlws.FILTER(_xlpm.pos,(_xlpm.pos&lt;&gt;"")*(_xlpm.qty&gt;0)*(_xlpm.bal&gt;=_xlpm.qty)),1),"")))</f>
        <v/>
      </c>
      <c r="M299" s="290"/>
      <c r="AQ299" s="409"/>
      <c r="AR299" s="410"/>
      <c r="AS299" s="410"/>
      <c r="AT299" s="411"/>
      <c r="AU299" s="412"/>
      <c r="AV299" s="413"/>
      <c r="AW299" s="413"/>
      <c r="AX299" s="413"/>
      <c r="AY299" s="413"/>
      <c r="AZ299" s="413" t="str">
        <f t="shared" si="19"/>
        <v/>
      </c>
      <c r="BB299" s="409"/>
      <c r="BC299" s="410"/>
      <c r="BD299" s="410"/>
      <c r="BE299" s="411"/>
      <c r="BF299" s="412"/>
      <c r="BG299" s="413"/>
      <c r="BH299" s="413"/>
      <c r="BI299" s="413"/>
      <c r="BJ299" s="413"/>
      <c r="BK299" s="413" t="str">
        <f t="shared" si="20"/>
        <v/>
      </c>
    </row>
    <row r="300" spans="1:63" ht="23" x14ac:dyDescent="0.25">
      <c r="A300" s="217" t="str" cm="1">
        <f t="array" ref="A300">IFERROR(INDEX(_xlfn.ANCHORARRAY($R$6),ROW()-5,1),"")</f>
        <v/>
      </c>
      <c r="B300" s="289" t="str" cm="1">
        <f t="array" ref="B300">IFERROR(INDEX(_xlfn.ANCHORARRAY($R$6),ROW()-5,2),"")</f>
        <v/>
      </c>
      <c r="C300" s="218" t="str">
        <f>IF($A300="","",IF($K300="DIESEL",SUMIFS(Table1[Quantity],Table1[Customer],$P$3,Table1[Date],$A300,Table1[Bill No.],$B300),IF($K300="PETROL",SUMIFS(Table14[Quantity],Table14[Customer],$P$3,Table14[Date],$A300,Table14[Bill No.],$B300),IF($K300="XtraGreen",SUMIFS(Table146[Quantity],Table146[Company],$P$3,Table146[Date],$A300,Table146[Bill No.],$B300),""))))</f>
        <v/>
      </c>
      <c r="D300" s="223" t="str">
        <f>IF($A300="","",IF($K300="DIESEL",AVERAGEIFS(Table1[RSP],Table1[Customer],$P$3,Table1[Date],$A300,Table1[Bill No.],$B300),IF($K300="PETROL",AVERAGEIFS(Table14[RSP],Table14[Customer],$P$3,Table14[Date],$A300,Table14[Bill No.],$B300),IF($K300="XtraGreen",AVERAGEIFS(Table146[RSP],Table146[Company],$P$3,Table146[Date],$A300,Table146[Bill No.],$B300),IFERROR($E300/$C300,"")))))</f>
        <v/>
      </c>
      <c r="E300" s="330" t="str">
        <f>IF($A300="","",IF($K300="DIESEL",SUMIFS(Table1[Amount],Table1[Customer],$P$3,Table1[Date],$A300,Table1[Bill No.],$B300),IF($K300="PETROL",SUMIFS(Table14[Amount],Table14[Customer],$P$3,Table14[Date],$A300,Table14[Bill No.],$B300),IF($K300="XtraGreen",SUMIFS(Table146[Amount],Table146[Company],$P$3,Table146[Date],$A300,Table146[Bill No.],$B300),SUMIFS('Other Sale'!$D:$D,'Other Sale'!$E:$E,$P$3,'Other Sale'!$C:$C,$K300,'Other Sale'!$A:$A,$A300)))))</f>
        <v/>
      </c>
      <c r="F300" s="330" t="str" cm="1">
        <f t="array" ref="F300">IF($A300="","",IF($K300="Payment",IFERROR(INDEX(_xlfn._xlws.FILTER(MasterPaid[Amount Paid],(MasterPaid[Customer]=$P$3)*(MasterPaid[Date]=$A300)),COUNTIFS($A$6:$A300,$A300,$K$6:$K300,"Payment")),0),0))</f>
        <v/>
      </c>
      <c r="G300" s="331" t="s">
        <v>13</v>
      </c>
      <c r="H300" s="331"/>
      <c r="I300" s="330" t="str">
        <f t="shared" si="21"/>
        <v/>
      </c>
      <c r="J300" s="275"/>
      <c r="K300" s="289" t="str" cm="1">
        <f t="array" ref="K300">IFERROR(INDEX(_xlfn.ANCHORARRAY($R$6),ROW()-5,3),"")</f>
        <v/>
      </c>
      <c r="L300" s="430" t="str" cm="1">
        <f t="array" ref="L300">IF(OR($A300="",$J300="",$K300&lt;&gt;"DIESEL"),"",_xlfn.LET(_xlpm.qty,N($C300),_xlpm.pos,IF($J300="UNIT 1",$V$5:$V$54,$AC$5:$AC$54),_xlpm.alo,IF($J300="UNIT 1",$W$5:$W$54,$AD$5:$AD$54),_xlpm.usd,SUMIFS($C$6:$C299,$L$6:$L299,_xlpm.pos&amp;"",$J$6:$J299,$J300),_xlpm.bal,N(_xlpm.alo)-_xlpm.usd,IFERROR(INDEX(_xlfn._xlws.FILTER(_xlpm.pos,(_xlpm.pos&lt;&gt;"")*(_xlpm.qty&gt;0)*(_xlpm.bal&gt;=_xlpm.qty)),1),"")))</f>
        <v/>
      </c>
      <c r="M300" s="290"/>
      <c r="AQ300" s="409"/>
      <c r="AR300" s="410"/>
      <c r="AS300" s="410"/>
      <c r="AT300" s="411"/>
      <c r="AU300" s="412"/>
      <c r="AV300" s="413"/>
      <c r="AW300" s="413"/>
      <c r="AX300" s="413"/>
      <c r="AY300" s="413"/>
      <c r="AZ300" s="413" t="str">
        <f t="shared" si="19"/>
        <v/>
      </c>
      <c r="BB300" s="409"/>
      <c r="BC300" s="410"/>
      <c r="BD300" s="410"/>
      <c r="BE300" s="411"/>
      <c r="BF300" s="412"/>
      <c r="BG300" s="413"/>
      <c r="BH300" s="413"/>
      <c r="BI300" s="413"/>
      <c r="BJ300" s="413"/>
      <c r="BK300" s="413" t="str">
        <f t="shared" si="20"/>
        <v/>
      </c>
    </row>
    <row r="301" spans="1:63" ht="23" x14ac:dyDescent="0.25">
      <c r="A301" s="217" t="str" cm="1">
        <f t="array" ref="A301">IFERROR(INDEX(_xlfn.ANCHORARRAY($R$6),ROW()-5,1),"")</f>
        <v/>
      </c>
      <c r="B301" s="289" t="str" cm="1">
        <f t="array" ref="B301">IFERROR(INDEX(_xlfn.ANCHORARRAY($R$6),ROW()-5,2),"")</f>
        <v/>
      </c>
      <c r="C301" s="218" t="str">
        <f>IF($A301="","",IF($K301="DIESEL",SUMIFS(Table1[Quantity],Table1[Customer],$P$3,Table1[Date],$A301,Table1[Bill No.],$B301),IF($K301="PETROL",SUMIFS(Table14[Quantity],Table14[Customer],$P$3,Table14[Date],$A301,Table14[Bill No.],$B301),IF($K301="XtraGreen",SUMIFS(Table146[Quantity],Table146[Company],$P$3,Table146[Date],$A301,Table146[Bill No.],$B301),""))))</f>
        <v/>
      </c>
      <c r="D301" s="223" t="str">
        <f>IF($A301="","",IF($K301="DIESEL",AVERAGEIFS(Table1[RSP],Table1[Customer],$P$3,Table1[Date],$A301,Table1[Bill No.],$B301),IF($K301="PETROL",AVERAGEIFS(Table14[RSP],Table14[Customer],$P$3,Table14[Date],$A301,Table14[Bill No.],$B301),IF($K301="XtraGreen",AVERAGEIFS(Table146[RSP],Table146[Company],$P$3,Table146[Date],$A301,Table146[Bill No.],$B301),IFERROR($E301/$C301,"")))))</f>
        <v/>
      </c>
      <c r="E301" s="330" t="str">
        <f>IF($A301="","",IF($K301="DIESEL",SUMIFS(Table1[Amount],Table1[Customer],$P$3,Table1[Date],$A301,Table1[Bill No.],$B301),IF($K301="PETROL",SUMIFS(Table14[Amount],Table14[Customer],$P$3,Table14[Date],$A301,Table14[Bill No.],$B301),IF($K301="XtraGreen",SUMIFS(Table146[Amount],Table146[Company],$P$3,Table146[Date],$A301,Table146[Bill No.],$B301),SUMIFS('Other Sale'!$D:$D,'Other Sale'!$E:$E,$P$3,'Other Sale'!$C:$C,$K301,'Other Sale'!$A:$A,$A301)))))</f>
        <v/>
      </c>
      <c r="F301" s="330" t="str" cm="1">
        <f t="array" ref="F301">IF($A301="","",IF($K301="Payment",IFERROR(INDEX(_xlfn._xlws.FILTER(MasterPaid[Amount Paid],(MasterPaid[Customer]=$P$3)*(MasterPaid[Date]=$A301)),COUNTIFS($A$6:$A301,$A301,$K$6:$K301,"Payment")),0),0))</f>
        <v/>
      </c>
      <c r="G301" s="331" t="s">
        <v>13</v>
      </c>
      <c r="H301" s="331"/>
      <c r="I301" s="330" t="str">
        <f t="shared" si="21"/>
        <v/>
      </c>
      <c r="J301" s="275"/>
      <c r="K301" s="289" t="str" cm="1">
        <f t="array" ref="K301">IFERROR(INDEX(_xlfn.ANCHORARRAY($R$6),ROW()-5,3),"")</f>
        <v/>
      </c>
      <c r="L301" s="430" t="str" cm="1">
        <f t="array" ref="L301">IF(OR($A301="",$J301="",$K301&lt;&gt;"DIESEL"),"",_xlfn.LET(_xlpm.qty,N($C301),_xlpm.pos,IF($J301="UNIT 1",$V$5:$V$54,$AC$5:$AC$54),_xlpm.alo,IF($J301="UNIT 1",$W$5:$W$54,$AD$5:$AD$54),_xlpm.usd,SUMIFS($C$6:$C300,$L$6:$L300,_xlpm.pos&amp;"",$J$6:$J300,$J301),_xlpm.bal,N(_xlpm.alo)-_xlpm.usd,IFERROR(INDEX(_xlfn._xlws.FILTER(_xlpm.pos,(_xlpm.pos&lt;&gt;"")*(_xlpm.qty&gt;0)*(_xlpm.bal&gt;=_xlpm.qty)),1),"")))</f>
        <v/>
      </c>
      <c r="M301" s="290"/>
      <c r="AQ301" s="409"/>
      <c r="AR301" s="410"/>
      <c r="AS301" s="410"/>
      <c r="AT301" s="411"/>
      <c r="AU301" s="412"/>
      <c r="AV301" s="413"/>
      <c r="AW301" s="413"/>
      <c r="AX301" s="413"/>
      <c r="AY301" s="413"/>
      <c r="AZ301" s="413" t="str">
        <f t="shared" si="19"/>
        <v/>
      </c>
      <c r="BB301" s="409"/>
      <c r="BC301" s="410"/>
      <c r="BD301" s="410"/>
      <c r="BE301" s="411"/>
      <c r="BF301" s="412"/>
      <c r="BG301" s="413"/>
      <c r="BH301" s="413"/>
      <c r="BI301" s="413"/>
      <c r="BJ301" s="413"/>
      <c r="BK301" s="413" t="str">
        <f t="shared" si="20"/>
        <v/>
      </c>
    </row>
    <row r="302" spans="1:63" ht="23" x14ac:dyDescent="0.25">
      <c r="A302" s="217" t="str" cm="1">
        <f t="array" ref="A302">IFERROR(INDEX(_xlfn.ANCHORARRAY($R$6),ROW()-5,1),"")</f>
        <v/>
      </c>
      <c r="B302" s="289" t="str" cm="1">
        <f t="array" ref="B302">IFERROR(INDEX(_xlfn.ANCHORARRAY($R$6),ROW()-5,2),"")</f>
        <v/>
      </c>
      <c r="C302" s="218" t="str">
        <f>IF($A302="","",IF($K302="DIESEL",SUMIFS(Table1[Quantity],Table1[Customer],$P$3,Table1[Date],$A302,Table1[Bill No.],$B302),IF($K302="PETROL",SUMIFS(Table14[Quantity],Table14[Customer],$P$3,Table14[Date],$A302,Table14[Bill No.],$B302),IF($K302="XtraGreen",SUMIFS(Table146[Quantity],Table146[Company],$P$3,Table146[Date],$A302,Table146[Bill No.],$B302),""))))</f>
        <v/>
      </c>
      <c r="D302" s="223" t="str">
        <f>IF($A302="","",IF($K302="DIESEL",AVERAGEIFS(Table1[RSP],Table1[Customer],$P$3,Table1[Date],$A302,Table1[Bill No.],$B302),IF($K302="PETROL",AVERAGEIFS(Table14[RSP],Table14[Customer],$P$3,Table14[Date],$A302,Table14[Bill No.],$B302),IF($K302="XtraGreen",AVERAGEIFS(Table146[RSP],Table146[Company],$P$3,Table146[Date],$A302,Table146[Bill No.],$B302),IFERROR($E302/$C302,"")))))</f>
        <v/>
      </c>
      <c r="E302" s="330" t="str">
        <f>IF($A302="","",IF($K302="DIESEL",SUMIFS(Table1[Amount],Table1[Customer],$P$3,Table1[Date],$A302,Table1[Bill No.],$B302),IF($K302="PETROL",SUMIFS(Table14[Amount],Table14[Customer],$P$3,Table14[Date],$A302,Table14[Bill No.],$B302),IF($K302="XtraGreen",SUMIFS(Table146[Amount],Table146[Company],$P$3,Table146[Date],$A302,Table146[Bill No.],$B302),SUMIFS('Other Sale'!$D:$D,'Other Sale'!$E:$E,$P$3,'Other Sale'!$C:$C,$K302,'Other Sale'!$A:$A,$A302)))))</f>
        <v/>
      </c>
      <c r="F302" s="330" t="str" cm="1">
        <f t="array" ref="F302">IF($A302="","",IF($K302="Payment",IFERROR(INDEX(_xlfn._xlws.FILTER(MasterPaid[Amount Paid],(MasterPaid[Customer]=$P$3)*(MasterPaid[Date]=$A302)),COUNTIFS($A$6:$A302,$A302,$K$6:$K302,"Payment")),0),0))</f>
        <v/>
      </c>
      <c r="G302" s="331" t="s">
        <v>13</v>
      </c>
      <c r="H302" s="331"/>
      <c r="I302" s="330" t="str">
        <f t="shared" si="21"/>
        <v/>
      </c>
      <c r="J302" s="275"/>
      <c r="K302" s="289" t="str" cm="1">
        <f t="array" ref="K302">IFERROR(INDEX(_xlfn.ANCHORARRAY($R$6),ROW()-5,3),"")</f>
        <v/>
      </c>
      <c r="L302" s="430" t="str" cm="1">
        <f t="array" ref="L302">IF(OR($A302="",$J302="",$K302&lt;&gt;"DIESEL"),"",_xlfn.LET(_xlpm.qty,N($C302),_xlpm.pos,IF($J302="UNIT 1",$V$5:$V$54,$AC$5:$AC$54),_xlpm.alo,IF($J302="UNIT 1",$W$5:$W$54,$AD$5:$AD$54),_xlpm.usd,SUMIFS($C$6:$C301,$L$6:$L301,_xlpm.pos&amp;"",$J$6:$J301,$J302),_xlpm.bal,N(_xlpm.alo)-_xlpm.usd,IFERROR(INDEX(_xlfn._xlws.FILTER(_xlpm.pos,(_xlpm.pos&lt;&gt;"")*(_xlpm.qty&gt;0)*(_xlpm.bal&gt;=_xlpm.qty)),1),"")))</f>
        <v/>
      </c>
      <c r="M302" s="290"/>
      <c r="AQ302" s="409"/>
      <c r="AR302" s="410"/>
      <c r="AS302" s="410"/>
      <c r="AT302" s="411"/>
      <c r="AU302" s="412"/>
      <c r="AV302" s="413"/>
      <c r="AW302" s="413"/>
      <c r="AX302" s="413"/>
      <c r="AY302" s="413"/>
      <c r="AZ302" s="413" t="str">
        <f t="shared" si="19"/>
        <v/>
      </c>
      <c r="BB302" s="409"/>
      <c r="BC302" s="410"/>
      <c r="BD302" s="410"/>
      <c r="BE302" s="411"/>
      <c r="BF302" s="412"/>
      <c r="BG302" s="413"/>
      <c r="BH302" s="413"/>
      <c r="BI302" s="413"/>
      <c r="BJ302" s="413"/>
      <c r="BK302" s="413" t="str">
        <f t="shared" si="20"/>
        <v/>
      </c>
    </row>
    <row r="303" spans="1:63" ht="23" x14ac:dyDescent="0.25">
      <c r="A303" s="217" t="str" cm="1">
        <f t="array" ref="A303">IFERROR(INDEX(_xlfn.ANCHORARRAY($R$6),ROW()-5,1),"")</f>
        <v/>
      </c>
      <c r="B303" s="289" t="str" cm="1">
        <f t="array" ref="B303">IFERROR(INDEX(_xlfn.ANCHORARRAY($R$6),ROW()-5,2),"")</f>
        <v/>
      </c>
      <c r="C303" s="218" t="str">
        <f>IF($A303="","",IF($K303="DIESEL",SUMIFS(Table1[Quantity],Table1[Customer],$P$3,Table1[Date],$A303,Table1[Bill No.],$B303),IF($K303="PETROL",SUMIFS(Table14[Quantity],Table14[Customer],$P$3,Table14[Date],$A303,Table14[Bill No.],$B303),IF($K303="XtraGreen",SUMIFS(Table146[Quantity],Table146[Company],$P$3,Table146[Date],$A303,Table146[Bill No.],$B303),""))))</f>
        <v/>
      </c>
      <c r="D303" s="223" t="str">
        <f>IF($A303="","",IF($K303="DIESEL",AVERAGEIFS(Table1[RSP],Table1[Customer],$P$3,Table1[Date],$A303,Table1[Bill No.],$B303),IF($K303="PETROL",AVERAGEIFS(Table14[RSP],Table14[Customer],$P$3,Table14[Date],$A303,Table14[Bill No.],$B303),IF($K303="XtraGreen",AVERAGEIFS(Table146[RSP],Table146[Company],$P$3,Table146[Date],$A303,Table146[Bill No.],$B303),IFERROR($E303/$C303,"")))))</f>
        <v/>
      </c>
      <c r="E303" s="330" t="str">
        <f>IF($A303="","",IF($K303="DIESEL",SUMIFS(Table1[Amount],Table1[Customer],$P$3,Table1[Date],$A303,Table1[Bill No.],$B303),IF($K303="PETROL",SUMIFS(Table14[Amount],Table14[Customer],$P$3,Table14[Date],$A303,Table14[Bill No.],$B303),IF($K303="XtraGreen",SUMIFS(Table146[Amount],Table146[Company],$P$3,Table146[Date],$A303,Table146[Bill No.],$B303),SUMIFS('Other Sale'!$D:$D,'Other Sale'!$E:$E,$P$3,'Other Sale'!$C:$C,$K303,'Other Sale'!$A:$A,$A303)))))</f>
        <v/>
      </c>
      <c r="F303" s="330" t="str" cm="1">
        <f t="array" ref="F303">IF($A303="","",IF($K303="Payment",IFERROR(INDEX(_xlfn._xlws.FILTER(MasterPaid[Amount Paid],(MasterPaid[Customer]=$P$3)*(MasterPaid[Date]=$A303)),COUNTIFS($A$6:$A303,$A303,$K$6:$K303,"Payment")),0),0))</f>
        <v/>
      </c>
      <c r="G303" s="331" t="s">
        <v>13</v>
      </c>
      <c r="H303" s="331"/>
      <c r="I303" s="330" t="str">
        <f t="shared" si="21"/>
        <v/>
      </c>
      <c r="J303" s="275"/>
      <c r="K303" s="289" t="str" cm="1">
        <f t="array" ref="K303">IFERROR(INDEX(_xlfn.ANCHORARRAY($R$6),ROW()-5,3),"")</f>
        <v/>
      </c>
      <c r="L303" s="430" t="str" cm="1">
        <f t="array" ref="L303">IF(OR($A303="",$J303="",$K303&lt;&gt;"DIESEL"),"",_xlfn.LET(_xlpm.qty,N($C303),_xlpm.pos,IF($J303="UNIT 1",$V$5:$V$54,$AC$5:$AC$54),_xlpm.alo,IF($J303="UNIT 1",$W$5:$W$54,$AD$5:$AD$54),_xlpm.usd,SUMIFS($C$6:$C302,$L$6:$L302,_xlpm.pos&amp;"",$J$6:$J302,$J303),_xlpm.bal,N(_xlpm.alo)-_xlpm.usd,IFERROR(INDEX(_xlfn._xlws.FILTER(_xlpm.pos,(_xlpm.pos&lt;&gt;"")*(_xlpm.qty&gt;0)*(_xlpm.bal&gt;=_xlpm.qty)),1),"")))</f>
        <v/>
      </c>
      <c r="M303" s="290"/>
      <c r="AQ303" s="409"/>
      <c r="AR303" s="410"/>
      <c r="AS303" s="410"/>
      <c r="AT303" s="411"/>
      <c r="AU303" s="412"/>
      <c r="AV303" s="413"/>
      <c r="AW303" s="413"/>
      <c r="AX303" s="413"/>
      <c r="AY303" s="413"/>
      <c r="AZ303" s="413" t="str">
        <f t="shared" si="19"/>
        <v/>
      </c>
      <c r="BB303" s="409"/>
      <c r="BC303" s="410"/>
      <c r="BD303" s="410"/>
      <c r="BE303" s="411"/>
      <c r="BF303" s="412"/>
      <c r="BG303" s="413"/>
      <c r="BH303" s="413"/>
      <c r="BI303" s="413"/>
      <c r="BJ303" s="413"/>
      <c r="BK303" s="413" t="str">
        <f t="shared" si="20"/>
        <v/>
      </c>
    </row>
    <row r="304" spans="1:63" ht="23" x14ac:dyDescent="0.25">
      <c r="A304" s="217" t="str" cm="1">
        <f t="array" ref="A304">IFERROR(INDEX(_xlfn.ANCHORARRAY($R$6),ROW()-5,1),"")</f>
        <v/>
      </c>
      <c r="B304" s="289" t="str" cm="1">
        <f t="array" ref="B304">IFERROR(INDEX(_xlfn.ANCHORARRAY($R$6),ROW()-5,2),"")</f>
        <v/>
      </c>
      <c r="C304" s="218" t="str">
        <f>IF($A304="","",IF($K304="DIESEL",SUMIFS(Table1[Quantity],Table1[Customer],$P$3,Table1[Date],$A304,Table1[Bill No.],$B304),IF($K304="PETROL",SUMIFS(Table14[Quantity],Table14[Customer],$P$3,Table14[Date],$A304,Table14[Bill No.],$B304),IF($K304="XtraGreen",SUMIFS(Table146[Quantity],Table146[Company],$P$3,Table146[Date],$A304,Table146[Bill No.],$B304),""))))</f>
        <v/>
      </c>
      <c r="D304" s="223" t="str">
        <f>IF($A304="","",IF($K304="DIESEL",AVERAGEIFS(Table1[RSP],Table1[Customer],$P$3,Table1[Date],$A304,Table1[Bill No.],$B304),IF($K304="PETROL",AVERAGEIFS(Table14[RSP],Table14[Customer],$P$3,Table14[Date],$A304,Table14[Bill No.],$B304),IF($K304="XtraGreen",AVERAGEIFS(Table146[RSP],Table146[Company],$P$3,Table146[Date],$A304,Table146[Bill No.],$B304),IFERROR($E304/$C304,"")))))</f>
        <v/>
      </c>
      <c r="E304" s="330" t="str">
        <f>IF($A304="","",IF($K304="DIESEL",SUMIFS(Table1[Amount],Table1[Customer],$P$3,Table1[Date],$A304,Table1[Bill No.],$B304),IF($K304="PETROL",SUMIFS(Table14[Amount],Table14[Customer],$P$3,Table14[Date],$A304,Table14[Bill No.],$B304),IF($K304="XtraGreen",SUMIFS(Table146[Amount],Table146[Company],$P$3,Table146[Date],$A304,Table146[Bill No.],$B304),SUMIFS('Other Sale'!$D:$D,'Other Sale'!$E:$E,$P$3,'Other Sale'!$C:$C,$K304,'Other Sale'!$A:$A,$A304)))))</f>
        <v/>
      </c>
      <c r="F304" s="330" t="str" cm="1">
        <f t="array" ref="F304">IF($A304="","",IF($K304="Payment",IFERROR(INDEX(_xlfn._xlws.FILTER(MasterPaid[Amount Paid],(MasterPaid[Customer]=$P$3)*(MasterPaid[Date]=$A304)),COUNTIFS($A$6:$A304,$A304,$K$6:$K304,"Payment")),0),0))</f>
        <v/>
      </c>
      <c r="G304" s="331" t="s">
        <v>13</v>
      </c>
      <c r="H304" s="331"/>
      <c r="I304" s="330" t="str">
        <f t="shared" si="21"/>
        <v/>
      </c>
      <c r="J304" s="275"/>
      <c r="K304" s="289" t="str" cm="1">
        <f t="array" ref="K304">IFERROR(INDEX(_xlfn.ANCHORARRAY($R$6),ROW()-5,3),"")</f>
        <v/>
      </c>
      <c r="L304" s="430" t="str" cm="1">
        <f t="array" ref="L304">IF(OR($A304="",$J304="",$K304&lt;&gt;"DIESEL"),"",_xlfn.LET(_xlpm.qty,N($C304),_xlpm.pos,IF($J304="UNIT 1",$V$5:$V$54,$AC$5:$AC$54),_xlpm.alo,IF($J304="UNIT 1",$W$5:$W$54,$AD$5:$AD$54),_xlpm.usd,SUMIFS($C$6:$C303,$L$6:$L303,_xlpm.pos&amp;"",$J$6:$J303,$J304),_xlpm.bal,N(_xlpm.alo)-_xlpm.usd,IFERROR(INDEX(_xlfn._xlws.FILTER(_xlpm.pos,(_xlpm.pos&lt;&gt;"")*(_xlpm.qty&gt;0)*(_xlpm.bal&gt;=_xlpm.qty)),1),"")))</f>
        <v/>
      </c>
      <c r="M304" s="290"/>
      <c r="AQ304" s="409"/>
      <c r="AR304" s="410"/>
      <c r="AS304" s="410"/>
      <c r="AT304" s="411"/>
      <c r="AU304" s="412"/>
      <c r="AV304" s="413"/>
      <c r="AW304" s="413"/>
      <c r="AX304" s="413"/>
      <c r="AY304" s="413"/>
      <c r="AZ304" s="413" t="str">
        <f t="shared" si="19"/>
        <v/>
      </c>
      <c r="BB304" s="409"/>
      <c r="BC304" s="410"/>
      <c r="BD304" s="410"/>
      <c r="BE304" s="411"/>
      <c r="BF304" s="412"/>
      <c r="BG304" s="413"/>
      <c r="BH304" s="413"/>
      <c r="BI304" s="413"/>
      <c r="BJ304" s="413"/>
      <c r="BK304" s="413" t="str">
        <f t="shared" si="20"/>
        <v/>
      </c>
    </row>
    <row r="305" spans="1:63" ht="23" x14ac:dyDescent="0.25">
      <c r="A305" s="217" t="str" cm="1">
        <f t="array" ref="A305">IFERROR(INDEX(_xlfn.ANCHORARRAY($R$6),ROW()-5,1),"")</f>
        <v/>
      </c>
      <c r="B305" s="289" t="str" cm="1">
        <f t="array" ref="B305">IFERROR(INDEX(_xlfn.ANCHORARRAY($R$6),ROW()-5,2),"")</f>
        <v/>
      </c>
      <c r="C305" s="218" t="str">
        <f>IF($A305="","",IF($K305="DIESEL",SUMIFS(Table1[Quantity],Table1[Customer],$P$3,Table1[Date],$A305,Table1[Bill No.],$B305),IF($K305="PETROL",SUMIFS(Table14[Quantity],Table14[Customer],$P$3,Table14[Date],$A305,Table14[Bill No.],$B305),IF($K305="XtraGreen",SUMIFS(Table146[Quantity],Table146[Company],$P$3,Table146[Date],$A305,Table146[Bill No.],$B305),""))))</f>
        <v/>
      </c>
      <c r="D305" s="223" t="str">
        <f>IF($A305="","",IF($K305="DIESEL",AVERAGEIFS(Table1[RSP],Table1[Customer],$P$3,Table1[Date],$A305,Table1[Bill No.],$B305),IF($K305="PETROL",AVERAGEIFS(Table14[RSP],Table14[Customer],$P$3,Table14[Date],$A305,Table14[Bill No.],$B305),IF($K305="XtraGreen",AVERAGEIFS(Table146[RSP],Table146[Company],$P$3,Table146[Date],$A305,Table146[Bill No.],$B305),IFERROR($E305/$C305,"")))))</f>
        <v/>
      </c>
      <c r="E305" s="330" t="str">
        <f>IF($A305="","",IF($K305="DIESEL",SUMIFS(Table1[Amount],Table1[Customer],$P$3,Table1[Date],$A305,Table1[Bill No.],$B305),IF($K305="PETROL",SUMIFS(Table14[Amount],Table14[Customer],$P$3,Table14[Date],$A305,Table14[Bill No.],$B305),IF($K305="XtraGreen",SUMIFS(Table146[Amount],Table146[Company],$P$3,Table146[Date],$A305,Table146[Bill No.],$B305),SUMIFS('Other Sale'!$D:$D,'Other Sale'!$E:$E,$P$3,'Other Sale'!$C:$C,$K305,'Other Sale'!$A:$A,$A305)))))</f>
        <v/>
      </c>
      <c r="F305" s="330" t="str" cm="1">
        <f t="array" ref="F305">IF($A305="","",IF($K305="Payment",IFERROR(INDEX(_xlfn._xlws.FILTER(MasterPaid[Amount Paid],(MasterPaid[Customer]=$P$3)*(MasterPaid[Date]=$A305)),COUNTIFS($A$6:$A305,$A305,$K$6:$K305,"Payment")),0),0))</f>
        <v/>
      </c>
      <c r="G305" s="331" t="s">
        <v>13</v>
      </c>
      <c r="H305" s="331"/>
      <c r="I305" s="330" t="str">
        <f t="shared" si="21"/>
        <v/>
      </c>
      <c r="J305" s="275"/>
      <c r="K305" s="289" t="str" cm="1">
        <f t="array" ref="K305">IFERROR(INDEX(_xlfn.ANCHORARRAY($R$6),ROW()-5,3),"")</f>
        <v/>
      </c>
      <c r="L305" s="430" t="str" cm="1">
        <f t="array" ref="L305">IF(OR($A305="",$J305="",$K305&lt;&gt;"DIESEL"),"",_xlfn.LET(_xlpm.qty,N($C305),_xlpm.pos,IF($J305="UNIT 1",$V$5:$V$54,$AC$5:$AC$54),_xlpm.alo,IF($J305="UNIT 1",$W$5:$W$54,$AD$5:$AD$54),_xlpm.usd,SUMIFS($C$6:$C304,$L$6:$L304,_xlpm.pos&amp;"",$J$6:$J304,$J305),_xlpm.bal,N(_xlpm.alo)-_xlpm.usd,IFERROR(INDEX(_xlfn._xlws.FILTER(_xlpm.pos,(_xlpm.pos&lt;&gt;"")*(_xlpm.qty&gt;0)*(_xlpm.bal&gt;=_xlpm.qty)),1),"")))</f>
        <v/>
      </c>
      <c r="M305" s="290"/>
      <c r="AQ305" s="409"/>
      <c r="AR305" s="410"/>
      <c r="AS305" s="410"/>
      <c r="AT305" s="411"/>
      <c r="AU305" s="412"/>
      <c r="AV305" s="413"/>
      <c r="AW305" s="413"/>
      <c r="AX305" s="413"/>
      <c r="AY305" s="413"/>
      <c r="AZ305" s="413" t="str">
        <f t="shared" si="19"/>
        <v/>
      </c>
      <c r="BB305" s="409"/>
      <c r="BC305" s="410"/>
      <c r="BD305" s="410"/>
      <c r="BE305" s="411"/>
      <c r="BF305" s="412"/>
      <c r="BG305" s="413"/>
      <c r="BH305" s="413"/>
      <c r="BI305" s="413"/>
      <c r="BJ305" s="413"/>
      <c r="BK305" s="413" t="str">
        <f t="shared" si="20"/>
        <v/>
      </c>
    </row>
    <row r="306" spans="1:63" ht="23" x14ac:dyDescent="0.25">
      <c r="A306" s="217" t="str" cm="1">
        <f t="array" ref="A306">IFERROR(INDEX(_xlfn.ANCHORARRAY($R$6),ROW()-5,1),"")</f>
        <v/>
      </c>
      <c r="B306" s="289" t="str" cm="1">
        <f t="array" ref="B306">IFERROR(INDEX(_xlfn.ANCHORARRAY($R$6),ROW()-5,2),"")</f>
        <v/>
      </c>
      <c r="C306" s="218" t="str">
        <f>IF($A306="","",IF($K306="DIESEL",SUMIFS(Table1[Quantity],Table1[Customer],$P$3,Table1[Date],$A306,Table1[Bill No.],$B306),IF($K306="PETROL",SUMIFS(Table14[Quantity],Table14[Customer],$P$3,Table14[Date],$A306,Table14[Bill No.],$B306),IF($K306="XtraGreen",SUMIFS(Table146[Quantity],Table146[Company],$P$3,Table146[Date],$A306,Table146[Bill No.],$B306),""))))</f>
        <v/>
      </c>
      <c r="D306" s="223" t="str">
        <f>IF($A306="","",IF($K306="DIESEL",AVERAGEIFS(Table1[RSP],Table1[Customer],$P$3,Table1[Date],$A306,Table1[Bill No.],$B306),IF($K306="PETROL",AVERAGEIFS(Table14[RSP],Table14[Customer],$P$3,Table14[Date],$A306,Table14[Bill No.],$B306),IF($K306="XtraGreen",AVERAGEIFS(Table146[RSP],Table146[Company],$P$3,Table146[Date],$A306,Table146[Bill No.],$B306),IFERROR($E306/$C306,"")))))</f>
        <v/>
      </c>
      <c r="E306" s="330" t="str">
        <f>IF($A306="","",IF($K306="DIESEL",SUMIFS(Table1[Amount],Table1[Customer],$P$3,Table1[Date],$A306,Table1[Bill No.],$B306),IF($K306="PETROL",SUMIFS(Table14[Amount],Table14[Customer],$P$3,Table14[Date],$A306,Table14[Bill No.],$B306),IF($K306="XtraGreen",SUMIFS(Table146[Amount],Table146[Company],$P$3,Table146[Date],$A306,Table146[Bill No.],$B306),SUMIFS('Other Sale'!$D:$D,'Other Sale'!$E:$E,$P$3,'Other Sale'!$C:$C,$K306,'Other Sale'!$A:$A,$A306)))))</f>
        <v/>
      </c>
      <c r="F306" s="330" t="str" cm="1">
        <f t="array" ref="F306">IF($A306="","",IF($K306="Payment",IFERROR(INDEX(_xlfn._xlws.FILTER(MasterPaid[Amount Paid],(MasterPaid[Customer]=$P$3)*(MasterPaid[Date]=$A306)),COUNTIFS($A$6:$A306,$A306,$K$6:$K306,"Payment")),0),0))</f>
        <v/>
      </c>
      <c r="G306" s="331" t="s">
        <v>13</v>
      </c>
      <c r="H306" s="331"/>
      <c r="I306" s="330" t="str">
        <f t="shared" si="21"/>
        <v/>
      </c>
      <c r="J306" s="275"/>
      <c r="K306" s="289" t="str" cm="1">
        <f t="array" ref="K306">IFERROR(INDEX(_xlfn.ANCHORARRAY($R$6),ROW()-5,3),"")</f>
        <v/>
      </c>
      <c r="L306" s="430" t="str" cm="1">
        <f t="array" ref="L306">IF(OR($A306="",$J306="",$K306&lt;&gt;"DIESEL"),"",_xlfn.LET(_xlpm.qty,N($C306),_xlpm.pos,IF($J306="UNIT 1",$V$5:$V$54,$AC$5:$AC$54),_xlpm.alo,IF($J306="UNIT 1",$W$5:$W$54,$AD$5:$AD$54),_xlpm.usd,SUMIFS($C$6:$C305,$L$6:$L305,_xlpm.pos&amp;"",$J$6:$J305,$J306),_xlpm.bal,N(_xlpm.alo)-_xlpm.usd,IFERROR(INDEX(_xlfn._xlws.FILTER(_xlpm.pos,(_xlpm.pos&lt;&gt;"")*(_xlpm.qty&gt;0)*(_xlpm.bal&gt;=_xlpm.qty)),1),"")))</f>
        <v/>
      </c>
      <c r="M306" s="290"/>
      <c r="AQ306" s="409"/>
      <c r="AR306" s="410"/>
      <c r="AS306" s="410"/>
      <c r="AT306" s="411"/>
      <c r="AU306" s="412"/>
      <c r="AV306" s="413"/>
      <c r="AW306" s="413"/>
      <c r="AX306" s="413"/>
      <c r="AY306" s="413"/>
      <c r="AZ306" s="413" t="str">
        <f t="shared" si="19"/>
        <v/>
      </c>
      <c r="BB306" s="409"/>
      <c r="BC306" s="410"/>
      <c r="BD306" s="410"/>
      <c r="BE306" s="411"/>
      <c r="BF306" s="412"/>
      <c r="BG306" s="413"/>
      <c r="BH306" s="413"/>
      <c r="BI306" s="413"/>
      <c r="BJ306" s="413"/>
      <c r="BK306" s="413" t="str">
        <f t="shared" si="20"/>
        <v/>
      </c>
    </row>
    <row r="307" spans="1:63" ht="23" x14ac:dyDescent="0.25">
      <c r="A307" s="217" t="str" cm="1">
        <f t="array" ref="A307">IFERROR(INDEX(_xlfn.ANCHORARRAY($R$6),ROW()-5,1),"")</f>
        <v/>
      </c>
      <c r="B307" s="289" t="str" cm="1">
        <f t="array" ref="B307">IFERROR(INDEX(_xlfn.ANCHORARRAY($R$6),ROW()-5,2),"")</f>
        <v/>
      </c>
      <c r="C307" s="218" t="str">
        <f>IF($A307="","",IF($K307="DIESEL",SUMIFS(Table1[Quantity],Table1[Customer],$P$3,Table1[Date],$A307,Table1[Bill No.],$B307),IF($K307="PETROL",SUMIFS(Table14[Quantity],Table14[Customer],$P$3,Table14[Date],$A307,Table14[Bill No.],$B307),IF($K307="XtraGreen",SUMIFS(Table146[Quantity],Table146[Company],$P$3,Table146[Date],$A307,Table146[Bill No.],$B307),""))))</f>
        <v/>
      </c>
      <c r="D307" s="223" t="str">
        <f>IF($A307="","",IF($K307="DIESEL",AVERAGEIFS(Table1[RSP],Table1[Customer],$P$3,Table1[Date],$A307,Table1[Bill No.],$B307),IF($K307="PETROL",AVERAGEIFS(Table14[RSP],Table14[Customer],$P$3,Table14[Date],$A307,Table14[Bill No.],$B307),IF($K307="XtraGreen",AVERAGEIFS(Table146[RSP],Table146[Company],$P$3,Table146[Date],$A307,Table146[Bill No.],$B307),IFERROR($E307/$C307,"")))))</f>
        <v/>
      </c>
      <c r="E307" s="330" t="str">
        <f>IF($A307="","",IF($K307="DIESEL",SUMIFS(Table1[Amount],Table1[Customer],$P$3,Table1[Date],$A307,Table1[Bill No.],$B307),IF($K307="PETROL",SUMIFS(Table14[Amount],Table14[Customer],$P$3,Table14[Date],$A307,Table14[Bill No.],$B307),IF($K307="XtraGreen",SUMIFS(Table146[Amount],Table146[Company],$P$3,Table146[Date],$A307,Table146[Bill No.],$B307),SUMIFS('Other Sale'!$D:$D,'Other Sale'!$E:$E,$P$3,'Other Sale'!$C:$C,$K307,'Other Sale'!$A:$A,$A307)))))</f>
        <v/>
      </c>
      <c r="F307" s="330" t="str" cm="1">
        <f t="array" ref="F307">IF($A307="","",IF($K307="Payment",IFERROR(INDEX(_xlfn._xlws.FILTER(MasterPaid[Amount Paid],(MasterPaid[Customer]=$P$3)*(MasterPaid[Date]=$A307)),COUNTIFS($A$6:$A307,$A307,$K$6:$K307,"Payment")),0),0))</f>
        <v/>
      </c>
      <c r="G307" s="331" t="s">
        <v>13</v>
      </c>
      <c r="H307" s="331"/>
      <c r="I307" s="330" t="str">
        <f t="shared" si="21"/>
        <v/>
      </c>
      <c r="J307" s="275"/>
      <c r="K307" s="289" t="str" cm="1">
        <f t="array" ref="K307">IFERROR(INDEX(_xlfn.ANCHORARRAY($R$6),ROW()-5,3),"")</f>
        <v/>
      </c>
      <c r="L307" s="430" t="str" cm="1">
        <f t="array" ref="L307">IF(OR($A307="",$J307="",$K307&lt;&gt;"DIESEL"),"",_xlfn.LET(_xlpm.qty,N($C307),_xlpm.pos,IF($J307="UNIT 1",$V$5:$V$54,$AC$5:$AC$54),_xlpm.alo,IF($J307="UNIT 1",$W$5:$W$54,$AD$5:$AD$54),_xlpm.usd,SUMIFS($C$6:$C306,$L$6:$L306,_xlpm.pos&amp;"",$J$6:$J306,$J307),_xlpm.bal,N(_xlpm.alo)-_xlpm.usd,IFERROR(INDEX(_xlfn._xlws.FILTER(_xlpm.pos,(_xlpm.pos&lt;&gt;"")*(_xlpm.qty&gt;0)*(_xlpm.bal&gt;=_xlpm.qty)),1),"")))</f>
        <v/>
      </c>
      <c r="M307" s="290"/>
      <c r="AQ307" s="409"/>
      <c r="AR307" s="410"/>
      <c r="AS307" s="410"/>
      <c r="AT307" s="411"/>
      <c r="AU307" s="412"/>
      <c r="AV307" s="413"/>
      <c r="AW307" s="413"/>
      <c r="AX307" s="413"/>
      <c r="AY307" s="413"/>
      <c r="AZ307" s="413" t="str">
        <f t="shared" si="19"/>
        <v/>
      </c>
      <c r="BB307" s="409"/>
      <c r="BC307" s="410"/>
      <c r="BD307" s="410"/>
      <c r="BE307" s="411"/>
      <c r="BF307" s="412"/>
      <c r="BG307" s="413"/>
      <c r="BH307" s="413"/>
      <c r="BI307" s="413"/>
      <c r="BJ307" s="413"/>
      <c r="BK307" s="413" t="str">
        <f t="shared" si="20"/>
        <v/>
      </c>
    </row>
    <row r="308" spans="1:63" ht="23" x14ac:dyDescent="0.25">
      <c r="A308" s="217" t="str" cm="1">
        <f t="array" ref="A308">IFERROR(INDEX(_xlfn.ANCHORARRAY($R$6),ROW()-5,1),"")</f>
        <v/>
      </c>
      <c r="B308" s="289" t="str" cm="1">
        <f t="array" ref="B308">IFERROR(INDEX(_xlfn.ANCHORARRAY($R$6),ROW()-5,2),"")</f>
        <v/>
      </c>
      <c r="C308" s="218" t="str">
        <f>IF($A308="","",IF($K308="DIESEL",SUMIFS(Table1[Quantity],Table1[Customer],$P$3,Table1[Date],$A308,Table1[Bill No.],$B308),IF($K308="PETROL",SUMIFS(Table14[Quantity],Table14[Customer],$P$3,Table14[Date],$A308,Table14[Bill No.],$B308),IF($K308="XtraGreen",SUMIFS(Table146[Quantity],Table146[Company],$P$3,Table146[Date],$A308,Table146[Bill No.],$B308),""))))</f>
        <v/>
      </c>
      <c r="D308" s="223" t="str">
        <f>IF($A308="","",IF($K308="DIESEL",AVERAGEIFS(Table1[RSP],Table1[Customer],$P$3,Table1[Date],$A308,Table1[Bill No.],$B308),IF($K308="PETROL",AVERAGEIFS(Table14[RSP],Table14[Customer],$P$3,Table14[Date],$A308,Table14[Bill No.],$B308),IF($K308="XtraGreen",AVERAGEIFS(Table146[RSP],Table146[Company],$P$3,Table146[Date],$A308,Table146[Bill No.],$B308),IFERROR($E308/$C308,"")))))</f>
        <v/>
      </c>
      <c r="E308" s="330" t="str">
        <f>IF($A308="","",IF($K308="DIESEL",SUMIFS(Table1[Amount],Table1[Customer],$P$3,Table1[Date],$A308,Table1[Bill No.],$B308),IF($K308="PETROL",SUMIFS(Table14[Amount],Table14[Customer],$P$3,Table14[Date],$A308,Table14[Bill No.],$B308),IF($K308="XtraGreen",SUMIFS(Table146[Amount],Table146[Company],$P$3,Table146[Date],$A308,Table146[Bill No.],$B308),SUMIFS('Other Sale'!$D:$D,'Other Sale'!$E:$E,$P$3,'Other Sale'!$C:$C,$K308,'Other Sale'!$A:$A,$A308)))))</f>
        <v/>
      </c>
      <c r="F308" s="330" t="str" cm="1">
        <f t="array" ref="F308">IF($A308="","",IF($K308="Payment",IFERROR(INDEX(_xlfn._xlws.FILTER(MasterPaid[Amount Paid],(MasterPaid[Customer]=$P$3)*(MasterPaid[Date]=$A308)),COUNTIFS($A$6:$A308,$A308,$K$6:$K308,"Payment")),0),0))</f>
        <v/>
      </c>
      <c r="G308" s="331" t="s">
        <v>13</v>
      </c>
      <c r="H308" s="331"/>
      <c r="I308" s="330" t="str">
        <f t="shared" si="21"/>
        <v/>
      </c>
      <c r="J308" s="275"/>
      <c r="K308" s="289" t="str" cm="1">
        <f t="array" ref="K308">IFERROR(INDEX(_xlfn.ANCHORARRAY($R$6),ROW()-5,3),"")</f>
        <v/>
      </c>
      <c r="L308" s="430" t="str" cm="1">
        <f t="array" ref="L308">IF(OR($A308="",$J308="",$K308&lt;&gt;"DIESEL"),"",_xlfn.LET(_xlpm.qty,N($C308),_xlpm.pos,IF($J308="UNIT 1",$V$5:$V$54,$AC$5:$AC$54),_xlpm.alo,IF($J308="UNIT 1",$W$5:$W$54,$AD$5:$AD$54),_xlpm.usd,SUMIFS($C$6:$C307,$L$6:$L307,_xlpm.pos&amp;"",$J$6:$J307,$J308),_xlpm.bal,N(_xlpm.alo)-_xlpm.usd,IFERROR(INDEX(_xlfn._xlws.FILTER(_xlpm.pos,(_xlpm.pos&lt;&gt;"")*(_xlpm.qty&gt;0)*(_xlpm.bal&gt;=_xlpm.qty)),1),"")))</f>
        <v/>
      </c>
      <c r="M308" s="290"/>
      <c r="AQ308" s="409"/>
      <c r="AR308" s="410"/>
      <c r="AS308" s="410"/>
      <c r="AT308" s="411"/>
      <c r="AU308" s="412"/>
      <c r="AV308" s="413"/>
      <c r="AW308" s="413"/>
      <c r="AX308" s="413"/>
      <c r="AY308" s="413"/>
      <c r="AZ308" s="413" t="str">
        <f t="shared" si="19"/>
        <v/>
      </c>
      <c r="BB308" s="409"/>
      <c r="BC308" s="410"/>
      <c r="BD308" s="410"/>
      <c r="BE308" s="411"/>
      <c r="BF308" s="412"/>
      <c r="BG308" s="413"/>
      <c r="BH308" s="413"/>
      <c r="BI308" s="413"/>
      <c r="BJ308" s="413"/>
      <c r="BK308" s="413" t="str">
        <f t="shared" si="20"/>
        <v/>
      </c>
    </row>
    <row r="309" spans="1:63" ht="23" x14ac:dyDescent="0.25">
      <c r="A309" s="217" t="str" cm="1">
        <f t="array" ref="A309">IFERROR(INDEX(_xlfn.ANCHORARRAY($R$6),ROW()-5,1),"")</f>
        <v/>
      </c>
      <c r="B309" s="289" t="str" cm="1">
        <f t="array" ref="B309">IFERROR(INDEX(_xlfn.ANCHORARRAY($R$6),ROW()-5,2),"")</f>
        <v/>
      </c>
      <c r="C309" s="218" t="str">
        <f>IF($A309="","",IF($K309="DIESEL",SUMIFS(Table1[Quantity],Table1[Customer],$P$3,Table1[Date],$A309,Table1[Bill No.],$B309),IF($K309="PETROL",SUMIFS(Table14[Quantity],Table14[Customer],$P$3,Table14[Date],$A309,Table14[Bill No.],$B309),IF($K309="XtraGreen",SUMIFS(Table146[Quantity],Table146[Company],$P$3,Table146[Date],$A309,Table146[Bill No.],$B309),""))))</f>
        <v/>
      </c>
      <c r="D309" s="223" t="str">
        <f>IF($A309="","",IF($K309="DIESEL",AVERAGEIFS(Table1[RSP],Table1[Customer],$P$3,Table1[Date],$A309,Table1[Bill No.],$B309),IF($K309="PETROL",AVERAGEIFS(Table14[RSP],Table14[Customer],$P$3,Table14[Date],$A309,Table14[Bill No.],$B309),IF($K309="XtraGreen",AVERAGEIFS(Table146[RSP],Table146[Company],$P$3,Table146[Date],$A309,Table146[Bill No.],$B309),IFERROR($E309/$C309,"")))))</f>
        <v/>
      </c>
      <c r="E309" s="330" t="str">
        <f>IF($A309="","",IF($K309="DIESEL",SUMIFS(Table1[Amount],Table1[Customer],$P$3,Table1[Date],$A309,Table1[Bill No.],$B309),IF($K309="PETROL",SUMIFS(Table14[Amount],Table14[Customer],$P$3,Table14[Date],$A309,Table14[Bill No.],$B309),IF($K309="XtraGreen",SUMIFS(Table146[Amount],Table146[Company],$P$3,Table146[Date],$A309,Table146[Bill No.],$B309),SUMIFS('Other Sale'!$D:$D,'Other Sale'!$E:$E,$P$3,'Other Sale'!$C:$C,$K309,'Other Sale'!$A:$A,$A309)))))</f>
        <v/>
      </c>
      <c r="F309" s="330" t="str" cm="1">
        <f t="array" ref="F309">IF($A309="","",IF($K309="Payment",IFERROR(INDEX(_xlfn._xlws.FILTER(MasterPaid[Amount Paid],(MasterPaid[Customer]=$P$3)*(MasterPaid[Date]=$A309)),COUNTIFS($A$6:$A309,$A309,$K$6:$K309,"Payment")),0),0))</f>
        <v/>
      </c>
      <c r="G309" s="331" t="s">
        <v>13</v>
      </c>
      <c r="H309" s="331"/>
      <c r="I309" s="330" t="str">
        <f t="shared" si="21"/>
        <v/>
      </c>
      <c r="J309" s="275"/>
      <c r="K309" s="289" t="str" cm="1">
        <f t="array" ref="K309">IFERROR(INDEX(_xlfn.ANCHORARRAY($R$6),ROW()-5,3),"")</f>
        <v/>
      </c>
      <c r="L309" s="430" t="str" cm="1">
        <f t="array" ref="L309">IF(OR($A309="",$J309="",$K309&lt;&gt;"DIESEL"),"",_xlfn.LET(_xlpm.qty,N($C309),_xlpm.pos,IF($J309="UNIT 1",$V$5:$V$54,$AC$5:$AC$54),_xlpm.alo,IF($J309="UNIT 1",$W$5:$W$54,$AD$5:$AD$54),_xlpm.usd,SUMIFS($C$6:$C308,$L$6:$L308,_xlpm.pos&amp;"",$J$6:$J308,$J309),_xlpm.bal,N(_xlpm.alo)-_xlpm.usd,IFERROR(INDEX(_xlfn._xlws.FILTER(_xlpm.pos,(_xlpm.pos&lt;&gt;"")*(_xlpm.qty&gt;0)*(_xlpm.bal&gt;=_xlpm.qty)),1),"")))</f>
        <v/>
      </c>
      <c r="M309" s="290"/>
      <c r="AQ309" s="409"/>
      <c r="AR309" s="410"/>
      <c r="AS309" s="410"/>
      <c r="AT309" s="411"/>
      <c r="AU309" s="412"/>
      <c r="AV309" s="413"/>
      <c r="AW309" s="413"/>
      <c r="AX309" s="413"/>
      <c r="AY309" s="413"/>
      <c r="AZ309" s="413" t="str">
        <f t="shared" si="19"/>
        <v/>
      </c>
      <c r="BB309" s="409"/>
      <c r="BC309" s="410"/>
      <c r="BD309" s="410"/>
      <c r="BE309" s="411"/>
      <c r="BF309" s="412"/>
      <c r="BG309" s="413"/>
      <c r="BH309" s="413"/>
      <c r="BI309" s="413"/>
      <c r="BJ309" s="413"/>
      <c r="BK309" s="413" t="str">
        <f t="shared" si="20"/>
        <v/>
      </c>
    </row>
    <row r="310" spans="1:63" ht="23" x14ac:dyDescent="0.25">
      <c r="A310" s="217" t="str" cm="1">
        <f t="array" ref="A310">IFERROR(INDEX(_xlfn.ANCHORARRAY($R$6),ROW()-5,1),"")</f>
        <v/>
      </c>
      <c r="B310" s="289" t="str" cm="1">
        <f t="array" ref="B310">IFERROR(INDEX(_xlfn.ANCHORARRAY($R$6),ROW()-5,2),"")</f>
        <v/>
      </c>
      <c r="C310" s="218" t="str">
        <f>IF($A310="","",IF($K310="DIESEL",SUMIFS(Table1[Quantity],Table1[Customer],$P$3,Table1[Date],$A310,Table1[Bill No.],$B310),IF($K310="PETROL",SUMIFS(Table14[Quantity],Table14[Customer],$P$3,Table14[Date],$A310,Table14[Bill No.],$B310),IF($K310="XtraGreen",SUMIFS(Table146[Quantity],Table146[Company],$P$3,Table146[Date],$A310,Table146[Bill No.],$B310),""))))</f>
        <v/>
      </c>
      <c r="D310" s="223" t="str">
        <f>IF($A310="","",IF($K310="DIESEL",AVERAGEIFS(Table1[RSP],Table1[Customer],$P$3,Table1[Date],$A310,Table1[Bill No.],$B310),IF($K310="PETROL",AVERAGEIFS(Table14[RSP],Table14[Customer],$P$3,Table14[Date],$A310,Table14[Bill No.],$B310),IF($K310="XtraGreen",AVERAGEIFS(Table146[RSP],Table146[Company],$P$3,Table146[Date],$A310,Table146[Bill No.],$B310),IFERROR($E310/$C310,"")))))</f>
        <v/>
      </c>
      <c r="E310" s="330" t="str">
        <f>IF($A310="","",IF($K310="DIESEL",SUMIFS(Table1[Amount],Table1[Customer],$P$3,Table1[Date],$A310,Table1[Bill No.],$B310),IF($K310="PETROL",SUMIFS(Table14[Amount],Table14[Customer],$P$3,Table14[Date],$A310,Table14[Bill No.],$B310),IF($K310="XtraGreen",SUMIFS(Table146[Amount],Table146[Company],$P$3,Table146[Date],$A310,Table146[Bill No.],$B310),SUMIFS('Other Sale'!$D:$D,'Other Sale'!$E:$E,$P$3,'Other Sale'!$C:$C,$K310,'Other Sale'!$A:$A,$A310)))))</f>
        <v/>
      </c>
      <c r="F310" s="330" t="str" cm="1">
        <f t="array" ref="F310">IF($A310="","",IF($K310="Payment",IFERROR(INDEX(_xlfn._xlws.FILTER(MasterPaid[Amount Paid],(MasterPaid[Customer]=$P$3)*(MasterPaid[Date]=$A310)),COUNTIFS($A$6:$A310,$A310,$K$6:$K310,"Payment")),0),0))</f>
        <v/>
      </c>
      <c r="G310" s="331" t="s">
        <v>13</v>
      </c>
      <c r="H310" s="331"/>
      <c r="I310" s="330" t="str">
        <f t="shared" si="21"/>
        <v/>
      </c>
      <c r="J310" s="275"/>
      <c r="K310" s="289" t="str" cm="1">
        <f t="array" ref="K310">IFERROR(INDEX(_xlfn.ANCHORARRAY($R$6),ROW()-5,3),"")</f>
        <v/>
      </c>
      <c r="L310" s="430" t="str" cm="1">
        <f t="array" ref="L310">IF(OR($A310="",$J310="",$K310&lt;&gt;"DIESEL"),"",_xlfn.LET(_xlpm.qty,N($C310),_xlpm.pos,IF($J310="UNIT 1",$V$5:$V$54,$AC$5:$AC$54),_xlpm.alo,IF($J310="UNIT 1",$W$5:$W$54,$AD$5:$AD$54),_xlpm.usd,SUMIFS($C$6:$C309,$L$6:$L309,_xlpm.pos&amp;"",$J$6:$J309,$J310),_xlpm.bal,N(_xlpm.alo)-_xlpm.usd,IFERROR(INDEX(_xlfn._xlws.FILTER(_xlpm.pos,(_xlpm.pos&lt;&gt;"")*(_xlpm.qty&gt;0)*(_xlpm.bal&gt;=_xlpm.qty)),1),"")))</f>
        <v/>
      </c>
      <c r="M310" s="290"/>
      <c r="AQ310" s="409"/>
      <c r="AR310" s="410"/>
      <c r="AS310" s="410"/>
      <c r="AT310" s="411"/>
      <c r="AU310" s="412"/>
      <c r="AV310" s="413"/>
      <c r="AW310" s="413"/>
      <c r="AX310" s="413"/>
      <c r="AY310" s="413"/>
      <c r="AZ310" s="413" t="str">
        <f t="shared" si="19"/>
        <v/>
      </c>
      <c r="BB310" s="409"/>
      <c r="BC310" s="410"/>
      <c r="BD310" s="410"/>
      <c r="BE310" s="411"/>
      <c r="BF310" s="412"/>
      <c r="BG310" s="413"/>
      <c r="BH310" s="413"/>
      <c r="BI310" s="413"/>
      <c r="BJ310" s="413"/>
      <c r="BK310" s="413" t="str">
        <f t="shared" si="20"/>
        <v/>
      </c>
    </row>
    <row r="311" spans="1:63" ht="23" x14ac:dyDescent="0.25">
      <c r="A311" s="217" t="str" cm="1">
        <f t="array" ref="A311">IFERROR(INDEX(_xlfn.ANCHORARRAY($R$6),ROW()-5,1),"")</f>
        <v/>
      </c>
      <c r="B311" s="289" t="str" cm="1">
        <f t="array" ref="B311">IFERROR(INDEX(_xlfn.ANCHORARRAY($R$6),ROW()-5,2),"")</f>
        <v/>
      </c>
      <c r="C311" s="218" t="str">
        <f>IF($A311="","",IF($K311="DIESEL",SUMIFS(Table1[Quantity],Table1[Customer],$P$3,Table1[Date],$A311,Table1[Bill No.],$B311),IF($K311="PETROL",SUMIFS(Table14[Quantity],Table14[Customer],$P$3,Table14[Date],$A311,Table14[Bill No.],$B311),IF($K311="XtraGreen",SUMIFS(Table146[Quantity],Table146[Company],$P$3,Table146[Date],$A311,Table146[Bill No.],$B311),""))))</f>
        <v/>
      </c>
      <c r="D311" s="223" t="str">
        <f>IF($A311="","",IF($K311="DIESEL",AVERAGEIFS(Table1[RSP],Table1[Customer],$P$3,Table1[Date],$A311,Table1[Bill No.],$B311),IF($K311="PETROL",AVERAGEIFS(Table14[RSP],Table14[Customer],$P$3,Table14[Date],$A311,Table14[Bill No.],$B311),IF($K311="XtraGreen",AVERAGEIFS(Table146[RSP],Table146[Company],$P$3,Table146[Date],$A311,Table146[Bill No.],$B311),IFERROR($E311/$C311,"")))))</f>
        <v/>
      </c>
      <c r="E311" s="330" t="str">
        <f>IF($A311="","",IF($K311="DIESEL",SUMIFS(Table1[Amount],Table1[Customer],$P$3,Table1[Date],$A311,Table1[Bill No.],$B311),IF($K311="PETROL",SUMIFS(Table14[Amount],Table14[Customer],$P$3,Table14[Date],$A311,Table14[Bill No.],$B311),IF($K311="XtraGreen",SUMIFS(Table146[Amount],Table146[Company],$P$3,Table146[Date],$A311,Table146[Bill No.],$B311),SUMIFS('Other Sale'!$D:$D,'Other Sale'!$E:$E,$P$3,'Other Sale'!$C:$C,$K311,'Other Sale'!$A:$A,$A311)))))</f>
        <v/>
      </c>
      <c r="F311" s="330" t="str" cm="1">
        <f t="array" ref="F311">IF($A311="","",IF($K311="Payment",IFERROR(INDEX(_xlfn._xlws.FILTER(MasterPaid[Amount Paid],(MasterPaid[Customer]=$P$3)*(MasterPaid[Date]=$A311)),COUNTIFS($A$6:$A311,$A311,$K$6:$K311,"Payment")),0),0))</f>
        <v/>
      </c>
      <c r="G311" s="331" t="s">
        <v>13</v>
      </c>
      <c r="H311" s="331"/>
      <c r="I311" s="330" t="str">
        <f t="shared" si="21"/>
        <v/>
      </c>
      <c r="J311" s="275"/>
      <c r="K311" s="289" t="str" cm="1">
        <f t="array" ref="K311">IFERROR(INDEX(_xlfn.ANCHORARRAY($R$6),ROW()-5,3),"")</f>
        <v/>
      </c>
      <c r="L311" s="430" t="str" cm="1">
        <f t="array" ref="L311">IF(OR($A311="",$J311="",$K311&lt;&gt;"DIESEL"),"",_xlfn.LET(_xlpm.qty,N($C311),_xlpm.pos,IF($J311="UNIT 1",$V$5:$V$54,$AC$5:$AC$54),_xlpm.alo,IF($J311="UNIT 1",$W$5:$W$54,$AD$5:$AD$54),_xlpm.usd,SUMIFS($C$6:$C310,$L$6:$L310,_xlpm.pos&amp;"",$J$6:$J310,$J311),_xlpm.bal,N(_xlpm.alo)-_xlpm.usd,IFERROR(INDEX(_xlfn._xlws.FILTER(_xlpm.pos,(_xlpm.pos&lt;&gt;"")*(_xlpm.qty&gt;0)*(_xlpm.bal&gt;=_xlpm.qty)),1),"")))</f>
        <v/>
      </c>
      <c r="M311" s="290"/>
      <c r="AQ311" s="409"/>
      <c r="AR311" s="410"/>
      <c r="AS311" s="410"/>
      <c r="AT311" s="411"/>
      <c r="AU311" s="412"/>
      <c r="AV311" s="413"/>
      <c r="AW311" s="413"/>
      <c r="AX311" s="413"/>
      <c r="AY311" s="413"/>
      <c r="AZ311" s="413" t="str">
        <f t="shared" si="19"/>
        <v/>
      </c>
      <c r="BB311" s="409"/>
      <c r="BC311" s="410"/>
      <c r="BD311" s="410"/>
      <c r="BE311" s="411"/>
      <c r="BF311" s="412"/>
      <c r="BG311" s="413"/>
      <c r="BH311" s="413"/>
      <c r="BI311" s="413"/>
      <c r="BJ311" s="413"/>
      <c r="BK311" s="413" t="str">
        <f t="shared" si="20"/>
        <v/>
      </c>
    </row>
    <row r="312" spans="1:63" ht="23" x14ac:dyDescent="0.25">
      <c r="A312" s="217" t="str" cm="1">
        <f t="array" ref="A312">IFERROR(INDEX(_xlfn.ANCHORARRAY($R$6),ROW()-5,1),"")</f>
        <v/>
      </c>
      <c r="B312" s="289" t="str" cm="1">
        <f t="array" ref="B312">IFERROR(INDEX(_xlfn.ANCHORARRAY($R$6),ROW()-5,2),"")</f>
        <v/>
      </c>
      <c r="C312" s="218" t="str">
        <f>IF($A312="","",IF($K312="DIESEL",SUMIFS(Table1[Quantity],Table1[Customer],$P$3,Table1[Date],$A312,Table1[Bill No.],$B312),IF($K312="PETROL",SUMIFS(Table14[Quantity],Table14[Customer],$P$3,Table14[Date],$A312,Table14[Bill No.],$B312),IF($K312="XtraGreen",SUMIFS(Table146[Quantity],Table146[Company],$P$3,Table146[Date],$A312,Table146[Bill No.],$B312),""))))</f>
        <v/>
      </c>
      <c r="D312" s="223" t="str">
        <f>IF($A312="","",IF($K312="DIESEL",AVERAGEIFS(Table1[RSP],Table1[Customer],$P$3,Table1[Date],$A312,Table1[Bill No.],$B312),IF($K312="PETROL",AVERAGEIFS(Table14[RSP],Table14[Customer],$P$3,Table14[Date],$A312,Table14[Bill No.],$B312),IF($K312="XtraGreen",AVERAGEIFS(Table146[RSP],Table146[Company],$P$3,Table146[Date],$A312,Table146[Bill No.],$B312),IFERROR($E312/$C312,"")))))</f>
        <v/>
      </c>
      <c r="E312" s="330" t="str">
        <f>IF($A312="","",IF($K312="DIESEL",SUMIFS(Table1[Amount],Table1[Customer],$P$3,Table1[Date],$A312,Table1[Bill No.],$B312),IF($K312="PETROL",SUMIFS(Table14[Amount],Table14[Customer],$P$3,Table14[Date],$A312,Table14[Bill No.],$B312),IF($K312="XtraGreen",SUMIFS(Table146[Amount],Table146[Company],$P$3,Table146[Date],$A312,Table146[Bill No.],$B312),SUMIFS('Other Sale'!$D:$D,'Other Sale'!$E:$E,$P$3,'Other Sale'!$C:$C,$K312,'Other Sale'!$A:$A,$A312)))))</f>
        <v/>
      </c>
      <c r="F312" s="330" t="str" cm="1">
        <f t="array" ref="F312">IF($A312="","",IF($K312="Payment",IFERROR(INDEX(_xlfn._xlws.FILTER(MasterPaid[Amount Paid],(MasterPaid[Customer]=$P$3)*(MasterPaid[Date]=$A312)),COUNTIFS($A$6:$A312,$A312,$K$6:$K312,"Payment")),0),0))</f>
        <v/>
      </c>
      <c r="G312" s="331" t="s">
        <v>13</v>
      </c>
      <c r="H312" s="331"/>
      <c r="I312" s="330" t="str">
        <f t="shared" si="21"/>
        <v/>
      </c>
      <c r="J312" s="275"/>
      <c r="K312" s="289" t="str" cm="1">
        <f t="array" ref="K312">IFERROR(INDEX(_xlfn.ANCHORARRAY($R$6),ROW()-5,3),"")</f>
        <v/>
      </c>
      <c r="L312" s="430" t="str" cm="1">
        <f t="array" ref="L312">IF(OR($A312="",$J312="",$K312&lt;&gt;"DIESEL"),"",_xlfn.LET(_xlpm.qty,N($C312),_xlpm.pos,IF($J312="UNIT 1",$V$5:$V$54,$AC$5:$AC$54),_xlpm.alo,IF($J312="UNIT 1",$W$5:$W$54,$AD$5:$AD$54),_xlpm.usd,SUMIFS($C$6:$C311,$L$6:$L311,_xlpm.pos&amp;"",$J$6:$J311,$J312),_xlpm.bal,N(_xlpm.alo)-_xlpm.usd,IFERROR(INDEX(_xlfn._xlws.FILTER(_xlpm.pos,(_xlpm.pos&lt;&gt;"")*(_xlpm.qty&gt;0)*(_xlpm.bal&gt;=_xlpm.qty)),1),"")))</f>
        <v/>
      </c>
      <c r="M312" s="290"/>
      <c r="AQ312" s="409"/>
      <c r="AR312" s="410"/>
      <c r="AS312" s="410"/>
      <c r="AT312" s="411"/>
      <c r="AU312" s="412"/>
      <c r="AV312" s="413"/>
      <c r="AW312" s="413"/>
      <c r="AX312" s="413"/>
      <c r="AY312" s="413"/>
      <c r="AZ312" s="413" t="str">
        <f t="shared" si="19"/>
        <v/>
      </c>
      <c r="BB312" s="409"/>
      <c r="BC312" s="410"/>
      <c r="BD312" s="410"/>
      <c r="BE312" s="411"/>
      <c r="BF312" s="412"/>
      <c r="BG312" s="413"/>
      <c r="BH312" s="413"/>
      <c r="BI312" s="413"/>
      <c r="BJ312" s="413"/>
      <c r="BK312" s="413" t="str">
        <f t="shared" si="20"/>
        <v/>
      </c>
    </row>
    <row r="313" spans="1:63" ht="23" x14ac:dyDescent="0.25">
      <c r="A313" s="217" t="str" cm="1">
        <f t="array" ref="A313">IFERROR(INDEX(_xlfn.ANCHORARRAY($R$6),ROW()-5,1),"")</f>
        <v/>
      </c>
      <c r="B313" s="289" t="str" cm="1">
        <f t="array" ref="B313">IFERROR(INDEX(_xlfn.ANCHORARRAY($R$6),ROW()-5,2),"")</f>
        <v/>
      </c>
      <c r="C313" s="218" t="str">
        <f>IF($A313="","",IF($K313="DIESEL",SUMIFS(Table1[Quantity],Table1[Customer],$P$3,Table1[Date],$A313,Table1[Bill No.],$B313),IF($K313="PETROL",SUMIFS(Table14[Quantity],Table14[Customer],$P$3,Table14[Date],$A313,Table14[Bill No.],$B313),IF($K313="XtraGreen",SUMIFS(Table146[Quantity],Table146[Company],$P$3,Table146[Date],$A313,Table146[Bill No.],$B313),""))))</f>
        <v/>
      </c>
      <c r="D313" s="223" t="str">
        <f>IF($A313="","",IF($K313="DIESEL",AVERAGEIFS(Table1[RSP],Table1[Customer],$P$3,Table1[Date],$A313,Table1[Bill No.],$B313),IF($K313="PETROL",AVERAGEIFS(Table14[RSP],Table14[Customer],$P$3,Table14[Date],$A313,Table14[Bill No.],$B313),IF($K313="XtraGreen",AVERAGEIFS(Table146[RSP],Table146[Company],$P$3,Table146[Date],$A313,Table146[Bill No.],$B313),IFERROR($E313/$C313,"")))))</f>
        <v/>
      </c>
      <c r="E313" s="330" t="str">
        <f>IF($A313="","",IF($K313="DIESEL",SUMIFS(Table1[Amount],Table1[Customer],$P$3,Table1[Date],$A313,Table1[Bill No.],$B313),IF($K313="PETROL",SUMIFS(Table14[Amount],Table14[Customer],$P$3,Table14[Date],$A313,Table14[Bill No.],$B313),IF($K313="XtraGreen",SUMIFS(Table146[Amount],Table146[Company],$P$3,Table146[Date],$A313,Table146[Bill No.],$B313),SUMIFS('Other Sale'!$D:$D,'Other Sale'!$E:$E,$P$3,'Other Sale'!$C:$C,$K313,'Other Sale'!$A:$A,$A313)))))</f>
        <v/>
      </c>
      <c r="F313" s="330" t="str" cm="1">
        <f t="array" ref="F313">IF($A313="","",IF($K313="Payment",IFERROR(INDEX(_xlfn._xlws.FILTER(MasterPaid[Amount Paid],(MasterPaid[Customer]=$P$3)*(MasterPaid[Date]=$A313)),COUNTIFS($A$6:$A313,$A313,$K$6:$K313,"Payment")),0),0))</f>
        <v/>
      </c>
      <c r="G313" s="331" t="s">
        <v>13</v>
      </c>
      <c r="H313" s="331"/>
      <c r="I313" s="330" t="str">
        <f t="shared" si="21"/>
        <v/>
      </c>
      <c r="J313" s="275"/>
      <c r="K313" s="289" t="str" cm="1">
        <f t="array" ref="K313">IFERROR(INDEX(_xlfn.ANCHORARRAY($R$6),ROW()-5,3),"")</f>
        <v/>
      </c>
      <c r="L313" s="430" t="str" cm="1">
        <f t="array" ref="L313">IF(OR($A313="",$J313="",$K313&lt;&gt;"DIESEL"),"",_xlfn.LET(_xlpm.qty,N($C313),_xlpm.pos,IF($J313="UNIT 1",$V$5:$V$54,$AC$5:$AC$54),_xlpm.alo,IF($J313="UNIT 1",$W$5:$W$54,$AD$5:$AD$54),_xlpm.usd,SUMIFS($C$6:$C312,$L$6:$L312,_xlpm.pos&amp;"",$J$6:$J312,$J313),_xlpm.bal,N(_xlpm.alo)-_xlpm.usd,IFERROR(INDEX(_xlfn._xlws.FILTER(_xlpm.pos,(_xlpm.pos&lt;&gt;"")*(_xlpm.qty&gt;0)*(_xlpm.bal&gt;=_xlpm.qty)),1),"")))</f>
        <v/>
      </c>
      <c r="M313" s="290"/>
      <c r="AQ313" s="409"/>
      <c r="AR313" s="410"/>
      <c r="AS313" s="410"/>
      <c r="AT313" s="411"/>
      <c r="AU313" s="412"/>
      <c r="AV313" s="413"/>
      <c r="AW313" s="413"/>
      <c r="AX313" s="413"/>
      <c r="AY313" s="413"/>
      <c r="AZ313" s="413" t="str">
        <f t="shared" si="19"/>
        <v/>
      </c>
      <c r="BB313" s="409"/>
      <c r="BC313" s="410"/>
      <c r="BD313" s="410"/>
      <c r="BE313" s="411"/>
      <c r="BF313" s="412"/>
      <c r="BG313" s="413"/>
      <c r="BH313" s="413"/>
      <c r="BI313" s="413"/>
      <c r="BJ313" s="413"/>
      <c r="BK313" s="413" t="str">
        <f t="shared" si="20"/>
        <v/>
      </c>
    </row>
    <row r="314" spans="1:63" ht="23" x14ac:dyDescent="0.25">
      <c r="A314" s="217" t="str" cm="1">
        <f t="array" ref="A314">IFERROR(INDEX(_xlfn.ANCHORARRAY($R$6),ROW()-5,1),"")</f>
        <v/>
      </c>
      <c r="B314" s="289" t="str" cm="1">
        <f t="array" ref="B314">IFERROR(INDEX(_xlfn.ANCHORARRAY($R$6),ROW()-5,2),"")</f>
        <v/>
      </c>
      <c r="C314" s="218" t="str">
        <f>IF($A314="","",IF($K314="DIESEL",SUMIFS(Table1[Quantity],Table1[Customer],$P$3,Table1[Date],$A314,Table1[Bill No.],$B314),IF($K314="PETROL",SUMIFS(Table14[Quantity],Table14[Customer],$P$3,Table14[Date],$A314,Table14[Bill No.],$B314),IF($K314="XtraGreen",SUMIFS(Table146[Quantity],Table146[Company],$P$3,Table146[Date],$A314,Table146[Bill No.],$B314),""))))</f>
        <v/>
      </c>
      <c r="D314" s="223" t="str">
        <f>IF($A314="","",IF($K314="DIESEL",AVERAGEIFS(Table1[RSP],Table1[Customer],$P$3,Table1[Date],$A314,Table1[Bill No.],$B314),IF($K314="PETROL",AVERAGEIFS(Table14[RSP],Table14[Customer],$P$3,Table14[Date],$A314,Table14[Bill No.],$B314),IF($K314="XtraGreen",AVERAGEIFS(Table146[RSP],Table146[Company],$P$3,Table146[Date],$A314,Table146[Bill No.],$B314),IFERROR($E314/$C314,"")))))</f>
        <v/>
      </c>
      <c r="E314" s="330" t="str">
        <f>IF($A314="","",IF($K314="DIESEL",SUMIFS(Table1[Amount],Table1[Customer],$P$3,Table1[Date],$A314,Table1[Bill No.],$B314),IF($K314="PETROL",SUMIFS(Table14[Amount],Table14[Customer],$P$3,Table14[Date],$A314,Table14[Bill No.],$B314),IF($K314="XtraGreen",SUMIFS(Table146[Amount],Table146[Company],$P$3,Table146[Date],$A314,Table146[Bill No.],$B314),SUMIFS('Other Sale'!$D:$D,'Other Sale'!$E:$E,$P$3,'Other Sale'!$C:$C,$K314,'Other Sale'!$A:$A,$A314)))))</f>
        <v/>
      </c>
      <c r="F314" s="330" t="str" cm="1">
        <f t="array" ref="F314">IF($A314="","",IF($K314="Payment",IFERROR(INDEX(_xlfn._xlws.FILTER(MasterPaid[Amount Paid],(MasterPaid[Customer]=$P$3)*(MasterPaid[Date]=$A314)),COUNTIFS($A$6:$A314,$A314,$K$6:$K314,"Payment")),0),0))</f>
        <v/>
      </c>
      <c r="G314" s="331" t="s">
        <v>13</v>
      </c>
      <c r="H314" s="331"/>
      <c r="I314" s="330" t="str">
        <f t="shared" si="21"/>
        <v/>
      </c>
      <c r="J314" s="275"/>
      <c r="K314" s="289" t="str" cm="1">
        <f t="array" ref="K314">IFERROR(INDEX(_xlfn.ANCHORARRAY($R$6),ROW()-5,3),"")</f>
        <v/>
      </c>
      <c r="L314" s="430" t="str" cm="1">
        <f t="array" ref="L314">IF(OR($A314="",$J314="",$K314&lt;&gt;"DIESEL"),"",_xlfn.LET(_xlpm.qty,N($C314),_xlpm.pos,IF($J314="UNIT 1",$V$5:$V$54,$AC$5:$AC$54),_xlpm.alo,IF($J314="UNIT 1",$W$5:$W$54,$AD$5:$AD$54),_xlpm.usd,SUMIFS($C$6:$C313,$L$6:$L313,_xlpm.pos&amp;"",$J$6:$J313,$J314),_xlpm.bal,N(_xlpm.alo)-_xlpm.usd,IFERROR(INDEX(_xlfn._xlws.FILTER(_xlpm.pos,(_xlpm.pos&lt;&gt;"")*(_xlpm.qty&gt;0)*(_xlpm.bal&gt;=_xlpm.qty)),1),"")))</f>
        <v/>
      </c>
      <c r="M314" s="290"/>
      <c r="AQ314" s="409"/>
      <c r="AR314" s="410"/>
      <c r="AS314" s="410"/>
      <c r="AT314" s="411"/>
      <c r="AU314" s="412"/>
      <c r="AV314" s="413"/>
      <c r="AW314" s="413"/>
      <c r="AX314" s="413"/>
      <c r="AY314" s="413"/>
      <c r="AZ314" s="413" t="str">
        <f t="shared" si="19"/>
        <v/>
      </c>
      <c r="BB314" s="409"/>
      <c r="BC314" s="410"/>
      <c r="BD314" s="410"/>
      <c r="BE314" s="411"/>
      <c r="BF314" s="412"/>
      <c r="BG314" s="413"/>
      <c r="BH314" s="413"/>
      <c r="BI314" s="413"/>
      <c r="BJ314" s="413"/>
      <c r="BK314" s="413" t="str">
        <f t="shared" si="20"/>
        <v/>
      </c>
    </row>
    <row r="315" spans="1:63" ht="23" x14ac:dyDescent="0.25">
      <c r="A315" s="217" t="str" cm="1">
        <f t="array" ref="A315">IFERROR(INDEX(_xlfn.ANCHORARRAY($R$6),ROW()-5,1),"")</f>
        <v/>
      </c>
      <c r="B315" s="289" t="str" cm="1">
        <f t="array" ref="B315">IFERROR(INDEX(_xlfn.ANCHORARRAY($R$6),ROW()-5,2),"")</f>
        <v/>
      </c>
      <c r="C315" s="218" t="str">
        <f>IF($A315="","",IF($K315="DIESEL",SUMIFS(Table1[Quantity],Table1[Customer],$P$3,Table1[Date],$A315,Table1[Bill No.],$B315),IF($K315="PETROL",SUMIFS(Table14[Quantity],Table14[Customer],$P$3,Table14[Date],$A315,Table14[Bill No.],$B315),IF($K315="XtraGreen",SUMIFS(Table146[Quantity],Table146[Company],$P$3,Table146[Date],$A315,Table146[Bill No.],$B315),""))))</f>
        <v/>
      </c>
      <c r="D315" s="223" t="str">
        <f>IF($A315="","",IF($K315="DIESEL",AVERAGEIFS(Table1[RSP],Table1[Customer],$P$3,Table1[Date],$A315,Table1[Bill No.],$B315),IF($K315="PETROL",AVERAGEIFS(Table14[RSP],Table14[Customer],$P$3,Table14[Date],$A315,Table14[Bill No.],$B315),IF($K315="XtraGreen",AVERAGEIFS(Table146[RSP],Table146[Company],$P$3,Table146[Date],$A315,Table146[Bill No.],$B315),IFERROR($E315/$C315,"")))))</f>
        <v/>
      </c>
      <c r="E315" s="330" t="str">
        <f>IF($A315="","",IF($K315="DIESEL",SUMIFS(Table1[Amount],Table1[Customer],$P$3,Table1[Date],$A315,Table1[Bill No.],$B315),IF($K315="PETROL",SUMIFS(Table14[Amount],Table14[Customer],$P$3,Table14[Date],$A315,Table14[Bill No.],$B315),IF($K315="XtraGreen",SUMIFS(Table146[Amount],Table146[Company],$P$3,Table146[Date],$A315,Table146[Bill No.],$B315),SUMIFS('Other Sale'!$D:$D,'Other Sale'!$E:$E,$P$3,'Other Sale'!$C:$C,$K315,'Other Sale'!$A:$A,$A315)))))</f>
        <v/>
      </c>
      <c r="F315" s="330" t="str" cm="1">
        <f t="array" ref="F315">IF($A315="","",IF($K315="Payment",IFERROR(INDEX(_xlfn._xlws.FILTER(MasterPaid[Amount Paid],(MasterPaid[Customer]=$P$3)*(MasterPaid[Date]=$A315)),COUNTIFS($A$6:$A315,$A315,$K$6:$K315,"Payment")),0),0))</f>
        <v/>
      </c>
      <c r="G315" s="331" t="s">
        <v>13</v>
      </c>
      <c r="H315" s="331"/>
      <c r="I315" s="330" t="str">
        <f t="shared" si="21"/>
        <v/>
      </c>
      <c r="J315" s="275"/>
      <c r="K315" s="289" t="str" cm="1">
        <f t="array" ref="K315">IFERROR(INDEX(_xlfn.ANCHORARRAY($R$6),ROW()-5,3),"")</f>
        <v/>
      </c>
      <c r="L315" s="430" t="str" cm="1">
        <f t="array" ref="L315">IF(OR($A315="",$J315="",$K315&lt;&gt;"DIESEL"),"",_xlfn.LET(_xlpm.qty,N($C315),_xlpm.pos,IF($J315="UNIT 1",$V$5:$V$54,$AC$5:$AC$54),_xlpm.alo,IF($J315="UNIT 1",$W$5:$W$54,$AD$5:$AD$54),_xlpm.usd,SUMIFS($C$6:$C314,$L$6:$L314,_xlpm.pos&amp;"",$J$6:$J314,$J315),_xlpm.bal,N(_xlpm.alo)-_xlpm.usd,IFERROR(INDEX(_xlfn._xlws.FILTER(_xlpm.pos,(_xlpm.pos&lt;&gt;"")*(_xlpm.qty&gt;0)*(_xlpm.bal&gt;=_xlpm.qty)),1),"")))</f>
        <v/>
      </c>
      <c r="M315" s="290"/>
      <c r="AQ315" s="409"/>
      <c r="AR315" s="410"/>
      <c r="AS315" s="410"/>
      <c r="AT315" s="411"/>
      <c r="AU315" s="412"/>
      <c r="AV315" s="413"/>
      <c r="AW315" s="413"/>
      <c r="AX315" s="413"/>
      <c r="AY315" s="413"/>
      <c r="AZ315" s="413" t="str">
        <f t="shared" si="19"/>
        <v/>
      </c>
      <c r="BB315" s="409"/>
      <c r="BC315" s="410"/>
      <c r="BD315" s="410"/>
      <c r="BE315" s="411"/>
      <c r="BF315" s="412"/>
      <c r="BG315" s="413"/>
      <c r="BH315" s="413"/>
      <c r="BI315" s="413"/>
      <c r="BJ315" s="413"/>
      <c r="BK315" s="413" t="str">
        <f t="shared" si="20"/>
        <v/>
      </c>
    </row>
    <row r="316" spans="1:63" ht="23" x14ac:dyDescent="0.25">
      <c r="A316" s="217" t="str" cm="1">
        <f t="array" ref="A316">IFERROR(INDEX(_xlfn.ANCHORARRAY($R$6),ROW()-5,1),"")</f>
        <v/>
      </c>
      <c r="B316" s="289" t="str" cm="1">
        <f t="array" ref="B316">IFERROR(INDEX(_xlfn.ANCHORARRAY($R$6),ROW()-5,2),"")</f>
        <v/>
      </c>
      <c r="C316" s="218" t="str">
        <f>IF($A316="","",IF($K316="DIESEL",SUMIFS(Table1[Quantity],Table1[Customer],$P$3,Table1[Date],$A316,Table1[Bill No.],$B316),IF($K316="PETROL",SUMIFS(Table14[Quantity],Table14[Customer],$P$3,Table14[Date],$A316,Table14[Bill No.],$B316),IF($K316="XtraGreen",SUMIFS(Table146[Quantity],Table146[Company],$P$3,Table146[Date],$A316,Table146[Bill No.],$B316),""))))</f>
        <v/>
      </c>
      <c r="D316" s="223" t="str">
        <f>IF($A316="","",IF($K316="DIESEL",AVERAGEIFS(Table1[RSP],Table1[Customer],$P$3,Table1[Date],$A316,Table1[Bill No.],$B316),IF($K316="PETROL",AVERAGEIFS(Table14[RSP],Table14[Customer],$P$3,Table14[Date],$A316,Table14[Bill No.],$B316),IF($K316="XtraGreen",AVERAGEIFS(Table146[RSP],Table146[Company],$P$3,Table146[Date],$A316,Table146[Bill No.],$B316),IFERROR($E316/$C316,"")))))</f>
        <v/>
      </c>
      <c r="E316" s="330" t="str">
        <f>IF($A316="","",IF($K316="DIESEL",SUMIFS(Table1[Amount],Table1[Customer],$P$3,Table1[Date],$A316,Table1[Bill No.],$B316),IF($K316="PETROL",SUMIFS(Table14[Amount],Table14[Customer],$P$3,Table14[Date],$A316,Table14[Bill No.],$B316),IF($K316="XtraGreen",SUMIFS(Table146[Amount],Table146[Company],$P$3,Table146[Date],$A316,Table146[Bill No.],$B316),SUMIFS('Other Sale'!$D:$D,'Other Sale'!$E:$E,$P$3,'Other Sale'!$C:$C,$K316,'Other Sale'!$A:$A,$A316)))))</f>
        <v/>
      </c>
      <c r="F316" s="330" t="str" cm="1">
        <f t="array" ref="F316">IF($A316="","",IF($K316="Payment",IFERROR(INDEX(_xlfn._xlws.FILTER(MasterPaid[Amount Paid],(MasterPaid[Customer]=$P$3)*(MasterPaid[Date]=$A316)),COUNTIFS($A$6:$A316,$A316,$K$6:$K316,"Payment")),0),0))</f>
        <v/>
      </c>
      <c r="G316" s="331" t="s">
        <v>13</v>
      </c>
      <c r="H316" s="331"/>
      <c r="I316" s="330" t="str">
        <f t="shared" si="21"/>
        <v/>
      </c>
      <c r="J316" s="275"/>
      <c r="K316" s="289" t="str" cm="1">
        <f t="array" ref="K316">IFERROR(INDEX(_xlfn.ANCHORARRAY($R$6),ROW()-5,3),"")</f>
        <v/>
      </c>
      <c r="L316" s="430" t="str" cm="1">
        <f t="array" ref="L316">IF(OR($A316="",$J316="",$K316&lt;&gt;"DIESEL"),"",_xlfn.LET(_xlpm.qty,N($C316),_xlpm.pos,IF($J316="UNIT 1",$V$5:$V$54,$AC$5:$AC$54),_xlpm.alo,IF($J316="UNIT 1",$W$5:$W$54,$AD$5:$AD$54),_xlpm.usd,SUMIFS($C$6:$C315,$L$6:$L315,_xlpm.pos&amp;"",$J$6:$J315,$J316),_xlpm.bal,N(_xlpm.alo)-_xlpm.usd,IFERROR(INDEX(_xlfn._xlws.FILTER(_xlpm.pos,(_xlpm.pos&lt;&gt;"")*(_xlpm.qty&gt;0)*(_xlpm.bal&gt;=_xlpm.qty)),1),"")))</f>
        <v/>
      </c>
      <c r="M316" s="290"/>
      <c r="AQ316" s="409"/>
      <c r="AR316" s="410"/>
      <c r="AS316" s="410"/>
      <c r="AT316" s="411"/>
      <c r="AU316" s="412"/>
      <c r="AV316" s="413"/>
      <c r="AW316" s="413"/>
      <c r="AX316" s="413"/>
      <c r="AY316" s="413"/>
      <c r="AZ316" s="413" t="str">
        <f t="shared" si="19"/>
        <v/>
      </c>
      <c r="BB316" s="409"/>
      <c r="BC316" s="410"/>
      <c r="BD316" s="410"/>
      <c r="BE316" s="411"/>
      <c r="BF316" s="412"/>
      <c r="BG316" s="413"/>
      <c r="BH316" s="413"/>
      <c r="BI316" s="413"/>
      <c r="BJ316" s="413"/>
      <c r="BK316" s="413" t="str">
        <f t="shared" si="20"/>
        <v/>
      </c>
    </row>
    <row r="317" spans="1:63" ht="23" x14ac:dyDescent="0.25">
      <c r="A317" s="217" t="str" cm="1">
        <f t="array" ref="A317">IFERROR(INDEX(_xlfn.ANCHORARRAY($R$6),ROW()-5,1),"")</f>
        <v/>
      </c>
      <c r="B317" s="289" t="str" cm="1">
        <f t="array" ref="B317">IFERROR(INDEX(_xlfn.ANCHORARRAY($R$6),ROW()-5,2),"")</f>
        <v/>
      </c>
      <c r="C317" s="218" t="str">
        <f>IF($A317="","",IF($K317="DIESEL",SUMIFS(Table1[Quantity],Table1[Customer],$P$3,Table1[Date],$A317,Table1[Bill No.],$B317),IF($K317="PETROL",SUMIFS(Table14[Quantity],Table14[Customer],$P$3,Table14[Date],$A317,Table14[Bill No.],$B317),IF($K317="XtraGreen",SUMIFS(Table146[Quantity],Table146[Company],$P$3,Table146[Date],$A317,Table146[Bill No.],$B317),""))))</f>
        <v/>
      </c>
      <c r="D317" s="223" t="str">
        <f>IF($A317="","",IF($K317="DIESEL",AVERAGEIFS(Table1[RSP],Table1[Customer],$P$3,Table1[Date],$A317,Table1[Bill No.],$B317),IF($K317="PETROL",AVERAGEIFS(Table14[RSP],Table14[Customer],$P$3,Table14[Date],$A317,Table14[Bill No.],$B317),IF($K317="XtraGreen",AVERAGEIFS(Table146[RSP],Table146[Company],$P$3,Table146[Date],$A317,Table146[Bill No.],$B317),IFERROR($E317/$C317,"")))))</f>
        <v/>
      </c>
      <c r="E317" s="330" t="str">
        <f>IF($A317="","",IF($K317="DIESEL",SUMIFS(Table1[Amount],Table1[Customer],$P$3,Table1[Date],$A317,Table1[Bill No.],$B317),IF($K317="PETROL",SUMIFS(Table14[Amount],Table14[Customer],$P$3,Table14[Date],$A317,Table14[Bill No.],$B317),IF($K317="XtraGreen",SUMIFS(Table146[Amount],Table146[Company],$P$3,Table146[Date],$A317,Table146[Bill No.],$B317),SUMIFS('Other Sale'!$D:$D,'Other Sale'!$E:$E,$P$3,'Other Sale'!$C:$C,$K317,'Other Sale'!$A:$A,$A317)))))</f>
        <v/>
      </c>
      <c r="F317" s="330" t="str" cm="1">
        <f t="array" ref="F317">IF($A317="","",IF($K317="Payment",IFERROR(INDEX(_xlfn._xlws.FILTER(MasterPaid[Amount Paid],(MasterPaid[Customer]=$P$3)*(MasterPaid[Date]=$A317)),COUNTIFS($A$6:$A317,$A317,$K$6:$K317,"Payment")),0),0))</f>
        <v/>
      </c>
      <c r="G317" s="331" t="s">
        <v>13</v>
      </c>
      <c r="H317" s="331"/>
      <c r="I317" s="330" t="str">
        <f t="shared" si="21"/>
        <v/>
      </c>
      <c r="J317" s="275"/>
      <c r="K317" s="289" t="str" cm="1">
        <f t="array" ref="K317">IFERROR(INDEX(_xlfn.ANCHORARRAY($R$6),ROW()-5,3),"")</f>
        <v/>
      </c>
      <c r="L317" s="430" t="str" cm="1">
        <f t="array" ref="L317">IF(OR($A317="",$J317="",$K317&lt;&gt;"DIESEL"),"",_xlfn.LET(_xlpm.qty,N($C317),_xlpm.pos,IF($J317="UNIT 1",$V$5:$V$54,$AC$5:$AC$54),_xlpm.alo,IF($J317="UNIT 1",$W$5:$W$54,$AD$5:$AD$54),_xlpm.usd,SUMIFS($C$6:$C316,$L$6:$L316,_xlpm.pos&amp;"",$J$6:$J316,$J317),_xlpm.bal,N(_xlpm.alo)-_xlpm.usd,IFERROR(INDEX(_xlfn._xlws.FILTER(_xlpm.pos,(_xlpm.pos&lt;&gt;"")*(_xlpm.qty&gt;0)*(_xlpm.bal&gt;=_xlpm.qty)),1),"")))</f>
        <v/>
      </c>
      <c r="M317" s="290"/>
      <c r="AQ317" s="409"/>
      <c r="AR317" s="410"/>
      <c r="AS317" s="410"/>
      <c r="AT317" s="411"/>
      <c r="AU317" s="412"/>
      <c r="AV317" s="413"/>
      <c r="AW317" s="413"/>
      <c r="AX317" s="413"/>
      <c r="AY317" s="413"/>
      <c r="AZ317" s="413" t="str">
        <f t="shared" si="19"/>
        <v/>
      </c>
      <c r="BB317" s="409"/>
      <c r="BC317" s="410"/>
      <c r="BD317" s="410"/>
      <c r="BE317" s="411"/>
      <c r="BF317" s="412"/>
      <c r="BG317" s="413"/>
      <c r="BH317" s="413"/>
      <c r="BI317" s="413"/>
      <c r="BJ317" s="413"/>
      <c r="BK317" s="413" t="str">
        <f t="shared" si="20"/>
        <v/>
      </c>
    </row>
    <row r="318" spans="1:63" ht="23" x14ac:dyDescent="0.25">
      <c r="A318" s="217" t="str" cm="1">
        <f t="array" ref="A318">IFERROR(INDEX(_xlfn.ANCHORARRAY($R$6),ROW()-5,1),"")</f>
        <v/>
      </c>
      <c r="B318" s="289" t="str" cm="1">
        <f t="array" ref="B318">IFERROR(INDEX(_xlfn.ANCHORARRAY($R$6),ROW()-5,2),"")</f>
        <v/>
      </c>
      <c r="C318" s="218" t="str">
        <f>IF($A318="","",IF($K318="DIESEL",SUMIFS(Table1[Quantity],Table1[Customer],$P$3,Table1[Date],$A318,Table1[Bill No.],$B318),IF($K318="PETROL",SUMIFS(Table14[Quantity],Table14[Customer],$P$3,Table14[Date],$A318,Table14[Bill No.],$B318),IF($K318="XtraGreen",SUMIFS(Table146[Quantity],Table146[Company],$P$3,Table146[Date],$A318,Table146[Bill No.],$B318),""))))</f>
        <v/>
      </c>
      <c r="D318" s="223" t="str">
        <f>IF($A318="","",IF($K318="DIESEL",AVERAGEIFS(Table1[RSP],Table1[Customer],$P$3,Table1[Date],$A318,Table1[Bill No.],$B318),IF($K318="PETROL",AVERAGEIFS(Table14[RSP],Table14[Customer],$P$3,Table14[Date],$A318,Table14[Bill No.],$B318),IF($K318="XtraGreen",AVERAGEIFS(Table146[RSP],Table146[Company],$P$3,Table146[Date],$A318,Table146[Bill No.],$B318),IFERROR($E318/$C318,"")))))</f>
        <v/>
      </c>
      <c r="E318" s="330" t="str">
        <f>IF($A318="","",IF($K318="DIESEL",SUMIFS(Table1[Amount],Table1[Customer],$P$3,Table1[Date],$A318,Table1[Bill No.],$B318),IF($K318="PETROL",SUMIFS(Table14[Amount],Table14[Customer],$P$3,Table14[Date],$A318,Table14[Bill No.],$B318),IF($K318="XtraGreen",SUMIFS(Table146[Amount],Table146[Company],$P$3,Table146[Date],$A318,Table146[Bill No.],$B318),SUMIFS('Other Sale'!$D:$D,'Other Sale'!$E:$E,$P$3,'Other Sale'!$C:$C,$K318,'Other Sale'!$A:$A,$A318)))))</f>
        <v/>
      </c>
      <c r="F318" s="330" t="str" cm="1">
        <f t="array" ref="F318">IF($A318="","",IF($K318="Payment",IFERROR(INDEX(_xlfn._xlws.FILTER(MasterPaid[Amount Paid],(MasterPaid[Customer]=$P$3)*(MasterPaid[Date]=$A318)),COUNTIFS($A$6:$A318,$A318,$K$6:$K318,"Payment")),0),0))</f>
        <v/>
      </c>
      <c r="G318" s="331" t="s">
        <v>13</v>
      </c>
      <c r="H318" s="331"/>
      <c r="I318" s="330" t="str">
        <f t="shared" si="21"/>
        <v/>
      </c>
      <c r="J318" s="275"/>
      <c r="K318" s="289" t="str" cm="1">
        <f t="array" ref="K318">IFERROR(INDEX(_xlfn.ANCHORARRAY($R$6),ROW()-5,3),"")</f>
        <v/>
      </c>
      <c r="L318" s="430" t="str" cm="1">
        <f t="array" ref="L318">IF(OR($A318="",$J318="",$K318&lt;&gt;"DIESEL"),"",_xlfn.LET(_xlpm.qty,N($C318),_xlpm.pos,IF($J318="UNIT 1",$V$5:$V$54,$AC$5:$AC$54),_xlpm.alo,IF($J318="UNIT 1",$W$5:$W$54,$AD$5:$AD$54),_xlpm.usd,SUMIFS($C$6:$C317,$L$6:$L317,_xlpm.pos&amp;"",$J$6:$J317,$J318),_xlpm.bal,N(_xlpm.alo)-_xlpm.usd,IFERROR(INDEX(_xlfn._xlws.FILTER(_xlpm.pos,(_xlpm.pos&lt;&gt;"")*(_xlpm.qty&gt;0)*(_xlpm.bal&gt;=_xlpm.qty)),1),"")))</f>
        <v/>
      </c>
      <c r="M318" s="290"/>
      <c r="AQ318" s="409"/>
      <c r="AR318" s="410"/>
      <c r="AS318" s="410"/>
      <c r="AT318" s="411"/>
      <c r="AU318" s="412"/>
      <c r="AV318" s="413"/>
      <c r="AW318" s="413"/>
      <c r="AX318" s="413"/>
      <c r="AY318" s="413"/>
      <c r="AZ318" s="413" t="str">
        <f t="shared" si="19"/>
        <v/>
      </c>
      <c r="BB318" s="409"/>
      <c r="BC318" s="410"/>
      <c r="BD318" s="410"/>
      <c r="BE318" s="411"/>
      <c r="BF318" s="412"/>
      <c r="BG318" s="413"/>
      <c r="BH318" s="413"/>
      <c r="BI318" s="413"/>
      <c r="BJ318" s="413"/>
      <c r="BK318" s="413" t="str">
        <f t="shared" si="20"/>
        <v/>
      </c>
    </row>
    <row r="319" spans="1:63" ht="23" x14ac:dyDescent="0.25">
      <c r="A319" s="217" t="str" cm="1">
        <f t="array" ref="A319">IFERROR(INDEX(_xlfn.ANCHORARRAY($R$6),ROW()-5,1),"")</f>
        <v/>
      </c>
      <c r="B319" s="289" t="str" cm="1">
        <f t="array" ref="B319">IFERROR(INDEX(_xlfn.ANCHORARRAY($R$6),ROW()-5,2),"")</f>
        <v/>
      </c>
      <c r="C319" s="218" t="str">
        <f>IF($A319="","",IF($K319="DIESEL",SUMIFS(Table1[Quantity],Table1[Customer],$P$3,Table1[Date],$A319,Table1[Bill No.],$B319),IF($K319="PETROL",SUMIFS(Table14[Quantity],Table14[Customer],$P$3,Table14[Date],$A319,Table14[Bill No.],$B319),IF($K319="XtraGreen",SUMIFS(Table146[Quantity],Table146[Company],$P$3,Table146[Date],$A319,Table146[Bill No.],$B319),""))))</f>
        <v/>
      </c>
      <c r="D319" s="223" t="str">
        <f>IF($A319="","",IF($K319="DIESEL",AVERAGEIFS(Table1[RSP],Table1[Customer],$P$3,Table1[Date],$A319,Table1[Bill No.],$B319),IF($K319="PETROL",AVERAGEIFS(Table14[RSP],Table14[Customer],$P$3,Table14[Date],$A319,Table14[Bill No.],$B319),IF($K319="XtraGreen",AVERAGEIFS(Table146[RSP],Table146[Company],$P$3,Table146[Date],$A319,Table146[Bill No.],$B319),IFERROR($E319/$C319,"")))))</f>
        <v/>
      </c>
      <c r="E319" s="330" t="str">
        <f>IF($A319="","",IF($K319="DIESEL",SUMIFS(Table1[Amount],Table1[Customer],$P$3,Table1[Date],$A319,Table1[Bill No.],$B319),IF($K319="PETROL",SUMIFS(Table14[Amount],Table14[Customer],$P$3,Table14[Date],$A319,Table14[Bill No.],$B319),IF($K319="XtraGreen",SUMIFS(Table146[Amount],Table146[Company],$P$3,Table146[Date],$A319,Table146[Bill No.],$B319),SUMIFS('Other Sale'!$D:$D,'Other Sale'!$E:$E,$P$3,'Other Sale'!$C:$C,$K319,'Other Sale'!$A:$A,$A319)))))</f>
        <v/>
      </c>
      <c r="F319" s="330" t="str" cm="1">
        <f t="array" ref="F319">IF($A319="","",IF($K319="Payment",IFERROR(INDEX(_xlfn._xlws.FILTER(MasterPaid[Amount Paid],(MasterPaid[Customer]=$P$3)*(MasterPaid[Date]=$A319)),COUNTIFS($A$6:$A319,$A319,$K$6:$K319,"Payment")),0),0))</f>
        <v/>
      </c>
      <c r="G319" s="331" t="s">
        <v>13</v>
      </c>
      <c r="H319" s="331"/>
      <c r="I319" s="330" t="str">
        <f t="shared" si="21"/>
        <v/>
      </c>
      <c r="J319" s="275"/>
      <c r="K319" s="289" t="str" cm="1">
        <f t="array" ref="K319">IFERROR(INDEX(_xlfn.ANCHORARRAY($R$6),ROW()-5,3),"")</f>
        <v/>
      </c>
      <c r="L319" s="430" t="str" cm="1">
        <f t="array" ref="L319">IF(OR($A319="",$J319="",$K319&lt;&gt;"DIESEL"),"",_xlfn.LET(_xlpm.qty,N($C319),_xlpm.pos,IF($J319="UNIT 1",$V$5:$V$54,$AC$5:$AC$54),_xlpm.alo,IF($J319="UNIT 1",$W$5:$W$54,$AD$5:$AD$54),_xlpm.usd,SUMIFS($C$6:$C318,$L$6:$L318,_xlpm.pos&amp;"",$J$6:$J318,$J319),_xlpm.bal,N(_xlpm.alo)-_xlpm.usd,IFERROR(INDEX(_xlfn._xlws.FILTER(_xlpm.pos,(_xlpm.pos&lt;&gt;"")*(_xlpm.qty&gt;0)*(_xlpm.bal&gt;=_xlpm.qty)),1),"")))</f>
        <v/>
      </c>
      <c r="M319" s="290"/>
      <c r="AQ319" s="409"/>
      <c r="AR319" s="410"/>
      <c r="AS319" s="410"/>
      <c r="AT319" s="411"/>
      <c r="AU319" s="412"/>
      <c r="AV319" s="413"/>
      <c r="AW319" s="413"/>
      <c r="AX319" s="413"/>
      <c r="AY319" s="413"/>
      <c r="AZ319" s="413" t="str">
        <f t="shared" si="19"/>
        <v/>
      </c>
      <c r="BB319" s="409"/>
      <c r="BC319" s="410"/>
      <c r="BD319" s="410"/>
      <c r="BE319" s="411"/>
      <c r="BF319" s="412"/>
      <c r="BG319" s="413"/>
      <c r="BH319" s="413"/>
      <c r="BI319" s="413"/>
      <c r="BJ319" s="413"/>
      <c r="BK319" s="413" t="str">
        <f t="shared" si="20"/>
        <v/>
      </c>
    </row>
    <row r="320" spans="1:63" ht="23" x14ac:dyDescent="0.25">
      <c r="A320" s="217" t="str" cm="1">
        <f t="array" ref="A320">IFERROR(INDEX(_xlfn.ANCHORARRAY($R$6),ROW()-5,1),"")</f>
        <v/>
      </c>
      <c r="B320" s="289" t="str" cm="1">
        <f t="array" ref="B320">IFERROR(INDEX(_xlfn.ANCHORARRAY($R$6),ROW()-5,2),"")</f>
        <v/>
      </c>
      <c r="C320" s="218" t="str">
        <f>IF($A320="","",IF($K320="DIESEL",SUMIFS(Table1[Quantity],Table1[Customer],$P$3,Table1[Date],$A320,Table1[Bill No.],$B320),IF($K320="PETROL",SUMIFS(Table14[Quantity],Table14[Customer],$P$3,Table14[Date],$A320,Table14[Bill No.],$B320),IF($K320="XtraGreen",SUMIFS(Table146[Quantity],Table146[Company],$P$3,Table146[Date],$A320,Table146[Bill No.],$B320),""))))</f>
        <v/>
      </c>
      <c r="D320" s="223" t="str">
        <f>IF($A320="","",IF($K320="DIESEL",AVERAGEIFS(Table1[RSP],Table1[Customer],$P$3,Table1[Date],$A320,Table1[Bill No.],$B320),IF($K320="PETROL",AVERAGEIFS(Table14[RSP],Table14[Customer],$P$3,Table14[Date],$A320,Table14[Bill No.],$B320),IF($K320="XtraGreen",AVERAGEIFS(Table146[RSP],Table146[Company],$P$3,Table146[Date],$A320,Table146[Bill No.],$B320),IFERROR($E320/$C320,"")))))</f>
        <v/>
      </c>
      <c r="E320" s="330" t="str">
        <f>IF($A320="","",IF($K320="DIESEL",SUMIFS(Table1[Amount],Table1[Customer],$P$3,Table1[Date],$A320,Table1[Bill No.],$B320),IF($K320="PETROL",SUMIFS(Table14[Amount],Table14[Customer],$P$3,Table14[Date],$A320,Table14[Bill No.],$B320),IF($K320="XtraGreen",SUMIFS(Table146[Amount],Table146[Company],$P$3,Table146[Date],$A320,Table146[Bill No.],$B320),SUMIFS('Other Sale'!$D:$D,'Other Sale'!$E:$E,$P$3,'Other Sale'!$C:$C,$K320,'Other Sale'!$A:$A,$A320)))))</f>
        <v/>
      </c>
      <c r="F320" s="330" t="str" cm="1">
        <f t="array" ref="F320">IF($A320="","",IF($K320="Payment",IFERROR(INDEX(_xlfn._xlws.FILTER(MasterPaid[Amount Paid],(MasterPaid[Customer]=$P$3)*(MasterPaid[Date]=$A320)),COUNTIFS($A$6:$A320,$A320,$K$6:$K320,"Payment")),0),0))</f>
        <v/>
      </c>
      <c r="G320" s="331" t="s">
        <v>13</v>
      </c>
      <c r="H320" s="331"/>
      <c r="I320" s="330" t="str">
        <f t="shared" si="21"/>
        <v/>
      </c>
      <c r="J320" s="275"/>
      <c r="K320" s="289" t="str" cm="1">
        <f t="array" ref="K320">IFERROR(INDEX(_xlfn.ANCHORARRAY($R$6),ROW()-5,3),"")</f>
        <v/>
      </c>
      <c r="L320" s="430" t="str" cm="1">
        <f t="array" ref="L320">IF(OR($A320="",$J320="",$K320&lt;&gt;"DIESEL"),"",_xlfn.LET(_xlpm.qty,N($C320),_xlpm.pos,IF($J320="UNIT 1",$V$5:$V$54,$AC$5:$AC$54),_xlpm.alo,IF($J320="UNIT 1",$W$5:$W$54,$AD$5:$AD$54),_xlpm.usd,SUMIFS($C$6:$C319,$L$6:$L319,_xlpm.pos&amp;"",$J$6:$J319,$J320),_xlpm.bal,N(_xlpm.alo)-_xlpm.usd,IFERROR(INDEX(_xlfn._xlws.FILTER(_xlpm.pos,(_xlpm.pos&lt;&gt;"")*(_xlpm.qty&gt;0)*(_xlpm.bal&gt;=_xlpm.qty)),1),"")))</f>
        <v/>
      </c>
      <c r="M320" s="290"/>
      <c r="AQ320" s="409"/>
      <c r="AR320" s="410"/>
      <c r="AS320" s="410"/>
      <c r="AT320" s="411"/>
      <c r="AU320" s="412"/>
      <c r="AV320" s="413"/>
      <c r="AW320" s="413"/>
      <c r="AX320" s="413"/>
      <c r="AY320" s="413"/>
      <c r="AZ320" s="413" t="str">
        <f t="shared" si="19"/>
        <v/>
      </c>
      <c r="BB320" s="409"/>
      <c r="BC320" s="410"/>
      <c r="BD320" s="410"/>
      <c r="BE320" s="411"/>
      <c r="BF320" s="412"/>
      <c r="BG320" s="413"/>
      <c r="BH320" s="413"/>
      <c r="BI320" s="413"/>
      <c r="BJ320" s="413"/>
      <c r="BK320" s="413" t="str">
        <f t="shared" si="20"/>
        <v/>
      </c>
    </row>
    <row r="321" spans="1:63" ht="23" x14ac:dyDescent="0.25">
      <c r="A321" s="217" t="str" cm="1">
        <f t="array" ref="A321">IFERROR(INDEX(_xlfn.ANCHORARRAY($R$6),ROW()-5,1),"")</f>
        <v/>
      </c>
      <c r="B321" s="289" t="str" cm="1">
        <f t="array" ref="B321">IFERROR(INDEX(_xlfn.ANCHORARRAY($R$6),ROW()-5,2),"")</f>
        <v/>
      </c>
      <c r="C321" s="218" t="str">
        <f>IF($A321="","",IF($K321="DIESEL",SUMIFS(Table1[Quantity],Table1[Customer],$P$3,Table1[Date],$A321,Table1[Bill No.],$B321),IF($K321="PETROL",SUMIFS(Table14[Quantity],Table14[Customer],$P$3,Table14[Date],$A321,Table14[Bill No.],$B321),IF($K321="XtraGreen",SUMIFS(Table146[Quantity],Table146[Company],$P$3,Table146[Date],$A321,Table146[Bill No.],$B321),""))))</f>
        <v/>
      </c>
      <c r="D321" s="223" t="str">
        <f>IF($A321="","",IF($K321="DIESEL",AVERAGEIFS(Table1[RSP],Table1[Customer],$P$3,Table1[Date],$A321,Table1[Bill No.],$B321),IF($K321="PETROL",AVERAGEIFS(Table14[RSP],Table14[Customer],$P$3,Table14[Date],$A321,Table14[Bill No.],$B321),IF($K321="XtraGreen",AVERAGEIFS(Table146[RSP],Table146[Company],$P$3,Table146[Date],$A321,Table146[Bill No.],$B321),IFERROR($E321/$C321,"")))))</f>
        <v/>
      </c>
      <c r="E321" s="330" t="str">
        <f>IF($A321="","",IF($K321="DIESEL",SUMIFS(Table1[Amount],Table1[Customer],$P$3,Table1[Date],$A321,Table1[Bill No.],$B321),IF($K321="PETROL",SUMIFS(Table14[Amount],Table14[Customer],$P$3,Table14[Date],$A321,Table14[Bill No.],$B321),IF($K321="XtraGreen",SUMIFS(Table146[Amount],Table146[Company],$P$3,Table146[Date],$A321,Table146[Bill No.],$B321),SUMIFS('Other Sale'!$D:$D,'Other Sale'!$E:$E,$P$3,'Other Sale'!$C:$C,$K321,'Other Sale'!$A:$A,$A321)))))</f>
        <v/>
      </c>
      <c r="F321" s="330" t="str" cm="1">
        <f t="array" ref="F321">IF($A321="","",IF($K321="Payment",IFERROR(INDEX(_xlfn._xlws.FILTER(MasterPaid[Amount Paid],(MasterPaid[Customer]=$P$3)*(MasterPaid[Date]=$A321)),COUNTIFS($A$6:$A321,$A321,$K$6:$K321,"Payment")),0),0))</f>
        <v/>
      </c>
      <c r="G321" s="331" t="s">
        <v>13</v>
      </c>
      <c r="H321" s="331"/>
      <c r="I321" s="330" t="str">
        <f t="shared" si="21"/>
        <v/>
      </c>
      <c r="J321" s="275"/>
      <c r="K321" s="289" t="str" cm="1">
        <f t="array" ref="K321">IFERROR(INDEX(_xlfn.ANCHORARRAY($R$6),ROW()-5,3),"")</f>
        <v/>
      </c>
      <c r="L321" s="430" t="str" cm="1">
        <f t="array" ref="L321">IF(OR($A321="",$J321="",$K321&lt;&gt;"DIESEL"),"",_xlfn.LET(_xlpm.qty,N($C321),_xlpm.pos,IF($J321="UNIT 1",$V$5:$V$54,$AC$5:$AC$54),_xlpm.alo,IF($J321="UNIT 1",$W$5:$W$54,$AD$5:$AD$54),_xlpm.usd,SUMIFS($C$6:$C320,$L$6:$L320,_xlpm.pos&amp;"",$J$6:$J320,$J321),_xlpm.bal,N(_xlpm.alo)-_xlpm.usd,IFERROR(INDEX(_xlfn._xlws.FILTER(_xlpm.pos,(_xlpm.pos&lt;&gt;"")*(_xlpm.qty&gt;0)*(_xlpm.bal&gt;=_xlpm.qty)),1),"")))</f>
        <v/>
      </c>
      <c r="M321" s="290"/>
      <c r="AQ321" s="409"/>
      <c r="AR321" s="410"/>
      <c r="AS321" s="410"/>
      <c r="AT321" s="411"/>
      <c r="AU321" s="412"/>
      <c r="AV321" s="413"/>
      <c r="AW321" s="413"/>
      <c r="AX321" s="413"/>
      <c r="AY321" s="413"/>
      <c r="AZ321" s="413" t="str">
        <f t="shared" si="19"/>
        <v/>
      </c>
      <c r="BB321" s="409"/>
      <c r="BC321" s="410"/>
      <c r="BD321" s="410"/>
      <c r="BE321" s="411"/>
      <c r="BF321" s="412"/>
      <c r="BG321" s="413"/>
      <c r="BH321" s="413"/>
      <c r="BI321" s="413"/>
      <c r="BJ321" s="413"/>
      <c r="BK321" s="413" t="str">
        <f t="shared" si="20"/>
        <v/>
      </c>
    </row>
    <row r="322" spans="1:63" ht="23" x14ac:dyDescent="0.25">
      <c r="A322" s="217" t="str" cm="1">
        <f t="array" ref="A322">IFERROR(INDEX(_xlfn.ANCHORARRAY($R$6),ROW()-5,1),"")</f>
        <v/>
      </c>
      <c r="B322" s="289" t="str" cm="1">
        <f t="array" ref="B322">IFERROR(INDEX(_xlfn.ANCHORARRAY($R$6),ROW()-5,2),"")</f>
        <v/>
      </c>
      <c r="C322" s="218" t="str">
        <f>IF($A322="","",IF($K322="DIESEL",SUMIFS(Table1[Quantity],Table1[Customer],$P$3,Table1[Date],$A322,Table1[Bill No.],$B322),IF($K322="PETROL",SUMIFS(Table14[Quantity],Table14[Customer],$P$3,Table14[Date],$A322,Table14[Bill No.],$B322),IF($K322="XtraGreen",SUMIFS(Table146[Quantity],Table146[Company],$P$3,Table146[Date],$A322,Table146[Bill No.],$B322),""))))</f>
        <v/>
      </c>
      <c r="D322" s="223" t="str">
        <f>IF($A322="","",IF($K322="DIESEL",AVERAGEIFS(Table1[RSP],Table1[Customer],$P$3,Table1[Date],$A322,Table1[Bill No.],$B322),IF($K322="PETROL",AVERAGEIFS(Table14[RSP],Table14[Customer],$P$3,Table14[Date],$A322,Table14[Bill No.],$B322),IF($K322="XtraGreen",AVERAGEIFS(Table146[RSP],Table146[Company],$P$3,Table146[Date],$A322,Table146[Bill No.],$B322),IFERROR($E322/$C322,"")))))</f>
        <v/>
      </c>
      <c r="E322" s="330" t="str">
        <f>IF($A322="","",IF($K322="DIESEL",SUMIFS(Table1[Amount],Table1[Customer],$P$3,Table1[Date],$A322,Table1[Bill No.],$B322),IF($K322="PETROL",SUMIFS(Table14[Amount],Table14[Customer],$P$3,Table14[Date],$A322,Table14[Bill No.],$B322),IF($K322="XtraGreen",SUMIFS(Table146[Amount],Table146[Company],$P$3,Table146[Date],$A322,Table146[Bill No.],$B322),SUMIFS('Other Sale'!$D:$D,'Other Sale'!$E:$E,$P$3,'Other Sale'!$C:$C,$K322,'Other Sale'!$A:$A,$A322)))))</f>
        <v/>
      </c>
      <c r="F322" s="330" t="str" cm="1">
        <f t="array" ref="F322">IF($A322="","",IF($K322="Payment",IFERROR(INDEX(_xlfn._xlws.FILTER(MasterPaid[Amount Paid],(MasterPaid[Customer]=$P$3)*(MasterPaid[Date]=$A322)),COUNTIFS($A$6:$A322,$A322,$K$6:$K322,"Payment")),0),0))</f>
        <v/>
      </c>
      <c r="G322" s="331" t="s">
        <v>13</v>
      </c>
      <c r="H322" s="331"/>
      <c r="I322" s="330" t="str">
        <f t="shared" si="21"/>
        <v/>
      </c>
      <c r="J322" s="275"/>
      <c r="K322" s="289" t="str" cm="1">
        <f t="array" ref="K322">IFERROR(INDEX(_xlfn.ANCHORARRAY($R$6),ROW()-5,3),"")</f>
        <v/>
      </c>
      <c r="L322" s="430" t="str" cm="1">
        <f t="array" ref="L322">IF(OR($A322="",$J322="",$K322&lt;&gt;"DIESEL"),"",_xlfn.LET(_xlpm.qty,N($C322),_xlpm.pos,IF($J322="UNIT 1",$V$5:$V$54,$AC$5:$AC$54),_xlpm.alo,IF($J322="UNIT 1",$W$5:$W$54,$AD$5:$AD$54),_xlpm.usd,SUMIFS($C$6:$C321,$L$6:$L321,_xlpm.pos&amp;"",$J$6:$J321,$J322),_xlpm.bal,N(_xlpm.alo)-_xlpm.usd,IFERROR(INDEX(_xlfn._xlws.FILTER(_xlpm.pos,(_xlpm.pos&lt;&gt;"")*(_xlpm.qty&gt;0)*(_xlpm.bal&gt;=_xlpm.qty)),1),"")))</f>
        <v/>
      </c>
      <c r="M322" s="290"/>
      <c r="AQ322" s="409"/>
      <c r="AR322" s="410"/>
      <c r="AS322" s="410"/>
      <c r="AT322" s="411"/>
      <c r="AU322" s="412"/>
      <c r="AV322" s="413"/>
      <c r="AW322" s="413"/>
      <c r="AX322" s="413"/>
      <c r="AY322" s="413"/>
      <c r="AZ322" s="413" t="str">
        <f t="shared" si="19"/>
        <v/>
      </c>
      <c r="BB322" s="409"/>
      <c r="BC322" s="410"/>
      <c r="BD322" s="410"/>
      <c r="BE322" s="411"/>
      <c r="BF322" s="412"/>
      <c r="BG322" s="413"/>
      <c r="BH322" s="413"/>
      <c r="BI322" s="413"/>
      <c r="BJ322" s="413"/>
      <c r="BK322" s="413" t="str">
        <f t="shared" si="20"/>
        <v/>
      </c>
    </row>
    <row r="323" spans="1:63" ht="23" x14ac:dyDescent="0.25">
      <c r="A323" s="217" t="str" cm="1">
        <f t="array" ref="A323">IFERROR(INDEX(_xlfn.ANCHORARRAY($R$6),ROW()-5,1),"")</f>
        <v/>
      </c>
      <c r="B323" s="289" t="str" cm="1">
        <f t="array" ref="B323">IFERROR(INDEX(_xlfn.ANCHORARRAY($R$6),ROW()-5,2),"")</f>
        <v/>
      </c>
      <c r="C323" s="218" t="str">
        <f>IF($A323="","",IF($K323="DIESEL",SUMIFS(Table1[Quantity],Table1[Customer],$P$3,Table1[Date],$A323,Table1[Bill No.],$B323),IF($K323="PETROL",SUMIFS(Table14[Quantity],Table14[Customer],$P$3,Table14[Date],$A323,Table14[Bill No.],$B323),IF($K323="XtraGreen",SUMIFS(Table146[Quantity],Table146[Company],$P$3,Table146[Date],$A323,Table146[Bill No.],$B323),""))))</f>
        <v/>
      </c>
      <c r="D323" s="223" t="str">
        <f>IF($A323="","",IF($K323="DIESEL",AVERAGEIFS(Table1[RSP],Table1[Customer],$P$3,Table1[Date],$A323,Table1[Bill No.],$B323),IF($K323="PETROL",AVERAGEIFS(Table14[RSP],Table14[Customer],$P$3,Table14[Date],$A323,Table14[Bill No.],$B323),IF($K323="XtraGreen",AVERAGEIFS(Table146[RSP],Table146[Company],$P$3,Table146[Date],$A323,Table146[Bill No.],$B323),IFERROR($E323/$C323,"")))))</f>
        <v/>
      </c>
      <c r="E323" s="330" t="str">
        <f>IF($A323="","",IF($K323="DIESEL",SUMIFS(Table1[Amount],Table1[Customer],$P$3,Table1[Date],$A323,Table1[Bill No.],$B323),IF($K323="PETROL",SUMIFS(Table14[Amount],Table14[Customer],$P$3,Table14[Date],$A323,Table14[Bill No.],$B323),IF($K323="XtraGreen",SUMIFS(Table146[Amount],Table146[Company],$P$3,Table146[Date],$A323,Table146[Bill No.],$B323),SUMIFS('Other Sale'!$D:$D,'Other Sale'!$E:$E,$P$3,'Other Sale'!$C:$C,$K323,'Other Sale'!$A:$A,$A323)))))</f>
        <v/>
      </c>
      <c r="F323" s="330" t="str" cm="1">
        <f t="array" ref="F323">IF($A323="","",IF($K323="Payment",IFERROR(INDEX(_xlfn._xlws.FILTER(MasterPaid[Amount Paid],(MasterPaid[Customer]=$P$3)*(MasterPaid[Date]=$A323)),COUNTIFS($A$6:$A323,$A323,$K$6:$K323,"Payment")),0),0))</f>
        <v/>
      </c>
      <c r="G323" s="331" t="s">
        <v>13</v>
      </c>
      <c r="H323" s="331"/>
      <c r="I323" s="330" t="str">
        <f t="shared" si="21"/>
        <v/>
      </c>
      <c r="J323" s="275"/>
      <c r="K323" s="289" t="str" cm="1">
        <f t="array" ref="K323">IFERROR(INDEX(_xlfn.ANCHORARRAY($R$6),ROW()-5,3),"")</f>
        <v/>
      </c>
      <c r="L323" s="430" t="str" cm="1">
        <f t="array" ref="L323">IF(OR($A323="",$J323="",$K323&lt;&gt;"DIESEL"),"",_xlfn.LET(_xlpm.qty,N($C323),_xlpm.pos,IF($J323="UNIT 1",$V$5:$V$54,$AC$5:$AC$54),_xlpm.alo,IF($J323="UNIT 1",$W$5:$W$54,$AD$5:$AD$54),_xlpm.usd,SUMIFS($C$6:$C322,$L$6:$L322,_xlpm.pos&amp;"",$J$6:$J322,$J323),_xlpm.bal,N(_xlpm.alo)-_xlpm.usd,IFERROR(INDEX(_xlfn._xlws.FILTER(_xlpm.pos,(_xlpm.pos&lt;&gt;"")*(_xlpm.qty&gt;0)*(_xlpm.bal&gt;=_xlpm.qty)),1),"")))</f>
        <v/>
      </c>
      <c r="M323" s="290"/>
      <c r="AQ323" s="409"/>
      <c r="AR323" s="410"/>
      <c r="AS323" s="410"/>
      <c r="AT323" s="411"/>
      <c r="AU323" s="412"/>
      <c r="AV323" s="413"/>
      <c r="AW323" s="413"/>
      <c r="AX323" s="413"/>
      <c r="AY323" s="413"/>
      <c r="AZ323" s="413" t="str">
        <f t="shared" si="19"/>
        <v/>
      </c>
      <c r="BB323" s="409"/>
      <c r="BC323" s="410"/>
      <c r="BD323" s="410"/>
      <c r="BE323" s="411"/>
      <c r="BF323" s="412"/>
      <c r="BG323" s="413"/>
      <c r="BH323" s="413"/>
      <c r="BI323" s="413"/>
      <c r="BJ323" s="413"/>
      <c r="BK323" s="413" t="str">
        <f t="shared" si="20"/>
        <v/>
      </c>
    </row>
    <row r="324" spans="1:63" ht="23" x14ac:dyDescent="0.25">
      <c r="A324" s="217" t="str" cm="1">
        <f t="array" ref="A324">IFERROR(INDEX(_xlfn.ANCHORARRAY($R$6),ROW()-5,1),"")</f>
        <v/>
      </c>
      <c r="B324" s="289" t="str" cm="1">
        <f t="array" ref="B324">IFERROR(INDEX(_xlfn.ANCHORARRAY($R$6),ROW()-5,2),"")</f>
        <v/>
      </c>
      <c r="C324" s="218" t="str">
        <f>IF($A324="","",IF($K324="DIESEL",SUMIFS(Table1[Quantity],Table1[Customer],$P$3,Table1[Date],$A324,Table1[Bill No.],$B324),IF($K324="PETROL",SUMIFS(Table14[Quantity],Table14[Customer],$P$3,Table14[Date],$A324,Table14[Bill No.],$B324),IF($K324="XtraGreen",SUMIFS(Table146[Quantity],Table146[Company],$P$3,Table146[Date],$A324,Table146[Bill No.],$B324),""))))</f>
        <v/>
      </c>
      <c r="D324" s="223" t="str">
        <f>IF($A324="","",IF($K324="DIESEL",AVERAGEIFS(Table1[RSP],Table1[Customer],$P$3,Table1[Date],$A324,Table1[Bill No.],$B324),IF($K324="PETROL",AVERAGEIFS(Table14[RSP],Table14[Customer],$P$3,Table14[Date],$A324,Table14[Bill No.],$B324),IF($K324="XtraGreen",AVERAGEIFS(Table146[RSP],Table146[Company],$P$3,Table146[Date],$A324,Table146[Bill No.],$B324),IFERROR($E324/$C324,"")))))</f>
        <v/>
      </c>
      <c r="E324" s="330" t="str">
        <f>IF($A324="","",IF($K324="DIESEL",SUMIFS(Table1[Amount],Table1[Customer],$P$3,Table1[Date],$A324,Table1[Bill No.],$B324),IF($K324="PETROL",SUMIFS(Table14[Amount],Table14[Customer],$P$3,Table14[Date],$A324,Table14[Bill No.],$B324),IF($K324="XtraGreen",SUMIFS(Table146[Amount],Table146[Company],$P$3,Table146[Date],$A324,Table146[Bill No.],$B324),SUMIFS('Other Sale'!$D:$D,'Other Sale'!$E:$E,$P$3,'Other Sale'!$C:$C,$K324,'Other Sale'!$A:$A,$A324)))))</f>
        <v/>
      </c>
      <c r="F324" s="330" t="str" cm="1">
        <f t="array" ref="F324">IF($A324="","",IF($K324="Payment",IFERROR(INDEX(_xlfn._xlws.FILTER(MasterPaid[Amount Paid],(MasterPaid[Customer]=$P$3)*(MasterPaid[Date]=$A324)),COUNTIFS($A$6:$A324,$A324,$K$6:$K324,"Payment")),0),0))</f>
        <v/>
      </c>
      <c r="G324" s="331" t="s">
        <v>13</v>
      </c>
      <c r="H324" s="331"/>
      <c r="I324" s="330" t="str">
        <f t="shared" si="21"/>
        <v/>
      </c>
      <c r="J324" s="275"/>
      <c r="K324" s="289" t="str" cm="1">
        <f t="array" ref="K324">IFERROR(INDEX(_xlfn.ANCHORARRAY($R$6),ROW()-5,3),"")</f>
        <v/>
      </c>
      <c r="L324" s="430" t="str" cm="1">
        <f t="array" ref="L324">IF(OR($A324="",$J324="",$K324&lt;&gt;"DIESEL"),"",_xlfn.LET(_xlpm.qty,N($C324),_xlpm.pos,IF($J324="UNIT 1",$V$5:$V$54,$AC$5:$AC$54),_xlpm.alo,IF($J324="UNIT 1",$W$5:$W$54,$AD$5:$AD$54),_xlpm.usd,SUMIFS($C$6:$C323,$L$6:$L323,_xlpm.pos&amp;"",$J$6:$J323,$J324),_xlpm.bal,N(_xlpm.alo)-_xlpm.usd,IFERROR(INDEX(_xlfn._xlws.FILTER(_xlpm.pos,(_xlpm.pos&lt;&gt;"")*(_xlpm.qty&gt;0)*(_xlpm.bal&gt;=_xlpm.qty)),1),"")))</f>
        <v/>
      </c>
      <c r="M324" s="290"/>
      <c r="AQ324" s="409"/>
      <c r="AR324" s="410"/>
      <c r="AS324" s="410"/>
      <c r="AT324" s="411"/>
      <c r="AU324" s="412"/>
      <c r="AV324" s="413"/>
      <c r="AW324" s="413"/>
      <c r="AX324" s="413"/>
      <c r="AY324" s="413"/>
      <c r="AZ324" s="413" t="str">
        <f t="shared" si="19"/>
        <v/>
      </c>
      <c r="BB324" s="409"/>
      <c r="BC324" s="410"/>
      <c r="BD324" s="410"/>
      <c r="BE324" s="411"/>
      <c r="BF324" s="412"/>
      <c r="BG324" s="413"/>
      <c r="BH324" s="413"/>
      <c r="BI324" s="413"/>
      <c r="BJ324" s="413"/>
      <c r="BK324" s="413" t="str">
        <f t="shared" si="20"/>
        <v/>
      </c>
    </row>
    <row r="325" spans="1:63" ht="23" x14ac:dyDescent="0.25">
      <c r="A325" s="217" t="str" cm="1">
        <f t="array" ref="A325">IFERROR(INDEX(_xlfn.ANCHORARRAY($R$6),ROW()-5,1),"")</f>
        <v/>
      </c>
      <c r="B325" s="289" t="str" cm="1">
        <f t="array" ref="B325">IFERROR(INDEX(_xlfn.ANCHORARRAY($R$6),ROW()-5,2),"")</f>
        <v/>
      </c>
      <c r="C325" s="218" t="str">
        <f>IF($A325="","",IF($K325="DIESEL",SUMIFS(Table1[Quantity],Table1[Customer],$P$3,Table1[Date],$A325,Table1[Bill No.],$B325),IF($K325="PETROL",SUMIFS(Table14[Quantity],Table14[Customer],$P$3,Table14[Date],$A325,Table14[Bill No.],$B325),IF($K325="XtraGreen",SUMIFS(Table146[Quantity],Table146[Company],$P$3,Table146[Date],$A325,Table146[Bill No.],$B325),""))))</f>
        <v/>
      </c>
      <c r="D325" s="223" t="str">
        <f>IF($A325="","",IF($K325="DIESEL",AVERAGEIFS(Table1[RSP],Table1[Customer],$P$3,Table1[Date],$A325,Table1[Bill No.],$B325),IF($K325="PETROL",AVERAGEIFS(Table14[RSP],Table14[Customer],$P$3,Table14[Date],$A325,Table14[Bill No.],$B325),IF($K325="XtraGreen",AVERAGEIFS(Table146[RSP],Table146[Company],$P$3,Table146[Date],$A325,Table146[Bill No.],$B325),IFERROR($E325/$C325,"")))))</f>
        <v/>
      </c>
      <c r="E325" s="330" t="str">
        <f>IF($A325="","",IF($K325="DIESEL",SUMIFS(Table1[Amount],Table1[Customer],$P$3,Table1[Date],$A325,Table1[Bill No.],$B325),IF($K325="PETROL",SUMIFS(Table14[Amount],Table14[Customer],$P$3,Table14[Date],$A325,Table14[Bill No.],$B325),IF($K325="XtraGreen",SUMIFS(Table146[Amount],Table146[Company],$P$3,Table146[Date],$A325,Table146[Bill No.],$B325),SUMIFS('Other Sale'!$D:$D,'Other Sale'!$E:$E,$P$3,'Other Sale'!$C:$C,$K325,'Other Sale'!$A:$A,$A325)))))</f>
        <v/>
      </c>
      <c r="F325" s="330" t="str" cm="1">
        <f t="array" ref="F325">IF($A325="","",IF($K325="Payment",IFERROR(INDEX(_xlfn._xlws.FILTER(MasterPaid[Amount Paid],(MasterPaid[Customer]=$P$3)*(MasterPaid[Date]=$A325)),COUNTIFS($A$6:$A325,$A325,$K$6:$K325,"Payment")),0),0))</f>
        <v/>
      </c>
      <c r="G325" s="331" t="s">
        <v>13</v>
      </c>
      <c r="H325" s="331"/>
      <c r="I325" s="330" t="str">
        <f t="shared" si="21"/>
        <v/>
      </c>
      <c r="J325" s="275"/>
      <c r="K325" s="289" t="str" cm="1">
        <f t="array" ref="K325">IFERROR(INDEX(_xlfn.ANCHORARRAY($R$6),ROW()-5,3),"")</f>
        <v/>
      </c>
      <c r="L325" s="430" t="str" cm="1">
        <f t="array" ref="L325">IF(OR($A325="",$J325="",$K325&lt;&gt;"DIESEL"),"",_xlfn.LET(_xlpm.qty,N($C325),_xlpm.pos,IF($J325="UNIT 1",$V$5:$V$54,$AC$5:$AC$54),_xlpm.alo,IF($J325="UNIT 1",$W$5:$W$54,$AD$5:$AD$54),_xlpm.usd,SUMIFS($C$6:$C324,$L$6:$L324,_xlpm.pos&amp;"",$J$6:$J324,$J325),_xlpm.bal,N(_xlpm.alo)-_xlpm.usd,IFERROR(INDEX(_xlfn._xlws.FILTER(_xlpm.pos,(_xlpm.pos&lt;&gt;"")*(_xlpm.qty&gt;0)*(_xlpm.bal&gt;=_xlpm.qty)),1),"")))</f>
        <v/>
      </c>
      <c r="M325" s="290"/>
      <c r="AQ325" s="409"/>
      <c r="AR325" s="410"/>
      <c r="AS325" s="410"/>
      <c r="AT325" s="411"/>
      <c r="AU325" s="412"/>
      <c r="AV325" s="413"/>
      <c r="AW325" s="413"/>
      <c r="AX325" s="413"/>
      <c r="AY325" s="413"/>
      <c r="AZ325" s="413" t="str">
        <f t="shared" si="19"/>
        <v/>
      </c>
      <c r="BB325" s="409"/>
      <c r="BC325" s="410"/>
      <c r="BD325" s="410"/>
      <c r="BE325" s="411"/>
      <c r="BF325" s="412"/>
      <c r="BG325" s="413"/>
      <c r="BH325" s="413"/>
      <c r="BI325" s="413"/>
      <c r="BJ325" s="413"/>
      <c r="BK325" s="413" t="str">
        <f t="shared" si="20"/>
        <v/>
      </c>
    </row>
    <row r="326" spans="1:63" ht="23" x14ac:dyDescent="0.25">
      <c r="A326" s="217" t="str" cm="1">
        <f t="array" ref="A326">IFERROR(INDEX(_xlfn.ANCHORARRAY($R$6),ROW()-5,1),"")</f>
        <v/>
      </c>
      <c r="B326" s="289" t="str" cm="1">
        <f t="array" ref="B326">IFERROR(INDEX(_xlfn.ANCHORARRAY($R$6),ROW()-5,2),"")</f>
        <v/>
      </c>
      <c r="C326" s="218" t="str">
        <f>IF($A326="","",IF($K326="DIESEL",SUMIFS(Table1[Quantity],Table1[Customer],$P$3,Table1[Date],$A326,Table1[Bill No.],$B326),IF($K326="PETROL",SUMIFS(Table14[Quantity],Table14[Customer],$P$3,Table14[Date],$A326,Table14[Bill No.],$B326),IF($K326="XtraGreen",SUMIFS(Table146[Quantity],Table146[Company],$P$3,Table146[Date],$A326,Table146[Bill No.],$B326),""))))</f>
        <v/>
      </c>
      <c r="D326" s="223" t="str">
        <f>IF($A326="","",IF($K326="DIESEL",AVERAGEIFS(Table1[RSP],Table1[Customer],$P$3,Table1[Date],$A326,Table1[Bill No.],$B326),IF($K326="PETROL",AVERAGEIFS(Table14[RSP],Table14[Customer],$P$3,Table14[Date],$A326,Table14[Bill No.],$B326),IF($K326="XtraGreen",AVERAGEIFS(Table146[RSP],Table146[Company],$P$3,Table146[Date],$A326,Table146[Bill No.],$B326),IFERROR($E326/$C326,"")))))</f>
        <v/>
      </c>
      <c r="E326" s="330" t="str">
        <f>IF($A326="","",IF($K326="DIESEL",SUMIFS(Table1[Amount],Table1[Customer],$P$3,Table1[Date],$A326,Table1[Bill No.],$B326),IF($K326="PETROL",SUMIFS(Table14[Amount],Table14[Customer],$P$3,Table14[Date],$A326,Table14[Bill No.],$B326),IF($K326="XtraGreen",SUMIFS(Table146[Amount],Table146[Company],$P$3,Table146[Date],$A326,Table146[Bill No.],$B326),SUMIFS('Other Sale'!$D:$D,'Other Sale'!$E:$E,$P$3,'Other Sale'!$C:$C,$K326,'Other Sale'!$A:$A,$A326)))))</f>
        <v/>
      </c>
      <c r="F326" s="330" t="str" cm="1">
        <f t="array" ref="F326">IF($A326="","",IF($K326="Payment",IFERROR(INDEX(_xlfn._xlws.FILTER(MasterPaid[Amount Paid],(MasterPaid[Customer]=$P$3)*(MasterPaid[Date]=$A326)),COUNTIFS($A$6:$A326,$A326,$K$6:$K326,"Payment")),0),0))</f>
        <v/>
      </c>
      <c r="G326" s="331" t="s">
        <v>13</v>
      </c>
      <c r="H326" s="331"/>
      <c r="I326" s="330" t="str">
        <f t="shared" si="21"/>
        <v/>
      </c>
      <c r="J326" s="275"/>
      <c r="K326" s="289" t="str" cm="1">
        <f t="array" ref="K326">IFERROR(INDEX(_xlfn.ANCHORARRAY($R$6),ROW()-5,3),"")</f>
        <v/>
      </c>
      <c r="L326" s="430" t="str" cm="1">
        <f t="array" ref="L326">IF(OR($A326="",$J326="",$K326&lt;&gt;"DIESEL"),"",_xlfn.LET(_xlpm.qty,N($C326),_xlpm.pos,IF($J326="UNIT 1",$V$5:$V$54,$AC$5:$AC$54),_xlpm.alo,IF($J326="UNIT 1",$W$5:$W$54,$AD$5:$AD$54),_xlpm.usd,SUMIFS($C$6:$C325,$L$6:$L325,_xlpm.pos&amp;"",$J$6:$J325,$J326),_xlpm.bal,N(_xlpm.alo)-_xlpm.usd,IFERROR(INDEX(_xlfn._xlws.FILTER(_xlpm.pos,(_xlpm.pos&lt;&gt;"")*(_xlpm.qty&gt;0)*(_xlpm.bal&gt;=_xlpm.qty)),1),"")))</f>
        <v/>
      </c>
      <c r="M326" s="290"/>
      <c r="AQ326" s="409"/>
      <c r="AR326" s="410"/>
      <c r="AS326" s="410"/>
      <c r="AT326" s="411"/>
      <c r="AU326" s="412"/>
      <c r="AV326" s="413"/>
      <c r="AW326" s="413"/>
      <c r="AX326" s="413"/>
      <c r="AY326" s="413"/>
      <c r="AZ326" s="413" t="str">
        <f t="shared" si="19"/>
        <v/>
      </c>
      <c r="BB326" s="409"/>
      <c r="BC326" s="410"/>
      <c r="BD326" s="410"/>
      <c r="BE326" s="411"/>
      <c r="BF326" s="412"/>
      <c r="BG326" s="413"/>
      <c r="BH326" s="413"/>
      <c r="BI326" s="413"/>
      <c r="BJ326" s="413"/>
      <c r="BK326" s="413" t="str">
        <f t="shared" si="20"/>
        <v/>
      </c>
    </row>
    <row r="327" spans="1:63" ht="23" x14ac:dyDescent="0.25">
      <c r="A327" s="217" t="str" cm="1">
        <f t="array" ref="A327">IFERROR(INDEX(_xlfn.ANCHORARRAY($R$6),ROW()-5,1),"")</f>
        <v/>
      </c>
      <c r="B327" s="289" t="str" cm="1">
        <f t="array" ref="B327">IFERROR(INDEX(_xlfn.ANCHORARRAY($R$6),ROW()-5,2),"")</f>
        <v/>
      </c>
      <c r="C327" s="218" t="str">
        <f>IF($A327="","",IF($K327="DIESEL",SUMIFS(Table1[Quantity],Table1[Customer],$P$3,Table1[Date],$A327,Table1[Bill No.],$B327),IF($K327="PETROL",SUMIFS(Table14[Quantity],Table14[Customer],$P$3,Table14[Date],$A327,Table14[Bill No.],$B327),IF($K327="XtraGreen",SUMIFS(Table146[Quantity],Table146[Company],$P$3,Table146[Date],$A327,Table146[Bill No.],$B327),""))))</f>
        <v/>
      </c>
      <c r="D327" s="223" t="str">
        <f>IF($A327="","",IF($K327="DIESEL",AVERAGEIFS(Table1[RSP],Table1[Customer],$P$3,Table1[Date],$A327,Table1[Bill No.],$B327),IF($K327="PETROL",AVERAGEIFS(Table14[RSP],Table14[Customer],$P$3,Table14[Date],$A327,Table14[Bill No.],$B327),IF($K327="XtraGreen",AVERAGEIFS(Table146[RSP],Table146[Company],$P$3,Table146[Date],$A327,Table146[Bill No.],$B327),IFERROR($E327/$C327,"")))))</f>
        <v/>
      </c>
      <c r="E327" s="330" t="str">
        <f>IF($A327="","",IF($K327="DIESEL",SUMIFS(Table1[Amount],Table1[Customer],$P$3,Table1[Date],$A327,Table1[Bill No.],$B327),IF($K327="PETROL",SUMIFS(Table14[Amount],Table14[Customer],$P$3,Table14[Date],$A327,Table14[Bill No.],$B327),IF($K327="XtraGreen",SUMIFS(Table146[Amount],Table146[Company],$P$3,Table146[Date],$A327,Table146[Bill No.],$B327),SUMIFS('Other Sale'!$D:$D,'Other Sale'!$E:$E,$P$3,'Other Sale'!$C:$C,$K327,'Other Sale'!$A:$A,$A327)))))</f>
        <v/>
      </c>
      <c r="F327" s="330" t="str" cm="1">
        <f t="array" ref="F327">IF($A327="","",IF($K327="Payment",IFERROR(INDEX(_xlfn._xlws.FILTER(MasterPaid[Amount Paid],(MasterPaid[Customer]=$P$3)*(MasterPaid[Date]=$A327)),COUNTIFS($A$6:$A327,$A327,$K$6:$K327,"Payment")),0),0))</f>
        <v/>
      </c>
      <c r="G327" s="331" t="s">
        <v>13</v>
      </c>
      <c r="H327" s="331"/>
      <c r="I327" s="330" t="str">
        <f t="shared" si="21"/>
        <v/>
      </c>
      <c r="J327" s="275"/>
      <c r="K327" s="289" t="str" cm="1">
        <f t="array" ref="K327">IFERROR(INDEX(_xlfn.ANCHORARRAY($R$6),ROW()-5,3),"")</f>
        <v/>
      </c>
      <c r="L327" s="430" t="str" cm="1">
        <f t="array" ref="L327">IF(OR($A327="",$J327="",$K327&lt;&gt;"DIESEL"),"",_xlfn.LET(_xlpm.qty,N($C327),_xlpm.pos,IF($J327="UNIT 1",$V$5:$V$54,$AC$5:$AC$54),_xlpm.alo,IF($J327="UNIT 1",$W$5:$W$54,$AD$5:$AD$54),_xlpm.usd,SUMIFS($C$6:$C326,$L$6:$L326,_xlpm.pos&amp;"",$J$6:$J326,$J327),_xlpm.bal,N(_xlpm.alo)-_xlpm.usd,IFERROR(INDEX(_xlfn._xlws.FILTER(_xlpm.pos,(_xlpm.pos&lt;&gt;"")*(_xlpm.qty&gt;0)*(_xlpm.bal&gt;=_xlpm.qty)),1),"")))</f>
        <v/>
      </c>
      <c r="M327" s="290"/>
      <c r="AQ327" s="409"/>
      <c r="AR327" s="410"/>
      <c r="AS327" s="410"/>
      <c r="AT327" s="411"/>
      <c r="AU327" s="412"/>
      <c r="AV327" s="413"/>
      <c r="AW327" s="413"/>
      <c r="AX327" s="413"/>
      <c r="AY327" s="413"/>
      <c r="AZ327" s="413" t="str">
        <f t="shared" ref="AZ327:AZ355" si="22">IF($AQ327="","",AZ326+N(AV327)-N(AW327)-N(AX327)-N(AY327))</f>
        <v/>
      </c>
      <c r="BB327" s="409"/>
      <c r="BC327" s="410"/>
      <c r="BD327" s="410"/>
      <c r="BE327" s="411"/>
      <c r="BF327" s="412"/>
      <c r="BG327" s="413"/>
      <c r="BH327" s="413"/>
      <c r="BI327" s="413"/>
      <c r="BJ327" s="413"/>
      <c r="BK327" s="413" t="str">
        <f t="shared" ref="BK327:BK355" si="23">IF($BB327="","",BK326+N(BG327)-N(BH327)-N(BI327)-N(BJ327))</f>
        <v/>
      </c>
    </row>
    <row r="328" spans="1:63" ht="23" x14ac:dyDescent="0.25">
      <c r="A328" s="217" t="str" cm="1">
        <f t="array" ref="A328">IFERROR(INDEX(_xlfn.ANCHORARRAY($R$6),ROW()-5,1),"")</f>
        <v/>
      </c>
      <c r="B328" s="289" t="str" cm="1">
        <f t="array" ref="B328">IFERROR(INDEX(_xlfn.ANCHORARRAY($R$6),ROW()-5,2),"")</f>
        <v/>
      </c>
      <c r="C328" s="218" t="str">
        <f>IF($A328="","",IF($K328="DIESEL",SUMIFS(Table1[Quantity],Table1[Customer],$P$3,Table1[Date],$A328,Table1[Bill No.],$B328),IF($K328="PETROL",SUMIFS(Table14[Quantity],Table14[Customer],$P$3,Table14[Date],$A328,Table14[Bill No.],$B328),IF($K328="XtraGreen",SUMIFS(Table146[Quantity],Table146[Company],$P$3,Table146[Date],$A328,Table146[Bill No.],$B328),""))))</f>
        <v/>
      </c>
      <c r="D328" s="223" t="str">
        <f>IF($A328="","",IF($K328="DIESEL",AVERAGEIFS(Table1[RSP],Table1[Customer],$P$3,Table1[Date],$A328,Table1[Bill No.],$B328),IF($K328="PETROL",AVERAGEIFS(Table14[RSP],Table14[Customer],$P$3,Table14[Date],$A328,Table14[Bill No.],$B328),IF($K328="XtraGreen",AVERAGEIFS(Table146[RSP],Table146[Company],$P$3,Table146[Date],$A328,Table146[Bill No.],$B328),IFERROR($E328/$C328,"")))))</f>
        <v/>
      </c>
      <c r="E328" s="330" t="str">
        <f>IF($A328="","",IF($K328="DIESEL",SUMIFS(Table1[Amount],Table1[Customer],$P$3,Table1[Date],$A328,Table1[Bill No.],$B328),IF($K328="PETROL",SUMIFS(Table14[Amount],Table14[Customer],$P$3,Table14[Date],$A328,Table14[Bill No.],$B328),IF($K328="XtraGreen",SUMIFS(Table146[Amount],Table146[Company],$P$3,Table146[Date],$A328,Table146[Bill No.],$B328),SUMIFS('Other Sale'!$D:$D,'Other Sale'!$E:$E,$P$3,'Other Sale'!$C:$C,$K328,'Other Sale'!$A:$A,$A328)))))</f>
        <v/>
      </c>
      <c r="F328" s="330" t="str" cm="1">
        <f t="array" ref="F328">IF($A328="","",IF($K328="Payment",IFERROR(INDEX(_xlfn._xlws.FILTER(MasterPaid[Amount Paid],(MasterPaid[Customer]=$P$3)*(MasterPaid[Date]=$A328)),COUNTIFS($A$6:$A328,$A328,$K$6:$K328,"Payment")),0),0))</f>
        <v/>
      </c>
      <c r="G328" s="331" t="s">
        <v>13</v>
      </c>
      <c r="H328" s="331"/>
      <c r="I328" s="330" t="str">
        <f t="shared" si="21"/>
        <v/>
      </c>
      <c r="J328" s="275"/>
      <c r="K328" s="289" t="str" cm="1">
        <f t="array" ref="K328">IFERROR(INDEX(_xlfn.ANCHORARRAY($R$6),ROW()-5,3),"")</f>
        <v/>
      </c>
      <c r="L328" s="430" t="str" cm="1">
        <f t="array" ref="L328">IF(OR($A328="",$J328="",$K328&lt;&gt;"DIESEL"),"",_xlfn.LET(_xlpm.qty,N($C328),_xlpm.pos,IF($J328="UNIT 1",$V$5:$V$54,$AC$5:$AC$54),_xlpm.alo,IF($J328="UNIT 1",$W$5:$W$54,$AD$5:$AD$54),_xlpm.usd,SUMIFS($C$6:$C327,$L$6:$L327,_xlpm.pos&amp;"",$J$6:$J327,$J328),_xlpm.bal,N(_xlpm.alo)-_xlpm.usd,IFERROR(INDEX(_xlfn._xlws.FILTER(_xlpm.pos,(_xlpm.pos&lt;&gt;"")*(_xlpm.qty&gt;0)*(_xlpm.bal&gt;=_xlpm.qty)),1),"")))</f>
        <v/>
      </c>
      <c r="M328" s="290"/>
      <c r="AQ328" s="409"/>
      <c r="AR328" s="410"/>
      <c r="AS328" s="410"/>
      <c r="AT328" s="411"/>
      <c r="AU328" s="412"/>
      <c r="AV328" s="413"/>
      <c r="AW328" s="413"/>
      <c r="AX328" s="413"/>
      <c r="AY328" s="413"/>
      <c r="AZ328" s="413" t="str">
        <f t="shared" si="22"/>
        <v/>
      </c>
      <c r="BB328" s="409"/>
      <c r="BC328" s="410"/>
      <c r="BD328" s="410"/>
      <c r="BE328" s="411"/>
      <c r="BF328" s="412"/>
      <c r="BG328" s="413"/>
      <c r="BH328" s="413"/>
      <c r="BI328" s="413"/>
      <c r="BJ328" s="413"/>
      <c r="BK328" s="413" t="str">
        <f t="shared" si="23"/>
        <v/>
      </c>
    </row>
    <row r="329" spans="1:63" ht="23" x14ac:dyDescent="0.25">
      <c r="A329" s="217" t="str" cm="1">
        <f t="array" ref="A329">IFERROR(INDEX(_xlfn.ANCHORARRAY($R$6),ROW()-5,1),"")</f>
        <v/>
      </c>
      <c r="B329" s="289" t="str" cm="1">
        <f t="array" ref="B329">IFERROR(INDEX(_xlfn.ANCHORARRAY($R$6),ROW()-5,2),"")</f>
        <v/>
      </c>
      <c r="C329" s="218" t="str">
        <f>IF($A329="","",IF($K329="DIESEL",SUMIFS(Table1[Quantity],Table1[Customer],$P$3,Table1[Date],$A329,Table1[Bill No.],$B329),IF($K329="PETROL",SUMIFS(Table14[Quantity],Table14[Customer],$P$3,Table14[Date],$A329,Table14[Bill No.],$B329),IF($K329="XtraGreen",SUMIFS(Table146[Quantity],Table146[Company],$P$3,Table146[Date],$A329,Table146[Bill No.],$B329),""))))</f>
        <v/>
      </c>
      <c r="D329" s="223" t="str">
        <f>IF($A329="","",IF($K329="DIESEL",AVERAGEIFS(Table1[RSP],Table1[Customer],$P$3,Table1[Date],$A329,Table1[Bill No.],$B329),IF($K329="PETROL",AVERAGEIFS(Table14[RSP],Table14[Customer],$P$3,Table14[Date],$A329,Table14[Bill No.],$B329),IF($K329="XtraGreen",AVERAGEIFS(Table146[RSP],Table146[Company],$P$3,Table146[Date],$A329,Table146[Bill No.],$B329),IFERROR($E329/$C329,"")))))</f>
        <v/>
      </c>
      <c r="E329" s="330" t="str">
        <f>IF($A329="","",IF($K329="DIESEL",SUMIFS(Table1[Amount],Table1[Customer],$P$3,Table1[Date],$A329,Table1[Bill No.],$B329),IF($K329="PETROL",SUMIFS(Table14[Amount],Table14[Customer],$P$3,Table14[Date],$A329,Table14[Bill No.],$B329),IF($K329="XtraGreen",SUMIFS(Table146[Amount],Table146[Company],$P$3,Table146[Date],$A329,Table146[Bill No.],$B329),SUMIFS('Other Sale'!$D:$D,'Other Sale'!$E:$E,$P$3,'Other Sale'!$C:$C,$K329,'Other Sale'!$A:$A,$A329)))))</f>
        <v/>
      </c>
      <c r="F329" s="330" t="str" cm="1">
        <f t="array" ref="F329">IF($A329="","",IF($K329="Payment",IFERROR(INDEX(_xlfn._xlws.FILTER(MasterPaid[Amount Paid],(MasterPaid[Customer]=$P$3)*(MasterPaid[Date]=$A329)),COUNTIFS($A$6:$A329,$A329,$K$6:$K329,"Payment")),0),0))</f>
        <v/>
      </c>
      <c r="G329" s="331" t="s">
        <v>13</v>
      </c>
      <c r="H329" s="331"/>
      <c r="I329" s="330" t="str">
        <f t="shared" si="21"/>
        <v/>
      </c>
      <c r="J329" s="275"/>
      <c r="K329" s="289" t="str" cm="1">
        <f t="array" ref="K329">IFERROR(INDEX(_xlfn.ANCHORARRAY($R$6),ROW()-5,3),"")</f>
        <v/>
      </c>
      <c r="L329" s="430" t="str" cm="1">
        <f t="array" ref="L329">IF(OR($A329="",$J329="",$K329&lt;&gt;"DIESEL"),"",_xlfn.LET(_xlpm.qty,N($C329),_xlpm.pos,IF($J329="UNIT 1",$V$5:$V$54,$AC$5:$AC$54),_xlpm.alo,IF($J329="UNIT 1",$W$5:$W$54,$AD$5:$AD$54),_xlpm.usd,SUMIFS($C$6:$C328,$L$6:$L328,_xlpm.pos&amp;"",$J$6:$J328,$J329),_xlpm.bal,N(_xlpm.alo)-_xlpm.usd,IFERROR(INDEX(_xlfn._xlws.FILTER(_xlpm.pos,(_xlpm.pos&lt;&gt;"")*(_xlpm.qty&gt;0)*(_xlpm.bal&gt;=_xlpm.qty)),1),"")))</f>
        <v/>
      </c>
      <c r="M329" s="290"/>
      <c r="AQ329" s="409"/>
      <c r="AR329" s="410"/>
      <c r="AS329" s="410"/>
      <c r="AT329" s="411"/>
      <c r="AU329" s="412"/>
      <c r="AV329" s="413"/>
      <c r="AW329" s="413"/>
      <c r="AX329" s="413"/>
      <c r="AY329" s="413"/>
      <c r="AZ329" s="413" t="str">
        <f t="shared" si="22"/>
        <v/>
      </c>
      <c r="BB329" s="409"/>
      <c r="BC329" s="410"/>
      <c r="BD329" s="410"/>
      <c r="BE329" s="411"/>
      <c r="BF329" s="412"/>
      <c r="BG329" s="413"/>
      <c r="BH329" s="413"/>
      <c r="BI329" s="413"/>
      <c r="BJ329" s="413"/>
      <c r="BK329" s="413" t="str">
        <f t="shared" si="23"/>
        <v/>
      </c>
    </row>
    <row r="330" spans="1:63" ht="23" x14ac:dyDescent="0.25">
      <c r="A330" s="217" t="str" cm="1">
        <f t="array" ref="A330">IFERROR(INDEX(_xlfn.ANCHORARRAY($R$6),ROW()-5,1),"")</f>
        <v/>
      </c>
      <c r="B330" s="289" t="str" cm="1">
        <f t="array" ref="B330">IFERROR(INDEX(_xlfn.ANCHORARRAY($R$6),ROW()-5,2),"")</f>
        <v/>
      </c>
      <c r="C330" s="218" t="str">
        <f>IF($A330="","",IF($K330="DIESEL",SUMIFS(Table1[Quantity],Table1[Customer],$P$3,Table1[Date],$A330,Table1[Bill No.],$B330),IF($K330="PETROL",SUMIFS(Table14[Quantity],Table14[Customer],$P$3,Table14[Date],$A330,Table14[Bill No.],$B330),IF($K330="XtraGreen",SUMIFS(Table146[Quantity],Table146[Company],$P$3,Table146[Date],$A330,Table146[Bill No.],$B330),""))))</f>
        <v/>
      </c>
      <c r="D330" s="223" t="str">
        <f>IF($A330="","",IF($K330="DIESEL",AVERAGEIFS(Table1[RSP],Table1[Customer],$P$3,Table1[Date],$A330,Table1[Bill No.],$B330),IF($K330="PETROL",AVERAGEIFS(Table14[RSP],Table14[Customer],$P$3,Table14[Date],$A330,Table14[Bill No.],$B330),IF($K330="XtraGreen",AVERAGEIFS(Table146[RSP],Table146[Company],$P$3,Table146[Date],$A330,Table146[Bill No.],$B330),IFERROR($E330/$C330,"")))))</f>
        <v/>
      </c>
      <c r="E330" s="330" t="str">
        <f>IF($A330="","",IF($K330="DIESEL",SUMIFS(Table1[Amount],Table1[Customer],$P$3,Table1[Date],$A330,Table1[Bill No.],$B330),IF($K330="PETROL",SUMIFS(Table14[Amount],Table14[Customer],$P$3,Table14[Date],$A330,Table14[Bill No.],$B330),IF($K330="XtraGreen",SUMIFS(Table146[Amount],Table146[Company],$P$3,Table146[Date],$A330,Table146[Bill No.],$B330),SUMIFS('Other Sale'!$D:$D,'Other Sale'!$E:$E,$P$3,'Other Sale'!$C:$C,$K330,'Other Sale'!$A:$A,$A330)))))</f>
        <v/>
      </c>
      <c r="F330" s="330" t="str" cm="1">
        <f t="array" ref="F330">IF($A330="","",IF($K330="Payment",IFERROR(INDEX(_xlfn._xlws.FILTER(MasterPaid[Amount Paid],(MasterPaid[Customer]=$P$3)*(MasterPaid[Date]=$A330)),COUNTIFS($A$6:$A330,$A330,$K$6:$K330,"Payment")),0),0))</f>
        <v/>
      </c>
      <c r="G330" s="331" t="s">
        <v>13</v>
      </c>
      <c r="H330" s="331"/>
      <c r="I330" s="330" t="str">
        <f t="shared" si="21"/>
        <v/>
      </c>
      <c r="J330" s="275"/>
      <c r="K330" s="289" t="str" cm="1">
        <f t="array" ref="K330">IFERROR(INDEX(_xlfn.ANCHORARRAY($R$6),ROW()-5,3),"")</f>
        <v/>
      </c>
      <c r="L330" s="430" t="str" cm="1">
        <f t="array" ref="L330">IF(OR($A330="",$J330="",$K330&lt;&gt;"DIESEL"),"",_xlfn.LET(_xlpm.qty,N($C330),_xlpm.pos,IF($J330="UNIT 1",$V$5:$V$54,$AC$5:$AC$54),_xlpm.alo,IF($J330="UNIT 1",$W$5:$W$54,$AD$5:$AD$54),_xlpm.usd,SUMIFS($C$6:$C329,$L$6:$L329,_xlpm.pos&amp;"",$J$6:$J329,$J330),_xlpm.bal,N(_xlpm.alo)-_xlpm.usd,IFERROR(INDEX(_xlfn._xlws.FILTER(_xlpm.pos,(_xlpm.pos&lt;&gt;"")*(_xlpm.qty&gt;0)*(_xlpm.bal&gt;=_xlpm.qty)),1),"")))</f>
        <v/>
      </c>
      <c r="M330" s="290"/>
      <c r="AQ330" s="409"/>
      <c r="AR330" s="410"/>
      <c r="AS330" s="410"/>
      <c r="AT330" s="411"/>
      <c r="AU330" s="412"/>
      <c r="AV330" s="413"/>
      <c r="AW330" s="413"/>
      <c r="AX330" s="413"/>
      <c r="AY330" s="413"/>
      <c r="AZ330" s="413" t="str">
        <f t="shared" si="22"/>
        <v/>
      </c>
      <c r="BB330" s="409"/>
      <c r="BC330" s="410"/>
      <c r="BD330" s="410"/>
      <c r="BE330" s="411"/>
      <c r="BF330" s="412"/>
      <c r="BG330" s="413"/>
      <c r="BH330" s="413"/>
      <c r="BI330" s="413"/>
      <c r="BJ330" s="413"/>
      <c r="BK330" s="413" t="str">
        <f t="shared" si="23"/>
        <v/>
      </c>
    </row>
    <row r="331" spans="1:63" ht="23" x14ac:dyDescent="0.25">
      <c r="A331" s="217" t="str" cm="1">
        <f t="array" ref="A331">IFERROR(INDEX(_xlfn.ANCHORARRAY($R$6),ROW()-5,1),"")</f>
        <v/>
      </c>
      <c r="B331" s="289" t="str" cm="1">
        <f t="array" ref="B331">IFERROR(INDEX(_xlfn.ANCHORARRAY($R$6),ROW()-5,2),"")</f>
        <v/>
      </c>
      <c r="C331" s="218" t="str">
        <f>IF($A331="","",IF($K331="DIESEL",SUMIFS(Table1[Quantity],Table1[Customer],$P$3,Table1[Date],$A331,Table1[Bill No.],$B331),IF($K331="PETROL",SUMIFS(Table14[Quantity],Table14[Customer],$P$3,Table14[Date],$A331,Table14[Bill No.],$B331),IF($K331="XtraGreen",SUMIFS(Table146[Quantity],Table146[Company],$P$3,Table146[Date],$A331,Table146[Bill No.],$B331),""))))</f>
        <v/>
      </c>
      <c r="D331" s="223" t="str">
        <f>IF($A331="","",IF($K331="DIESEL",AVERAGEIFS(Table1[RSP],Table1[Customer],$P$3,Table1[Date],$A331,Table1[Bill No.],$B331),IF($K331="PETROL",AVERAGEIFS(Table14[RSP],Table14[Customer],$P$3,Table14[Date],$A331,Table14[Bill No.],$B331),IF($K331="XtraGreen",AVERAGEIFS(Table146[RSP],Table146[Company],$P$3,Table146[Date],$A331,Table146[Bill No.],$B331),IFERROR($E331/$C331,"")))))</f>
        <v/>
      </c>
      <c r="E331" s="330" t="str">
        <f>IF($A331="","",IF($K331="DIESEL",SUMIFS(Table1[Amount],Table1[Customer],$P$3,Table1[Date],$A331,Table1[Bill No.],$B331),IF($K331="PETROL",SUMIFS(Table14[Amount],Table14[Customer],$P$3,Table14[Date],$A331,Table14[Bill No.],$B331),IF($K331="XtraGreen",SUMIFS(Table146[Amount],Table146[Company],$P$3,Table146[Date],$A331,Table146[Bill No.],$B331),SUMIFS('Other Sale'!$D:$D,'Other Sale'!$E:$E,$P$3,'Other Sale'!$C:$C,$K331,'Other Sale'!$A:$A,$A331)))))</f>
        <v/>
      </c>
      <c r="F331" s="330" t="str" cm="1">
        <f t="array" ref="F331">IF($A331="","",IF($K331="Payment",IFERROR(INDEX(_xlfn._xlws.FILTER(MasterPaid[Amount Paid],(MasterPaid[Customer]=$P$3)*(MasterPaid[Date]=$A331)),COUNTIFS($A$6:$A331,$A331,$K$6:$K331,"Payment")),0),0))</f>
        <v/>
      </c>
      <c r="G331" s="331" t="s">
        <v>13</v>
      </c>
      <c r="H331" s="331"/>
      <c r="I331" s="330" t="str">
        <f t="shared" si="21"/>
        <v/>
      </c>
      <c r="J331" s="275"/>
      <c r="K331" s="289" t="str" cm="1">
        <f t="array" ref="K331">IFERROR(INDEX(_xlfn.ANCHORARRAY($R$6),ROW()-5,3),"")</f>
        <v/>
      </c>
      <c r="L331" s="430" t="str" cm="1">
        <f t="array" ref="L331">IF(OR($A331="",$J331="",$K331&lt;&gt;"DIESEL"),"",_xlfn.LET(_xlpm.qty,N($C331),_xlpm.pos,IF($J331="UNIT 1",$V$5:$V$54,$AC$5:$AC$54),_xlpm.alo,IF($J331="UNIT 1",$W$5:$W$54,$AD$5:$AD$54),_xlpm.usd,SUMIFS($C$6:$C330,$L$6:$L330,_xlpm.pos&amp;"",$J$6:$J330,$J331),_xlpm.bal,N(_xlpm.alo)-_xlpm.usd,IFERROR(INDEX(_xlfn._xlws.FILTER(_xlpm.pos,(_xlpm.pos&lt;&gt;"")*(_xlpm.qty&gt;0)*(_xlpm.bal&gt;=_xlpm.qty)),1),"")))</f>
        <v/>
      </c>
      <c r="M331" s="290"/>
      <c r="AQ331" s="409"/>
      <c r="AR331" s="410"/>
      <c r="AS331" s="410"/>
      <c r="AT331" s="411"/>
      <c r="AU331" s="412"/>
      <c r="AV331" s="413"/>
      <c r="AW331" s="413"/>
      <c r="AX331" s="413"/>
      <c r="AY331" s="413"/>
      <c r="AZ331" s="413" t="str">
        <f t="shared" si="22"/>
        <v/>
      </c>
      <c r="BB331" s="409"/>
      <c r="BC331" s="410"/>
      <c r="BD331" s="410"/>
      <c r="BE331" s="411"/>
      <c r="BF331" s="412"/>
      <c r="BG331" s="413"/>
      <c r="BH331" s="413"/>
      <c r="BI331" s="413"/>
      <c r="BJ331" s="413"/>
      <c r="BK331" s="413" t="str">
        <f t="shared" si="23"/>
        <v/>
      </c>
    </row>
    <row r="332" spans="1:63" ht="23" x14ac:dyDescent="0.25">
      <c r="A332" s="217" t="str" cm="1">
        <f t="array" ref="A332">IFERROR(INDEX(_xlfn.ANCHORARRAY($R$6),ROW()-5,1),"")</f>
        <v/>
      </c>
      <c r="B332" s="289" t="str" cm="1">
        <f t="array" ref="B332">IFERROR(INDEX(_xlfn.ANCHORARRAY($R$6),ROW()-5,2),"")</f>
        <v/>
      </c>
      <c r="C332" s="218" t="str">
        <f>IF($A332="","",IF($K332="DIESEL",SUMIFS(Table1[Quantity],Table1[Customer],$P$3,Table1[Date],$A332,Table1[Bill No.],$B332),IF($K332="PETROL",SUMIFS(Table14[Quantity],Table14[Customer],$P$3,Table14[Date],$A332,Table14[Bill No.],$B332),IF($K332="XtraGreen",SUMIFS(Table146[Quantity],Table146[Company],$P$3,Table146[Date],$A332,Table146[Bill No.],$B332),""))))</f>
        <v/>
      </c>
      <c r="D332" s="223" t="str">
        <f>IF($A332="","",IF($K332="DIESEL",AVERAGEIFS(Table1[RSP],Table1[Customer],$P$3,Table1[Date],$A332,Table1[Bill No.],$B332),IF($K332="PETROL",AVERAGEIFS(Table14[RSP],Table14[Customer],$P$3,Table14[Date],$A332,Table14[Bill No.],$B332),IF($K332="XtraGreen",AVERAGEIFS(Table146[RSP],Table146[Company],$P$3,Table146[Date],$A332,Table146[Bill No.],$B332),IFERROR($E332/$C332,"")))))</f>
        <v/>
      </c>
      <c r="E332" s="330" t="str">
        <f>IF($A332="","",IF($K332="DIESEL",SUMIFS(Table1[Amount],Table1[Customer],$P$3,Table1[Date],$A332,Table1[Bill No.],$B332),IF($K332="PETROL",SUMIFS(Table14[Amount],Table14[Customer],$P$3,Table14[Date],$A332,Table14[Bill No.],$B332),IF($K332="XtraGreen",SUMIFS(Table146[Amount],Table146[Company],$P$3,Table146[Date],$A332,Table146[Bill No.],$B332),SUMIFS('Other Sale'!$D:$D,'Other Sale'!$E:$E,$P$3,'Other Sale'!$C:$C,$K332,'Other Sale'!$A:$A,$A332)))))</f>
        <v/>
      </c>
      <c r="F332" s="330" t="str" cm="1">
        <f t="array" ref="F332">IF($A332="","",IF($K332="Payment",IFERROR(INDEX(_xlfn._xlws.FILTER(MasterPaid[Amount Paid],(MasterPaid[Customer]=$P$3)*(MasterPaid[Date]=$A332)),COUNTIFS($A$6:$A332,$A332,$K$6:$K332,"Payment")),0),0))</f>
        <v/>
      </c>
      <c r="G332" s="331" t="s">
        <v>13</v>
      </c>
      <c r="H332" s="331"/>
      <c r="I332" s="330" t="str">
        <f t="shared" si="21"/>
        <v/>
      </c>
      <c r="J332" s="275"/>
      <c r="K332" s="289" t="str" cm="1">
        <f t="array" ref="K332">IFERROR(INDEX(_xlfn.ANCHORARRAY($R$6),ROW()-5,3),"")</f>
        <v/>
      </c>
      <c r="L332" s="430" t="str" cm="1">
        <f t="array" ref="L332">IF(OR($A332="",$J332="",$K332&lt;&gt;"DIESEL"),"",_xlfn.LET(_xlpm.qty,N($C332),_xlpm.pos,IF($J332="UNIT 1",$V$5:$V$54,$AC$5:$AC$54),_xlpm.alo,IF($J332="UNIT 1",$W$5:$W$54,$AD$5:$AD$54),_xlpm.usd,SUMIFS($C$6:$C331,$L$6:$L331,_xlpm.pos&amp;"",$J$6:$J331,$J332),_xlpm.bal,N(_xlpm.alo)-_xlpm.usd,IFERROR(INDEX(_xlfn._xlws.FILTER(_xlpm.pos,(_xlpm.pos&lt;&gt;"")*(_xlpm.qty&gt;0)*(_xlpm.bal&gt;=_xlpm.qty)),1),"")))</f>
        <v/>
      </c>
      <c r="M332" s="290"/>
      <c r="AQ332" s="409"/>
      <c r="AR332" s="410"/>
      <c r="AS332" s="410"/>
      <c r="AT332" s="411"/>
      <c r="AU332" s="412"/>
      <c r="AV332" s="413"/>
      <c r="AW332" s="413"/>
      <c r="AX332" s="413"/>
      <c r="AY332" s="413"/>
      <c r="AZ332" s="413" t="str">
        <f t="shared" si="22"/>
        <v/>
      </c>
      <c r="BB332" s="409"/>
      <c r="BC332" s="410"/>
      <c r="BD332" s="410"/>
      <c r="BE332" s="411"/>
      <c r="BF332" s="412"/>
      <c r="BG332" s="413"/>
      <c r="BH332" s="413"/>
      <c r="BI332" s="413"/>
      <c r="BJ332" s="413"/>
      <c r="BK332" s="413" t="str">
        <f t="shared" si="23"/>
        <v/>
      </c>
    </row>
    <row r="333" spans="1:63" ht="23" x14ac:dyDescent="0.25">
      <c r="A333" s="217" t="str" cm="1">
        <f t="array" ref="A333">IFERROR(INDEX(_xlfn.ANCHORARRAY($R$6),ROW()-5,1),"")</f>
        <v/>
      </c>
      <c r="B333" s="289" t="str" cm="1">
        <f t="array" ref="B333">IFERROR(INDEX(_xlfn.ANCHORARRAY($R$6),ROW()-5,2),"")</f>
        <v/>
      </c>
      <c r="C333" s="218" t="str">
        <f>IF($A333="","",IF($K333="DIESEL",SUMIFS(Table1[Quantity],Table1[Customer],$P$3,Table1[Date],$A333,Table1[Bill No.],$B333),IF($K333="PETROL",SUMIFS(Table14[Quantity],Table14[Customer],$P$3,Table14[Date],$A333,Table14[Bill No.],$B333),IF($K333="XtraGreen",SUMIFS(Table146[Quantity],Table146[Company],$P$3,Table146[Date],$A333,Table146[Bill No.],$B333),""))))</f>
        <v/>
      </c>
      <c r="D333" s="223" t="str">
        <f>IF($A333="","",IF($K333="DIESEL",AVERAGEIFS(Table1[RSP],Table1[Customer],$P$3,Table1[Date],$A333,Table1[Bill No.],$B333),IF($K333="PETROL",AVERAGEIFS(Table14[RSP],Table14[Customer],$P$3,Table14[Date],$A333,Table14[Bill No.],$B333),IF($K333="XtraGreen",AVERAGEIFS(Table146[RSP],Table146[Company],$P$3,Table146[Date],$A333,Table146[Bill No.],$B333),IFERROR($E333/$C333,"")))))</f>
        <v/>
      </c>
      <c r="E333" s="330" t="str">
        <f>IF($A333="","",IF($K333="DIESEL",SUMIFS(Table1[Amount],Table1[Customer],$P$3,Table1[Date],$A333,Table1[Bill No.],$B333),IF($K333="PETROL",SUMIFS(Table14[Amount],Table14[Customer],$P$3,Table14[Date],$A333,Table14[Bill No.],$B333),IF($K333="XtraGreen",SUMIFS(Table146[Amount],Table146[Company],$P$3,Table146[Date],$A333,Table146[Bill No.],$B333),SUMIFS('Other Sale'!$D:$D,'Other Sale'!$E:$E,$P$3,'Other Sale'!$C:$C,$K333,'Other Sale'!$A:$A,$A333)))))</f>
        <v/>
      </c>
      <c r="F333" s="330" t="str" cm="1">
        <f t="array" ref="F333">IF($A333="","",IF($K333="Payment",IFERROR(INDEX(_xlfn._xlws.FILTER(MasterPaid[Amount Paid],(MasterPaid[Customer]=$P$3)*(MasterPaid[Date]=$A333)),COUNTIFS($A$6:$A333,$A333,$K$6:$K333,"Payment")),0),0))</f>
        <v/>
      </c>
      <c r="G333" s="331" t="s">
        <v>13</v>
      </c>
      <c r="H333" s="331"/>
      <c r="I333" s="330" t="str">
        <f t="shared" si="21"/>
        <v/>
      </c>
      <c r="J333" s="275"/>
      <c r="K333" s="289" t="str" cm="1">
        <f t="array" ref="K333">IFERROR(INDEX(_xlfn.ANCHORARRAY($R$6),ROW()-5,3),"")</f>
        <v/>
      </c>
      <c r="L333" s="430" t="str" cm="1">
        <f t="array" ref="L333">IF(OR($A333="",$J333="",$K333&lt;&gt;"DIESEL"),"",_xlfn.LET(_xlpm.qty,N($C333),_xlpm.pos,IF($J333="UNIT 1",$V$5:$V$54,$AC$5:$AC$54),_xlpm.alo,IF($J333="UNIT 1",$W$5:$W$54,$AD$5:$AD$54),_xlpm.usd,SUMIFS($C$6:$C332,$L$6:$L332,_xlpm.pos&amp;"",$J$6:$J332,$J333),_xlpm.bal,N(_xlpm.alo)-_xlpm.usd,IFERROR(INDEX(_xlfn._xlws.FILTER(_xlpm.pos,(_xlpm.pos&lt;&gt;"")*(_xlpm.qty&gt;0)*(_xlpm.bal&gt;=_xlpm.qty)),1),"")))</f>
        <v/>
      </c>
      <c r="M333" s="290"/>
      <c r="AQ333" s="409"/>
      <c r="AR333" s="410"/>
      <c r="AS333" s="410"/>
      <c r="AT333" s="411"/>
      <c r="AU333" s="412"/>
      <c r="AV333" s="413"/>
      <c r="AW333" s="413"/>
      <c r="AX333" s="413"/>
      <c r="AY333" s="413"/>
      <c r="AZ333" s="413" t="str">
        <f t="shared" si="22"/>
        <v/>
      </c>
      <c r="BB333" s="409"/>
      <c r="BC333" s="410"/>
      <c r="BD333" s="410"/>
      <c r="BE333" s="411"/>
      <c r="BF333" s="412"/>
      <c r="BG333" s="413"/>
      <c r="BH333" s="413"/>
      <c r="BI333" s="413"/>
      <c r="BJ333" s="413"/>
      <c r="BK333" s="413" t="str">
        <f t="shared" si="23"/>
        <v/>
      </c>
    </row>
    <row r="334" spans="1:63" ht="23" x14ac:dyDescent="0.25">
      <c r="A334" s="217" t="str" cm="1">
        <f t="array" ref="A334">IFERROR(INDEX(_xlfn.ANCHORARRAY($R$6),ROW()-5,1),"")</f>
        <v/>
      </c>
      <c r="B334" s="289" t="str" cm="1">
        <f t="array" ref="B334">IFERROR(INDEX(_xlfn.ANCHORARRAY($R$6),ROW()-5,2),"")</f>
        <v/>
      </c>
      <c r="C334" s="218" t="str">
        <f>IF($A334="","",IF($K334="DIESEL",SUMIFS(Table1[Quantity],Table1[Customer],$P$3,Table1[Date],$A334,Table1[Bill No.],$B334),IF($K334="PETROL",SUMIFS(Table14[Quantity],Table14[Customer],$P$3,Table14[Date],$A334,Table14[Bill No.],$B334),IF($K334="XtraGreen",SUMIFS(Table146[Quantity],Table146[Company],$P$3,Table146[Date],$A334,Table146[Bill No.],$B334),""))))</f>
        <v/>
      </c>
      <c r="D334" s="223" t="str">
        <f>IF($A334="","",IF($K334="DIESEL",AVERAGEIFS(Table1[RSP],Table1[Customer],$P$3,Table1[Date],$A334,Table1[Bill No.],$B334),IF($K334="PETROL",AVERAGEIFS(Table14[RSP],Table14[Customer],$P$3,Table14[Date],$A334,Table14[Bill No.],$B334),IF($K334="XtraGreen",AVERAGEIFS(Table146[RSP],Table146[Company],$P$3,Table146[Date],$A334,Table146[Bill No.],$B334),IFERROR($E334/$C334,"")))))</f>
        <v/>
      </c>
      <c r="E334" s="330" t="str">
        <f>IF($A334="","",IF($K334="DIESEL",SUMIFS(Table1[Amount],Table1[Customer],$P$3,Table1[Date],$A334,Table1[Bill No.],$B334),IF($K334="PETROL",SUMIFS(Table14[Amount],Table14[Customer],$P$3,Table14[Date],$A334,Table14[Bill No.],$B334),IF($K334="XtraGreen",SUMIFS(Table146[Amount],Table146[Company],$P$3,Table146[Date],$A334,Table146[Bill No.],$B334),SUMIFS('Other Sale'!$D:$D,'Other Sale'!$E:$E,$P$3,'Other Sale'!$C:$C,$K334,'Other Sale'!$A:$A,$A334)))))</f>
        <v/>
      </c>
      <c r="F334" s="330" t="str" cm="1">
        <f t="array" ref="F334">IF($A334="","",IF($K334="Payment",IFERROR(INDEX(_xlfn._xlws.FILTER(MasterPaid[Amount Paid],(MasterPaid[Customer]=$P$3)*(MasterPaid[Date]=$A334)),COUNTIFS($A$6:$A334,$A334,$K$6:$K334,"Payment")),0),0))</f>
        <v/>
      </c>
      <c r="G334" s="331" t="s">
        <v>13</v>
      </c>
      <c r="H334" s="331"/>
      <c r="I334" s="330" t="str">
        <f t="shared" si="21"/>
        <v/>
      </c>
      <c r="J334" s="275"/>
      <c r="K334" s="289" t="str" cm="1">
        <f t="array" ref="K334">IFERROR(INDEX(_xlfn.ANCHORARRAY($R$6),ROW()-5,3),"")</f>
        <v/>
      </c>
      <c r="L334" s="430" t="str" cm="1">
        <f t="array" ref="L334">IF(OR($A334="",$J334="",$K334&lt;&gt;"DIESEL"),"",_xlfn.LET(_xlpm.qty,N($C334),_xlpm.pos,IF($J334="UNIT 1",$V$5:$V$54,$AC$5:$AC$54),_xlpm.alo,IF($J334="UNIT 1",$W$5:$W$54,$AD$5:$AD$54),_xlpm.usd,SUMIFS($C$6:$C333,$L$6:$L333,_xlpm.pos&amp;"",$J$6:$J333,$J334),_xlpm.bal,N(_xlpm.alo)-_xlpm.usd,IFERROR(INDEX(_xlfn._xlws.FILTER(_xlpm.pos,(_xlpm.pos&lt;&gt;"")*(_xlpm.qty&gt;0)*(_xlpm.bal&gt;=_xlpm.qty)),1),"")))</f>
        <v/>
      </c>
      <c r="M334" s="290"/>
      <c r="AQ334" s="409"/>
      <c r="AR334" s="410"/>
      <c r="AS334" s="410"/>
      <c r="AT334" s="411"/>
      <c r="AU334" s="412"/>
      <c r="AV334" s="413"/>
      <c r="AW334" s="413"/>
      <c r="AX334" s="413"/>
      <c r="AY334" s="413"/>
      <c r="AZ334" s="413" t="str">
        <f t="shared" si="22"/>
        <v/>
      </c>
      <c r="BB334" s="409"/>
      <c r="BC334" s="410"/>
      <c r="BD334" s="410"/>
      <c r="BE334" s="411"/>
      <c r="BF334" s="412"/>
      <c r="BG334" s="413"/>
      <c r="BH334" s="413"/>
      <c r="BI334" s="413"/>
      <c r="BJ334" s="413"/>
      <c r="BK334" s="413" t="str">
        <f t="shared" si="23"/>
        <v/>
      </c>
    </row>
    <row r="335" spans="1:63" ht="23" x14ac:dyDescent="0.25">
      <c r="A335" s="217" t="str" cm="1">
        <f t="array" ref="A335">IFERROR(INDEX(_xlfn.ANCHORARRAY($R$6),ROW()-5,1),"")</f>
        <v/>
      </c>
      <c r="B335" s="289" t="str" cm="1">
        <f t="array" ref="B335">IFERROR(INDEX(_xlfn.ANCHORARRAY($R$6),ROW()-5,2),"")</f>
        <v/>
      </c>
      <c r="C335" s="218" t="str">
        <f>IF($A335="","",IF($K335="DIESEL",SUMIFS(Table1[Quantity],Table1[Customer],$P$3,Table1[Date],$A335,Table1[Bill No.],$B335),IF($K335="PETROL",SUMIFS(Table14[Quantity],Table14[Customer],$P$3,Table14[Date],$A335,Table14[Bill No.],$B335),IF($K335="XtraGreen",SUMIFS(Table146[Quantity],Table146[Company],$P$3,Table146[Date],$A335,Table146[Bill No.],$B335),""))))</f>
        <v/>
      </c>
      <c r="D335" s="223" t="str">
        <f>IF($A335="","",IF($K335="DIESEL",AVERAGEIFS(Table1[RSP],Table1[Customer],$P$3,Table1[Date],$A335,Table1[Bill No.],$B335),IF($K335="PETROL",AVERAGEIFS(Table14[RSP],Table14[Customer],$P$3,Table14[Date],$A335,Table14[Bill No.],$B335),IF($K335="XtraGreen",AVERAGEIFS(Table146[RSP],Table146[Company],$P$3,Table146[Date],$A335,Table146[Bill No.],$B335),IFERROR($E335/$C335,"")))))</f>
        <v/>
      </c>
      <c r="E335" s="330" t="str">
        <f>IF($A335="","",IF($K335="DIESEL",SUMIFS(Table1[Amount],Table1[Customer],$P$3,Table1[Date],$A335,Table1[Bill No.],$B335),IF($K335="PETROL",SUMIFS(Table14[Amount],Table14[Customer],$P$3,Table14[Date],$A335,Table14[Bill No.],$B335),IF($K335="XtraGreen",SUMIFS(Table146[Amount],Table146[Company],$P$3,Table146[Date],$A335,Table146[Bill No.],$B335),SUMIFS('Other Sale'!$D:$D,'Other Sale'!$E:$E,$P$3,'Other Sale'!$C:$C,$K335,'Other Sale'!$A:$A,$A335)))))</f>
        <v/>
      </c>
      <c r="F335" s="330" t="str" cm="1">
        <f t="array" ref="F335">IF($A335="","",IF($K335="Payment",IFERROR(INDEX(_xlfn._xlws.FILTER(MasterPaid[Amount Paid],(MasterPaid[Customer]=$P$3)*(MasterPaid[Date]=$A335)),COUNTIFS($A$6:$A335,$A335,$K$6:$K335,"Payment")),0),0))</f>
        <v/>
      </c>
      <c r="G335" s="331" t="s">
        <v>13</v>
      </c>
      <c r="H335" s="331"/>
      <c r="I335" s="330" t="str">
        <f t="shared" si="21"/>
        <v/>
      </c>
      <c r="J335" s="275"/>
      <c r="K335" s="289" t="str" cm="1">
        <f t="array" ref="K335">IFERROR(INDEX(_xlfn.ANCHORARRAY($R$6),ROW()-5,3),"")</f>
        <v/>
      </c>
      <c r="L335" s="430" t="str" cm="1">
        <f t="array" ref="L335">IF(OR($A335="",$J335="",$K335&lt;&gt;"DIESEL"),"",_xlfn.LET(_xlpm.qty,N($C335),_xlpm.pos,IF($J335="UNIT 1",$V$5:$V$54,$AC$5:$AC$54),_xlpm.alo,IF($J335="UNIT 1",$W$5:$W$54,$AD$5:$AD$54),_xlpm.usd,SUMIFS($C$6:$C334,$L$6:$L334,_xlpm.pos&amp;"",$J$6:$J334,$J335),_xlpm.bal,N(_xlpm.alo)-_xlpm.usd,IFERROR(INDEX(_xlfn._xlws.FILTER(_xlpm.pos,(_xlpm.pos&lt;&gt;"")*(_xlpm.qty&gt;0)*(_xlpm.bal&gt;=_xlpm.qty)),1),"")))</f>
        <v/>
      </c>
      <c r="M335" s="290"/>
      <c r="AQ335" s="409"/>
      <c r="AR335" s="410"/>
      <c r="AS335" s="410"/>
      <c r="AT335" s="411"/>
      <c r="AU335" s="412"/>
      <c r="AV335" s="413"/>
      <c r="AW335" s="413"/>
      <c r="AX335" s="413"/>
      <c r="AY335" s="413"/>
      <c r="AZ335" s="413" t="str">
        <f t="shared" si="22"/>
        <v/>
      </c>
      <c r="BB335" s="409"/>
      <c r="BC335" s="410"/>
      <c r="BD335" s="410"/>
      <c r="BE335" s="411"/>
      <c r="BF335" s="412"/>
      <c r="BG335" s="413"/>
      <c r="BH335" s="413"/>
      <c r="BI335" s="413"/>
      <c r="BJ335" s="413"/>
      <c r="BK335" s="413" t="str">
        <f t="shared" si="23"/>
        <v/>
      </c>
    </row>
    <row r="336" spans="1:63" ht="23" x14ac:dyDescent="0.25">
      <c r="A336" s="217" t="str" cm="1">
        <f t="array" ref="A336">IFERROR(INDEX(_xlfn.ANCHORARRAY($R$6),ROW()-5,1),"")</f>
        <v/>
      </c>
      <c r="B336" s="289" t="str" cm="1">
        <f t="array" ref="B336">IFERROR(INDEX(_xlfn.ANCHORARRAY($R$6),ROW()-5,2),"")</f>
        <v/>
      </c>
      <c r="C336" s="218" t="str">
        <f>IF($A336="","",IF($K336="DIESEL",SUMIFS(Table1[Quantity],Table1[Customer],$P$3,Table1[Date],$A336,Table1[Bill No.],$B336),IF($K336="PETROL",SUMIFS(Table14[Quantity],Table14[Customer],$P$3,Table14[Date],$A336,Table14[Bill No.],$B336),IF($K336="XtraGreen",SUMIFS(Table146[Quantity],Table146[Company],$P$3,Table146[Date],$A336,Table146[Bill No.],$B336),""))))</f>
        <v/>
      </c>
      <c r="D336" s="223" t="str">
        <f>IF($A336="","",IF($K336="DIESEL",AVERAGEIFS(Table1[RSP],Table1[Customer],$P$3,Table1[Date],$A336,Table1[Bill No.],$B336),IF($K336="PETROL",AVERAGEIFS(Table14[RSP],Table14[Customer],$P$3,Table14[Date],$A336,Table14[Bill No.],$B336),IF($K336="XtraGreen",AVERAGEIFS(Table146[RSP],Table146[Company],$P$3,Table146[Date],$A336,Table146[Bill No.],$B336),IFERROR($E336/$C336,"")))))</f>
        <v/>
      </c>
      <c r="E336" s="330" t="str">
        <f>IF($A336="","",IF($K336="DIESEL",SUMIFS(Table1[Amount],Table1[Customer],$P$3,Table1[Date],$A336,Table1[Bill No.],$B336),IF($K336="PETROL",SUMIFS(Table14[Amount],Table14[Customer],$P$3,Table14[Date],$A336,Table14[Bill No.],$B336),IF($K336="XtraGreen",SUMIFS(Table146[Amount],Table146[Company],$P$3,Table146[Date],$A336,Table146[Bill No.],$B336),SUMIFS('Other Sale'!$D:$D,'Other Sale'!$E:$E,$P$3,'Other Sale'!$C:$C,$K336,'Other Sale'!$A:$A,$A336)))))</f>
        <v/>
      </c>
      <c r="F336" s="330" t="str" cm="1">
        <f t="array" ref="F336">IF($A336="","",IF($K336="Payment",IFERROR(INDEX(_xlfn._xlws.FILTER(MasterPaid[Amount Paid],(MasterPaid[Customer]=$P$3)*(MasterPaid[Date]=$A336)),COUNTIFS($A$6:$A336,$A336,$K$6:$K336,"Payment")),0),0))</f>
        <v/>
      </c>
      <c r="G336" s="331" t="s">
        <v>13</v>
      </c>
      <c r="H336" s="331"/>
      <c r="I336" s="330" t="str">
        <f t="shared" si="21"/>
        <v/>
      </c>
      <c r="J336" s="275"/>
      <c r="K336" s="289" t="str" cm="1">
        <f t="array" ref="K336">IFERROR(INDEX(_xlfn.ANCHORARRAY($R$6),ROW()-5,3),"")</f>
        <v/>
      </c>
      <c r="L336" s="430" t="str" cm="1">
        <f t="array" ref="L336">IF(OR($A336="",$J336="",$K336&lt;&gt;"DIESEL"),"",_xlfn.LET(_xlpm.qty,N($C336),_xlpm.pos,IF($J336="UNIT 1",$V$5:$V$54,$AC$5:$AC$54),_xlpm.alo,IF($J336="UNIT 1",$W$5:$W$54,$AD$5:$AD$54),_xlpm.usd,SUMIFS($C$6:$C335,$L$6:$L335,_xlpm.pos&amp;"",$J$6:$J335,$J336),_xlpm.bal,N(_xlpm.alo)-_xlpm.usd,IFERROR(INDEX(_xlfn._xlws.FILTER(_xlpm.pos,(_xlpm.pos&lt;&gt;"")*(_xlpm.qty&gt;0)*(_xlpm.bal&gt;=_xlpm.qty)),1),"")))</f>
        <v/>
      </c>
      <c r="M336" s="290"/>
      <c r="AQ336" s="409"/>
      <c r="AR336" s="410"/>
      <c r="AS336" s="410"/>
      <c r="AT336" s="411"/>
      <c r="AU336" s="412"/>
      <c r="AV336" s="413"/>
      <c r="AW336" s="413"/>
      <c r="AX336" s="413"/>
      <c r="AY336" s="413"/>
      <c r="AZ336" s="413" t="str">
        <f t="shared" si="22"/>
        <v/>
      </c>
      <c r="BB336" s="409"/>
      <c r="BC336" s="410"/>
      <c r="BD336" s="410"/>
      <c r="BE336" s="411"/>
      <c r="BF336" s="412"/>
      <c r="BG336" s="413"/>
      <c r="BH336" s="413"/>
      <c r="BI336" s="413"/>
      <c r="BJ336" s="413"/>
      <c r="BK336" s="413" t="str">
        <f t="shared" si="23"/>
        <v/>
      </c>
    </row>
    <row r="337" spans="1:63" ht="23" x14ac:dyDescent="0.25">
      <c r="A337" s="217" t="str" cm="1">
        <f t="array" ref="A337">IFERROR(INDEX(_xlfn.ANCHORARRAY($R$6),ROW()-5,1),"")</f>
        <v/>
      </c>
      <c r="B337" s="289" t="str" cm="1">
        <f t="array" ref="B337">IFERROR(INDEX(_xlfn.ANCHORARRAY($R$6),ROW()-5,2),"")</f>
        <v/>
      </c>
      <c r="C337" s="218" t="str">
        <f>IF($A337="","",IF($K337="DIESEL",SUMIFS(Table1[Quantity],Table1[Customer],$P$3,Table1[Date],$A337,Table1[Bill No.],$B337),IF($K337="PETROL",SUMIFS(Table14[Quantity],Table14[Customer],$P$3,Table14[Date],$A337,Table14[Bill No.],$B337),IF($K337="XtraGreen",SUMIFS(Table146[Quantity],Table146[Company],$P$3,Table146[Date],$A337,Table146[Bill No.],$B337),""))))</f>
        <v/>
      </c>
      <c r="D337" s="223" t="str">
        <f>IF($A337="","",IF($K337="DIESEL",AVERAGEIFS(Table1[RSP],Table1[Customer],$P$3,Table1[Date],$A337,Table1[Bill No.],$B337),IF($K337="PETROL",AVERAGEIFS(Table14[RSP],Table14[Customer],$P$3,Table14[Date],$A337,Table14[Bill No.],$B337),IF($K337="XtraGreen",AVERAGEIFS(Table146[RSP],Table146[Company],$P$3,Table146[Date],$A337,Table146[Bill No.],$B337),IFERROR($E337/$C337,"")))))</f>
        <v/>
      </c>
      <c r="E337" s="330" t="str">
        <f>IF($A337="","",IF($K337="DIESEL",SUMIFS(Table1[Amount],Table1[Customer],$P$3,Table1[Date],$A337,Table1[Bill No.],$B337),IF($K337="PETROL",SUMIFS(Table14[Amount],Table14[Customer],$P$3,Table14[Date],$A337,Table14[Bill No.],$B337),IF($K337="XtraGreen",SUMIFS(Table146[Amount],Table146[Company],$P$3,Table146[Date],$A337,Table146[Bill No.],$B337),SUMIFS('Other Sale'!$D:$D,'Other Sale'!$E:$E,$P$3,'Other Sale'!$C:$C,$K337,'Other Sale'!$A:$A,$A337)))))</f>
        <v/>
      </c>
      <c r="F337" s="330" t="str" cm="1">
        <f t="array" ref="F337">IF($A337="","",IF($K337="Payment",IFERROR(INDEX(_xlfn._xlws.FILTER(MasterPaid[Amount Paid],(MasterPaid[Customer]=$P$3)*(MasterPaid[Date]=$A337)),COUNTIFS($A$6:$A337,$A337,$K$6:$K337,"Payment")),0),0))</f>
        <v/>
      </c>
      <c r="G337" s="331" t="s">
        <v>13</v>
      </c>
      <c r="H337" s="331"/>
      <c r="I337" s="330" t="str">
        <f t="shared" si="21"/>
        <v/>
      </c>
      <c r="J337" s="275"/>
      <c r="K337" s="289" t="str" cm="1">
        <f t="array" ref="K337">IFERROR(INDEX(_xlfn.ANCHORARRAY($R$6),ROW()-5,3),"")</f>
        <v/>
      </c>
      <c r="L337" s="430" t="str" cm="1">
        <f t="array" ref="L337">IF(OR($A337="",$J337="",$K337&lt;&gt;"DIESEL"),"",_xlfn.LET(_xlpm.qty,N($C337),_xlpm.pos,IF($J337="UNIT 1",$V$5:$V$54,$AC$5:$AC$54),_xlpm.alo,IF($J337="UNIT 1",$W$5:$W$54,$AD$5:$AD$54),_xlpm.usd,SUMIFS($C$6:$C336,$L$6:$L336,_xlpm.pos&amp;"",$J$6:$J336,$J337),_xlpm.bal,N(_xlpm.alo)-_xlpm.usd,IFERROR(INDEX(_xlfn._xlws.FILTER(_xlpm.pos,(_xlpm.pos&lt;&gt;"")*(_xlpm.qty&gt;0)*(_xlpm.bal&gt;=_xlpm.qty)),1),"")))</f>
        <v/>
      </c>
      <c r="M337" s="290"/>
      <c r="AQ337" s="409"/>
      <c r="AR337" s="410"/>
      <c r="AS337" s="410"/>
      <c r="AT337" s="411"/>
      <c r="AU337" s="412"/>
      <c r="AV337" s="413"/>
      <c r="AW337" s="413"/>
      <c r="AX337" s="413"/>
      <c r="AY337" s="413"/>
      <c r="AZ337" s="413" t="str">
        <f t="shared" si="22"/>
        <v/>
      </c>
      <c r="BB337" s="409"/>
      <c r="BC337" s="410"/>
      <c r="BD337" s="410"/>
      <c r="BE337" s="411"/>
      <c r="BF337" s="412"/>
      <c r="BG337" s="413"/>
      <c r="BH337" s="413"/>
      <c r="BI337" s="413"/>
      <c r="BJ337" s="413"/>
      <c r="BK337" s="413" t="str">
        <f t="shared" si="23"/>
        <v/>
      </c>
    </row>
    <row r="338" spans="1:63" ht="23" x14ac:dyDescent="0.25">
      <c r="A338" s="217" t="str" cm="1">
        <f t="array" ref="A338">IFERROR(INDEX(_xlfn.ANCHORARRAY($R$6),ROW()-5,1),"")</f>
        <v/>
      </c>
      <c r="B338" s="289" t="str" cm="1">
        <f t="array" ref="B338">IFERROR(INDEX(_xlfn.ANCHORARRAY($R$6),ROW()-5,2),"")</f>
        <v/>
      </c>
      <c r="C338" s="218" t="str">
        <f>IF($A338="","",IF($K338="DIESEL",SUMIFS(Table1[Quantity],Table1[Customer],$P$3,Table1[Date],$A338,Table1[Bill No.],$B338),IF($K338="PETROL",SUMIFS(Table14[Quantity],Table14[Customer],$P$3,Table14[Date],$A338,Table14[Bill No.],$B338),IF($K338="XtraGreen",SUMIFS(Table146[Quantity],Table146[Company],$P$3,Table146[Date],$A338,Table146[Bill No.],$B338),""))))</f>
        <v/>
      </c>
      <c r="D338" s="223" t="str">
        <f>IF($A338="","",IF($K338="DIESEL",AVERAGEIFS(Table1[RSP],Table1[Customer],$P$3,Table1[Date],$A338,Table1[Bill No.],$B338),IF($K338="PETROL",AVERAGEIFS(Table14[RSP],Table14[Customer],$P$3,Table14[Date],$A338,Table14[Bill No.],$B338),IF($K338="XtraGreen",AVERAGEIFS(Table146[RSP],Table146[Company],$P$3,Table146[Date],$A338,Table146[Bill No.],$B338),IFERROR($E338/$C338,"")))))</f>
        <v/>
      </c>
      <c r="E338" s="330" t="str">
        <f>IF($A338="","",IF($K338="DIESEL",SUMIFS(Table1[Amount],Table1[Customer],$P$3,Table1[Date],$A338,Table1[Bill No.],$B338),IF($K338="PETROL",SUMIFS(Table14[Amount],Table14[Customer],$P$3,Table14[Date],$A338,Table14[Bill No.],$B338),IF($K338="XtraGreen",SUMIFS(Table146[Amount],Table146[Company],$P$3,Table146[Date],$A338,Table146[Bill No.],$B338),SUMIFS('Other Sale'!$D:$D,'Other Sale'!$E:$E,$P$3,'Other Sale'!$C:$C,$K338,'Other Sale'!$A:$A,$A338)))))</f>
        <v/>
      </c>
      <c r="F338" s="330" t="str" cm="1">
        <f t="array" ref="F338">IF($A338="","",IF($K338="Payment",IFERROR(INDEX(_xlfn._xlws.FILTER(MasterPaid[Amount Paid],(MasterPaid[Customer]=$P$3)*(MasterPaid[Date]=$A338)),COUNTIFS($A$6:$A338,$A338,$K$6:$K338,"Payment")),0),0))</f>
        <v/>
      </c>
      <c r="G338" s="331" t="s">
        <v>13</v>
      </c>
      <c r="H338" s="331"/>
      <c r="I338" s="330" t="str">
        <f t="shared" si="21"/>
        <v/>
      </c>
      <c r="J338" s="275"/>
      <c r="K338" s="289" t="str" cm="1">
        <f t="array" ref="K338">IFERROR(INDEX(_xlfn.ANCHORARRAY($R$6),ROW()-5,3),"")</f>
        <v/>
      </c>
      <c r="L338" s="430" t="str" cm="1">
        <f t="array" ref="L338">IF(OR($A338="",$J338="",$K338&lt;&gt;"DIESEL"),"",_xlfn.LET(_xlpm.qty,N($C338),_xlpm.pos,IF($J338="UNIT 1",$V$5:$V$54,$AC$5:$AC$54),_xlpm.alo,IF($J338="UNIT 1",$W$5:$W$54,$AD$5:$AD$54),_xlpm.usd,SUMIFS($C$6:$C337,$L$6:$L337,_xlpm.pos&amp;"",$J$6:$J337,$J338),_xlpm.bal,N(_xlpm.alo)-_xlpm.usd,IFERROR(INDEX(_xlfn._xlws.FILTER(_xlpm.pos,(_xlpm.pos&lt;&gt;"")*(_xlpm.qty&gt;0)*(_xlpm.bal&gt;=_xlpm.qty)),1),"")))</f>
        <v/>
      </c>
      <c r="M338" s="290"/>
      <c r="AQ338" s="409"/>
      <c r="AR338" s="410"/>
      <c r="AS338" s="410"/>
      <c r="AT338" s="411"/>
      <c r="AU338" s="412"/>
      <c r="AV338" s="413"/>
      <c r="AW338" s="413"/>
      <c r="AX338" s="413"/>
      <c r="AY338" s="413"/>
      <c r="AZ338" s="413" t="str">
        <f t="shared" si="22"/>
        <v/>
      </c>
      <c r="BB338" s="409"/>
      <c r="BC338" s="410"/>
      <c r="BD338" s="410"/>
      <c r="BE338" s="411"/>
      <c r="BF338" s="412"/>
      <c r="BG338" s="413"/>
      <c r="BH338" s="413"/>
      <c r="BI338" s="413"/>
      <c r="BJ338" s="413"/>
      <c r="BK338" s="413" t="str">
        <f t="shared" si="23"/>
        <v/>
      </c>
    </row>
    <row r="339" spans="1:63" ht="23" x14ac:dyDescent="0.25">
      <c r="A339" s="217" t="str" cm="1">
        <f t="array" ref="A339">IFERROR(INDEX(_xlfn.ANCHORARRAY($R$6),ROW()-5,1),"")</f>
        <v/>
      </c>
      <c r="B339" s="289" t="str" cm="1">
        <f t="array" ref="B339">IFERROR(INDEX(_xlfn.ANCHORARRAY($R$6),ROW()-5,2),"")</f>
        <v/>
      </c>
      <c r="C339" s="218" t="str">
        <f>IF($A339="","",IF($K339="DIESEL",SUMIFS(Table1[Quantity],Table1[Customer],$P$3,Table1[Date],$A339,Table1[Bill No.],$B339),IF($K339="PETROL",SUMIFS(Table14[Quantity],Table14[Customer],$P$3,Table14[Date],$A339,Table14[Bill No.],$B339),IF($K339="XtraGreen",SUMIFS(Table146[Quantity],Table146[Company],$P$3,Table146[Date],$A339,Table146[Bill No.],$B339),""))))</f>
        <v/>
      </c>
      <c r="D339" s="223" t="str">
        <f>IF($A339="","",IF($K339="DIESEL",AVERAGEIFS(Table1[RSP],Table1[Customer],$P$3,Table1[Date],$A339,Table1[Bill No.],$B339),IF($K339="PETROL",AVERAGEIFS(Table14[RSP],Table14[Customer],$P$3,Table14[Date],$A339,Table14[Bill No.],$B339),IF($K339="XtraGreen",AVERAGEIFS(Table146[RSP],Table146[Company],$P$3,Table146[Date],$A339,Table146[Bill No.],$B339),IFERROR($E339/$C339,"")))))</f>
        <v/>
      </c>
      <c r="E339" s="330" t="str">
        <f>IF($A339="","",IF($K339="DIESEL",SUMIFS(Table1[Amount],Table1[Customer],$P$3,Table1[Date],$A339,Table1[Bill No.],$B339),IF($K339="PETROL",SUMIFS(Table14[Amount],Table14[Customer],$P$3,Table14[Date],$A339,Table14[Bill No.],$B339),IF($K339="XtraGreen",SUMIFS(Table146[Amount],Table146[Company],$P$3,Table146[Date],$A339,Table146[Bill No.],$B339),SUMIFS('Other Sale'!$D:$D,'Other Sale'!$E:$E,$P$3,'Other Sale'!$C:$C,$K339,'Other Sale'!$A:$A,$A339)))))</f>
        <v/>
      </c>
      <c r="F339" s="330" t="str" cm="1">
        <f t="array" ref="F339">IF($A339="","",IF($K339="Payment",IFERROR(INDEX(_xlfn._xlws.FILTER(MasterPaid[Amount Paid],(MasterPaid[Customer]=$P$3)*(MasterPaid[Date]=$A339)),COUNTIFS($A$6:$A339,$A339,$K$6:$K339,"Payment")),0),0))</f>
        <v/>
      </c>
      <c r="G339" s="331" t="s">
        <v>13</v>
      </c>
      <c r="H339" s="331"/>
      <c r="I339" s="330" t="str">
        <f t="shared" si="21"/>
        <v/>
      </c>
      <c r="J339" s="275"/>
      <c r="K339" s="289" t="str" cm="1">
        <f t="array" ref="K339">IFERROR(INDEX(_xlfn.ANCHORARRAY($R$6),ROW()-5,3),"")</f>
        <v/>
      </c>
      <c r="L339" s="430" t="str" cm="1">
        <f t="array" ref="L339">IF(OR($A339="",$J339="",$K339&lt;&gt;"DIESEL"),"",_xlfn.LET(_xlpm.qty,N($C339),_xlpm.pos,IF($J339="UNIT 1",$V$5:$V$54,$AC$5:$AC$54),_xlpm.alo,IF($J339="UNIT 1",$W$5:$W$54,$AD$5:$AD$54),_xlpm.usd,SUMIFS($C$6:$C338,$L$6:$L338,_xlpm.pos&amp;"",$J$6:$J338,$J339),_xlpm.bal,N(_xlpm.alo)-_xlpm.usd,IFERROR(INDEX(_xlfn._xlws.FILTER(_xlpm.pos,(_xlpm.pos&lt;&gt;"")*(_xlpm.qty&gt;0)*(_xlpm.bal&gt;=_xlpm.qty)),1),"")))</f>
        <v/>
      </c>
      <c r="M339" s="290"/>
      <c r="AQ339" s="409"/>
      <c r="AR339" s="410"/>
      <c r="AS339" s="410"/>
      <c r="AT339" s="411"/>
      <c r="AU339" s="412"/>
      <c r="AV339" s="413"/>
      <c r="AW339" s="413"/>
      <c r="AX339" s="413"/>
      <c r="AY339" s="413"/>
      <c r="AZ339" s="413" t="str">
        <f t="shared" si="22"/>
        <v/>
      </c>
      <c r="BB339" s="409"/>
      <c r="BC339" s="410"/>
      <c r="BD339" s="410"/>
      <c r="BE339" s="411"/>
      <c r="BF339" s="412"/>
      <c r="BG339" s="413"/>
      <c r="BH339" s="413"/>
      <c r="BI339" s="413"/>
      <c r="BJ339" s="413"/>
      <c r="BK339" s="413" t="str">
        <f t="shared" si="23"/>
        <v/>
      </c>
    </row>
    <row r="340" spans="1:63" ht="23" x14ac:dyDescent="0.25">
      <c r="A340" s="217" t="str" cm="1">
        <f t="array" ref="A340">IFERROR(INDEX(_xlfn.ANCHORARRAY($R$6),ROW()-5,1),"")</f>
        <v/>
      </c>
      <c r="B340" s="289" t="str" cm="1">
        <f t="array" ref="B340">IFERROR(INDEX(_xlfn.ANCHORARRAY($R$6),ROW()-5,2),"")</f>
        <v/>
      </c>
      <c r="C340" s="218" t="str">
        <f>IF($A340="","",IF($K340="DIESEL",SUMIFS(Table1[Quantity],Table1[Customer],$P$3,Table1[Date],$A340,Table1[Bill No.],$B340),IF($K340="PETROL",SUMIFS(Table14[Quantity],Table14[Customer],$P$3,Table14[Date],$A340,Table14[Bill No.],$B340),IF($K340="XtraGreen",SUMIFS(Table146[Quantity],Table146[Company],$P$3,Table146[Date],$A340,Table146[Bill No.],$B340),""))))</f>
        <v/>
      </c>
      <c r="D340" s="223" t="str">
        <f>IF($A340="","",IF($K340="DIESEL",AVERAGEIFS(Table1[RSP],Table1[Customer],$P$3,Table1[Date],$A340,Table1[Bill No.],$B340),IF($K340="PETROL",AVERAGEIFS(Table14[RSP],Table14[Customer],$P$3,Table14[Date],$A340,Table14[Bill No.],$B340),IF($K340="XtraGreen",AVERAGEIFS(Table146[RSP],Table146[Company],$P$3,Table146[Date],$A340,Table146[Bill No.],$B340),IFERROR($E340/$C340,"")))))</f>
        <v/>
      </c>
      <c r="E340" s="330" t="str">
        <f>IF($A340="","",IF($K340="DIESEL",SUMIFS(Table1[Amount],Table1[Customer],$P$3,Table1[Date],$A340,Table1[Bill No.],$B340),IF($K340="PETROL",SUMIFS(Table14[Amount],Table14[Customer],$P$3,Table14[Date],$A340,Table14[Bill No.],$B340),IF($K340="XtraGreen",SUMIFS(Table146[Amount],Table146[Company],$P$3,Table146[Date],$A340,Table146[Bill No.],$B340),SUMIFS('Other Sale'!$D:$D,'Other Sale'!$E:$E,$P$3,'Other Sale'!$C:$C,$K340,'Other Sale'!$A:$A,$A340)))))</f>
        <v/>
      </c>
      <c r="F340" s="330" t="str" cm="1">
        <f t="array" ref="F340">IF($A340="","",IF($K340="Payment",IFERROR(INDEX(_xlfn._xlws.FILTER(MasterPaid[Amount Paid],(MasterPaid[Customer]=$P$3)*(MasterPaid[Date]=$A340)),COUNTIFS($A$6:$A340,$A340,$K$6:$K340,"Payment")),0),0))</f>
        <v/>
      </c>
      <c r="G340" s="331" t="s">
        <v>13</v>
      </c>
      <c r="H340" s="331"/>
      <c r="I340" s="330" t="str">
        <f t="shared" si="21"/>
        <v/>
      </c>
      <c r="J340" s="275"/>
      <c r="K340" s="289" t="str" cm="1">
        <f t="array" ref="K340">IFERROR(INDEX(_xlfn.ANCHORARRAY($R$6),ROW()-5,3),"")</f>
        <v/>
      </c>
      <c r="L340" s="430" t="str" cm="1">
        <f t="array" ref="L340">IF(OR($A340="",$J340="",$K340&lt;&gt;"DIESEL"),"",_xlfn.LET(_xlpm.qty,N($C340),_xlpm.pos,IF($J340="UNIT 1",$V$5:$V$54,$AC$5:$AC$54),_xlpm.alo,IF($J340="UNIT 1",$W$5:$W$54,$AD$5:$AD$54),_xlpm.usd,SUMIFS($C$6:$C339,$L$6:$L339,_xlpm.pos&amp;"",$J$6:$J339,$J340),_xlpm.bal,N(_xlpm.alo)-_xlpm.usd,IFERROR(INDEX(_xlfn._xlws.FILTER(_xlpm.pos,(_xlpm.pos&lt;&gt;"")*(_xlpm.qty&gt;0)*(_xlpm.bal&gt;=_xlpm.qty)),1),"")))</f>
        <v/>
      </c>
      <c r="M340" s="290"/>
      <c r="AQ340" s="409"/>
      <c r="AR340" s="410"/>
      <c r="AS340" s="410"/>
      <c r="AT340" s="411"/>
      <c r="AU340" s="412"/>
      <c r="AV340" s="413"/>
      <c r="AW340" s="413"/>
      <c r="AX340" s="413"/>
      <c r="AY340" s="413"/>
      <c r="AZ340" s="413" t="str">
        <f t="shared" si="22"/>
        <v/>
      </c>
      <c r="BB340" s="409"/>
      <c r="BC340" s="410"/>
      <c r="BD340" s="410"/>
      <c r="BE340" s="411"/>
      <c r="BF340" s="412"/>
      <c r="BG340" s="413"/>
      <c r="BH340" s="413"/>
      <c r="BI340" s="413"/>
      <c r="BJ340" s="413"/>
      <c r="BK340" s="413" t="str">
        <f t="shared" si="23"/>
        <v/>
      </c>
    </row>
    <row r="341" spans="1:63" ht="23" x14ac:dyDescent="0.25">
      <c r="A341" s="217" t="str" cm="1">
        <f t="array" ref="A341">IFERROR(INDEX(_xlfn.ANCHORARRAY($R$6),ROW()-5,1),"")</f>
        <v/>
      </c>
      <c r="B341" s="289" t="str" cm="1">
        <f t="array" ref="B341">IFERROR(INDEX(_xlfn.ANCHORARRAY($R$6),ROW()-5,2),"")</f>
        <v/>
      </c>
      <c r="C341" s="218" t="str">
        <f>IF($A341="","",IF($K341="DIESEL",SUMIFS(Table1[Quantity],Table1[Customer],$P$3,Table1[Date],$A341,Table1[Bill No.],$B341),IF($K341="PETROL",SUMIFS(Table14[Quantity],Table14[Customer],$P$3,Table14[Date],$A341,Table14[Bill No.],$B341),IF($K341="XtraGreen",SUMIFS(Table146[Quantity],Table146[Company],$P$3,Table146[Date],$A341,Table146[Bill No.],$B341),""))))</f>
        <v/>
      </c>
      <c r="D341" s="223" t="str">
        <f>IF($A341="","",IF($K341="DIESEL",AVERAGEIFS(Table1[RSP],Table1[Customer],$P$3,Table1[Date],$A341,Table1[Bill No.],$B341),IF($K341="PETROL",AVERAGEIFS(Table14[RSP],Table14[Customer],$P$3,Table14[Date],$A341,Table14[Bill No.],$B341),IF($K341="XtraGreen",AVERAGEIFS(Table146[RSP],Table146[Company],$P$3,Table146[Date],$A341,Table146[Bill No.],$B341),IFERROR($E341/$C341,"")))))</f>
        <v/>
      </c>
      <c r="E341" s="330" t="str">
        <f>IF($A341="","",IF($K341="DIESEL",SUMIFS(Table1[Amount],Table1[Customer],$P$3,Table1[Date],$A341,Table1[Bill No.],$B341),IF($K341="PETROL",SUMIFS(Table14[Amount],Table14[Customer],$P$3,Table14[Date],$A341,Table14[Bill No.],$B341),IF($K341="XtraGreen",SUMIFS(Table146[Amount],Table146[Company],$P$3,Table146[Date],$A341,Table146[Bill No.],$B341),SUMIFS('Other Sale'!$D:$D,'Other Sale'!$E:$E,$P$3,'Other Sale'!$C:$C,$K341,'Other Sale'!$A:$A,$A341)))))</f>
        <v/>
      </c>
      <c r="F341" s="330" t="str" cm="1">
        <f t="array" ref="F341">IF($A341="","",IF($K341="Payment",IFERROR(INDEX(_xlfn._xlws.FILTER(MasterPaid[Amount Paid],(MasterPaid[Customer]=$P$3)*(MasterPaid[Date]=$A341)),COUNTIFS($A$6:$A341,$A341,$K$6:$K341,"Payment")),0),0))</f>
        <v/>
      </c>
      <c r="G341" s="331" t="s">
        <v>13</v>
      </c>
      <c r="H341" s="331"/>
      <c r="I341" s="330" t="str">
        <f t="shared" si="21"/>
        <v/>
      </c>
      <c r="J341" s="275"/>
      <c r="K341" s="289" t="str" cm="1">
        <f t="array" ref="K341">IFERROR(INDEX(_xlfn.ANCHORARRAY($R$6),ROW()-5,3),"")</f>
        <v/>
      </c>
      <c r="L341" s="430" t="str" cm="1">
        <f t="array" ref="L341">IF(OR($A341="",$J341="",$K341&lt;&gt;"DIESEL"),"",_xlfn.LET(_xlpm.qty,N($C341),_xlpm.pos,IF($J341="UNIT 1",$V$5:$V$54,$AC$5:$AC$54),_xlpm.alo,IF($J341="UNIT 1",$W$5:$W$54,$AD$5:$AD$54),_xlpm.usd,SUMIFS($C$6:$C340,$L$6:$L340,_xlpm.pos&amp;"",$J$6:$J340,$J341),_xlpm.bal,N(_xlpm.alo)-_xlpm.usd,IFERROR(INDEX(_xlfn._xlws.FILTER(_xlpm.pos,(_xlpm.pos&lt;&gt;"")*(_xlpm.qty&gt;0)*(_xlpm.bal&gt;=_xlpm.qty)),1),"")))</f>
        <v/>
      </c>
      <c r="M341" s="290"/>
      <c r="AQ341" s="409"/>
      <c r="AR341" s="410"/>
      <c r="AS341" s="410"/>
      <c r="AT341" s="411"/>
      <c r="AU341" s="412"/>
      <c r="AV341" s="413"/>
      <c r="AW341" s="413"/>
      <c r="AX341" s="413"/>
      <c r="AY341" s="413"/>
      <c r="AZ341" s="413" t="str">
        <f t="shared" si="22"/>
        <v/>
      </c>
      <c r="BB341" s="409"/>
      <c r="BC341" s="410"/>
      <c r="BD341" s="410"/>
      <c r="BE341" s="411"/>
      <c r="BF341" s="412"/>
      <c r="BG341" s="413"/>
      <c r="BH341" s="413"/>
      <c r="BI341" s="413"/>
      <c r="BJ341" s="413"/>
      <c r="BK341" s="413" t="str">
        <f t="shared" si="23"/>
        <v/>
      </c>
    </row>
    <row r="342" spans="1:63" ht="23" x14ac:dyDescent="0.25">
      <c r="A342" s="217" t="str" cm="1">
        <f t="array" ref="A342">IFERROR(INDEX(_xlfn.ANCHORARRAY($R$6),ROW()-5,1),"")</f>
        <v/>
      </c>
      <c r="B342" s="289" t="str" cm="1">
        <f t="array" ref="B342">IFERROR(INDEX(_xlfn.ANCHORARRAY($R$6),ROW()-5,2),"")</f>
        <v/>
      </c>
      <c r="C342" s="218" t="str">
        <f>IF($A342="","",IF($K342="DIESEL",SUMIFS(Table1[Quantity],Table1[Customer],$P$3,Table1[Date],$A342,Table1[Bill No.],$B342),IF($K342="PETROL",SUMIFS(Table14[Quantity],Table14[Customer],$P$3,Table14[Date],$A342,Table14[Bill No.],$B342),IF($K342="XtraGreen",SUMIFS(Table146[Quantity],Table146[Company],$P$3,Table146[Date],$A342,Table146[Bill No.],$B342),""))))</f>
        <v/>
      </c>
      <c r="D342" s="223" t="str">
        <f>IF($A342="","",IF($K342="DIESEL",AVERAGEIFS(Table1[RSP],Table1[Customer],$P$3,Table1[Date],$A342,Table1[Bill No.],$B342),IF($K342="PETROL",AVERAGEIFS(Table14[RSP],Table14[Customer],$P$3,Table14[Date],$A342,Table14[Bill No.],$B342),IF($K342="XtraGreen",AVERAGEIFS(Table146[RSP],Table146[Company],$P$3,Table146[Date],$A342,Table146[Bill No.],$B342),IFERROR($E342/$C342,"")))))</f>
        <v/>
      </c>
      <c r="E342" s="330" t="str">
        <f>IF($A342="","",IF($K342="DIESEL",SUMIFS(Table1[Amount],Table1[Customer],$P$3,Table1[Date],$A342,Table1[Bill No.],$B342),IF($K342="PETROL",SUMIFS(Table14[Amount],Table14[Customer],$P$3,Table14[Date],$A342,Table14[Bill No.],$B342),IF($K342="XtraGreen",SUMIFS(Table146[Amount],Table146[Company],$P$3,Table146[Date],$A342,Table146[Bill No.],$B342),SUMIFS('Other Sale'!$D:$D,'Other Sale'!$E:$E,$P$3,'Other Sale'!$C:$C,$K342,'Other Sale'!$A:$A,$A342)))))</f>
        <v/>
      </c>
      <c r="F342" s="330" t="str" cm="1">
        <f t="array" ref="F342">IF($A342="","",IF($K342="Payment",IFERROR(INDEX(_xlfn._xlws.FILTER(MasterPaid[Amount Paid],(MasterPaid[Customer]=$P$3)*(MasterPaid[Date]=$A342)),COUNTIFS($A$6:$A342,$A342,$K$6:$K342,"Payment")),0),0))</f>
        <v/>
      </c>
      <c r="G342" s="331" t="s">
        <v>13</v>
      </c>
      <c r="H342" s="331"/>
      <c r="I342" s="330" t="str">
        <f t="shared" ref="I342:I355" si="24">IF($A342="","",I341+N(E342)-N(F342)-N(G342)-N(H342))</f>
        <v/>
      </c>
      <c r="J342" s="275"/>
      <c r="K342" s="289" t="str" cm="1">
        <f t="array" ref="K342">IFERROR(INDEX(_xlfn.ANCHORARRAY($R$6),ROW()-5,3),"")</f>
        <v/>
      </c>
      <c r="L342" s="430" t="str" cm="1">
        <f t="array" ref="L342">IF(OR($A342="",$J342="",$K342&lt;&gt;"DIESEL"),"",_xlfn.LET(_xlpm.qty,N($C342),_xlpm.pos,IF($J342="UNIT 1",$V$5:$V$54,$AC$5:$AC$54),_xlpm.alo,IF($J342="UNIT 1",$W$5:$W$54,$AD$5:$AD$54),_xlpm.usd,SUMIFS($C$6:$C341,$L$6:$L341,_xlpm.pos&amp;"",$J$6:$J341,$J342),_xlpm.bal,N(_xlpm.alo)-_xlpm.usd,IFERROR(INDEX(_xlfn._xlws.FILTER(_xlpm.pos,(_xlpm.pos&lt;&gt;"")*(_xlpm.qty&gt;0)*(_xlpm.bal&gt;=_xlpm.qty)),1),"")))</f>
        <v/>
      </c>
      <c r="M342" s="290"/>
      <c r="AQ342" s="409"/>
      <c r="AR342" s="410"/>
      <c r="AS342" s="410"/>
      <c r="AT342" s="411"/>
      <c r="AU342" s="412"/>
      <c r="AV342" s="413"/>
      <c r="AW342" s="413"/>
      <c r="AX342" s="413"/>
      <c r="AY342" s="413"/>
      <c r="AZ342" s="413" t="str">
        <f t="shared" si="22"/>
        <v/>
      </c>
      <c r="BB342" s="409"/>
      <c r="BC342" s="410"/>
      <c r="BD342" s="410"/>
      <c r="BE342" s="411"/>
      <c r="BF342" s="412"/>
      <c r="BG342" s="413"/>
      <c r="BH342" s="413"/>
      <c r="BI342" s="413"/>
      <c r="BJ342" s="413"/>
      <c r="BK342" s="413" t="str">
        <f t="shared" si="23"/>
        <v/>
      </c>
    </row>
    <row r="343" spans="1:63" ht="23" x14ac:dyDescent="0.25">
      <c r="A343" s="217" t="str" cm="1">
        <f t="array" ref="A343">IFERROR(INDEX(_xlfn.ANCHORARRAY($R$6),ROW()-5,1),"")</f>
        <v/>
      </c>
      <c r="B343" s="289" t="str" cm="1">
        <f t="array" ref="B343">IFERROR(INDEX(_xlfn.ANCHORARRAY($R$6),ROW()-5,2),"")</f>
        <v/>
      </c>
      <c r="C343" s="218" t="str">
        <f>IF($A343="","",IF($K343="DIESEL",SUMIFS(Table1[Quantity],Table1[Customer],$P$3,Table1[Date],$A343,Table1[Bill No.],$B343),IF($K343="PETROL",SUMIFS(Table14[Quantity],Table14[Customer],$P$3,Table14[Date],$A343,Table14[Bill No.],$B343),IF($K343="XtraGreen",SUMIFS(Table146[Quantity],Table146[Company],$P$3,Table146[Date],$A343,Table146[Bill No.],$B343),""))))</f>
        <v/>
      </c>
      <c r="D343" s="223" t="str">
        <f>IF($A343="","",IF($K343="DIESEL",AVERAGEIFS(Table1[RSP],Table1[Customer],$P$3,Table1[Date],$A343,Table1[Bill No.],$B343),IF($K343="PETROL",AVERAGEIFS(Table14[RSP],Table14[Customer],$P$3,Table14[Date],$A343,Table14[Bill No.],$B343),IF($K343="XtraGreen",AVERAGEIFS(Table146[RSP],Table146[Company],$P$3,Table146[Date],$A343,Table146[Bill No.],$B343),IFERROR($E343/$C343,"")))))</f>
        <v/>
      </c>
      <c r="E343" s="330" t="str">
        <f>IF($A343="","",IF($K343="DIESEL",SUMIFS(Table1[Amount],Table1[Customer],$P$3,Table1[Date],$A343,Table1[Bill No.],$B343),IF($K343="PETROL",SUMIFS(Table14[Amount],Table14[Customer],$P$3,Table14[Date],$A343,Table14[Bill No.],$B343),IF($K343="XtraGreen",SUMIFS(Table146[Amount],Table146[Company],$P$3,Table146[Date],$A343,Table146[Bill No.],$B343),SUMIFS('Other Sale'!$D:$D,'Other Sale'!$E:$E,$P$3,'Other Sale'!$C:$C,$K343,'Other Sale'!$A:$A,$A343)))))</f>
        <v/>
      </c>
      <c r="F343" s="330" t="str" cm="1">
        <f t="array" ref="F343">IF($A343="","",IF($K343="Payment",IFERROR(INDEX(_xlfn._xlws.FILTER(MasterPaid[Amount Paid],(MasterPaid[Customer]=$P$3)*(MasterPaid[Date]=$A343)),COUNTIFS($A$6:$A343,$A343,$K$6:$K343,"Payment")),0),0))</f>
        <v/>
      </c>
      <c r="G343" s="331" t="s">
        <v>13</v>
      </c>
      <c r="H343" s="331"/>
      <c r="I343" s="330" t="str">
        <f t="shared" si="24"/>
        <v/>
      </c>
      <c r="J343" s="275"/>
      <c r="K343" s="289" t="str" cm="1">
        <f t="array" ref="K343">IFERROR(INDEX(_xlfn.ANCHORARRAY($R$6),ROW()-5,3),"")</f>
        <v/>
      </c>
      <c r="L343" s="430" t="str" cm="1">
        <f t="array" ref="L343">IF(OR($A343="",$J343="",$K343&lt;&gt;"DIESEL"),"",_xlfn.LET(_xlpm.qty,N($C343),_xlpm.pos,IF($J343="UNIT 1",$V$5:$V$54,$AC$5:$AC$54),_xlpm.alo,IF($J343="UNIT 1",$W$5:$W$54,$AD$5:$AD$54),_xlpm.usd,SUMIFS($C$6:$C342,$L$6:$L342,_xlpm.pos&amp;"",$J$6:$J342,$J343),_xlpm.bal,N(_xlpm.alo)-_xlpm.usd,IFERROR(INDEX(_xlfn._xlws.FILTER(_xlpm.pos,(_xlpm.pos&lt;&gt;"")*(_xlpm.qty&gt;0)*(_xlpm.bal&gt;=_xlpm.qty)),1),"")))</f>
        <v/>
      </c>
      <c r="M343" s="290"/>
      <c r="AQ343" s="409"/>
      <c r="AR343" s="410"/>
      <c r="AS343" s="410"/>
      <c r="AT343" s="411"/>
      <c r="AU343" s="412"/>
      <c r="AV343" s="413"/>
      <c r="AW343" s="413"/>
      <c r="AX343" s="413"/>
      <c r="AY343" s="413"/>
      <c r="AZ343" s="413" t="str">
        <f t="shared" si="22"/>
        <v/>
      </c>
      <c r="BB343" s="409"/>
      <c r="BC343" s="410"/>
      <c r="BD343" s="410"/>
      <c r="BE343" s="411"/>
      <c r="BF343" s="412"/>
      <c r="BG343" s="413"/>
      <c r="BH343" s="413"/>
      <c r="BI343" s="413"/>
      <c r="BJ343" s="413"/>
      <c r="BK343" s="413" t="str">
        <f t="shared" si="23"/>
        <v/>
      </c>
    </row>
    <row r="344" spans="1:63" ht="23" x14ac:dyDescent="0.25">
      <c r="A344" s="217" t="str" cm="1">
        <f t="array" ref="A344">IFERROR(INDEX(_xlfn.ANCHORARRAY($R$6),ROW()-5,1),"")</f>
        <v/>
      </c>
      <c r="B344" s="289" t="str" cm="1">
        <f t="array" ref="B344">IFERROR(INDEX(_xlfn.ANCHORARRAY($R$6),ROW()-5,2),"")</f>
        <v/>
      </c>
      <c r="C344" s="218" t="str">
        <f>IF($A344="","",IF($K344="DIESEL",SUMIFS(Table1[Quantity],Table1[Customer],$P$3,Table1[Date],$A344,Table1[Bill No.],$B344),IF($K344="PETROL",SUMIFS(Table14[Quantity],Table14[Customer],$P$3,Table14[Date],$A344,Table14[Bill No.],$B344),IF($K344="XtraGreen",SUMIFS(Table146[Quantity],Table146[Company],$P$3,Table146[Date],$A344,Table146[Bill No.],$B344),""))))</f>
        <v/>
      </c>
      <c r="D344" s="223" t="str">
        <f>IF($A344="","",IF($K344="DIESEL",AVERAGEIFS(Table1[RSP],Table1[Customer],$P$3,Table1[Date],$A344,Table1[Bill No.],$B344),IF($K344="PETROL",AVERAGEIFS(Table14[RSP],Table14[Customer],$P$3,Table14[Date],$A344,Table14[Bill No.],$B344),IF($K344="XtraGreen",AVERAGEIFS(Table146[RSP],Table146[Company],$P$3,Table146[Date],$A344,Table146[Bill No.],$B344),IFERROR($E344/$C344,"")))))</f>
        <v/>
      </c>
      <c r="E344" s="330" t="str">
        <f>IF($A344="","",IF($K344="DIESEL",SUMIFS(Table1[Amount],Table1[Customer],$P$3,Table1[Date],$A344,Table1[Bill No.],$B344),IF($K344="PETROL",SUMIFS(Table14[Amount],Table14[Customer],$P$3,Table14[Date],$A344,Table14[Bill No.],$B344),IF($K344="XtraGreen",SUMIFS(Table146[Amount],Table146[Company],$P$3,Table146[Date],$A344,Table146[Bill No.],$B344),SUMIFS('Other Sale'!$D:$D,'Other Sale'!$E:$E,$P$3,'Other Sale'!$C:$C,$K344,'Other Sale'!$A:$A,$A344)))))</f>
        <v/>
      </c>
      <c r="F344" s="330" t="str" cm="1">
        <f t="array" ref="F344">IF($A344="","",IF($K344="Payment",IFERROR(INDEX(_xlfn._xlws.FILTER(MasterPaid[Amount Paid],(MasterPaid[Customer]=$P$3)*(MasterPaid[Date]=$A344)),COUNTIFS($A$6:$A344,$A344,$K$6:$K344,"Payment")),0),0))</f>
        <v/>
      </c>
      <c r="G344" s="331" t="s">
        <v>13</v>
      </c>
      <c r="H344" s="331"/>
      <c r="I344" s="330" t="str">
        <f t="shared" si="24"/>
        <v/>
      </c>
      <c r="J344" s="275"/>
      <c r="K344" s="289" t="str" cm="1">
        <f t="array" ref="K344">IFERROR(INDEX(_xlfn.ANCHORARRAY($R$6),ROW()-5,3),"")</f>
        <v/>
      </c>
      <c r="L344" s="430" t="str" cm="1">
        <f t="array" ref="L344">IF(OR($A344="",$J344="",$K344&lt;&gt;"DIESEL"),"",_xlfn.LET(_xlpm.qty,N($C344),_xlpm.pos,IF($J344="UNIT 1",$V$5:$V$54,$AC$5:$AC$54),_xlpm.alo,IF($J344="UNIT 1",$W$5:$W$54,$AD$5:$AD$54),_xlpm.usd,SUMIFS($C$6:$C343,$L$6:$L343,_xlpm.pos&amp;"",$J$6:$J343,$J344),_xlpm.bal,N(_xlpm.alo)-_xlpm.usd,IFERROR(INDEX(_xlfn._xlws.FILTER(_xlpm.pos,(_xlpm.pos&lt;&gt;"")*(_xlpm.qty&gt;0)*(_xlpm.bal&gt;=_xlpm.qty)),1),"")))</f>
        <v/>
      </c>
      <c r="M344" s="290"/>
      <c r="AQ344" s="409"/>
      <c r="AR344" s="410"/>
      <c r="AS344" s="410"/>
      <c r="AT344" s="411"/>
      <c r="AU344" s="412"/>
      <c r="AV344" s="413"/>
      <c r="AW344" s="413"/>
      <c r="AX344" s="413"/>
      <c r="AY344" s="413"/>
      <c r="AZ344" s="413" t="str">
        <f t="shared" si="22"/>
        <v/>
      </c>
      <c r="BB344" s="409"/>
      <c r="BC344" s="410"/>
      <c r="BD344" s="410"/>
      <c r="BE344" s="411"/>
      <c r="BF344" s="412"/>
      <c r="BG344" s="413"/>
      <c r="BH344" s="413"/>
      <c r="BI344" s="413"/>
      <c r="BJ344" s="413"/>
      <c r="BK344" s="413" t="str">
        <f t="shared" si="23"/>
        <v/>
      </c>
    </row>
    <row r="345" spans="1:63" ht="23" x14ac:dyDescent="0.25">
      <c r="A345" s="217" t="str" cm="1">
        <f t="array" ref="A345">IFERROR(INDEX(_xlfn.ANCHORARRAY($R$6),ROW()-5,1),"")</f>
        <v/>
      </c>
      <c r="B345" s="289" t="str" cm="1">
        <f t="array" ref="B345">IFERROR(INDEX(_xlfn.ANCHORARRAY($R$6),ROW()-5,2),"")</f>
        <v/>
      </c>
      <c r="C345" s="218" t="str">
        <f>IF($A345="","",IF($K345="DIESEL",SUMIFS(Table1[Quantity],Table1[Customer],$P$3,Table1[Date],$A345,Table1[Bill No.],$B345),IF($K345="PETROL",SUMIFS(Table14[Quantity],Table14[Customer],$P$3,Table14[Date],$A345,Table14[Bill No.],$B345),IF($K345="XtraGreen",SUMIFS(Table146[Quantity],Table146[Company],$P$3,Table146[Date],$A345,Table146[Bill No.],$B345),""))))</f>
        <v/>
      </c>
      <c r="D345" s="223" t="str">
        <f>IF($A345="","",IF($K345="DIESEL",AVERAGEIFS(Table1[RSP],Table1[Customer],$P$3,Table1[Date],$A345,Table1[Bill No.],$B345),IF($K345="PETROL",AVERAGEIFS(Table14[RSP],Table14[Customer],$P$3,Table14[Date],$A345,Table14[Bill No.],$B345),IF($K345="XtraGreen",AVERAGEIFS(Table146[RSP],Table146[Company],$P$3,Table146[Date],$A345,Table146[Bill No.],$B345),IFERROR($E345/$C345,"")))))</f>
        <v/>
      </c>
      <c r="E345" s="330" t="str">
        <f>IF($A345="","",IF($K345="DIESEL",SUMIFS(Table1[Amount],Table1[Customer],$P$3,Table1[Date],$A345,Table1[Bill No.],$B345),IF($K345="PETROL",SUMIFS(Table14[Amount],Table14[Customer],$P$3,Table14[Date],$A345,Table14[Bill No.],$B345),IF($K345="XtraGreen",SUMIFS(Table146[Amount],Table146[Company],$P$3,Table146[Date],$A345,Table146[Bill No.],$B345),SUMIFS('Other Sale'!$D:$D,'Other Sale'!$E:$E,$P$3,'Other Sale'!$C:$C,$K345,'Other Sale'!$A:$A,$A345)))))</f>
        <v/>
      </c>
      <c r="F345" s="330" t="str" cm="1">
        <f t="array" ref="F345">IF($A345="","",IF($K345="Payment",IFERROR(INDEX(_xlfn._xlws.FILTER(MasterPaid[Amount Paid],(MasterPaid[Customer]=$P$3)*(MasterPaid[Date]=$A345)),COUNTIFS($A$6:$A345,$A345,$K$6:$K345,"Payment")),0),0))</f>
        <v/>
      </c>
      <c r="G345" s="331" t="s">
        <v>13</v>
      </c>
      <c r="H345" s="331"/>
      <c r="I345" s="330" t="str">
        <f t="shared" si="24"/>
        <v/>
      </c>
      <c r="J345" s="275"/>
      <c r="K345" s="289" t="str" cm="1">
        <f t="array" ref="K345">IFERROR(INDEX(_xlfn.ANCHORARRAY($R$6),ROW()-5,3),"")</f>
        <v/>
      </c>
      <c r="L345" s="430" t="str" cm="1">
        <f t="array" ref="L345">IF(OR($A345="",$J345="",$K345&lt;&gt;"DIESEL"),"",_xlfn.LET(_xlpm.qty,N($C345),_xlpm.pos,IF($J345="UNIT 1",$V$5:$V$54,$AC$5:$AC$54),_xlpm.alo,IF($J345="UNIT 1",$W$5:$W$54,$AD$5:$AD$54),_xlpm.usd,SUMIFS($C$6:$C344,$L$6:$L344,_xlpm.pos&amp;"",$J$6:$J344,$J345),_xlpm.bal,N(_xlpm.alo)-_xlpm.usd,IFERROR(INDEX(_xlfn._xlws.FILTER(_xlpm.pos,(_xlpm.pos&lt;&gt;"")*(_xlpm.qty&gt;0)*(_xlpm.bal&gt;=_xlpm.qty)),1),"")))</f>
        <v/>
      </c>
      <c r="M345" s="290"/>
      <c r="AQ345" s="409"/>
      <c r="AR345" s="410"/>
      <c r="AS345" s="410"/>
      <c r="AT345" s="411"/>
      <c r="AU345" s="412"/>
      <c r="AV345" s="413"/>
      <c r="AW345" s="413"/>
      <c r="AX345" s="413"/>
      <c r="AY345" s="413"/>
      <c r="AZ345" s="413" t="str">
        <f t="shared" si="22"/>
        <v/>
      </c>
      <c r="BB345" s="409"/>
      <c r="BC345" s="410"/>
      <c r="BD345" s="410"/>
      <c r="BE345" s="411"/>
      <c r="BF345" s="412"/>
      <c r="BG345" s="413"/>
      <c r="BH345" s="413"/>
      <c r="BI345" s="413"/>
      <c r="BJ345" s="413"/>
      <c r="BK345" s="413" t="str">
        <f t="shared" si="23"/>
        <v/>
      </c>
    </row>
    <row r="346" spans="1:63" ht="23" x14ac:dyDescent="0.25">
      <c r="A346" s="217" t="str" cm="1">
        <f t="array" ref="A346">IFERROR(INDEX(_xlfn.ANCHORARRAY($R$6),ROW()-5,1),"")</f>
        <v/>
      </c>
      <c r="B346" s="289" t="str" cm="1">
        <f t="array" ref="B346">IFERROR(INDEX(_xlfn.ANCHORARRAY($R$6),ROW()-5,2),"")</f>
        <v/>
      </c>
      <c r="C346" s="218" t="str">
        <f>IF($A346="","",IF($K346="DIESEL",SUMIFS(Table1[Quantity],Table1[Customer],$P$3,Table1[Date],$A346,Table1[Bill No.],$B346),IF($K346="PETROL",SUMIFS(Table14[Quantity],Table14[Customer],$P$3,Table14[Date],$A346,Table14[Bill No.],$B346),IF($K346="XtraGreen",SUMIFS(Table146[Quantity],Table146[Company],$P$3,Table146[Date],$A346,Table146[Bill No.],$B346),""))))</f>
        <v/>
      </c>
      <c r="D346" s="223" t="str">
        <f>IF($A346="","",IF($K346="DIESEL",AVERAGEIFS(Table1[RSP],Table1[Customer],$P$3,Table1[Date],$A346,Table1[Bill No.],$B346),IF($K346="PETROL",AVERAGEIFS(Table14[RSP],Table14[Customer],$P$3,Table14[Date],$A346,Table14[Bill No.],$B346),IF($K346="XtraGreen",AVERAGEIFS(Table146[RSP],Table146[Company],$P$3,Table146[Date],$A346,Table146[Bill No.],$B346),IFERROR($E346/$C346,"")))))</f>
        <v/>
      </c>
      <c r="E346" s="330" t="str">
        <f>IF($A346="","",IF($K346="DIESEL",SUMIFS(Table1[Amount],Table1[Customer],$P$3,Table1[Date],$A346,Table1[Bill No.],$B346),IF($K346="PETROL",SUMIFS(Table14[Amount],Table14[Customer],$P$3,Table14[Date],$A346,Table14[Bill No.],$B346),IF($K346="XtraGreen",SUMIFS(Table146[Amount],Table146[Company],$P$3,Table146[Date],$A346,Table146[Bill No.],$B346),SUMIFS('Other Sale'!$D:$D,'Other Sale'!$E:$E,$P$3,'Other Sale'!$C:$C,$K346,'Other Sale'!$A:$A,$A346)))))</f>
        <v/>
      </c>
      <c r="F346" s="330" t="str" cm="1">
        <f t="array" ref="F346">IF($A346="","",IF($K346="Payment",IFERROR(INDEX(_xlfn._xlws.FILTER(MasterPaid[Amount Paid],(MasterPaid[Customer]=$P$3)*(MasterPaid[Date]=$A346)),COUNTIFS($A$6:$A346,$A346,$K$6:$K346,"Payment")),0),0))</f>
        <v/>
      </c>
      <c r="G346" s="331" t="s">
        <v>13</v>
      </c>
      <c r="H346" s="331"/>
      <c r="I346" s="330" t="str">
        <f t="shared" si="24"/>
        <v/>
      </c>
      <c r="J346" s="275"/>
      <c r="K346" s="289" t="str" cm="1">
        <f t="array" ref="K346">IFERROR(INDEX(_xlfn.ANCHORARRAY($R$6),ROW()-5,3),"")</f>
        <v/>
      </c>
      <c r="L346" s="430" t="str" cm="1">
        <f t="array" ref="L346">IF(OR($A346="",$J346="",$K346&lt;&gt;"DIESEL"),"",_xlfn.LET(_xlpm.qty,N($C346),_xlpm.pos,IF($J346="UNIT 1",$V$5:$V$54,$AC$5:$AC$54),_xlpm.alo,IF($J346="UNIT 1",$W$5:$W$54,$AD$5:$AD$54),_xlpm.usd,SUMIFS($C$6:$C345,$L$6:$L345,_xlpm.pos&amp;"",$J$6:$J345,$J346),_xlpm.bal,N(_xlpm.alo)-_xlpm.usd,IFERROR(INDEX(_xlfn._xlws.FILTER(_xlpm.pos,(_xlpm.pos&lt;&gt;"")*(_xlpm.qty&gt;0)*(_xlpm.bal&gt;=_xlpm.qty)),1),"")))</f>
        <v/>
      </c>
      <c r="M346" s="290"/>
      <c r="AQ346" s="409"/>
      <c r="AR346" s="410"/>
      <c r="AS346" s="410"/>
      <c r="AT346" s="411"/>
      <c r="AU346" s="412"/>
      <c r="AV346" s="413"/>
      <c r="AW346" s="413"/>
      <c r="AX346" s="413"/>
      <c r="AY346" s="413"/>
      <c r="AZ346" s="413" t="str">
        <f t="shared" si="22"/>
        <v/>
      </c>
      <c r="BB346" s="409"/>
      <c r="BC346" s="410"/>
      <c r="BD346" s="410"/>
      <c r="BE346" s="411"/>
      <c r="BF346" s="412"/>
      <c r="BG346" s="413"/>
      <c r="BH346" s="413"/>
      <c r="BI346" s="413"/>
      <c r="BJ346" s="413"/>
      <c r="BK346" s="413" t="str">
        <f t="shared" si="23"/>
        <v/>
      </c>
    </row>
    <row r="347" spans="1:63" ht="23" x14ac:dyDescent="0.25">
      <c r="A347" s="217" t="str" cm="1">
        <f t="array" ref="A347">IFERROR(INDEX(_xlfn.ANCHORARRAY($R$6),ROW()-5,1),"")</f>
        <v/>
      </c>
      <c r="B347" s="289" t="str" cm="1">
        <f t="array" ref="B347">IFERROR(INDEX(_xlfn.ANCHORARRAY($R$6),ROW()-5,2),"")</f>
        <v/>
      </c>
      <c r="C347" s="218" t="str">
        <f>IF($A347="","",IF($K347="DIESEL",SUMIFS(Table1[Quantity],Table1[Customer],$P$3,Table1[Date],$A347,Table1[Bill No.],$B347),IF($K347="PETROL",SUMIFS(Table14[Quantity],Table14[Customer],$P$3,Table14[Date],$A347,Table14[Bill No.],$B347),IF($K347="XtraGreen",SUMIFS(Table146[Quantity],Table146[Company],$P$3,Table146[Date],$A347,Table146[Bill No.],$B347),""))))</f>
        <v/>
      </c>
      <c r="D347" s="223" t="str">
        <f>IF($A347="","",IF($K347="DIESEL",AVERAGEIFS(Table1[RSP],Table1[Customer],$P$3,Table1[Date],$A347,Table1[Bill No.],$B347),IF($K347="PETROL",AVERAGEIFS(Table14[RSP],Table14[Customer],$P$3,Table14[Date],$A347,Table14[Bill No.],$B347),IF($K347="XtraGreen",AVERAGEIFS(Table146[RSP],Table146[Company],$P$3,Table146[Date],$A347,Table146[Bill No.],$B347),IFERROR($E347/$C347,"")))))</f>
        <v/>
      </c>
      <c r="E347" s="330" t="str">
        <f>IF($A347="","",IF($K347="DIESEL",SUMIFS(Table1[Amount],Table1[Customer],$P$3,Table1[Date],$A347,Table1[Bill No.],$B347),IF($K347="PETROL",SUMIFS(Table14[Amount],Table14[Customer],$P$3,Table14[Date],$A347,Table14[Bill No.],$B347),IF($K347="XtraGreen",SUMIFS(Table146[Amount],Table146[Company],$P$3,Table146[Date],$A347,Table146[Bill No.],$B347),SUMIFS('Other Sale'!$D:$D,'Other Sale'!$E:$E,$P$3,'Other Sale'!$C:$C,$K347,'Other Sale'!$A:$A,$A347)))))</f>
        <v/>
      </c>
      <c r="F347" s="330" t="str" cm="1">
        <f t="array" ref="F347">IF($A347="","",IF($K347="Payment",IFERROR(INDEX(_xlfn._xlws.FILTER(MasterPaid[Amount Paid],(MasterPaid[Customer]=$P$3)*(MasterPaid[Date]=$A347)),COUNTIFS($A$6:$A347,$A347,$K$6:$K347,"Payment")),0),0))</f>
        <v/>
      </c>
      <c r="G347" s="331" t="s">
        <v>13</v>
      </c>
      <c r="H347" s="331"/>
      <c r="I347" s="330" t="str">
        <f t="shared" si="24"/>
        <v/>
      </c>
      <c r="J347" s="275"/>
      <c r="K347" s="289" t="str" cm="1">
        <f t="array" ref="K347">IFERROR(INDEX(_xlfn.ANCHORARRAY($R$6),ROW()-5,3),"")</f>
        <v/>
      </c>
      <c r="L347" s="430" t="str" cm="1">
        <f t="array" ref="L347">IF(OR($A347="",$J347="",$K347&lt;&gt;"DIESEL"),"",_xlfn.LET(_xlpm.qty,N($C347),_xlpm.pos,IF($J347="UNIT 1",$V$5:$V$54,$AC$5:$AC$54),_xlpm.alo,IF($J347="UNIT 1",$W$5:$W$54,$AD$5:$AD$54),_xlpm.usd,SUMIFS($C$6:$C346,$L$6:$L346,_xlpm.pos&amp;"",$J$6:$J346,$J347),_xlpm.bal,N(_xlpm.alo)-_xlpm.usd,IFERROR(INDEX(_xlfn._xlws.FILTER(_xlpm.pos,(_xlpm.pos&lt;&gt;"")*(_xlpm.qty&gt;0)*(_xlpm.bal&gt;=_xlpm.qty)),1),"")))</f>
        <v/>
      </c>
      <c r="M347" s="290"/>
      <c r="AQ347" s="409"/>
      <c r="AR347" s="410"/>
      <c r="AS347" s="410"/>
      <c r="AT347" s="411"/>
      <c r="AU347" s="412"/>
      <c r="AV347" s="413"/>
      <c r="AW347" s="413"/>
      <c r="AX347" s="413"/>
      <c r="AY347" s="413"/>
      <c r="AZ347" s="413" t="str">
        <f t="shared" si="22"/>
        <v/>
      </c>
      <c r="BB347" s="409"/>
      <c r="BC347" s="410"/>
      <c r="BD347" s="410"/>
      <c r="BE347" s="411"/>
      <c r="BF347" s="412"/>
      <c r="BG347" s="413"/>
      <c r="BH347" s="413"/>
      <c r="BI347" s="413"/>
      <c r="BJ347" s="413"/>
      <c r="BK347" s="413" t="str">
        <f t="shared" si="23"/>
        <v/>
      </c>
    </row>
    <row r="348" spans="1:63" ht="23" x14ac:dyDescent="0.25">
      <c r="A348" s="217" t="str" cm="1">
        <f t="array" ref="A348">IFERROR(INDEX(_xlfn.ANCHORARRAY($R$6),ROW()-5,1),"")</f>
        <v/>
      </c>
      <c r="B348" s="289" t="str" cm="1">
        <f t="array" ref="B348">IFERROR(INDEX(_xlfn.ANCHORARRAY($R$6),ROW()-5,2),"")</f>
        <v/>
      </c>
      <c r="C348" s="218" t="str">
        <f>IF($A348="","",IF($K348="DIESEL",SUMIFS(Table1[Quantity],Table1[Customer],$P$3,Table1[Date],$A348,Table1[Bill No.],$B348),IF($K348="PETROL",SUMIFS(Table14[Quantity],Table14[Customer],$P$3,Table14[Date],$A348,Table14[Bill No.],$B348),IF($K348="XtraGreen",SUMIFS(Table146[Quantity],Table146[Company],$P$3,Table146[Date],$A348,Table146[Bill No.],$B348),""))))</f>
        <v/>
      </c>
      <c r="D348" s="223" t="str">
        <f>IF($A348="","",IF($K348="DIESEL",AVERAGEIFS(Table1[RSP],Table1[Customer],$P$3,Table1[Date],$A348,Table1[Bill No.],$B348),IF($K348="PETROL",AVERAGEIFS(Table14[RSP],Table14[Customer],$P$3,Table14[Date],$A348,Table14[Bill No.],$B348),IF($K348="XtraGreen",AVERAGEIFS(Table146[RSP],Table146[Company],$P$3,Table146[Date],$A348,Table146[Bill No.],$B348),IFERROR($E348/$C348,"")))))</f>
        <v/>
      </c>
      <c r="E348" s="330" t="str">
        <f>IF($A348="","",IF($K348="DIESEL",SUMIFS(Table1[Amount],Table1[Customer],$P$3,Table1[Date],$A348,Table1[Bill No.],$B348),IF($K348="PETROL",SUMIFS(Table14[Amount],Table14[Customer],$P$3,Table14[Date],$A348,Table14[Bill No.],$B348),IF($K348="XtraGreen",SUMIFS(Table146[Amount],Table146[Company],$P$3,Table146[Date],$A348,Table146[Bill No.],$B348),SUMIFS('Other Sale'!$D:$D,'Other Sale'!$E:$E,$P$3,'Other Sale'!$C:$C,$K348,'Other Sale'!$A:$A,$A348)))))</f>
        <v/>
      </c>
      <c r="F348" s="330" t="str" cm="1">
        <f t="array" ref="F348">IF($A348="","",IF($K348="Payment",IFERROR(INDEX(_xlfn._xlws.FILTER(MasterPaid[Amount Paid],(MasterPaid[Customer]=$P$3)*(MasterPaid[Date]=$A348)),COUNTIFS($A$6:$A348,$A348,$K$6:$K348,"Payment")),0),0))</f>
        <v/>
      </c>
      <c r="G348" s="331" t="s">
        <v>13</v>
      </c>
      <c r="H348" s="331"/>
      <c r="I348" s="330" t="str">
        <f t="shared" si="24"/>
        <v/>
      </c>
      <c r="J348" s="275"/>
      <c r="K348" s="289" t="str" cm="1">
        <f t="array" ref="K348">IFERROR(INDEX(_xlfn.ANCHORARRAY($R$6),ROW()-5,3),"")</f>
        <v/>
      </c>
      <c r="L348" s="430" t="str" cm="1">
        <f t="array" ref="L348">IF(OR($A348="",$J348="",$K348&lt;&gt;"DIESEL"),"",_xlfn.LET(_xlpm.qty,N($C348),_xlpm.pos,IF($J348="UNIT 1",$V$5:$V$54,$AC$5:$AC$54),_xlpm.alo,IF($J348="UNIT 1",$W$5:$W$54,$AD$5:$AD$54),_xlpm.usd,SUMIFS($C$6:$C347,$L$6:$L347,_xlpm.pos&amp;"",$J$6:$J347,$J348),_xlpm.bal,N(_xlpm.alo)-_xlpm.usd,IFERROR(INDEX(_xlfn._xlws.FILTER(_xlpm.pos,(_xlpm.pos&lt;&gt;"")*(_xlpm.qty&gt;0)*(_xlpm.bal&gt;=_xlpm.qty)),1),"")))</f>
        <v/>
      </c>
      <c r="M348" s="290"/>
      <c r="AQ348" s="409"/>
      <c r="AR348" s="410"/>
      <c r="AS348" s="410"/>
      <c r="AT348" s="411"/>
      <c r="AU348" s="412"/>
      <c r="AV348" s="413"/>
      <c r="AW348" s="413"/>
      <c r="AX348" s="413"/>
      <c r="AY348" s="413"/>
      <c r="AZ348" s="413" t="str">
        <f t="shared" si="22"/>
        <v/>
      </c>
      <c r="BB348" s="409"/>
      <c r="BC348" s="410"/>
      <c r="BD348" s="410"/>
      <c r="BE348" s="411"/>
      <c r="BF348" s="412"/>
      <c r="BG348" s="413"/>
      <c r="BH348" s="413"/>
      <c r="BI348" s="413"/>
      <c r="BJ348" s="413"/>
      <c r="BK348" s="413" t="str">
        <f t="shared" si="23"/>
        <v/>
      </c>
    </row>
    <row r="349" spans="1:63" ht="23" x14ac:dyDescent="0.25">
      <c r="A349" s="217" t="str" cm="1">
        <f t="array" ref="A349">IFERROR(INDEX(_xlfn.ANCHORARRAY($R$6),ROW()-5,1),"")</f>
        <v/>
      </c>
      <c r="B349" s="289" t="str" cm="1">
        <f t="array" ref="B349">IFERROR(INDEX(_xlfn.ANCHORARRAY($R$6),ROW()-5,2),"")</f>
        <v/>
      </c>
      <c r="C349" s="218" t="str">
        <f>IF($A349="","",IF($K349="DIESEL",SUMIFS(Table1[Quantity],Table1[Customer],$P$3,Table1[Date],$A349,Table1[Bill No.],$B349),IF($K349="PETROL",SUMIFS(Table14[Quantity],Table14[Customer],$P$3,Table14[Date],$A349,Table14[Bill No.],$B349),IF($K349="XtraGreen",SUMIFS(Table146[Quantity],Table146[Company],$P$3,Table146[Date],$A349,Table146[Bill No.],$B349),""))))</f>
        <v/>
      </c>
      <c r="D349" s="223" t="str">
        <f>IF($A349="","",IF($K349="DIESEL",AVERAGEIFS(Table1[RSP],Table1[Customer],$P$3,Table1[Date],$A349,Table1[Bill No.],$B349),IF($K349="PETROL",AVERAGEIFS(Table14[RSP],Table14[Customer],$P$3,Table14[Date],$A349,Table14[Bill No.],$B349),IF($K349="XtraGreen",AVERAGEIFS(Table146[RSP],Table146[Company],$P$3,Table146[Date],$A349,Table146[Bill No.],$B349),IFERROR($E349/$C349,"")))))</f>
        <v/>
      </c>
      <c r="E349" s="330" t="str">
        <f>IF($A349="","",IF($K349="DIESEL",SUMIFS(Table1[Amount],Table1[Customer],$P$3,Table1[Date],$A349,Table1[Bill No.],$B349),IF($K349="PETROL",SUMIFS(Table14[Amount],Table14[Customer],$P$3,Table14[Date],$A349,Table14[Bill No.],$B349),IF($K349="XtraGreen",SUMIFS(Table146[Amount],Table146[Company],$P$3,Table146[Date],$A349,Table146[Bill No.],$B349),SUMIFS('Other Sale'!$D:$D,'Other Sale'!$E:$E,$P$3,'Other Sale'!$C:$C,$K349,'Other Sale'!$A:$A,$A349)))))</f>
        <v/>
      </c>
      <c r="F349" s="330" t="str" cm="1">
        <f t="array" ref="F349">IF($A349="","",IF($K349="Payment",IFERROR(INDEX(_xlfn._xlws.FILTER(MasterPaid[Amount Paid],(MasterPaid[Customer]=$P$3)*(MasterPaid[Date]=$A349)),COUNTIFS($A$6:$A349,$A349,$K$6:$K349,"Payment")),0),0))</f>
        <v/>
      </c>
      <c r="G349" s="331" t="s">
        <v>13</v>
      </c>
      <c r="H349" s="331"/>
      <c r="I349" s="330" t="str">
        <f t="shared" si="24"/>
        <v/>
      </c>
      <c r="J349" s="275"/>
      <c r="K349" s="289" t="str" cm="1">
        <f t="array" ref="K349">IFERROR(INDEX(_xlfn.ANCHORARRAY($R$6),ROW()-5,3),"")</f>
        <v/>
      </c>
      <c r="L349" s="430" t="str" cm="1">
        <f t="array" ref="L349">IF(OR($A349="",$J349="",$K349&lt;&gt;"DIESEL"),"",_xlfn.LET(_xlpm.qty,N($C349),_xlpm.pos,IF($J349="UNIT 1",$V$5:$V$54,$AC$5:$AC$54),_xlpm.alo,IF($J349="UNIT 1",$W$5:$W$54,$AD$5:$AD$54),_xlpm.usd,SUMIFS($C$6:$C348,$L$6:$L348,_xlpm.pos&amp;"",$J$6:$J348,$J349),_xlpm.bal,N(_xlpm.alo)-_xlpm.usd,IFERROR(INDEX(_xlfn._xlws.FILTER(_xlpm.pos,(_xlpm.pos&lt;&gt;"")*(_xlpm.qty&gt;0)*(_xlpm.bal&gt;=_xlpm.qty)),1),"")))</f>
        <v/>
      </c>
      <c r="M349" s="290"/>
      <c r="AQ349" s="409"/>
      <c r="AR349" s="410"/>
      <c r="AS349" s="410"/>
      <c r="AT349" s="411"/>
      <c r="AU349" s="412"/>
      <c r="AV349" s="413"/>
      <c r="AW349" s="413"/>
      <c r="AX349" s="413"/>
      <c r="AY349" s="413"/>
      <c r="AZ349" s="413" t="str">
        <f t="shared" si="22"/>
        <v/>
      </c>
      <c r="BB349" s="409"/>
      <c r="BC349" s="410"/>
      <c r="BD349" s="410"/>
      <c r="BE349" s="411"/>
      <c r="BF349" s="412"/>
      <c r="BG349" s="413"/>
      <c r="BH349" s="413"/>
      <c r="BI349" s="413"/>
      <c r="BJ349" s="413"/>
      <c r="BK349" s="413" t="str">
        <f t="shared" si="23"/>
        <v/>
      </c>
    </row>
    <row r="350" spans="1:63" ht="23" x14ac:dyDescent="0.25">
      <c r="A350" s="217" t="str" cm="1">
        <f t="array" ref="A350">IFERROR(INDEX(_xlfn.ANCHORARRAY($R$6),ROW()-5,1),"")</f>
        <v/>
      </c>
      <c r="B350" s="289" t="str" cm="1">
        <f t="array" ref="B350">IFERROR(INDEX(_xlfn.ANCHORARRAY($R$6),ROW()-5,2),"")</f>
        <v/>
      </c>
      <c r="C350" s="218" t="str">
        <f>IF($A350="","",IF($K350="DIESEL",SUMIFS(Table1[Quantity],Table1[Customer],$P$3,Table1[Date],$A350,Table1[Bill No.],$B350),IF($K350="PETROL",SUMIFS(Table14[Quantity],Table14[Customer],$P$3,Table14[Date],$A350,Table14[Bill No.],$B350),IF($K350="XtraGreen",SUMIFS(Table146[Quantity],Table146[Company],$P$3,Table146[Date],$A350,Table146[Bill No.],$B350),""))))</f>
        <v/>
      </c>
      <c r="D350" s="223" t="str">
        <f>IF($A350="","",IF($K350="DIESEL",AVERAGEIFS(Table1[RSP],Table1[Customer],$P$3,Table1[Date],$A350,Table1[Bill No.],$B350),IF($K350="PETROL",AVERAGEIFS(Table14[RSP],Table14[Customer],$P$3,Table14[Date],$A350,Table14[Bill No.],$B350),IF($K350="XtraGreen",AVERAGEIFS(Table146[RSP],Table146[Company],$P$3,Table146[Date],$A350,Table146[Bill No.],$B350),IFERROR($E350/$C350,"")))))</f>
        <v/>
      </c>
      <c r="E350" s="330" t="str">
        <f>IF($A350="","",IF($K350="DIESEL",SUMIFS(Table1[Amount],Table1[Customer],$P$3,Table1[Date],$A350,Table1[Bill No.],$B350),IF($K350="PETROL",SUMIFS(Table14[Amount],Table14[Customer],$P$3,Table14[Date],$A350,Table14[Bill No.],$B350),IF($K350="XtraGreen",SUMIFS(Table146[Amount],Table146[Company],$P$3,Table146[Date],$A350,Table146[Bill No.],$B350),SUMIFS('Other Sale'!$D:$D,'Other Sale'!$E:$E,$P$3,'Other Sale'!$C:$C,$K350,'Other Sale'!$A:$A,$A350)))))</f>
        <v/>
      </c>
      <c r="F350" s="330" t="str" cm="1">
        <f t="array" ref="F350">IF($A350="","",IF($K350="Payment",IFERROR(INDEX(_xlfn._xlws.FILTER(MasterPaid[Amount Paid],(MasterPaid[Customer]=$P$3)*(MasterPaid[Date]=$A350)),COUNTIFS($A$6:$A350,$A350,$K$6:$K350,"Payment")),0),0))</f>
        <v/>
      </c>
      <c r="G350" s="331" t="s">
        <v>13</v>
      </c>
      <c r="H350" s="331"/>
      <c r="I350" s="330" t="str">
        <f t="shared" si="24"/>
        <v/>
      </c>
      <c r="J350" s="275"/>
      <c r="K350" s="289" t="str" cm="1">
        <f t="array" ref="K350">IFERROR(INDEX(_xlfn.ANCHORARRAY($R$6),ROW()-5,3),"")</f>
        <v/>
      </c>
      <c r="L350" s="430" t="str" cm="1">
        <f t="array" ref="L350">IF(OR($A350="",$J350="",$K350&lt;&gt;"DIESEL"),"",_xlfn.LET(_xlpm.qty,N($C350),_xlpm.pos,IF($J350="UNIT 1",$V$5:$V$54,$AC$5:$AC$54),_xlpm.alo,IF($J350="UNIT 1",$W$5:$W$54,$AD$5:$AD$54),_xlpm.usd,SUMIFS($C$6:$C349,$L$6:$L349,_xlpm.pos&amp;"",$J$6:$J349,$J350),_xlpm.bal,N(_xlpm.alo)-_xlpm.usd,IFERROR(INDEX(_xlfn._xlws.FILTER(_xlpm.pos,(_xlpm.pos&lt;&gt;"")*(_xlpm.qty&gt;0)*(_xlpm.bal&gt;=_xlpm.qty)),1),"")))</f>
        <v/>
      </c>
      <c r="M350" s="290"/>
      <c r="AQ350" s="409"/>
      <c r="AR350" s="410"/>
      <c r="AS350" s="410"/>
      <c r="AT350" s="411"/>
      <c r="AU350" s="412"/>
      <c r="AV350" s="413"/>
      <c r="AW350" s="413"/>
      <c r="AX350" s="413"/>
      <c r="AY350" s="413"/>
      <c r="AZ350" s="413" t="str">
        <f t="shared" si="22"/>
        <v/>
      </c>
      <c r="BB350" s="409"/>
      <c r="BC350" s="410"/>
      <c r="BD350" s="410"/>
      <c r="BE350" s="411"/>
      <c r="BF350" s="412"/>
      <c r="BG350" s="413"/>
      <c r="BH350" s="413"/>
      <c r="BI350" s="413"/>
      <c r="BJ350" s="413"/>
      <c r="BK350" s="413" t="str">
        <f t="shared" si="23"/>
        <v/>
      </c>
    </row>
    <row r="351" spans="1:63" ht="23" x14ac:dyDescent="0.25">
      <c r="A351" s="217" t="str" cm="1">
        <f t="array" ref="A351">IFERROR(INDEX(_xlfn.ANCHORARRAY($R$6),ROW()-5,1),"")</f>
        <v/>
      </c>
      <c r="B351" s="289" t="str" cm="1">
        <f t="array" ref="B351">IFERROR(INDEX(_xlfn.ANCHORARRAY($R$6),ROW()-5,2),"")</f>
        <v/>
      </c>
      <c r="C351" s="218" t="str">
        <f>IF($A351="","",IF($K351="DIESEL",SUMIFS(Table1[Quantity],Table1[Customer],$P$3,Table1[Date],$A351,Table1[Bill No.],$B351),IF($K351="PETROL",SUMIFS(Table14[Quantity],Table14[Customer],$P$3,Table14[Date],$A351,Table14[Bill No.],$B351),IF($K351="XtraGreen",SUMIFS(Table146[Quantity],Table146[Company],$P$3,Table146[Date],$A351,Table146[Bill No.],$B351),""))))</f>
        <v/>
      </c>
      <c r="D351" s="223" t="str">
        <f>IF($A351="","",IF($K351="DIESEL",AVERAGEIFS(Table1[RSP],Table1[Customer],$P$3,Table1[Date],$A351,Table1[Bill No.],$B351),IF($K351="PETROL",AVERAGEIFS(Table14[RSP],Table14[Customer],$P$3,Table14[Date],$A351,Table14[Bill No.],$B351),IF($K351="XtraGreen",AVERAGEIFS(Table146[RSP],Table146[Company],$P$3,Table146[Date],$A351,Table146[Bill No.],$B351),IFERROR($E351/$C351,"")))))</f>
        <v/>
      </c>
      <c r="E351" s="330" t="str">
        <f>IF($A351="","",IF($K351="DIESEL",SUMIFS(Table1[Amount],Table1[Customer],$P$3,Table1[Date],$A351,Table1[Bill No.],$B351),IF($K351="PETROL",SUMIFS(Table14[Amount],Table14[Customer],$P$3,Table14[Date],$A351,Table14[Bill No.],$B351),IF($K351="XtraGreen",SUMIFS(Table146[Amount],Table146[Company],$P$3,Table146[Date],$A351,Table146[Bill No.],$B351),SUMIFS('Other Sale'!$D:$D,'Other Sale'!$E:$E,$P$3,'Other Sale'!$C:$C,$K351,'Other Sale'!$A:$A,$A351)))))</f>
        <v/>
      </c>
      <c r="F351" s="330" t="str" cm="1">
        <f t="array" ref="F351">IF($A351="","",IF($K351="Payment",IFERROR(INDEX(_xlfn._xlws.FILTER(MasterPaid[Amount Paid],(MasterPaid[Customer]=$P$3)*(MasterPaid[Date]=$A351)),COUNTIFS($A$6:$A351,$A351,$K$6:$K351,"Payment")),0),0))</f>
        <v/>
      </c>
      <c r="G351" s="331" t="s">
        <v>13</v>
      </c>
      <c r="H351" s="331"/>
      <c r="I351" s="330" t="str">
        <f t="shared" si="24"/>
        <v/>
      </c>
      <c r="J351" s="275"/>
      <c r="K351" s="289" t="str" cm="1">
        <f t="array" ref="K351">IFERROR(INDEX(_xlfn.ANCHORARRAY($R$6),ROW()-5,3),"")</f>
        <v/>
      </c>
      <c r="L351" s="430" t="str" cm="1">
        <f t="array" ref="L351">IF(OR($A351="",$J351="",$K351&lt;&gt;"DIESEL"),"",_xlfn.LET(_xlpm.qty,N($C351),_xlpm.pos,IF($J351="UNIT 1",$V$5:$V$54,$AC$5:$AC$54),_xlpm.alo,IF($J351="UNIT 1",$W$5:$W$54,$AD$5:$AD$54),_xlpm.usd,SUMIFS($C$6:$C350,$L$6:$L350,_xlpm.pos&amp;"",$J$6:$J350,$J351),_xlpm.bal,N(_xlpm.alo)-_xlpm.usd,IFERROR(INDEX(_xlfn._xlws.FILTER(_xlpm.pos,(_xlpm.pos&lt;&gt;"")*(_xlpm.qty&gt;0)*(_xlpm.bal&gt;=_xlpm.qty)),1),"")))</f>
        <v/>
      </c>
      <c r="M351" s="290"/>
      <c r="AQ351" s="409"/>
      <c r="AR351" s="410"/>
      <c r="AS351" s="410"/>
      <c r="AT351" s="411"/>
      <c r="AU351" s="412"/>
      <c r="AV351" s="413"/>
      <c r="AW351" s="413"/>
      <c r="AX351" s="413"/>
      <c r="AY351" s="413"/>
      <c r="AZ351" s="413" t="str">
        <f t="shared" si="22"/>
        <v/>
      </c>
      <c r="BB351" s="409"/>
      <c r="BC351" s="410"/>
      <c r="BD351" s="410"/>
      <c r="BE351" s="411"/>
      <c r="BF351" s="412"/>
      <c r="BG351" s="413"/>
      <c r="BH351" s="413"/>
      <c r="BI351" s="413"/>
      <c r="BJ351" s="413"/>
      <c r="BK351" s="413" t="str">
        <f t="shared" si="23"/>
        <v/>
      </c>
    </row>
    <row r="352" spans="1:63" ht="23" x14ac:dyDescent="0.25">
      <c r="A352" s="217" t="str" cm="1">
        <f t="array" ref="A352">IFERROR(INDEX(_xlfn.ANCHORARRAY($R$6),ROW()-5,1),"")</f>
        <v/>
      </c>
      <c r="B352" s="289" t="str" cm="1">
        <f t="array" ref="B352">IFERROR(INDEX(_xlfn.ANCHORARRAY($R$6),ROW()-5,2),"")</f>
        <v/>
      </c>
      <c r="C352" s="218" t="str">
        <f>IF($A352="","",IF($K352="DIESEL",SUMIFS(Table1[Quantity],Table1[Customer],$P$3,Table1[Date],$A352,Table1[Bill No.],$B352),IF($K352="PETROL",SUMIFS(Table14[Quantity],Table14[Customer],$P$3,Table14[Date],$A352,Table14[Bill No.],$B352),IF($K352="XtraGreen",SUMIFS(Table146[Quantity],Table146[Company],$P$3,Table146[Date],$A352,Table146[Bill No.],$B352),""))))</f>
        <v/>
      </c>
      <c r="D352" s="223" t="str">
        <f>IF($A352="","",IF($K352="DIESEL",AVERAGEIFS(Table1[RSP],Table1[Customer],$P$3,Table1[Date],$A352,Table1[Bill No.],$B352),IF($K352="PETROL",AVERAGEIFS(Table14[RSP],Table14[Customer],$P$3,Table14[Date],$A352,Table14[Bill No.],$B352),IF($K352="XtraGreen",AVERAGEIFS(Table146[RSP],Table146[Company],$P$3,Table146[Date],$A352,Table146[Bill No.],$B352),IFERROR($E352/$C352,"")))))</f>
        <v/>
      </c>
      <c r="E352" s="330" t="str">
        <f>IF($A352="","",IF($K352="DIESEL",SUMIFS(Table1[Amount],Table1[Customer],$P$3,Table1[Date],$A352,Table1[Bill No.],$B352),IF($K352="PETROL",SUMIFS(Table14[Amount],Table14[Customer],$P$3,Table14[Date],$A352,Table14[Bill No.],$B352),IF($K352="XtraGreen",SUMIFS(Table146[Amount],Table146[Company],$P$3,Table146[Date],$A352,Table146[Bill No.],$B352),SUMIFS('Other Sale'!$D:$D,'Other Sale'!$E:$E,$P$3,'Other Sale'!$C:$C,$K352,'Other Sale'!$A:$A,$A352)))))</f>
        <v/>
      </c>
      <c r="F352" s="330" t="str" cm="1">
        <f t="array" ref="F352">IF($A352="","",IF($K352="Payment",IFERROR(INDEX(_xlfn._xlws.FILTER(MasterPaid[Amount Paid],(MasterPaid[Customer]=$P$3)*(MasterPaid[Date]=$A352)),COUNTIFS($A$6:$A352,$A352,$K$6:$K352,"Payment")),0),0))</f>
        <v/>
      </c>
      <c r="G352" s="331" t="s">
        <v>13</v>
      </c>
      <c r="H352" s="331"/>
      <c r="I352" s="330" t="str">
        <f t="shared" si="24"/>
        <v/>
      </c>
      <c r="J352" s="275"/>
      <c r="K352" s="289" t="str" cm="1">
        <f t="array" ref="K352">IFERROR(INDEX(_xlfn.ANCHORARRAY($R$6),ROW()-5,3),"")</f>
        <v/>
      </c>
      <c r="L352" s="430" t="str" cm="1">
        <f t="array" ref="L352">IF(OR($A352="",$J352="",$K352&lt;&gt;"DIESEL"),"",_xlfn.LET(_xlpm.qty,N($C352),_xlpm.pos,IF($J352="UNIT 1",$V$5:$V$54,$AC$5:$AC$54),_xlpm.alo,IF($J352="UNIT 1",$W$5:$W$54,$AD$5:$AD$54),_xlpm.usd,SUMIFS($C$6:$C351,$L$6:$L351,_xlpm.pos&amp;"",$J$6:$J351,$J352),_xlpm.bal,N(_xlpm.alo)-_xlpm.usd,IFERROR(INDEX(_xlfn._xlws.FILTER(_xlpm.pos,(_xlpm.pos&lt;&gt;"")*(_xlpm.qty&gt;0)*(_xlpm.bal&gt;=_xlpm.qty)),1),"")))</f>
        <v/>
      </c>
      <c r="M352" s="290"/>
      <c r="AQ352" s="409"/>
      <c r="AR352" s="410"/>
      <c r="AS352" s="410"/>
      <c r="AT352" s="411"/>
      <c r="AU352" s="412"/>
      <c r="AV352" s="413"/>
      <c r="AW352" s="413"/>
      <c r="AX352" s="413"/>
      <c r="AY352" s="413"/>
      <c r="AZ352" s="413" t="str">
        <f t="shared" si="22"/>
        <v/>
      </c>
      <c r="BB352" s="409"/>
      <c r="BC352" s="410"/>
      <c r="BD352" s="410"/>
      <c r="BE352" s="411"/>
      <c r="BF352" s="412"/>
      <c r="BG352" s="413"/>
      <c r="BH352" s="413"/>
      <c r="BI352" s="413"/>
      <c r="BJ352" s="413"/>
      <c r="BK352" s="413" t="str">
        <f t="shared" si="23"/>
        <v/>
      </c>
    </row>
    <row r="353" spans="1:63" ht="23" x14ac:dyDescent="0.25">
      <c r="A353" s="217" t="str" cm="1">
        <f t="array" ref="A353">IFERROR(INDEX(_xlfn.ANCHORARRAY($R$6),ROW()-5,1),"")</f>
        <v/>
      </c>
      <c r="B353" s="289" t="str" cm="1">
        <f t="array" ref="B353">IFERROR(INDEX(_xlfn.ANCHORARRAY($R$6),ROW()-5,2),"")</f>
        <v/>
      </c>
      <c r="C353" s="218" t="str">
        <f>IF($A353="","",IF($K353="DIESEL",SUMIFS(Table1[Quantity],Table1[Customer],$P$3,Table1[Date],$A353,Table1[Bill No.],$B353),IF($K353="PETROL",SUMIFS(Table14[Quantity],Table14[Customer],$P$3,Table14[Date],$A353,Table14[Bill No.],$B353),IF($K353="XtraGreen",SUMIFS(Table146[Quantity],Table146[Company],$P$3,Table146[Date],$A353,Table146[Bill No.],$B353),""))))</f>
        <v/>
      </c>
      <c r="D353" s="223" t="str">
        <f>IF($A353="","",IF($K353="DIESEL",AVERAGEIFS(Table1[RSP],Table1[Customer],$P$3,Table1[Date],$A353,Table1[Bill No.],$B353),IF($K353="PETROL",AVERAGEIFS(Table14[RSP],Table14[Customer],$P$3,Table14[Date],$A353,Table14[Bill No.],$B353),IF($K353="XtraGreen",AVERAGEIFS(Table146[RSP],Table146[Company],$P$3,Table146[Date],$A353,Table146[Bill No.],$B353),IFERROR($E353/$C353,"")))))</f>
        <v/>
      </c>
      <c r="E353" s="330" t="str">
        <f>IF($A353="","",IF($K353="DIESEL",SUMIFS(Table1[Amount],Table1[Customer],$P$3,Table1[Date],$A353,Table1[Bill No.],$B353),IF($K353="PETROL",SUMIFS(Table14[Amount],Table14[Customer],$P$3,Table14[Date],$A353,Table14[Bill No.],$B353),IF($K353="XtraGreen",SUMIFS(Table146[Amount],Table146[Company],$P$3,Table146[Date],$A353,Table146[Bill No.],$B353),SUMIFS('Other Sale'!$D:$D,'Other Sale'!$E:$E,$P$3,'Other Sale'!$C:$C,$K353,'Other Sale'!$A:$A,$A353)))))</f>
        <v/>
      </c>
      <c r="F353" s="330" t="str" cm="1">
        <f t="array" ref="F353">IF($A353="","",IF($K353="Payment",IFERROR(INDEX(_xlfn._xlws.FILTER(MasterPaid[Amount Paid],(MasterPaid[Customer]=$P$3)*(MasterPaid[Date]=$A353)),COUNTIFS($A$6:$A353,$A353,$K$6:$K353,"Payment")),0),0))</f>
        <v/>
      </c>
      <c r="G353" s="331" t="s">
        <v>13</v>
      </c>
      <c r="H353" s="331"/>
      <c r="I353" s="330" t="str">
        <f t="shared" si="24"/>
        <v/>
      </c>
      <c r="J353" s="275"/>
      <c r="K353" s="289" t="str" cm="1">
        <f t="array" ref="K353">IFERROR(INDEX(_xlfn.ANCHORARRAY($R$6),ROW()-5,3),"")</f>
        <v/>
      </c>
      <c r="L353" s="430" t="str" cm="1">
        <f t="array" ref="L353">IF(OR($A353="",$J353="",$K353&lt;&gt;"DIESEL"),"",_xlfn.LET(_xlpm.qty,N($C353),_xlpm.pos,IF($J353="UNIT 1",$V$5:$V$54,$AC$5:$AC$54),_xlpm.alo,IF($J353="UNIT 1",$W$5:$W$54,$AD$5:$AD$54),_xlpm.usd,SUMIFS($C$6:$C352,$L$6:$L352,_xlpm.pos&amp;"",$J$6:$J352,$J353),_xlpm.bal,N(_xlpm.alo)-_xlpm.usd,IFERROR(INDEX(_xlfn._xlws.FILTER(_xlpm.pos,(_xlpm.pos&lt;&gt;"")*(_xlpm.qty&gt;0)*(_xlpm.bal&gt;=_xlpm.qty)),1),"")))</f>
        <v/>
      </c>
      <c r="M353" s="290"/>
      <c r="AQ353" s="409"/>
      <c r="AR353" s="410"/>
      <c r="AS353" s="410"/>
      <c r="AT353" s="411"/>
      <c r="AU353" s="412"/>
      <c r="AV353" s="413"/>
      <c r="AW353" s="413"/>
      <c r="AX353" s="413"/>
      <c r="AY353" s="413"/>
      <c r="AZ353" s="413" t="str">
        <f t="shared" si="22"/>
        <v/>
      </c>
      <c r="BB353" s="409"/>
      <c r="BC353" s="410"/>
      <c r="BD353" s="410"/>
      <c r="BE353" s="411"/>
      <c r="BF353" s="412"/>
      <c r="BG353" s="413"/>
      <c r="BH353" s="413"/>
      <c r="BI353" s="413"/>
      <c r="BJ353" s="413"/>
      <c r="BK353" s="413" t="str">
        <f t="shared" si="23"/>
        <v/>
      </c>
    </row>
    <row r="354" spans="1:63" ht="23" x14ac:dyDescent="0.25">
      <c r="A354" s="217" t="str" cm="1">
        <f t="array" ref="A354">IFERROR(INDEX(_xlfn.ANCHORARRAY($R$6),ROW()-5,1),"")</f>
        <v/>
      </c>
      <c r="B354" s="289" t="str" cm="1">
        <f t="array" ref="B354">IFERROR(INDEX(_xlfn.ANCHORARRAY($R$6),ROW()-5,2),"")</f>
        <v/>
      </c>
      <c r="C354" s="218" t="str">
        <f>IF($A354="","",IF($K354="DIESEL",SUMIFS(Table1[Quantity],Table1[Customer],$P$3,Table1[Date],$A354,Table1[Bill No.],$B354),IF($K354="PETROL",SUMIFS(Table14[Quantity],Table14[Customer],$P$3,Table14[Date],$A354,Table14[Bill No.],$B354),IF($K354="XtraGreen",SUMIFS(Table146[Quantity],Table146[Company],$P$3,Table146[Date],$A354,Table146[Bill No.],$B354),""))))</f>
        <v/>
      </c>
      <c r="D354" s="223" t="str">
        <f>IF($A354="","",IF($K354="DIESEL",AVERAGEIFS(Table1[RSP],Table1[Customer],$P$3,Table1[Date],$A354,Table1[Bill No.],$B354),IF($K354="PETROL",AVERAGEIFS(Table14[RSP],Table14[Customer],$P$3,Table14[Date],$A354,Table14[Bill No.],$B354),IF($K354="XtraGreen",AVERAGEIFS(Table146[RSP],Table146[Company],$P$3,Table146[Date],$A354,Table146[Bill No.],$B354),IFERROR($E354/$C354,"")))))</f>
        <v/>
      </c>
      <c r="E354" s="330" t="str">
        <f>IF($A354="","",IF($K354="DIESEL",SUMIFS(Table1[Amount],Table1[Customer],$P$3,Table1[Date],$A354,Table1[Bill No.],$B354),IF($K354="PETROL",SUMIFS(Table14[Amount],Table14[Customer],$P$3,Table14[Date],$A354,Table14[Bill No.],$B354),IF($K354="XtraGreen",SUMIFS(Table146[Amount],Table146[Company],$P$3,Table146[Date],$A354,Table146[Bill No.],$B354),SUMIFS('Other Sale'!$D:$D,'Other Sale'!$E:$E,$P$3,'Other Sale'!$C:$C,$K354,'Other Sale'!$A:$A,$A354)))))</f>
        <v/>
      </c>
      <c r="F354" s="330" t="str" cm="1">
        <f t="array" ref="F354">IF($A354="","",IF($K354="Payment",IFERROR(INDEX(_xlfn._xlws.FILTER(MasterPaid[Amount Paid],(MasterPaid[Customer]=$P$3)*(MasterPaid[Date]=$A354)),COUNTIFS($A$6:$A354,$A354,$K$6:$K354,"Payment")),0),0))</f>
        <v/>
      </c>
      <c r="G354" s="331" t="s">
        <v>13</v>
      </c>
      <c r="H354" s="331"/>
      <c r="I354" s="330" t="str">
        <f t="shared" si="24"/>
        <v/>
      </c>
      <c r="J354" s="275"/>
      <c r="K354" s="289" t="str" cm="1">
        <f t="array" ref="K354">IFERROR(INDEX(_xlfn.ANCHORARRAY($R$6),ROW()-5,3),"")</f>
        <v/>
      </c>
      <c r="L354" s="430" t="str" cm="1">
        <f t="array" ref="L354">IF(OR($A354="",$J354="",$K354&lt;&gt;"DIESEL"),"",_xlfn.LET(_xlpm.qty,N($C354),_xlpm.pos,IF($J354="UNIT 1",$V$5:$V$54,$AC$5:$AC$54),_xlpm.alo,IF($J354="UNIT 1",$W$5:$W$54,$AD$5:$AD$54),_xlpm.usd,SUMIFS($C$6:$C353,$L$6:$L353,_xlpm.pos&amp;"",$J$6:$J353,$J354),_xlpm.bal,N(_xlpm.alo)-_xlpm.usd,IFERROR(INDEX(_xlfn._xlws.FILTER(_xlpm.pos,(_xlpm.pos&lt;&gt;"")*(_xlpm.qty&gt;0)*(_xlpm.bal&gt;=_xlpm.qty)),1),"")))</f>
        <v/>
      </c>
      <c r="M354" s="290"/>
      <c r="AQ354" s="409"/>
      <c r="AR354" s="410"/>
      <c r="AS354" s="410"/>
      <c r="AT354" s="411"/>
      <c r="AU354" s="412"/>
      <c r="AV354" s="413"/>
      <c r="AW354" s="413"/>
      <c r="AX354" s="413"/>
      <c r="AY354" s="413"/>
      <c r="AZ354" s="413" t="str">
        <f t="shared" si="22"/>
        <v/>
      </c>
      <c r="BB354" s="409"/>
      <c r="BC354" s="410"/>
      <c r="BD354" s="410"/>
      <c r="BE354" s="411"/>
      <c r="BF354" s="412"/>
      <c r="BG354" s="413"/>
      <c r="BH354" s="413"/>
      <c r="BI354" s="413"/>
      <c r="BJ354" s="413"/>
      <c r="BK354" s="413" t="str">
        <f t="shared" si="23"/>
        <v/>
      </c>
    </row>
    <row r="355" spans="1:63" ht="23" x14ac:dyDescent="0.25">
      <c r="A355" s="217" t="str" cm="1">
        <f t="array" ref="A355">IFERROR(INDEX(_xlfn.ANCHORARRAY($R$6),ROW()-5,1),"")</f>
        <v/>
      </c>
      <c r="B355" s="289" t="str" cm="1">
        <f t="array" ref="B355">IFERROR(INDEX(_xlfn.ANCHORARRAY($R$6),ROW()-5,2),"")</f>
        <v/>
      </c>
      <c r="C355" s="218" t="str">
        <f>IF($A355="","",IF($K355="DIESEL",SUMIFS(Table1[Quantity],Table1[Customer],$P$3,Table1[Date],$A355,Table1[Bill No.],$B355),IF($K355="PETROL",SUMIFS(Table14[Quantity],Table14[Customer],$P$3,Table14[Date],$A355,Table14[Bill No.],$B355),IF($K355="XtraGreen",SUMIFS(Table146[Quantity],Table146[Company],$P$3,Table146[Date],$A355,Table146[Bill No.],$B355),""))))</f>
        <v/>
      </c>
      <c r="D355" s="223" t="str">
        <f>IF($A355="","",IF($K355="DIESEL",AVERAGEIFS(Table1[RSP],Table1[Customer],$P$3,Table1[Date],$A355,Table1[Bill No.],$B355),IF($K355="PETROL",AVERAGEIFS(Table14[RSP],Table14[Customer],$P$3,Table14[Date],$A355,Table14[Bill No.],$B355),IF($K355="XtraGreen",AVERAGEIFS(Table146[RSP],Table146[Company],$P$3,Table146[Date],$A355,Table146[Bill No.],$B355),IFERROR($E355/$C355,"")))))</f>
        <v/>
      </c>
      <c r="E355" s="330" t="str">
        <f>IF($A355="","",IF($K355="DIESEL",SUMIFS(Table1[Amount],Table1[Customer],$P$3,Table1[Date],$A355,Table1[Bill No.],$B355),IF($K355="PETROL",SUMIFS(Table14[Amount],Table14[Customer],$P$3,Table14[Date],$A355,Table14[Bill No.],$B355),IF($K355="XtraGreen",SUMIFS(Table146[Amount],Table146[Company],$P$3,Table146[Date],$A355,Table146[Bill No.],$B355),SUMIFS('Other Sale'!$D:$D,'Other Sale'!$E:$E,$P$3,'Other Sale'!$C:$C,$K355,'Other Sale'!$A:$A,$A355)))))</f>
        <v/>
      </c>
      <c r="F355" s="330" t="str" cm="1">
        <f t="array" ref="F355">IF($A355="","",IF($K355="Payment",IFERROR(INDEX(_xlfn._xlws.FILTER(MasterPaid[Amount Paid],(MasterPaid[Customer]=$P$3)*(MasterPaid[Date]=$A355)),COUNTIFS($A$6:$A355,$A355,$K$6:$K355,"Payment")),0),0))</f>
        <v/>
      </c>
      <c r="G355" s="331" t="s">
        <v>13</v>
      </c>
      <c r="H355" s="331"/>
      <c r="I355" s="330" t="str">
        <f t="shared" si="24"/>
        <v/>
      </c>
      <c r="J355" s="275"/>
      <c r="K355" s="289" t="str" cm="1">
        <f t="array" ref="K355">IFERROR(INDEX(_xlfn.ANCHORARRAY($R$6),ROW()-5,3),"")</f>
        <v/>
      </c>
      <c r="L355" s="430" t="str" cm="1">
        <f t="array" ref="L355">IF(OR($A355="",$J355="",$K355&lt;&gt;"DIESEL"),"",_xlfn.LET(_xlpm.qty,N($C355),_xlpm.pos,IF($J355="UNIT 1",$V$5:$V$54,$AC$5:$AC$54),_xlpm.alo,IF($J355="UNIT 1",$W$5:$W$54,$AD$5:$AD$54),_xlpm.usd,SUMIFS($C$6:$C354,$L$6:$L354,_xlpm.pos&amp;"",$J$6:$J354,$J355),_xlpm.bal,N(_xlpm.alo)-_xlpm.usd,IFERROR(INDEX(_xlfn._xlws.FILTER(_xlpm.pos,(_xlpm.pos&lt;&gt;"")*(_xlpm.qty&gt;0)*(_xlpm.bal&gt;=_xlpm.qty)),1),"")))</f>
        <v/>
      </c>
      <c r="M355" s="290"/>
      <c r="AQ355" s="409"/>
      <c r="AR355" s="410"/>
      <c r="AS355" s="410"/>
      <c r="AT355" s="411"/>
      <c r="AU355" s="412"/>
      <c r="AV355" s="413"/>
      <c r="AW355" s="413"/>
      <c r="AX355" s="413"/>
      <c r="AY355" s="413"/>
      <c r="AZ355" s="413" t="str">
        <f t="shared" si="22"/>
        <v/>
      </c>
      <c r="BB355" s="409"/>
      <c r="BC355" s="410"/>
      <c r="BD355" s="410"/>
      <c r="BE355" s="411"/>
      <c r="BF355" s="412"/>
      <c r="BG355" s="413"/>
      <c r="BH355" s="413"/>
      <c r="BI355" s="413"/>
      <c r="BJ355" s="413"/>
      <c r="BK355" s="413" t="str">
        <f t="shared" si="23"/>
        <v/>
      </c>
    </row>
  </sheetData>
  <sheetProtection sheet="1" objects="1" scenarios="1"/>
  <mergeCells count="1">
    <mergeCell ref="A1:M1"/>
  </mergeCells>
  <conditionalFormatting sqref="O1:AI1 A1:M355 O56:AJ355 O2:U55">
    <cfRule type="cellIs" dxfId="1927" priority="2" operator="lessThan">
      <formula>0</formula>
    </cfRule>
  </conditionalFormatting>
  <conditionalFormatting sqref="W5:W22">
    <cfRule type="cellIs" dxfId="1926" priority="1" operator="lessThan">
      <formula>0</formula>
    </cfRule>
  </conditionalFormatting>
  <dataValidations count="1">
    <dataValidation type="list" allowBlank="1" showInputMessage="1" showErrorMessage="1" sqref="J6:J355" xr:uid="{889D01BE-6B82-EC4F-8E19-0B1AA081E183}">
      <formula1>"UNIT 1,UNIT 2"</formula1>
    </dataValidation>
  </dataValidations>
  <hyperlinks>
    <hyperlink ref="O1" location="Index!A1" display="→ Index" xr:uid="{EBDBA383-F55B-A843-B8D9-0AB69EECFF7F}"/>
  </hyperlinks>
  <pageMargins left="0.7" right="0.7" top="0.75" bottom="0.75" header="0.3" footer="0.3"/>
  <pageSetup paperSize="9" scale="10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80EA-F719-3547-8F59-4BA1FE1C7E1B}">
  <sheetPr codeName="Sheet50"/>
  <dimension ref="A1:AJ355"/>
  <sheetViews>
    <sheetView topLeftCell="I26" zoomScale="85" workbookViewId="0">
      <selection activeCell="T17" sqref="T17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12.1640625" customWidth="1"/>
    <col min="3" max="3" width="11.5" bestFit="1" customWidth="1"/>
    <col min="4" max="4" width="9.83203125" bestFit="1" customWidth="1"/>
    <col min="5" max="6" width="15" bestFit="1" customWidth="1"/>
    <col min="7" max="7" width="9.83203125" bestFit="1" customWidth="1"/>
    <col min="8" max="8" width="13" bestFit="1" customWidth="1"/>
    <col min="9" max="9" width="15.5" bestFit="1" customWidth="1"/>
    <col min="10" max="10" width="15.5" customWidth="1"/>
    <col min="11" max="11" width="18.6640625" customWidth="1"/>
    <col min="12" max="12" width="24.83203125" bestFit="1" customWidth="1"/>
    <col min="14" max="14" width="18" bestFit="1" customWidth="1"/>
    <col min="15" max="15" width="15.83203125" bestFit="1" customWidth="1"/>
    <col min="17" max="18" width="10.83203125" outlineLevel="1"/>
    <col min="20" max="20" width="11.6640625" style="17" customWidth="1"/>
    <col min="21" max="21" width="12.5" customWidth="1"/>
    <col min="22" max="22" width="3" customWidth="1"/>
    <col min="23" max="23" width="11.6640625" customWidth="1"/>
    <col min="24" max="27" width="12.5" customWidth="1"/>
    <col min="29" max="34" width="0" hidden="1" customWidth="1" outlineLevel="1"/>
    <col min="35" max="35" width="10.83203125" collapsed="1"/>
  </cols>
  <sheetData>
    <row r="1" spans="1:36" ht="36" customHeight="1" x14ac:dyDescent="0.2">
      <c r="A1" s="499" t="s">
        <v>3662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  <c r="N1" s="319" t="s">
        <v>2033</v>
      </c>
      <c r="O1" s="320"/>
      <c r="T1" s="31" t="s">
        <v>2173</v>
      </c>
      <c r="AJ1" s="309" t="s">
        <v>2636</v>
      </c>
    </row>
    <row r="2" spans="1:36" ht="15" customHeight="1" thickBot="1" x14ac:dyDescent="0.3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77"/>
      <c r="N2" s="320" t="s">
        <v>2034</v>
      </c>
      <c r="O2" s="340">
        <f>SUM(E6:E355)</f>
        <v>4558659</v>
      </c>
      <c r="T2" s="435" t="s">
        <v>2750</v>
      </c>
    </row>
    <row r="3" spans="1:36" ht="23" x14ac:dyDescent="0.25">
      <c r="A3" s="281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321" t="s">
        <v>2027</v>
      </c>
      <c r="M3" s="308" t="s">
        <v>1073</v>
      </c>
      <c r="N3" s="320" t="s">
        <v>2035</v>
      </c>
      <c r="O3" s="340">
        <f>SUM(F6:F355)</f>
        <v>4558659</v>
      </c>
      <c r="T3" s="436" t="s">
        <v>2165</v>
      </c>
      <c r="W3" s="309" t="s">
        <v>2167</v>
      </c>
    </row>
    <row r="4" spans="1:36" ht="22.5" thickBot="1" x14ac:dyDescent="0.3">
      <c r="A4" s="281"/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322" t="s">
        <v>2028</v>
      </c>
      <c r="M4" s="229">
        <v>0</v>
      </c>
      <c r="N4" s="320" t="s">
        <v>2036</v>
      </c>
      <c r="O4" s="340">
        <f>SUM(G6:G355)</f>
        <v>0</v>
      </c>
      <c r="T4" s="437" t="s">
        <v>2163</v>
      </c>
      <c r="U4" s="311" t="s">
        <v>2166</v>
      </c>
      <c r="W4" s="311" t="s">
        <v>2163</v>
      </c>
      <c r="X4" s="311" t="s">
        <v>2166</v>
      </c>
      <c r="Y4" s="311" t="s">
        <v>2168</v>
      </c>
      <c r="Z4" s="311" t="s">
        <v>2169</v>
      </c>
      <c r="AA4" s="311" t="s">
        <v>2170</v>
      </c>
      <c r="AJ4" s="407" t="s">
        <v>2637</v>
      </c>
    </row>
    <row r="5" spans="1:36" ht="21.75" x14ac:dyDescent="0.25">
      <c r="A5" s="285" t="s">
        <v>6</v>
      </c>
      <c r="B5" s="285" t="s">
        <v>0</v>
      </c>
      <c r="C5" s="285" t="s">
        <v>1179</v>
      </c>
      <c r="D5" s="285" t="s">
        <v>1180</v>
      </c>
      <c r="E5" s="285" t="s">
        <v>4</v>
      </c>
      <c r="F5" s="285" t="s">
        <v>1181</v>
      </c>
      <c r="G5" s="285" t="s">
        <v>2030</v>
      </c>
      <c r="H5" s="285" t="s">
        <v>2031</v>
      </c>
      <c r="I5" s="285" t="s">
        <v>1182</v>
      </c>
      <c r="J5" s="285" t="s">
        <v>1183</v>
      </c>
      <c r="K5" s="315" t="s">
        <v>2163</v>
      </c>
      <c r="L5" s="315" t="s">
        <v>2032</v>
      </c>
      <c r="M5" s="225">
        <f>DATE(2026,4,1)</f>
        <v>46113</v>
      </c>
      <c r="N5" s="320" t="s">
        <v>2037</v>
      </c>
      <c r="O5" s="340">
        <f>SUM(H6:H355)</f>
        <v>0</v>
      </c>
      <c r="P5" t="s">
        <v>2066</v>
      </c>
      <c r="T5" s="438" t="s">
        <v>3652</v>
      </c>
      <c r="U5" s="350">
        <v>500</v>
      </c>
      <c r="W5" s="316" t="str">
        <f>IFERROR(INDEX($AC$5:$AC$54,MATCH(ROW()-4,$AH$5:$AH$54,0)),"")</f>
        <v>P726Y-00713</v>
      </c>
      <c r="X5" s="273">
        <f>IF($W5="","",INDEX($AD$5:$AD$54,MATCH(ROW()-4,$AH$5:$AH$54,0)))</f>
        <v>12000</v>
      </c>
      <c r="Y5" s="273">
        <f>IF($W5="","",INDEX($AE$5:$AE$54,MATCH(ROW()-4,$AH$5:$AH$54,0)))</f>
        <v>0</v>
      </c>
      <c r="Z5" s="273">
        <f>IF($W5="","",INDEX($AF$5:$AF$54,MATCH(ROW()-4,$AH$5:$AH$54,0)))</f>
        <v>12000</v>
      </c>
      <c r="AA5" s="316" t="str">
        <f>IF($W5="","",IF($Z5&gt;0,"Pending","Completed"))</f>
        <v>Pending</v>
      </c>
      <c r="AC5" t="str" cm="1">
        <f t="array" ref="AC5">IF(INDEX($T$5:$T$54,ROW()-4)="","",INDEX($T$5:$T$54,ROW()-4))</f>
        <v>P726Y-00193</v>
      </c>
      <c r="AD5">
        <f>IF($AC5="","",N(INDEX($U$5:$U$54,ROW()-4)))</f>
        <v>500</v>
      </c>
      <c r="AE5">
        <f>IF($AC5="","",SUMIFS($C$6:$C$355,$K$6:$K$355,$AC5))</f>
        <v>500</v>
      </c>
      <c r="AF5">
        <f>IF($AC5="","",$AD5-$AE5)</f>
        <v>0</v>
      </c>
      <c r="AG5">
        <f>IF($AC5="",0,IF($AF5&gt;0,1,0))</f>
        <v>0</v>
      </c>
      <c r="AH5" cm="1">
        <f t="array" ref="AH5">IF($AC5="","",IF($AG5=1,SUMPRODUCT(($AG$5:$AG$54=1)*($AC$5:$AC$54&gt;$AC5))+1,SUM($AG$5:$AG$54)+SUMPRODUCT(($AG$5:$AG$54=0)*($AC$5:$AC$54&lt;&gt;"")*($AC$5:$AC$54&gt;$AC5))+1))</f>
        <v>12</v>
      </c>
      <c r="AJ5" s="1" t="str" cm="1">
        <f t="array" ref="AJ5">IFERROR(_xlfn._xlws.FILTER($W$5:$W$54,($W$5:$W$54&lt;&gt;"")*($AA$5:$AA$54="Pending")),"")</f>
        <v>P726Y-00713</v>
      </c>
    </row>
    <row r="6" spans="1:36" ht="21.75" x14ac:dyDescent="0.25">
      <c r="A6" s="217" cm="1">
        <f t="array" ref="A6">IFERROR(INDEX(_xlfn.ANCHORARRAY($P$6),ROW()-5,1),"")</f>
        <v>46165</v>
      </c>
      <c r="B6" s="344" t="str" cm="1">
        <f t="array" ref="B6">IFERROR(INDEX(_xlfn.ANCHORARRAY($P$6),ROW()-5,2),"")</f>
        <v>606</v>
      </c>
      <c r="C6" s="345">
        <f>IF($A6="","",IF($J6="DIESEL",SUMIFS(Table1[Quantity],Table1[Customer],$M$3,Table1[Date],$A6,Table1[Bill No.],$B6),IF($J6="PETROL",SUMIFS(Table14[Quantity],Table14[Customer],$M$3,Table14[Date],$A6,Table14[Bill No.],$B6),IF($J6="XtraGreen",SUMIFS(Table146[Quantity],Table146[Company],$M$3,Table146[Date],$A6,Table146[Bill No.],$B6),""))))</f>
        <v>500</v>
      </c>
      <c r="D6" s="346">
        <f>IF($A6="","",IF($J6="DIESEL",AVERAGEIFS(Table1[RSP],Table1[Customer],$M$3,Table1[Date],$A6,Table1[Bill No.],$B6),IF($J6="PETROL",AVERAGEIFS(Table14[RSP],Table14[Customer],$M$3,Table14[Date],$A6,Table14[Bill No.],$B6),IF($J6="XtraGreen",AVERAGEIFS(Table146[RSP],Table146[Company],$M$3,Table146[Date],$A6,Table146[Bill No.],$B6),IFERROR($E6/$C6,"")))))</f>
        <v>97.87</v>
      </c>
      <c r="E6" s="347">
        <f>IF($A6="","",IF($J6="DIESEL",SUMIFS(Table1[Amount],Table1[Customer],$M$3,Table1[Date],$A6,Table1[Bill No.],$B6),IF($J6="PETROL",SUMIFS(Table14[Amount],Table14[Customer],$M$3,Table14[Date],$A6,Table14[Bill No.],$B6),IF($J6="XtraGreen",SUMIFS(Table146[Amount],Table146[Company],$M$3,Table146[Date],$A6,Table146[Bill No.],$B6),SUMIFS('Other Sale'!$D:$D,'Other Sale'!$E:$E,$M$3,'Other Sale'!$C:$C,$J6,'Other Sale'!$A:$A,$A6)))))</f>
        <v>48935</v>
      </c>
      <c r="F6" s="347" cm="1">
        <f t="array" ref="F6">IF($A6="","",IF($J6="Payment",IFERROR(INDEX(_xlfn._xlws.FILTER(MasterPaid[Amount Paid],(MasterPaid[Customer]=$M$3)*(MasterPaid[Date]=$A6)),COUNTIFS($A$6:$A6,$A6,$J$6:$J6,"Payment")),0),0))</f>
        <v>0</v>
      </c>
      <c r="G6" s="331"/>
      <c r="H6" s="427"/>
      <c r="I6" s="330">
        <f>IF($A6="","",$M$4+N(E6)-N(F6)-N(G6)-N(H6))</f>
        <v>48935</v>
      </c>
      <c r="J6" s="344" t="str" cm="1">
        <f t="array" ref="J6">IFERROR(INDEX(_xlfn.ANCHORARRAY($P$6),ROW()-5,3),"")</f>
        <v>DIESEL</v>
      </c>
      <c r="K6" s="432" t="s">
        <v>3652</v>
      </c>
      <c r="L6" s="348"/>
      <c r="M6" s="277"/>
      <c r="N6" s="323" t="s">
        <v>2038</v>
      </c>
      <c r="O6" s="341">
        <f>M4+O2-O3-O4-O5</f>
        <v>0</v>
      </c>
      <c r="P6" cm="1">
        <f t="array" ref="P6:R50">_xlfn.LET(_xlpm.cut,$M$5,_xlpm.hd,'HSD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M$3)*(_xlpm.hd&gt;=_xlpm.cut)),_xlfn.HSTACK("x","x","x")),_xlpm.mF,IFERROR(_xlfn._xlws.FILTER(_xlfn.HSTACK(_xlpm.md,_xlpm.mb,IF(_xlpm.md&lt;&gt;"","PETROL","")),(_xlpm.mc=$M$3)*(_xlpm.md&gt;=_xlpm.cut)),_xlfn.HSTACK("x","x","x")),_xlpm.xF,IFERROR(_xlfn._xlws.FILTER(_xlfn.HSTACK(_xlpm.xd,_xlpm.xb,IF(_xlpm.xd&lt;&gt;"","XtraGreen","")),(_xlpm.xc=$M$3)*(_xlpm.xd&gt;=_xlpm.cut)),_xlfn.HSTACK("x","x","x")),_xlpm.pF,IFERROR(_xlfn._xlws.FILTER(_xlfn.HSTACK(_xlpm.pd,IF(_xlpm.pd&lt;&gt;"","",""),IF(_xlpm.pd&lt;&gt;"","Payment","")),(_xlpm.pc=$M$3)*(_xlpm.pd&gt;=_xlpm.cut)),_xlfn.HSTACK("x","x","x")),_xlpm.oF,IFERROR(_xlfn._xlws.FILTER(_xlfn.HSTACK(_xlpm.od,IF(_xlpm.od&lt;&gt;"","",""),_xlpm.op),(_xlpm.oc=$M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46165</v>
      </c>
      <c r="Q6" t="str">
        <v>606</v>
      </c>
      <c r="R6" t="str">
        <v>DIESEL</v>
      </c>
      <c r="T6" s="438" t="s">
        <v>3653</v>
      </c>
      <c r="U6" s="350">
        <v>1000</v>
      </c>
      <c r="W6" s="316" t="str">
        <f t="shared" ref="W6:W54" si="0">IFERROR(INDEX($AC$5:$AC$54,MATCH(ROW()-4,$AH$5:$AH$54,0)),"")</f>
        <v>P726Y-00635</v>
      </c>
      <c r="X6" s="273">
        <f t="shared" ref="X6:X54" si="1">IF($W6="","",INDEX($AD$5:$AD$54,MATCH(ROW()-4,$AH$5:$AH$54,0)))</f>
        <v>6000</v>
      </c>
      <c r="Y6" s="273">
        <f t="shared" ref="Y6:Y54" si="2">IF($W6="","",INDEX($AE$5:$AE$54,MATCH(ROW()-4,$AH$5:$AH$54,0)))</f>
        <v>6000</v>
      </c>
      <c r="Z6" s="273">
        <f t="shared" ref="Z6:Z54" si="3">IF($W6="","",INDEX($AF$5:$AF$54,MATCH(ROW()-4,$AH$5:$AH$54,0)))</f>
        <v>0</v>
      </c>
      <c r="AA6" s="316" t="str">
        <f t="shared" ref="AA6:AA54" si="4">IF($W6="","",IF($Z6&gt;0,"Pending","Completed"))</f>
        <v>Completed</v>
      </c>
      <c r="AC6" t="str" cm="1">
        <f t="array" ref="AC6">IF(INDEX($T$5:$T$54,ROW()-4)="","",INDEX($T$5:$T$54,ROW()-4))</f>
        <v>P726Y-00194</v>
      </c>
      <c r="AD6">
        <f t="shared" ref="AD6:AD54" si="5">IF($AC6="","",N(INDEX($U$5:$U$54,ROW()-4)))</f>
        <v>1000</v>
      </c>
      <c r="AE6">
        <f t="shared" ref="AE6:AE54" si="6">IF($AC6="","",SUMIFS($C$6:$C$355,$K$6:$K$355,$AC6))</f>
        <v>1000</v>
      </c>
      <c r="AF6">
        <f t="shared" ref="AF6:AF54" si="7">IF($AC6="","",$AD6-$AE6)</f>
        <v>0</v>
      </c>
      <c r="AG6">
        <f t="shared" ref="AG6:AG54" si="8">IF($AC6="",0,IF($AF6&gt;0,1,0))</f>
        <v>0</v>
      </c>
      <c r="AH6" cm="1">
        <f t="array" ref="AH6">IF($AC6="","",IF($AG6=1,SUMPRODUCT(($AG$5:$AG$54=1)*($AC$5:$AC$54&gt;$AC6))+1,SUM($AG$5:$AG$54)+SUMPRODUCT(($AG$5:$AG$54=0)*($AC$5:$AC$54&lt;&gt;"")*($AC$5:$AC$54&gt;$AC6))+1))</f>
        <v>11</v>
      </c>
    </row>
    <row r="7" spans="1:36" ht="21.75" x14ac:dyDescent="0.25">
      <c r="A7" s="217" cm="1">
        <f t="array" ref="A7">IFERROR(INDEX(_xlfn.ANCHORARRAY($P$6),ROW()-5,1),"")</f>
        <v>46165</v>
      </c>
      <c r="B7" s="344" t="str" cm="1">
        <f t="array" ref="B7">IFERROR(INDEX(_xlfn.ANCHORARRAY($P$6),ROW()-5,2),"")</f>
        <v>XG1</v>
      </c>
      <c r="C7" s="345">
        <f>IF($A7="","",IF($J7="DIESEL",SUMIFS(Table1[Quantity],Table1[Customer],$M$3,Table1[Date],$A7,Table1[Bill No.],$B7),IF($J7="PETROL",SUMIFS(Table14[Quantity],Table14[Customer],$M$3,Table14[Date],$A7,Table14[Bill No.],$B7),IF($J7="XtraGreen",SUMIFS(Table146[Quantity],Table146[Company],$M$3,Table146[Date],$A7,Table146[Bill No.],$B7),""))))</f>
        <v>1000</v>
      </c>
      <c r="D7" s="346">
        <f>IF($A7="","",IF($J7="DIESEL",AVERAGEIFS(Table1[RSP],Table1[Customer],$M$3,Table1[Date],$A7,Table1[Bill No.],$B7),IF($J7="PETROL",AVERAGEIFS(Table14[RSP],Table14[Customer],$M$3,Table14[Date],$A7,Table14[Bill No.],$B7),IF($J7="XtraGreen",AVERAGEIFS(Table146[RSP],Table146[Company],$M$3,Table146[Date],$A7,Table146[Bill No.],$B7),IFERROR($E7/$C7,"")))))</f>
        <v>103.46</v>
      </c>
      <c r="E7" s="347">
        <f>IF($A7="","",IF($J7="DIESEL",SUMIFS(Table1[Amount],Table1[Customer],$M$3,Table1[Date],$A7,Table1[Bill No.],$B7),IF($J7="PETROL",SUMIFS(Table14[Amount],Table14[Customer],$M$3,Table14[Date],$A7,Table14[Bill No.],$B7),IF($J7="XtraGreen",SUMIFS(Table146[Amount],Table146[Company],$M$3,Table146[Date],$A7,Table146[Bill No.],$B7),SUMIFS('Other Sale'!$D:$D,'Other Sale'!$E:$E,$M$3,'Other Sale'!$C:$C,$J7,'Other Sale'!$A:$A,$A7)))))</f>
        <v>103460</v>
      </c>
      <c r="F7" s="347" cm="1">
        <f t="array" ref="F7">IF($A7="","",IF($J7="Payment",IFERROR(INDEX(_xlfn._xlws.FILTER(MasterPaid[Amount Paid],(MasterPaid[Customer]=$M$3)*(MasterPaid[Date]=$A7)),COUNTIFS($A$6:$A7,$A7,$J$6:$J7,"Payment")),0),0))</f>
        <v>0</v>
      </c>
      <c r="G7" s="331"/>
      <c r="H7" s="427"/>
      <c r="I7" s="330">
        <f>IF($A7="","",I6+N(E7)-N(F7)-N(G7)-N(H7))</f>
        <v>152395</v>
      </c>
      <c r="J7" s="344" t="str" cm="1">
        <f t="array" ref="J7">IFERROR(INDEX(_xlfn.ANCHORARRAY($P$6),ROW()-5,3),"")</f>
        <v>XtraGreen</v>
      </c>
      <c r="K7" s="429" t="s">
        <v>3653</v>
      </c>
      <c r="L7" s="348"/>
      <c r="M7" s="277"/>
      <c r="N7" s="277"/>
      <c r="O7" s="277"/>
      <c r="P7">
        <v>46165</v>
      </c>
      <c r="Q7" t="str">
        <v>XG1</v>
      </c>
      <c r="R7" t="str">
        <v>XtraGreen</v>
      </c>
      <c r="T7" s="438" t="s">
        <v>3654</v>
      </c>
      <c r="U7" s="350">
        <v>2500</v>
      </c>
      <c r="W7" s="316" t="str">
        <f t="shared" si="0"/>
        <v>P726Y-00588</v>
      </c>
      <c r="X7" s="273">
        <f t="shared" si="1"/>
        <v>6000</v>
      </c>
      <c r="Y7" s="273">
        <f t="shared" si="2"/>
        <v>6000</v>
      </c>
      <c r="Z7" s="273">
        <f t="shared" si="3"/>
        <v>0</v>
      </c>
      <c r="AA7" s="316" t="str">
        <f t="shared" si="4"/>
        <v>Completed</v>
      </c>
      <c r="AC7" t="str" cm="1">
        <f t="array" ref="AC7">IF(INDEX($T$5:$T$54,ROW()-4)="","",INDEX($T$5:$T$54,ROW()-4))</f>
        <v>P726Y-00200</v>
      </c>
      <c r="AD7">
        <f t="shared" si="5"/>
        <v>2500</v>
      </c>
      <c r="AE7">
        <f t="shared" si="6"/>
        <v>2500</v>
      </c>
      <c r="AF7">
        <f t="shared" si="7"/>
        <v>0</v>
      </c>
      <c r="AG7">
        <f t="shared" si="8"/>
        <v>0</v>
      </c>
      <c r="AH7" cm="1">
        <f t="array" ref="AH7">IF($AC7="","",IF($AG7=1,SUMPRODUCT(($AG$5:$AG$54=1)*($AC$5:$AC$54&gt;$AC7))+1,SUM($AG$5:$AG$54)+SUMPRODUCT(($AG$5:$AG$54=0)*($AC$5:$AC$54&lt;&gt;"")*($AC$5:$AC$54&gt;$AC7))+1))</f>
        <v>10</v>
      </c>
    </row>
    <row r="8" spans="1:36" ht="21.75" x14ac:dyDescent="0.25">
      <c r="A8" s="217" cm="1">
        <f t="array" ref="A8">IFERROR(INDEX(_xlfn.ANCHORARRAY($P$6),ROW()-5,1),"")</f>
        <v>46167</v>
      </c>
      <c r="B8" s="344" t="str" cm="1">
        <f t="array" ref="B8">IFERROR(INDEX(_xlfn.ANCHORARRAY($P$6),ROW()-5,2),"")</f>
        <v>XG2</v>
      </c>
      <c r="C8" s="345">
        <f>IF($A8="","",IF($J8="DIESEL",SUMIFS(Table1[Quantity],Table1[Customer],$M$3,Table1[Date],$A8,Table1[Bill No.],$B8),IF($J8="PETROL",SUMIFS(Table14[Quantity],Table14[Customer],$M$3,Table14[Date],$A8,Table14[Bill No.],$B8),IF($J8="XtraGreen",SUMIFS(Table146[Quantity],Table146[Company],$M$3,Table146[Date],$A8,Table146[Bill No.],$B8),""))))</f>
        <v>2500</v>
      </c>
      <c r="D8" s="346">
        <f>IF($A8="","",IF($J8="DIESEL",AVERAGEIFS(Table1[RSP],Table1[Customer],$M$3,Table1[Date],$A8,Table1[Bill No.],$B8),IF($J8="PETROL",AVERAGEIFS(Table14[RSP],Table14[Customer],$M$3,Table14[Date],$A8,Table14[Bill No.],$B8),IF($J8="XtraGreen",AVERAGEIFS(Table146[RSP],Table146[Company],$M$3,Table146[Date],$A8,Table146[Bill No.],$B8),IFERROR($E8/$C8,"")))))</f>
        <v>106.34</v>
      </c>
      <c r="E8" s="347">
        <f>IF($A8="","",IF($J8="DIESEL",SUMIFS(Table1[Amount],Table1[Customer],$M$3,Table1[Date],$A8,Table1[Bill No.],$B8),IF($J8="PETROL",SUMIFS(Table14[Amount],Table14[Customer],$M$3,Table14[Date],$A8,Table14[Bill No.],$B8),IF($J8="XtraGreen",SUMIFS(Table146[Amount],Table146[Company],$M$3,Table146[Date],$A8,Table146[Bill No.],$B8),SUMIFS('Other Sale'!$D:$D,'Other Sale'!$E:$E,$M$3,'Other Sale'!$C:$C,$J8,'Other Sale'!$A:$A,$A8)))))</f>
        <v>265850</v>
      </c>
      <c r="F8" s="347" cm="1">
        <f t="array" ref="F8">IF($A8="","",IF($J8="Payment",IFERROR(INDEX(_xlfn._xlws.FILTER(MasterPaid[Amount Paid],(MasterPaid[Customer]=$M$3)*(MasterPaid[Date]=$A8)),COUNTIFS($A$6:$A8,$A8,$J$6:$J8,"Payment")),0),0))</f>
        <v>0</v>
      </c>
      <c r="G8" s="331"/>
      <c r="H8" s="427"/>
      <c r="I8" s="330">
        <f t="shared" ref="I8:I71" si="9">IF($A8="","",I7+N(E8)-N(F8)-N(G8)-N(H8))</f>
        <v>418245</v>
      </c>
      <c r="J8" s="344" t="str" cm="1">
        <f t="array" ref="J8">IFERROR(INDEX(_xlfn.ANCHORARRAY($P$6),ROW()-5,3),"")</f>
        <v>XtraGreen</v>
      </c>
      <c r="K8" s="349" t="s">
        <v>3654</v>
      </c>
      <c r="L8" s="348"/>
      <c r="M8" s="277"/>
      <c r="N8" s="277"/>
      <c r="O8" s="277"/>
      <c r="P8">
        <v>46167</v>
      </c>
      <c r="Q8" t="str">
        <v>XG2</v>
      </c>
      <c r="R8" t="str">
        <v>XtraGreen</v>
      </c>
      <c r="T8" s="438" t="s">
        <v>3655</v>
      </c>
      <c r="U8" s="350">
        <v>1500</v>
      </c>
      <c r="W8" s="316" t="str">
        <f t="shared" si="0"/>
        <v>P726Y-00545</v>
      </c>
      <c r="X8" s="273">
        <f t="shared" si="1"/>
        <v>6000</v>
      </c>
      <c r="Y8" s="273">
        <f t="shared" si="2"/>
        <v>6000</v>
      </c>
      <c r="Z8" s="273">
        <f t="shared" si="3"/>
        <v>0</v>
      </c>
      <c r="AA8" s="316" t="str">
        <f t="shared" si="4"/>
        <v>Completed</v>
      </c>
      <c r="AC8" t="str" cm="1">
        <f t="array" ref="AC8">IF(INDEX($T$5:$T$54,ROW()-4)="","",INDEX($T$5:$T$54,ROW()-4))</f>
        <v>P726Y-00215</v>
      </c>
      <c r="AD8">
        <f t="shared" si="5"/>
        <v>1500</v>
      </c>
      <c r="AE8">
        <f t="shared" si="6"/>
        <v>1500</v>
      </c>
      <c r="AF8">
        <f t="shared" si="7"/>
        <v>0</v>
      </c>
      <c r="AG8">
        <f t="shared" si="8"/>
        <v>0</v>
      </c>
      <c r="AH8" cm="1">
        <f t="array" ref="AH8">IF($AC8="","",IF($AG8=1,SUMPRODUCT(($AG$5:$AG$54=1)*($AC$5:$AC$54&gt;$AC8))+1,SUM($AG$5:$AG$54)+SUMPRODUCT(($AG$5:$AG$54=0)*($AC$5:$AC$54&lt;&gt;"")*($AC$5:$AC$54&gt;$AC8))+1))</f>
        <v>9</v>
      </c>
    </row>
    <row r="9" spans="1:36" ht="21.75" x14ac:dyDescent="0.25">
      <c r="A9" s="217" cm="1">
        <f t="array" ref="A9">IFERROR(INDEX(_xlfn.ANCHORARRAY($P$6),ROW()-5,1),"")</f>
        <v>46167</v>
      </c>
      <c r="B9" s="344" t="str" cm="1">
        <f t="array" ref="B9">IFERROR(INDEX(_xlfn.ANCHORARRAY($P$6),ROW()-5,2),"")</f>
        <v/>
      </c>
      <c r="C9" s="345" t="str">
        <f>IF($A9="","",IF($J9="DIESEL",SUMIFS(Table1[Quantity],Table1[Customer],$M$3,Table1[Date],$A9,Table1[Bill No.],$B9),IF($J9="PETROL",SUMIFS(Table14[Quantity],Table14[Customer],$M$3,Table14[Date],$A9,Table14[Bill No.],$B9),IF($J9="XtraGreen",SUMIFS(Table146[Quantity],Table146[Company],$M$3,Table146[Date],$A9,Table146[Bill No.],$B9),""))))</f>
        <v/>
      </c>
      <c r="D9" s="346" t="str">
        <f>IF($A9="","",IF($J9="DIESEL",AVERAGEIFS(Table1[RSP],Table1[Customer],$M$3,Table1[Date],$A9,Table1[Bill No.],$B9),IF($J9="PETROL",AVERAGEIFS(Table14[RSP],Table14[Customer],$M$3,Table14[Date],$A9,Table14[Bill No.],$B9),IF($J9="XtraGreen",AVERAGEIFS(Table146[RSP],Table146[Company],$M$3,Table146[Date],$A9,Table146[Bill No.],$B9),IFERROR($E9/$C9,"")))))</f>
        <v/>
      </c>
      <c r="E9" s="347">
        <f>IF($A9="","",IF($J9="DIESEL",SUMIFS(Table1[Amount],Table1[Customer],$M$3,Table1[Date],$A9,Table1[Bill No.],$B9),IF($J9="PETROL",SUMIFS(Table14[Amount],Table14[Customer],$M$3,Table14[Date],$A9,Table14[Bill No.],$B9),IF($J9="XtraGreen",SUMIFS(Table146[Amount],Table146[Company],$M$3,Table146[Date],$A9,Table146[Bill No.],$B9),SUMIFS('Other Sale'!$D:$D,'Other Sale'!$E:$E,$M$3,'Other Sale'!$C:$C,$J9,'Other Sale'!$A:$A,$A9)))))</f>
        <v>0</v>
      </c>
      <c r="F9" s="347" cm="1">
        <f t="array" ref="F9">IF($A9="","",IF($J9="Payment",IFERROR(INDEX(_xlfn._xlws.FILTER(MasterPaid[Amount Paid],(MasterPaid[Customer]=$M$3)*(MasterPaid[Date]=$A9)),COUNTIFS($A$6:$A9,$A9,$J$6:$J9,"Payment")),0),0))</f>
        <v>418245</v>
      </c>
      <c r="G9" s="331"/>
      <c r="H9" s="427"/>
      <c r="I9" s="330">
        <f t="shared" si="9"/>
        <v>0</v>
      </c>
      <c r="J9" s="344" t="str" cm="1">
        <f t="array" ref="J9">IFERROR(INDEX(_xlfn.ANCHORARRAY($P$6),ROW()-5,3),"")</f>
        <v>Payment</v>
      </c>
      <c r="K9" s="349"/>
      <c r="L9" s="348"/>
      <c r="M9" s="277"/>
      <c r="N9" s="277"/>
      <c r="O9" s="277"/>
      <c r="P9">
        <v>46167</v>
      </c>
      <c r="Q9" t="str">
        <v/>
      </c>
      <c r="R9" t="str">
        <v>Payment</v>
      </c>
      <c r="T9" s="438" t="s">
        <v>3656</v>
      </c>
      <c r="U9" s="350">
        <v>3600</v>
      </c>
      <c r="W9" s="316" t="str">
        <f t="shared" si="0"/>
        <v>P726Y-00528</v>
      </c>
      <c r="X9" s="273">
        <f t="shared" si="1"/>
        <v>6000</v>
      </c>
      <c r="Y9" s="273">
        <f t="shared" si="2"/>
        <v>6000</v>
      </c>
      <c r="Z9" s="273">
        <f t="shared" si="3"/>
        <v>0</v>
      </c>
      <c r="AA9" s="316" t="str">
        <f t="shared" si="4"/>
        <v>Completed</v>
      </c>
      <c r="AC9" t="str" cm="1">
        <f t="array" ref="AC9">IF(INDEX($T$5:$T$54,ROW()-4)="","",INDEX($T$5:$T$54,ROW()-4))</f>
        <v>P726Y-00374</v>
      </c>
      <c r="AD9">
        <f t="shared" si="5"/>
        <v>3600</v>
      </c>
      <c r="AE9">
        <f t="shared" si="6"/>
        <v>3600</v>
      </c>
      <c r="AF9">
        <f t="shared" si="7"/>
        <v>0</v>
      </c>
      <c r="AG9">
        <f t="shared" si="8"/>
        <v>0</v>
      </c>
      <c r="AH9" cm="1">
        <f t="array" ref="AH9">IF($AC9="","",IF($AG9=1,SUMPRODUCT(($AG$5:$AG$54=1)*($AC$5:$AC$54&gt;$AC9))+1,SUM($AG$5:$AG$54)+SUMPRODUCT(($AG$5:$AG$54=0)*($AC$5:$AC$54&lt;&gt;"")*($AC$5:$AC$54&gt;$AC9))+1))</f>
        <v>8</v>
      </c>
    </row>
    <row r="10" spans="1:36" ht="21.75" x14ac:dyDescent="0.25">
      <c r="A10" s="217" cm="1">
        <f t="array" ref="A10">IFERROR(INDEX(_xlfn.ANCHORARRAY($P$6),ROW()-5,1),"")</f>
        <v>46168</v>
      </c>
      <c r="B10" s="344" t="str" cm="1">
        <f t="array" ref="B10">IFERROR(INDEX(_xlfn.ANCHORARRAY($P$6),ROW()-5,2),"")</f>
        <v>640</v>
      </c>
      <c r="C10" s="345">
        <f>IF($A10="","",IF($J10="DIESEL",SUMIFS(Table1[Quantity],Table1[Customer],$M$3,Table1[Date],$A10,Table1[Bill No.],$B10),IF($J10="PETROL",SUMIFS(Table14[Quantity],Table14[Customer],$M$3,Table14[Date],$A10,Table14[Bill No.],$B10),IF($J10="XtraGreen",SUMIFS(Table146[Quantity],Table146[Company],$M$3,Table146[Date],$A10,Table146[Bill No.],$B10),""))))</f>
        <v>1500</v>
      </c>
      <c r="D10" s="346">
        <f>IF($A10="","",IF($J10="DIESEL",AVERAGEIFS(Table1[RSP],Table1[Customer],$M$3,Table1[Date],$A10,Table1[Bill No.],$B10),IF($J10="PETROL",AVERAGEIFS(Table14[RSP],Table14[Customer],$M$3,Table14[Date],$A10,Table14[Bill No.],$B10),IF($J10="XtraGreen",AVERAGEIFS(Table146[RSP],Table146[Company],$M$3,Table146[Date],$A10,Table146[Bill No.],$B10),IFERROR($E10/$C10,"")))))</f>
        <v>100.74</v>
      </c>
      <c r="E10" s="347">
        <f>IF($A10="","",IF($J10="DIESEL",SUMIFS(Table1[Amount],Table1[Customer],$M$3,Table1[Date],$A10,Table1[Bill No.],$B10),IF($J10="PETROL",SUMIFS(Table14[Amount],Table14[Customer],$M$3,Table14[Date],$A10,Table14[Bill No.],$B10),IF($J10="XtraGreen",SUMIFS(Table146[Amount],Table146[Company],$M$3,Table146[Date],$A10,Table146[Bill No.],$B10),SUMIFS('Other Sale'!$D:$D,'Other Sale'!$E:$E,$M$3,'Other Sale'!$C:$C,$J10,'Other Sale'!$A:$A,$A10)))))</f>
        <v>151110</v>
      </c>
      <c r="F10" s="347" cm="1">
        <f t="array" ref="F10">IF($A10="","",IF($J10="Payment",IFERROR(INDEX(_xlfn._xlws.FILTER(MasterPaid[Amount Paid],(MasterPaid[Customer]=$M$3)*(MasterPaid[Date]=$A10)),COUNTIFS($A$6:$A10,$A10,$J$6:$J10,"Payment")),0),0))</f>
        <v>0</v>
      </c>
      <c r="G10" s="331"/>
      <c r="H10" s="427"/>
      <c r="I10" s="330">
        <f t="shared" si="9"/>
        <v>151110</v>
      </c>
      <c r="J10" s="344" t="str" cm="1">
        <f t="array" ref="J10">IFERROR(INDEX(_xlfn.ANCHORARRAY($P$6),ROW()-5,3),"")</f>
        <v>DIESEL</v>
      </c>
      <c r="K10" s="349" t="s">
        <v>3655</v>
      </c>
      <c r="L10" s="348"/>
      <c r="M10" s="277"/>
      <c r="N10" s="277"/>
      <c r="O10" s="277"/>
      <c r="P10">
        <v>46168</v>
      </c>
      <c r="Q10" t="str">
        <v>640</v>
      </c>
      <c r="R10" t="str">
        <v>DIESEL</v>
      </c>
      <c r="T10" s="438" t="s">
        <v>2372</v>
      </c>
      <c r="U10" s="350">
        <v>6000</v>
      </c>
      <c r="W10" s="316" t="str">
        <f t="shared" si="0"/>
        <v>P726Y-00460</v>
      </c>
      <c r="X10" s="273">
        <f t="shared" si="1"/>
        <v>6000</v>
      </c>
      <c r="Y10" s="273">
        <f t="shared" si="2"/>
        <v>6000</v>
      </c>
      <c r="Z10" s="273">
        <f t="shared" si="3"/>
        <v>0</v>
      </c>
      <c r="AA10" s="316" t="str">
        <f t="shared" si="4"/>
        <v>Completed</v>
      </c>
      <c r="AC10" t="str" cm="1">
        <f t="array" ref="AC10">IF(INDEX($T$5:$T$54,ROW()-4)="","",INDEX($T$5:$T$54,ROW()-4))</f>
        <v>P726Y-00427</v>
      </c>
      <c r="AD10">
        <f t="shared" si="5"/>
        <v>6000</v>
      </c>
      <c r="AE10">
        <f t="shared" si="6"/>
        <v>6000</v>
      </c>
      <c r="AF10">
        <f t="shared" si="7"/>
        <v>0</v>
      </c>
      <c r="AG10">
        <f t="shared" si="8"/>
        <v>0</v>
      </c>
      <c r="AH10" cm="1">
        <f t="array" ref="AH10">IF($AC10="","",IF($AG10=1,SUMPRODUCT(($AG$5:$AG$54=1)*($AC$5:$AC$54&gt;$AC10))+1,SUM($AG$5:$AG$54)+SUMPRODUCT(($AG$5:$AG$54=0)*($AC$5:$AC$54&lt;&gt;"")*($AC$5:$AC$54&gt;$AC10))+1))</f>
        <v>7</v>
      </c>
    </row>
    <row r="11" spans="1:36" ht="21.75" x14ac:dyDescent="0.25">
      <c r="A11" s="217" cm="1">
        <f t="array" ref="A11">IFERROR(INDEX(_xlfn.ANCHORARRAY($P$6),ROW()-5,1),"")</f>
        <v>46169</v>
      </c>
      <c r="B11" s="344" t="str" cm="1">
        <f t="array" ref="B11">IFERROR(INDEX(_xlfn.ANCHORARRAY($P$6),ROW()-5,2),"")</f>
        <v/>
      </c>
      <c r="C11" s="345" t="str">
        <f>IF($A11="","",IF($J11="DIESEL",SUMIFS(Table1[Quantity],Table1[Customer],$M$3,Table1[Date],$A11,Table1[Bill No.],$B11),IF($J11="PETROL",SUMIFS(Table14[Quantity],Table14[Customer],$M$3,Table14[Date],$A11,Table14[Bill No.],$B11),IF($J11="XtraGreen",SUMIFS(Table146[Quantity],Table146[Company],$M$3,Table146[Date],$A11,Table146[Bill No.],$B11),""))))</f>
        <v/>
      </c>
      <c r="D11" s="346" t="str">
        <f>IF($A11="","",IF($J11="DIESEL",AVERAGEIFS(Table1[RSP],Table1[Customer],$M$3,Table1[Date],$A11,Table1[Bill No.],$B11),IF($J11="PETROL",AVERAGEIFS(Table14[RSP],Table14[Customer],$M$3,Table14[Date],$A11,Table14[Bill No.],$B11),IF($J11="XtraGreen",AVERAGEIFS(Table146[RSP],Table146[Company],$M$3,Table146[Date],$A11,Table146[Bill No.],$B11),IFERROR($E11/$C11,"")))))</f>
        <v/>
      </c>
      <c r="E11" s="347">
        <f>IF($A11="","",IF($J11="DIESEL",SUMIFS(Table1[Amount],Table1[Customer],$M$3,Table1[Date],$A11,Table1[Bill No.],$B11),IF($J11="PETROL",SUMIFS(Table14[Amount],Table14[Customer],$M$3,Table14[Date],$A11,Table14[Bill No.],$B11),IF($J11="XtraGreen",SUMIFS(Table146[Amount],Table146[Company],$M$3,Table146[Date],$A11,Table146[Bill No.],$B11),SUMIFS('Other Sale'!$D:$D,'Other Sale'!$E:$E,$M$3,'Other Sale'!$C:$C,$J11,'Other Sale'!$A:$A,$A11)))))</f>
        <v>0</v>
      </c>
      <c r="F11" s="347" cm="1">
        <f t="array" ref="F11">IF($A11="","",IF($J11="Payment",IFERROR(INDEX(_xlfn._xlws.FILTER(MasterPaid[Amount Paid],(MasterPaid[Customer]=$M$3)*(MasterPaid[Date]=$A11)),COUNTIFS($A$6:$A11,$A11,$J$6:$J11,"Payment")),0),0))</f>
        <v>151110</v>
      </c>
      <c r="G11" s="331"/>
      <c r="H11" s="427"/>
      <c r="I11" s="330">
        <f t="shared" si="9"/>
        <v>0</v>
      </c>
      <c r="J11" s="344" t="str" cm="1">
        <f t="array" ref="J11">IFERROR(INDEX(_xlfn.ANCHORARRAY($P$6),ROW()-5,3),"")</f>
        <v>Payment</v>
      </c>
      <c r="K11" s="349"/>
      <c r="L11" s="348"/>
      <c r="M11" s="277"/>
      <c r="N11" s="277"/>
      <c r="O11" s="277"/>
      <c r="P11">
        <v>46169</v>
      </c>
      <c r="Q11" t="str">
        <v/>
      </c>
      <c r="R11" t="str">
        <v>Payment</v>
      </c>
      <c r="T11" s="438" t="s">
        <v>3657</v>
      </c>
      <c r="U11" s="350">
        <v>6000</v>
      </c>
      <c r="W11" s="316" t="str">
        <f t="shared" si="0"/>
        <v>P726Y-00427</v>
      </c>
      <c r="X11" s="273">
        <f t="shared" si="1"/>
        <v>6000</v>
      </c>
      <c r="Y11" s="273">
        <f t="shared" si="2"/>
        <v>6000</v>
      </c>
      <c r="Z11" s="273">
        <f t="shared" si="3"/>
        <v>0</v>
      </c>
      <c r="AA11" s="316" t="str">
        <f t="shared" si="4"/>
        <v>Completed</v>
      </c>
      <c r="AC11" t="str" cm="1">
        <f t="array" ref="AC11">IF(INDEX($T$5:$T$54,ROW()-4)="","",INDEX($T$5:$T$54,ROW()-4))</f>
        <v>P726Y-00460</v>
      </c>
      <c r="AD11">
        <f t="shared" si="5"/>
        <v>6000</v>
      </c>
      <c r="AE11">
        <f t="shared" si="6"/>
        <v>6000</v>
      </c>
      <c r="AF11">
        <f t="shared" si="7"/>
        <v>0</v>
      </c>
      <c r="AG11">
        <f t="shared" si="8"/>
        <v>0</v>
      </c>
      <c r="AH11" cm="1">
        <f t="array" ref="AH11">IF($AC11="","",IF($AG11=1,SUMPRODUCT(($AG$5:$AG$54=1)*($AC$5:$AC$54&gt;$AC11))+1,SUM($AG$5:$AG$54)+SUMPRODUCT(($AG$5:$AG$54=0)*($AC$5:$AC$54&lt;&gt;"")*($AC$5:$AC$54&gt;$AC11))+1))</f>
        <v>6</v>
      </c>
    </row>
    <row r="12" spans="1:36" ht="21.75" x14ac:dyDescent="0.25">
      <c r="A12" s="217" cm="1">
        <f t="array" ref="A12">IFERROR(INDEX(_xlfn.ANCHORARRAY($P$6),ROW()-5,1),"")</f>
        <v>46196</v>
      </c>
      <c r="B12" s="344" t="str" cm="1">
        <f t="array" ref="B12">IFERROR(INDEX(_xlfn.ANCHORARRAY($P$6),ROW()-5,2),"")</f>
        <v>1021</v>
      </c>
      <c r="C12" s="345">
        <f>IF($A12="","",IF($J12="DIESEL",SUMIFS(Table1[Quantity],Table1[Customer],$M$3,Table1[Date],$A12,Table1[Bill No.],$B12),IF($J12="PETROL",SUMIFS(Table14[Quantity],Table14[Customer],$M$3,Table14[Date],$A12,Table14[Bill No.],$B12),IF($J12="XtraGreen",SUMIFS(Table146[Quantity],Table146[Company],$M$3,Table146[Date],$A12,Table146[Bill No.],$B12),""))))</f>
        <v>200</v>
      </c>
      <c r="D12" s="346">
        <f>IF($A12="","",IF($J12="DIESEL",AVERAGEIFS(Table1[RSP],Table1[Customer],$M$3,Table1[Date],$A12,Table1[Bill No.],$B12),IF($J12="PETROL",AVERAGEIFS(Table14[RSP],Table14[Customer],$M$3,Table14[Date],$A12,Table14[Bill No.],$B12),IF($J12="XtraGreen",AVERAGEIFS(Table146[RSP],Table146[Company],$M$3,Table146[Date],$A12,Table146[Bill No.],$B12),IFERROR($E12/$C12,"")))))</f>
        <v>100.74</v>
      </c>
      <c r="E12" s="347">
        <f>IF($A12="","",IF($J12="DIESEL",SUMIFS(Table1[Amount],Table1[Customer],$M$3,Table1[Date],$A12,Table1[Bill No.],$B12),IF($J12="PETROL",SUMIFS(Table14[Amount],Table14[Customer],$M$3,Table14[Date],$A12,Table14[Bill No.],$B12),IF($J12="XtraGreen",SUMIFS(Table146[Amount],Table146[Company],$M$3,Table146[Date],$A12,Table146[Bill No.],$B12),SUMIFS('Other Sale'!$D:$D,'Other Sale'!$E:$E,$M$3,'Other Sale'!$C:$C,$J12,'Other Sale'!$A:$A,$A12)))))</f>
        <v>20148</v>
      </c>
      <c r="F12" s="347" cm="1">
        <f t="array" ref="F12">IF($A12="","",IF($J12="Payment",IFERROR(INDEX(_xlfn._xlws.FILTER(MasterPaid[Amount Paid],(MasterPaid[Customer]=$M$3)*(MasterPaid[Date]=$A12)),COUNTIFS($A$6:$A12,$A12,$J$6:$J12,"Payment")),0),0))</f>
        <v>0</v>
      </c>
      <c r="G12" s="331"/>
      <c r="H12" s="427"/>
      <c r="I12" s="330">
        <f t="shared" si="9"/>
        <v>20148</v>
      </c>
      <c r="J12" s="344" t="str" cm="1">
        <f t="array" ref="J12">IFERROR(INDEX(_xlfn.ANCHORARRAY($P$6),ROW()-5,3),"")</f>
        <v>DIESEL</v>
      </c>
      <c r="K12" s="349" t="s">
        <v>3656</v>
      </c>
      <c r="L12" s="348"/>
      <c r="M12" s="277"/>
      <c r="N12" s="277"/>
      <c r="O12" s="277"/>
      <c r="P12">
        <v>46196</v>
      </c>
      <c r="Q12" t="str">
        <v>1021</v>
      </c>
      <c r="R12" t="str">
        <v>DIESEL</v>
      </c>
      <c r="T12" s="438" t="s">
        <v>3658</v>
      </c>
      <c r="U12" s="350">
        <v>6000</v>
      </c>
      <c r="W12" s="316" t="str">
        <f t="shared" si="0"/>
        <v>P726Y-00374</v>
      </c>
      <c r="X12" s="273">
        <f t="shared" si="1"/>
        <v>3600</v>
      </c>
      <c r="Y12" s="273">
        <f t="shared" si="2"/>
        <v>3600</v>
      </c>
      <c r="Z12" s="273">
        <f t="shared" si="3"/>
        <v>0</v>
      </c>
      <c r="AA12" s="316" t="str">
        <f t="shared" si="4"/>
        <v>Completed</v>
      </c>
      <c r="AC12" t="str" cm="1">
        <f t="array" ref="AC12">IF(INDEX($T$5:$T$54,ROW()-4)="","",INDEX($T$5:$T$54,ROW()-4))</f>
        <v>P726Y-00528</v>
      </c>
      <c r="AD12">
        <f t="shared" si="5"/>
        <v>6000</v>
      </c>
      <c r="AE12">
        <f t="shared" si="6"/>
        <v>6000</v>
      </c>
      <c r="AF12">
        <f t="shared" si="7"/>
        <v>0</v>
      </c>
      <c r="AG12">
        <f t="shared" si="8"/>
        <v>0</v>
      </c>
      <c r="AH12" cm="1">
        <f t="array" ref="AH12">IF($AC12="","",IF($AG12=1,SUMPRODUCT(($AG$5:$AG$54=1)*($AC$5:$AC$54&gt;$AC12))+1,SUM($AG$5:$AG$54)+SUMPRODUCT(($AG$5:$AG$54=0)*($AC$5:$AC$54&lt;&gt;"")*($AC$5:$AC$54&gt;$AC12))+1))</f>
        <v>5</v>
      </c>
    </row>
    <row r="13" spans="1:36" ht="21.75" x14ac:dyDescent="0.25">
      <c r="A13" s="217" cm="1">
        <f t="array" ref="A13">IFERROR(INDEX(_xlfn.ANCHORARRAY($P$6),ROW()-5,1),"")</f>
        <v>46196</v>
      </c>
      <c r="B13" s="344" t="str" cm="1">
        <f t="array" ref="B13">IFERROR(INDEX(_xlfn.ANCHORARRAY($P$6),ROW()-5,2),"")</f>
        <v>1022</v>
      </c>
      <c r="C13" s="345">
        <f>IF($A13="","",IF($J13="DIESEL",SUMIFS(Table1[Quantity],Table1[Customer],$M$3,Table1[Date],$A13,Table1[Bill No.],$B13),IF($J13="PETROL",SUMIFS(Table14[Quantity],Table14[Customer],$M$3,Table14[Date],$A13,Table14[Bill No.],$B13),IF($J13="XtraGreen",SUMIFS(Table146[Quantity],Table146[Company],$M$3,Table146[Date],$A13,Table146[Bill No.],$B13),""))))</f>
        <v>200</v>
      </c>
      <c r="D13" s="346">
        <f>IF($A13="","",IF($J13="DIESEL",AVERAGEIFS(Table1[RSP],Table1[Customer],$M$3,Table1[Date],$A13,Table1[Bill No.],$B13),IF($J13="PETROL",AVERAGEIFS(Table14[RSP],Table14[Customer],$M$3,Table14[Date],$A13,Table14[Bill No.],$B13),IF($J13="XtraGreen",AVERAGEIFS(Table146[RSP],Table146[Company],$M$3,Table146[Date],$A13,Table146[Bill No.],$B13),IFERROR($E13/$C13,"")))))</f>
        <v>100.74</v>
      </c>
      <c r="E13" s="347">
        <f>IF($A13="","",IF($J13="DIESEL",SUMIFS(Table1[Amount],Table1[Customer],$M$3,Table1[Date],$A13,Table1[Bill No.],$B13),IF($J13="PETROL",SUMIFS(Table14[Amount],Table14[Customer],$M$3,Table14[Date],$A13,Table14[Bill No.],$B13),IF($J13="XtraGreen",SUMIFS(Table146[Amount],Table146[Company],$M$3,Table146[Date],$A13,Table146[Bill No.],$B13),SUMIFS('Other Sale'!$D:$D,'Other Sale'!$E:$E,$M$3,'Other Sale'!$C:$C,$J13,'Other Sale'!$A:$A,$A13)))))</f>
        <v>20148</v>
      </c>
      <c r="F13" s="347" cm="1">
        <f t="array" ref="F13">IF($A13="","",IF($J13="Payment",IFERROR(INDEX(_xlfn._xlws.FILTER(MasterPaid[Amount Paid],(MasterPaid[Customer]=$M$3)*(MasterPaid[Date]=$A13)),COUNTIFS($A$6:$A13,$A13,$J$6:$J13,"Payment")),0),0))</f>
        <v>0</v>
      </c>
      <c r="G13" s="331"/>
      <c r="H13" s="427"/>
      <c r="I13" s="330">
        <f t="shared" si="9"/>
        <v>40296</v>
      </c>
      <c r="J13" s="344" t="str" cm="1">
        <f t="array" ref="J13">IFERROR(INDEX(_xlfn.ANCHORARRAY($P$6),ROW()-5,3),"")</f>
        <v>DIESEL</v>
      </c>
      <c r="K13" s="349" t="s">
        <v>3656</v>
      </c>
      <c r="L13" s="348"/>
      <c r="M13" s="277"/>
      <c r="N13" s="277"/>
      <c r="O13" s="277"/>
      <c r="P13">
        <v>46196</v>
      </c>
      <c r="Q13" t="str">
        <v>1022</v>
      </c>
      <c r="R13" t="str">
        <v>DIESEL</v>
      </c>
      <c r="T13" s="438" t="s">
        <v>3659</v>
      </c>
      <c r="U13" s="350">
        <v>6000</v>
      </c>
      <c r="W13" s="316" t="str">
        <f t="shared" si="0"/>
        <v>P726Y-00215</v>
      </c>
      <c r="X13" s="273">
        <f t="shared" si="1"/>
        <v>1500</v>
      </c>
      <c r="Y13" s="273">
        <f t="shared" si="2"/>
        <v>1500</v>
      </c>
      <c r="Z13" s="273">
        <f t="shared" si="3"/>
        <v>0</v>
      </c>
      <c r="AA13" s="316" t="str">
        <f t="shared" si="4"/>
        <v>Completed</v>
      </c>
      <c r="AC13" t="str" cm="1">
        <f t="array" ref="AC13">IF(INDEX($T$5:$T$54,ROW()-4)="","",INDEX($T$5:$T$54,ROW()-4))</f>
        <v>P726Y-00545</v>
      </c>
      <c r="AD13">
        <f t="shared" si="5"/>
        <v>6000</v>
      </c>
      <c r="AE13">
        <f t="shared" si="6"/>
        <v>6000</v>
      </c>
      <c r="AF13">
        <f t="shared" si="7"/>
        <v>0</v>
      </c>
      <c r="AG13">
        <f t="shared" si="8"/>
        <v>0</v>
      </c>
      <c r="AH13" cm="1">
        <f t="array" ref="AH13">IF($AC13="","",IF($AG13=1,SUMPRODUCT(($AG$5:$AG$54=1)*($AC$5:$AC$54&gt;$AC13))+1,SUM($AG$5:$AG$54)+SUMPRODUCT(($AG$5:$AG$54=0)*($AC$5:$AC$54&lt;&gt;"")*($AC$5:$AC$54&gt;$AC13))+1))</f>
        <v>4</v>
      </c>
    </row>
    <row r="14" spans="1:36" ht="21.75" x14ac:dyDescent="0.25">
      <c r="A14" s="217" cm="1">
        <f t="array" ref="A14">IFERROR(INDEX(_xlfn.ANCHORARRAY($P$6),ROW()-5,1),"")</f>
        <v>46196</v>
      </c>
      <c r="B14" s="344" t="str" cm="1">
        <f t="array" ref="B14">IFERROR(INDEX(_xlfn.ANCHORARRAY($P$6),ROW()-5,2),"")</f>
        <v>1023</v>
      </c>
      <c r="C14" s="345">
        <f>IF($A14="","",IF($J14="DIESEL",SUMIFS(Table1[Quantity],Table1[Customer],$M$3,Table1[Date],$A14,Table1[Bill No.],$B14),IF($J14="PETROL",SUMIFS(Table14[Quantity],Table14[Customer],$M$3,Table14[Date],$A14,Table14[Bill No.],$B14),IF($J14="XtraGreen",SUMIFS(Table146[Quantity],Table146[Company],$M$3,Table146[Date],$A14,Table146[Bill No.],$B14),""))))</f>
        <v>200</v>
      </c>
      <c r="D14" s="346">
        <f>IF($A14="","",IF($J14="DIESEL",AVERAGEIFS(Table1[RSP],Table1[Customer],$M$3,Table1[Date],$A14,Table1[Bill No.],$B14),IF($J14="PETROL",AVERAGEIFS(Table14[RSP],Table14[Customer],$M$3,Table14[Date],$A14,Table14[Bill No.],$B14),IF($J14="XtraGreen",AVERAGEIFS(Table146[RSP],Table146[Company],$M$3,Table146[Date],$A14,Table146[Bill No.],$B14),IFERROR($E14/$C14,"")))))</f>
        <v>100.74</v>
      </c>
      <c r="E14" s="347">
        <f>IF($A14="","",IF($J14="DIESEL",SUMIFS(Table1[Amount],Table1[Customer],$M$3,Table1[Date],$A14,Table1[Bill No.],$B14),IF($J14="PETROL",SUMIFS(Table14[Amount],Table14[Customer],$M$3,Table14[Date],$A14,Table14[Bill No.],$B14),IF($J14="XtraGreen",SUMIFS(Table146[Amount],Table146[Company],$M$3,Table146[Date],$A14,Table146[Bill No.],$B14),SUMIFS('Other Sale'!$D:$D,'Other Sale'!$E:$E,$M$3,'Other Sale'!$C:$C,$J14,'Other Sale'!$A:$A,$A14)))))</f>
        <v>20148</v>
      </c>
      <c r="F14" s="347" cm="1">
        <f t="array" ref="F14">IF($A14="","",IF($J14="Payment",IFERROR(INDEX(_xlfn._xlws.FILTER(MasterPaid[Amount Paid],(MasterPaid[Customer]=$M$3)*(MasterPaid[Date]=$A14)),COUNTIFS($A$6:$A14,$A14,$J$6:$J14,"Payment")),0),0))</f>
        <v>0</v>
      </c>
      <c r="G14" s="331"/>
      <c r="H14" s="427"/>
      <c r="I14" s="330">
        <f t="shared" si="9"/>
        <v>60444</v>
      </c>
      <c r="J14" s="344" t="str" cm="1">
        <f t="array" ref="J14">IFERROR(INDEX(_xlfn.ANCHORARRAY($P$6),ROW()-5,3),"")</f>
        <v>DIESEL</v>
      </c>
      <c r="K14" s="349" t="s">
        <v>3656</v>
      </c>
      <c r="L14" s="348"/>
      <c r="M14" s="277"/>
      <c r="N14" s="277"/>
      <c r="O14" s="277"/>
      <c r="P14">
        <v>46196</v>
      </c>
      <c r="Q14" t="str">
        <v>1023</v>
      </c>
      <c r="R14" t="str">
        <v>DIESEL</v>
      </c>
      <c r="T14" s="438" t="s">
        <v>3660</v>
      </c>
      <c r="U14" s="350">
        <v>6000</v>
      </c>
      <c r="W14" s="316" t="str">
        <f t="shared" si="0"/>
        <v>P726Y-00200</v>
      </c>
      <c r="X14" s="273">
        <f t="shared" si="1"/>
        <v>2500</v>
      </c>
      <c r="Y14" s="273">
        <f t="shared" si="2"/>
        <v>2500</v>
      </c>
      <c r="Z14" s="273">
        <f t="shared" si="3"/>
        <v>0</v>
      </c>
      <c r="AA14" s="316" t="str">
        <f t="shared" si="4"/>
        <v>Completed</v>
      </c>
      <c r="AC14" t="str" cm="1">
        <f t="array" ref="AC14">IF(INDEX($T$5:$T$54,ROW()-4)="","",INDEX($T$5:$T$54,ROW()-4))</f>
        <v>P726Y-00588</v>
      </c>
      <c r="AD14">
        <f t="shared" si="5"/>
        <v>6000</v>
      </c>
      <c r="AE14">
        <f t="shared" si="6"/>
        <v>6000</v>
      </c>
      <c r="AF14">
        <f t="shared" si="7"/>
        <v>0</v>
      </c>
      <c r="AG14">
        <f t="shared" si="8"/>
        <v>0</v>
      </c>
      <c r="AH14" cm="1">
        <f t="array" ref="AH14">IF($AC14="","",IF($AG14=1,SUMPRODUCT(($AG$5:$AG$54=1)*($AC$5:$AC$54&gt;$AC14))+1,SUM($AG$5:$AG$54)+SUMPRODUCT(($AG$5:$AG$54=0)*($AC$5:$AC$54&lt;&gt;"")*($AC$5:$AC$54&gt;$AC14))+1))</f>
        <v>3</v>
      </c>
    </row>
    <row r="15" spans="1:36" ht="21.75" x14ac:dyDescent="0.25">
      <c r="A15" s="217" cm="1">
        <f t="array" ref="A15">IFERROR(INDEX(_xlfn.ANCHORARRAY($P$6),ROW()-5,1),"")</f>
        <v>46196</v>
      </c>
      <c r="B15" s="344" t="str" cm="1">
        <f t="array" ref="B15">IFERROR(INDEX(_xlfn.ANCHORARRAY($P$6),ROW()-5,2),"")</f>
        <v>1024</v>
      </c>
      <c r="C15" s="345">
        <f>IF($A15="","",IF($J15="DIESEL",SUMIFS(Table1[Quantity],Table1[Customer],$M$3,Table1[Date],$A15,Table1[Bill No.],$B15),IF($J15="PETROL",SUMIFS(Table14[Quantity],Table14[Customer],$M$3,Table14[Date],$A15,Table14[Bill No.],$B15),IF($J15="XtraGreen",SUMIFS(Table146[Quantity],Table146[Company],$M$3,Table146[Date],$A15,Table146[Bill No.],$B15),""))))</f>
        <v>200</v>
      </c>
      <c r="D15" s="346">
        <f>IF($A15="","",IF($J15="DIESEL",AVERAGEIFS(Table1[RSP],Table1[Customer],$M$3,Table1[Date],$A15,Table1[Bill No.],$B15),IF($J15="PETROL",AVERAGEIFS(Table14[RSP],Table14[Customer],$M$3,Table14[Date],$A15,Table14[Bill No.],$B15),IF($J15="XtraGreen",AVERAGEIFS(Table146[RSP],Table146[Company],$M$3,Table146[Date],$A15,Table146[Bill No.],$B15),IFERROR($E15/$C15,"")))))</f>
        <v>100.74</v>
      </c>
      <c r="E15" s="347">
        <f>IF($A15="","",IF($J15="DIESEL",SUMIFS(Table1[Amount],Table1[Customer],$M$3,Table1[Date],$A15,Table1[Bill No.],$B15),IF($J15="PETROL",SUMIFS(Table14[Amount],Table14[Customer],$M$3,Table14[Date],$A15,Table14[Bill No.],$B15),IF($J15="XtraGreen",SUMIFS(Table146[Amount],Table146[Company],$M$3,Table146[Date],$A15,Table146[Bill No.],$B15),SUMIFS('Other Sale'!$D:$D,'Other Sale'!$E:$E,$M$3,'Other Sale'!$C:$C,$J15,'Other Sale'!$A:$A,$A15)))))</f>
        <v>20148</v>
      </c>
      <c r="F15" s="347" cm="1">
        <f t="array" ref="F15">IF($A15="","",IF($J15="Payment",IFERROR(INDEX(_xlfn._xlws.FILTER(MasterPaid[Amount Paid],(MasterPaid[Customer]=$M$3)*(MasterPaid[Date]=$A15)),COUNTIFS($A$6:$A15,$A15,$J$6:$J15,"Payment")),0),0))</f>
        <v>0</v>
      </c>
      <c r="G15" s="331"/>
      <c r="H15" s="427"/>
      <c r="I15" s="330">
        <f t="shared" si="9"/>
        <v>80592</v>
      </c>
      <c r="J15" s="344" t="str" cm="1">
        <f t="array" ref="J15">IFERROR(INDEX(_xlfn.ANCHORARRAY($P$6),ROW()-5,3),"")</f>
        <v>DIESEL</v>
      </c>
      <c r="K15" s="349" t="s">
        <v>3656</v>
      </c>
      <c r="L15" s="348"/>
      <c r="M15" s="277"/>
      <c r="N15" s="277"/>
      <c r="O15" s="277"/>
      <c r="P15">
        <v>46196</v>
      </c>
      <c r="Q15" t="str">
        <v>1024</v>
      </c>
      <c r="R15" t="str">
        <v>DIESEL</v>
      </c>
      <c r="T15" s="438" t="s">
        <v>3661</v>
      </c>
      <c r="U15" s="350">
        <v>6000</v>
      </c>
      <c r="W15" s="316" t="str">
        <f t="shared" si="0"/>
        <v>P726Y-00194</v>
      </c>
      <c r="X15" s="273">
        <f t="shared" si="1"/>
        <v>1000</v>
      </c>
      <c r="Y15" s="273">
        <f t="shared" si="2"/>
        <v>1000</v>
      </c>
      <c r="Z15" s="273">
        <f t="shared" si="3"/>
        <v>0</v>
      </c>
      <c r="AA15" s="316" t="str">
        <f t="shared" si="4"/>
        <v>Completed</v>
      </c>
      <c r="AC15" t="str" cm="1">
        <f t="array" ref="AC15">IF(INDEX($T$5:$T$54,ROW()-4)="","",INDEX($T$5:$T$54,ROW()-4))</f>
        <v>P726Y-00635</v>
      </c>
      <c r="AD15">
        <f t="shared" si="5"/>
        <v>6000</v>
      </c>
      <c r="AE15">
        <f t="shared" si="6"/>
        <v>6000</v>
      </c>
      <c r="AF15">
        <f t="shared" si="7"/>
        <v>0</v>
      </c>
      <c r="AG15">
        <f t="shared" si="8"/>
        <v>0</v>
      </c>
      <c r="AH15" cm="1">
        <f t="array" ref="AH15">IF($AC15="","",IF($AG15=1,SUMPRODUCT(($AG$5:$AG$54=1)*($AC$5:$AC$54&gt;$AC15))+1,SUM($AG$5:$AG$54)+SUMPRODUCT(($AG$5:$AG$54=0)*($AC$5:$AC$54&lt;&gt;"")*($AC$5:$AC$54&gt;$AC15))+1))</f>
        <v>2</v>
      </c>
    </row>
    <row r="16" spans="1:36" ht="21.75" x14ac:dyDescent="0.25">
      <c r="A16" s="217" cm="1">
        <f t="array" ref="A16">IFERROR(INDEX(_xlfn.ANCHORARRAY($P$6),ROW()-5,1),"")</f>
        <v>46196</v>
      </c>
      <c r="B16" s="344" t="str" cm="1">
        <f t="array" ref="B16">IFERROR(INDEX(_xlfn.ANCHORARRAY($P$6),ROW()-5,2),"")</f>
        <v>1025</v>
      </c>
      <c r="C16" s="345">
        <f>IF($A16="","",IF($J16="DIESEL",SUMIFS(Table1[Quantity],Table1[Customer],$M$3,Table1[Date],$A16,Table1[Bill No.],$B16),IF($J16="PETROL",SUMIFS(Table14[Quantity],Table14[Customer],$M$3,Table14[Date],$A16,Table14[Bill No.],$B16),IF($J16="XtraGreen",SUMIFS(Table146[Quantity],Table146[Company],$M$3,Table146[Date],$A16,Table146[Bill No.],$B16),""))))</f>
        <v>200</v>
      </c>
      <c r="D16" s="346">
        <f>IF($A16="","",IF($J16="DIESEL",AVERAGEIFS(Table1[RSP],Table1[Customer],$M$3,Table1[Date],$A16,Table1[Bill No.],$B16),IF($J16="PETROL",AVERAGEIFS(Table14[RSP],Table14[Customer],$M$3,Table14[Date],$A16,Table14[Bill No.],$B16),IF($J16="XtraGreen",AVERAGEIFS(Table146[RSP],Table146[Company],$M$3,Table146[Date],$A16,Table146[Bill No.],$B16),IFERROR($E16/$C16,"")))))</f>
        <v>100.74</v>
      </c>
      <c r="E16" s="347">
        <f>IF($A16="","",IF($J16="DIESEL",SUMIFS(Table1[Amount],Table1[Customer],$M$3,Table1[Date],$A16,Table1[Bill No.],$B16),IF($J16="PETROL",SUMIFS(Table14[Amount],Table14[Customer],$M$3,Table14[Date],$A16,Table14[Bill No.],$B16),IF($J16="XtraGreen",SUMIFS(Table146[Amount],Table146[Company],$M$3,Table146[Date],$A16,Table146[Bill No.],$B16),SUMIFS('Other Sale'!$D:$D,'Other Sale'!$E:$E,$M$3,'Other Sale'!$C:$C,$J16,'Other Sale'!$A:$A,$A16)))))</f>
        <v>20148</v>
      </c>
      <c r="F16" s="347" cm="1">
        <f t="array" ref="F16">IF($A16="","",IF($J16="Payment",IFERROR(INDEX(_xlfn._xlws.FILTER(MasterPaid[Amount Paid],(MasterPaid[Customer]=$M$3)*(MasterPaid[Date]=$A16)),COUNTIFS($A$6:$A16,$A16,$J$6:$J16,"Payment")),0),0))</f>
        <v>0</v>
      </c>
      <c r="G16" s="331"/>
      <c r="H16" s="427"/>
      <c r="I16" s="330">
        <f t="shared" si="9"/>
        <v>100740</v>
      </c>
      <c r="J16" s="344" t="str" cm="1">
        <f t="array" ref="J16">IFERROR(INDEX(_xlfn.ANCHORARRAY($P$6),ROW()-5,3),"")</f>
        <v>DIESEL</v>
      </c>
      <c r="K16" s="349" t="s">
        <v>3656</v>
      </c>
      <c r="L16" s="348"/>
      <c r="M16" s="277"/>
      <c r="N16" s="277"/>
      <c r="O16" s="277"/>
      <c r="P16">
        <v>46196</v>
      </c>
      <c r="Q16" t="str">
        <v>1025</v>
      </c>
      <c r="R16" t="str">
        <v>DIESEL</v>
      </c>
      <c r="T16" s="438" t="s">
        <v>4054</v>
      </c>
      <c r="U16" s="350">
        <v>12000</v>
      </c>
      <c r="W16" s="316" t="str">
        <f t="shared" si="0"/>
        <v>P726Y-00193</v>
      </c>
      <c r="X16" s="273">
        <f t="shared" si="1"/>
        <v>500</v>
      </c>
      <c r="Y16" s="273">
        <f t="shared" si="2"/>
        <v>500</v>
      </c>
      <c r="Z16" s="273">
        <f t="shared" si="3"/>
        <v>0</v>
      </c>
      <c r="AA16" s="316" t="str">
        <f t="shared" si="4"/>
        <v>Completed</v>
      </c>
      <c r="AC16" t="str" cm="1">
        <f t="array" ref="AC16">IF(INDEX($T$5:$T$54,ROW()-4)="","",INDEX($T$5:$T$54,ROW()-4))</f>
        <v>P726Y-00713</v>
      </c>
      <c r="AD16">
        <f t="shared" si="5"/>
        <v>12000</v>
      </c>
      <c r="AE16">
        <f t="shared" si="6"/>
        <v>0</v>
      </c>
      <c r="AF16">
        <f t="shared" si="7"/>
        <v>12000</v>
      </c>
      <c r="AG16">
        <f t="shared" si="8"/>
        <v>1</v>
      </c>
      <c r="AH16" cm="1">
        <f t="array" ref="AH16">IF($AC16="","",IF($AG16=1,SUMPRODUCT(($AG$5:$AG$54=1)*($AC$5:$AC$54&gt;$AC16))+1,SUM($AG$5:$AG$54)+SUMPRODUCT(($AG$5:$AG$54=0)*($AC$5:$AC$54&lt;&gt;"")*($AC$5:$AC$54&gt;$AC16))+1))</f>
        <v>1</v>
      </c>
    </row>
    <row r="17" spans="1:34" ht="21.75" x14ac:dyDescent="0.25">
      <c r="A17" s="217" cm="1">
        <f t="array" ref="A17">IFERROR(INDEX(_xlfn.ANCHORARRAY($P$6),ROW()-5,1),"")</f>
        <v>46196</v>
      </c>
      <c r="B17" s="344" t="str" cm="1">
        <f t="array" ref="B17">IFERROR(INDEX(_xlfn.ANCHORARRAY($P$6),ROW()-5,2),"")</f>
        <v>1026</v>
      </c>
      <c r="C17" s="345">
        <f>IF($A17="","",IF($J17="DIESEL",SUMIFS(Table1[Quantity],Table1[Customer],$M$3,Table1[Date],$A17,Table1[Bill No.],$B17),IF($J17="PETROL",SUMIFS(Table14[Quantity],Table14[Customer],$M$3,Table14[Date],$A17,Table14[Bill No.],$B17),IF($J17="XtraGreen",SUMIFS(Table146[Quantity],Table146[Company],$M$3,Table146[Date],$A17,Table146[Bill No.],$B17),""))))</f>
        <v>200</v>
      </c>
      <c r="D17" s="346">
        <f>IF($A17="","",IF($J17="DIESEL",AVERAGEIFS(Table1[RSP],Table1[Customer],$M$3,Table1[Date],$A17,Table1[Bill No.],$B17),IF($J17="PETROL",AVERAGEIFS(Table14[RSP],Table14[Customer],$M$3,Table14[Date],$A17,Table14[Bill No.],$B17),IF($J17="XtraGreen",AVERAGEIFS(Table146[RSP],Table146[Company],$M$3,Table146[Date],$A17,Table146[Bill No.],$B17),IFERROR($E17/$C17,"")))))</f>
        <v>100.74</v>
      </c>
      <c r="E17" s="347">
        <f>IF($A17="","",IF($J17="DIESEL",SUMIFS(Table1[Amount],Table1[Customer],$M$3,Table1[Date],$A17,Table1[Bill No.],$B17),IF($J17="PETROL",SUMIFS(Table14[Amount],Table14[Customer],$M$3,Table14[Date],$A17,Table14[Bill No.],$B17),IF($J17="XtraGreen",SUMIFS(Table146[Amount],Table146[Company],$M$3,Table146[Date],$A17,Table146[Bill No.],$B17),SUMIFS('Other Sale'!$D:$D,'Other Sale'!$E:$E,$M$3,'Other Sale'!$C:$C,$J17,'Other Sale'!$A:$A,$A17)))))</f>
        <v>20148</v>
      </c>
      <c r="F17" s="347" cm="1">
        <f t="array" ref="F17">IF($A17="","",IF($J17="Payment",IFERROR(INDEX(_xlfn._xlws.FILTER(MasterPaid[Amount Paid],(MasterPaid[Customer]=$M$3)*(MasterPaid[Date]=$A17)),COUNTIFS($A$6:$A17,$A17,$J$6:$J17,"Payment")),0),0))</f>
        <v>0</v>
      </c>
      <c r="G17" s="331"/>
      <c r="H17" s="427"/>
      <c r="I17" s="330">
        <f t="shared" si="9"/>
        <v>120888</v>
      </c>
      <c r="J17" s="344" t="str" cm="1">
        <f t="array" ref="J17">IFERROR(INDEX(_xlfn.ANCHORARRAY($P$6),ROW()-5,3),"")</f>
        <v>DIESEL</v>
      </c>
      <c r="K17" s="349" t="s">
        <v>3656</v>
      </c>
      <c r="L17" s="348"/>
      <c r="M17" s="277"/>
      <c r="N17" s="277"/>
      <c r="O17" s="277"/>
      <c r="P17">
        <v>46196</v>
      </c>
      <c r="Q17" t="str">
        <v>1026</v>
      </c>
      <c r="R17" t="str">
        <v>DIESEL</v>
      </c>
      <c r="T17" s="438"/>
      <c r="U17" s="350"/>
      <c r="W17" s="316" t="str">
        <f t="shared" si="0"/>
        <v/>
      </c>
      <c r="X17" s="273" t="str">
        <f t="shared" si="1"/>
        <v/>
      </c>
      <c r="Y17" s="273" t="str">
        <f t="shared" si="2"/>
        <v/>
      </c>
      <c r="Z17" s="273" t="str">
        <f t="shared" si="3"/>
        <v/>
      </c>
      <c r="AA17" s="316" t="str">
        <f t="shared" si="4"/>
        <v/>
      </c>
      <c r="AC17" t="str" cm="1">
        <f t="array" ref="AC17">IF(INDEX($T$5:$T$54,ROW()-4)="","",INDEX($T$5:$T$54,ROW()-4))</f>
        <v/>
      </c>
      <c r="AD17" t="str">
        <f t="shared" si="5"/>
        <v/>
      </c>
      <c r="AE17" t="str">
        <f t="shared" si="6"/>
        <v/>
      </c>
      <c r="AF17" t="str">
        <f t="shared" si="7"/>
        <v/>
      </c>
      <c r="AG17">
        <f t="shared" si="8"/>
        <v>0</v>
      </c>
      <c r="AH17" t="str" cm="1">
        <f t="array" ref="AH17">IF($AC17="","",IF($AG17=1,SUMPRODUCT(($AG$5:$AG$54=1)*($AC$5:$AC$54&gt;$AC17))+1,SUM($AG$5:$AG$54)+SUMPRODUCT(($AG$5:$AG$54=0)*($AC$5:$AC$54&lt;&gt;"")*($AC$5:$AC$54&gt;$AC17))+1))</f>
        <v/>
      </c>
    </row>
    <row r="18" spans="1:34" ht="21.75" customHeight="1" x14ac:dyDescent="0.25">
      <c r="A18" s="217" cm="1">
        <f t="array" ref="A18">IFERROR(INDEX(_xlfn.ANCHORARRAY($P$6),ROW()-5,1),"")</f>
        <v>46196</v>
      </c>
      <c r="B18" s="344" t="str" cm="1">
        <f t="array" ref="B18">IFERROR(INDEX(_xlfn.ANCHORARRAY($P$6),ROW()-5,2),"")</f>
        <v/>
      </c>
      <c r="C18" s="345" t="str">
        <f>IF($A18="","",IF($J18="DIESEL",SUMIFS(Table1[Quantity],Table1[Customer],$M$3,Table1[Date],$A18,Table1[Bill No.],$B18),IF($J18="PETROL",SUMIFS(Table14[Quantity],Table14[Customer],$M$3,Table14[Date],$A18,Table14[Bill No.],$B18),IF($J18="XtraGreen",SUMIFS(Table146[Quantity],Table146[Company],$M$3,Table146[Date],$A18,Table146[Bill No.],$B18),""))))</f>
        <v/>
      </c>
      <c r="D18" s="346" t="str">
        <f>IF($A18="","",IF($J18="DIESEL",AVERAGEIFS(Table1[RSP],Table1[Customer],$M$3,Table1[Date],$A18,Table1[Bill No.],$B18),IF($J18="PETROL",AVERAGEIFS(Table14[RSP],Table14[Customer],$M$3,Table14[Date],$A18,Table14[Bill No.],$B18),IF($J18="XtraGreen",AVERAGEIFS(Table146[RSP],Table146[Company],$M$3,Table146[Date],$A18,Table146[Bill No.],$B18),IFERROR($E18/$C18,"")))))</f>
        <v/>
      </c>
      <c r="E18" s="347">
        <f>IF($A18="","",IF($J18="DIESEL",SUMIFS(Table1[Amount],Table1[Customer],$M$3,Table1[Date],$A18,Table1[Bill No.],$B18),IF($J18="PETROL",SUMIFS(Table14[Amount],Table14[Customer],$M$3,Table14[Date],$A18,Table14[Bill No.],$B18),IF($J18="XtraGreen",SUMIFS(Table146[Amount],Table146[Company],$M$3,Table146[Date],$A18,Table146[Bill No.],$B18),SUMIFS('Other Sale'!$D:$D,'Other Sale'!$E:$E,$M$3,'Other Sale'!$C:$C,$J18,'Other Sale'!$A:$A,$A18)))))</f>
        <v>0</v>
      </c>
      <c r="F18" s="347" cm="1">
        <f t="array" ref="F18">IF($A18="","",IF($J18="Payment",IFERROR(INDEX(_xlfn._xlws.FILTER(MasterPaid[Amount Paid],(MasterPaid[Customer]=$M$3)*(MasterPaid[Date]=$A18)),COUNTIFS($A$6:$A18,$A18,$J$6:$J18,"Payment")),0),0))</f>
        <v>120888</v>
      </c>
      <c r="G18" s="331"/>
      <c r="H18" s="427"/>
      <c r="I18" s="330">
        <f t="shared" si="9"/>
        <v>0</v>
      </c>
      <c r="J18" s="344" t="str" cm="1">
        <f t="array" ref="J18">IFERROR(INDEX(_xlfn.ANCHORARRAY($P$6),ROW()-5,3),"")</f>
        <v>Payment</v>
      </c>
      <c r="K18" s="349"/>
      <c r="L18" s="348"/>
      <c r="M18" s="277"/>
      <c r="N18" s="277"/>
      <c r="O18" s="277"/>
      <c r="P18">
        <v>46196</v>
      </c>
      <c r="Q18" t="str">
        <v/>
      </c>
      <c r="R18" t="str">
        <v>Payment</v>
      </c>
      <c r="T18" s="438"/>
      <c r="U18" s="350"/>
      <c r="W18" s="316" t="str">
        <f t="shared" si="0"/>
        <v/>
      </c>
      <c r="X18" s="273" t="str">
        <f t="shared" si="1"/>
        <v/>
      </c>
      <c r="Y18" s="273" t="str">
        <f t="shared" si="2"/>
        <v/>
      </c>
      <c r="Z18" s="273" t="str">
        <f t="shared" si="3"/>
        <v/>
      </c>
      <c r="AA18" s="316" t="str">
        <f t="shared" si="4"/>
        <v/>
      </c>
      <c r="AC18" t="str" cm="1">
        <f t="array" ref="AC18">IF(INDEX($T$5:$T$54,ROW()-4)="","",INDEX($T$5:$T$54,ROW()-4))</f>
        <v/>
      </c>
      <c r="AD18" t="str">
        <f t="shared" si="5"/>
        <v/>
      </c>
      <c r="AE18" t="str">
        <f t="shared" si="6"/>
        <v/>
      </c>
      <c r="AF18" t="str">
        <f t="shared" si="7"/>
        <v/>
      </c>
      <c r="AG18">
        <f t="shared" si="8"/>
        <v>0</v>
      </c>
      <c r="AH18" t="str" cm="1">
        <f t="array" ref="AH18">IF($AC18="","",IF($AG18=1,SUMPRODUCT(($AG$5:$AG$54=1)*($AC$5:$AC$54&gt;$AC18))+1,SUM($AG$5:$AG$54)+SUMPRODUCT(($AG$5:$AG$54=0)*($AC$5:$AC$54&lt;&gt;"")*($AC$5:$AC$54&gt;$AC18))+1))</f>
        <v/>
      </c>
    </row>
    <row r="19" spans="1:34" ht="21.75" x14ac:dyDescent="0.25">
      <c r="A19" s="217" cm="1">
        <f t="array" ref="A19">IFERROR(INDEX(_xlfn.ANCHORARRAY($P$6),ROW()-5,1),"")</f>
        <v>46197</v>
      </c>
      <c r="B19" s="344" t="str" cm="1">
        <f t="array" ref="B19">IFERROR(INDEX(_xlfn.ANCHORARRAY($P$6),ROW()-5,2),"")</f>
        <v>1045</v>
      </c>
      <c r="C19" s="345">
        <f>IF($A19="","",IF($J19="DIESEL",SUMIFS(Table1[Quantity],Table1[Customer],$M$3,Table1[Date],$A19,Table1[Bill No.],$B19),IF($J19="PETROL",SUMIFS(Table14[Quantity],Table14[Customer],$M$3,Table14[Date],$A19,Table14[Bill No.],$B19),IF($J19="XtraGreen",SUMIFS(Table146[Quantity],Table146[Company],$M$3,Table146[Date],$A19,Table146[Bill No.],$B19),""))))</f>
        <v>200</v>
      </c>
      <c r="D19" s="346">
        <f>IF($A19="","",IF($J19="DIESEL",AVERAGEIFS(Table1[RSP],Table1[Customer],$M$3,Table1[Date],$A19,Table1[Bill No.],$B19),IF($J19="PETROL",AVERAGEIFS(Table14[RSP],Table14[Customer],$M$3,Table14[Date],$A19,Table14[Bill No.],$B19),IF($J19="XtraGreen",AVERAGEIFS(Table146[RSP],Table146[Company],$M$3,Table146[Date],$A19,Table146[Bill No.],$B19),IFERROR($E19/$C19,"")))))</f>
        <v>100.74</v>
      </c>
      <c r="E19" s="347">
        <f>IF($A19="","",IF($J19="DIESEL",SUMIFS(Table1[Amount],Table1[Customer],$M$3,Table1[Date],$A19,Table1[Bill No.],$B19),IF($J19="PETROL",SUMIFS(Table14[Amount],Table14[Customer],$M$3,Table14[Date],$A19,Table14[Bill No.],$B19),IF($J19="XtraGreen",SUMIFS(Table146[Amount],Table146[Company],$M$3,Table146[Date],$A19,Table146[Bill No.],$B19),SUMIFS('Other Sale'!$D:$D,'Other Sale'!$E:$E,$M$3,'Other Sale'!$C:$C,$J19,'Other Sale'!$A:$A,$A19)))))</f>
        <v>20148</v>
      </c>
      <c r="F19" s="347" cm="1">
        <f t="array" ref="F19">IF($A19="","",IF($J19="Payment",IFERROR(INDEX(_xlfn._xlws.FILTER(MasterPaid[Amount Paid],(MasterPaid[Customer]=$M$3)*(MasterPaid[Date]=$A19)),COUNTIFS($A$6:$A19,$A19,$J$6:$J19,"Payment")),0),0))</f>
        <v>0</v>
      </c>
      <c r="G19" s="331"/>
      <c r="H19" s="427"/>
      <c r="I19" s="330">
        <f t="shared" si="9"/>
        <v>20148</v>
      </c>
      <c r="J19" s="344" t="str" cm="1">
        <f t="array" ref="J19">IFERROR(INDEX(_xlfn.ANCHORARRAY($P$6),ROW()-5,3),"")</f>
        <v>DIESEL</v>
      </c>
      <c r="K19" s="349" t="s">
        <v>3656</v>
      </c>
      <c r="L19" s="348"/>
      <c r="M19" s="277"/>
      <c r="N19" s="277"/>
      <c r="O19" s="277"/>
      <c r="P19">
        <v>46197</v>
      </c>
      <c r="Q19" t="str">
        <v>1045</v>
      </c>
      <c r="R19" t="str">
        <v>DIESEL</v>
      </c>
      <c r="T19" s="438"/>
      <c r="U19" s="350"/>
      <c r="W19" s="316" t="str">
        <f t="shared" si="0"/>
        <v/>
      </c>
      <c r="X19" s="273" t="str">
        <f t="shared" si="1"/>
        <v/>
      </c>
      <c r="Y19" s="273" t="str">
        <f t="shared" si="2"/>
        <v/>
      </c>
      <c r="Z19" s="273" t="str">
        <f t="shared" si="3"/>
        <v/>
      </c>
      <c r="AA19" s="316" t="str">
        <f t="shared" si="4"/>
        <v/>
      </c>
      <c r="AC19" t="str" cm="1">
        <f t="array" ref="AC19">IF(INDEX($T$5:$T$54,ROW()-4)="","",INDEX($T$5:$T$54,ROW()-4))</f>
        <v/>
      </c>
      <c r="AD19" t="str">
        <f t="shared" si="5"/>
        <v/>
      </c>
      <c r="AE19" t="str">
        <f t="shared" si="6"/>
        <v/>
      </c>
      <c r="AF19" t="str">
        <f t="shared" si="7"/>
        <v/>
      </c>
      <c r="AG19">
        <f t="shared" si="8"/>
        <v>0</v>
      </c>
      <c r="AH19" t="str" cm="1">
        <f t="array" ref="AH19">IF($AC19="","",IF($AG19=1,SUMPRODUCT(($AG$5:$AG$54=1)*($AC$5:$AC$54&gt;$AC19))+1,SUM($AG$5:$AG$54)+SUMPRODUCT(($AG$5:$AG$54=0)*($AC$5:$AC$54&lt;&gt;"")*($AC$5:$AC$54&gt;$AC19))+1))</f>
        <v/>
      </c>
    </row>
    <row r="20" spans="1:34" ht="21.75" x14ac:dyDescent="0.25">
      <c r="A20" s="217" cm="1">
        <f t="array" ref="A20">IFERROR(INDEX(_xlfn.ANCHORARRAY($P$6),ROW()-5,1),"")</f>
        <v>46197</v>
      </c>
      <c r="B20" s="344" t="str" cm="1">
        <f t="array" ref="B20">IFERROR(INDEX(_xlfn.ANCHORARRAY($P$6),ROW()-5,2),"")</f>
        <v>1046</v>
      </c>
      <c r="C20" s="345">
        <f>IF($A20="","",IF($J20="DIESEL",SUMIFS(Table1[Quantity],Table1[Customer],$M$3,Table1[Date],$A20,Table1[Bill No.],$B20),IF($J20="PETROL",SUMIFS(Table14[Quantity],Table14[Customer],$M$3,Table14[Date],$A20,Table14[Bill No.],$B20),IF($J20="XtraGreen",SUMIFS(Table146[Quantity],Table146[Company],$M$3,Table146[Date],$A20,Table146[Bill No.],$B20),""))))</f>
        <v>200</v>
      </c>
      <c r="D20" s="346">
        <f>IF($A20="","",IF($J20="DIESEL",AVERAGEIFS(Table1[RSP],Table1[Customer],$M$3,Table1[Date],$A20,Table1[Bill No.],$B20),IF($J20="PETROL",AVERAGEIFS(Table14[RSP],Table14[Customer],$M$3,Table14[Date],$A20,Table14[Bill No.],$B20),IF($J20="XtraGreen",AVERAGEIFS(Table146[RSP],Table146[Company],$M$3,Table146[Date],$A20,Table146[Bill No.],$B20),IFERROR($E20/$C20,"")))))</f>
        <v>100.74</v>
      </c>
      <c r="E20" s="347">
        <f>IF($A20="","",IF($J20="DIESEL",SUMIFS(Table1[Amount],Table1[Customer],$M$3,Table1[Date],$A20,Table1[Bill No.],$B20),IF($J20="PETROL",SUMIFS(Table14[Amount],Table14[Customer],$M$3,Table14[Date],$A20,Table14[Bill No.],$B20),IF($J20="XtraGreen",SUMIFS(Table146[Amount],Table146[Company],$M$3,Table146[Date],$A20,Table146[Bill No.],$B20),SUMIFS('Other Sale'!$D:$D,'Other Sale'!$E:$E,$M$3,'Other Sale'!$C:$C,$J20,'Other Sale'!$A:$A,$A20)))))</f>
        <v>20148</v>
      </c>
      <c r="F20" s="347" cm="1">
        <f t="array" ref="F20">IF($A20="","",IF($J20="Payment",IFERROR(INDEX(_xlfn._xlws.FILTER(MasterPaid[Amount Paid],(MasterPaid[Customer]=$M$3)*(MasterPaid[Date]=$A20)),COUNTIFS($A$6:$A20,$A20,$J$6:$J20,"Payment")),0),0))</f>
        <v>0</v>
      </c>
      <c r="G20" s="331"/>
      <c r="H20" s="427"/>
      <c r="I20" s="330">
        <f t="shared" si="9"/>
        <v>40296</v>
      </c>
      <c r="J20" s="344" t="str" cm="1">
        <f t="array" ref="J20">IFERROR(INDEX(_xlfn.ANCHORARRAY($P$6),ROW()-5,3),"")</f>
        <v>DIESEL</v>
      </c>
      <c r="K20" s="349" t="s">
        <v>3656</v>
      </c>
      <c r="L20" s="348"/>
      <c r="M20" s="277"/>
      <c r="N20" s="277"/>
      <c r="O20" s="277"/>
      <c r="P20">
        <v>46197</v>
      </c>
      <c r="Q20" t="str">
        <v>1046</v>
      </c>
      <c r="R20" t="str">
        <v>DIESEL</v>
      </c>
      <c r="T20" s="438"/>
      <c r="U20" s="350"/>
      <c r="W20" s="316" t="str">
        <f t="shared" si="0"/>
        <v/>
      </c>
      <c r="X20" s="273" t="str">
        <f t="shared" si="1"/>
        <v/>
      </c>
      <c r="Y20" s="273" t="str">
        <f t="shared" si="2"/>
        <v/>
      </c>
      <c r="Z20" s="273" t="str">
        <f t="shared" si="3"/>
        <v/>
      </c>
      <c r="AA20" s="316" t="str">
        <f t="shared" si="4"/>
        <v/>
      </c>
      <c r="AC20" t="str" cm="1">
        <f t="array" ref="AC20">IF(INDEX($T$5:$T$54,ROW()-4)="","",INDEX($T$5:$T$54,ROW()-4))</f>
        <v/>
      </c>
      <c r="AD20" t="str">
        <f t="shared" si="5"/>
        <v/>
      </c>
      <c r="AE20" t="str">
        <f t="shared" si="6"/>
        <v/>
      </c>
      <c r="AF20" t="str">
        <f t="shared" si="7"/>
        <v/>
      </c>
      <c r="AG20">
        <f t="shared" si="8"/>
        <v>0</v>
      </c>
      <c r="AH20" t="str" cm="1">
        <f t="array" ref="AH20">IF($AC20="","",IF($AG20=1,SUMPRODUCT(($AG$5:$AG$54=1)*($AC$5:$AC$54&gt;$AC20))+1,SUM($AG$5:$AG$54)+SUMPRODUCT(($AG$5:$AG$54=0)*($AC$5:$AC$54&lt;&gt;"")*($AC$5:$AC$54&gt;$AC20))+1))</f>
        <v/>
      </c>
    </row>
    <row r="21" spans="1:34" ht="21.75" x14ac:dyDescent="0.25">
      <c r="A21" s="217" cm="1">
        <f t="array" ref="A21">IFERROR(INDEX(_xlfn.ANCHORARRAY($P$6),ROW()-5,1),"")</f>
        <v>46197</v>
      </c>
      <c r="B21" s="344" t="str" cm="1">
        <f t="array" ref="B21">IFERROR(INDEX(_xlfn.ANCHORARRAY($P$6),ROW()-5,2),"")</f>
        <v>1047</v>
      </c>
      <c r="C21" s="345">
        <f>IF($A21="","",IF($J21="DIESEL",SUMIFS(Table1[Quantity],Table1[Customer],$M$3,Table1[Date],$A21,Table1[Bill No.],$B21),IF($J21="PETROL",SUMIFS(Table14[Quantity],Table14[Customer],$M$3,Table14[Date],$A21,Table14[Bill No.],$B21),IF($J21="XtraGreen",SUMIFS(Table146[Quantity],Table146[Company],$M$3,Table146[Date],$A21,Table146[Bill No.],$B21),""))))</f>
        <v>200</v>
      </c>
      <c r="D21" s="346">
        <f>IF($A21="","",IF($J21="DIESEL",AVERAGEIFS(Table1[RSP],Table1[Customer],$M$3,Table1[Date],$A21,Table1[Bill No.],$B21),IF($J21="PETROL",AVERAGEIFS(Table14[RSP],Table14[Customer],$M$3,Table14[Date],$A21,Table14[Bill No.],$B21),IF($J21="XtraGreen",AVERAGEIFS(Table146[RSP],Table146[Company],$M$3,Table146[Date],$A21,Table146[Bill No.],$B21),IFERROR($E21/$C21,"")))))</f>
        <v>100.74</v>
      </c>
      <c r="E21" s="347">
        <f>IF($A21="","",IF($J21="DIESEL",SUMIFS(Table1[Amount],Table1[Customer],$M$3,Table1[Date],$A21,Table1[Bill No.],$B21),IF($J21="PETROL",SUMIFS(Table14[Amount],Table14[Customer],$M$3,Table14[Date],$A21,Table14[Bill No.],$B21),IF($J21="XtraGreen",SUMIFS(Table146[Amount],Table146[Company],$M$3,Table146[Date],$A21,Table146[Bill No.],$B21),SUMIFS('Other Sale'!$D:$D,'Other Sale'!$E:$E,$M$3,'Other Sale'!$C:$C,$J21,'Other Sale'!$A:$A,$A21)))))</f>
        <v>20148</v>
      </c>
      <c r="F21" s="347" cm="1">
        <f t="array" ref="F21">IF($A21="","",IF($J21="Payment",IFERROR(INDEX(_xlfn._xlws.FILTER(MasterPaid[Amount Paid],(MasterPaid[Customer]=$M$3)*(MasterPaid[Date]=$A21)),COUNTIFS($A$6:$A21,$A21,$J$6:$J21,"Payment")),0),0))</f>
        <v>0</v>
      </c>
      <c r="G21" s="331"/>
      <c r="H21" s="427"/>
      <c r="I21" s="330">
        <f t="shared" si="9"/>
        <v>60444</v>
      </c>
      <c r="J21" s="344" t="str" cm="1">
        <f t="array" ref="J21">IFERROR(INDEX(_xlfn.ANCHORARRAY($P$6),ROW()-5,3),"")</f>
        <v>DIESEL</v>
      </c>
      <c r="K21" s="349" t="s">
        <v>3656</v>
      </c>
      <c r="L21" s="348"/>
      <c r="M21" s="277"/>
      <c r="N21" s="277"/>
      <c r="O21" s="277"/>
      <c r="P21">
        <v>46197</v>
      </c>
      <c r="Q21" t="str">
        <v>1047</v>
      </c>
      <c r="R21" t="str">
        <v>DIESEL</v>
      </c>
      <c r="T21" s="439"/>
      <c r="U21" s="350"/>
      <c r="W21" s="316" t="str">
        <f t="shared" si="0"/>
        <v/>
      </c>
      <c r="X21" s="273" t="str">
        <f t="shared" si="1"/>
        <v/>
      </c>
      <c r="Y21" s="273" t="str">
        <f t="shared" si="2"/>
        <v/>
      </c>
      <c r="Z21" s="273" t="str">
        <f t="shared" si="3"/>
        <v/>
      </c>
      <c r="AA21" s="316" t="str">
        <f t="shared" si="4"/>
        <v/>
      </c>
      <c r="AC21" t="str" cm="1">
        <f t="array" ref="AC21">IF(INDEX($T$5:$T$54,ROW()-4)="","",INDEX($T$5:$T$54,ROW()-4))</f>
        <v/>
      </c>
      <c r="AD21" t="str">
        <f t="shared" si="5"/>
        <v/>
      </c>
      <c r="AE21" t="str">
        <f t="shared" si="6"/>
        <v/>
      </c>
      <c r="AF21" t="str">
        <f t="shared" si="7"/>
        <v/>
      </c>
      <c r="AG21">
        <f t="shared" si="8"/>
        <v>0</v>
      </c>
      <c r="AH21" t="str" cm="1">
        <f t="array" ref="AH21">IF($AC21="","",IF($AG21=1,SUMPRODUCT(($AG$5:$AG$54=1)*($AC$5:$AC$54&gt;$AC21))+1,SUM($AG$5:$AG$54)+SUMPRODUCT(($AG$5:$AG$54=0)*($AC$5:$AC$54&lt;&gt;"")*($AC$5:$AC$54&gt;$AC21))+1))</f>
        <v/>
      </c>
    </row>
    <row r="22" spans="1:34" ht="21.75" x14ac:dyDescent="0.25">
      <c r="A22" s="217" cm="1">
        <f t="array" ref="A22">IFERROR(INDEX(_xlfn.ANCHORARRAY($P$6),ROW()-5,1),"")</f>
        <v>46197</v>
      </c>
      <c r="B22" s="344" t="str" cm="1">
        <f t="array" ref="B22">IFERROR(INDEX(_xlfn.ANCHORARRAY($P$6),ROW()-5,2),"")</f>
        <v>1048</v>
      </c>
      <c r="C22" s="345">
        <f>IF($A22="","",IF($J22="DIESEL",SUMIFS(Table1[Quantity],Table1[Customer],$M$3,Table1[Date],$A22,Table1[Bill No.],$B22),IF($J22="PETROL",SUMIFS(Table14[Quantity],Table14[Customer],$M$3,Table14[Date],$A22,Table14[Bill No.],$B22),IF($J22="XtraGreen",SUMIFS(Table146[Quantity],Table146[Company],$M$3,Table146[Date],$A22,Table146[Bill No.],$B22),""))))</f>
        <v>200</v>
      </c>
      <c r="D22" s="346">
        <f>IF($A22="","",IF($J22="DIESEL",AVERAGEIFS(Table1[RSP],Table1[Customer],$M$3,Table1[Date],$A22,Table1[Bill No.],$B22),IF($J22="PETROL",AVERAGEIFS(Table14[RSP],Table14[Customer],$M$3,Table14[Date],$A22,Table14[Bill No.],$B22),IF($J22="XtraGreen",AVERAGEIFS(Table146[RSP],Table146[Company],$M$3,Table146[Date],$A22,Table146[Bill No.],$B22),IFERROR($E22/$C22,"")))))</f>
        <v>100.74</v>
      </c>
      <c r="E22" s="347">
        <f>IF($A22="","",IF($J22="DIESEL",SUMIFS(Table1[Amount],Table1[Customer],$M$3,Table1[Date],$A22,Table1[Bill No.],$B22),IF($J22="PETROL",SUMIFS(Table14[Amount],Table14[Customer],$M$3,Table14[Date],$A22,Table14[Bill No.],$B22),IF($J22="XtraGreen",SUMIFS(Table146[Amount],Table146[Company],$M$3,Table146[Date],$A22,Table146[Bill No.],$B22),SUMIFS('Other Sale'!$D:$D,'Other Sale'!$E:$E,$M$3,'Other Sale'!$C:$C,$J22,'Other Sale'!$A:$A,$A22)))))</f>
        <v>20148</v>
      </c>
      <c r="F22" s="347" cm="1">
        <f t="array" ref="F22">IF($A22="","",IF($J22="Payment",IFERROR(INDEX(_xlfn._xlws.FILTER(MasterPaid[Amount Paid],(MasterPaid[Customer]=$M$3)*(MasterPaid[Date]=$A22)),COUNTIFS($A$6:$A22,$A22,$J$6:$J22,"Payment")),0),0))</f>
        <v>0</v>
      </c>
      <c r="G22" s="331"/>
      <c r="H22" s="427"/>
      <c r="I22" s="330">
        <f t="shared" si="9"/>
        <v>80592</v>
      </c>
      <c r="J22" s="344" t="str" cm="1">
        <f t="array" ref="J22">IFERROR(INDEX(_xlfn.ANCHORARRAY($P$6),ROW()-5,3),"")</f>
        <v>DIESEL</v>
      </c>
      <c r="K22" s="349" t="s">
        <v>3656</v>
      </c>
      <c r="L22" s="348"/>
      <c r="M22" s="277"/>
      <c r="N22" s="277"/>
      <c r="O22" s="277"/>
      <c r="P22">
        <v>46197</v>
      </c>
      <c r="Q22" t="str">
        <v>1048</v>
      </c>
      <c r="R22" t="str">
        <v>DIESEL</v>
      </c>
      <c r="T22" s="439"/>
      <c r="U22" s="350"/>
      <c r="W22" s="316" t="str">
        <f t="shared" si="0"/>
        <v/>
      </c>
      <c r="X22" s="273" t="str">
        <f t="shared" si="1"/>
        <v/>
      </c>
      <c r="Y22" s="273" t="str">
        <f t="shared" si="2"/>
        <v/>
      </c>
      <c r="Z22" s="273" t="str">
        <f t="shared" si="3"/>
        <v/>
      </c>
      <c r="AA22" s="316" t="str">
        <f t="shared" si="4"/>
        <v/>
      </c>
      <c r="AC22" t="str" cm="1">
        <f t="array" ref="AC22">IF(INDEX($T$5:$T$54,ROW()-4)="","",INDEX($T$5:$T$54,ROW()-4))</f>
        <v/>
      </c>
      <c r="AD22" t="str">
        <f t="shared" si="5"/>
        <v/>
      </c>
      <c r="AE22" t="str">
        <f t="shared" si="6"/>
        <v/>
      </c>
      <c r="AF22" t="str">
        <f t="shared" si="7"/>
        <v/>
      </c>
      <c r="AG22">
        <f t="shared" si="8"/>
        <v>0</v>
      </c>
      <c r="AH22" t="str" cm="1">
        <f t="array" ref="AH22">IF($AC22="","",IF($AG22=1,SUMPRODUCT(($AG$5:$AG$54=1)*($AC$5:$AC$54&gt;$AC22))+1,SUM($AG$5:$AG$54)+SUMPRODUCT(($AG$5:$AG$54=0)*($AC$5:$AC$54&lt;&gt;"")*($AC$5:$AC$54&gt;$AC22))+1))</f>
        <v/>
      </c>
    </row>
    <row r="23" spans="1:34" ht="21.75" x14ac:dyDescent="0.25">
      <c r="A23" s="217" cm="1">
        <f t="array" ref="A23">IFERROR(INDEX(_xlfn.ANCHORARRAY($P$6),ROW()-5,1),"")</f>
        <v>46197</v>
      </c>
      <c r="B23" s="344" t="str" cm="1">
        <f t="array" ref="B23">IFERROR(INDEX(_xlfn.ANCHORARRAY($P$6),ROW()-5,2),"")</f>
        <v>1049</v>
      </c>
      <c r="C23" s="345">
        <f>IF($A23="","",IF($J23="DIESEL",SUMIFS(Table1[Quantity],Table1[Customer],$M$3,Table1[Date],$A23,Table1[Bill No.],$B23),IF($J23="PETROL",SUMIFS(Table14[Quantity],Table14[Customer],$M$3,Table14[Date],$A23,Table14[Bill No.],$B23),IF($J23="XtraGreen",SUMIFS(Table146[Quantity],Table146[Company],$M$3,Table146[Date],$A23,Table146[Bill No.],$B23),""))))</f>
        <v>200</v>
      </c>
      <c r="D23" s="346">
        <f>IF($A23="","",IF($J23="DIESEL",AVERAGEIFS(Table1[RSP],Table1[Customer],$M$3,Table1[Date],$A23,Table1[Bill No.],$B23),IF($J23="PETROL",AVERAGEIFS(Table14[RSP],Table14[Customer],$M$3,Table14[Date],$A23,Table14[Bill No.],$B23),IF($J23="XtraGreen",AVERAGEIFS(Table146[RSP],Table146[Company],$M$3,Table146[Date],$A23,Table146[Bill No.],$B23),IFERROR($E23/$C23,"")))))</f>
        <v>100.74</v>
      </c>
      <c r="E23" s="347">
        <f>IF($A23="","",IF($J23="DIESEL",SUMIFS(Table1[Amount],Table1[Customer],$M$3,Table1[Date],$A23,Table1[Bill No.],$B23),IF($J23="PETROL",SUMIFS(Table14[Amount],Table14[Customer],$M$3,Table14[Date],$A23,Table14[Bill No.],$B23),IF($J23="XtraGreen",SUMIFS(Table146[Amount],Table146[Company],$M$3,Table146[Date],$A23,Table146[Bill No.],$B23),SUMIFS('Other Sale'!$D:$D,'Other Sale'!$E:$E,$M$3,'Other Sale'!$C:$C,$J23,'Other Sale'!$A:$A,$A23)))))</f>
        <v>20148</v>
      </c>
      <c r="F23" s="347" cm="1">
        <f t="array" ref="F23">IF($A23="","",IF($J23="Payment",IFERROR(INDEX(_xlfn._xlws.FILTER(MasterPaid[Amount Paid],(MasterPaid[Customer]=$M$3)*(MasterPaid[Date]=$A23)),COUNTIFS($A$6:$A23,$A23,$J$6:$J23,"Payment")),0),0))</f>
        <v>0</v>
      </c>
      <c r="G23" s="331"/>
      <c r="H23" s="427"/>
      <c r="I23" s="330">
        <f t="shared" si="9"/>
        <v>100740</v>
      </c>
      <c r="J23" s="344" t="str" cm="1">
        <f t="array" ref="J23">IFERROR(INDEX(_xlfn.ANCHORARRAY($P$6),ROW()-5,3),"")</f>
        <v>DIESEL</v>
      </c>
      <c r="K23" s="349" t="s">
        <v>3656</v>
      </c>
      <c r="L23" s="348"/>
      <c r="M23" s="277"/>
      <c r="N23" s="277"/>
      <c r="O23" s="277"/>
      <c r="P23">
        <v>46197</v>
      </c>
      <c r="Q23" t="str">
        <v>1049</v>
      </c>
      <c r="R23" t="str">
        <v>DIESEL</v>
      </c>
      <c r="T23" s="439"/>
      <c r="U23" s="350"/>
      <c r="W23" s="316" t="str">
        <f t="shared" si="0"/>
        <v/>
      </c>
      <c r="X23" s="273" t="str">
        <f t="shared" si="1"/>
        <v/>
      </c>
      <c r="Y23" s="273" t="str">
        <f t="shared" si="2"/>
        <v/>
      </c>
      <c r="Z23" s="273" t="str">
        <f t="shared" si="3"/>
        <v/>
      </c>
      <c r="AA23" s="316" t="str">
        <f t="shared" si="4"/>
        <v/>
      </c>
      <c r="AC23" t="str" cm="1">
        <f t="array" ref="AC23">IF(INDEX($T$5:$T$54,ROW()-4)="","",INDEX($T$5:$T$54,ROW()-4))</f>
        <v/>
      </c>
      <c r="AD23" t="str">
        <f t="shared" si="5"/>
        <v/>
      </c>
      <c r="AE23" t="str">
        <f t="shared" si="6"/>
        <v/>
      </c>
      <c r="AF23" t="str">
        <f t="shared" si="7"/>
        <v/>
      </c>
      <c r="AG23">
        <f t="shared" si="8"/>
        <v>0</v>
      </c>
      <c r="AH23" t="str" cm="1">
        <f t="array" ref="AH23">IF($AC23="","",IF($AG23=1,SUMPRODUCT(($AG$5:$AG$54=1)*($AC$5:$AC$54&gt;$AC23))+1,SUM($AG$5:$AG$54)+SUMPRODUCT(($AG$5:$AG$54=0)*($AC$5:$AC$54&lt;&gt;"")*($AC$5:$AC$54&gt;$AC23))+1))</f>
        <v/>
      </c>
    </row>
    <row r="24" spans="1:34" ht="21.75" x14ac:dyDescent="0.25">
      <c r="A24" s="217" cm="1">
        <f t="array" ref="A24">IFERROR(INDEX(_xlfn.ANCHORARRAY($P$6),ROW()-5,1),"")</f>
        <v>46197</v>
      </c>
      <c r="B24" s="344" t="str" cm="1">
        <f t="array" ref="B24">IFERROR(INDEX(_xlfn.ANCHORARRAY($P$6),ROW()-5,2),"")</f>
        <v>1050</v>
      </c>
      <c r="C24" s="345">
        <f>IF($A24="","",IF($J24="DIESEL",SUMIFS(Table1[Quantity],Table1[Customer],$M$3,Table1[Date],$A24,Table1[Bill No.],$B24),IF($J24="PETROL",SUMIFS(Table14[Quantity],Table14[Customer],$M$3,Table14[Date],$A24,Table14[Bill No.],$B24),IF($J24="XtraGreen",SUMIFS(Table146[Quantity],Table146[Company],$M$3,Table146[Date],$A24,Table146[Bill No.],$B24),""))))</f>
        <v>200</v>
      </c>
      <c r="D24" s="346">
        <f>IF($A24="","",IF($J24="DIESEL",AVERAGEIFS(Table1[RSP],Table1[Customer],$M$3,Table1[Date],$A24,Table1[Bill No.],$B24),IF($J24="PETROL",AVERAGEIFS(Table14[RSP],Table14[Customer],$M$3,Table14[Date],$A24,Table14[Bill No.],$B24),IF($J24="XtraGreen",AVERAGEIFS(Table146[RSP],Table146[Company],$M$3,Table146[Date],$A24,Table146[Bill No.],$B24),IFERROR($E24/$C24,"")))))</f>
        <v>100.74</v>
      </c>
      <c r="E24" s="347">
        <f>IF($A24="","",IF($J24="DIESEL",SUMIFS(Table1[Amount],Table1[Customer],$M$3,Table1[Date],$A24,Table1[Bill No.],$B24),IF($J24="PETROL",SUMIFS(Table14[Amount],Table14[Customer],$M$3,Table14[Date],$A24,Table14[Bill No.],$B24),IF($J24="XtraGreen",SUMIFS(Table146[Amount],Table146[Company],$M$3,Table146[Date],$A24,Table146[Bill No.],$B24),SUMIFS('Other Sale'!$D:$D,'Other Sale'!$E:$E,$M$3,'Other Sale'!$C:$C,$J24,'Other Sale'!$A:$A,$A24)))))</f>
        <v>20148</v>
      </c>
      <c r="F24" s="347" cm="1">
        <f t="array" ref="F24">IF($A24="","",IF($J24="Payment",IFERROR(INDEX(_xlfn._xlws.FILTER(MasterPaid[Amount Paid],(MasterPaid[Customer]=$M$3)*(MasterPaid[Date]=$A24)),COUNTIFS($A$6:$A24,$A24,$J$6:$J24,"Payment")),0),0))</f>
        <v>0</v>
      </c>
      <c r="G24" s="331"/>
      <c r="H24" s="427"/>
      <c r="I24" s="330">
        <f t="shared" si="9"/>
        <v>120888</v>
      </c>
      <c r="J24" s="344" t="str" cm="1">
        <f t="array" ref="J24">IFERROR(INDEX(_xlfn.ANCHORARRAY($P$6),ROW()-5,3),"")</f>
        <v>DIESEL</v>
      </c>
      <c r="K24" s="349" t="s">
        <v>3656</v>
      </c>
      <c r="L24" s="348"/>
      <c r="M24" s="277"/>
      <c r="N24" s="277"/>
      <c r="O24" s="277"/>
      <c r="P24">
        <v>46197</v>
      </c>
      <c r="Q24" t="str">
        <v>1050</v>
      </c>
      <c r="R24" t="str">
        <v>DIESEL</v>
      </c>
      <c r="T24" s="439"/>
      <c r="U24" s="350"/>
      <c r="W24" s="316" t="str">
        <f t="shared" si="0"/>
        <v/>
      </c>
      <c r="X24" s="273" t="str">
        <f t="shared" si="1"/>
        <v/>
      </c>
      <c r="Y24" s="273" t="str">
        <f t="shared" si="2"/>
        <v/>
      </c>
      <c r="Z24" s="273" t="str">
        <f t="shared" si="3"/>
        <v/>
      </c>
      <c r="AA24" s="316" t="str">
        <f t="shared" si="4"/>
        <v/>
      </c>
      <c r="AC24" t="str" cm="1">
        <f t="array" ref="AC24">IF(INDEX($T$5:$T$54,ROW()-4)="","",INDEX($T$5:$T$54,ROW()-4))</f>
        <v/>
      </c>
      <c r="AD24" t="str">
        <f t="shared" si="5"/>
        <v/>
      </c>
      <c r="AE24" t="str">
        <f t="shared" si="6"/>
        <v/>
      </c>
      <c r="AF24" t="str">
        <f t="shared" si="7"/>
        <v/>
      </c>
      <c r="AG24">
        <f t="shared" si="8"/>
        <v>0</v>
      </c>
      <c r="AH24" t="str" cm="1">
        <f t="array" ref="AH24">IF($AC24="","",IF($AG24=1,SUMPRODUCT(($AG$5:$AG$54=1)*($AC$5:$AC$54&gt;$AC24))+1,SUM($AG$5:$AG$54)+SUMPRODUCT(($AG$5:$AG$54=0)*($AC$5:$AC$54&lt;&gt;"")*($AC$5:$AC$54&gt;$AC24))+1))</f>
        <v/>
      </c>
    </row>
    <row r="25" spans="1:34" ht="21.75" customHeight="1" x14ac:dyDescent="0.25">
      <c r="A25" s="217" cm="1">
        <f t="array" ref="A25">IFERROR(INDEX(_xlfn.ANCHORARRAY($P$6),ROW()-5,1),"")</f>
        <v>46197</v>
      </c>
      <c r="B25" s="344" t="str" cm="1">
        <f t="array" ref="B25">IFERROR(INDEX(_xlfn.ANCHORARRAY($P$6),ROW()-5,2),"")</f>
        <v/>
      </c>
      <c r="C25" s="345" t="str">
        <f>IF($A25="","",IF($J25="DIESEL",SUMIFS(Table1[Quantity],Table1[Customer],$M$3,Table1[Date],$A25,Table1[Bill No.],$B25),IF($J25="PETROL",SUMIFS(Table14[Quantity],Table14[Customer],$M$3,Table14[Date],$A25,Table14[Bill No.],$B25),IF($J25="XtraGreen",SUMIFS(Table146[Quantity],Table146[Company],$M$3,Table146[Date],$A25,Table146[Bill No.],$B25),""))))</f>
        <v/>
      </c>
      <c r="D25" s="346" t="str">
        <f>IF($A25="","",IF($J25="DIESEL",AVERAGEIFS(Table1[RSP],Table1[Customer],$M$3,Table1[Date],$A25,Table1[Bill No.],$B25),IF($J25="PETROL",AVERAGEIFS(Table14[RSP],Table14[Customer],$M$3,Table14[Date],$A25,Table14[Bill No.],$B25),IF($J25="XtraGreen",AVERAGEIFS(Table146[RSP],Table146[Company],$M$3,Table146[Date],$A25,Table146[Bill No.],$B25),IFERROR($E25/$C25,"")))))</f>
        <v/>
      </c>
      <c r="E25" s="347">
        <f>IF($A25="","",IF($J25="DIESEL",SUMIFS(Table1[Amount],Table1[Customer],$M$3,Table1[Date],$A25,Table1[Bill No.],$B25),IF($J25="PETROL",SUMIFS(Table14[Amount],Table14[Customer],$M$3,Table14[Date],$A25,Table14[Bill No.],$B25),IF($J25="XtraGreen",SUMIFS(Table146[Amount],Table146[Company],$M$3,Table146[Date],$A25,Table146[Bill No.],$B25),SUMIFS('Other Sale'!$D:$D,'Other Sale'!$E:$E,$M$3,'Other Sale'!$C:$C,$J25,'Other Sale'!$A:$A,$A25)))))</f>
        <v>0</v>
      </c>
      <c r="F25" s="347" cm="1">
        <f t="array" ref="F25">IF($A25="","",IF($J25="Payment",IFERROR(INDEX(_xlfn._xlws.FILTER(MasterPaid[Amount Paid],(MasterPaid[Customer]=$M$3)*(MasterPaid[Date]=$A25)),COUNTIFS($A$6:$A25,$A25,$J$6:$J25,"Payment")),0),0))</f>
        <v>120888</v>
      </c>
      <c r="G25" s="331"/>
      <c r="H25" s="427"/>
      <c r="I25" s="330">
        <f t="shared" si="9"/>
        <v>0</v>
      </c>
      <c r="J25" s="344" t="str" cm="1">
        <f t="array" ref="J25">IFERROR(INDEX(_xlfn.ANCHORARRAY($P$6),ROW()-5,3),"")</f>
        <v>Payment</v>
      </c>
      <c r="K25" s="349"/>
      <c r="L25" s="348"/>
      <c r="M25" s="277"/>
      <c r="N25" s="277"/>
      <c r="O25" s="277"/>
      <c r="P25">
        <v>46197</v>
      </c>
      <c r="Q25" t="str">
        <v/>
      </c>
      <c r="R25" t="str">
        <v>Payment</v>
      </c>
      <c r="T25" s="439"/>
      <c r="U25" s="350"/>
      <c r="W25" s="316" t="str">
        <f t="shared" si="0"/>
        <v/>
      </c>
      <c r="X25" s="273" t="str">
        <f t="shared" si="1"/>
        <v/>
      </c>
      <c r="Y25" s="273" t="str">
        <f t="shared" si="2"/>
        <v/>
      </c>
      <c r="Z25" s="273" t="str">
        <f t="shared" si="3"/>
        <v/>
      </c>
      <c r="AA25" s="316" t="str">
        <f t="shared" si="4"/>
        <v/>
      </c>
      <c r="AC25" t="str" cm="1">
        <f t="array" ref="AC25">IF(INDEX($T$5:$T$54,ROW()-4)="","",INDEX($T$5:$T$54,ROW()-4))</f>
        <v/>
      </c>
      <c r="AD25" t="str">
        <f t="shared" si="5"/>
        <v/>
      </c>
      <c r="AE25" t="str">
        <f t="shared" si="6"/>
        <v/>
      </c>
      <c r="AF25" t="str">
        <f t="shared" si="7"/>
        <v/>
      </c>
      <c r="AG25">
        <f t="shared" si="8"/>
        <v>0</v>
      </c>
      <c r="AH25" t="str" cm="1">
        <f t="array" ref="AH25">IF($AC25="","",IF($AG25=1,SUMPRODUCT(($AG$5:$AG$54=1)*($AC$5:$AC$54&gt;$AC25))+1,SUM($AG$5:$AG$54)+SUMPRODUCT(($AG$5:$AG$54=0)*($AC$5:$AC$54&lt;&gt;"")*($AC$5:$AC$54&gt;$AC25))+1))</f>
        <v/>
      </c>
    </row>
    <row r="26" spans="1:34" ht="21.75" x14ac:dyDescent="0.25">
      <c r="A26" s="217" cm="1">
        <f t="array" ref="A26">IFERROR(INDEX(_xlfn.ANCHORARRAY($P$6),ROW()-5,1),"")</f>
        <v>46203</v>
      </c>
      <c r="B26" s="344" t="str" cm="1">
        <f t="array" ref="B26">IFERROR(INDEX(_xlfn.ANCHORARRAY($P$6),ROW()-5,2),"")</f>
        <v>1248</v>
      </c>
      <c r="C26" s="345">
        <f>IF($A26="","",IF($J26="DIESEL",SUMIFS(Table1[Quantity],Table1[Customer],$M$3,Table1[Date],$A26,Table1[Bill No.],$B26),IF($J26="PETROL",SUMIFS(Table14[Quantity],Table14[Customer],$M$3,Table14[Date],$A26,Table14[Bill No.],$B26),IF($J26="XtraGreen",SUMIFS(Table146[Quantity],Table146[Company],$M$3,Table146[Date],$A26,Table146[Bill No.],$B26),""))))</f>
        <v>1200</v>
      </c>
      <c r="D26" s="346">
        <f>IF($A26="","",IF($J26="DIESEL",AVERAGEIFS(Table1[RSP],Table1[Customer],$M$3,Table1[Date],$A26,Table1[Bill No.],$B26),IF($J26="PETROL",AVERAGEIFS(Table14[RSP],Table14[Customer],$M$3,Table14[Date],$A26,Table14[Bill No.],$B26),IF($J26="XtraGreen",AVERAGEIFS(Table146[RSP],Table146[Company],$M$3,Table146[Date],$A26,Table146[Bill No.],$B26),IFERROR($E26/$C26,"")))))</f>
        <v>100.74</v>
      </c>
      <c r="E26" s="347">
        <f>IF($A26="","",IF($J26="DIESEL",SUMIFS(Table1[Amount],Table1[Customer],$M$3,Table1[Date],$A26,Table1[Bill No.],$B26),IF($J26="PETROL",SUMIFS(Table14[Amount],Table14[Customer],$M$3,Table14[Date],$A26,Table14[Bill No.],$B26),IF($J26="XtraGreen",SUMIFS(Table146[Amount],Table146[Company],$M$3,Table146[Date],$A26,Table146[Bill No.],$B26),SUMIFS('Other Sale'!$D:$D,'Other Sale'!$E:$E,$M$3,'Other Sale'!$C:$C,$J26,'Other Sale'!$A:$A,$A26)))))</f>
        <v>120888</v>
      </c>
      <c r="F26" s="347" cm="1">
        <f t="array" ref="F26">IF($A26="","",IF($J26="Payment",IFERROR(INDEX(_xlfn._xlws.FILTER(MasterPaid[Amount Paid],(MasterPaid[Customer]=$M$3)*(MasterPaid[Date]=$A26)),COUNTIFS($A$6:$A26,$A26,$J$6:$J26,"Payment")),0),0))</f>
        <v>0</v>
      </c>
      <c r="G26" s="331"/>
      <c r="H26" s="427"/>
      <c r="I26" s="330">
        <f t="shared" si="9"/>
        <v>120888</v>
      </c>
      <c r="J26" s="344" t="str" cm="1">
        <f t="array" ref="J26">IFERROR(INDEX(_xlfn.ANCHORARRAY($P$6),ROW()-5,3),"")</f>
        <v>DIESEL</v>
      </c>
      <c r="K26" s="349" t="s">
        <v>3656</v>
      </c>
      <c r="L26" s="348"/>
      <c r="M26" s="277"/>
      <c r="N26" s="277"/>
      <c r="O26" s="277"/>
      <c r="P26">
        <v>46203</v>
      </c>
      <c r="Q26" t="str">
        <v>1248</v>
      </c>
      <c r="R26" t="str">
        <v>DIESEL</v>
      </c>
      <c r="T26" s="439"/>
      <c r="U26" s="350"/>
      <c r="W26" s="316" t="str">
        <f t="shared" si="0"/>
        <v/>
      </c>
      <c r="X26" s="273" t="str">
        <f t="shared" si="1"/>
        <v/>
      </c>
      <c r="Y26" s="273" t="str">
        <f t="shared" si="2"/>
        <v/>
      </c>
      <c r="Z26" s="273" t="str">
        <f t="shared" si="3"/>
        <v/>
      </c>
      <c r="AA26" s="316" t="str">
        <f t="shared" si="4"/>
        <v/>
      </c>
      <c r="AC26" t="str" cm="1">
        <f t="array" ref="AC26">IF(INDEX($T$5:$T$54,ROW()-4)="","",INDEX($T$5:$T$54,ROW()-4))</f>
        <v/>
      </c>
      <c r="AD26" t="str">
        <f t="shared" si="5"/>
        <v/>
      </c>
      <c r="AE26" t="str">
        <f t="shared" si="6"/>
        <v/>
      </c>
      <c r="AF26" t="str">
        <f t="shared" si="7"/>
        <v/>
      </c>
      <c r="AG26">
        <f t="shared" si="8"/>
        <v>0</v>
      </c>
      <c r="AH26" t="str" cm="1">
        <f t="array" ref="AH26">IF($AC26="","",IF($AG26=1,SUMPRODUCT(($AG$5:$AG$54=1)*($AC$5:$AC$54&gt;$AC26))+1,SUM($AG$5:$AG$54)+SUMPRODUCT(($AG$5:$AG$54=0)*($AC$5:$AC$54&lt;&gt;"")*($AC$5:$AC$54&gt;$AC26))+1))</f>
        <v/>
      </c>
    </row>
    <row r="27" spans="1:34" ht="21.75" x14ac:dyDescent="0.25">
      <c r="A27" s="217" cm="1">
        <f t="array" ref="A27">IFERROR(INDEX(_xlfn.ANCHORARRAY($P$6),ROW()-5,1),"")</f>
        <v>46203</v>
      </c>
      <c r="B27" s="344" t="str" cm="1">
        <f t="array" ref="B27">IFERROR(INDEX(_xlfn.ANCHORARRAY($P$6),ROW()-5,2),"")</f>
        <v>1249</v>
      </c>
      <c r="C27" s="345">
        <f>IF($A27="","",IF($J27="DIESEL",SUMIFS(Table1[Quantity],Table1[Customer],$M$3,Table1[Date],$A27,Table1[Bill No.],$B27),IF($J27="PETROL",SUMIFS(Table14[Quantity],Table14[Customer],$M$3,Table14[Date],$A27,Table14[Bill No.],$B27),IF($J27="XtraGreen",SUMIFS(Table146[Quantity],Table146[Company],$M$3,Table146[Date],$A27,Table146[Bill No.],$B27),""))))</f>
        <v>3000</v>
      </c>
      <c r="D27" s="346">
        <f>IF($A27="","",IF($J27="DIESEL",AVERAGEIFS(Table1[RSP],Table1[Customer],$M$3,Table1[Date],$A27,Table1[Bill No.],$B27),IF($J27="PETROL",AVERAGEIFS(Table14[RSP],Table14[Customer],$M$3,Table14[Date],$A27,Table14[Bill No.],$B27),IF($J27="XtraGreen",AVERAGEIFS(Table146[RSP],Table146[Company],$M$3,Table146[Date],$A27,Table146[Bill No.],$B27),IFERROR($E27/$C27,"")))))</f>
        <v>100.74</v>
      </c>
      <c r="E27" s="347">
        <f>IF($A27="","",IF($J27="DIESEL",SUMIFS(Table1[Amount],Table1[Customer],$M$3,Table1[Date],$A27,Table1[Bill No.],$B27),IF($J27="PETROL",SUMIFS(Table14[Amount],Table14[Customer],$M$3,Table14[Date],$A27,Table14[Bill No.],$B27),IF($J27="XtraGreen",SUMIFS(Table146[Amount],Table146[Company],$M$3,Table146[Date],$A27,Table146[Bill No.],$B27),SUMIFS('Other Sale'!$D:$D,'Other Sale'!$E:$E,$M$3,'Other Sale'!$C:$C,$J27,'Other Sale'!$A:$A,$A27)))))</f>
        <v>302220</v>
      </c>
      <c r="F27" s="347" cm="1">
        <f t="array" ref="F27">IF($A27="","",IF($J27="Payment",IFERROR(INDEX(_xlfn._xlws.FILTER(MasterPaid[Amount Paid],(MasterPaid[Customer]=$M$3)*(MasterPaid[Date]=$A27)),COUNTIFS($A$6:$A27,$A27,$J$6:$J27,"Payment")),0),0))</f>
        <v>0</v>
      </c>
      <c r="G27" s="331"/>
      <c r="H27" s="427"/>
      <c r="I27" s="330">
        <f t="shared" si="9"/>
        <v>423108</v>
      </c>
      <c r="J27" s="344" t="str" cm="1">
        <f t="array" ref="J27">IFERROR(INDEX(_xlfn.ANCHORARRAY($P$6),ROW()-5,3),"")</f>
        <v>DIESEL</v>
      </c>
      <c r="K27" s="349" t="s">
        <v>2372</v>
      </c>
      <c r="L27" s="348"/>
      <c r="M27" s="277"/>
      <c r="N27" s="277"/>
      <c r="O27" s="277"/>
      <c r="P27">
        <v>46203</v>
      </c>
      <c r="Q27" t="str">
        <v>1249</v>
      </c>
      <c r="R27" t="str">
        <v>DIESEL</v>
      </c>
      <c r="T27" s="439"/>
      <c r="U27" s="350"/>
      <c r="W27" s="316" t="str">
        <f t="shared" si="0"/>
        <v/>
      </c>
      <c r="X27" s="273" t="str">
        <f t="shared" si="1"/>
        <v/>
      </c>
      <c r="Y27" s="273" t="str">
        <f t="shared" si="2"/>
        <v/>
      </c>
      <c r="Z27" s="273" t="str">
        <f t="shared" si="3"/>
        <v/>
      </c>
      <c r="AA27" s="316" t="str">
        <f t="shared" si="4"/>
        <v/>
      </c>
      <c r="AC27" t="str" cm="1">
        <f t="array" ref="AC27">IF(INDEX($T$5:$T$54,ROW()-4)="","",INDEX($T$5:$T$54,ROW()-4))</f>
        <v/>
      </c>
      <c r="AD27" t="str">
        <f t="shared" si="5"/>
        <v/>
      </c>
      <c r="AE27" t="str">
        <f t="shared" si="6"/>
        <v/>
      </c>
      <c r="AF27" t="str">
        <f t="shared" si="7"/>
        <v/>
      </c>
      <c r="AG27">
        <f t="shared" si="8"/>
        <v>0</v>
      </c>
      <c r="AH27" t="str" cm="1">
        <f t="array" ref="AH27">IF($AC27="","",IF($AG27=1,SUMPRODUCT(($AG$5:$AG$54=1)*($AC$5:$AC$54&gt;$AC27))+1,SUM($AG$5:$AG$54)+SUMPRODUCT(($AG$5:$AG$54=0)*($AC$5:$AC$54&lt;&gt;"")*($AC$5:$AC$54&gt;$AC27))+1))</f>
        <v/>
      </c>
    </row>
    <row r="28" spans="1:34" ht="21.75" x14ac:dyDescent="0.25">
      <c r="A28" s="217" cm="1">
        <f t="array" ref="A28">IFERROR(INDEX(_xlfn.ANCHORARRAY($P$6),ROW()-5,1),"")</f>
        <v>46203</v>
      </c>
      <c r="B28" s="344" t="str" cm="1">
        <f t="array" ref="B28">IFERROR(INDEX(_xlfn.ANCHORARRAY($P$6),ROW()-5,2),"")</f>
        <v/>
      </c>
      <c r="C28" s="345" t="str">
        <f>IF($A28="","",IF($J28="DIESEL",SUMIFS(Table1[Quantity],Table1[Customer],$M$3,Table1[Date],$A28,Table1[Bill No.],$B28),IF($J28="PETROL",SUMIFS(Table14[Quantity],Table14[Customer],$M$3,Table14[Date],$A28,Table14[Bill No.],$B28),IF($J28="XtraGreen",SUMIFS(Table146[Quantity],Table146[Company],$M$3,Table146[Date],$A28,Table146[Bill No.],$B28),""))))</f>
        <v/>
      </c>
      <c r="D28" s="346" t="str">
        <f>IF($A28="","",IF($J28="DIESEL",AVERAGEIFS(Table1[RSP],Table1[Customer],$M$3,Table1[Date],$A28,Table1[Bill No.],$B28),IF($J28="PETROL",AVERAGEIFS(Table14[RSP],Table14[Customer],$M$3,Table14[Date],$A28,Table14[Bill No.],$B28),IF($J28="XtraGreen",AVERAGEIFS(Table146[RSP],Table146[Company],$M$3,Table146[Date],$A28,Table146[Bill No.],$B28),IFERROR($E28/$C28,"")))))</f>
        <v/>
      </c>
      <c r="E28" s="347">
        <f>IF($A28="","",IF($J28="DIESEL",SUMIFS(Table1[Amount],Table1[Customer],$M$3,Table1[Date],$A28,Table1[Bill No.],$B28),IF($J28="PETROL",SUMIFS(Table14[Amount],Table14[Customer],$M$3,Table14[Date],$A28,Table14[Bill No.],$B28),IF($J28="XtraGreen",SUMIFS(Table146[Amount],Table146[Company],$M$3,Table146[Date],$A28,Table146[Bill No.],$B28),SUMIFS('Other Sale'!$D:$D,'Other Sale'!$E:$E,$M$3,'Other Sale'!$C:$C,$J28,'Other Sale'!$A:$A,$A28)))))</f>
        <v>0</v>
      </c>
      <c r="F28" s="347" cm="1">
        <f t="array" ref="F28">IF($A28="","",IF($J28="Payment",IFERROR(INDEX(_xlfn._xlws.FILTER(MasterPaid[Amount Paid],(MasterPaid[Customer]=$M$3)*(MasterPaid[Date]=$A28)),COUNTIFS($A$6:$A28,$A28,$J$6:$J28,"Payment")),0),0))</f>
        <v>423108</v>
      </c>
      <c r="G28" s="331"/>
      <c r="H28" s="427"/>
      <c r="I28" s="330">
        <f t="shared" si="9"/>
        <v>0</v>
      </c>
      <c r="J28" s="344" t="str" cm="1">
        <f t="array" ref="J28">IFERROR(INDEX(_xlfn.ANCHORARRAY($P$6),ROW()-5,3),"")</f>
        <v>Payment</v>
      </c>
      <c r="K28" s="349"/>
      <c r="L28" s="348"/>
      <c r="M28" s="277"/>
      <c r="N28" s="277"/>
      <c r="O28" s="277"/>
      <c r="P28">
        <v>46203</v>
      </c>
      <c r="Q28" t="str">
        <v/>
      </c>
      <c r="R28" t="str">
        <v>Payment</v>
      </c>
      <c r="T28" s="439"/>
      <c r="U28" s="350"/>
      <c r="W28" s="316" t="str">
        <f t="shared" si="0"/>
        <v/>
      </c>
      <c r="X28" s="273" t="str">
        <f t="shared" si="1"/>
        <v/>
      </c>
      <c r="Y28" s="273" t="str">
        <f t="shared" si="2"/>
        <v/>
      </c>
      <c r="Z28" s="273" t="str">
        <f t="shared" si="3"/>
        <v/>
      </c>
      <c r="AA28" s="316" t="str">
        <f t="shared" si="4"/>
        <v/>
      </c>
      <c r="AC28" t="str" cm="1">
        <f t="array" ref="AC28">IF(INDEX($T$5:$T$54,ROW()-4)="","",INDEX($T$5:$T$54,ROW()-4))</f>
        <v/>
      </c>
      <c r="AD28" t="str">
        <f t="shared" si="5"/>
        <v/>
      </c>
      <c r="AE28" t="str">
        <f t="shared" si="6"/>
        <v/>
      </c>
      <c r="AF28" t="str">
        <f t="shared" si="7"/>
        <v/>
      </c>
      <c r="AG28">
        <f t="shared" si="8"/>
        <v>0</v>
      </c>
      <c r="AH28" t="str" cm="1">
        <f t="array" ref="AH28">IF($AC28="","",IF($AG28=1,SUMPRODUCT(($AG$5:$AG$54=1)*($AC$5:$AC$54&gt;$AC28))+1,SUM($AG$5:$AG$54)+SUMPRODUCT(($AG$5:$AG$54=0)*($AC$5:$AC$54&lt;&gt;"")*($AC$5:$AC$54&gt;$AC28))+1))</f>
        <v/>
      </c>
    </row>
    <row r="29" spans="1:34" ht="21.75" customHeight="1" x14ac:dyDescent="0.25">
      <c r="A29" s="217" cm="1">
        <f t="array" ref="A29">IFERROR(INDEX(_xlfn.ANCHORARRAY($P$6),ROW()-5,1),"")</f>
        <v>46205</v>
      </c>
      <c r="B29" s="344" t="str" cm="1">
        <f t="array" ref="B29">IFERROR(INDEX(_xlfn.ANCHORARRAY($P$6),ROW()-5,2),"")</f>
        <v>1272</v>
      </c>
      <c r="C29" s="345">
        <f>IF($A29="","",IF($J29="DIESEL",SUMIFS(Table1[Quantity],Table1[Customer],$M$3,Table1[Date],$A29,Table1[Bill No.],$B29),IF($J29="PETROL",SUMIFS(Table14[Quantity],Table14[Customer],$M$3,Table14[Date],$A29,Table14[Bill No.],$B29),IF($J29="XtraGreen",SUMIFS(Table146[Quantity],Table146[Company],$M$3,Table146[Date],$A29,Table146[Bill No.],$B29),""))))</f>
        <v>3000</v>
      </c>
      <c r="D29" s="346">
        <f>IF($A29="","",IF($J29="DIESEL",AVERAGEIFS(Table1[RSP],Table1[Customer],$M$3,Table1[Date],$A29,Table1[Bill No.],$B29),IF($J29="PETROL",AVERAGEIFS(Table14[RSP],Table14[Customer],$M$3,Table14[Date],$A29,Table14[Bill No.],$B29),IF($J29="XtraGreen",AVERAGEIFS(Table146[RSP],Table146[Company],$M$3,Table146[Date],$A29,Table146[Bill No.],$B29),IFERROR($E29/$C29,"")))))</f>
        <v>100.74</v>
      </c>
      <c r="E29" s="347">
        <f>IF($A29="","",IF($J29="DIESEL",SUMIFS(Table1[Amount],Table1[Customer],$M$3,Table1[Date],$A29,Table1[Bill No.],$B29),IF($J29="PETROL",SUMIFS(Table14[Amount],Table14[Customer],$M$3,Table14[Date],$A29,Table14[Bill No.],$B29),IF($J29="XtraGreen",SUMIFS(Table146[Amount],Table146[Company],$M$3,Table146[Date],$A29,Table146[Bill No.],$B29),SUMIFS('Other Sale'!$D:$D,'Other Sale'!$E:$E,$M$3,'Other Sale'!$C:$C,$J29,'Other Sale'!$A:$A,$A29)))))</f>
        <v>302220</v>
      </c>
      <c r="F29" s="347" cm="1">
        <f t="array" ref="F29">IF($A29="","",IF($J29="Payment",IFERROR(INDEX(_xlfn._xlws.FILTER(MasterPaid[Amount Paid],(MasterPaid[Customer]=$M$3)*(MasterPaid[Date]=$A29)),COUNTIFS($A$6:$A29,$A29,$J$6:$J29,"Payment")),0),0))</f>
        <v>0</v>
      </c>
      <c r="G29" s="331"/>
      <c r="H29" s="427"/>
      <c r="I29" s="330">
        <f t="shared" si="9"/>
        <v>302220</v>
      </c>
      <c r="J29" s="344" t="str" cm="1">
        <f t="array" ref="J29">IFERROR(INDEX(_xlfn.ANCHORARRAY($P$6),ROW()-5,3),"")</f>
        <v>DIESEL</v>
      </c>
      <c r="K29" s="349" t="s">
        <v>2372</v>
      </c>
      <c r="L29" s="348"/>
      <c r="M29" s="277"/>
      <c r="N29" s="277"/>
      <c r="O29" s="277"/>
      <c r="P29">
        <v>46205</v>
      </c>
      <c r="Q29" t="str">
        <v>1272</v>
      </c>
      <c r="R29" t="str">
        <v>DIESEL</v>
      </c>
      <c r="T29" s="439"/>
      <c r="U29" s="350"/>
      <c r="W29" s="316" t="str">
        <f t="shared" si="0"/>
        <v/>
      </c>
      <c r="X29" s="273" t="str">
        <f t="shared" si="1"/>
        <v/>
      </c>
      <c r="Y29" s="273" t="str">
        <f t="shared" si="2"/>
        <v/>
      </c>
      <c r="Z29" s="273" t="str">
        <f t="shared" si="3"/>
        <v/>
      </c>
      <c r="AA29" s="316" t="str">
        <f t="shared" si="4"/>
        <v/>
      </c>
      <c r="AC29" t="str" cm="1">
        <f t="array" ref="AC29">IF(INDEX($T$5:$T$54,ROW()-4)="","",INDEX($T$5:$T$54,ROW()-4))</f>
        <v/>
      </c>
      <c r="AD29" t="str">
        <f t="shared" si="5"/>
        <v/>
      </c>
      <c r="AE29" t="str">
        <f t="shared" si="6"/>
        <v/>
      </c>
      <c r="AF29" t="str">
        <f t="shared" si="7"/>
        <v/>
      </c>
      <c r="AG29">
        <f t="shared" si="8"/>
        <v>0</v>
      </c>
      <c r="AH29" t="str" cm="1">
        <f t="array" ref="AH29">IF($AC29="","",IF($AG29=1,SUMPRODUCT(($AG$5:$AG$54=1)*($AC$5:$AC$54&gt;$AC29))+1,SUM($AG$5:$AG$54)+SUMPRODUCT(($AG$5:$AG$54=0)*($AC$5:$AC$54&lt;&gt;"")*($AC$5:$AC$54&gt;$AC29))+1))</f>
        <v/>
      </c>
    </row>
    <row r="30" spans="1:34" ht="21.75" x14ac:dyDescent="0.25">
      <c r="A30" s="217" cm="1">
        <f t="array" ref="A30">IFERROR(INDEX(_xlfn.ANCHORARRAY($P$6),ROW()-5,1),"")</f>
        <v>46205</v>
      </c>
      <c r="B30" s="344" t="str" cm="1">
        <f t="array" ref="B30">IFERROR(INDEX(_xlfn.ANCHORARRAY($P$6),ROW()-5,2),"")</f>
        <v/>
      </c>
      <c r="C30" s="345" t="str">
        <f>IF($A30="","",IF($J30="DIESEL",SUMIFS(Table1[Quantity],Table1[Customer],$M$3,Table1[Date],$A30,Table1[Bill No.],$B30),IF($J30="PETROL",SUMIFS(Table14[Quantity],Table14[Customer],$M$3,Table14[Date],$A30,Table14[Bill No.],$B30),IF($J30="XtraGreen",SUMIFS(Table146[Quantity],Table146[Company],$M$3,Table146[Date],$A30,Table146[Bill No.],$B30),""))))</f>
        <v/>
      </c>
      <c r="D30" s="346" t="str">
        <f>IF($A30="","",IF($J30="DIESEL",AVERAGEIFS(Table1[RSP],Table1[Customer],$M$3,Table1[Date],$A30,Table1[Bill No.],$B30),IF($J30="PETROL",AVERAGEIFS(Table14[RSP],Table14[Customer],$M$3,Table14[Date],$A30,Table14[Bill No.],$B30),IF($J30="XtraGreen",AVERAGEIFS(Table146[RSP],Table146[Company],$M$3,Table146[Date],$A30,Table146[Bill No.],$B30),IFERROR($E30/$C30,"")))))</f>
        <v/>
      </c>
      <c r="E30" s="347">
        <f>IF($A30="","",IF($J30="DIESEL",SUMIFS(Table1[Amount],Table1[Customer],$M$3,Table1[Date],$A30,Table1[Bill No.],$B30),IF($J30="PETROL",SUMIFS(Table14[Amount],Table14[Customer],$M$3,Table14[Date],$A30,Table14[Bill No.],$B30),IF($J30="XtraGreen",SUMIFS(Table146[Amount],Table146[Company],$M$3,Table146[Date],$A30,Table146[Bill No.],$B30),SUMIFS('Other Sale'!$D:$D,'Other Sale'!$E:$E,$M$3,'Other Sale'!$C:$C,$J30,'Other Sale'!$A:$A,$A30)))))</f>
        <v>0</v>
      </c>
      <c r="F30" s="347" cm="1">
        <f t="array" ref="F30">IF($A30="","",IF($J30="Payment",IFERROR(INDEX(_xlfn._xlws.FILTER(MasterPaid[Amount Paid],(MasterPaid[Customer]=$M$3)*(MasterPaid[Date]=$A30)),COUNTIFS($A$6:$A30,$A30,$J$6:$J30,"Payment")),0),0))</f>
        <v>302220</v>
      </c>
      <c r="G30" s="331"/>
      <c r="H30" s="427"/>
      <c r="I30" s="330">
        <f t="shared" si="9"/>
        <v>0</v>
      </c>
      <c r="J30" s="344" t="str" cm="1">
        <f t="array" ref="J30">IFERROR(INDEX(_xlfn.ANCHORARRAY($P$6),ROW()-5,3),"")</f>
        <v>Payment</v>
      </c>
      <c r="K30" s="349"/>
      <c r="L30" s="348"/>
      <c r="M30" s="277"/>
      <c r="N30" s="277"/>
      <c r="O30" s="277"/>
      <c r="P30">
        <v>46205</v>
      </c>
      <c r="Q30" t="str">
        <v/>
      </c>
      <c r="R30" t="str">
        <v>Payment</v>
      </c>
      <c r="T30" s="439"/>
      <c r="U30" s="350"/>
      <c r="W30" s="316" t="str">
        <f t="shared" si="0"/>
        <v/>
      </c>
      <c r="X30" s="273" t="str">
        <f t="shared" si="1"/>
        <v/>
      </c>
      <c r="Y30" s="273" t="str">
        <f t="shared" si="2"/>
        <v/>
      </c>
      <c r="Z30" s="273" t="str">
        <f t="shared" si="3"/>
        <v/>
      </c>
      <c r="AA30" s="316" t="str">
        <f t="shared" si="4"/>
        <v/>
      </c>
      <c r="AC30" t="str" cm="1">
        <f t="array" ref="AC30">IF(INDEX($T$5:$T$54,ROW()-4)="","",INDEX($T$5:$T$54,ROW()-4))</f>
        <v/>
      </c>
      <c r="AD30" t="str">
        <f t="shared" si="5"/>
        <v/>
      </c>
      <c r="AE30" t="str">
        <f t="shared" si="6"/>
        <v/>
      </c>
      <c r="AF30" t="str">
        <f t="shared" si="7"/>
        <v/>
      </c>
      <c r="AG30">
        <f t="shared" si="8"/>
        <v>0</v>
      </c>
      <c r="AH30" t="str" cm="1">
        <f t="array" ref="AH30">IF($AC30="","",IF($AG30=1,SUMPRODUCT(($AG$5:$AG$54=1)*($AC$5:$AC$54&gt;$AC30))+1,SUM($AG$5:$AG$54)+SUMPRODUCT(($AG$5:$AG$54=0)*($AC$5:$AC$54&lt;&gt;"")*($AC$5:$AC$54&gt;$AC30))+1))</f>
        <v/>
      </c>
    </row>
    <row r="31" spans="1:34" ht="21.75" x14ac:dyDescent="0.25">
      <c r="A31" s="217" cm="1">
        <f t="array" ref="A31">IFERROR(INDEX(_xlfn.ANCHORARRAY($P$6),ROW()-5,1),"")</f>
        <v>46211</v>
      </c>
      <c r="B31" s="344" t="str" cm="1">
        <f t="array" ref="B31">IFERROR(INDEX(_xlfn.ANCHORARRAY($P$6),ROW()-5,2),"")</f>
        <v>1408</v>
      </c>
      <c r="C31" s="345">
        <f>IF($A31="","",IF($J31="DIESEL",SUMIFS(Table1[Quantity],Table1[Customer],$M$3,Table1[Date],$A31,Table1[Bill No.],$B31),IF($J31="PETROL",SUMIFS(Table14[Quantity],Table14[Customer],$M$3,Table14[Date],$A31,Table14[Bill No.],$B31),IF($J31="XtraGreen",SUMIFS(Table146[Quantity],Table146[Company],$M$3,Table146[Date],$A31,Table146[Bill No.],$B31),""))))</f>
        <v>3000</v>
      </c>
      <c r="D31" s="346">
        <f>IF($A31="","",IF($J31="DIESEL",AVERAGEIFS(Table1[RSP],Table1[Customer],$M$3,Table1[Date],$A31,Table1[Bill No.],$B31),IF($J31="PETROL",AVERAGEIFS(Table14[RSP],Table14[Customer],$M$3,Table14[Date],$A31,Table14[Bill No.],$B31),IF($J31="XtraGreen",AVERAGEIFS(Table146[RSP],Table146[Company],$M$3,Table146[Date],$A31,Table146[Bill No.],$B31),IFERROR($E31/$C31,"")))))</f>
        <v>100.74</v>
      </c>
      <c r="E31" s="347">
        <f>IF($A31="","",IF($J31="DIESEL",SUMIFS(Table1[Amount],Table1[Customer],$M$3,Table1[Date],$A31,Table1[Bill No.],$B31),IF($J31="PETROL",SUMIFS(Table14[Amount],Table14[Customer],$M$3,Table14[Date],$A31,Table14[Bill No.],$B31),IF($J31="XtraGreen",SUMIFS(Table146[Amount],Table146[Company],$M$3,Table146[Date],$A31,Table146[Bill No.],$B31),SUMIFS('Other Sale'!$D:$D,'Other Sale'!$E:$E,$M$3,'Other Sale'!$C:$C,$J31,'Other Sale'!$A:$A,$A31)))))</f>
        <v>302220</v>
      </c>
      <c r="F31" s="347" cm="1">
        <f t="array" ref="F31">IF($A31="","",IF($J31="Payment",IFERROR(INDEX(_xlfn._xlws.FILTER(MasterPaid[Amount Paid],(MasterPaid[Customer]=$M$3)*(MasterPaid[Date]=$A31)),COUNTIFS($A$6:$A31,$A31,$J$6:$J31,"Payment")),0),0))</f>
        <v>0</v>
      </c>
      <c r="G31" s="331"/>
      <c r="H31" s="427"/>
      <c r="I31" s="330">
        <f t="shared" si="9"/>
        <v>302220</v>
      </c>
      <c r="J31" s="344" t="str" cm="1">
        <f t="array" ref="J31">IFERROR(INDEX(_xlfn.ANCHORARRAY($P$6),ROW()-5,3),"")</f>
        <v>DIESEL</v>
      </c>
      <c r="K31" s="349" t="s">
        <v>3657</v>
      </c>
      <c r="L31" s="348"/>
      <c r="M31" s="277"/>
      <c r="N31" s="277"/>
      <c r="O31" s="277"/>
      <c r="P31">
        <v>46211</v>
      </c>
      <c r="Q31" t="str">
        <v>1408</v>
      </c>
      <c r="R31" t="str">
        <v>DIESEL</v>
      </c>
      <c r="T31" s="439"/>
      <c r="U31" s="350"/>
      <c r="W31" s="316" t="str">
        <f t="shared" si="0"/>
        <v/>
      </c>
      <c r="X31" s="273" t="str">
        <f t="shared" si="1"/>
        <v/>
      </c>
      <c r="Y31" s="273" t="str">
        <f t="shared" si="2"/>
        <v/>
      </c>
      <c r="Z31" s="273" t="str">
        <f t="shared" si="3"/>
        <v/>
      </c>
      <c r="AA31" s="316" t="str">
        <f t="shared" si="4"/>
        <v/>
      </c>
      <c r="AC31" t="str" cm="1">
        <f t="array" ref="AC31">IF(INDEX($T$5:$T$54,ROW()-4)="","",INDEX($T$5:$T$54,ROW()-4))</f>
        <v/>
      </c>
      <c r="AD31" t="str">
        <f t="shared" si="5"/>
        <v/>
      </c>
      <c r="AE31" t="str">
        <f t="shared" si="6"/>
        <v/>
      </c>
      <c r="AF31" t="str">
        <f t="shared" si="7"/>
        <v/>
      </c>
      <c r="AG31">
        <f t="shared" si="8"/>
        <v>0</v>
      </c>
      <c r="AH31" t="str" cm="1">
        <f t="array" ref="AH31">IF($AC31="","",IF($AG31=1,SUMPRODUCT(($AG$5:$AG$54=1)*($AC$5:$AC$54&gt;$AC31))+1,SUM($AG$5:$AG$54)+SUMPRODUCT(($AG$5:$AG$54=0)*($AC$5:$AC$54&lt;&gt;"")*($AC$5:$AC$54&gt;$AC31))+1))</f>
        <v/>
      </c>
    </row>
    <row r="32" spans="1:34" ht="21.75" x14ac:dyDescent="0.25">
      <c r="A32" s="217" cm="1">
        <f t="array" ref="A32">IFERROR(INDEX(_xlfn.ANCHORARRAY($P$6),ROW()-5,1),"")</f>
        <v>46212</v>
      </c>
      <c r="B32" s="344" t="str" cm="1">
        <f t="array" ref="B32">IFERROR(INDEX(_xlfn.ANCHORARRAY($P$6),ROW()-5,2),"")</f>
        <v/>
      </c>
      <c r="C32" s="345" t="str">
        <f>IF($A32="","",IF($J32="DIESEL",SUMIFS(Table1[Quantity],Table1[Customer],$M$3,Table1[Date],$A32,Table1[Bill No.],$B32),IF($J32="PETROL",SUMIFS(Table14[Quantity],Table14[Customer],$M$3,Table14[Date],$A32,Table14[Bill No.],$B32),IF($J32="XtraGreen",SUMIFS(Table146[Quantity],Table146[Company],$M$3,Table146[Date],$A32,Table146[Bill No.],$B32),""))))</f>
        <v/>
      </c>
      <c r="D32" s="346" t="str">
        <f>IF($A32="","",IF($J32="DIESEL",AVERAGEIFS(Table1[RSP],Table1[Customer],$M$3,Table1[Date],$A32,Table1[Bill No.],$B32),IF($J32="PETROL",AVERAGEIFS(Table14[RSP],Table14[Customer],$M$3,Table14[Date],$A32,Table14[Bill No.],$B32),IF($J32="XtraGreen",AVERAGEIFS(Table146[RSP],Table146[Company],$M$3,Table146[Date],$A32,Table146[Bill No.],$B32),IFERROR($E32/$C32,"")))))</f>
        <v/>
      </c>
      <c r="E32" s="347">
        <f>IF($A32="","",IF($J32="DIESEL",SUMIFS(Table1[Amount],Table1[Customer],$M$3,Table1[Date],$A32,Table1[Bill No.],$B32),IF($J32="PETROL",SUMIFS(Table14[Amount],Table14[Customer],$M$3,Table14[Date],$A32,Table14[Bill No.],$B32),IF($J32="XtraGreen",SUMIFS(Table146[Amount],Table146[Company],$M$3,Table146[Date],$A32,Table146[Bill No.],$B32),SUMIFS('Other Sale'!$D:$D,'Other Sale'!$E:$E,$M$3,'Other Sale'!$C:$C,$J32,'Other Sale'!$A:$A,$A32)))))</f>
        <v>0</v>
      </c>
      <c r="F32" s="347" cm="1">
        <f t="array" ref="F32">IF($A32="","",IF($J32="Payment",IFERROR(INDEX(_xlfn._xlws.FILTER(MasterPaid[Amount Paid],(MasterPaid[Customer]=$M$3)*(MasterPaid[Date]=$A32)),COUNTIFS($A$6:$A32,$A32,$J$6:$J32,"Payment")),0),0))</f>
        <v>302220</v>
      </c>
      <c r="G32" s="331"/>
      <c r="H32" s="427"/>
      <c r="I32" s="330">
        <f t="shared" si="9"/>
        <v>0</v>
      </c>
      <c r="J32" s="344" t="str" cm="1">
        <f t="array" ref="J32">IFERROR(INDEX(_xlfn.ANCHORARRAY($P$6),ROW()-5,3),"")</f>
        <v>Payment</v>
      </c>
      <c r="K32" s="349"/>
      <c r="L32" s="348"/>
      <c r="M32" s="277"/>
      <c r="N32" s="277"/>
      <c r="O32" s="277"/>
      <c r="P32">
        <v>46212</v>
      </c>
      <c r="Q32" t="str">
        <v/>
      </c>
      <c r="R32" t="str">
        <v>Payment</v>
      </c>
      <c r="T32" s="439"/>
      <c r="U32" s="350"/>
      <c r="W32" s="316" t="str">
        <f t="shared" si="0"/>
        <v/>
      </c>
      <c r="X32" s="273" t="str">
        <f t="shared" si="1"/>
        <v/>
      </c>
      <c r="Y32" s="273" t="str">
        <f t="shared" si="2"/>
        <v/>
      </c>
      <c r="Z32" s="273" t="str">
        <f t="shared" si="3"/>
        <v/>
      </c>
      <c r="AA32" s="316" t="str">
        <f t="shared" si="4"/>
        <v/>
      </c>
      <c r="AC32" t="str" cm="1">
        <f t="array" ref="AC32">IF(INDEX($T$5:$T$54,ROW()-4)="","",INDEX($T$5:$T$54,ROW()-4))</f>
        <v/>
      </c>
      <c r="AD32" t="str">
        <f t="shared" si="5"/>
        <v/>
      </c>
      <c r="AE32" t="str">
        <f t="shared" si="6"/>
        <v/>
      </c>
      <c r="AF32" t="str">
        <f t="shared" si="7"/>
        <v/>
      </c>
      <c r="AG32">
        <f t="shared" si="8"/>
        <v>0</v>
      </c>
      <c r="AH32" t="str" cm="1">
        <f t="array" ref="AH32">IF($AC32="","",IF($AG32=1,SUMPRODUCT(($AG$5:$AG$54=1)*($AC$5:$AC$54&gt;$AC32))+1,SUM($AG$5:$AG$54)+SUMPRODUCT(($AG$5:$AG$54=0)*($AC$5:$AC$54&lt;&gt;"")*($AC$5:$AC$54&gt;$AC32))+1))</f>
        <v/>
      </c>
    </row>
    <row r="33" spans="1:34" ht="21.75" x14ac:dyDescent="0.25">
      <c r="A33" s="217" cm="1">
        <f t="array" ref="A33">IFERROR(INDEX(_xlfn.ANCHORARRAY($P$6),ROW()-5,1),"")</f>
        <v>46214</v>
      </c>
      <c r="B33" s="344" t="str" cm="1">
        <f t="array" ref="B33">IFERROR(INDEX(_xlfn.ANCHORARRAY($P$6),ROW()-5,2),"")</f>
        <v>1470</v>
      </c>
      <c r="C33" s="345">
        <f>IF($A33="","",IF($J33="DIESEL",SUMIFS(Table1[Quantity],Table1[Customer],$M$3,Table1[Date],$A33,Table1[Bill No.],$B33),IF($J33="PETROL",SUMIFS(Table14[Quantity],Table14[Customer],$M$3,Table14[Date],$A33,Table14[Bill No.],$B33),IF($J33="XtraGreen",SUMIFS(Table146[Quantity],Table146[Company],$M$3,Table146[Date],$A33,Table146[Bill No.],$B33),""))))</f>
        <v>3000</v>
      </c>
      <c r="D33" s="346">
        <f>IF($A33="","",IF($J33="DIESEL",AVERAGEIFS(Table1[RSP],Table1[Customer],$M$3,Table1[Date],$A33,Table1[Bill No.],$B33),IF($J33="PETROL",AVERAGEIFS(Table14[RSP],Table14[Customer],$M$3,Table14[Date],$A33,Table14[Bill No.],$B33),IF($J33="XtraGreen",AVERAGEIFS(Table146[RSP],Table146[Company],$M$3,Table146[Date],$A33,Table146[Bill No.],$B33),IFERROR($E33/$C33,"")))))</f>
        <v>100.74</v>
      </c>
      <c r="E33" s="347">
        <f>IF($A33="","",IF($J33="DIESEL",SUMIFS(Table1[Amount],Table1[Customer],$M$3,Table1[Date],$A33,Table1[Bill No.],$B33),IF($J33="PETROL",SUMIFS(Table14[Amount],Table14[Customer],$M$3,Table14[Date],$A33,Table14[Bill No.],$B33),IF($J33="XtraGreen",SUMIFS(Table146[Amount],Table146[Company],$M$3,Table146[Date],$A33,Table146[Bill No.],$B33),SUMIFS('Other Sale'!$D:$D,'Other Sale'!$E:$E,$M$3,'Other Sale'!$C:$C,$J33,'Other Sale'!$A:$A,$A33)))))</f>
        <v>302220</v>
      </c>
      <c r="F33" s="347" cm="1">
        <f t="array" ref="F33">IF($A33="","",IF($J33="Payment",IFERROR(INDEX(_xlfn._xlws.FILTER(MasterPaid[Amount Paid],(MasterPaid[Customer]=$M$3)*(MasterPaid[Date]=$A33)),COUNTIFS($A$6:$A33,$A33,$J$6:$J33,"Payment")),0),0))</f>
        <v>0</v>
      </c>
      <c r="G33" s="331"/>
      <c r="H33" s="427"/>
      <c r="I33" s="330">
        <f t="shared" si="9"/>
        <v>302220</v>
      </c>
      <c r="J33" s="344" t="str" cm="1">
        <f t="array" ref="J33">IFERROR(INDEX(_xlfn.ANCHORARRAY($P$6),ROW()-5,3),"")</f>
        <v>DIESEL</v>
      </c>
      <c r="K33" s="349" t="s">
        <v>3657</v>
      </c>
      <c r="L33" s="348"/>
      <c r="M33" s="277"/>
      <c r="N33" s="277"/>
      <c r="O33" s="277"/>
      <c r="P33">
        <v>46214</v>
      </c>
      <c r="Q33" t="str">
        <v>1470</v>
      </c>
      <c r="R33" t="str">
        <v>DIESEL</v>
      </c>
      <c r="T33" s="439"/>
      <c r="U33" s="350"/>
      <c r="W33" s="316" t="str">
        <f t="shared" si="0"/>
        <v/>
      </c>
      <c r="X33" s="273" t="str">
        <f t="shared" si="1"/>
        <v/>
      </c>
      <c r="Y33" s="273" t="str">
        <f t="shared" si="2"/>
        <v/>
      </c>
      <c r="Z33" s="273" t="str">
        <f t="shared" si="3"/>
        <v/>
      </c>
      <c r="AA33" s="316" t="str">
        <f t="shared" si="4"/>
        <v/>
      </c>
      <c r="AC33" t="str" cm="1">
        <f t="array" ref="AC33">IF(INDEX($T$5:$T$54,ROW()-4)="","",INDEX($T$5:$T$54,ROW()-4))</f>
        <v/>
      </c>
      <c r="AD33" t="str">
        <f t="shared" si="5"/>
        <v/>
      </c>
      <c r="AE33" t="str">
        <f t="shared" si="6"/>
        <v/>
      </c>
      <c r="AF33" t="str">
        <f t="shared" si="7"/>
        <v/>
      </c>
      <c r="AG33">
        <f t="shared" si="8"/>
        <v>0</v>
      </c>
      <c r="AH33" t="str" cm="1">
        <f t="array" ref="AH33">IF($AC33="","",IF($AG33=1,SUMPRODUCT(($AG$5:$AG$54=1)*($AC$5:$AC$54&gt;$AC33))+1,SUM($AG$5:$AG$54)+SUMPRODUCT(($AG$5:$AG$54=0)*($AC$5:$AC$54&lt;&gt;"")*($AC$5:$AC$54&gt;$AC33))+1))</f>
        <v/>
      </c>
    </row>
    <row r="34" spans="1:34" ht="21.75" x14ac:dyDescent="0.25">
      <c r="A34" s="217" cm="1">
        <f t="array" ref="A34">IFERROR(INDEX(_xlfn.ANCHORARRAY($P$6),ROW()-5,1),"")</f>
        <v>46216</v>
      </c>
      <c r="B34" s="344" t="str" cm="1">
        <f t="array" ref="B34">IFERROR(INDEX(_xlfn.ANCHORARRAY($P$6),ROW()-5,2),"")</f>
        <v/>
      </c>
      <c r="C34" s="345" t="str">
        <f>IF($A34="","",IF($J34="DIESEL",SUMIFS(Table1[Quantity],Table1[Customer],$M$3,Table1[Date],$A34,Table1[Bill No.],$B34),IF($J34="PETROL",SUMIFS(Table14[Quantity],Table14[Customer],$M$3,Table14[Date],$A34,Table14[Bill No.],$B34),IF($J34="XtraGreen",SUMIFS(Table146[Quantity],Table146[Company],$M$3,Table146[Date],$A34,Table146[Bill No.],$B34),""))))</f>
        <v/>
      </c>
      <c r="D34" s="346" t="str">
        <f>IF($A34="","",IF($J34="DIESEL",AVERAGEIFS(Table1[RSP],Table1[Customer],$M$3,Table1[Date],$A34,Table1[Bill No.],$B34),IF($J34="PETROL",AVERAGEIFS(Table14[RSP],Table14[Customer],$M$3,Table14[Date],$A34,Table14[Bill No.],$B34),IF($J34="XtraGreen",AVERAGEIFS(Table146[RSP],Table146[Company],$M$3,Table146[Date],$A34,Table146[Bill No.],$B34),IFERROR($E34/$C34,"")))))</f>
        <v/>
      </c>
      <c r="E34" s="347">
        <f>IF($A34="","",IF($J34="DIESEL",SUMIFS(Table1[Amount],Table1[Customer],$M$3,Table1[Date],$A34,Table1[Bill No.],$B34),IF($J34="PETROL",SUMIFS(Table14[Amount],Table14[Customer],$M$3,Table14[Date],$A34,Table14[Bill No.],$B34),IF($J34="XtraGreen",SUMIFS(Table146[Amount],Table146[Company],$M$3,Table146[Date],$A34,Table146[Bill No.],$B34),SUMIFS('Other Sale'!$D:$D,'Other Sale'!$E:$E,$M$3,'Other Sale'!$C:$C,$J34,'Other Sale'!$A:$A,$A34)))))</f>
        <v>0</v>
      </c>
      <c r="F34" s="347" cm="1">
        <f t="array" ref="F34">IF($A34="","",IF($J34="Payment",IFERROR(INDEX(_xlfn._xlws.FILTER(MasterPaid[Amount Paid],(MasterPaid[Customer]=$M$3)*(MasterPaid[Date]=$A34)),COUNTIFS($A$6:$A34,$A34,$J$6:$J34,"Payment")),0),0))</f>
        <v>302220</v>
      </c>
      <c r="G34" s="331"/>
      <c r="H34" s="427"/>
      <c r="I34" s="330">
        <f t="shared" si="9"/>
        <v>0</v>
      </c>
      <c r="J34" s="344" t="str" cm="1">
        <f t="array" ref="J34">IFERROR(INDEX(_xlfn.ANCHORARRAY($P$6),ROW()-5,3),"")</f>
        <v>Payment</v>
      </c>
      <c r="K34" s="349"/>
      <c r="L34" s="348"/>
      <c r="M34" s="277"/>
      <c r="N34" s="277"/>
      <c r="O34" s="277"/>
      <c r="P34">
        <v>46216</v>
      </c>
      <c r="Q34" t="str">
        <v/>
      </c>
      <c r="R34" t="str">
        <v>Payment</v>
      </c>
      <c r="T34" s="439"/>
      <c r="U34" s="350"/>
      <c r="W34" s="316" t="str">
        <f t="shared" si="0"/>
        <v/>
      </c>
      <c r="X34" s="273" t="str">
        <f t="shared" si="1"/>
        <v/>
      </c>
      <c r="Y34" s="273" t="str">
        <f t="shared" si="2"/>
        <v/>
      </c>
      <c r="Z34" s="273" t="str">
        <f t="shared" si="3"/>
        <v/>
      </c>
      <c r="AA34" s="316" t="str">
        <f t="shared" si="4"/>
        <v/>
      </c>
      <c r="AC34" t="str" cm="1">
        <f t="array" ref="AC34">IF(INDEX($T$5:$T$54,ROW()-4)="","",INDEX($T$5:$T$54,ROW()-4))</f>
        <v/>
      </c>
      <c r="AD34" t="str">
        <f t="shared" si="5"/>
        <v/>
      </c>
      <c r="AE34" t="str">
        <f t="shared" si="6"/>
        <v/>
      </c>
      <c r="AF34" t="str">
        <f t="shared" si="7"/>
        <v/>
      </c>
      <c r="AG34">
        <f t="shared" si="8"/>
        <v>0</v>
      </c>
      <c r="AH34" t="str" cm="1">
        <f t="array" ref="AH34">IF($AC34="","",IF($AG34=1,SUMPRODUCT(($AG$5:$AG$54=1)*($AC$5:$AC$54&gt;$AC34))+1,SUM($AG$5:$AG$54)+SUMPRODUCT(($AG$5:$AG$54=0)*($AC$5:$AC$54&lt;&gt;"")*($AC$5:$AC$54&gt;$AC34))+1))</f>
        <v/>
      </c>
    </row>
    <row r="35" spans="1:34" ht="21.75" customHeight="1" x14ac:dyDescent="0.25">
      <c r="A35" s="217" cm="1">
        <f t="array" ref="A35">IFERROR(INDEX(_xlfn.ANCHORARRAY($P$6),ROW()-5,1),"")</f>
        <v>46224</v>
      </c>
      <c r="B35" s="344" t="str" cm="1">
        <f t="array" ref="B35">IFERROR(INDEX(_xlfn.ANCHORARRAY($P$6),ROW()-5,2),"")</f>
        <v>1659</v>
      </c>
      <c r="C35" s="345">
        <f>IF($A35="","",IF($J35="DIESEL",SUMIFS(Table1[Quantity],Table1[Customer],$M$3,Table1[Date],$A35,Table1[Bill No.],$B35),IF($J35="PETROL",SUMIFS(Table14[Quantity],Table14[Customer],$M$3,Table14[Date],$A35,Table14[Bill No.],$B35),IF($J35="XtraGreen",SUMIFS(Table146[Quantity],Table146[Company],$M$3,Table146[Date],$A35,Table146[Bill No.],$B35),""))))</f>
        <v>3000</v>
      </c>
      <c r="D35" s="346">
        <f>IF($A35="","",IF($J35="DIESEL",AVERAGEIFS(Table1[RSP],Table1[Customer],$M$3,Table1[Date],$A35,Table1[Bill No.],$B35),IF($J35="PETROL",AVERAGEIFS(Table14[RSP],Table14[Customer],$M$3,Table14[Date],$A35,Table14[Bill No.],$B35),IF($J35="XtraGreen",AVERAGEIFS(Table146[RSP],Table146[Company],$M$3,Table146[Date],$A35,Table146[Bill No.],$B35),IFERROR($E35/$C35,"")))))</f>
        <v>100.74</v>
      </c>
      <c r="E35" s="347">
        <f>IF($A35="","",IF($J35="DIESEL",SUMIFS(Table1[Amount],Table1[Customer],$M$3,Table1[Date],$A35,Table1[Bill No.],$B35),IF($J35="PETROL",SUMIFS(Table14[Amount],Table14[Customer],$M$3,Table14[Date],$A35,Table14[Bill No.],$B35),IF($J35="XtraGreen",SUMIFS(Table146[Amount],Table146[Company],$M$3,Table146[Date],$A35,Table146[Bill No.],$B35),SUMIFS('Other Sale'!$D:$D,'Other Sale'!$E:$E,$M$3,'Other Sale'!$C:$C,$J35,'Other Sale'!$A:$A,$A35)))))</f>
        <v>302220</v>
      </c>
      <c r="F35" s="347" cm="1">
        <f t="array" ref="F35">IF($A35="","",IF($J35="Payment",IFERROR(INDEX(_xlfn._xlws.FILTER(MasterPaid[Amount Paid],(MasterPaid[Customer]=$M$3)*(MasterPaid[Date]=$A35)),COUNTIFS($A$6:$A35,$A35,$J$6:$J35,"Payment")),0),0))</f>
        <v>0</v>
      </c>
      <c r="G35" s="331"/>
      <c r="H35" s="427"/>
      <c r="I35" s="330">
        <f t="shared" si="9"/>
        <v>302220</v>
      </c>
      <c r="J35" s="344" t="str" cm="1">
        <f t="array" ref="J35">IFERROR(INDEX(_xlfn.ANCHORARRAY($P$6),ROW()-5,3),"")</f>
        <v>DIESEL</v>
      </c>
      <c r="K35" s="349" t="s">
        <v>3658</v>
      </c>
      <c r="L35" s="348"/>
      <c r="M35" s="277"/>
      <c r="N35" s="277"/>
      <c r="O35" s="277"/>
      <c r="P35">
        <v>46224</v>
      </c>
      <c r="Q35" t="str">
        <v>1659</v>
      </c>
      <c r="R35" t="str">
        <v>DIESEL</v>
      </c>
      <c r="T35" s="439"/>
      <c r="U35" s="350"/>
      <c r="W35" s="316" t="str">
        <f t="shared" si="0"/>
        <v/>
      </c>
      <c r="X35" s="273" t="str">
        <f t="shared" si="1"/>
        <v/>
      </c>
      <c r="Y35" s="273" t="str">
        <f t="shared" si="2"/>
        <v/>
      </c>
      <c r="Z35" s="273" t="str">
        <f t="shared" si="3"/>
        <v/>
      </c>
      <c r="AA35" s="316" t="str">
        <f t="shared" si="4"/>
        <v/>
      </c>
      <c r="AC35" t="str" cm="1">
        <f t="array" ref="AC35">IF(INDEX($T$5:$T$54,ROW()-4)="","",INDEX($T$5:$T$54,ROW()-4))</f>
        <v/>
      </c>
      <c r="AD35" t="str">
        <f t="shared" si="5"/>
        <v/>
      </c>
      <c r="AE35" t="str">
        <f t="shared" si="6"/>
        <v/>
      </c>
      <c r="AF35" t="str">
        <f t="shared" si="7"/>
        <v/>
      </c>
      <c r="AG35">
        <f t="shared" si="8"/>
        <v>0</v>
      </c>
      <c r="AH35" t="str" cm="1">
        <f t="array" ref="AH35">IF($AC35="","",IF($AG35=1,SUMPRODUCT(($AG$5:$AG$54=1)*($AC$5:$AC$54&gt;$AC35))+1,SUM($AG$5:$AG$54)+SUMPRODUCT(($AG$5:$AG$54=0)*($AC$5:$AC$54&lt;&gt;"")*($AC$5:$AC$54&gt;$AC35))+1))</f>
        <v/>
      </c>
    </row>
    <row r="36" spans="1:34" ht="21.75" x14ac:dyDescent="0.25">
      <c r="A36" s="217" cm="1">
        <f t="array" ref="A36">IFERROR(INDEX(_xlfn.ANCHORARRAY($P$6),ROW()-5,1),"")</f>
        <v>46224</v>
      </c>
      <c r="B36" s="344" t="str" cm="1">
        <f t="array" ref="B36">IFERROR(INDEX(_xlfn.ANCHORARRAY($P$6),ROW()-5,2),"")</f>
        <v/>
      </c>
      <c r="C36" s="345" t="str">
        <f>IF($A36="","",IF($J36="DIESEL",SUMIFS(Table1[Quantity],Table1[Customer],$M$3,Table1[Date],$A36,Table1[Bill No.],$B36),IF($J36="PETROL",SUMIFS(Table14[Quantity],Table14[Customer],$M$3,Table14[Date],$A36,Table14[Bill No.],$B36),IF($J36="XtraGreen",SUMIFS(Table146[Quantity],Table146[Company],$M$3,Table146[Date],$A36,Table146[Bill No.],$B36),""))))</f>
        <v/>
      </c>
      <c r="D36" s="346" t="str">
        <f>IF($A36="","",IF($J36="DIESEL",AVERAGEIFS(Table1[RSP],Table1[Customer],$M$3,Table1[Date],$A36,Table1[Bill No.],$B36),IF($J36="PETROL",AVERAGEIFS(Table14[RSP],Table14[Customer],$M$3,Table14[Date],$A36,Table14[Bill No.],$B36),IF($J36="XtraGreen",AVERAGEIFS(Table146[RSP],Table146[Company],$M$3,Table146[Date],$A36,Table146[Bill No.],$B36),IFERROR($E36/$C36,"")))))</f>
        <v/>
      </c>
      <c r="E36" s="347">
        <f>IF($A36="","",IF($J36="DIESEL",SUMIFS(Table1[Amount],Table1[Customer],$M$3,Table1[Date],$A36,Table1[Bill No.],$B36),IF($J36="PETROL",SUMIFS(Table14[Amount],Table14[Customer],$M$3,Table14[Date],$A36,Table14[Bill No.],$B36),IF($J36="XtraGreen",SUMIFS(Table146[Amount],Table146[Company],$M$3,Table146[Date],$A36,Table146[Bill No.],$B36),SUMIFS('Other Sale'!$D:$D,'Other Sale'!$E:$E,$M$3,'Other Sale'!$C:$C,$J36,'Other Sale'!$A:$A,$A36)))))</f>
        <v>0</v>
      </c>
      <c r="F36" s="347" cm="1">
        <f t="array" ref="F36">IF($A36="","",IF($J36="Payment",IFERROR(INDEX(_xlfn._xlws.FILTER(MasterPaid[Amount Paid],(MasterPaid[Customer]=$M$3)*(MasterPaid[Date]=$A36)),COUNTIFS($A$6:$A36,$A36,$J$6:$J36,"Payment")),0),0))</f>
        <v>302220</v>
      </c>
      <c r="G36" s="331"/>
      <c r="H36" s="427"/>
      <c r="I36" s="330">
        <f t="shared" si="9"/>
        <v>0</v>
      </c>
      <c r="J36" s="344" t="str" cm="1">
        <f t="array" ref="J36">IFERROR(INDEX(_xlfn.ANCHORARRAY($P$6),ROW()-5,3),"")</f>
        <v>Payment</v>
      </c>
      <c r="K36" s="349"/>
      <c r="L36" s="348"/>
      <c r="M36" s="277"/>
      <c r="N36" s="277"/>
      <c r="O36" s="277"/>
      <c r="P36">
        <v>46224</v>
      </c>
      <c r="Q36" t="str">
        <v/>
      </c>
      <c r="R36" t="str">
        <v>Payment</v>
      </c>
      <c r="T36" s="439"/>
      <c r="U36" s="350"/>
      <c r="W36" s="316" t="str">
        <f t="shared" si="0"/>
        <v/>
      </c>
      <c r="X36" s="273" t="str">
        <f t="shared" si="1"/>
        <v/>
      </c>
      <c r="Y36" s="273" t="str">
        <f t="shared" si="2"/>
        <v/>
      </c>
      <c r="Z36" s="273" t="str">
        <f t="shared" si="3"/>
        <v/>
      </c>
      <c r="AA36" s="316" t="str">
        <f t="shared" si="4"/>
        <v/>
      </c>
      <c r="AC36" t="str" cm="1">
        <f t="array" ref="AC36">IF(INDEX($T$5:$T$54,ROW()-4)="","",INDEX($T$5:$T$54,ROW()-4))</f>
        <v/>
      </c>
      <c r="AD36" t="str">
        <f t="shared" si="5"/>
        <v/>
      </c>
      <c r="AE36" t="str">
        <f t="shared" si="6"/>
        <v/>
      </c>
      <c r="AF36" t="str">
        <f t="shared" si="7"/>
        <v/>
      </c>
      <c r="AG36">
        <f t="shared" si="8"/>
        <v>0</v>
      </c>
      <c r="AH36" t="str" cm="1">
        <f t="array" ref="AH36">IF($AC36="","",IF($AG36=1,SUMPRODUCT(($AG$5:$AG$54=1)*($AC$5:$AC$54&gt;$AC36))+1,SUM($AG$5:$AG$54)+SUMPRODUCT(($AG$5:$AG$54=0)*($AC$5:$AC$54&lt;&gt;"")*($AC$5:$AC$54&gt;$AC36))+1))</f>
        <v/>
      </c>
    </row>
    <row r="37" spans="1:34" ht="21.75" x14ac:dyDescent="0.25">
      <c r="A37" s="217" cm="1">
        <f t="array" ref="A37">IFERROR(INDEX(_xlfn.ANCHORARRAY($P$6),ROW()-5,1),"")</f>
        <v>46225</v>
      </c>
      <c r="B37" s="344" t="str" cm="1">
        <f t="array" ref="B37">IFERROR(INDEX(_xlfn.ANCHORARRAY($P$6),ROW()-5,2),"")</f>
        <v>1676</v>
      </c>
      <c r="C37" s="345">
        <f>IF($A37="","",IF($J37="DIESEL",SUMIFS(Table1[Quantity],Table1[Customer],$M$3,Table1[Date],$A37,Table1[Bill No.],$B37),IF($J37="PETROL",SUMIFS(Table14[Quantity],Table14[Customer],$M$3,Table14[Date],$A37,Table14[Bill No.],$B37),IF($J37="XtraGreen",SUMIFS(Table146[Quantity],Table146[Company],$M$3,Table146[Date],$A37,Table146[Bill No.],$B37),""))))</f>
        <v>3000</v>
      </c>
      <c r="D37" s="346">
        <f>IF($A37="","",IF($J37="DIESEL",AVERAGEIFS(Table1[RSP],Table1[Customer],$M$3,Table1[Date],$A37,Table1[Bill No.],$B37),IF($J37="PETROL",AVERAGEIFS(Table14[RSP],Table14[Customer],$M$3,Table14[Date],$A37,Table14[Bill No.],$B37),IF($J37="XtraGreen",AVERAGEIFS(Table146[RSP],Table146[Company],$M$3,Table146[Date],$A37,Table146[Bill No.],$B37),IFERROR($E37/$C37,"")))))</f>
        <v>100.74</v>
      </c>
      <c r="E37" s="347">
        <f>IF($A37="","",IF($J37="DIESEL",SUMIFS(Table1[Amount],Table1[Customer],$M$3,Table1[Date],$A37,Table1[Bill No.],$B37),IF($J37="PETROL",SUMIFS(Table14[Amount],Table14[Customer],$M$3,Table14[Date],$A37,Table14[Bill No.],$B37),IF($J37="XtraGreen",SUMIFS(Table146[Amount],Table146[Company],$M$3,Table146[Date],$A37,Table146[Bill No.],$B37),SUMIFS('Other Sale'!$D:$D,'Other Sale'!$E:$E,$M$3,'Other Sale'!$C:$C,$J37,'Other Sale'!$A:$A,$A37)))))</f>
        <v>302220</v>
      </c>
      <c r="F37" s="347" cm="1">
        <f t="array" ref="F37">IF($A37="","",IF($J37="Payment",IFERROR(INDEX(_xlfn._xlws.FILTER(MasterPaid[Amount Paid],(MasterPaid[Customer]=$M$3)*(MasterPaid[Date]=$A37)),COUNTIFS($A$6:$A37,$A37,$J$6:$J37,"Payment")),0),0))</f>
        <v>0</v>
      </c>
      <c r="G37" s="331"/>
      <c r="H37" s="427"/>
      <c r="I37" s="330">
        <f t="shared" si="9"/>
        <v>302220</v>
      </c>
      <c r="J37" s="344" t="str" cm="1">
        <f t="array" ref="J37">IFERROR(INDEX(_xlfn.ANCHORARRAY($P$6),ROW()-5,3),"")</f>
        <v>DIESEL</v>
      </c>
      <c r="K37" s="349" t="s">
        <v>3658</v>
      </c>
      <c r="L37" s="348"/>
      <c r="M37" s="277"/>
      <c r="N37" s="277"/>
      <c r="O37" s="277"/>
      <c r="P37">
        <v>46225</v>
      </c>
      <c r="Q37" t="str">
        <v>1676</v>
      </c>
      <c r="R37" t="str">
        <v>DIESEL</v>
      </c>
      <c r="T37" s="439"/>
      <c r="U37" s="350"/>
      <c r="W37" s="316" t="str">
        <f t="shared" si="0"/>
        <v/>
      </c>
      <c r="X37" s="273" t="str">
        <f t="shared" si="1"/>
        <v/>
      </c>
      <c r="Y37" s="273" t="str">
        <f t="shared" si="2"/>
        <v/>
      </c>
      <c r="Z37" s="273" t="str">
        <f t="shared" si="3"/>
        <v/>
      </c>
      <c r="AA37" s="316" t="str">
        <f t="shared" si="4"/>
        <v/>
      </c>
      <c r="AC37" t="str" cm="1">
        <f t="array" ref="AC37">IF(INDEX($T$5:$T$54,ROW()-4)="","",INDEX($T$5:$T$54,ROW()-4))</f>
        <v/>
      </c>
      <c r="AD37" t="str">
        <f t="shared" si="5"/>
        <v/>
      </c>
      <c r="AE37" t="str">
        <f t="shared" si="6"/>
        <v/>
      </c>
      <c r="AF37" t="str">
        <f t="shared" si="7"/>
        <v/>
      </c>
      <c r="AG37">
        <f t="shared" si="8"/>
        <v>0</v>
      </c>
      <c r="AH37" t="str" cm="1">
        <f t="array" ref="AH37">IF($AC37="","",IF($AG37=1,SUMPRODUCT(($AG$5:$AG$54=1)*($AC$5:$AC$54&gt;$AC37))+1,SUM($AG$5:$AG$54)+SUMPRODUCT(($AG$5:$AG$54=0)*($AC$5:$AC$54&lt;&gt;"")*($AC$5:$AC$54&gt;$AC37))+1))</f>
        <v/>
      </c>
    </row>
    <row r="38" spans="1:34" ht="21.75" customHeight="1" x14ac:dyDescent="0.25">
      <c r="A38" s="217" cm="1">
        <f t="array" ref="A38">IFERROR(INDEX(_xlfn.ANCHORARRAY($P$6),ROW()-5,1),"")</f>
        <v>46226</v>
      </c>
      <c r="B38" s="344" t="str" cm="1">
        <f t="array" ref="B38">IFERROR(INDEX(_xlfn.ANCHORARRAY($P$6),ROW()-5,2),"")</f>
        <v/>
      </c>
      <c r="C38" s="345" t="str">
        <f>IF($A38="","",IF($J38="DIESEL",SUMIFS(Table1[Quantity],Table1[Customer],$M$3,Table1[Date],$A38,Table1[Bill No.],$B38),IF($J38="PETROL",SUMIFS(Table14[Quantity],Table14[Customer],$M$3,Table14[Date],$A38,Table14[Bill No.],$B38),IF($J38="XtraGreen",SUMIFS(Table146[Quantity],Table146[Company],$M$3,Table146[Date],$A38,Table146[Bill No.],$B38),""))))</f>
        <v/>
      </c>
      <c r="D38" s="346" t="str">
        <f>IF($A38="","",IF($J38="DIESEL",AVERAGEIFS(Table1[RSP],Table1[Customer],$M$3,Table1[Date],$A38,Table1[Bill No.],$B38),IF($J38="PETROL",AVERAGEIFS(Table14[RSP],Table14[Customer],$M$3,Table14[Date],$A38,Table14[Bill No.],$B38),IF($J38="XtraGreen",AVERAGEIFS(Table146[RSP],Table146[Company],$M$3,Table146[Date],$A38,Table146[Bill No.],$B38),IFERROR($E38/$C38,"")))))</f>
        <v/>
      </c>
      <c r="E38" s="347">
        <f>IF($A38="","",IF($J38="DIESEL",SUMIFS(Table1[Amount],Table1[Customer],$M$3,Table1[Date],$A38,Table1[Bill No.],$B38),IF($J38="PETROL",SUMIFS(Table14[Amount],Table14[Customer],$M$3,Table14[Date],$A38,Table14[Bill No.],$B38),IF($J38="XtraGreen",SUMIFS(Table146[Amount],Table146[Company],$M$3,Table146[Date],$A38,Table146[Bill No.],$B38),SUMIFS('Other Sale'!$D:$D,'Other Sale'!$E:$E,$M$3,'Other Sale'!$C:$C,$J38,'Other Sale'!$A:$A,$A38)))))</f>
        <v>0</v>
      </c>
      <c r="F38" s="347" cm="1">
        <f t="array" ref="F38">IF($A38="","",IF($J38="Payment",IFERROR(INDEX(_xlfn._xlws.FILTER(MasterPaid[Amount Paid],(MasterPaid[Customer]=$M$3)*(MasterPaid[Date]=$A38)),COUNTIFS($A$6:$A38,$A38,$J$6:$J38,"Payment")),0),0))</f>
        <v>302220</v>
      </c>
      <c r="G38" s="331"/>
      <c r="H38" s="427"/>
      <c r="I38" s="330">
        <f t="shared" si="9"/>
        <v>0</v>
      </c>
      <c r="J38" s="344" t="str" cm="1">
        <f t="array" ref="J38">IFERROR(INDEX(_xlfn.ANCHORARRAY($P$6),ROW()-5,3),"")</f>
        <v>Payment</v>
      </c>
      <c r="K38" s="349"/>
      <c r="L38" s="348"/>
      <c r="M38" s="277"/>
      <c r="N38" s="277"/>
      <c r="O38" s="277"/>
      <c r="P38">
        <v>46226</v>
      </c>
      <c r="Q38" t="str">
        <v/>
      </c>
      <c r="R38" t="str">
        <v>Payment</v>
      </c>
      <c r="T38" s="439"/>
      <c r="U38" s="350"/>
      <c r="W38" s="316" t="str">
        <f t="shared" si="0"/>
        <v/>
      </c>
      <c r="X38" s="273" t="str">
        <f t="shared" si="1"/>
        <v/>
      </c>
      <c r="Y38" s="273" t="str">
        <f t="shared" si="2"/>
        <v/>
      </c>
      <c r="Z38" s="273" t="str">
        <f t="shared" si="3"/>
        <v/>
      </c>
      <c r="AA38" s="316" t="str">
        <f t="shared" si="4"/>
        <v/>
      </c>
      <c r="AC38" t="str" cm="1">
        <f t="array" ref="AC38">IF(INDEX($T$5:$T$54,ROW()-4)="","",INDEX($T$5:$T$54,ROW()-4))</f>
        <v/>
      </c>
      <c r="AD38" t="str">
        <f t="shared" si="5"/>
        <v/>
      </c>
      <c r="AE38" t="str">
        <f t="shared" si="6"/>
        <v/>
      </c>
      <c r="AF38" t="str">
        <f t="shared" si="7"/>
        <v/>
      </c>
      <c r="AG38">
        <f t="shared" si="8"/>
        <v>0</v>
      </c>
      <c r="AH38" t="str" cm="1">
        <f t="array" ref="AH38">IF($AC38="","",IF($AG38=1,SUMPRODUCT(($AG$5:$AG$54=1)*($AC$5:$AC$54&gt;$AC38))+1,SUM($AG$5:$AG$54)+SUMPRODUCT(($AG$5:$AG$54=0)*($AC$5:$AC$54&lt;&gt;"")*($AC$5:$AC$54&gt;$AC38))+1))</f>
        <v/>
      </c>
    </row>
    <row r="39" spans="1:34" ht="21.75" x14ac:dyDescent="0.25">
      <c r="A39" s="217" cm="1">
        <f t="array" ref="A39">IFERROR(INDEX(_xlfn.ANCHORARRAY($P$6),ROW()-5,1),"")</f>
        <v>46231</v>
      </c>
      <c r="B39" s="344" t="str" cm="1">
        <f t="array" ref="B39">IFERROR(INDEX(_xlfn.ANCHORARRAY($P$6),ROW()-5,2),"")</f>
        <v>1797</v>
      </c>
      <c r="C39" s="345">
        <f>IF($A39="","",IF($J39="DIESEL",SUMIFS(Table1[Quantity],Table1[Customer],$M$3,Table1[Date],$A39,Table1[Bill No.],$B39),IF($J39="PETROL",SUMIFS(Table14[Quantity],Table14[Customer],$M$3,Table14[Date],$A39,Table14[Bill No.],$B39),IF($J39="XtraGreen",SUMIFS(Table146[Quantity],Table146[Company],$M$3,Table146[Date],$A39,Table146[Bill No.],$B39),""))))</f>
        <v>3000</v>
      </c>
      <c r="D39" s="346">
        <f>IF($A39="","",IF($J39="DIESEL",AVERAGEIFS(Table1[RSP],Table1[Customer],$M$3,Table1[Date],$A39,Table1[Bill No.],$B39),IF($J39="PETROL",AVERAGEIFS(Table14[RSP],Table14[Customer],$M$3,Table14[Date],$A39,Table14[Bill No.],$B39),IF($J39="XtraGreen",AVERAGEIFS(Table146[RSP],Table146[Company],$M$3,Table146[Date],$A39,Table146[Bill No.],$B39),IFERROR($E39/$C39,"")))))</f>
        <v>100.74</v>
      </c>
      <c r="E39" s="347">
        <f>IF($A39="","",IF($J39="DIESEL",SUMIFS(Table1[Amount],Table1[Customer],$M$3,Table1[Date],$A39,Table1[Bill No.],$B39),IF($J39="PETROL",SUMIFS(Table14[Amount],Table14[Customer],$M$3,Table14[Date],$A39,Table14[Bill No.],$B39),IF($J39="XtraGreen",SUMIFS(Table146[Amount],Table146[Company],$M$3,Table146[Date],$A39,Table146[Bill No.],$B39),SUMIFS('Other Sale'!$D:$D,'Other Sale'!$E:$E,$M$3,'Other Sale'!$C:$C,$J39,'Other Sale'!$A:$A,$A39)))))</f>
        <v>302220</v>
      </c>
      <c r="F39" s="347" cm="1">
        <f t="array" ref="F39">IF($A39="","",IF($J39="Payment",IFERROR(INDEX(_xlfn._xlws.FILTER(MasterPaid[Amount Paid],(MasterPaid[Customer]=$M$3)*(MasterPaid[Date]=$A39)),COUNTIFS($A$6:$A39,$A39,$J$6:$J39,"Payment")),0),0))</f>
        <v>0</v>
      </c>
      <c r="G39" s="331"/>
      <c r="H39" s="427"/>
      <c r="I39" s="330">
        <f t="shared" si="9"/>
        <v>302220</v>
      </c>
      <c r="J39" s="344" t="str" cm="1">
        <f t="array" ref="J39">IFERROR(INDEX(_xlfn.ANCHORARRAY($P$6),ROW()-5,3),"")</f>
        <v>DIESEL</v>
      </c>
      <c r="K39" s="349" t="s">
        <v>3659</v>
      </c>
      <c r="L39" s="348"/>
      <c r="M39" s="277"/>
      <c r="N39" s="277"/>
      <c r="O39" s="277"/>
      <c r="P39">
        <v>46231</v>
      </c>
      <c r="Q39" t="str">
        <v>1797</v>
      </c>
      <c r="R39" t="str">
        <v>DIESEL</v>
      </c>
      <c r="T39" s="439"/>
      <c r="U39" s="350"/>
      <c r="W39" s="316" t="str">
        <f t="shared" si="0"/>
        <v/>
      </c>
      <c r="X39" s="273" t="str">
        <f t="shared" si="1"/>
        <v/>
      </c>
      <c r="Y39" s="273" t="str">
        <f t="shared" si="2"/>
        <v/>
      </c>
      <c r="Z39" s="273" t="str">
        <f t="shared" si="3"/>
        <v/>
      </c>
      <c r="AA39" s="316" t="str">
        <f t="shared" si="4"/>
        <v/>
      </c>
      <c r="AC39" t="str" cm="1">
        <f t="array" ref="AC39">IF(INDEX($T$5:$T$54,ROW()-4)="","",INDEX($T$5:$T$54,ROW()-4))</f>
        <v/>
      </c>
      <c r="AD39" t="str">
        <f t="shared" si="5"/>
        <v/>
      </c>
      <c r="AE39" t="str">
        <f t="shared" si="6"/>
        <v/>
      </c>
      <c r="AF39" t="str">
        <f t="shared" si="7"/>
        <v/>
      </c>
      <c r="AG39">
        <f t="shared" si="8"/>
        <v>0</v>
      </c>
      <c r="AH39" t="str" cm="1">
        <f t="array" ref="AH39">IF($AC39="","",IF($AG39=1,SUMPRODUCT(($AG$5:$AG$54=1)*($AC$5:$AC$54&gt;$AC39))+1,SUM($AG$5:$AG$54)+SUMPRODUCT(($AG$5:$AG$54=0)*($AC$5:$AC$54&lt;&gt;"")*($AC$5:$AC$54&gt;$AC39))+1))</f>
        <v/>
      </c>
    </row>
    <row r="40" spans="1:34" ht="21.75" x14ac:dyDescent="0.25">
      <c r="A40" s="217" cm="1">
        <f t="array" ref="A40">IFERROR(INDEX(_xlfn.ANCHORARRAY($P$6),ROW()-5,1),"")</f>
        <v>46232</v>
      </c>
      <c r="B40" s="344" t="str" cm="1">
        <f t="array" ref="B40">IFERROR(INDEX(_xlfn.ANCHORARRAY($P$6),ROW()-5,2),"")</f>
        <v/>
      </c>
      <c r="C40" s="345" t="str">
        <f>IF($A40="","",IF($J40="DIESEL",SUMIFS(Table1[Quantity],Table1[Customer],$M$3,Table1[Date],$A40,Table1[Bill No.],$B40),IF($J40="PETROL",SUMIFS(Table14[Quantity],Table14[Customer],$M$3,Table14[Date],$A40,Table14[Bill No.],$B40),IF($J40="XtraGreen",SUMIFS(Table146[Quantity],Table146[Company],$M$3,Table146[Date],$A40,Table146[Bill No.],$B40),""))))</f>
        <v/>
      </c>
      <c r="D40" s="346" t="str">
        <f>IF($A40="","",IF($J40="DIESEL",AVERAGEIFS(Table1[RSP],Table1[Customer],$M$3,Table1[Date],$A40,Table1[Bill No.],$B40),IF($J40="PETROL",AVERAGEIFS(Table14[RSP],Table14[Customer],$M$3,Table14[Date],$A40,Table14[Bill No.],$B40),IF($J40="XtraGreen",AVERAGEIFS(Table146[RSP],Table146[Company],$M$3,Table146[Date],$A40,Table146[Bill No.],$B40),IFERROR($E40/$C40,"")))))</f>
        <v/>
      </c>
      <c r="E40" s="347">
        <f>IF($A40="","",IF($J40="DIESEL",SUMIFS(Table1[Amount],Table1[Customer],$M$3,Table1[Date],$A40,Table1[Bill No.],$B40),IF($J40="PETROL",SUMIFS(Table14[Amount],Table14[Customer],$M$3,Table14[Date],$A40,Table14[Bill No.],$B40),IF($J40="XtraGreen",SUMIFS(Table146[Amount],Table146[Company],$M$3,Table146[Date],$A40,Table146[Bill No.],$B40),SUMIFS('Other Sale'!$D:$D,'Other Sale'!$E:$E,$M$3,'Other Sale'!$C:$C,$J40,'Other Sale'!$A:$A,$A40)))))</f>
        <v>0</v>
      </c>
      <c r="F40" s="347" cm="1">
        <f t="array" ref="F40">IF($A40="","",IF($J40="Payment",IFERROR(INDEX(_xlfn._xlws.FILTER(MasterPaid[Amount Paid],(MasterPaid[Customer]=$M$3)*(MasterPaid[Date]=$A40)),COUNTIFS($A$6:$A40,$A40,$J$6:$J40,"Payment")),0),0))</f>
        <v>302220</v>
      </c>
      <c r="G40" s="331"/>
      <c r="H40" s="427"/>
      <c r="I40" s="330">
        <f t="shared" si="9"/>
        <v>0</v>
      </c>
      <c r="J40" s="344" t="str" cm="1">
        <f t="array" ref="J40">IFERROR(INDEX(_xlfn.ANCHORARRAY($P$6),ROW()-5,3),"")</f>
        <v>Payment</v>
      </c>
      <c r="K40" s="349"/>
      <c r="L40" s="348"/>
      <c r="M40" s="277"/>
      <c r="N40" s="277"/>
      <c r="O40" s="277"/>
      <c r="P40">
        <v>46232</v>
      </c>
      <c r="Q40" t="str">
        <v/>
      </c>
      <c r="R40" t="str">
        <v>Payment</v>
      </c>
      <c r="T40" s="439"/>
      <c r="U40" s="350"/>
      <c r="W40" s="316" t="str">
        <f t="shared" si="0"/>
        <v/>
      </c>
      <c r="X40" s="273" t="str">
        <f t="shared" si="1"/>
        <v/>
      </c>
      <c r="Y40" s="273" t="str">
        <f t="shared" si="2"/>
        <v/>
      </c>
      <c r="Z40" s="273" t="str">
        <f t="shared" si="3"/>
        <v/>
      </c>
      <c r="AA40" s="316" t="str">
        <f t="shared" si="4"/>
        <v/>
      </c>
      <c r="AC40" t="str" cm="1">
        <f t="array" ref="AC40">IF(INDEX($T$5:$T$54,ROW()-4)="","",INDEX($T$5:$T$54,ROW()-4))</f>
        <v/>
      </c>
      <c r="AD40" t="str">
        <f t="shared" si="5"/>
        <v/>
      </c>
      <c r="AE40" t="str">
        <f t="shared" si="6"/>
        <v/>
      </c>
      <c r="AF40" t="str">
        <f t="shared" si="7"/>
        <v/>
      </c>
      <c r="AG40">
        <f t="shared" si="8"/>
        <v>0</v>
      </c>
      <c r="AH40" t="str" cm="1">
        <f t="array" ref="AH40">IF($AC40="","",IF($AG40=1,SUMPRODUCT(($AG$5:$AG$54=1)*($AC$5:$AC$54&gt;$AC40))+1,SUM($AG$5:$AG$54)+SUMPRODUCT(($AG$5:$AG$54=0)*($AC$5:$AC$54&lt;&gt;"")*($AC$5:$AC$54&gt;$AC40))+1))</f>
        <v/>
      </c>
    </row>
    <row r="41" spans="1:34" ht="21.75" x14ac:dyDescent="0.25">
      <c r="A41" s="217" cm="1">
        <f t="array" ref="A41">IFERROR(INDEX(_xlfn.ANCHORARRAY($P$6),ROW()-5,1),"")</f>
        <v>46237</v>
      </c>
      <c r="B41" s="344" t="str" cm="1">
        <f t="array" ref="B41">IFERROR(INDEX(_xlfn.ANCHORARRAY($P$6),ROW()-5,2),"")</f>
        <v>1939</v>
      </c>
      <c r="C41" s="345">
        <f>IF($A41="","",IF($J41="DIESEL",SUMIFS(Table1[Quantity],Table1[Customer],$M$3,Table1[Date],$A41,Table1[Bill No.],$B41),IF($J41="PETROL",SUMIFS(Table14[Quantity],Table14[Customer],$M$3,Table14[Date],$A41,Table14[Bill No.],$B41),IF($J41="XtraGreen",SUMIFS(Table146[Quantity],Table146[Company],$M$3,Table146[Date],$A41,Table146[Bill No.],$B41),""))))</f>
        <v>3000</v>
      </c>
      <c r="D41" s="346">
        <f>IF($A41="","",IF($J41="DIESEL",AVERAGEIFS(Table1[RSP],Table1[Customer],$M$3,Table1[Date],$A41,Table1[Bill No.],$B41),IF($J41="PETROL",AVERAGEIFS(Table14[RSP],Table14[Customer],$M$3,Table14[Date],$A41,Table14[Bill No.],$B41),IF($J41="XtraGreen",AVERAGEIFS(Table146[RSP],Table146[Company],$M$3,Table146[Date],$A41,Table146[Bill No.],$B41),IFERROR($E41/$C41,"")))))</f>
        <v>100.74</v>
      </c>
      <c r="E41" s="347">
        <f>IF($A41="","",IF($J41="DIESEL",SUMIFS(Table1[Amount],Table1[Customer],$M$3,Table1[Date],$A41,Table1[Bill No.],$B41),IF($J41="PETROL",SUMIFS(Table14[Amount],Table14[Customer],$M$3,Table14[Date],$A41,Table14[Bill No.],$B41),IF($J41="XtraGreen",SUMIFS(Table146[Amount],Table146[Company],$M$3,Table146[Date],$A41,Table146[Bill No.],$B41),SUMIFS('Other Sale'!$D:$D,'Other Sale'!$E:$E,$M$3,'Other Sale'!$C:$C,$J41,'Other Sale'!$A:$A,$A41)))))</f>
        <v>302220</v>
      </c>
      <c r="F41" s="347" cm="1">
        <f t="array" ref="F41">IF($A41="","",IF($J41="Payment",IFERROR(INDEX(_xlfn._xlws.FILTER(MasterPaid[Amount Paid],(MasterPaid[Customer]=$M$3)*(MasterPaid[Date]=$A41)),COUNTIFS($A$6:$A41,$A41,$J$6:$J41,"Payment")),0),0))</f>
        <v>0</v>
      </c>
      <c r="G41" s="331"/>
      <c r="H41" s="427"/>
      <c r="I41" s="330">
        <f t="shared" si="9"/>
        <v>302220</v>
      </c>
      <c r="J41" s="344" t="str" cm="1">
        <f t="array" ref="J41">IFERROR(INDEX(_xlfn.ANCHORARRAY($P$6),ROW()-5,3),"")</f>
        <v>DIESEL</v>
      </c>
      <c r="K41" s="349" t="s">
        <v>3659</v>
      </c>
      <c r="L41" s="348"/>
      <c r="M41" s="277"/>
      <c r="N41" s="277"/>
      <c r="O41" s="277"/>
      <c r="P41">
        <v>46237</v>
      </c>
      <c r="Q41" t="str">
        <v>1939</v>
      </c>
      <c r="R41" t="str">
        <v>DIESEL</v>
      </c>
      <c r="T41" s="439"/>
      <c r="U41" s="350"/>
      <c r="W41" s="316" t="str">
        <f t="shared" si="0"/>
        <v/>
      </c>
      <c r="X41" s="273" t="str">
        <f t="shared" si="1"/>
        <v/>
      </c>
      <c r="Y41" s="273" t="str">
        <f t="shared" si="2"/>
        <v/>
      </c>
      <c r="Z41" s="273" t="str">
        <f t="shared" si="3"/>
        <v/>
      </c>
      <c r="AA41" s="316" t="str">
        <f t="shared" si="4"/>
        <v/>
      </c>
      <c r="AC41" t="str" cm="1">
        <f t="array" ref="AC41">IF(INDEX($T$5:$T$54,ROW()-4)="","",INDEX($T$5:$T$54,ROW()-4))</f>
        <v/>
      </c>
      <c r="AD41" t="str">
        <f t="shared" si="5"/>
        <v/>
      </c>
      <c r="AE41" t="str">
        <f t="shared" si="6"/>
        <v/>
      </c>
      <c r="AF41" t="str">
        <f t="shared" si="7"/>
        <v/>
      </c>
      <c r="AG41">
        <f t="shared" si="8"/>
        <v>0</v>
      </c>
      <c r="AH41" t="str" cm="1">
        <f t="array" ref="AH41">IF($AC41="","",IF($AG41=1,SUMPRODUCT(($AG$5:$AG$54=1)*($AC$5:$AC$54&gt;$AC41))+1,SUM($AG$5:$AG$54)+SUMPRODUCT(($AG$5:$AG$54=0)*($AC$5:$AC$54&lt;&gt;"")*($AC$5:$AC$54&gt;$AC41))+1))</f>
        <v/>
      </c>
    </row>
    <row r="42" spans="1:34" ht="21.75" x14ac:dyDescent="0.25">
      <c r="A42" s="217" cm="1">
        <f t="array" ref="A42">IFERROR(INDEX(_xlfn.ANCHORARRAY($P$6),ROW()-5,1),"")</f>
        <v>46237</v>
      </c>
      <c r="B42" s="344" t="str" cm="1">
        <f t="array" ref="B42">IFERROR(INDEX(_xlfn.ANCHORARRAY($P$6),ROW()-5,2),"")</f>
        <v/>
      </c>
      <c r="C42" s="345" t="str">
        <f>IF($A42="","",IF($J42="DIESEL",SUMIFS(Table1[Quantity],Table1[Customer],$M$3,Table1[Date],$A42,Table1[Bill No.],$B42),IF($J42="PETROL",SUMIFS(Table14[Quantity],Table14[Customer],$M$3,Table14[Date],$A42,Table14[Bill No.],$B42),IF($J42="XtraGreen",SUMIFS(Table146[Quantity],Table146[Company],$M$3,Table146[Date],$A42,Table146[Bill No.],$B42),""))))</f>
        <v/>
      </c>
      <c r="D42" s="346" t="str">
        <f>IF($A42="","",IF($J42="DIESEL",AVERAGEIFS(Table1[RSP],Table1[Customer],$M$3,Table1[Date],$A42,Table1[Bill No.],$B42),IF($J42="PETROL",AVERAGEIFS(Table14[RSP],Table14[Customer],$M$3,Table14[Date],$A42,Table14[Bill No.],$B42),IF($J42="XtraGreen",AVERAGEIFS(Table146[RSP],Table146[Company],$M$3,Table146[Date],$A42,Table146[Bill No.],$B42),IFERROR($E42/$C42,"")))))</f>
        <v/>
      </c>
      <c r="E42" s="347">
        <f>IF($A42="","",IF($J42="DIESEL",SUMIFS(Table1[Amount],Table1[Customer],$M$3,Table1[Date],$A42,Table1[Bill No.],$B42),IF($J42="PETROL",SUMIFS(Table14[Amount],Table14[Customer],$M$3,Table14[Date],$A42,Table14[Bill No.],$B42),IF($J42="XtraGreen",SUMIFS(Table146[Amount],Table146[Company],$M$3,Table146[Date],$A42,Table146[Bill No.],$B42),SUMIFS('Other Sale'!$D:$D,'Other Sale'!$E:$E,$M$3,'Other Sale'!$C:$C,$J42,'Other Sale'!$A:$A,$A42)))))</f>
        <v>0</v>
      </c>
      <c r="F42" s="347" cm="1">
        <f t="array" ref="F42">IF($A42="","",IF($J42="Payment",IFERROR(INDEX(_xlfn._xlws.FILTER(MasterPaid[Amount Paid],(MasterPaid[Customer]=$M$3)*(MasterPaid[Date]=$A42)),COUNTIFS($A$6:$A42,$A42,$J$6:$J42,"Payment")),0),0))</f>
        <v>302220</v>
      </c>
      <c r="G42" s="331"/>
      <c r="H42" s="427"/>
      <c r="I42" s="330">
        <f t="shared" si="9"/>
        <v>0</v>
      </c>
      <c r="J42" s="344" t="str" cm="1">
        <f t="array" ref="J42">IFERROR(INDEX(_xlfn.ANCHORARRAY($P$6),ROW()-5,3),"")</f>
        <v>Payment</v>
      </c>
      <c r="K42" s="349"/>
      <c r="L42" s="348"/>
      <c r="M42" s="277"/>
      <c r="N42" s="277"/>
      <c r="O42" s="277"/>
      <c r="P42">
        <v>46237</v>
      </c>
      <c r="Q42" t="str">
        <v/>
      </c>
      <c r="R42" t="str">
        <v>Payment</v>
      </c>
      <c r="T42" s="439"/>
      <c r="U42" s="350"/>
      <c r="W42" s="316" t="str">
        <f t="shared" si="0"/>
        <v/>
      </c>
      <c r="X42" s="273" t="str">
        <f t="shared" si="1"/>
        <v/>
      </c>
      <c r="Y42" s="273" t="str">
        <f t="shared" si="2"/>
        <v/>
      </c>
      <c r="Z42" s="273" t="str">
        <f t="shared" si="3"/>
        <v/>
      </c>
      <c r="AA42" s="316" t="str">
        <f t="shared" si="4"/>
        <v/>
      </c>
      <c r="AC42" t="str" cm="1">
        <f t="array" ref="AC42">IF(INDEX($T$5:$T$54,ROW()-4)="","",INDEX($T$5:$T$54,ROW()-4))</f>
        <v/>
      </c>
      <c r="AD42" t="str">
        <f t="shared" si="5"/>
        <v/>
      </c>
      <c r="AE42" t="str">
        <f t="shared" si="6"/>
        <v/>
      </c>
      <c r="AF42" t="str">
        <f t="shared" si="7"/>
        <v/>
      </c>
      <c r="AG42">
        <f t="shared" si="8"/>
        <v>0</v>
      </c>
      <c r="AH42" t="str" cm="1">
        <f t="array" ref="AH42">IF($AC42="","",IF($AG42=1,SUMPRODUCT(($AG$5:$AG$54=1)*($AC$5:$AC$54&gt;$AC42))+1,SUM($AG$5:$AG$54)+SUMPRODUCT(($AG$5:$AG$54=0)*($AC$5:$AC$54&lt;&gt;"")*($AC$5:$AC$54&gt;$AC42))+1))</f>
        <v/>
      </c>
    </row>
    <row r="43" spans="1:34" ht="21.75" x14ac:dyDescent="0.25">
      <c r="A43" s="217" cm="1">
        <f t="array" ref="A43">IFERROR(INDEX(_xlfn.ANCHORARRAY($P$6),ROW()-5,1),"")</f>
        <v>46239</v>
      </c>
      <c r="B43" s="344" t="str" cm="1">
        <f t="array" ref="B43">IFERROR(INDEX(_xlfn.ANCHORARRAY($P$6),ROW()-5,2),"")</f>
        <v>1990</v>
      </c>
      <c r="C43" s="345">
        <f>IF($A43="","",IF($J43="DIESEL",SUMIFS(Table1[Quantity],Table1[Customer],$M$3,Table1[Date],$A43,Table1[Bill No.],$B43),IF($J43="PETROL",SUMIFS(Table14[Quantity],Table14[Customer],$M$3,Table14[Date],$A43,Table14[Bill No.],$B43),IF($J43="XtraGreen",SUMIFS(Table146[Quantity],Table146[Company],$M$3,Table146[Date],$A43,Table146[Bill No.],$B43),""))))</f>
        <v>3000</v>
      </c>
      <c r="D43" s="346">
        <f>IF($A43="","",IF($J43="DIESEL",AVERAGEIFS(Table1[RSP],Table1[Customer],$M$3,Table1[Date],$A43,Table1[Bill No.],$B43),IF($J43="PETROL",AVERAGEIFS(Table14[RSP],Table14[Customer],$M$3,Table14[Date],$A43,Table14[Bill No.],$B43),IF($J43="XtraGreen",AVERAGEIFS(Table146[RSP],Table146[Company],$M$3,Table146[Date],$A43,Table146[Bill No.],$B43),IFERROR($E43/$C43,"")))))</f>
        <v>100.74</v>
      </c>
      <c r="E43" s="347">
        <f>IF($A43="","",IF($J43="DIESEL",SUMIFS(Table1[Amount],Table1[Customer],$M$3,Table1[Date],$A43,Table1[Bill No.],$B43),IF($J43="PETROL",SUMIFS(Table14[Amount],Table14[Customer],$M$3,Table14[Date],$A43,Table14[Bill No.],$B43),IF($J43="XtraGreen",SUMIFS(Table146[Amount],Table146[Company],$M$3,Table146[Date],$A43,Table146[Bill No.],$B43),SUMIFS('Other Sale'!$D:$D,'Other Sale'!$E:$E,$M$3,'Other Sale'!$C:$C,$J43,'Other Sale'!$A:$A,$A43)))))</f>
        <v>302220</v>
      </c>
      <c r="F43" s="347" cm="1">
        <f t="array" ref="F43">IF($A43="","",IF($J43="Payment",IFERROR(INDEX(_xlfn._xlws.FILTER(MasterPaid[Amount Paid],(MasterPaid[Customer]=$M$3)*(MasterPaid[Date]=$A43)),COUNTIFS($A$6:$A43,$A43,$J$6:$J43,"Payment")),0),0))</f>
        <v>0</v>
      </c>
      <c r="G43" s="331"/>
      <c r="H43" s="427"/>
      <c r="I43" s="330">
        <f t="shared" si="9"/>
        <v>302220</v>
      </c>
      <c r="J43" s="344" t="str" cm="1">
        <f t="array" ref="J43">IFERROR(INDEX(_xlfn.ANCHORARRAY($P$6),ROW()-5,3),"")</f>
        <v>DIESEL</v>
      </c>
      <c r="K43" s="349" t="s">
        <v>3660</v>
      </c>
      <c r="L43" s="348"/>
      <c r="M43" s="277"/>
      <c r="N43" s="277"/>
      <c r="O43" s="277"/>
      <c r="P43">
        <v>46239</v>
      </c>
      <c r="Q43" t="str">
        <v>1990</v>
      </c>
      <c r="R43" t="str">
        <v>DIESEL</v>
      </c>
      <c r="T43" s="439"/>
      <c r="U43" s="350"/>
      <c r="W43" s="316" t="str">
        <f t="shared" si="0"/>
        <v/>
      </c>
      <c r="X43" s="273" t="str">
        <f t="shared" si="1"/>
        <v/>
      </c>
      <c r="Y43" s="273" t="str">
        <f t="shared" si="2"/>
        <v/>
      </c>
      <c r="Z43" s="273" t="str">
        <f t="shared" si="3"/>
        <v/>
      </c>
      <c r="AA43" s="316" t="str">
        <f t="shared" si="4"/>
        <v/>
      </c>
      <c r="AC43" t="str" cm="1">
        <f t="array" ref="AC43">IF(INDEX($T$5:$T$54,ROW()-4)="","",INDEX($T$5:$T$54,ROW()-4))</f>
        <v/>
      </c>
      <c r="AD43" t="str">
        <f t="shared" si="5"/>
        <v/>
      </c>
      <c r="AE43" t="str">
        <f t="shared" si="6"/>
        <v/>
      </c>
      <c r="AF43" t="str">
        <f t="shared" si="7"/>
        <v/>
      </c>
      <c r="AG43">
        <f t="shared" si="8"/>
        <v>0</v>
      </c>
      <c r="AH43" t="str" cm="1">
        <f t="array" ref="AH43">IF($AC43="","",IF($AG43=1,SUMPRODUCT(($AG$5:$AG$54=1)*($AC$5:$AC$54&gt;$AC43))+1,SUM($AG$5:$AG$54)+SUMPRODUCT(($AG$5:$AG$54=0)*($AC$5:$AC$54&lt;&gt;"")*($AC$5:$AC$54&gt;$AC43))+1))</f>
        <v/>
      </c>
    </row>
    <row r="44" spans="1:34" ht="21.75" x14ac:dyDescent="0.25">
      <c r="A44" s="217" cm="1">
        <f t="array" ref="A44">IFERROR(INDEX(_xlfn.ANCHORARRAY($P$6),ROW()-5,1),"")</f>
        <v>46240</v>
      </c>
      <c r="B44" s="344" t="str" cm="1">
        <f t="array" ref="B44">IFERROR(INDEX(_xlfn.ANCHORARRAY($P$6),ROW()-5,2),"")</f>
        <v/>
      </c>
      <c r="C44" s="345" t="str">
        <f>IF($A44="","",IF($J44="DIESEL",SUMIFS(Table1[Quantity],Table1[Customer],$M$3,Table1[Date],$A44,Table1[Bill No.],$B44),IF($J44="PETROL",SUMIFS(Table14[Quantity],Table14[Customer],$M$3,Table14[Date],$A44,Table14[Bill No.],$B44),IF($J44="XtraGreen",SUMIFS(Table146[Quantity],Table146[Company],$M$3,Table146[Date],$A44,Table146[Bill No.],$B44),""))))</f>
        <v/>
      </c>
      <c r="D44" s="346" t="str">
        <f>IF($A44="","",IF($J44="DIESEL",AVERAGEIFS(Table1[RSP],Table1[Customer],$M$3,Table1[Date],$A44,Table1[Bill No.],$B44),IF($J44="PETROL",AVERAGEIFS(Table14[RSP],Table14[Customer],$M$3,Table14[Date],$A44,Table14[Bill No.],$B44),IF($J44="XtraGreen",AVERAGEIFS(Table146[RSP],Table146[Company],$M$3,Table146[Date],$A44,Table146[Bill No.],$B44),IFERROR($E44/$C44,"")))))</f>
        <v/>
      </c>
      <c r="E44" s="347">
        <f>IF($A44="","",IF($J44="DIESEL",SUMIFS(Table1[Amount],Table1[Customer],$M$3,Table1[Date],$A44,Table1[Bill No.],$B44),IF($J44="PETROL",SUMIFS(Table14[Amount],Table14[Customer],$M$3,Table14[Date],$A44,Table14[Bill No.],$B44),IF($J44="XtraGreen",SUMIFS(Table146[Amount],Table146[Company],$M$3,Table146[Date],$A44,Table146[Bill No.],$B44),SUMIFS('Other Sale'!$D:$D,'Other Sale'!$E:$E,$M$3,'Other Sale'!$C:$C,$J44,'Other Sale'!$A:$A,$A44)))))</f>
        <v>0</v>
      </c>
      <c r="F44" s="347" cm="1">
        <f t="array" ref="F44">IF($A44="","",IF($J44="Payment",IFERROR(INDEX(_xlfn._xlws.FILTER(MasterPaid[Amount Paid],(MasterPaid[Customer]=$M$3)*(MasterPaid[Date]=$A44)),COUNTIFS($A$6:$A44,$A44,$J$6:$J44,"Payment")),0),0))</f>
        <v>302220</v>
      </c>
      <c r="G44" s="331"/>
      <c r="H44" s="427"/>
      <c r="I44" s="330">
        <f t="shared" si="9"/>
        <v>0</v>
      </c>
      <c r="J44" s="344" t="str" cm="1">
        <f t="array" ref="J44">IFERROR(INDEX(_xlfn.ANCHORARRAY($P$6),ROW()-5,3),"")</f>
        <v>Payment</v>
      </c>
      <c r="K44" s="349"/>
      <c r="L44" s="348"/>
      <c r="M44" s="277"/>
      <c r="N44" s="277"/>
      <c r="O44" s="277"/>
      <c r="P44">
        <v>46240</v>
      </c>
      <c r="Q44" t="str">
        <v/>
      </c>
      <c r="R44" t="str">
        <v>Payment</v>
      </c>
      <c r="T44" s="439"/>
      <c r="U44" s="350"/>
      <c r="W44" s="316" t="str">
        <f t="shared" si="0"/>
        <v/>
      </c>
      <c r="X44" s="273" t="str">
        <f t="shared" si="1"/>
        <v/>
      </c>
      <c r="Y44" s="273" t="str">
        <f t="shared" si="2"/>
        <v/>
      </c>
      <c r="Z44" s="273" t="str">
        <f t="shared" si="3"/>
        <v/>
      </c>
      <c r="AA44" s="316" t="str">
        <f t="shared" si="4"/>
        <v/>
      </c>
      <c r="AC44" t="str" cm="1">
        <f t="array" ref="AC44">IF(INDEX($T$5:$T$54,ROW()-4)="","",INDEX($T$5:$T$54,ROW()-4))</f>
        <v/>
      </c>
      <c r="AD44" t="str">
        <f t="shared" si="5"/>
        <v/>
      </c>
      <c r="AE44" t="str">
        <f t="shared" si="6"/>
        <v/>
      </c>
      <c r="AF44" t="str">
        <f t="shared" si="7"/>
        <v/>
      </c>
      <c r="AG44">
        <f t="shared" si="8"/>
        <v>0</v>
      </c>
      <c r="AH44" t="str" cm="1">
        <f t="array" ref="AH44">IF($AC44="","",IF($AG44=1,SUMPRODUCT(($AG$5:$AG$54=1)*($AC$5:$AC$54&gt;$AC44))+1,SUM($AG$5:$AG$54)+SUMPRODUCT(($AG$5:$AG$54=0)*($AC$5:$AC$54&lt;&gt;"")*($AC$5:$AC$54&gt;$AC44))+1))</f>
        <v/>
      </c>
    </row>
    <row r="45" spans="1:34" ht="21.75" x14ac:dyDescent="0.25">
      <c r="A45" s="217" cm="1">
        <f t="array" ref="A45">IFERROR(INDEX(_xlfn.ANCHORARRAY($P$6),ROW()-5,1),"")</f>
        <v>46244</v>
      </c>
      <c r="B45" s="344" t="str" cm="1">
        <f t="array" ref="B45">IFERROR(INDEX(_xlfn.ANCHORARRAY($P$6),ROW()-5,2),"")</f>
        <v>2101</v>
      </c>
      <c r="C45" s="345">
        <f>IF($A45="","",IF($J45="DIESEL",SUMIFS(Table1[Quantity],Table1[Customer],$M$3,Table1[Date],$A45,Table1[Bill No.],$B45),IF($J45="PETROL",SUMIFS(Table14[Quantity],Table14[Customer],$M$3,Table14[Date],$A45,Table14[Bill No.],$B45),IF($J45="XtraGreen",SUMIFS(Table146[Quantity],Table146[Company],$M$3,Table146[Date],$A45,Table146[Bill No.],$B45),""))))</f>
        <v>3000</v>
      </c>
      <c r="D45" s="346">
        <f>IF($A45="","",IF($J45="DIESEL",AVERAGEIFS(Table1[RSP],Table1[Customer],$M$3,Table1[Date],$A45,Table1[Bill No.],$B45),IF($J45="PETROL",AVERAGEIFS(Table14[RSP],Table14[Customer],$M$3,Table14[Date],$A45,Table14[Bill No.],$B45),IF($J45="XtraGreen",AVERAGEIFS(Table146[RSP],Table146[Company],$M$3,Table146[Date],$A45,Table146[Bill No.],$B45),IFERROR($E45/$C45,"")))))</f>
        <v>100.74</v>
      </c>
      <c r="E45" s="347">
        <f>IF($A45="","",IF($J45="DIESEL",SUMIFS(Table1[Amount],Table1[Customer],$M$3,Table1[Date],$A45,Table1[Bill No.],$B45),IF($J45="PETROL",SUMIFS(Table14[Amount],Table14[Customer],$M$3,Table14[Date],$A45,Table14[Bill No.],$B45),IF($J45="XtraGreen",SUMIFS(Table146[Amount],Table146[Company],$M$3,Table146[Date],$A45,Table146[Bill No.],$B45),SUMIFS('Other Sale'!$D:$D,'Other Sale'!$E:$E,$M$3,'Other Sale'!$C:$C,$J45,'Other Sale'!$A:$A,$A45)))))</f>
        <v>302220</v>
      </c>
      <c r="F45" s="347" cm="1">
        <f t="array" ref="F45">IF($A45="","",IF($J45="Payment",IFERROR(INDEX(_xlfn._xlws.FILTER(MasterPaid[Amount Paid],(MasterPaid[Customer]=$M$3)*(MasterPaid[Date]=$A45)),COUNTIFS($A$6:$A45,$A45,$J$6:$J45,"Payment")),0),0))</f>
        <v>0</v>
      </c>
      <c r="G45" s="331"/>
      <c r="H45" s="427"/>
      <c r="I45" s="330">
        <f t="shared" si="9"/>
        <v>302220</v>
      </c>
      <c r="J45" s="344" t="str" cm="1">
        <f t="array" ref="J45">IFERROR(INDEX(_xlfn.ANCHORARRAY($P$6),ROW()-5,3),"")</f>
        <v>DIESEL</v>
      </c>
      <c r="K45" s="349" t="s">
        <v>3660</v>
      </c>
      <c r="L45" s="348"/>
      <c r="M45" s="277"/>
      <c r="N45" s="277"/>
      <c r="O45" s="277"/>
      <c r="P45">
        <v>46244</v>
      </c>
      <c r="Q45" t="str">
        <v>2101</v>
      </c>
      <c r="R45" t="str">
        <v>DIESEL</v>
      </c>
      <c r="T45" s="439"/>
      <c r="U45" s="350"/>
      <c r="W45" s="316" t="str">
        <f t="shared" si="0"/>
        <v/>
      </c>
      <c r="X45" s="273" t="str">
        <f t="shared" si="1"/>
        <v/>
      </c>
      <c r="Y45" s="273" t="str">
        <f t="shared" si="2"/>
        <v/>
      </c>
      <c r="Z45" s="273" t="str">
        <f t="shared" si="3"/>
        <v/>
      </c>
      <c r="AA45" s="316" t="str">
        <f t="shared" si="4"/>
        <v/>
      </c>
      <c r="AC45" t="str" cm="1">
        <f t="array" ref="AC45">IF(INDEX($T$5:$T$54,ROW()-4)="","",INDEX($T$5:$T$54,ROW()-4))</f>
        <v/>
      </c>
      <c r="AD45" t="str">
        <f t="shared" si="5"/>
        <v/>
      </c>
      <c r="AE45" t="str">
        <f t="shared" si="6"/>
        <v/>
      </c>
      <c r="AF45" t="str">
        <f t="shared" si="7"/>
        <v/>
      </c>
      <c r="AG45">
        <f t="shared" si="8"/>
        <v>0</v>
      </c>
      <c r="AH45" t="str" cm="1">
        <f t="array" ref="AH45">IF($AC45="","",IF($AG45=1,SUMPRODUCT(($AG$5:$AG$54=1)*($AC$5:$AC$54&gt;$AC45))+1,SUM($AG$5:$AG$54)+SUMPRODUCT(($AG$5:$AG$54=0)*($AC$5:$AC$54&lt;&gt;"")*($AC$5:$AC$54&gt;$AC45))+1))</f>
        <v/>
      </c>
    </row>
    <row r="46" spans="1:34" ht="21.75" x14ac:dyDescent="0.25">
      <c r="A46" s="217" cm="1">
        <f t="array" ref="A46">IFERROR(INDEX(_xlfn.ANCHORARRAY($P$6),ROW()-5,1),"")</f>
        <v>46245</v>
      </c>
      <c r="B46" s="344" t="str" cm="1">
        <f t="array" ref="B46">IFERROR(INDEX(_xlfn.ANCHORARRAY($P$6),ROW()-5,2),"")</f>
        <v/>
      </c>
      <c r="C46" s="345" t="str">
        <f>IF($A46="","",IF($J46="DIESEL",SUMIFS(Table1[Quantity],Table1[Customer],$M$3,Table1[Date],$A46,Table1[Bill No.],$B46),IF($J46="PETROL",SUMIFS(Table14[Quantity],Table14[Customer],$M$3,Table14[Date],$A46,Table14[Bill No.],$B46),IF($J46="XtraGreen",SUMIFS(Table146[Quantity],Table146[Company],$M$3,Table146[Date],$A46,Table146[Bill No.],$B46),""))))</f>
        <v/>
      </c>
      <c r="D46" s="346" t="str">
        <f>IF($A46="","",IF($J46="DIESEL",AVERAGEIFS(Table1[RSP],Table1[Customer],$M$3,Table1[Date],$A46,Table1[Bill No.],$B46),IF($J46="PETROL",AVERAGEIFS(Table14[RSP],Table14[Customer],$M$3,Table14[Date],$A46,Table14[Bill No.],$B46),IF($J46="XtraGreen",AVERAGEIFS(Table146[RSP],Table146[Company],$M$3,Table146[Date],$A46,Table146[Bill No.],$B46),IFERROR($E46/$C46,"")))))</f>
        <v/>
      </c>
      <c r="E46" s="347">
        <f>IF($A46="","",IF($J46="DIESEL",SUMIFS(Table1[Amount],Table1[Customer],$M$3,Table1[Date],$A46,Table1[Bill No.],$B46),IF($J46="PETROL",SUMIFS(Table14[Amount],Table14[Customer],$M$3,Table14[Date],$A46,Table14[Bill No.],$B46),IF($J46="XtraGreen",SUMIFS(Table146[Amount],Table146[Company],$M$3,Table146[Date],$A46,Table146[Bill No.],$B46),SUMIFS('Other Sale'!$D:$D,'Other Sale'!$E:$E,$M$3,'Other Sale'!$C:$C,$J46,'Other Sale'!$A:$A,$A46)))))</f>
        <v>0</v>
      </c>
      <c r="F46" s="347" cm="1">
        <f t="array" ref="F46">IF($A46="","",IF($J46="Payment",IFERROR(INDEX(_xlfn._xlws.FILTER(MasterPaid[Amount Paid],(MasterPaid[Customer]=$M$3)*(MasterPaid[Date]=$A46)),COUNTIFS($A$6:$A46,$A46,$J$6:$J46,"Payment")),0),0))</f>
        <v>302220</v>
      </c>
      <c r="G46" s="331"/>
      <c r="H46" s="427"/>
      <c r="I46" s="330">
        <f t="shared" si="9"/>
        <v>0</v>
      </c>
      <c r="J46" s="344" t="str" cm="1">
        <f t="array" ref="J46">IFERROR(INDEX(_xlfn.ANCHORARRAY($P$6),ROW()-5,3),"")</f>
        <v>Payment</v>
      </c>
      <c r="K46" s="432" t="str" cm="1">
        <f t="array" ref="K46">IF(OR($A46="",$J46&lt;&gt;"DIESEL"),"",_xlfn.LET(_xlpm.qty,N($C46),_xlpm.pos,$T$5:$T$54,_xlpm.alo,IF($U$5:$U$54="",0,$U$5:$U$54),_xlpm.usd,SUMIFS($C$6:$C45,$K$6:$K45,_xlpm.pos&amp;""),_xlpm.bal,_xlpm.alo-_xlpm.usd,IFERROR(INDEX(_xlfn._xlws.FILTER(_xlpm.pos,(_xlpm.pos&lt;&gt;"")*(_xlpm.qty&gt;0)*(_xlpm.bal&gt;=_xlpm.qty)),1),"")))</f>
        <v/>
      </c>
      <c r="L46" s="348"/>
      <c r="M46" s="277"/>
      <c r="N46" s="277"/>
      <c r="O46" s="277"/>
      <c r="P46">
        <v>46245</v>
      </c>
      <c r="Q46" t="str">
        <v/>
      </c>
      <c r="R46" t="str">
        <v>Payment</v>
      </c>
      <c r="T46" s="439"/>
      <c r="U46" s="350"/>
      <c r="W46" s="316" t="str">
        <f t="shared" si="0"/>
        <v/>
      </c>
      <c r="X46" s="273" t="str">
        <f t="shared" si="1"/>
        <v/>
      </c>
      <c r="Y46" s="273" t="str">
        <f t="shared" si="2"/>
        <v/>
      </c>
      <c r="Z46" s="273" t="str">
        <f t="shared" si="3"/>
        <v/>
      </c>
      <c r="AA46" s="316" t="str">
        <f t="shared" si="4"/>
        <v/>
      </c>
      <c r="AC46" t="str" cm="1">
        <f t="array" ref="AC46">IF(INDEX($T$5:$T$54,ROW()-4)="","",INDEX($T$5:$T$54,ROW()-4))</f>
        <v/>
      </c>
      <c r="AD46" t="str">
        <f t="shared" si="5"/>
        <v/>
      </c>
      <c r="AE46" t="str">
        <f t="shared" si="6"/>
        <v/>
      </c>
      <c r="AF46" t="str">
        <f t="shared" si="7"/>
        <v/>
      </c>
      <c r="AG46">
        <f t="shared" si="8"/>
        <v>0</v>
      </c>
      <c r="AH46" t="str" cm="1">
        <f t="array" ref="AH46">IF($AC46="","",IF($AG46=1,SUMPRODUCT(($AG$5:$AG$54=1)*($AC$5:$AC$54&gt;$AC46))+1,SUM($AG$5:$AG$54)+SUMPRODUCT(($AG$5:$AG$54=0)*($AC$5:$AC$54&lt;&gt;"")*($AC$5:$AC$54&gt;$AC46))+1))</f>
        <v/>
      </c>
    </row>
    <row r="47" spans="1:34" ht="21.75" x14ac:dyDescent="0.25">
      <c r="A47" s="217" cm="1">
        <f t="array" ref="A47">IFERROR(INDEX(_xlfn.ANCHORARRAY($P$6),ROW()-5,1),"")</f>
        <v>46248</v>
      </c>
      <c r="B47" s="344" t="str" cm="1">
        <f t="array" ref="B47">IFERROR(INDEX(_xlfn.ANCHORARRAY($P$6),ROW()-5,2),"")</f>
        <v>2183</v>
      </c>
      <c r="C47" s="345">
        <f>IF($A47="","",IF($J47="DIESEL",SUMIFS(Table1[Quantity],Table1[Customer],$M$3,Table1[Date],$A47,Table1[Bill No.],$B47),IF($J47="PETROL",SUMIFS(Table14[Quantity],Table14[Customer],$M$3,Table14[Date],$A47,Table14[Bill No.],$B47),IF($J47="XtraGreen",SUMIFS(Table146[Quantity],Table146[Company],$M$3,Table146[Date],$A47,Table146[Bill No.],$B47),""))))</f>
        <v>3000</v>
      </c>
      <c r="D47" s="346">
        <f>IF($A47="","",IF($J47="DIESEL",AVERAGEIFS(Table1[RSP],Table1[Customer],$M$3,Table1[Date],$A47,Table1[Bill No.],$B47),IF($J47="PETROL",AVERAGEIFS(Table14[RSP],Table14[Customer],$M$3,Table14[Date],$A47,Table14[Bill No.],$B47),IF($J47="XtraGreen",AVERAGEIFS(Table146[RSP],Table146[Company],$M$3,Table146[Date],$A47,Table146[Bill No.],$B47),IFERROR($E47/$C47,"")))))</f>
        <v>100.74</v>
      </c>
      <c r="E47" s="347">
        <f>IF($A47="","",IF($J47="DIESEL",SUMIFS(Table1[Amount],Table1[Customer],$M$3,Table1[Date],$A47,Table1[Bill No.],$B47),IF($J47="PETROL",SUMIFS(Table14[Amount],Table14[Customer],$M$3,Table14[Date],$A47,Table14[Bill No.],$B47),IF($J47="XtraGreen",SUMIFS(Table146[Amount],Table146[Company],$M$3,Table146[Date],$A47,Table146[Bill No.],$B47),SUMIFS('Other Sale'!$D:$D,'Other Sale'!$E:$E,$M$3,'Other Sale'!$C:$C,$J47,'Other Sale'!$A:$A,$A47)))))</f>
        <v>302220</v>
      </c>
      <c r="F47" s="347" cm="1">
        <f t="array" ref="F47">IF($A47="","",IF($J47="Payment",IFERROR(INDEX(_xlfn._xlws.FILTER(MasterPaid[Amount Paid],(MasterPaid[Customer]=$M$3)*(MasterPaid[Date]=$A47)),COUNTIFS($A$6:$A47,$A47,$J$6:$J47,"Payment")),0),0))</f>
        <v>0</v>
      </c>
      <c r="G47" s="331"/>
      <c r="H47" s="427"/>
      <c r="I47" s="330">
        <f t="shared" si="9"/>
        <v>302220</v>
      </c>
      <c r="J47" s="344" t="str" cm="1">
        <f t="array" ref="J47">IFERROR(INDEX(_xlfn.ANCHORARRAY($P$6),ROW()-5,3),"")</f>
        <v>DIESEL</v>
      </c>
      <c r="K47" s="432" t="str" cm="1">
        <f t="array" ref="K47">IF(OR($A47="",$J47&lt;&gt;"DIESEL"),"",_xlfn.LET(_xlpm.qty,N($C47),_xlpm.pos,$T$5:$T$54,_xlpm.alo,IF($U$5:$U$54="",0,$U$5:$U$54),_xlpm.usd,SUMIFS($C$6:$C46,$K$6:$K46,_xlpm.pos&amp;""),_xlpm.bal,_xlpm.alo-_xlpm.usd,IFERROR(INDEX(_xlfn._xlws.FILTER(_xlpm.pos,(_xlpm.pos&lt;&gt;"")*(_xlpm.qty&gt;0)*(_xlpm.bal&gt;=_xlpm.qty)),1),"")))</f>
        <v>P726Y-00635</v>
      </c>
      <c r="L47" s="348"/>
      <c r="M47" s="277"/>
      <c r="N47" s="277"/>
      <c r="O47" s="277"/>
      <c r="P47">
        <v>46248</v>
      </c>
      <c r="Q47" t="str">
        <v>2183</v>
      </c>
      <c r="R47" t="str">
        <v>DIESEL</v>
      </c>
      <c r="T47" s="439"/>
      <c r="U47" s="350"/>
      <c r="W47" s="316" t="str">
        <f t="shared" si="0"/>
        <v/>
      </c>
      <c r="X47" s="273" t="str">
        <f t="shared" si="1"/>
        <v/>
      </c>
      <c r="Y47" s="273" t="str">
        <f t="shared" si="2"/>
        <v/>
      </c>
      <c r="Z47" s="273" t="str">
        <f t="shared" si="3"/>
        <v/>
      </c>
      <c r="AA47" s="316" t="str">
        <f t="shared" si="4"/>
        <v/>
      </c>
      <c r="AC47" t="str" cm="1">
        <f t="array" ref="AC47">IF(INDEX($T$5:$T$54,ROW()-4)="","",INDEX($T$5:$T$54,ROW()-4))</f>
        <v/>
      </c>
      <c r="AD47" t="str">
        <f t="shared" si="5"/>
        <v/>
      </c>
      <c r="AE47" t="str">
        <f t="shared" si="6"/>
        <v/>
      </c>
      <c r="AF47" t="str">
        <f t="shared" si="7"/>
        <v/>
      </c>
      <c r="AG47">
        <f t="shared" si="8"/>
        <v>0</v>
      </c>
      <c r="AH47" t="str" cm="1">
        <f t="array" ref="AH47">IF($AC47="","",IF($AG47=1,SUMPRODUCT(($AG$5:$AG$54=1)*($AC$5:$AC$54&gt;$AC47))+1,SUM($AG$5:$AG$54)+SUMPRODUCT(($AG$5:$AG$54=0)*($AC$5:$AC$54&lt;&gt;"")*($AC$5:$AC$54&gt;$AC47))+1))</f>
        <v/>
      </c>
    </row>
    <row r="48" spans="1:34" ht="21.75" customHeight="1" x14ac:dyDescent="0.25">
      <c r="A48" s="217" cm="1">
        <f t="array" ref="A48">IFERROR(INDEX(_xlfn.ANCHORARRAY($P$6),ROW()-5,1),"")</f>
        <v>46251</v>
      </c>
      <c r="B48" s="344" t="str" cm="1">
        <f t="array" ref="B48">IFERROR(INDEX(_xlfn.ANCHORARRAY($P$6),ROW()-5,2),"")</f>
        <v>2224</v>
      </c>
      <c r="C48" s="345">
        <f>IF($A48="","",IF($J48="DIESEL",SUMIFS(Table1[Quantity],Table1[Customer],$M$3,Table1[Date],$A48,Table1[Bill No.],$B48),IF($J48="PETROL",SUMIFS(Table14[Quantity],Table14[Customer],$M$3,Table14[Date],$A48,Table14[Bill No.],$B48),IF($J48="XtraGreen",SUMIFS(Table146[Quantity],Table146[Company],$M$3,Table146[Date],$A48,Table146[Bill No.],$B48),""))))</f>
        <v>3000</v>
      </c>
      <c r="D48" s="346">
        <f>IF($A48="","",IF($J48="DIESEL",AVERAGEIFS(Table1[RSP],Table1[Customer],$M$3,Table1[Date],$A48,Table1[Bill No.],$B48),IF($J48="PETROL",AVERAGEIFS(Table14[RSP],Table14[Customer],$M$3,Table14[Date],$A48,Table14[Bill No.],$B48),IF($J48="XtraGreen",AVERAGEIFS(Table146[RSP],Table146[Company],$M$3,Table146[Date],$A48,Table146[Bill No.],$B48),IFERROR($E48/$C48,"")))))</f>
        <v>100.74</v>
      </c>
      <c r="E48" s="347">
        <f>IF($A48="","",IF($J48="DIESEL",SUMIFS(Table1[Amount],Table1[Customer],$M$3,Table1[Date],$A48,Table1[Bill No.],$B48),IF($J48="PETROL",SUMIFS(Table14[Amount],Table14[Customer],$M$3,Table14[Date],$A48,Table14[Bill No.],$B48),IF($J48="XtraGreen",SUMIFS(Table146[Amount],Table146[Company],$M$3,Table146[Date],$A48,Table146[Bill No.],$B48),SUMIFS('Other Sale'!$D:$D,'Other Sale'!$E:$E,$M$3,'Other Sale'!$C:$C,$J48,'Other Sale'!$A:$A,$A48)))))</f>
        <v>302220</v>
      </c>
      <c r="F48" s="347" cm="1">
        <f t="array" ref="F48">IF($A48="","",IF($J48="Payment",IFERROR(INDEX(_xlfn._xlws.FILTER(MasterPaid[Amount Paid],(MasterPaid[Customer]=$M$3)*(MasterPaid[Date]=$A48)),COUNTIFS($A$6:$A48,$A48,$J$6:$J48,"Payment")),0),0))</f>
        <v>0</v>
      </c>
      <c r="G48" s="331"/>
      <c r="H48" s="427"/>
      <c r="I48" s="330">
        <f t="shared" si="9"/>
        <v>604440</v>
      </c>
      <c r="J48" s="344" t="str" cm="1">
        <f t="array" ref="J48">IFERROR(INDEX(_xlfn.ANCHORARRAY($P$6),ROW()-5,3),"")</f>
        <v>DIESEL</v>
      </c>
      <c r="K48" s="432" t="str" cm="1">
        <f t="array" ref="K48">IF(OR($A48="",$J48&lt;&gt;"DIESEL"),"",_xlfn.LET(_xlpm.qty,N($C48),_xlpm.pos,$T$5:$T$54,_xlpm.alo,IF($U$5:$U$54="",0,$U$5:$U$54),_xlpm.usd,SUMIFS($C$6:$C47,$K$6:$K47,_xlpm.pos&amp;""),_xlpm.bal,_xlpm.alo-_xlpm.usd,IFERROR(INDEX(_xlfn._xlws.FILTER(_xlpm.pos,(_xlpm.pos&lt;&gt;"")*(_xlpm.qty&gt;0)*(_xlpm.bal&gt;=_xlpm.qty)),1),"")))</f>
        <v>P726Y-00635</v>
      </c>
      <c r="L48" s="348"/>
      <c r="M48" s="277"/>
      <c r="N48" s="277"/>
      <c r="O48" s="277"/>
      <c r="P48">
        <v>46251</v>
      </c>
      <c r="Q48" t="str">
        <v>2224</v>
      </c>
      <c r="R48" t="str">
        <v>DIESEL</v>
      </c>
      <c r="T48" s="439"/>
      <c r="U48" s="350"/>
      <c r="W48" s="316" t="str">
        <f t="shared" si="0"/>
        <v/>
      </c>
      <c r="X48" s="273" t="str">
        <f t="shared" si="1"/>
        <v/>
      </c>
      <c r="Y48" s="273" t="str">
        <f t="shared" si="2"/>
        <v/>
      </c>
      <c r="Z48" s="273" t="str">
        <f t="shared" si="3"/>
        <v/>
      </c>
      <c r="AA48" s="316" t="str">
        <f t="shared" si="4"/>
        <v/>
      </c>
      <c r="AC48" t="str" cm="1">
        <f t="array" ref="AC48">IF(INDEX($T$5:$T$54,ROW()-4)="","",INDEX($T$5:$T$54,ROW()-4))</f>
        <v/>
      </c>
      <c r="AD48" t="str">
        <f t="shared" si="5"/>
        <v/>
      </c>
      <c r="AE48" t="str">
        <f t="shared" si="6"/>
        <v/>
      </c>
      <c r="AF48" t="str">
        <f t="shared" si="7"/>
        <v/>
      </c>
      <c r="AG48">
        <f t="shared" si="8"/>
        <v>0</v>
      </c>
      <c r="AH48" t="str" cm="1">
        <f t="array" ref="AH48">IF($AC48="","",IF($AG48=1,SUMPRODUCT(($AG$5:$AG$54=1)*($AC$5:$AC$54&gt;$AC48))+1,SUM($AG$5:$AG$54)+SUMPRODUCT(($AG$5:$AG$54=0)*($AC$5:$AC$54&lt;&gt;"")*($AC$5:$AC$54&gt;$AC48))+1))</f>
        <v/>
      </c>
    </row>
    <row r="49" spans="1:34" ht="21.75" x14ac:dyDescent="0.25">
      <c r="A49" s="217" cm="1">
        <f t="array" ref="A49">IFERROR(INDEX(_xlfn.ANCHORARRAY($P$6),ROW()-5,1),"")</f>
        <v>46251</v>
      </c>
      <c r="B49" s="344" t="str" cm="1">
        <f t="array" ref="B49">IFERROR(INDEX(_xlfn.ANCHORARRAY($P$6),ROW()-5,2),"")</f>
        <v/>
      </c>
      <c r="C49" s="345" t="str">
        <f>IF($A49="","",IF($J49="DIESEL",SUMIFS(Table1[Quantity],Table1[Customer],$M$3,Table1[Date],$A49,Table1[Bill No.],$B49),IF($J49="PETROL",SUMIFS(Table14[Quantity],Table14[Customer],$M$3,Table14[Date],$A49,Table14[Bill No.],$B49),IF($J49="XtraGreen",SUMIFS(Table146[Quantity],Table146[Company],$M$3,Table146[Date],$A49,Table146[Bill No.],$B49),""))))</f>
        <v/>
      </c>
      <c r="D49" s="346" t="str">
        <f>IF($A49="","",IF($J49="DIESEL",AVERAGEIFS(Table1[RSP],Table1[Customer],$M$3,Table1[Date],$A49,Table1[Bill No.],$B49),IF($J49="PETROL",AVERAGEIFS(Table14[RSP],Table14[Customer],$M$3,Table14[Date],$A49,Table14[Bill No.],$B49),IF($J49="XtraGreen",AVERAGEIFS(Table146[RSP],Table146[Company],$M$3,Table146[Date],$A49,Table146[Bill No.],$B49),IFERROR($E49/$C49,"")))))</f>
        <v/>
      </c>
      <c r="E49" s="347">
        <f>IF($A49="","",IF($J49="DIESEL",SUMIFS(Table1[Amount],Table1[Customer],$M$3,Table1[Date],$A49,Table1[Bill No.],$B49),IF($J49="PETROL",SUMIFS(Table14[Amount],Table14[Customer],$M$3,Table14[Date],$A49,Table14[Bill No.],$B49),IF($J49="XtraGreen",SUMIFS(Table146[Amount],Table146[Company],$M$3,Table146[Date],$A49,Table146[Bill No.],$B49),SUMIFS('Other Sale'!$D:$D,'Other Sale'!$E:$E,$M$3,'Other Sale'!$C:$C,$J49,'Other Sale'!$A:$A,$A49)))))</f>
        <v>0</v>
      </c>
      <c r="F49" s="347" cm="1">
        <f t="array" ref="F49">IF($A49="","",IF($J49="Payment",IFERROR(INDEX(_xlfn._xlws.FILTER(MasterPaid[Amount Paid],(MasterPaid[Customer]=$M$3)*(MasterPaid[Date]=$A49)),COUNTIFS($A$6:$A49,$A49,$J$6:$J49,"Payment")),0),0))</f>
        <v>302220</v>
      </c>
      <c r="G49" s="331"/>
      <c r="H49" s="427"/>
      <c r="I49" s="330">
        <f t="shared" si="9"/>
        <v>302220</v>
      </c>
      <c r="J49" s="344" t="str" cm="1">
        <f t="array" ref="J49">IFERROR(INDEX(_xlfn.ANCHORARRAY($P$6),ROW()-5,3),"")</f>
        <v>Payment</v>
      </c>
      <c r="K49" s="432" t="str" cm="1">
        <f t="array" ref="K49">IF(OR($A49="",$J49&lt;&gt;"DIESEL"),"",_xlfn.LET(_xlpm.qty,N($C49),_xlpm.pos,$T$5:$T$54,_xlpm.alo,IF($U$5:$U$54="",0,$U$5:$U$54),_xlpm.usd,SUMIFS($C$6:$C48,$K$6:$K48,_xlpm.pos&amp;""),_xlpm.bal,_xlpm.alo-_xlpm.usd,IFERROR(INDEX(_xlfn._xlws.FILTER(_xlpm.pos,(_xlpm.pos&lt;&gt;"")*(_xlpm.qty&gt;0)*(_xlpm.bal&gt;=_xlpm.qty)),1),"")))</f>
        <v/>
      </c>
      <c r="L49" s="348"/>
      <c r="M49" s="277"/>
      <c r="N49" s="277"/>
      <c r="O49" s="277"/>
      <c r="P49">
        <v>46251</v>
      </c>
      <c r="Q49" t="str">
        <v/>
      </c>
      <c r="R49" t="str">
        <v>Payment</v>
      </c>
      <c r="T49" s="439"/>
      <c r="U49" s="350"/>
      <c r="W49" s="316" t="str">
        <f t="shared" si="0"/>
        <v/>
      </c>
      <c r="X49" s="273" t="str">
        <f t="shared" si="1"/>
        <v/>
      </c>
      <c r="Y49" s="273" t="str">
        <f t="shared" si="2"/>
        <v/>
      </c>
      <c r="Z49" s="273" t="str">
        <f t="shared" si="3"/>
        <v/>
      </c>
      <c r="AA49" s="316" t="str">
        <f t="shared" si="4"/>
        <v/>
      </c>
      <c r="AC49" t="str" cm="1">
        <f t="array" ref="AC49">IF(INDEX($T$5:$T$54,ROW()-4)="","",INDEX($T$5:$T$54,ROW()-4))</f>
        <v/>
      </c>
      <c r="AD49" t="str">
        <f t="shared" si="5"/>
        <v/>
      </c>
      <c r="AE49" t="str">
        <f t="shared" si="6"/>
        <v/>
      </c>
      <c r="AF49" t="str">
        <f t="shared" si="7"/>
        <v/>
      </c>
      <c r="AG49">
        <f t="shared" si="8"/>
        <v>0</v>
      </c>
      <c r="AH49" t="str" cm="1">
        <f t="array" ref="AH49">IF($AC49="","",IF($AG49=1,SUMPRODUCT(($AG$5:$AG$54=1)*($AC$5:$AC$54&gt;$AC49))+1,SUM($AG$5:$AG$54)+SUMPRODUCT(($AG$5:$AG$54=0)*($AC$5:$AC$54&lt;&gt;"")*($AC$5:$AC$54&gt;$AC49))+1))</f>
        <v/>
      </c>
    </row>
    <row r="50" spans="1:34" ht="21.75" x14ac:dyDescent="0.25">
      <c r="A50" s="217" cm="1">
        <f t="array" ref="A50">IFERROR(INDEX(_xlfn.ANCHORARRAY($P$6),ROW()-5,1),"")</f>
        <v>46252</v>
      </c>
      <c r="B50" s="344" t="str" cm="1">
        <f t="array" ref="B50">IFERROR(INDEX(_xlfn.ANCHORARRAY($P$6),ROW()-5,2),"")</f>
        <v/>
      </c>
      <c r="C50" s="345" t="str">
        <f>IF($A50="","",IF($J50="DIESEL",SUMIFS(Table1[Quantity],Table1[Customer],$M$3,Table1[Date],$A50,Table1[Bill No.],$B50),IF($J50="PETROL",SUMIFS(Table14[Quantity],Table14[Customer],$M$3,Table14[Date],$A50,Table14[Bill No.],$B50),IF($J50="XtraGreen",SUMIFS(Table146[Quantity],Table146[Company],$M$3,Table146[Date],$A50,Table146[Bill No.],$B50),""))))</f>
        <v/>
      </c>
      <c r="D50" s="346" t="str">
        <f>IF($A50="","",IF($J50="DIESEL",AVERAGEIFS(Table1[RSP],Table1[Customer],$M$3,Table1[Date],$A50,Table1[Bill No.],$B50),IF($J50="PETROL",AVERAGEIFS(Table14[RSP],Table14[Customer],$M$3,Table14[Date],$A50,Table14[Bill No.],$B50),IF($J50="XtraGreen",AVERAGEIFS(Table146[RSP],Table146[Company],$M$3,Table146[Date],$A50,Table146[Bill No.],$B50),IFERROR($E50/$C50,"")))))</f>
        <v/>
      </c>
      <c r="E50" s="347">
        <f>IF($A50="","",IF($J50="DIESEL",SUMIFS(Table1[Amount],Table1[Customer],$M$3,Table1[Date],$A50,Table1[Bill No.],$B50),IF($J50="PETROL",SUMIFS(Table14[Amount],Table14[Customer],$M$3,Table14[Date],$A50,Table14[Bill No.],$B50),IF($J50="XtraGreen",SUMIFS(Table146[Amount],Table146[Company],$M$3,Table146[Date],$A50,Table146[Bill No.],$B50),SUMIFS('Other Sale'!$D:$D,'Other Sale'!$E:$E,$M$3,'Other Sale'!$C:$C,$J50,'Other Sale'!$A:$A,$A50)))))</f>
        <v>0</v>
      </c>
      <c r="F50" s="347" cm="1">
        <f t="array" ref="F50">IF($A50="","",IF($J50="Payment",IFERROR(INDEX(_xlfn._xlws.FILTER(MasterPaid[Amount Paid],(MasterPaid[Customer]=$M$3)*(MasterPaid[Date]=$A50)),COUNTIFS($A$6:$A50,$A50,$J$6:$J50,"Payment")),0),0))</f>
        <v>302220</v>
      </c>
      <c r="G50" s="331"/>
      <c r="H50" s="427"/>
      <c r="I50" s="330">
        <f t="shared" si="9"/>
        <v>0</v>
      </c>
      <c r="J50" s="344" t="str" cm="1">
        <f t="array" ref="J50">IFERROR(INDEX(_xlfn.ANCHORARRAY($P$6),ROW()-5,3),"")</f>
        <v>Payment</v>
      </c>
      <c r="K50" s="432" t="str" cm="1">
        <f t="array" ref="K50">IF(OR($A50="",$J50&lt;&gt;"DIESEL"),"",_xlfn.LET(_xlpm.qty,N($C50),_xlpm.pos,$T$5:$T$54,_xlpm.alo,IF($U$5:$U$54="",0,$U$5:$U$54),_xlpm.usd,SUMIFS($C$6:$C49,$K$6:$K49,_xlpm.pos&amp;""),_xlpm.bal,_xlpm.alo-_xlpm.usd,IFERROR(INDEX(_xlfn._xlws.FILTER(_xlpm.pos,(_xlpm.pos&lt;&gt;"")*(_xlpm.qty&gt;0)*(_xlpm.bal&gt;=_xlpm.qty)),1),"")))</f>
        <v/>
      </c>
      <c r="L50" s="348"/>
      <c r="M50" s="277"/>
      <c r="N50" s="277"/>
      <c r="O50" s="277"/>
      <c r="P50">
        <v>46252</v>
      </c>
      <c r="Q50" t="str">
        <v/>
      </c>
      <c r="R50" t="str">
        <v>Payment</v>
      </c>
      <c r="T50" s="439"/>
      <c r="U50" s="350"/>
      <c r="W50" s="316" t="str">
        <f t="shared" si="0"/>
        <v/>
      </c>
      <c r="X50" s="273" t="str">
        <f t="shared" si="1"/>
        <v/>
      </c>
      <c r="Y50" s="273" t="str">
        <f t="shared" si="2"/>
        <v/>
      </c>
      <c r="Z50" s="273" t="str">
        <f t="shared" si="3"/>
        <v/>
      </c>
      <c r="AA50" s="316" t="str">
        <f t="shared" si="4"/>
        <v/>
      </c>
      <c r="AC50" t="str" cm="1">
        <f t="array" ref="AC50">IF(INDEX($T$5:$T$54,ROW()-4)="","",INDEX($T$5:$T$54,ROW()-4))</f>
        <v/>
      </c>
      <c r="AD50" t="str">
        <f t="shared" si="5"/>
        <v/>
      </c>
      <c r="AE50" t="str">
        <f t="shared" si="6"/>
        <v/>
      </c>
      <c r="AF50" t="str">
        <f t="shared" si="7"/>
        <v/>
      </c>
      <c r="AG50">
        <f t="shared" si="8"/>
        <v>0</v>
      </c>
      <c r="AH50" t="str" cm="1">
        <f t="array" ref="AH50">IF($AC50="","",IF($AG50=1,SUMPRODUCT(($AG$5:$AG$54=1)*($AC$5:$AC$54&gt;$AC50))+1,SUM($AG$5:$AG$54)+SUMPRODUCT(($AG$5:$AG$54=0)*($AC$5:$AC$54&lt;&gt;"")*($AC$5:$AC$54&gt;$AC50))+1))</f>
        <v/>
      </c>
    </row>
    <row r="51" spans="1:34" ht="21.75" x14ac:dyDescent="0.25">
      <c r="A51" s="217" t="str" cm="1">
        <f t="array" ref="A51">IFERROR(INDEX(_xlfn.ANCHORARRAY($P$6),ROW()-5,1),"")</f>
        <v/>
      </c>
      <c r="B51" s="344" t="str" cm="1">
        <f t="array" ref="B51">IFERROR(INDEX(_xlfn.ANCHORARRAY($P$6),ROW()-5,2),"")</f>
        <v/>
      </c>
      <c r="C51" s="345" t="str">
        <f>IF($A51="","",IF($J51="DIESEL",SUMIFS(Table1[Quantity],Table1[Customer],$M$3,Table1[Date],$A51,Table1[Bill No.],$B51),IF($J51="PETROL",SUMIFS(Table14[Quantity],Table14[Customer],$M$3,Table14[Date],$A51,Table14[Bill No.],$B51),IF($J51="XtraGreen",SUMIFS(Table146[Quantity],Table146[Company],$M$3,Table146[Date],$A51,Table146[Bill No.],$B51),""))))</f>
        <v/>
      </c>
      <c r="D51" s="346" t="str">
        <f>IF($A51="","",IF($J51="DIESEL",AVERAGEIFS(Table1[RSP],Table1[Customer],$M$3,Table1[Date],$A51,Table1[Bill No.],$B51),IF($J51="PETROL",AVERAGEIFS(Table14[RSP],Table14[Customer],$M$3,Table14[Date],$A51,Table14[Bill No.],$B51),IF($J51="XtraGreen",AVERAGEIFS(Table146[RSP],Table146[Company],$M$3,Table146[Date],$A51,Table146[Bill No.],$B51),IFERROR($E51/$C51,"")))))</f>
        <v/>
      </c>
      <c r="E51" s="347" t="str">
        <f>IF($A51="","",IF($J51="DIESEL",SUMIFS(Table1[Amount],Table1[Customer],$M$3,Table1[Date],$A51,Table1[Bill No.],$B51),IF($J51="PETROL",SUMIFS(Table14[Amount],Table14[Customer],$M$3,Table14[Date],$A51,Table14[Bill No.],$B51),IF($J51="XtraGreen",SUMIFS(Table146[Amount],Table146[Company],$M$3,Table146[Date],$A51,Table146[Bill No.],$B51),SUMIFS('Other Sale'!$D:$D,'Other Sale'!$E:$E,$M$3,'Other Sale'!$C:$C,$J51,'Other Sale'!$A:$A,$A51)))))</f>
        <v/>
      </c>
      <c r="F51" s="347" t="str" cm="1">
        <f t="array" ref="F51">IF($A51="","",IF($J51="Payment",IFERROR(INDEX(_xlfn._xlws.FILTER(MasterPaid[Amount Paid],(MasterPaid[Customer]=$M$3)*(MasterPaid[Date]=$A51)),COUNTIFS($A$6:$A51,$A51,$J$6:$J51,"Payment")),0),0))</f>
        <v/>
      </c>
      <c r="G51" s="331"/>
      <c r="H51" s="427"/>
      <c r="I51" s="330" t="str">
        <f t="shared" si="9"/>
        <v/>
      </c>
      <c r="J51" s="344" t="str" cm="1">
        <f t="array" ref="J51">IFERROR(INDEX(_xlfn.ANCHORARRAY($P$6),ROW()-5,3),"")</f>
        <v/>
      </c>
      <c r="K51" s="432" t="str" cm="1">
        <f t="array" ref="K51">IF(OR($A51="",$J51&lt;&gt;"DIESEL"),"",_xlfn.LET(_xlpm.qty,N($C51),_xlpm.pos,$T$5:$T$54,_xlpm.alo,IF($U$5:$U$54="",0,$U$5:$U$54),_xlpm.usd,SUMIFS($C$6:$C50,$K$6:$K50,_xlpm.pos&amp;""),_xlpm.bal,_xlpm.alo-_xlpm.usd,IFERROR(INDEX(_xlfn._xlws.FILTER(_xlpm.pos,(_xlpm.pos&lt;&gt;"")*(_xlpm.qty&gt;0)*(_xlpm.bal&gt;=_xlpm.qty)),1),"")))</f>
        <v/>
      </c>
      <c r="L51" s="348"/>
      <c r="M51" s="277"/>
      <c r="N51" s="277"/>
      <c r="O51" s="277"/>
      <c r="T51" s="439"/>
      <c r="U51" s="350"/>
      <c r="W51" s="316" t="str">
        <f t="shared" si="0"/>
        <v/>
      </c>
      <c r="X51" s="273" t="str">
        <f t="shared" si="1"/>
        <v/>
      </c>
      <c r="Y51" s="273" t="str">
        <f t="shared" si="2"/>
        <v/>
      </c>
      <c r="Z51" s="273" t="str">
        <f t="shared" si="3"/>
        <v/>
      </c>
      <c r="AA51" s="316" t="str">
        <f t="shared" si="4"/>
        <v/>
      </c>
      <c r="AC51" t="str" cm="1">
        <f t="array" ref="AC51">IF(INDEX($T$5:$T$54,ROW()-4)="","",INDEX($T$5:$T$54,ROW()-4))</f>
        <v/>
      </c>
      <c r="AD51" t="str">
        <f t="shared" si="5"/>
        <v/>
      </c>
      <c r="AE51" t="str">
        <f t="shared" si="6"/>
        <v/>
      </c>
      <c r="AF51" t="str">
        <f t="shared" si="7"/>
        <v/>
      </c>
      <c r="AG51">
        <f t="shared" si="8"/>
        <v>0</v>
      </c>
      <c r="AH51" t="str" cm="1">
        <f t="array" ref="AH51">IF($AC51="","",IF($AG51=1,SUMPRODUCT(($AG$5:$AG$54=1)*($AC$5:$AC$54&gt;$AC51))+1,SUM($AG$5:$AG$54)+SUMPRODUCT(($AG$5:$AG$54=0)*($AC$5:$AC$54&lt;&gt;"")*($AC$5:$AC$54&gt;$AC51))+1))</f>
        <v/>
      </c>
    </row>
    <row r="52" spans="1:34" ht="21.75" x14ac:dyDescent="0.25">
      <c r="A52" s="217" t="str" cm="1">
        <f t="array" ref="A52">IFERROR(INDEX(_xlfn.ANCHORARRAY($P$6),ROW()-5,1),"")</f>
        <v/>
      </c>
      <c r="B52" s="344" t="str" cm="1">
        <f t="array" ref="B52">IFERROR(INDEX(_xlfn.ANCHORARRAY($P$6),ROW()-5,2),"")</f>
        <v/>
      </c>
      <c r="C52" s="345" t="str">
        <f>IF($A52="","",IF($J52="DIESEL",SUMIFS(Table1[Quantity],Table1[Customer],$M$3,Table1[Date],$A52,Table1[Bill No.],$B52),IF($J52="PETROL",SUMIFS(Table14[Quantity],Table14[Customer],$M$3,Table14[Date],$A52,Table14[Bill No.],$B52),IF($J52="XtraGreen",SUMIFS(Table146[Quantity],Table146[Company],$M$3,Table146[Date],$A52,Table146[Bill No.],$B52),""))))</f>
        <v/>
      </c>
      <c r="D52" s="346" t="str">
        <f>IF($A52="","",IF($J52="DIESEL",AVERAGEIFS(Table1[RSP],Table1[Customer],$M$3,Table1[Date],$A52,Table1[Bill No.],$B52),IF($J52="PETROL",AVERAGEIFS(Table14[RSP],Table14[Customer],$M$3,Table14[Date],$A52,Table14[Bill No.],$B52),IF($J52="XtraGreen",AVERAGEIFS(Table146[RSP],Table146[Company],$M$3,Table146[Date],$A52,Table146[Bill No.],$B52),IFERROR($E52/$C52,"")))))</f>
        <v/>
      </c>
      <c r="E52" s="347" t="str">
        <f>IF($A52="","",IF($J52="DIESEL",SUMIFS(Table1[Amount],Table1[Customer],$M$3,Table1[Date],$A52,Table1[Bill No.],$B52),IF($J52="PETROL",SUMIFS(Table14[Amount],Table14[Customer],$M$3,Table14[Date],$A52,Table14[Bill No.],$B52),IF($J52="XtraGreen",SUMIFS(Table146[Amount],Table146[Company],$M$3,Table146[Date],$A52,Table146[Bill No.],$B52),SUMIFS('Other Sale'!$D:$D,'Other Sale'!$E:$E,$M$3,'Other Sale'!$C:$C,$J52,'Other Sale'!$A:$A,$A52)))))</f>
        <v/>
      </c>
      <c r="F52" s="347" t="str" cm="1">
        <f t="array" ref="F52">IF($A52="","",IF($J52="Payment",IFERROR(INDEX(_xlfn._xlws.FILTER(MasterPaid[Amount Paid],(MasterPaid[Customer]=$M$3)*(MasterPaid[Date]=$A52)),COUNTIFS($A$6:$A52,$A52,$J$6:$J52,"Payment")),0),0))</f>
        <v/>
      </c>
      <c r="G52" s="331"/>
      <c r="H52" s="427"/>
      <c r="I52" s="330" t="str">
        <f t="shared" si="9"/>
        <v/>
      </c>
      <c r="J52" s="344" t="str" cm="1">
        <f t="array" ref="J52">IFERROR(INDEX(_xlfn.ANCHORARRAY($P$6),ROW()-5,3),"")</f>
        <v/>
      </c>
      <c r="K52" s="432" t="str" cm="1">
        <f t="array" ref="K52">IF(OR($A52="",$J52&lt;&gt;"DIESEL"),"",_xlfn.LET(_xlpm.qty,N($C52),_xlpm.pos,$T$5:$T$54,_xlpm.alo,IF($U$5:$U$54="",0,$U$5:$U$54),_xlpm.usd,SUMIFS($C$6:$C51,$K$6:$K51,_xlpm.pos&amp;""),_xlpm.bal,_xlpm.alo-_xlpm.usd,IFERROR(INDEX(_xlfn._xlws.FILTER(_xlpm.pos,(_xlpm.pos&lt;&gt;"")*(_xlpm.qty&gt;0)*(_xlpm.bal&gt;=_xlpm.qty)),1),"")))</f>
        <v/>
      </c>
      <c r="L52" s="348"/>
      <c r="M52" s="277"/>
      <c r="N52" s="277"/>
      <c r="O52" s="277"/>
      <c r="T52" s="439"/>
      <c r="U52" s="350"/>
      <c r="W52" s="316" t="str">
        <f t="shared" si="0"/>
        <v/>
      </c>
      <c r="X52" s="273" t="str">
        <f t="shared" si="1"/>
        <v/>
      </c>
      <c r="Y52" s="273" t="str">
        <f t="shared" si="2"/>
        <v/>
      </c>
      <c r="Z52" s="273" t="str">
        <f t="shared" si="3"/>
        <v/>
      </c>
      <c r="AA52" s="316" t="str">
        <f t="shared" si="4"/>
        <v/>
      </c>
      <c r="AC52" t="str" cm="1">
        <f t="array" ref="AC52">IF(INDEX($T$5:$T$54,ROW()-4)="","",INDEX($T$5:$T$54,ROW()-4))</f>
        <v/>
      </c>
      <c r="AD52" t="str">
        <f t="shared" si="5"/>
        <v/>
      </c>
      <c r="AE52" t="str">
        <f t="shared" si="6"/>
        <v/>
      </c>
      <c r="AF52" t="str">
        <f t="shared" si="7"/>
        <v/>
      </c>
      <c r="AG52">
        <f t="shared" si="8"/>
        <v>0</v>
      </c>
      <c r="AH52" t="str" cm="1">
        <f t="array" ref="AH52">IF($AC52="","",IF($AG52=1,SUMPRODUCT(($AG$5:$AG$54=1)*($AC$5:$AC$54&gt;$AC52))+1,SUM($AG$5:$AG$54)+SUMPRODUCT(($AG$5:$AG$54=0)*($AC$5:$AC$54&lt;&gt;"")*($AC$5:$AC$54&gt;$AC52))+1))</f>
        <v/>
      </c>
    </row>
    <row r="53" spans="1:34" ht="21.75" x14ac:dyDescent="0.25">
      <c r="A53" s="217" t="str" cm="1">
        <f t="array" ref="A53">IFERROR(INDEX(_xlfn.ANCHORARRAY($P$6),ROW()-5,1),"")</f>
        <v/>
      </c>
      <c r="B53" s="344" t="str" cm="1">
        <f t="array" ref="B53">IFERROR(INDEX(_xlfn.ANCHORARRAY($P$6),ROW()-5,2),"")</f>
        <v/>
      </c>
      <c r="C53" s="345" t="str">
        <f>IF($A53="","",IF($J53="DIESEL",SUMIFS(Table1[Quantity],Table1[Customer],$M$3,Table1[Date],$A53,Table1[Bill No.],$B53),IF($J53="PETROL",SUMIFS(Table14[Quantity],Table14[Customer],$M$3,Table14[Date],$A53,Table14[Bill No.],$B53),IF($J53="XtraGreen",SUMIFS(Table146[Quantity],Table146[Company],$M$3,Table146[Date],$A53,Table146[Bill No.],$B53),""))))</f>
        <v/>
      </c>
      <c r="D53" s="346" t="str">
        <f>IF($A53="","",IF($J53="DIESEL",AVERAGEIFS(Table1[RSP],Table1[Customer],$M$3,Table1[Date],$A53,Table1[Bill No.],$B53),IF($J53="PETROL",AVERAGEIFS(Table14[RSP],Table14[Customer],$M$3,Table14[Date],$A53,Table14[Bill No.],$B53),IF($J53="XtraGreen",AVERAGEIFS(Table146[RSP],Table146[Company],$M$3,Table146[Date],$A53,Table146[Bill No.],$B53),IFERROR($E53/$C53,"")))))</f>
        <v/>
      </c>
      <c r="E53" s="347" t="str">
        <f>IF($A53="","",IF($J53="DIESEL",SUMIFS(Table1[Amount],Table1[Customer],$M$3,Table1[Date],$A53,Table1[Bill No.],$B53),IF($J53="PETROL",SUMIFS(Table14[Amount],Table14[Customer],$M$3,Table14[Date],$A53,Table14[Bill No.],$B53),IF($J53="XtraGreen",SUMIFS(Table146[Amount],Table146[Company],$M$3,Table146[Date],$A53,Table146[Bill No.],$B53),SUMIFS('Other Sale'!$D:$D,'Other Sale'!$E:$E,$M$3,'Other Sale'!$C:$C,$J53,'Other Sale'!$A:$A,$A53)))))</f>
        <v/>
      </c>
      <c r="F53" s="347" t="str" cm="1">
        <f t="array" ref="F53">IF($A53="","",IF($J53="Payment",IFERROR(INDEX(_xlfn._xlws.FILTER(MasterPaid[Amount Paid],(MasterPaid[Customer]=$M$3)*(MasterPaid[Date]=$A53)),COUNTIFS($A$6:$A53,$A53,$J$6:$J53,"Payment")),0),0))</f>
        <v/>
      </c>
      <c r="G53" s="331"/>
      <c r="H53" s="427"/>
      <c r="I53" s="330" t="str">
        <f t="shared" si="9"/>
        <v/>
      </c>
      <c r="J53" s="344" t="str" cm="1">
        <f t="array" ref="J53">IFERROR(INDEX(_xlfn.ANCHORARRAY($P$6),ROW()-5,3),"")</f>
        <v/>
      </c>
      <c r="K53" s="432" t="str" cm="1">
        <f t="array" ref="K53">IF(OR($A53="",$J53&lt;&gt;"DIESEL"),"",_xlfn.LET(_xlpm.qty,N($C53),_xlpm.pos,$T$5:$T$54,_xlpm.alo,IF($U$5:$U$54="",0,$U$5:$U$54),_xlpm.usd,SUMIFS($C$6:$C52,$K$6:$K52,_xlpm.pos&amp;""),_xlpm.bal,_xlpm.alo-_xlpm.usd,IFERROR(INDEX(_xlfn._xlws.FILTER(_xlpm.pos,(_xlpm.pos&lt;&gt;"")*(_xlpm.qty&gt;0)*(_xlpm.bal&gt;=_xlpm.qty)),1),"")))</f>
        <v/>
      </c>
      <c r="L53" s="348"/>
      <c r="M53" s="277"/>
      <c r="N53" s="277"/>
      <c r="O53" s="277"/>
      <c r="T53" s="439"/>
      <c r="U53" s="350"/>
      <c r="W53" s="316" t="str">
        <f t="shared" si="0"/>
        <v/>
      </c>
      <c r="X53" s="273" t="str">
        <f t="shared" si="1"/>
        <v/>
      </c>
      <c r="Y53" s="273" t="str">
        <f t="shared" si="2"/>
        <v/>
      </c>
      <c r="Z53" s="273" t="str">
        <f t="shared" si="3"/>
        <v/>
      </c>
      <c r="AA53" s="316" t="str">
        <f t="shared" si="4"/>
        <v/>
      </c>
      <c r="AC53" t="str" cm="1">
        <f t="array" ref="AC53">IF(INDEX($T$5:$T$54,ROW()-4)="","",INDEX($T$5:$T$54,ROW()-4))</f>
        <v/>
      </c>
      <c r="AD53" t="str">
        <f t="shared" si="5"/>
        <v/>
      </c>
      <c r="AE53" t="str">
        <f t="shared" si="6"/>
        <v/>
      </c>
      <c r="AF53" t="str">
        <f t="shared" si="7"/>
        <v/>
      </c>
      <c r="AG53">
        <f t="shared" si="8"/>
        <v>0</v>
      </c>
      <c r="AH53" t="str" cm="1">
        <f t="array" ref="AH53">IF($AC53="","",IF($AG53=1,SUMPRODUCT(($AG$5:$AG$54=1)*($AC$5:$AC$54&gt;$AC53))+1,SUM($AG$5:$AG$54)+SUMPRODUCT(($AG$5:$AG$54=0)*($AC$5:$AC$54&lt;&gt;"")*($AC$5:$AC$54&gt;$AC53))+1))</f>
        <v/>
      </c>
    </row>
    <row r="54" spans="1:34" ht="21.75" x14ac:dyDescent="0.25">
      <c r="A54" s="217" t="str" cm="1">
        <f t="array" ref="A54">IFERROR(INDEX(_xlfn.ANCHORARRAY($P$6),ROW()-5,1),"")</f>
        <v/>
      </c>
      <c r="B54" s="344" t="str" cm="1">
        <f t="array" ref="B54">IFERROR(INDEX(_xlfn.ANCHORARRAY($P$6),ROW()-5,2),"")</f>
        <v/>
      </c>
      <c r="C54" s="345" t="str">
        <f>IF($A54="","",IF($J54="DIESEL",SUMIFS(Table1[Quantity],Table1[Customer],$M$3,Table1[Date],$A54,Table1[Bill No.],$B54),IF($J54="PETROL",SUMIFS(Table14[Quantity],Table14[Customer],$M$3,Table14[Date],$A54,Table14[Bill No.],$B54),IF($J54="XtraGreen",SUMIFS(Table146[Quantity],Table146[Company],$M$3,Table146[Date],$A54,Table146[Bill No.],$B54),""))))</f>
        <v/>
      </c>
      <c r="D54" s="346" t="str">
        <f>IF($A54="","",IF($J54="DIESEL",AVERAGEIFS(Table1[RSP],Table1[Customer],$M$3,Table1[Date],$A54,Table1[Bill No.],$B54),IF($J54="PETROL",AVERAGEIFS(Table14[RSP],Table14[Customer],$M$3,Table14[Date],$A54,Table14[Bill No.],$B54),IF($J54="XtraGreen",AVERAGEIFS(Table146[RSP],Table146[Company],$M$3,Table146[Date],$A54,Table146[Bill No.],$B54),IFERROR($E54/$C54,"")))))</f>
        <v/>
      </c>
      <c r="E54" s="347" t="str">
        <f>IF($A54="","",IF($J54="DIESEL",SUMIFS(Table1[Amount],Table1[Customer],$M$3,Table1[Date],$A54,Table1[Bill No.],$B54),IF($J54="PETROL",SUMIFS(Table14[Amount],Table14[Customer],$M$3,Table14[Date],$A54,Table14[Bill No.],$B54),IF($J54="XtraGreen",SUMIFS(Table146[Amount],Table146[Company],$M$3,Table146[Date],$A54,Table146[Bill No.],$B54),SUMIFS('Other Sale'!$D:$D,'Other Sale'!$E:$E,$M$3,'Other Sale'!$C:$C,$J54,'Other Sale'!$A:$A,$A54)))))</f>
        <v/>
      </c>
      <c r="F54" s="347" t="str" cm="1">
        <f t="array" ref="F54">IF($A54="","",IF($J54="Payment",IFERROR(INDEX(_xlfn._xlws.FILTER(MasterPaid[Amount Paid],(MasterPaid[Customer]=$M$3)*(MasterPaid[Date]=$A54)),COUNTIFS($A$6:$A54,$A54,$J$6:$J54,"Payment")),0),0))</f>
        <v/>
      </c>
      <c r="G54" s="331"/>
      <c r="H54" s="427"/>
      <c r="I54" s="330" t="str">
        <f t="shared" si="9"/>
        <v/>
      </c>
      <c r="J54" s="344" t="str" cm="1">
        <f t="array" ref="J54">IFERROR(INDEX(_xlfn.ANCHORARRAY($P$6),ROW()-5,3),"")</f>
        <v/>
      </c>
      <c r="K54" s="432" t="str" cm="1">
        <f t="array" ref="K54">IF(OR($A54="",$J54&lt;&gt;"DIESEL"),"",_xlfn.LET(_xlpm.qty,N($C54),_xlpm.pos,$T$5:$T$54,_xlpm.alo,IF($U$5:$U$54="",0,$U$5:$U$54),_xlpm.usd,SUMIFS($C$6:$C53,$K$6:$K53,_xlpm.pos&amp;""),_xlpm.bal,_xlpm.alo-_xlpm.usd,IFERROR(INDEX(_xlfn._xlws.FILTER(_xlpm.pos,(_xlpm.pos&lt;&gt;"")*(_xlpm.qty&gt;0)*(_xlpm.bal&gt;=_xlpm.qty)),1),"")))</f>
        <v/>
      </c>
      <c r="L54" s="348"/>
      <c r="M54" s="277"/>
      <c r="N54" s="277"/>
      <c r="O54" s="277"/>
      <c r="T54" s="439"/>
      <c r="U54" s="350"/>
      <c r="W54" s="316" t="str">
        <f t="shared" si="0"/>
        <v/>
      </c>
      <c r="X54" s="273" t="str">
        <f t="shared" si="1"/>
        <v/>
      </c>
      <c r="Y54" s="273" t="str">
        <f t="shared" si="2"/>
        <v/>
      </c>
      <c r="Z54" s="273" t="str">
        <f t="shared" si="3"/>
        <v/>
      </c>
      <c r="AA54" s="316" t="str">
        <f t="shared" si="4"/>
        <v/>
      </c>
      <c r="AC54" t="str" cm="1">
        <f t="array" ref="AC54">IF(INDEX($T$5:$T$54,ROW()-4)="","",INDEX($T$5:$T$54,ROW()-4))</f>
        <v/>
      </c>
      <c r="AD54" t="str">
        <f t="shared" si="5"/>
        <v/>
      </c>
      <c r="AE54" t="str">
        <f t="shared" si="6"/>
        <v/>
      </c>
      <c r="AF54" t="str">
        <f t="shared" si="7"/>
        <v/>
      </c>
      <c r="AG54">
        <f t="shared" si="8"/>
        <v>0</v>
      </c>
      <c r="AH54" t="str" cm="1">
        <f t="array" ref="AH54">IF($AC54="","",IF($AG54=1,SUMPRODUCT(($AG$5:$AG$54=1)*($AC$5:$AC$54&gt;$AC54))+1,SUM($AG$5:$AG$54)+SUMPRODUCT(($AG$5:$AG$54=0)*($AC$5:$AC$54&lt;&gt;"")*($AC$5:$AC$54&gt;$AC54))+1))</f>
        <v/>
      </c>
    </row>
    <row r="55" spans="1:34" ht="21.75" x14ac:dyDescent="0.25">
      <c r="A55" s="217" t="str" cm="1">
        <f t="array" ref="A55">IFERROR(INDEX(_xlfn.ANCHORARRAY($P$6),ROW()-5,1),"")</f>
        <v/>
      </c>
      <c r="B55" s="344" t="str" cm="1">
        <f t="array" ref="B55">IFERROR(INDEX(_xlfn.ANCHORARRAY($P$6),ROW()-5,2),"")</f>
        <v/>
      </c>
      <c r="C55" s="345" t="str">
        <f>IF($A55="","",IF($J55="DIESEL",SUMIFS(Table1[Quantity],Table1[Customer],$M$3,Table1[Date],$A55,Table1[Bill No.],$B55),IF($J55="PETROL",SUMIFS(Table14[Quantity],Table14[Customer],$M$3,Table14[Date],$A55,Table14[Bill No.],$B55),IF($J55="XtraGreen",SUMIFS(Table146[Quantity],Table146[Company],$M$3,Table146[Date],$A55,Table146[Bill No.],$B55),""))))</f>
        <v/>
      </c>
      <c r="D55" s="346" t="str">
        <f>IF($A55="","",IF($J55="DIESEL",AVERAGEIFS(Table1[RSP],Table1[Customer],$M$3,Table1[Date],$A55,Table1[Bill No.],$B55),IF($J55="PETROL",AVERAGEIFS(Table14[RSP],Table14[Customer],$M$3,Table14[Date],$A55,Table14[Bill No.],$B55),IF($J55="XtraGreen",AVERAGEIFS(Table146[RSP],Table146[Company],$M$3,Table146[Date],$A55,Table146[Bill No.],$B55),IFERROR($E55/$C55,"")))))</f>
        <v/>
      </c>
      <c r="E55" s="347" t="str">
        <f>IF($A55="","",IF($J55="DIESEL",SUMIFS(Table1[Amount],Table1[Customer],$M$3,Table1[Date],$A55,Table1[Bill No.],$B55),IF($J55="PETROL",SUMIFS(Table14[Amount],Table14[Customer],$M$3,Table14[Date],$A55,Table14[Bill No.],$B55),IF($J55="XtraGreen",SUMIFS(Table146[Amount],Table146[Company],$M$3,Table146[Date],$A55,Table146[Bill No.],$B55),SUMIFS('Other Sale'!$D:$D,'Other Sale'!$E:$E,$M$3,'Other Sale'!$C:$C,$J55,'Other Sale'!$A:$A,$A55)))))</f>
        <v/>
      </c>
      <c r="F55" s="347" t="str" cm="1">
        <f t="array" ref="F55">IF($A55="","",IF($J55="Payment",IFERROR(INDEX(_xlfn._xlws.FILTER(MasterPaid[Amount Paid],(MasterPaid[Customer]=$M$3)*(MasterPaid[Date]=$A55)),COUNTIFS($A$6:$A55,$A55,$J$6:$J55,"Payment")),0),0))</f>
        <v/>
      </c>
      <c r="G55" s="331"/>
      <c r="H55" s="427"/>
      <c r="I55" s="330" t="str">
        <f t="shared" si="9"/>
        <v/>
      </c>
      <c r="J55" s="344" t="str" cm="1">
        <f t="array" ref="J55">IFERROR(INDEX(_xlfn.ANCHORARRAY($P$6),ROW()-5,3),"")</f>
        <v/>
      </c>
      <c r="K55" s="432" t="str" cm="1">
        <f t="array" ref="K55">IF(OR($A55="",$J55&lt;&gt;"DIESEL"),"",_xlfn.LET(_xlpm.qty,N($C55),_xlpm.pos,$T$5:$T$54,_xlpm.alo,IF($U$5:$U$54="",0,$U$5:$U$54),_xlpm.usd,SUMIFS($C$6:$C54,$K$6:$K54,_xlpm.pos&amp;""),_xlpm.bal,_xlpm.alo-_xlpm.usd,IFERROR(INDEX(_xlfn._xlws.FILTER(_xlpm.pos,(_xlpm.pos&lt;&gt;"")*(_xlpm.qty&gt;0)*(_xlpm.bal&gt;=_xlpm.qty)),1),"")))</f>
        <v/>
      </c>
      <c r="L55" s="348"/>
      <c r="M55" s="277"/>
      <c r="N55" s="277"/>
      <c r="O55" s="277"/>
    </row>
    <row r="56" spans="1:34" ht="21.75" x14ac:dyDescent="0.25">
      <c r="A56" s="217" t="str" cm="1">
        <f t="array" ref="A56">IFERROR(INDEX(_xlfn.ANCHORARRAY($P$6),ROW()-5,1),"")</f>
        <v/>
      </c>
      <c r="B56" s="344" t="str" cm="1">
        <f t="array" ref="B56">IFERROR(INDEX(_xlfn.ANCHORARRAY($P$6),ROW()-5,2),"")</f>
        <v/>
      </c>
      <c r="C56" s="345" t="str">
        <f>IF($A56="","",IF($J56="DIESEL",SUMIFS(Table1[Quantity],Table1[Customer],$M$3,Table1[Date],$A56,Table1[Bill No.],$B56),IF($J56="PETROL",SUMIFS(Table14[Quantity],Table14[Customer],$M$3,Table14[Date],$A56,Table14[Bill No.],$B56),IF($J56="XtraGreen",SUMIFS(Table146[Quantity],Table146[Company],$M$3,Table146[Date],$A56,Table146[Bill No.],$B56),""))))</f>
        <v/>
      </c>
      <c r="D56" s="346" t="str">
        <f>IF($A56="","",IF($J56="DIESEL",AVERAGEIFS(Table1[RSP],Table1[Customer],$M$3,Table1[Date],$A56,Table1[Bill No.],$B56),IF($J56="PETROL",AVERAGEIFS(Table14[RSP],Table14[Customer],$M$3,Table14[Date],$A56,Table14[Bill No.],$B56),IF($J56="XtraGreen",AVERAGEIFS(Table146[RSP],Table146[Company],$M$3,Table146[Date],$A56,Table146[Bill No.],$B56),IFERROR($E56/$C56,"")))))</f>
        <v/>
      </c>
      <c r="E56" s="347" t="str">
        <f>IF($A56="","",IF($J56="DIESEL",SUMIFS(Table1[Amount],Table1[Customer],$M$3,Table1[Date],$A56,Table1[Bill No.],$B56),IF($J56="PETROL",SUMIFS(Table14[Amount],Table14[Customer],$M$3,Table14[Date],$A56,Table14[Bill No.],$B56),IF($J56="XtraGreen",SUMIFS(Table146[Amount],Table146[Company],$M$3,Table146[Date],$A56,Table146[Bill No.],$B56),SUMIFS('Other Sale'!$D:$D,'Other Sale'!$E:$E,$M$3,'Other Sale'!$C:$C,$J56,'Other Sale'!$A:$A,$A56)))))</f>
        <v/>
      </c>
      <c r="F56" s="347" t="str" cm="1">
        <f t="array" ref="F56">IF($A56="","",IF($J56="Payment",IFERROR(INDEX(_xlfn._xlws.FILTER(MasterPaid[Amount Paid],(MasterPaid[Customer]=$M$3)*(MasterPaid[Date]=$A56)),COUNTIFS($A$6:$A56,$A56,$J$6:$J56,"Payment")),0),0))</f>
        <v/>
      </c>
      <c r="G56" s="331"/>
      <c r="H56" s="427"/>
      <c r="I56" s="330" t="str">
        <f t="shared" si="9"/>
        <v/>
      </c>
      <c r="J56" s="344" t="str" cm="1">
        <f t="array" ref="J56">IFERROR(INDEX(_xlfn.ANCHORARRAY($P$6),ROW()-5,3),"")</f>
        <v/>
      </c>
      <c r="K56" s="432" t="str" cm="1">
        <f t="array" ref="K56">IF(OR($A56="",$J56&lt;&gt;"DIESEL"),"",_xlfn.LET(_xlpm.qty,N($C56),_xlpm.pos,$T$5:$T$54,_xlpm.alo,IF($U$5:$U$54="",0,$U$5:$U$54),_xlpm.usd,SUMIFS($C$6:$C55,$K$6:$K55,_xlpm.pos&amp;""),_xlpm.bal,_xlpm.alo-_xlpm.usd,IFERROR(INDEX(_xlfn._xlws.FILTER(_xlpm.pos,(_xlpm.pos&lt;&gt;"")*(_xlpm.qty&gt;0)*(_xlpm.bal&gt;=_xlpm.qty)),1),"")))</f>
        <v/>
      </c>
      <c r="L56" s="348"/>
      <c r="M56" s="277"/>
      <c r="N56" s="277"/>
      <c r="O56" s="277"/>
    </row>
    <row r="57" spans="1:34" ht="21.75" x14ac:dyDescent="0.25">
      <c r="A57" s="217" t="str" cm="1">
        <f t="array" ref="A57">IFERROR(INDEX(_xlfn.ANCHORARRAY($P$6),ROW()-5,1),"")</f>
        <v/>
      </c>
      <c r="B57" s="344" t="str" cm="1">
        <f t="array" ref="B57">IFERROR(INDEX(_xlfn.ANCHORARRAY($P$6),ROW()-5,2),"")</f>
        <v/>
      </c>
      <c r="C57" s="345" t="str">
        <f>IF($A57="","",IF($J57="DIESEL",SUMIFS(Table1[Quantity],Table1[Customer],$M$3,Table1[Date],$A57,Table1[Bill No.],$B57),IF($J57="PETROL",SUMIFS(Table14[Quantity],Table14[Customer],$M$3,Table14[Date],$A57,Table14[Bill No.],$B57),IF($J57="XtraGreen",SUMIFS(Table146[Quantity],Table146[Company],$M$3,Table146[Date],$A57,Table146[Bill No.],$B57),""))))</f>
        <v/>
      </c>
      <c r="D57" s="346" t="str">
        <f>IF($A57="","",IF($J57="DIESEL",AVERAGEIFS(Table1[RSP],Table1[Customer],$M$3,Table1[Date],$A57,Table1[Bill No.],$B57),IF($J57="PETROL",AVERAGEIFS(Table14[RSP],Table14[Customer],$M$3,Table14[Date],$A57,Table14[Bill No.],$B57),IF($J57="XtraGreen",AVERAGEIFS(Table146[RSP],Table146[Company],$M$3,Table146[Date],$A57,Table146[Bill No.],$B57),IFERROR($E57/$C57,"")))))</f>
        <v/>
      </c>
      <c r="E57" s="347" t="str">
        <f>IF($A57="","",IF($J57="DIESEL",SUMIFS(Table1[Amount],Table1[Customer],$M$3,Table1[Date],$A57,Table1[Bill No.],$B57),IF($J57="PETROL",SUMIFS(Table14[Amount],Table14[Customer],$M$3,Table14[Date],$A57,Table14[Bill No.],$B57),IF($J57="XtraGreen",SUMIFS(Table146[Amount],Table146[Company],$M$3,Table146[Date],$A57,Table146[Bill No.],$B57),SUMIFS('Other Sale'!$D:$D,'Other Sale'!$E:$E,$M$3,'Other Sale'!$C:$C,$J57,'Other Sale'!$A:$A,$A57)))))</f>
        <v/>
      </c>
      <c r="F57" s="347" t="str" cm="1">
        <f t="array" ref="F57">IF($A57="","",IF($J57="Payment",IFERROR(INDEX(_xlfn._xlws.FILTER(MasterPaid[Amount Paid],(MasterPaid[Customer]=$M$3)*(MasterPaid[Date]=$A57)),COUNTIFS($A$6:$A57,$A57,$J$6:$J57,"Payment")),0),0))</f>
        <v/>
      </c>
      <c r="G57" s="331"/>
      <c r="H57" s="427"/>
      <c r="I57" s="330" t="str">
        <f t="shared" si="9"/>
        <v/>
      </c>
      <c r="J57" s="344" t="str" cm="1">
        <f t="array" ref="J57">IFERROR(INDEX(_xlfn.ANCHORARRAY($P$6),ROW()-5,3),"")</f>
        <v/>
      </c>
      <c r="K57" s="432" t="str" cm="1">
        <f t="array" ref="K57">IF(OR($A57="",$J57&lt;&gt;"DIESEL"),"",_xlfn.LET(_xlpm.qty,N($C57),_xlpm.pos,$T$5:$T$54,_xlpm.alo,IF($U$5:$U$54="",0,$U$5:$U$54),_xlpm.usd,SUMIFS($C$6:$C56,$K$6:$K56,_xlpm.pos&amp;""),_xlpm.bal,_xlpm.alo-_xlpm.usd,IFERROR(INDEX(_xlfn._xlws.FILTER(_xlpm.pos,(_xlpm.pos&lt;&gt;"")*(_xlpm.qty&gt;0)*(_xlpm.bal&gt;=_xlpm.qty)),1),"")))</f>
        <v/>
      </c>
      <c r="L57" s="348"/>
      <c r="M57" s="277"/>
      <c r="N57" s="277"/>
      <c r="O57" s="277"/>
    </row>
    <row r="58" spans="1:34" ht="21.75" x14ac:dyDescent="0.25">
      <c r="A58" s="217" t="str" cm="1">
        <f t="array" ref="A58">IFERROR(INDEX(_xlfn.ANCHORARRAY($P$6),ROW()-5,1),"")</f>
        <v/>
      </c>
      <c r="B58" s="344" t="str" cm="1">
        <f t="array" ref="B58">IFERROR(INDEX(_xlfn.ANCHORARRAY($P$6),ROW()-5,2),"")</f>
        <v/>
      </c>
      <c r="C58" s="345" t="str">
        <f>IF($A58="","",IF($J58="DIESEL",SUMIFS(Table1[Quantity],Table1[Customer],$M$3,Table1[Date],$A58,Table1[Bill No.],$B58),IF($J58="PETROL",SUMIFS(Table14[Quantity],Table14[Customer],$M$3,Table14[Date],$A58,Table14[Bill No.],$B58),IF($J58="XtraGreen",SUMIFS(Table146[Quantity],Table146[Company],$M$3,Table146[Date],$A58,Table146[Bill No.],$B58),""))))</f>
        <v/>
      </c>
      <c r="D58" s="346" t="str">
        <f>IF($A58="","",IF($J58="DIESEL",AVERAGEIFS(Table1[RSP],Table1[Customer],$M$3,Table1[Date],$A58,Table1[Bill No.],$B58),IF($J58="PETROL",AVERAGEIFS(Table14[RSP],Table14[Customer],$M$3,Table14[Date],$A58,Table14[Bill No.],$B58),IF($J58="XtraGreen",AVERAGEIFS(Table146[RSP],Table146[Company],$M$3,Table146[Date],$A58,Table146[Bill No.],$B58),IFERROR($E58/$C58,"")))))</f>
        <v/>
      </c>
      <c r="E58" s="347" t="str">
        <f>IF($A58="","",IF($J58="DIESEL",SUMIFS(Table1[Amount],Table1[Customer],$M$3,Table1[Date],$A58,Table1[Bill No.],$B58),IF($J58="PETROL",SUMIFS(Table14[Amount],Table14[Customer],$M$3,Table14[Date],$A58,Table14[Bill No.],$B58),IF($J58="XtraGreen",SUMIFS(Table146[Amount],Table146[Company],$M$3,Table146[Date],$A58,Table146[Bill No.],$B58),SUMIFS('Other Sale'!$D:$D,'Other Sale'!$E:$E,$M$3,'Other Sale'!$C:$C,$J58,'Other Sale'!$A:$A,$A58)))))</f>
        <v/>
      </c>
      <c r="F58" s="347" t="str" cm="1">
        <f t="array" ref="F58">IF($A58="","",IF($J58="Payment",IFERROR(INDEX(_xlfn._xlws.FILTER(MasterPaid[Amount Paid],(MasterPaid[Customer]=$M$3)*(MasterPaid[Date]=$A58)),COUNTIFS($A$6:$A58,$A58,$J$6:$J58,"Payment")),0),0))</f>
        <v/>
      </c>
      <c r="G58" s="331"/>
      <c r="H58" s="427"/>
      <c r="I58" s="330" t="str">
        <f t="shared" si="9"/>
        <v/>
      </c>
      <c r="J58" s="344" t="str" cm="1">
        <f t="array" ref="J58">IFERROR(INDEX(_xlfn.ANCHORARRAY($P$6),ROW()-5,3),"")</f>
        <v/>
      </c>
      <c r="K58" s="432" t="str" cm="1">
        <f t="array" ref="K58">IF(OR($A58="",$J58&lt;&gt;"DIESEL"),"",_xlfn.LET(_xlpm.qty,N($C58),_xlpm.pos,$T$5:$T$54,_xlpm.alo,IF($U$5:$U$54="",0,$U$5:$U$54),_xlpm.usd,SUMIFS($C$6:$C57,$K$6:$K57,_xlpm.pos&amp;""),_xlpm.bal,_xlpm.alo-_xlpm.usd,IFERROR(INDEX(_xlfn._xlws.FILTER(_xlpm.pos,(_xlpm.pos&lt;&gt;"")*(_xlpm.qty&gt;0)*(_xlpm.bal&gt;=_xlpm.qty)),1),"")))</f>
        <v/>
      </c>
      <c r="L58" s="348"/>
      <c r="M58" s="277"/>
      <c r="N58" s="277"/>
      <c r="O58" s="277"/>
    </row>
    <row r="59" spans="1:34" ht="21.75" x14ac:dyDescent="0.25">
      <c r="A59" s="217" t="str" cm="1">
        <f t="array" ref="A59">IFERROR(INDEX(_xlfn.ANCHORARRAY($P$6),ROW()-5,1),"")</f>
        <v/>
      </c>
      <c r="B59" s="344" t="str" cm="1">
        <f t="array" ref="B59">IFERROR(INDEX(_xlfn.ANCHORARRAY($P$6),ROW()-5,2),"")</f>
        <v/>
      </c>
      <c r="C59" s="345" t="str">
        <f>IF($A59="","",IF($J59="DIESEL",SUMIFS(Table1[Quantity],Table1[Customer],$M$3,Table1[Date],$A59,Table1[Bill No.],$B59),IF($J59="PETROL",SUMIFS(Table14[Quantity],Table14[Customer],$M$3,Table14[Date],$A59,Table14[Bill No.],$B59),IF($J59="XtraGreen",SUMIFS(Table146[Quantity],Table146[Company],$M$3,Table146[Date],$A59,Table146[Bill No.],$B59),""))))</f>
        <v/>
      </c>
      <c r="D59" s="346" t="str">
        <f>IF($A59="","",IF($J59="DIESEL",AVERAGEIFS(Table1[RSP],Table1[Customer],$M$3,Table1[Date],$A59,Table1[Bill No.],$B59),IF($J59="PETROL",AVERAGEIFS(Table14[RSP],Table14[Customer],$M$3,Table14[Date],$A59,Table14[Bill No.],$B59),IF($J59="XtraGreen",AVERAGEIFS(Table146[RSP],Table146[Company],$M$3,Table146[Date],$A59,Table146[Bill No.],$B59),IFERROR($E59/$C59,"")))))</f>
        <v/>
      </c>
      <c r="E59" s="347" t="str">
        <f>IF($A59="","",IF($J59="DIESEL",SUMIFS(Table1[Amount],Table1[Customer],$M$3,Table1[Date],$A59,Table1[Bill No.],$B59),IF($J59="PETROL",SUMIFS(Table14[Amount],Table14[Customer],$M$3,Table14[Date],$A59,Table14[Bill No.],$B59),IF($J59="XtraGreen",SUMIFS(Table146[Amount],Table146[Company],$M$3,Table146[Date],$A59,Table146[Bill No.],$B59),SUMIFS('Other Sale'!$D:$D,'Other Sale'!$E:$E,$M$3,'Other Sale'!$C:$C,$J59,'Other Sale'!$A:$A,$A59)))))</f>
        <v/>
      </c>
      <c r="F59" s="347" t="str" cm="1">
        <f t="array" ref="F59">IF($A59="","",IF($J59="Payment",IFERROR(INDEX(_xlfn._xlws.FILTER(MasterPaid[Amount Paid],(MasterPaid[Customer]=$M$3)*(MasterPaid[Date]=$A59)),COUNTIFS($A$6:$A59,$A59,$J$6:$J59,"Payment")),0),0))</f>
        <v/>
      </c>
      <c r="G59" s="331"/>
      <c r="H59" s="427"/>
      <c r="I59" s="330" t="str">
        <f t="shared" si="9"/>
        <v/>
      </c>
      <c r="J59" s="344" t="str" cm="1">
        <f t="array" ref="J59">IFERROR(INDEX(_xlfn.ANCHORARRAY($P$6),ROW()-5,3),"")</f>
        <v/>
      </c>
      <c r="K59" s="432" t="str" cm="1">
        <f t="array" ref="K59">IF(OR($A59="",$J59&lt;&gt;"DIESEL"),"",_xlfn.LET(_xlpm.qty,N($C59),_xlpm.pos,$T$5:$T$54,_xlpm.alo,IF($U$5:$U$54="",0,$U$5:$U$54),_xlpm.usd,SUMIFS($C$6:$C58,$K$6:$K58,_xlpm.pos&amp;""),_xlpm.bal,_xlpm.alo-_xlpm.usd,IFERROR(INDEX(_xlfn._xlws.FILTER(_xlpm.pos,(_xlpm.pos&lt;&gt;"")*(_xlpm.qty&gt;0)*(_xlpm.bal&gt;=_xlpm.qty)),1),"")))</f>
        <v/>
      </c>
      <c r="L59" s="348"/>
      <c r="M59" s="277"/>
      <c r="N59" s="277"/>
      <c r="O59" s="277"/>
    </row>
    <row r="60" spans="1:34" ht="21.75" x14ac:dyDescent="0.25">
      <c r="A60" s="217" t="str" cm="1">
        <f t="array" ref="A60">IFERROR(INDEX(_xlfn.ANCHORARRAY($P$6),ROW()-5,1),"")</f>
        <v/>
      </c>
      <c r="B60" s="344" t="str" cm="1">
        <f t="array" ref="B60">IFERROR(INDEX(_xlfn.ANCHORARRAY($P$6),ROW()-5,2),"")</f>
        <v/>
      </c>
      <c r="C60" s="345" t="str">
        <f>IF($A60="","",IF($J60="DIESEL",SUMIFS(Table1[Quantity],Table1[Customer],$M$3,Table1[Date],$A60,Table1[Bill No.],$B60),IF($J60="PETROL",SUMIFS(Table14[Quantity],Table14[Customer],$M$3,Table14[Date],$A60,Table14[Bill No.],$B60),IF($J60="XtraGreen",SUMIFS(Table146[Quantity],Table146[Company],$M$3,Table146[Date],$A60,Table146[Bill No.],$B60),""))))</f>
        <v/>
      </c>
      <c r="D60" s="346" t="str">
        <f>IF($A60="","",IF($J60="DIESEL",AVERAGEIFS(Table1[RSP],Table1[Customer],$M$3,Table1[Date],$A60,Table1[Bill No.],$B60),IF($J60="PETROL",AVERAGEIFS(Table14[RSP],Table14[Customer],$M$3,Table14[Date],$A60,Table14[Bill No.],$B60),IF($J60="XtraGreen",AVERAGEIFS(Table146[RSP],Table146[Company],$M$3,Table146[Date],$A60,Table146[Bill No.],$B60),IFERROR($E60/$C60,"")))))</f>
        <v/>
      </c>
      <c r="E60" s="347" t="str">
        <f>IF($A60="","",IF($J60="DIESEL",SUMIFS(Table1[Amount],Table1[Customer],$M$3,Table1[Date],$A60,Table1[Bill No.],$B60),IF($J60="PETROL",SUMIFS(Table14[Amount],Table14[Customer],$M$3,Table14[Date],$A60,Table14[Bill No.],$B60),IF($J60="XtraGreen",SUMIFS(Table146[Amount],Table146[Company],$M$3,Table146[Date],$A60,Table146[Bill No.],$B60),SUMIFS('Other Sale'!$D:$D,'Other Sale'!$E:$E,$M$3,'Other Sale'!$C:$C,$J60,'Other Sale'!$A:$A,$A60)))))</f>
        <v/>
      </c>
      <c r="F60" s="347" t="str" cm="1">
        <f t="array" ref="F60">IF($A60="","",IF($J60="Payment",IFERROR(INDEX(_xlfn._xlws.FILTER(MasterPaid[Amount Paid],(MasterPaid[Customer]=$M$3)*(MasterPaid[Date]=$A60)),COUNTIFS($A$6:$A60,$A60,$J$6:$J60,"Payment")),0),0))</f>
        <v/>
      </c>
      <c r="G60" s="331"/>
      <c r="H60" s="427"/>
      <c r="I60" s="330" t="str">
        <f t="shared" si="9"/>
        <v/>
      </c>
      <c r="J60" s="344" t="str" cm="1">
        <f t="array" ref="J60">IFERROR(INDEX(_xlfn.ANCHORARRAY($P$6),ROW()-5,3),"")</f>
        <v/>
      </c>
      <c r="K60" s="432" t="str" cm="1">
        <f t="array" ref="K60">IF(OR($A60="",$J60&lt;&gt;"DIESEL"),"",_xlfn.LET(_xlpm.qty,N($C60),_xlpm.pos,$T$5:$T$54,_xlpm.alo,IF($U$5:$U$54="",0,$U$5:$U$54),_xlpm.usd,SUMIFS($C$6:$C59,$K$6:$K59,_xlpm.pos&amp;""),_xlpm.bal,_xlpm.alo-_xlpm.usd,IFERROR(INDEX(_xlfn._xlws.FILTER(_xlpm.pos,(_xlpm.pos&lt;&gt;"")*(_xlpm.qty&gt;0)*(_xlpm.bal&gt;=_xlpm.qty)),1),"")))</f>
        <v/>
      </c>
      <c r="L60" s="348"/>
      <c r="M60" s="277"/>
      <c r="N60" s="277"/>
      <c r="O60" s="277"/>
    </row>
    <row r="61" spans="1:34" ht="21.75" x14ac:dyDescent="0.25">
      <c r="A61" s="217" t="str" cm="1">
        <f t="array" ref="A61">IFERROR(INDEX(_xlfn.ANCHORARRAY($P$6),ROW()-5,1),"")</f>
        <v/>
      </c>
      <c r="B61" s="344" t="str" cm="1">
        <f t="array" ref="B61">IFERROR(INDEX(_xlfn.ANCHORARRAY($P$6),ROW()-5,2),"")</f>
        <v/>
      </c>
      <c r="C61" s="345" t="str">
        <f>IF($A61="","",IF($J61="DIESEL",SUMIFS(Table1[Quantity],Table1[Customer],$M$3,Table1[Date],$A61,Table1[Bill No.],$B61),IF($J61="PETROL",SUMIFS(Table14[Quantity],Table14[Customer],$M$3,Table14[Date],$A61,Table14[Bill No.],$B61),IF($J61="XtraGreen",SUMIFS(Table146[Quantity],Table146[Company],$M$3,Table146[Date],$A61,Table146[Bill No.],$B61),""))))</f>
        <v/>
      </c>
      <c r="D61" s="346" t="str">
        <f>IF($A61="","",IF($J61="DIESEL",AVERAGEIFS(Table1[RSP],Table1[Customer],$M$3,Table1[Date],$A61,Table1[Bill No.],$B61),IF($J61="PETROL",AVERAGEIFS(Table14[RSP],Table14[Customer],$M$3,Table14[Date],$A61,Table14[Bill No.],$B61),IF($J61="XtraGreen",AVERAGEIFS(Table146[RSP],Table146[Company],$M$3,Table146[Date],$A61,Table146[Bill No.],$B61),IFERROR($E61/$C61,"")))))</f>
        <v/>
      </c>
      <c r="E61" s="347" t="str">
        <f>IF($A61="","",IF($J61="DIESEL",SUMIFS(Table1[Amount],Table1[Customer],$M$3,Table1[Date],$A61,Table1[Bill No.],$B61),IF($J61="PETROL",SUMIFS(Table14[Amount],Table14[Customer],$M$3,Table14[Date],$A61,Table14[Bill No.],$B61),IF($J61="XtraGreen",SUMIFS(Table146[Amount],Table146[Company],$M$3,Table146[Date],$A61,Table146[Bill No.],$B61),SUMIFS('Other Sale'!$D:$D,'Other Sale'!$E:$E,$M$3,'Other Sale'!$C:$C,$J61,'Other Sale'!$A:$A,$A61)))))</f>
        <v/>
      </c>
      <c r="F61" s="347" t="str" cm="1">
        <f t="array" ref="F61">IF($A61="","",IF($J61="Payment",IFERROR(INDEX(_xlfn._xlws.FILTER(MasterPaid[Amount Paid],(MasterPaid[Customer]=$M$3)*(MasterPaid[Date]=$A61)),COUNTIFS($A$6:$A61,$A61,$J$6:$J61,"Payment")),0),0))</f>
        <v/>
      </c>
      <c r="G61" s="331"/>
      <c r="H61" s="427"/>
      <c r="I61" s="330" t="str">
        <f t="shared" si="9"/>
        <v/>
      </c>
      <c r="J61" s="344" t="str" cm="1">
        <f t="array" ref="J61">IFERROR(INDEX(_xlfn.ANCHORARRAY($P$6),ROW()-5,3),"")</f>
        <v/>
      </c>
      <c r="K61" s="432" t="str" cm="1">
        <f t="array" ref="K61">IF(OR($A61="",$J61&lt;&gt;"DIESEL"),"",_xlfn.LET(_xlpm.qty,N($C61),_xlpm.pos,$T$5:$T$54,_xlpm.alo,IF($U$5:$U$54="",0,$U$5:$U$54),_xlpm.usd,SUMIFS($C$6:$C60,$K$6:$K60,_xlpm.pos&amp;""),_xlpm.bal,_xlpm.alo-_xlpm.usd,IFERROR(INDEX(_xlfn._xlws.FILTER(_xlpm.pos,(_xlpm.pos&lt;&gt;"")*(_xlpm.qty&gt;0)*(_xlpm.bal&gt;=_xlpm.qty)),1),"")))</f>
        <v/>
      </c>
      <c r="L61" s="348"/>
      <c r="M61" s="277"/>
      <c r="N61" s="277"/>
      <c r="O61" s="277"/>
    </row>
    <row r="62" spans="1:34" ht="23" x14ac:dyDescent="0.25">
      <c r="A62" s="217" t="str" cm="1">
        <f t="array" ref="A62">IFERROR(INDEX(_xlfn.ANCHORARRAY($P$6),ROW()-5,1),"")</f>
        <v/>
      </c>
      <c r="B62" s="344" t="str" cm="1">
        <f t="array" ref="B62">IFERROR(INDEX(_xlfn.ANCHORARRAY($P$6),ROW()-5,2),"")</f>
        <v/>
      </c>
      <c r="C62" s="345" t="str">
        <f>IF($A62="","",IF($J62="DIESEL",SUMIFS(Table1[Quantity],Table1[Customer],$M$3,Table1[Date],$A62,Table1[Bill No.],$B62),IF($J62="PETROL",SUMIFS(Table14[Quantity],Table14[Customer],$M$3,Table14[Date],$A62,Table14[Bill No.],$B62),IF($J62="XtraGreen",SUMIFS(Table146[Quantity],Table146[Company],$M$3,Table146[Date],$A62,Table146[Bill No.],$B62),""))))</f>
        <v/>
      </c>
      <c r="D62" s="346" t="str">
        <f>IF($A62="","",IF($J62="DIESEL",AVERAGEIFS(Table1[RSP],Table1[Customer],$M$3,Table1[Date],$A62,Table1[Bill No.],$B62),IF($J62="PETROL",AVERAGEIFS(Table14[RSP],Table14[Customer],$M$3,Table14[Date],$A62,Table14[Bill No.],$B62),IF($J62="XtraGreen",AVERAGEIFS(Table146[RSP],Table146[Company],$M$3,Table146[Date],$A62,Table146[Bill No.],$B62),IFERROR($E62/$C62,"")))))</f>
        <v/>
      </c>
      <c r="E62" s="347" t="str">
        <f>IF($A62="","",IF($J62="DIESEL",SUMIFS(Table1[Amount],Table1[Customer],$M$3,Table1[Date],$A62,Table1[Bill No.],$B62),IF($J62="PETROL",SUMIFS(Table14[Amount],Table14[Customer],$M$3,Table14[Date],$A62,Table14[Bill No.],$B62),IF($J62="XtraGreen",SUMIFS(Table146[Amount],Table146[Company],$M$3,Table146[Date],$A62,Table146[Bill No.],$B62),SUMIFS('Other Sale'!$D:$D,'Other Sale'!$E:$E,$M$3,'Other Sale'!$C:$C,$J62,'Other Sale'!$A:$A,$A62)))))</f>
        <v/>
      </c>
      <c r="F62" s="347" t="str" cm="1">
        <f t="array" ref="F62">IF($A62="","",IF($J62="Payment",IFERROR(INDEX(_xlfn._xlws.FILTER(MasterPaid[Amount Paid],(MasterPaid[Customer]=$M$3)*(MasterPaid[Date]=$A62)),COUNTIFS($A$6:$A62,$A62,$J$6:$J62,"Payment")),0),0))</f>
        <v/>
      </c>
      <c r="G62" s="331"/>
      <c r="H62" s="427"/>
      <c r="I62" s="330" t="str">
        <f t="shared" si="9"/>
        <v/>
      </c>
      <c r="J62" s="344" t="str" cm="1">
        <f t="array" ref="J62">IFERROR(INDEX(_xlfn.ANCHORARRAY($P$6),ROW()-5,3),"")</f>
        <v/>
      </c>
      <c r="K62" s="432" t="str" cm="1">
        <f t="array" ref="K62">IF(OR($A62="",$J62&lt;&gt;"DIESEL"),"",_xlfn.LET(_xlpm.qty,N($C62),_xlpm.pos,$T$5:$T$54,_xlpm.alo,IF($U$5:$U$54="",0,$U$5:$U$54),_xlpm.usd,SUMIFS($C$6:$C61,$K$6:$K61,_xlpm.pos&amp;""),_xlpm.bal,_xlpm.alo-_xlpm.usd,IFERROR(INDEX(_xlfn._xlws.FILTER(_xlpm.pos,(_xlpm.pos&lt;&gt;"")*(_xlpm.qty&gt;0)*(_xlpm.bal&gt;=_xlpm.qty)),1),"")))</f>
        <v/>
      </c>
      <c r="L62" s="348"/>
      <c r="M62" s="277"/>
      <c r="N62" s="277"/>
      <c r="O62" s="277"/>
    </row>
    <row r="63" spans="1:34" ht="23" x14ac:dyDescent="0.25">
      <c r="A63" s="217" t="str" cm="1">
        <f t="array" ref="A63">IFERROR(INDEX(_xlfn.ANCHORARRAY($P$6),ROW()-5,1),"")</f>
        <v/>
      </c>
      <c r="B63" s="344" t="str" cm="1">
        <f t="array" ref="B63">IFERROR(INDEX(_xlfn.ANCHORARRAY($P$6),ROW()-5,2),"")</f>
        <v/>
      </c>
      <c r="C63" s="345" t="str">
        <f>IF($A63="","",IF($J63="DIESEL",SUMIFS(Table1[Quantity],Table1[Customer],$M$3,Table1[Date],$A63,Table1[Bill No.],$B63),IF($J63="PETROL",SUMIFS(Table14[Quantity],Table14[Customer],$M$3,Table14[Date],$A63,Table14[Bill No.],$B63),IF($J63="XtraGreen",SUMIFS(Table146[Quantity],Table146[Company],$M$3,Table146[Date],$A63,Table146[Bill No.],$B63),""))))</f>
        <v/>
      </c>
      <c r="D63" s="346" t="str">
        <f>IF($A63="","",IF($J63="DIESEL",AVERAGEIFS(Table1[RSP],Table1[Customer],$M$3,Table1[Date],$A63,Table1[Bill No.],$B63),IF($J63="PETROL",AVERAGEIFS(Table14[RSP],Table14[Customer],$M$3,Table14[Date],$A63,Table14[Bill No.],$B63),IF($J63="XtraGreen",AVERAGEIFS(Table146[RSP],Table146[Company],$M$3,Table146[Date],$A63,Table146[Bill No.],$B63),IFERROR($E63/$C63,"")))))</f>
        <v/>
      </c>
      <c r="E63" s="347" t="str">
        <f>IF($A63="","",IF($J63="DIESEL",SUMIFS(Table1[Amount],Table1[Customer],$M$3,Table1[Date],$A63,Table1[Bill No.],$B63),IF($J63="PETROL",SUMIFS(Table14[Amount],Table14[Customer],$M$3,Table14[Date],$A63,Table14[Bill No.],$B63),IF($J63="XtraGreen",SUMIFS(Table146[Amount],Table146[Company],$M$3,Table146[Date],$A63,Table146[Bill No.],$B63),SUMIFS('Other Sale'!$D:$D,'Other Sale'!$E:$E,$M$3,'Other Sale'!$C:$C,$J63,'Other Sale'!$A:$A,$A63)))))</f>
        <v/>
      </c>
      <c r="F63" s="347" t="str" cm="1">
        <f t="array" ref="F63">IF($A63="","",IF($J63="Payment",IFERROR(INDEX(_xlfn._xlws.FILTER(MasterPaid[Amount Paid],(MasterPaid[Customer]=$M$3)*(MasterPaid[Date]=$A63)),COUNTIFS($A$6:$A63,$A63,$J$6:$J63,"Payment")),0),0))</f>
        <v/>
      </c>
      <c r="G63" s="331"/>
      <c r="H63" s="427"/>
      <c r="I63" s="330" t="str">
        <f t="shared" si="9"/>
        <v/>
      </c>
      <c r="J63" s="344" t="str" cm="1">
        <f t="array" ref="J63">IFERROR(INDEX(_xlfn.ANCHORARRAY($P$6),ROW()-5,3),"")</f>
        <v/>
      </c>
      <c r="K63" s="432" t="str" cm="1">
        <f t="array" ref="K63">IF(OR($A63="",$J63&lt;&gt;"DIESEL"),"",_xlfn.LET(_xlpm.qty,N($C63),_xlpm.pos,$T$5:$T$54,_xlpm.alo,IF($U$5:$U$54="",0,$U$5:$U$54),_xlpm.usd,SUMIFS($C$6:$C62,$K$6:$K62,_xlpm.pos&amp;""),_xlpm.bal,_xlpm.alo-_xlpm.usd,IFERROR(INDEX(_xlfn._xlws.FILTER(_xlpm.pos,(_xlpm.pos&lt;&gt;"")*(_xlpm.qty&gt;0)*(_xlpm.bal&gt;=_xlpm.qty)),1),"")))</f>
        <v/>
      </c>
      <c r="L63" s="348"/>
      <c r="M63" s="277"/>
      <c r="N63" s="277"/>
      <c r="O63" s="277"/>
    </row>
    <row r="64" spans="1:34" ht="23" x14ac:dyDescent="0.25">
      <c r="A64" s="217" t="str" cm="1">
        <f t="array" ref="A64">IFERROR(INDEX(_xlfn.ANCHORARRAY($P$6),ROW()-5,1),"")</f>
        <v/>
      </c>
      <c r="B64" s="344" t="str" cm="1">
        <f t="array" ref="B64">IFERROR(INDEX(_xlfn.ANCHORARRAY($P$6),ROW()-5,2),"")</f>
        <v/>
      </c>
      <c r="C64" s="345" t="str">
        <f>IF($A64="","",IF($J64="DIESEL",SUMIFS(Table1[Quantity],Table1[Customer],$M$3,Table1[Date],$A64,Table1[Bill No.],$B64),IF($J64="PETROL",SUMIFS(Table14[Quantity],Table14[Customer],$M$3,Table14[Date],$A64,Table14[Bill No.],$B64),IF($J64="XtraGreen",SUMIFS(Table146[Quantity],Table146[Company],$M$3,Table146[Date],$A64,Table146[Bill No.],$B64),""))))</f>
        <v/>
      </c>
      <c r="D64" s="346" t="str">
        <f>IF($A64="","",IF($J64="DIESEL",AVERAGEIFS(Table1[RSP],Table1[Customer],$M$3,Table1[Date],$A64,Table1[Bill No.],$B64),IF($J64="PETROL",AVERAGEIFS(Table14[RSP],Table14[Customer],$M$3,Table14[Date],$A64,Table14[Bill No.],$B64),IF($J64="XtraGreen",AVERAGEIFS(Table146[RSP],Table146[Company],$M$3,Table146[Date],$A64,Table146[Bill No.],$B64),IFERROR($E64/$C64,"")))))</f>
        <v/>
      </c>
      <c r="E64" s="347" t="str">
        <f>IF($A64="","",IF($J64="DIESEL",SUMIFS(Table1[Amount],Table1[Customer],$M$3,Table1[Date],$A64,Table1[Bill No.],$B64),IF($J64="PETROL",SUMIFS(Table14[Amount],Table14[Customer],$M$3,Table14[Date],$A64,Table14[Bill No.],$B64),IF($J64="XtraGreen",SUMIFS(Table146[Amount],Table146[Company],$M$3,Table146[Date],$A64,Table146[Bill No.],$B64),SUMIFS('Other Sale'!$D:$D,'Other Sale'!$E:$E,$M$3,'Other Sale'!$C:$C,$J64,'Other Sale'!$A:$A,$A64)))))</f>
        <v/>
      </c>
      <c r="F64" s="347" t="str" cm="1">
        <f t="array" ref="F64">IF($A64="","",IF($J64="Payment",IFERROR(INDEX(_xlfn._xlws.FILTER(MasterPaid[Amount Paid],(MasterPaid[Customer]=$M$3)*(MasterPaid[Date]=$A64)),COUNTIFS($A$6:$A64,$A64,$J$6:$J64,"Payment")),0),0))</f>
        <v/>
      </c>
      <c r="G64" s="331"/>
      <c r="H64" s="427"/>
      <c r="I64" s="330" t="str">
        <f t="shared" si="9"/>
        <v/>
      </c>
      <c r="J64" s="344" t="str" cm="1">
        <f t="array" ref="J64">IFERROR(INDEX(_xlfn.ANCHORARRAY($P$6),ROW()-5,3),"")</f>
        <v/>
      </c>
      <c r="K64" s="432" t="str" cm="1">
        <f t="array" ref="K64">IF(OR($A64="",$J64&lt;&gt;"DIESEL"),"",_xlfn.LET(_xlpm.qty,N($C64),_xlpm.pos,$T$5:$T$54,_xlpm.alo,IF($U$5:$U$54="",0,$U$5:$U$54),_xlpm.usd,SUMIFS($C$6:$C63,$K$6:$K63,_xlpm.pos&amp;""),_xlpm.bal,_xlpm.alo-_xlpm.usd,IFERROR(INDEX(_xlfn._xlws.FILTER(_xlpm.pos,(_xlpm.pos&lt;&gt;"")*(_xlpm.qty&gt;0)*(_xlpm.bal&gt;=_xlpm.qty)),1),"")))</f>
        <v/>
      </c>
      <c r="L64" s="348"/>
      <c r="M64" s="277"/>
      <c r="N64" s="277"/>
      <c r="O64" s="277"/>
    </row>
    <row r="65" spans="1:15" ht="23" x14ac:dyDescent="0.25">
      <c r="A65" s="217" t="str" cm="1">
        <f t="array" ref="A65">IFERROR(INDEX(_xlfn.ANCHORARRAY($P$6),ROW()-5,1),"")</f>
        <v/>
      </c>
      <c r="B65" s="344" t="str" cm="1">
        <f t="array" ref="B65">IFERROR(INDEX(_xlfn.ANCHORARRAY($P$6),ROW()-5,2),"")</f>
        <v/>
      </c>
      <c r="C65" s="345" t="str">
        <f>IF($A65="","",IF($J65="DIESEL",SUMIFS(Table1[Quantity],Table1[Customer],$M$3,Table1[Date],$A65,Table1[Bill No.],$B65),IF($J65="PETROL",SUMIFS(Table14[Quantity],Table14[Customer],$M$3,Table14[Date],$A65,Table14[Bill No.],$B65),IF($J65="XtraGreen",SUMIFS(Table146[Quantity],Table146[Company],$M$3,Table146[Date],$A65,Table146[Bill No.],$B65),""))))</f>
        <v/>
      </c>
      <c r="D65" s="346" t="str">
        <f>IF($A65="","",IF($J65="DIESEL",AVERAGEIFS(Table1[RSP],Table1[Customer],$M$3,Table1[Date],$A65,Table1[Bill No.],$B65),IF($J65="PETROL",AVERAGEIFS(Table14[RSP],Table14[Customer],$M$3,Table14[Date],$A65,Table14[Bill No.],$B65),IF($J65="XtraGreen",AVERAGEIFS(Table146[RSP],Table146[Company],$M$3,Table146[Date],$A65,Table146[Bill No.],$B65),IFERROR($E65/$C65,"")))))</f>
        <v/>
      </c>
      <c r="E65" s="347" t="str">
        <f>IF($A65="","",IF($J65="DIESEL",SUMIFS(Table1[Amount],Table1[Customer],$M$3,Table1[Date],$A65,Table1[Bill No.],$B65),IF($J65="PETROL",SUMIFS(Table14[Amount],Table14[Customer],$M$3,Table14[Date],$A65,Table14[Bill No.],$B65),IF($J65="XtraGreen",SUMIFS(Table146[Amount],Table146[Company],$M$3,Table146[Date],$A65,Table146[Bill No.],$B65),SUMIFS('Other Sale'!$D:$D,'Other Sale'!$E:$E,$M$3,'Other Sale'!$C:$C,$J65,'Other Sale'!$A:$A,$A65)))))</f>
        <v/>
      </c>
      <c r="F65" s="347" t="str" cm="1">
        <f t="array" ref="F65">IF($A65="","",IF($J65="Payment",IFERROR(INDEX(_xlfn._xlws.FILTER(MasterPaid[Amount Paid],(MasterPaid[Customer]=$M$3)*(MasterPaid[Date]=$A65)),COUNTIFS($A$6:$A65,$A65,$J$6:$J65,"Payment")),0),0))</f>
        <v/>
      </c>
      <c r="G65" s="331"/>
      <c r="H65" s="427"/>
      <c r="I65" s="330" t="str">
        <f t="shared" si="9"/>
        <v/>
      </c>
      <c r="J65" s="344" t="str" cm="1">
        <f t="array" ref="J65">IFERROR(INDEX(_xlfn.ANCHORARRAY($P$6),ROW()-5,3),"")</f>
        <v/>
      </c>
      <c r="K65" s="432" t="str" cm="1">
        <f t="array" ref="K65">IF(OR($A65="",$J65&lt;&gt;"DIESEL"),"",_xlfn.LET(_xlpm.qty,N($C65),_xlpm.pos,$T$5:$T$54,_xlpm.alo,IF($U$5:$U$54="",0,$U$5:$U$54),_xlpm.usd,SUMIFS($C$6:$C64,$K$6:$K64,_xlpm.pos&amp;""),_xlpm.bal,_xlpm.alo-_xlpm.usd,IFERROR(INDEX(_xlfn._xlws.FILTER(_xlpm.pos,(_xlpm.pos&lt;&gt;"")*(_xlpm.qty&gt;0)*(_xlpm.bal&gt;=_xlpm.qty)),1),"")))</f>
        <v/>
      </c>
      <c r="L65" s="348"/>
      <c r="M65" s="277"/>
      <c r="N65" s="277"/>
      <c r="O65" s="277"/>
    </row>
    <row r="66" spans="1:15" ht="23" x14ac:dyDescent="0.25">
      <c r="A66" s="217" t="str" cm="1">
        <f t="array" ref="A66">IFERROR(INDEX(_xlfn.ANCHORARRAY($P$6),ROW()-5,1),"")</f>
        <v/>
      </c>
      <c r="B66" s="344" t="str" cm="1">
        <f t="array" ref="B66">IFERROR(INDEX(_xlfn.ANCHORARRAY($P$6),ROW()-5,2),"")</f>
        <v/>
      </c>
      <c r="C66" s="345" t="str">
        <f>IF($A66="","",IF($J66="DIESEL",SUMIFS(Table1[Quantity],Table1[Customer],$M$3,Table1[Date],$A66,Table1[Bill No.],$B66),IF($J66="PETROL",SUMIFS(Table14[Quantity],Table14[Customer],$M$3,Table14[Date],$A66,Table14[Bill No.],$B66),IF($J66="XtraGreen",SUMIFS(Table146[Quantity],Table146[Company],$M$3,Table146[Date],$A66,Table146[Bill No.],$B66),""))))</f>
        <v/>
      </c>
      <c r="D66" s="346" t="str">
        <f>IF($A66="","",IF($J66="DIESEL",AVERAGEIFS(Table1[RSP],Table1[Customer],$M$3,Table1[Date],$A66,Table1[Bill No.],$B66),IF($J66="PETROL",AVERAGEIFS(Table14[RSP],Table14[Customer],$M$3,Table14[Date],$A66,Table14[Bill No.],$B66),IF($J66="XtraGreen",AVERAGEIFS(Table146[RSP],Table146[Company],$M$3,Table146[Date],$A66,Table146[Bill No.],$B66),IFERROR($E66/$C66,"")))))</f>
        <v/>
      </c>
      <c r="E66" s="347" t="str">
        <f>IF($A66="","",IF($J66="DIESEL",SUMIFS(Table1[Amount],Table1[Customer],$M$3,Table1[Date],$A66,Table1[Bill No.],$B66),IF($J66="PETROL",SUMIFS(Table14[Amount],Table14[Customer],$M$3,Table14[Date],$A66,Table14[Bill No.],$B66),IF($J66="XtraGreen",SUMIFS(Table146[Amount],Table146[Company],$M$3,Table146[Date],$A66,Table146[Bill No.],$B66),SUMIFS('Other Sale'!$D:$D,'Other Sale'!$E:$E,$M$3,'Other Sale'!$C:$C,$J66,'Other Sale'!$A:$A,$A66)))))</f>
        <v/>
      </c>
      <c r="F66" s="347" t="str" cm="1">
        <f t="array" ref="F66">IF($A66="","",IF($J66="Payment",IFERROR(INDEX(_xlfn._xlws.FILTER(MasterPaid[Amount Paid],(MasterPaid[Customer]=$M$3)*(MasterPaid[Date]=$A66)),COUNTIFS($A$6:$A66,$A66,$J$6:$J66,"Payment")),0),0))</f>
        <v/>
      </c>
      <c r="G66" s="331"/>
      <c r="H66" s="427"/>
      <c r="I66" s="330" t="str">
        <f t="shared" si="9"/>
        <v/>
      </c>
      <c r="J66" s="344" t="str" cm="1">
        <f t="array" ref="J66">IFERROR(INDEX(_xlfn.ANCHORARRAY($P$6),ROW()-5,3),"")</f>
        <v/>
      </c>
      <c r="K66" s="432" t="str" cm="1">
        <f t="array" ref="K66">IF(OR($A66="",$J66&lt;&gt;"DIESEL"),"",_xlfn.LET(_xlpm.qty,N($C66),_xlpm.pos,$T$5:$T$54,_xlpm.alo,IF($U$5:$U$54="",0,$U$5:$U$54),_xlpm.usd,SUMIFS($C$6:$C65,$K$6:$K65,_xlpm.pos&amp;""),_xlpm.bal,_xlpm.alo-_xlpm.usd,IFERROR(INDEX(_xlfn._xlws.FILTER(_xlpm.pos,(_xlpm.pos&lt;&gt;"")*(_xlpm.qty&gt;0)*(_xlpm.bal&gt;=_xlpm.qty)),1),"")))</f>
        <v/>
      </c>
      <c r="L66" s="348"/>
      <c r="M66" s="277"/>
      <c r="N66" s="277"/>
      <c r="O66" s="277"/>
    </row>
    <row r="67" spans="1:15" ht="23" x14ac:dyDescent="0.25">
      <c r="A67" s="217" t="str" cm="1">
        <f t="array" ref="A67">IFERROR(INDEX(_xlfn.ANCHORARRAY($P$6),ROW()-5,1),"")</f>
        <v/>
      </c>
      <c r="B67" s="344" t="str" cm="1">
        <f t="array" ref="B67">IFERROR(INDEX(_xlfn.ANCHORARRAY($P$6),ROW()-5,2),"")</f>
        <v/>
      </c>
      <c r="C67" s="345" t="str">
        <f>IF($A67="","",IF($J67="DIESEL",SUMIFS(Table1[Quantity],Table1[Customer],$M$3,Table1[Date],$A67,Table1[Bill No.],$B67),IF($J67="PETROL",SUMIFS(Table14[Quantity],Table14[Customer],$M$3,Table14[Date],$A67,Table14[Bill No.],$B67),IF($J67="XtraGreen",SUMIFS(Table146[Quantity],Table146[Company],$M$3,Table146[Date],$A67,Table146[Bill No.],$B67),""))))</f>
        <v/>
      </c>
      <c r="D67" s="346" t="str">
        <f>IF($A67="","",IF($J67="DIESEL",AVERAGEIFS(Table1[RSP],Table1[Customer],$M$3,Table1[Date],$A67,Table1[Bill No.],$B67),IF($J67="PETROL",AVERAGEIFS(Table14[RSP],Table14[Customer],$M$3,Table14[Date],$A67,Table14[Bill No.],$B67),IF($J67="XtraGreen",AVERAGEIFS(Table146[RSP],Table146[Company],$M$3,Table146[Date],$A67,Table146[Bill No.],$B67),IFERROR($E67/$C67,"")))))</f>
        <v/>
      </c>
      <c r="E67" s="347" t="str">
        <f>IF($A67="","",IF($J67="DIESEL",SUMIFS(Table1[Amount],Table1[Customer],$M$3,Table1[Date],$A67,Table1[Bill No.],$B67),IF($J67="PETROL",SUMIFS(Table14[Amount],Table14[Customer],$M$3,Table14[Date],$A67,Table14[Bill No.],$B67),IF($J67="XtraGreen",SUMIFS(Table146[Amount],Table146[Company],$M$3,Table146[Date],$A67,Table146[Bill No.],$B67),SUMIFS('Other Sale'!$D:$D,'Other Sale'!$E:$E,$M$3,'Other Sale'!$C:$C,$J67,'Other Sale'!$A:$A,$A67)))))</f>
        <v/>
      </c>
      <c r="F67" s="347" t="str" cm="1">
        <f t="array" ref="F67">IF($A67="","",IF($J67="Payment",IFERROR(INDEX(_xlfn._xlws.FILTER(MasterPaid[Amount Paid],(MasterPaid[Customer]=$M$3)*(MasterPaid[Date]=$A67)),COUNTIFS($A$6:$A67,$A67,$J$6:$J67,"Payment")),0),0))</f>
        <v/>
      </c>
      <c r="G67" s="331"/>
      <c r="H67" s="427"/>
      <c r="I67" s="330" t="str">
        <f t="shared" si="9"/>
        <v/>
      </c>
      <c r="J67" s="344" t="str" cm="1">
        <f t="array" ref="J67">IFERROR(INDEX(_xlfn.ANCHORARRAY($P$6),ROW()-5,3),"")</f>
        <v/>
      </c>
      <c r="K67" s="432" t="str" cm="1">
        <f t="array" ref="K67">IF(OR($A67="",$J67&lt;&gt;"DIESEL"),"",_xlfn.LET(_xlpm.qty,N($C67),_xlpm.pos,$T$5:$T$54,_xlpm.alo,IF($U$5:$U$54="",0,$U$5:$U$54),_xlpm.usd,SUMIFS($C$6:$C66,$K$6:$K66,_xlpm.pos&amp;""),_xlpm.bal,_xlpm.alo-_xlpm.usd,IFERROR(INDEX(_xlfn._xlws.FILTER(_xlpm.pos,(_xlpm.pos&lt;&gt;"")*(_xlpm.qty&gt;0)*(_xlpm.bal&gt;=_xlpm.qty)),1),"")))</f>
        <v/>
      </c>
      <c r="L67" s="348"/>
      <c r="M67" s="277"/>
      <c r="N67" s="277"/>
      <c r="O67" s="277"/>
    </row>
    <row r="68" spans="1:15" ht="23" x14ac:dyDescent="0.25">
      <c r="A68" s="217" t="str" cm="1">
        <f t="array" ref="A68">IFERROR(INDEX(_xlfn.ANCHORARRAY($P$6),ROW()-5,1),"")</f>
        <v/>
      </c>
      <c r="B68" s="344" t="str" cm="1">
        <f t="array" ref="B68">IFERROR(INDEX(_xlfn.ANCHORARRAY($P$6),ROW()-5,2),"")</f>
        <v/>
      </c>
      <c r="C68" s="345" t="str">
        <f>IF($A68="","",IF($J68="DIESEL",SUMIFS(Table1[Quantity],Table1[Customer],$M$3,Table1[Date],$A68,Table1[Bill No.],$B68),IF($J68="PETROL",SUMIFS(Table14[Quantity],Table14[Customer],$M$3,Table14[Date],$A68,Table14[Bill No.],$B68),IF($J68="XtraGreen",SUMIFS(Table146[Quantity],Table146[Company],$M$3,Table146[Date],$A68,Table146[Bill No.],$B68),""))))</f>
        <v/>
      </c>
      <c r="D68" s="346" t="str">
        <f>IF($A68="","",IF($J68="DIESEL",AVERAGEIFS(Table1[RSP],Table1[Customer],$M$3,Table1[Date],$A68,Table1[Bill No.],$B68),IF($J68="PETROL",AVERAGEIFS(Table14[RSP],Table14[Customer],$M$3,Table14[Date],$A68,Table14[Bill No.],$B68),IF($J68="XtraGreen",AVERAGEIFS(Table146[RSP],Table146[Company],$M$3,Table146[Date],$A68,Table146[Bill No.],$B68),IFERROR($E68/$C68,"")))))</f>
        <v/>
      </c>
      <c r="E68" s="347" t="str">
        <f>IF($A68="","",IF($J68="DIESEL",SUMIFS(Table1[Amount],Table1[Customer],$M$3,Table1[Date],$A68,Table1[Bill No.],$B68),IF($J68="PETROL",SUMIFS(Table14[Amount],Table14[Customer],$M$3,Table14[Date],$A68,Table14[Bill No.],$B68),IF($J68="XtraGreen",SUMIFS(Table146[Amount],Table146[Company],$M$3,Table146[Date],$A68,Table146[Bill No.],$B68),SUMIFS('Other Sale'!$D:$D,'Other Sale'!$E:$E,$M$3,'Other Sale'!$C:$C,$J68,'Other Sale'!$A:$A,$A68)))))</f>
        <v/>
      </c>
      <c r="F68" s="347" t="str" cm="1">
        <f t="array" ref="F68">IF($A68="","",IF($J68="Payment",IFERROR(INDEX(_xlfn._xlws.FILTER(MasterPaid[Amount Paid],(MasterPaid[Customer]=$M$3)*(MasterPaid[Date]=$A68)),COUNTIFS($A$6:$A68,$A68,$J$6:$J68,"Payment")),0),0))</f>
        <v/>
      </c>
      <c r="G68" s="331"/>
      <c r="H68" s="427"/>
      <c r="I68" s="330" t="str">
        <f t="shared" si="9"/>
        <v/>
      </c>
      <c r="J68" s="344" t="str" cm="1">
        <f t="array" ref="J68">IFERROR(INDEX(_xlfn.ANCHORARRAY($P$6),ROW()-5,3),"")</f>
        <v/>
      </c>
      <c r="K68" s="432" t="str" cm="1">
        <f t="array" ref="K68">IF(OR($A68="",$J68&lt;&gt;"DIESEL"),"",_xlfn.LET(_xlpm.qty,N($C68),_xlpm.pos,$T$5:$T$54,_xlpm.alo,IF($U$5:$U$54="",0,$U$5:$U$54),_xlpm.usd,SUMIFS($C$6:$C67,$K$6:$K67,_xlpm.pos&amp;""),_xlpm.bal,_xlpm.alo-_xlpm.usd,IFERROR(INDEX(_xlfn._xlws.FILTER(_xlpm.pos,(_xlpm.pos&lt;&gt;"")*(_xlpm.qty&gt;0)*(_xlpm.bal&gt;=_xlpm.qty)),1),"")))</f>
        <v/>
      </c>
      <c r="L68" s="348"/>
      <c r="M68" s="277"/>
      <c r="N68" s="277"/>
      <c r="O68" s="277"/>
    </row>
    <row r="69" spans="1:15" ht="23" x14ac:dyDescent="0.25">
      <c r="A69" s="217" t="str" cm="1">
        <f t="array" ref="A69">IFERROR(INDEX(_xlfn.ANCHORARRAY($P$6),ROW()-5,1),"")</f>
        <v/>
      </c>
      <c r="B69" s="344" t="str" cm="1">
        <f t="array" ref="B69">IFERROR(INDEX(_xlfn.ANCHORARRAY($P$6),ROW()-5,2),"")</f>
        <v/>
      </c>
      <c r="C69" s="345" t="str">
        <f>IF($A69="","",IF($J69="DIESEL",SUMIFS(Table1[Quantity],Table1[Customer],$M$3,Table1[Date],$A69,Table1[Bill No.],$B69),IF($J69="PETROL",SUMIFS(Table14[Quantity],Table14[Customer],$M$3,Table14[Date],$A69,Table14[Bill No.],$B69),IF($J69="XtraGreen",SUMIFS(Table146[Quantity],Table146[Company],$M$3,Table146[Date],$A69,Table146[Bill No.],$B69),""))))</f>
        <v/>
      </c>
      <c r="D69" s="346" t="str">
        <f>IF($A69="","",IF($J69="DIESEL",AVERAGEIFS(Table1[RSP],Table1[Customer],$M$3,Table1[Date],$A69,Table1[Bill No.],$B69),IF($J69="PETROL",AVERAGEIFS(Table14[RSP],Table14[Customer],$M$3,Table14[Date],$A69,Table14[Bill No.],$B69),IF($J69="XtraGreen",AVERAGEIFS(Table146[RSP],Table146[Company],$M$3,Table146[Date],$A69,Table146[Bill No.],$B69),IFERROR($E69/$C69,"")))))</f>
        <v/>
      </c>
      <c r="E69" s="347" t="str">
        <f>IF($A69="","",IF($J69="DIESEL",SUMIFS(Table1[Amount],Table1[Customer],$M$3,Table1[Date],$A69,Table1[Bill No.],$B69),IF($J69="PETROL",SUMIFS(Table14[Amount],Table14[Customer],$M$3,Table14[Date],$A69,Table14[Bill No.],$B69),IF($J69="XtraGreen",SUMIFS(Table146[Amount],Table146[Company],$M$3,Table146[Date],$A69,Table146[Bill No.],$B69),SUMIFS('Other Sale'!$D:$D,'Other Sale'!$E:$E,$M$3,'Other Sale'!$C:$C,$J69,'Other Sale'!$A:$A,$A69)))))</f>
        <v/>
      </c>
      <c r="F69" s="347" t="str" cm="1">
        <f t="array" ref="F69">IF($A69="","",IF($J69="Payment",IFERROR(INDEX(_xlfn._xlws.FILTER(MasterPaid[Amount Paid],(MasterPaid[Customer]=$M$3)*(MasterPaid[Date]=$A69)),COUNTIFS($A$6:$A69,$A69,$J$6:$J69,"Payment")),0),0))</f>
        <v/>
      </c>
      <c r="G69" s="331"/>
      <c r="H69" s="427"/>
      <c r="I69" s="330" t="str">
        <f t="shared" si="9"/>
        <v/>
      </c>
      <c r="J69" s="344" t="str" cm="1">
        <f t="array" ref="J69">IFERROR(INDEX(_xlfn.ANCHORARRAY($P$6),ROW()-5,3),"")</f>
        <v/>
      </c>
      <c r="K69" s="432" t="str" cm="1">
        <f t="array" ref="K69">IF(OR($A69="",$J69&lt;&gt;"DIESEL"),"",_xlfn.LET(_xlpm.qty,N($C69),_xlpm.pos,$T$5:$T$54,_xlpm.alo,IF($U$5:$U$54="",0,$U$5:$U$54),_xlpm.usd,SUMIFS($C$6:$C68,$K$6:$K68,_xlpm.pos&amp;""),_xlpm.bal,_xlpm.alo-_xlpm.usd,IFERROR(INDEX(_xlfn._xlws.FILTER(_xlpm.pos,(_xlpm.pos&lt;&gt;"")*(_xlpm.qty&gt;0)*(_xlpm.bal&gt;=_xlpm.qty)),1),"")))</f>
        <v/>
      </c>
      <c r="L69" s="348"/>
      <c r="M69" s="277"/>
      <c r="N69" s="277"/>
      <c r="O69" s="277"/>
    </row>
    <row r="70" spans="1:15" ht="23" x14ac:dyDescent="0.25">
      <c r="A70" s="217" t="str" cm="1">
        <f t="array" ref="A70">IFERROR(INDEX(_xlfn.ANCHORARRAY($P$6),ROW()-5,1),"")</f>
        <v/>
      </c>
      <c r="B70" s="344" t="str" cm="1">
        <f t="array" ref="B70">IFERROR(INDEX(_xlfn.ANCHORARRAY($P$6),ROW()-5,2),"")</f>
        <v/>
      </c>
      <c r="C70" s="345" t="str">
        <f>IF($A70="","",IF($J70="DIESEL",SUMIFS(Table1[Quantity],Table1[Customer],$M$3,Table1[Date],$A70,Table1[Bill No.],$B70),IF($J70="PETROL",SUMIFS(Table14[Quantity],Table14[Customer],$M$3,Table14[Date],$A70,Table14[Bill No.],$B70),IF($J70="XtraGreen",SUMIFS(Table146[Quantity],Table146[Company],$M$3,Table146[Date],$A70,Table146[Bill No.],$B70),""))))</f>
        <v/>
      </c>
      <c r="D70" s="346" t="str">
        <f>IF($A70="","",IF($J70="DIESEL",AVERAGEIFS(Table1[RSP],Table1[Customer],$M$3,Table1[Date],$A70,Table1[Bill No.],$B70),IF($J70="PETROL",AVERAGEIFS(Table14[RSP],Table14[Customer],$M$3,Table14[Date],$A70,Table14[Bill No.],$B70),IF($J70="XtraGreen",AVERAGEIFS(Table146[RSP],Table146[Company],$M$3,Table146[Date],$A70,Table146[Bill No.],$B70),IFERROR($E70/$C70,"")))))</f>
        <v/>
      </c>
      <c r="E70" s="347" t="str">
        <f>IF($A70="","",IF($J70="DIESEL",SUMIFS(Table1[Amount],Table1[Customer],$M$3,Table1[Date],$A70,Table1[Bill No.],$B70),IF($J70="PETROL",SUMIFS(Table14[Amount],Table14[Customer],$M$3,Table14[Date],$A70,Table14[Bill No.],$B70),IF($J70="XtraGreen",SUMIFS(Table146[Amount],Table146[Company],$M$3,Table146[Date],$A70,Table146[Bill No.],$B70),SUMIFS('Other Sale'!$D:$D,'Other Sale'!$E:$E,$M$3,'Other Sale'!$C:$C,$J70,'Other Sale'!$A:$A,$A70)))))</f>
        <v/>
      </c>
      <c r="F70" s="347" t="str" cm="1">
        <f t="array" ref="F70">IF($A70="","",IF($J70="Payment",IFERROR(INDEX(_xlfn._xlws.FILTER(MasterPaid[Amount Paid],(MasterPaid[Customer]=$M$3)*(MasterPaid[Date]=$A70)),COUNTIFS($A$6:$A70,$A70,$J$6:$J70,"Payment")),0),0))</f>
        <v/>
      </c>
      <c r="G70" s="331"/>
      <c r="H70" s="427"/>
      <c r="I70" s="330" t="str">
        <f t="shared" si="9"/>
        <v/>
      </c>
      <c r="J70" s="344" t="str" cm="1">
        <f t="array" ref="J70">IFERROR(INDEX(_xlfn.ANCHORARRAY($P$6),ROW()-5,3),"")</f>
        <v/>
      </c>
      <c r="K70" s="432" t="str" cm="1">
        <f t="array" ref="K70">IF(OR($A70="",$J70&lt;&gt;"DIESEL"),"",_xlfn.LET(_xlpm.qty,N($C70),_xlpm.pos,$T$5:$T$54,_xlpm.alo,IF($U$5:$U$54="",0,$U$5:$U$54),_xlpm.usd,SUMIFS($C$6:$C69,$K$6:$K69,_xlpm.pos&amp;""),_xlpm.bal,_xlpm.alo-_xlpm.usd,IFERROR(INDEX(_xlfn._xlws.FILTER(_xlpm.pos,(_xlpm.pos&lt;&gt;"")*(_xlpm.qty&gt;0)*(_xlpm.bal&gt;=_xlpm.qty)),1),"")))</f>
        <v/>
      </c>
      <c r="L70" s="348"/>
      <c r="M70" s="277"/>
      <c r="N70" s="277"/>
      <c r="O70" s="277"/>
    </row>
    <row r="71" spans="1:15" ht="23" x14ac:dyDescent="0.25">
      <c r="A71" s="217" t="str" cm="1">
        <f t="array" ref="A71">IFERROR(INDEX(_xlfn.ANCHORARRAY($P$6),ROW()-5,1),"")</f>
        <v/>
      </c>
      <c r="B71" s="344" t="str" cm="1">
        <f t="array" ref="B71">IFERROR(INDEX(_xlfn.ANCHORARRAY($P$6),ROW()-5,2),"")</f>
        <v/>
      </c>
      <c r="C71" s="345" t="str">
        <f>IF($A71="","",IF($J71="DIESEL",SUMIFS(Table1[Quantity],Table1[Customer],$M$3,Table1[Date],$A71,Table1[Bill No.],$B71),IF($J71="PETROL",SUMIFS(Table14[Quantity],Table14[Customer],$M$3,Table14[Date],$A71,Table14[Bill No.],$B71),IF($J71="XtraGreen",SUMIFS(Table146[Quantity],Table146[Company],$M$3,Table146[Date],$A71,Table146[Bill No.],$B71),""))))</f>
        <v/>
      </c>
      <c r="D71" s="346" t="str">
        <f>IF($A71="","",IF($J71="DIESEL",AVERAGEIFS(Table1[RSP],Table1[Customer],$M$3,Table1[Date],$A71,Table1[Bill No.],$B71),IF($J71="PETROL",AVERAGEIFS(Table14[RSP],Table14[Customer],$M$3,Table14[Date],$A71,Table14[Bill No.],$B71),IF($J71="XtraGreen",AVERAGEIFS(Table146[RSP],Table146[Company],$M$3,Table146[Date],$A71,Table146[Bill No.],$B71),IFERROR($E71/$C71,"")))))</f>
        <v/>
      </c>
      <c r="E71" s="347" t="str">
        <f>IF($A71="","",IF($J71="DIESEL",SUMIFS(Table1[Amount],Table1[Customer],$M$3,Table1[Date],$A71,Table1[Bill No.],$B71),IF($J71="PETROL",SUMIFS(Table14[Amount],Table14[Customer],$M$3,Table14[Date],$A71,Table14[Bill No.],$B71),IF($J71="XtraGreen",SUMIFS(Table146[Amount],Table146[Company],$M$3,Table146[Date],$A71,Table146[Bill No.],$B71),SUMIFS('Other Sale'!$D:$D,'Other Sale'!$E:$E,$M$3,'Other Sale'!$C:$C,$J71,'Other Sale'!$A:$A,$A71)))))</f>
        <v/>
      </c>
      <c r="F71" s="347" t="str" cm="1">
        <f t="array" ref="F71">IF($A71="","",IF($J71="Payment",IFERROR(INDEX(_xlfn._xlws.FILTER(MasterPaid[Amount Paid],(MasterPaid[Customer]=$M$3)*(MasterPaid[Date]=$A71)),COUNTIFS($A$6:$A71,$A71,$J$6:$J71,"Payment")),0),0))</f>
        <v/>
      </c>
      <c r="G71" s="331"/>
      <c r="H71" s="427"/>
      <c r="I71" s="330" t="str">
        <f t="shared" si="9"/>
        <v/>
      </c>
      <c r="J71" s="344" t="str" cm="1">
        <f t="array" ref="J71">IFERROR(INDEX(_xlfn.ANCHORARRAY($P$6),ROW()-5,3),"")</f>
        <v/>
      </c>
      <c r="K71" s="432" t="str" cm="1">
        <f t="array" ref="K71">IF(OR($A71="",$J71&lt;&gt;"DIESEL"),"",_xlfn.LET(_xlpm.qty,N($C71),_xlpm.pos,$T$5:$T$54,_xlpm.alo,IF($U$5:$U$54="",0,$U$5:$U$54),_xlpm.usd,SUMIFS($C$6:$C70,$K$6:$K70,_xlpm.pos&amp;""),_xlpm.bal,_xlpm.alo-_xlpm.usd,IFERROR(INDEX(_xlfn._xlws.FILTER(_xlpm.pos,(_xlpm.pos&lt;&gt;"")*(_xlpm.qty&gt;0)*(_xlpm.bal&gt;=_xlpm.qty)),1),"")))</f>
        <v/>
      </c>
      <c r="L71" s="348"/>
      <c r="M71" s="277"/>
      <c r="N71" s="277"/>
      <c r="O71" s="277"/>
    </row>
    <row r="72" spans="1:15" ht="23" x14ac:dyDescent="0.25">
      <c r="A72" s="217" t="str" cm="1">
        <f t="array" ref="A72">IFERROR(INDEX(_xlfn.ANCHORARRAY($P$6),ROW()-5,1),"")</f>
        <v/>
      </c>
      <c r="B72" s="344" t="str" cm="1">
        <f t="array" ref="B72">IFERROR(INDEX(_xlfn.ANCHORARRAY($P$6),ROW()-5,2),"")</f>
        <v/>
      </c>
      <c r="C72" s="345" t="str">
        <f>IF($A72="","",IF($J72="DIESEL",SUMIFS(Table1[Quantity],Table1[Customer],$M$3,Table1[Date],$A72,Table1[Bill No.],$B72),IF($J72="PETROL",SUMIFS(Table14[Quantity],Table14[Customer],$M$3,Table14[Date],$A72,Table14[Bill No.],$B72),IF($J72="XtraGreen",SUMIFS(Table146[Quantity],Table146[Company],$M$3,Table146[Date],$A72,Table146[Bill No.],$B72),""))))</f>
        <v/>
      </c>
      <c r="D72" s="346" t="str">
        <f>IF($A72="","",IF($J72="DIESEL",AVERAGEIFS(Table1[RSP],Table1[Customer],$M$3,Table1[Date],$A72,Table1[Bill No.],$B72),IF($J72="PETROL",AVERAGEIFS(Table14[RSP],Table14[Customer],$M$3,Table14[Date],$A72,Table14[Bill No.],$B72),IF($J72="XtraGreen",AVERAGEIFS(Table146[RSP],Table146[Company],$M$3,Table146[Date],$A72,Table146[Bill No.],$B72),IFERROR($E72/$C72,"")))))</f>
        <v/>
      </c>
      <c r="E72" s="347" t="str">
        <f>IF($A72="","",IF($J72="DIESEL",SUMIFS(Table1[Amount],Table1[Customer],$M$3,Table1[Date],$A72,Table1[Bill No.],$B72),IF($J72="PETROL",SUMIFS(Table14[Amount],Table14[Customer],$M$3,Table14[Date],$A72,Table14[Bill No.],$B72),IF($J72="XtraGreen",SUMIFS(Table146[Amount],Table146[Company],$M$3,Table146[Date],$A72,Table146[Bill No.],$B72),SUMIFS('Other Sale'!$D:$D,'Other Sale'!$E:$E,$M$3,'Other Sale'!$C:$C,$J72,'Other Sale'!$A:$A,$A72)))))</f>
        <v/>
      </c>
      <c r="F72" s="347" t="str" cm="1">
        <f t="array" ref="F72">IF($A72="","",IF($J72="Payment",IFERROR(INDEX(_xlfn._xlws.FILTER(MasterPaid[Amount Paid],(MasterPaid[Customer]=$M$3)*(MasterPaid[Date]=$A72)),COUNTIFS($A$6:$A72,$A72,$J$6:$J72,"Payment")),0),0))</f>
        <v/>
      </c>
      <c r="G72" s="331"/>
      <c r="H72" s="427"/>
      <c r="I72" s="330" t="str">
        <f t="shared" ref="I72:I135" si="10">IF($A72="","",I71+N(E72)-N(F72)-N(G72)-N(H72))</f>
        <v/>
      </c>
      <c r="J72" s="344" t="str" cm="1">
        <f t="array" ref="J72">IFERROR(INDEX(_xlfn.ANCHORARRAY($P$6),ROW()-5,3),"")</f>
        <v/>
      </c>
      <c r="K72" s="432" t="str" cm="1">
        <f t="array" ref="K72">IF(OR($A72="",$J72&lt;&gt;"DIESEL"),"",_xlfn.LET(_xlpm.qty,N($C72),_xlpm.pos,$T$5:$T$54,_xlpm.alo,IF($U$5:$U$54="",0,$U$5:$U$54),_xlpm.usd,SUMIFS($C$6:$C71,$K$6:$K71,_xlpm.pos&amp;""),_xlpm.bal,_xlpm.alo-_xlpm.usd,IFERROR(INDEX(_xlfn._xlws.FILTER(_xlpm.pos,(_xlpm.pos&lt;&gt;"")*(_xlpm.qty&gt;0)*(_xlpm.bal&gt;=_xlpm.qty)),1),"")))</f>
        <v/>
      </c>
      <c r="L72" s="348"/>
      <c r="M72" s="277"/>
      <c r="N72" s="277"/>
      <c r="O72" s="277"/>
    </row>
    <row r="73" spans="1:15" ht="23" x14ac:dyDescent="0.25">
      <c r="A73" s="217" t="str" cm="1">
        <f t="array" ref="A73">IFERROR(INDEX(_xlfn.ANCHORARRAY($P$6),ROW()-5,1),"")</f>
        <v/>
      </c>
      <c r="B73" s="344" t="str" cm="1">
        <f t="array" ref="B73">IFERROR(INDEX(_xlfn.ANCHORARRAY($P$6),ROW()-5,2),"")</f>
        <v/>
      </c>
      <c r="C73" s="345" t="str">
        <f>IF($A73="","",IF($J73="DIESEL",SUMIFS(Table1[Quantity],Table1[Customer],$M$3,Table1[Date],$A73,Table1[Bill No.],$B73),IF($J73="PETROL",SUMIFS(Table14[Quantity],Table14[Customer],$M$3,Table14[Date],$A73,Table14[Bill No.],$B73),IF($J73="XtraGreen",SUMIFS(Table146[Quantity],Table146[Company],$M$3,Table146[Date],$A73,Table146[Bill No.],$B73),""))))</f>
        <v/>
      </c>
      <c r="D73" s="346" t="str">
        <f>IF($A73="","",IF($J73="DIESEL",AVERAGEIFS(Table1[RSP],Table1[Customer],$M$3,Table1[Date],$A73,Table1[Bill No.],$B73),IF($J73="PETROL",AVERAGEIFS(Table14[RSP],Table14[Customer],$M$3,Table14[Date],$A73,Table14[Bill No.],$B73),IF($J73="XtraGreen",AVERAGEIFS(Table146[RSP],Table146[Company],$M$3,Table146[Date],$A73,Table146[Bill No.],$B73),IFERROR($E73/$C73,"")))))</f>
        <v/>
      </c>
      <c r="E73" s="347" t="str">
        <f>IF($A73="","",IF($J73="DIESEL",SUMIFS(Table1[Amount],Table1[Customer],$M$3,Table1[Date],$A73,Table1[Bill No.],$B73),IF($J73="PETROL",SUMIFS(Table14[Amount],Table14[Customer],$M$3,Table14[Date],$A73,Table14[Bill No.],$B73),IF($J73="XtraGreen",SUMIFS(Table146[Amount],Table146[Company],$M$3,Table146[Date],$A73,Table146[Bill No.],$B73),SUMIFS('Other Sale'!$D:$D,'Other Sale'!$E:$E,$M$3,'Other Sale'!$C:$C,$J73,'Other Sale'!$A:$A,$A73)))))</f>
        <v/>
      </c>
      <c r="F73" s="347" t="str" cm="1">
        <f t="array" ref="F73">IF($A73="","",IF($J73="Payment",IFERROR(INDEX(_xlfn._xlws.FILTER(MasterPaid[Amount Paid],(MasterPaid[Customer]=$M$3)*(MasterPaid[Date]=$A73)),COUNTIFS($A$6:$A73,$A73,$J$6:$J73,"Payment")),0),0))</f>
        <v/>
      </c>
      <c r="G73" s="331"/>
      <c r="H73" s="427"/>
      <c r="I73" s="330" t="str">
        <f t="shared" si="10"/>
        <v/>
      </c>
      <c r="J73" s="344" t="str" cm="1">
        <f t="array" ref="J73">IFERROR(INDEX(_xlfn.ANCHORARRAY($P$6),ROW()-5,3),"")</f>
        <v/>
      </c>
      <c r="K73" s="432" t="str" cm="1">
        <f t="array" ref="K73">IF(OR($A73="",$J73&lt;&gt;"DIESEL"),"",_xlfn.LET(_xlpm.qty,N($C73),_xlpm.pos,$T$5:$T$54,_xlpm.alo,IF($U$5:$U$54="",0,$U$5:$U$54),_xlpm.usd,SUMIFS($C$6:$C72,$K$6:$K72,_xlpm.pos&amp;""),_xlpm.bal,_xlpm.alo-_xlpm.usd,IFERROR(INDEX(_xlfn._xlws.FILTER(_xlpm.pos,(_xlpm.pos&lt;&gt;"")*(_xlpm.qty&gt;0)*(_xlpm.bal&gt;=_xlpm.qty)),1),"")))</f>
        <v/>
      </c>
      <c r="L73" s="348"/>
      <c r="M73" s="277"/>
      <c r="N73" s="277"/>
      <c r="O73" s="277"/>
    </row>
    <row r="74" spans="1:15" ht="23" x14ac:dyDescent="0.25">
      <c r="A74" s="217" t="str" cm="1">
        <f t="array" ref="A74">IFERROR(INDEX(_xlfn.ANCHORARRAY($P$6),ROW()-5,1),"")</f>
        <v/>
      </c>
      <c r="B74" s="344" t="str" cm="1">
        <f t="array" ref="B74">IFERROR(INDEX(_xlfn.ANCHORARRAY($P$6),ROW()-5,2),"")</f>
        <v/>
      </c>
      <c r="C74" s="345" t="str">
        <f>IF($A74="","",IF($J74="DIESEL",SUMIFS(Table1[Quantity],Table1[Customer],$M$3,Table1[Date],$A74,Table1[Bill No.],$B74),IF($J74="PETROL",SUMIFS(Table14[Quantity],Table14[Customer],$M$3,Table14[Date],$A74,Table14[Bill No.],$B74),IF($J74="XtraGreen",SUMIFS(Table146[Quantity],Table146[Company],$M$3,Table146[Date],$A74,Table146[Bill No.],$B74),""))))</f>
        <v/>
      </c>
      <c r="D74" s="346" t="str">
        <f>IF($A74="","",IF($J74="DIESEL",AVERAGEIFS(Table1[RSP],Table1[Customer],$M$3,Table1[Date],$A74,Table1[Bill No.],$B74),IF($J74="PETROL",AVERAGEIFS(Table14[RSP],Table14[Customer],$M$3,Table14[Date],$A74,Table14[Bill No.],$B74),IF($J74="XtraGreen",AVERAGEIFS(Table146[RSP],Table146[Company],$M$3,Table146[Date],$A74,Table146[Bill No.],$B74),IFERROR($E74/$C74,"")))))</f>
        <v/>
      </c>
      <c r="E74" s="347" t="str">
        <f>IF($A74="","",IF($J74="DIESEL",SUMIFS(Table1[Amount],Table1[Customer],$M$3,Table1[Date],$A74,Table1[Bill No.],$B74),IF($J74="PETROL",SUMIFS(Table14[Amount],Table14[Customer],$M$3,Table14[Date],$A74,Table14[Bill No.],$B74),IF($J74="XtraGreen",SUMIFS(Table146[Amount],Table146[Company],$M$3,Table146[Date],$A74,Table146[Bill No.],$B74),SUMIFS('Other Sale'!$D:$D,'Other Sale'!$E:$E,$M$3,'Other Sale'!$C:$C,$J74,'Other Sale'!$A:$A,$A74)))))</f>
        <v/>
      </c>
      <c r="F74" s="347" t="str" cm="1">
        <f t="array" ref="F74">IF($A74="","",IF($J74="Payment",IFERROR(INDEX(_xlfn._xlws.FILTER(MasterPaid[Amount Paid],(MasterPaid[Customer]=$M$3)*(MasterPaid[Date]=$A74)),COUNTIFS($A$6:$A74,$A74,$J$6:$J74,"Payment")),0),0))</f>
        <v/>
      </c>
      <c r="G74" s="331"/>
      <c r="H74" s="427"/>
      <c r="I74" s="330" t="str">
        <f t="shared" si="10"/>
        <v/>
      </c>
      <c r="J74" s="344" t="str" cm="1">
        <f t="array" ref="J74">IFERROR(INDEX(_xlfn.ANCHORARRAY($P$6),ROW()-5,3),"")</f>
        <v/>
      </c>
      <c r="K74" s="432" t="str" cm="1">
        <f t="array" ref="K74">IF(OR($A74="",$J74&lt;&gt;"DIESEL"),"",_xlfn.LET(_xlpm.qty,N($C74),_xlpm.pos,$T$5:$T$54,_xlpm.alo,IF($U$5:$U$54="",0,$U$5:$U$54),_xlpm.usd,SUMIFS($C$6:$C73,$K$6:$K73,_xlpm.pos&amp;""),_xlpm.bal,_xlpm.alo-_xlpm.usd,IFERROR(INDEX(_xlfn._xlws.FILTER(_xlpm.pos,(_xlpm.pos&lt;&gt;"")*(_xlpm.qty&gt;0)*(_xlpm.bal&gt;=_xlpm.qty)),1),"")))</f>
        <v/>
      </c>
      <c r="L74" s="348"/>
      <c r="M74" s="277"/>
      <c r="N74" s="277"/>
      <c r="O74" s="277"/>
    </row>
    <row r="75" spans="1:15" ht="23" x14ac:dyDescent="0.25">
      <c r="A75" s="217" t="str" cm="1">
        <f t="array" ref="A75">IFERROR(INDEX(_xlfn.ANCHORARRAY($P$6),ROW()-5,1),"")</f>
        <v/>
      </c>
      <c r="B75" s="344" t="str" cm="1">
        <f t="array" ref="B75">IFERROR(INDEX(_xlfn.ANCHORARRAY($P$6),ROW()-5,2),"")</f>
        <v/>
      </c>
      <c r="C75" s="345" t="str">
        <f>IF($A75="","",IF($J75="DIESEL",SUMIFS(Table1[Quantity],Table1[Customer],$M$3,Table1[Date],$A75,Table1[Bill No.],$B75),IF($J75="PETROL",SUMIFS(Table14[Quantity],Table14[Customer],$M$3,Table14[Date],$A75,Table14[Bill No.],$B75),IF($J75="XtraGreen",SUMIFS(Table146[Quantity],Table146[Company],$M$3,Table146[Date],$A75,Table146[Bill No.],$B75),""))))</f>
        <v/>
      </c>
      <c r="D75" s="346" t="str">
        <f>IF($A75="","",IF($J75="DIESEL",AVERAGEIFS(Table1[RSP],Table1[Customer],$M$3,Table1[Date],$A75,Table1[Bill No.],$B75),IF($J75="PETROL",AVERAGEIFS(Table14[RSP],Table14[Customer],$M$3,Table14[Date],$A75,Table14[Bill No.],$B75),IF($J75="XtraGreen",AVERAGEIFS(Table146[RSP],Table146[Company],$M$3,Table146[Date],$A75,Table146[Bill No.],$B75),IFERROR($E75/$C75,"")))))</f>
        <v/>
      </c>
      <c r="E75" s="347" t="str">
        <f>IF($A75="","",IF($J75="DIESEL",SUMIFS(Table1[Amount],Table1[Customer],$M$3,Table1[Date],$A75,Table1[Bill No.],$B75),IF($J75="PETROL",SUMIFS(Table14[Amount],Table14[Customer],$M$3,Table14[Date],$A75,Table14[Bill No.],$B75),IF($J75="XtraGreen",SUMIFS(Table146[Amount],Table146[Company],$M$3,Table146[Date],$A75,Table146[Bill No.],$B75),SUMIFS('Other Sale'!$D:$D,'Other Sale'!$E:$E,$M$3,'Other Sale'!$C:$C,$J75,'Other Sale'!$A:$A,$A75)))))</f>
        <v/>
      </c>
      <c r="F75" s="347" t="str" cm="1">
        <f t="array" ref="F75">IF($A75="","",IF($J75="Payment",IFERROR(INDEX(_xlfn._xlws.FILTER(MasterPaid[Amount Paid],(MasterPaid[Customer]=$M$3)*(MasterPaid[Date]=$A75)),COUNTIFS($A$6:$A75,$A75,$J$6:$J75,"Payment")),0),0))</f>
        <v/>
      </c>
      <c r="G75" s="331"/>
      <c r="H75" s="427"/>
      <c r="I75" s="330" t="str">
        <f t="shared" si="10"/>
        <v/>
      </c>
      <c r="J75" s="344" t="str" cm="1">
        <f t="array" ref="J75">IFERROR(INDEX(_xlfn.ANCHORARRAY($P$6),ROW()-5,3),"")</f>
        <v/>
      </c>
      <c r="K75" s="432" t="str" cm="1">
        <f t="array" ref="K75">IF(OR($A75="",$J75&lt;&gt;"DIESEL"),"",_xlfn.LET(_xlpm.qty,N($C75),_xlpm.pos,$T$5:$T$54,_xlpm.alo,IF($U$5:$U$54="",0,$U$5:$U$54),_xlpm.usd,SUMIFS($C$6:$C74,$K$6:$K74,_xlpm.pos&amp;""),_xlpm.bal,_xlpm.alo-_xlpm.usd,IFERROR(INDEX(_xlfn._xlws.FILTER(_xlpm.pos,(_xlpm.pos&lt;&gt;"")*(_xlpm.qty&gt;0)*(_xlpm.bal&gt;=_xlpm.qty)),1),"")))</f>
        <v/>
      </c>
      <c r="L75" s="348"/>
      <c r="M75" s="277"/>
      <c r="N75" s="277"/>
      <c r="O75" s="277"/>
    </row>
    <row r="76" spans="1:15" ht="23" x14ac:dyDescent="0.25">
      <c r="A76" s="217" t="str" cm="1">
        <f t="array" ref="A76">IFERROR(INDEX(_xlfn.ANCHORARRAY($P$6),ROW()-5,1),"")</f>
        <v/>
      </c>
      <c r="B76" s="344" t="str" cm="1">
        <f t="array" ref="B76">IFERROR(INDEX(_xlfn.ANCHORARRAY($P$6),ROW()-5,2),"")</f>
        <v/>
      </c>
      <c r="C76" s="345" t="str">
        <f>IF($A76="","",IF($J76="DIESEL",SUMIFS(Table1[Quantity],Table1[Customer],$M$3,Table1[Date],$A76,Table1[Bill No.],$B76),IF($J76="PETROL",SUMIFS(Table14[Quantity],Table14[Customer],$M$3,Table14[Date],$A76,Table14[Bill No.],$B76),IF($J76="XtraGreen",SUMIFS(Table146[Quantity],Table146[Company],$M$3,Table146[Date],$A76,Table146[Bill No.],$B76),""))))</f>
        <v/>
      </c>
      <c r="D76" s="346" t="str">
        <f>IF($A76="","",IF($J76="DIESEL",AVERAGEIFS(Table1[RSP],Table1[Customer],$M$3,Table1[Date],$A76,Table1[Bill No.],$B76),IF($J76="PETROL",AVERAGEIFS(Table14[RSP],Table14[Customer],$M$3,Table14[Date],$A76,Table14[Bill No.],$B76),IF($J76="XtraGreen",AVERAGEIFS(Table146[RSP],Table146[Company],$M$3,Table146[Date],$A76,Table146[Bill No.],$B76),IFERROR($E76/$C76,"")))))</f>
        <v/>
      </c>
      <c r="E76" s="347" t="str">
        <f>IF($A76="","",IF($J76="DIESEL",SUMIFS(Table1[Amount],Table1[Customer],$M$3,Table1[Date],$A76,Table1[Bill No.],$B76),IF($J76="PETROL",SUMIFS(Table14[Amount],Table14[Customer],$M$3,Table14[Date],$A76,Table14[Bill No.],$B76),IF($J76="XtraGreen",SUMIFS(Table146[Amount],Table146[Company],$M$3,Table146[Date],$A76,Table146[Bill No.],$B76),SUMIFS('Other Sale'!$D:$D,'Other Sale'!$E:$E,$M$3,'Other Sale'!$C:$C,$J76,'Other Sale'!$A:$A,$A76)))))</f>
        <v/>
      </c>
      <c r="F76" s="347" t="str" cm="1">
        <f t="array" ref="F76">IF($A76="","",IF($J76="Payment",IFERROR(INDEX(_xlfn._xlws.FILTER(MasterPaid[Amount Paid],(MasterPaid[Customer]=$M$3)*(MasterPaid[Date]=$A76)),COUNTIFS($A$6:$A76,$A76,$J$6:$J76,"Payment")),0),0))</f>
        <v/>
      </c>
      <c r="G76" s="331"/>
      <c r="H76" s="427"/>
      <c r="I76" s="330" t="str">
        <f t="shared" si="10"/>
        <v/>
      </c>
      <c r="J76" s="344" t="str" cm="1">
        <f t="array" ref="J76">IFERROR(INDEX(_xlfn.ANCHORARRAY($P$6),ROW()-5,3),"")</f>
        <v/>
      </c>
      <c r="K76" s="432" t="str" cm="1">
        <f t="array" ref="K76">IF(OR($A76="",$J76&lt;&gt;"DIESEL"),"",_xlfn.LET(_xlpm.qty,N($C76),_xlpm.pos,$T$5:$T$54,_xlpm.alo,IF($U$5:$U$54="",0,$U$5:$U$54),_xlpm.usd,SUMIFS($C$6:$C75,$K$6:$K75,_xlpm.pos&amp;""),_xlpm.bal,_xlpm.alo-_xlpm.usd,IFERROR(INDEX(_xlfn._xlws.FILTER(_xlpm.pos,(_xlpm.pos&lt;&gt;"")*(_xlpm.qty&gt;0)*(_xlpm.bal&gt;=_xlpm.qty)),1),"")))</f>
        <v/>
      </c>
      <c r="L76" s="348"/>
      <c r="M76" s="277"/>
      <c r="N76" s="277"/>
      <c r="O76" s="277"/>
    </row>
    <row r="77" spans="1:15" ht="23" x14ac:dyDescent="0.25">
      <c r="A77" s="217" t="str" cm="1">
        <f t="array" ref="A77">IFERROR(INDEX(_xlfn.ANCHORARRAY($P$6),ROW()-5,1),"")</f>
        <v/>
      </c>
      <c r="B77" s="344" t="str" cm="1">
        <f t="array" ref="B77">IFERROR(INDEX(_xlfn.ANCHORARRAY($P$6),ROW()-5,2),"")</f>
        <v/>
      </c>
      <c r="C77" s="345" t="str">
        <f>IF($A77="","",IF($J77="DIESEL",SUMIFS(Table1[Quantity],Table1[Customer],$M$3,Table1[Date],$A77,Table1[Bill No.],$B77),IF($J77="PETROL",SUMIFS(Table14[Quantity],Table14[Customer],$M$3,Table14[Date],$A77,Table14[Bill No.],$B77),IF($J77="XtraGreen",SUMIFS(Table146[Quantity],Table146[Company],$M$3,Table146[Date],$A77,Table146[Bill No.],$B77),""))))</f>
        <v/>
      </c>
      <c r="D77" s="346" t="str">
        <f>IF($A77="","",IF($J77="DIESEL",AVERAGEIFS(Table1[RSP],Table1[Customer],$M$3,Table1[Date],$A77,Table1[Bill No.],$B77),IF($J77="PETROL",AVERAGEIFS(Table14[RSP],Table14[Customer],$M$3,Table14[Date],$A77,Table14[Bill No.],$B77),IF($J77="XtraGreen",AVERAGEIFS(Table146[RSP],Table146[Company],$M$3,Table146[Date],$A77,Table146[Bill No.],$B77),IFERROR($E77/$C77,"")))))</f>
        <v/>
      </c>
      <c r="E77" s="347" t="str">
        <f>IF($A77="","",IF($J77="DIESEL",SUMIFS(Table1[Amount],Table1[Customer],$M$3,Table1[Date],$A77,Table1[Bill No.],$B77),IF($J77="PETROL",SUMIFS(Table14[Amount],Table14[Customer],$M$3,Table14[Date],$A77,Table14[Bill No.],$B77),IF($J77="XtraGreen",SUMIFS(Table146[Amount],Table146[Company],$M$3,Table146[Date],$A77,Table146[Bill No.],$B77),SUMIFS('Other Sale'!$D:$D,'Other Sale'!$E:$E,$M$3,'Other Sale'!$C:$C,$J77,'Other Sale'!$A:$A,$A77)))))</f>
        <v/>
      </c>
      <c r="F77" s="347" t="str" cm="1">
        <f t="array" ref="F77">IF($A77="","",IF($J77="Payment",IFERROR(INDEX(_xlfn._xlws.FILTER(MasterPaid[Amount Paid],(MasterPaid[Customer]=$M$3)*(MasterPaid[Date]=$A77)),COUNTIFS($A$6:$A77,$A77,$J$6:$J77,"Payment")),0),0))</f>
        <v/>
      </c>
      <c r="G77" s="331"/>
      <c r="H77" s="427"/>
      <c r="I77" s="330" t="str">
        <f t="shared" si="10"/>
        <v/>
      </c>
      <c r="J77" s="344" t="str" cm="1">
        <f t="array" ref="J77">IFERROR(INDEX(_xlfn.ANCHORARRAY($P$6),ROW()-5,3),"")</f>
        <v/>
      </c>
      <c r="K77" s="432" t="str" cm="1">
        <f t="array" ref="K77">IF(OR($A77="",$J77&lt;&gt;"DIESEL"),"",_xlfn.LET(_xlpm.qty,N($C77),_xlpm.pos,$T$5:$T$54,_xlpm.alo,IF($U$5:$U$54="",0,$U$5:$U$54),_xlpm.usd,SUMIFS($C$6:$C76,$K$6:$K76,_xlpm.pos&amp;""),_xlpm.bal,_xlpm.alo-_xlpm.usd,IFERROR(INDEX(_xlfn._xlws.FILTER(_xlpm.pos,(_xlpm.pos&lt;&gt;"")*(_xlpm.qty&gt;0)*(_xlpm.bal&gt;=_xlpm.qty)),1),"")))</f>
        <v/>
      </c>
      <c r="L77" s="348"/>
      <c r="M77" s="277"/>
      <c r="N77" s="277"/>
      <c r="O77" s="277"/>
    </row>
    <row r="78" spans="1:15" ht="23" x14ac:dyDescent="0.25">
      <c r="A78" s="217" t="str" cm="1">
        <f t="array" ref="A78">IFERROR(INDEX(_xlfn.ANCHORARRAY($P$6),ROW()-5,1),"")</f>
        <v/>
      </c>
      <c r="B78" s="344" t="str" cm="1">
        <f t="array" ref="B78">IFERROR(INDEX(_xlfn.ANCHORARRAY($P$6),ROW()-5,2),"")</f>
        <v/>
      </c>
      <c r="C78" s="345" t="str">
        <f>IF($A78="","",IF($J78="DIESEL",SUMIFS(Table1[Quantity],Table1[Customer],$M$3,Table1[Date],$A78,Table1[Bill No.],$B78),IF($J78="PETROL",SUMIFS(Table14[Quantity],Table14[Customer],$M$3,Table14[Date],$A78,Table14[Bill No.],$B78),IF($J78="XtraGreen",SUMIFS(Table146[Quantity],Table146[Company],$M$3,Table146[Date],$A78,Table146[Bill No.],$B78),""))))</f>
        <v/>
      </c>
      <c r="D78" s="346" t="str">
        <f>IF($A78="","",IF($J78="DIESEL",AVERAGEIFS(Table1[RSP],Table1[Customer],$M$3,Table1[Date],$A78,Table1[Bill No.],$B78),IF($J78="PETROL",AVERAGEIFS(Table14[RSP],Table14[Customer],$M$3,Table14[Date],$A78,Table14[Bill No.],$B78),IF($J78="XtraGreen",AVERAGEIFS(Table146[RSP],Table146[Company],$M$3,Table146[Date],$A78,Table146[Bill No.],$B78),IFERROR($E78/$C78,"")))))</f>
        <v/>
      </c>
      <c r="E78" s="347" t="str">
        <f>IF($A78="","",IF($J78="DIESEL",SUMIFS(Table1[Amount],Table1[Customer],$M$3,Table1[Date],$A78,Table1[Bill No.],$B78),IF($J78="PETROL",SUMIFS(Table14[Amount],Table14[Customer],$M$3,Table14[Date],$A78,Table14[Bill No.],$B78),IF($J78="XtraGreen",SUMIFS(Table146[Amount],Table146[Company],$M$3,Table146[Date],$A78,Table146[Bill No.],$B78),SUMIFS('Other Sale'!$D:$D,'Other Sale'!$E:$E,$M$3,'Other Sale'!$C:$C,$J78,'Other Sale'!$A:$A,$A78)))))</f>
        <v/>
      </c>
      <c r="F78" s="347" t="str" cm="1">
        <f t="array" ref="F78">IF($A78="","",IF($J78="Payment",IFERROR(INDEX(_xlfn._xlws.FILTER(MasterPaid[Amount Paid],(MasterPaid[Customer]=$M$3)*(MasterPaid[Date]=$A78)),COUNTIFS($A$6:$A78,$A78,$J$6:$J78,"Payment")),0),0))</f>
        <v/>
      </c>
      <c r="G78" s="331"/>
      <c r="H78" s="427"/>
      <c r="I78" s="330" t="str">
        <f t="shared" si="10"/>
        <v/>
      </c>
      <c r="J78" s="344" t="str" cm="1">
        <f t="array" ref="J78">IFERROR(INDEX(_xlfn.ANCHORARRAY($P$6),ROW()-5,3),"")</f>
        <v/>
      </c>
      <c r="K78" s="432" t="str" cm="1">
        <f t="array" ref="K78">IF(OR($A78="",$J78&lt;&gt;"DIESEL"),"",_xlfn.LET(_xlpm.qty,N($C78),_xlpm.pos,$T$5:$T$54,_xlpm.alo,IF($U$5:$U$54="",0,$U$5:$U$54),_xlpm.usd,SUMIFS($C$6:$C77,$K$6:$K77,_xlpm.pos&amp;""),_xlpm.bal,_xlpm.alo-_xlpm.usd,IFERROR(INDEX(_xlfn._xlws.FILTER(_xlpm.pos,(_xlpm.pos&lt;&gt;"")*(_xlpm.qty&gt;0)*(_xlpm.bal&gt;=_xlpm.qty)),1),"")))</f>
        <v/>
      </c>
      <c r="L78" s="348"/>
      <c r="M78" s="277"/>
      <c r="N78" s="277"/>
      <c r="O78" s="277"/>
    </row>
    <row r="79" spans="1:15" ht="23" x14ac:dyDescent="0.25">
      <c r="A79" s="217" t="str" cm="1">
        <f t="array" ref="A79">IFERROR(INDEX(_xlfn.ANCHORARRAY($P$6),ROW()-5,1),"")</f>
        <v/>
      </c>
      <c r="B79" s="344" t="str" cm="1">
        <f t="array" ref="B79">IFERROR(INDEX(_xlfn.ANCHORARRAY($P$6),ROW()-5,2),"")</f>
        <v/>
      </c>
      <c r="C79" s="345" t="str">
        <f>IF($A79="","",IF($J79="DIESEL",SUMIFS(Table1[Quantity],Table1[Customer],$M$3,Table1[Date],$A79,Table1[Bill No.],$B79),IF($J79="PETROL",SUMIFS(Table14[Quantity],Table14[Customer],$M$3,Table14[Date],$A79,Table14[Bill No.],$B79),IF($J79="XtraGreen",SUMIFS(Table146[Quantity],Table146[Company],$M$3,Table146[Date],$A79,Table146[Bill No.],$B79),""))))</f>
        <v/>
      </c>
      <c r="D79" s="346" t="str">
        <f>IF($A79="","",IF($J79="DIESEL",AVERAGEIFS(Table1[RSP],Table1[Customer],$M$3,Table1[Date],$A79,Table1[Bill No.],$B79),IF($J79="PETROL",AVERAGEIFS(Table14[RSP],Table14[Customer],$M$3,Table14[Date],$A79,Table14[Bill No.],$B79),IF($J79="XtraGreen",AVERAGEIFS(Table146[RSP],Table146[Company],$M$3,Table146[Date],$A79,Table146[Bill No.],$B79),IFERROR($E79/$C79,"")))))</f>
        <v/>
      </c>
      <c r="E79" s="347" t="str">
        <f>IF($A79="","",IF($J79="DIESEL",SUMIFS(Table1[Amount],Table1[Customer],$M$3,Table1[Date],$A79,Table1[Bill No.],$B79),IF($J79="PETROL",SUMIFS(Table14[Amount],Table14[Customer],$M$3,Table14[Date],$A79,Table14[Bill No.],$B79),IF($J79="XtraGreen",SUMIFS(Table146[Amount],Table146[Company],$M$3,Table146[Date],$A79,Table146[Bill No.],$B79),SUMIFS('Other Sale'!$D:$D,'Other Sale'!$E:$E,$M$3,'Other Sale'!$C:$C,$J79,'Other Sale'!$A:$A,$A79)))))</f>
        <v/>
      </c>
      <c r="F79" s="347" t="str" cm="1">
        <f t="array" ref="F79">IF($A79="","",IF($J79="Payment",IFERROR(INDEX(_xlfn._xlws.FILTER(MasterPaid[Amount Paid],(MasterPaid[Customer]=$M$3)*(MasterPaid[Date]=$A79)),COUNTIFS($A$6:$A79,$A79,$J$6:$J79,"Payment")),0),0))</f>
        <v/>
      </c>
      <c r="G79" s="331"/>
      <c r="H79" s="427"/>
      <c r="I79" s="330" t="str">
        <f t="shared" si="10"/>
        <v/>
      </c>
      <c r="J79" s="344" t="str" cm="1">
        <f t="array" ref="J79">IFERROR(INDEX(_xlfn.ANCHORARRAY($P$6),ROW()-5,3),"")</f>
        <v/>
      </c>
      <c r="K79" s="432" t="str" cm="1">
        <f t="array" ref="K79">IF(OR($A79="",$J79&lt;&gt;"DIESEL"),"",_xlfn.LET(_xlpm.qty,N($C79),_xlpm.pos,$T$5:$T$54,_xlpm.alo,IF($U$5:$U$54="",0,$U$5:$U$54),_xlpm.usd,SUMIFS($C$6:$C78,$K$6:$K78,_xlpm.pos&amp;""),_xlpm.bal,_xlpm.alo-_xlpm.usd,IFERROR(INDEX(_xlfn._xlws.FILTER(_xlpm.pos,(_xlpm.pos&lt;&gt;"")*(_xlpm.qty&gt;0)*(_xlpm.bal&gt;=_xlpm.qty)),1),"")))</f>
        <v/>
      </c>
      <c r="L79" s="348"/>
      <c r="M79" s="277"/>
      <c r="N79" s="277"/>
      <c r="O79" s="277"/>
    </row>
    <row r="80" spans="1:15" ht="23" x14ac:dyDescent="0.25">
      <c r="A80" s="217" t="str" cm="1">
        <f t="array" ref="A80">IFERROR(INDEX(_xlfn.ANCHORARRAY($P$6),ROW()-5,1),"")</f>
        <v/>
      </c>
      <c r="B80" s="344" t="str" cm="1">
        <f t="array" ref="B80">IFERROR(INDEX(_xlfn.ANCHORARRAY($P$6),ROW()-5,2),"")</f>
        <v/>
      </c>
      <c r="C80" s="345" t="str">
        <f>IF($A80="","",IF($J80="DIESEL",SUMIFS(Table1[Quantity],Table1[Customer],$M$3,Table1[Date],$A80,Table1[Bill No.],$B80),IF($J80="PETROL",SUMIFS(Table14[Quantity],Table14[Customer],$M$3,Table14[Date],$A80,Table14[Bill No.],$B80),IF($J80="XtraGreen",SUMIFS(Table146[Quantity],Table146[Company],$M$3,Table146[Date],$A80,Table146[Bill No.],$B80),""))))</f>
        <v/>
      </c>
      <c r="D80" s="346" t="str">
        <f>IF($A80="","",IF($J80="DIESEL",AVERAGEIFS(Table1[RSP],Table1[Customer],$M$3,Table1[Date],$A80,Table1[Bill No.],$B80),IF($J80="PETROL",AVERAGEIFS(Table14[RSP],Table14[Customer],$M$3,Table14[Date],$A80,Table14[Bill No.],$B80),IF($J80="XtraGreen",AVERAGEIFS(Table146[RSP],Table146[Company],$M$3,Table146[Date],$A80,Table146[Bill No.],$B80),IFERROR($E80/$C80,"")))))</f>
        <v/>
      </c>
      <c r="E80" s="347" t="str">
        <f>IF($A80="","",IF($J80="DIESEL",SUMIFS(Table1[Amount],Table1[Customer],$M$3,Table1[Date],$A80,Table1[Bill No.],$B80),IF($J80="PETROL",SUMIFS(Table14[Amount],Table14[Customer],$M$3,Table14[Date],$A80,Table14[Bill No.],$B80),IF($J80="XtraGreen",SUMIFS(Table146[Amount],Table146[Company],$M$3,Table146[Date],$A80,Table146[Bill No.],$B80),SUMIFS('Other Sale'!$D:$D,'Other Sale'!$E:$E,$M$3,'Other Sale'!$C:$C,$J80,'Other Sale'!$A:$A,$A80)))))</f>
        <v/>
      </c>
      <c r="F80" s="347" t="str" cm="1">
        <f t="array" ref="F80">IF($A80="","",IF($J80="Payment",IFERROR(INDEX(_xlfn._xlws.FILTER(MasterPaid[Amount Paid],(MasterPaid[Customer]=$M$3)*(MasterPaid[Date]=$A80)),COUNTIFS($A$6:$A80,$A80,$J$6:$J80,"Payment")),0),0))</f>
        <v/>
      </c>
      <c r="G80" s="331"/>
      <c r="H80" s="427"/>
      <c r="I80" s="330" t="str">
        <f t="shared" si="10"/>
        <v/>
      </c>
      <c r="J80" s="344" t="str" cm="1">
        <f t="array" ref="J80">IFERROR(INDEX(_xlfn.ANCHORARRAY($P$6),ROW()-5,3),"")</f>
        <v/>
      </c>
      <c r="K80" s="432" t="str" cm="1">
        <f t="array" ref="K80">IF(OR($A80="",$J80&lt;&gt;"DIESEL"),"",_xlfn.LET(_xlpm.qty,N($C80),_xlpm.pos,$T$5:$T$54,_xlpm.alo,IF($U$5:$U$54="",0,$U$5:$U$54),_xlpm.usd,SUMIFS($C$6:$C79,$K$6:$K79,_xlpm.pos&amp;""),_xlpm.bal,_xlpm.alo-_xlpm.usd,IFERROR(INDEX(_xlfn._xlws.FILTER(_xlpm.pos,(_xlpm.pos&lt;&gt;"")*(_xlpm.qty&gt;0)*(_xlpm.bal&gt;=_xlpm.qty)),1),"")))</f>
        <v/>
      </c>
      <c r="L80" s="348"/>
      <c r="M80" s="277"/>
      <c r="N80" s="277"/>
      <c r="O80" s="277"/>
    </row>
    <row r="81" spans="1:15" ht="23" x14ac:dyDescent="0.25">
      <c r="A81" s="217" t="str" cm="1">
        <f t="array" ref="A81">IFERROR(INDEX(_xlfn.ANCHORARRAY($P$6),ROW()-5,1),"")</f>
        <v/>
      </c>
      <c r="B81" s="344" t="str" cm="1">
        <f t="array" ref="B81">IFERROR(INDEX(_xlfn.ANCHORARRAY($P$6),ROW()-5,2),"")</f>
        <v/>
      </c>
      <c r="C81" s="345" t="str">
        <f>IF($A81="","",IF($J81="DIESEL",SUMIFS(Table1[Quantity],Table1[Customer],$M$3,Table1[Date],$A81,Table1[Bill No.],$B81),IF($J81="PETROL",SUMIFS(Table14[Quantity],Table14[Customer],$M$3,Table14[Date],$A81,Table14[Bill No.],$B81),IF($J81="XtraGreen",SUMIFS(Table146[Quantity],Table146[Company],$M$3,Table146[Date],$A81,Table146[Bill No.],$B81),""))))</f>
        <v/>
      </c>
      <c r="D81" s="346" t="str">
        <f>IF($A81="","",IF($J81="DIESEL",AVERAGEIFS(Table1[RSP],Table1[Customer],$M$3,Table1[Date],$A81,Table1[Bill No.],$B81),IF($J81="PETROL",AVERAGEIFS(Table14[RSP],Table14[Customer],$M$3,Table14[Date],$A81,Table14[Bill No.],$B81),IF($J81="XtraGreen",AVERAGEIFS(Table146[RSP],Table146[Company],$M$3,Table146[Date],$A81,Table146[Bill No.],$B81),IFERROR($E81/$C81,"")))))</f>
        <v/>
      </c>
      <c r="E81" s="347" t="str">
        <f>IF($A81="","",IF($J81="DIESEL",SUMIFS(Table1[Amount],Table1[Customer],$M$3,Table1[Date],$A81,Table1[Bill No.],$B81),IF($J81="PETROL",SUMIFS(Table14[Amount],Table14[Customer],$M$3,Table14[Date],$A81,Table14[Bill No.],$B81),IF($J81="XtraGreen",SUMIFS(Table146[Amount],Table146[Company],$M$3,Table146[Date],$A81,Table146[Bill No.],$B81),SUMIFS('Other Sale'!$D:$D,'Other Sale'!$E:$E,$M$3,'Other Sale'!$C:$C,$J81,'Other Sale'!$A:$A,$A81)))))</f>
        <v/>
      </c>
      <c r="F81" s="347" t="str" cm="1">
        <f t="array" ref="F81">IF($A81="","",IF($J81="Payment",IFERROR(INDEX(_xlfn._xlws.FILTER(MasterPaid[Amount Paid],(MasterPaid[Customer]=$M$3)*(MasterPaid[Date]=$A81)),COUNTIFS($A$6:$A81,$A81,$J$6:$J81,"Payment")),0),0))</f>
        <v/>
      </c>
      <c r="G81" s="331"/>
      <c r="H81" s="427"/>
      <c r="I81" s="330" t="str">
        <f t="shared" si="10"/>
        <v/>
      </c>
      <c r="J81" s="344" t="str" cm="1">
        <f t="array" ref="J81">IFERROR(INDEX(_xlfn.ANCHORARRAY($P$6),ROW()-5,3),"")</f>
        <v/>
      </c>
      <c r="K81" s="432" t="str" cm="1">
        <f t="array" ref="K81">IF(OR($A81="",$J81&lt;&gt;"DIESEL"),"",_xlfn.LET(_xlpm.qty,N($C81),_xlpm.pos,$T$5:$T$54,_xlpm.alo,IF($U$5:$U$54="",0,$U$5:$U$54),_xlpm.usd,SUMIFS($C$6:$C80,$K$6:$K80,_xlpm.pos&amp;""),_xlpm.bal,_xlpm.alo-_xlpm.usd,IFERROR(INDEX(_xlfn._xlws.FILTER(_xlpm.pos,(_xlpm.pos&lt;&gt;"")*(_xlpm.qty&gt;0)*(_xlpm.bal&gt;=_xlpm.qty)),1),"")))</f>
        <v/>
      </c>
      <c r="L81" s="348"/>
      <c r="M81" s="277"/>
      <c r="N81" s="277"/>
      <c r="O81" s="277"/>
    </row>
    <row r="82" spans="1:15" ht="23" x14ac:dyDescent="0.25">
      <c r="A82" s="217" t="str" cm="1">
        <f t="array" ref="A82">IFERROR(INDEX(_xlfn.ANCHORARRAY($P$6),ROW()-5,1),"")</f>
        <v/>
      </c>
      <c r="B82" s="344" t="str" cm="1">
        <f t="array" ref="B82">IFERROR(INDEX(_xlfn.ANCHORARRAY($P$6),ROW()-5,2),"")</f>
        <v/>
      </c>
      <c r="C82" s="345" t="str">
        <f>IF($A82="","",IF($J82="DIESEL",SUMIFS(Table1[Quantity],Table1[Customer],$M$3,Table1[Date],$A82,Table1[Bill No.],$B82),IF($J82="PETROL",SUMIFS(Table14[Quantity],Table14[Customer],$M$3,Table14[Date],$A82,Table14[Bill No.],$B82),IF($J82="XtraGreen",SUMIFS(Table146[Quantity],Table146[Company],$M$3,Table146[Date],$A82,Table146[Bill No.],$B82),""))))</f>
        <v/>
      </c>
      <c r="D82" s="346" t="str">
        <f>IF($A82="","",IF($J82="DIESEL",AVERAGEIFS(Table1[RSP],Table1[Customer],$M$3,Table1[Date],$A82,Table1[Bill No.],$B82),IF($J82="PETROL",AVERAGEIFS(Table14[RSP],Table14[Customer],$M$3,Table14[Date],$A82,Table14[Bill No.],$B82),IF($J82="XtraGreen",AVERAGEIFS(Table146[RSP],Table146[Company],$M$3,Table146[Date],$A82,Table146[Bill No.],$B82),IFERROR($E82/$C82,"")))))</f>
        <v/>
      </c>
      <c r="E82" s="347" t="str">
        <f>IF($A82="","",IF($J82="DIESEL",SUMIFS(Table1[Amount],Table1[Customer],$M$3,Table1[Date],$A82,Table1[Bill No.],$B82),IF($J82="PETROL",SUMIFS(Table14[Amount],Table14[Customer],$M$3,Table14[Date],$A82,Table14[Bill No.],$B82),IF($J82="XtraGreen",SUMIFS(Table146[Amount],Table146[Company],$M$3,Table146[Date],$A82,Table146[Bill No.],$B82),SUMIFS('Other Sale'!$D:$D,'Other Sale'!$E:$E,$M$3,'Other Sale'!$C:$C,$J82,'Other Sale'!$A:$A,$A82)))))</f>
        <v/>
      </c>
      <c r="F82" s="347" t="str" cm="1">
        <f t="array" ref="F82">IF($A82="","",IF($J82="Payment",IFERROR(INDEX(_xlfn._xlws.FILTER(MasterPaid[Amount Paid],(MasterPaid[Customer]=$M$3)*(MasterPaid[Date]=$A82)),COUNTIFS($A$6:$A82,$A82,$J$6:$J82,"Payment")),0),0))</f>
        <v/>
      </c>
      <c r="G82" s="331"/>
      <c r="H82" s="427"/>
      <c r="I82" s="330" t="str">
        <f t="shared" si="10"/>
        <v/>
      </c>
      <c r="J82" s="344" t="str" cm="1">
        <f t="array" ref="J82">IFERROR(INDEX(_xlfn.ANCHORARRAY($P$6),ROW()-5,3),"")</f>
        <v/>
      </c>
      <c r="K82" s="432" t="str" cm="1">
        <f t="array" ref="K82">IF(OR($A82="",$J82&lt;&gt;"DIESEL"),"",_xlfn.LET(_xlpm.qty,N($C82),_xlpm.pos,$T$5:$T$54,_xlpm.alo,IF($U$5:$U$54="",0,$U$5:$U$54),_xlpm.usd,SUMIFS($C$6:$C81,$K$6:$K81,_xlpm.pos&amp;""),_xlpm.bal,_xlpm.alo-_xlpm.usd,IFERROR(INDEX(_xlfn._xlws.FILTER(_xlpm.pos,(_xlpm.pos&lt;&gt;"")*(_xlpm.qty&gt;0)*(_xlpm.bal&gt;=_xlpm.qty)),1),"")))</f>
        <v/>
      </c>
      <c r="L82" s="348"/>
      <c r="M82" s="277"/>
      <c r="N82" s="277"/>
      <c r="O82" s="277"/>
    </row>
    <row r="83" spans="1:15" ht="23" x14ac:dyDescent="0.25">
      <c r="A83" s="217" t="str" cm="1">
        <f t="array" ref="A83">IFERROR(INDEX(_xlfn.ANCHORARRAY($P$6),ROW()-5,1),"")</f>
        <v/>
      </c>
      <c r="B83" s="344" t="str" cm="1">
        <f t="array" ref="B83">IFERROR(INDEX(_xlfn.ANCHORARRAY($P$6),ROW()-5,2),"")</f>
        <v/>
      </c>
      <c r="C83" s="345" t="str">
        <f>IF($A83="","",IF($J83="DIESEL",SUMIFS(Table1[Quantity],Table1[Customer],$M$3,Table1[Date],$A83,Table1[Bill No.],$B83),IF($J83="PETROL",SUMIFS(Table14[Quantity],Table14[Customer],$M$3,Table14[Date],$A83,Table14[Bill No.],$B83),IF($J83="XtraGreen",SUMIFS(Table146[Quantity],Table146[Company],$M$3,Table146[Date],$A83,Table146[Bill No.],$B83),""))))</f>
        <v/>
      </c>
      <c r="D83" s="346" t="str">
        <f>IF($A83="","",IF($J83="DIESEL",AVERAGEIFS(Table1[RSP],Table1[Customer],$M$3,Table1[Date],$A83,Table1[Bill No.],$B83),IF($J83="PETROL",AVERAGEIFS(Table14[RSP],Table14[Customer],$M$3,Table14[Date],$A83,Table14[Bill No.],$B83),IF($J83="XtraGreen",AVERAGEIFS(Table146[RSP],Table146[Company],$M$3,Table146[Date],$A83,Table146[Bill No.],$B83),IFERROR($E83/$C83,"")))))</f>
        <v/>
      </c>
      <c r="E83" s="347" t="str">
        <f>IF($A83="","",IF($J83="DIESEL",SUMIFS(Table1[Amount],Table1[Customer],$M$3,Table1[Date],$A83,Table1[Bill No.],$B83),IF($J83="PETROL",SUMIFS(Table14[Amount],Table14[Customer],$M$3,Table14[Date],$A83,Table14[Bill No.],$B83),IF($J83="XtraGreen",SUMIFS(Table146[Amount],Table146[Company],$M$3,Table146[Date],$A83,Table146[Bill No.],$B83),SUMIFS('Other Sale'!$D:$D,'Other Sale'!$E:$E,$M$3,'Other Sale'!$C:$C,$J83,'Other Sale'!$A:$A,$A83)))))</f>
        <v/>
      </c>
      <c r="F83" s="347" t="str" cm="1">
        <f t="array" ref="F83">IF($A83="","",IF($J83="Payment",IFERROR(INDEX(_xlfn._xlws.FILTER(MasterPaid[Amount Paid],(MasterPaid[Customer]=$M$3)*(MasterPaid[Date]=$A83)),COUNTIFS($A$6:$A83,$A83,$J$6:$J83,"Payment")),0),0))</f>
        <v/>
      </c>
      <c r="G83" s="331"/>
      <c r="H83" s="427"/>
      <c r="I83" s="330" t="str">
        <f t="shared" si="10"/>
        <v/>
      </c>
      <c r="J83" s="344" t="str" cm="1">
        <f t="array" ref="J83">IFERROR(INDEX(_xlfn.ANCHORARRAY($P$6),ROW()-5,3),"")</f>
        <v/>
      </c>
      <c r="K83" s="432" t="str" cm="1">
        <f t="array" ref="K83">IF(OR($A83="",$J83&lt;&gt;"DIESEL"),"",_xlfn.LET(_xlpm.qty,N($C83),_xlpm.pos,$T$5:$T$54,_xlpm.alo,IF($U$5:$U$54="",0,$U$5:$U$54),_xlpm.usd,SUMIFS($C$6:$C82,$K$6:$K82,_xlpm.pos&amp;""),_xlpm.bal,_xlpm.alo-_xlpm.usd,IFERROR(INDEX(_xlfn._xlws.FILTER(_xlpm.pos,(_xlpm.pos&lt;&gt;"")*(_xlpm.qty&gt;0)*(_xlpm.bal&gt;=_xlpm.qty)),1),"")))</f>
        <v/>
      </c>
      <c r="L83" s="348"/>
      <c r="M83" s="277"/>
      <c r="N83" s="277"/>
      <c r="O83" s="277"/>
    </row>
    <row r="84" spans="1:15" ht="23" x14ac:dyDescent="0.25">
      <c r="A84" s="217" t="str" cm="1">
        <f t="array" ref="A84">IFERROR(INDEX(_xlfn.ANCHORARRAY($P$6),ROW()-5,1),"")</f>
        <v/>
      </c>
      <c r="B84" s="344" t="str" cm="1">
        <f t="array" ref="B84">IFERROR(INDEX(_xlfn.ANCHORARRAY($P$6),ROW()-5,2),"")</f>
        <v/>
      </c>
      <c r="C84" s="345" t="str">
        <f>IF($A84="","",IF($J84="DIESEL",SUMIFS(Table1[Quantity],Table1[Customer],$M$3,Table1[Date],$A84,Table1[Bill No.],$B84),IF($J84="PETROL",SUMIFS(Table14[Quantity],Table14[Customer],$M$3,Table14[Date],$A84,Table14[Bill No.],$B84),IF($J84="XtraGreen",SUMIFS(Table146[Quantity],Table146[Company],$M$3,Table146[Date],$A84,Table146[Bill No.],$B84),""))))</f>
        <v/>
      </c>
      <c r="D84" s="346" t="str">
        <f>IF($A84="","",IF($J84="DIESEL",AVERAGEIFS(Table1[RSP],Table1[Customer],$M$3,Table1[Date],$A84,Table1[Bill No.],$B84),IF($J84="PETROL",AVERAGEIFS(Table14[RSP],Table14[Customer],$M$3,Table14[Date],$A84,Table14[Bill No.],$B84),IF($J84="XtraGreen",AVERAGEIFS(Table146[RSP],Table146[Company],$M$3,Table146[Date],$A84,Table146[Bill No.],$B84),IFERROR($E84/$C84,"")))))</f>
        <v/>
      </c>
      <c r="E84" s="347" t="str">
        <f>IF($A84="","",IF($J84="DIESEL",SUMIFS(Table1[Amount],Table1[Customer],$M$3,Table1[Date],$A84,Table1[Bill No.],$B84),IF($J84="PETROL",SUMIFS(Table14[Amount],Table14[Customer],$M$3,Table14[Date],$A84,Table14[Bill No.],$B84),IF($J84="XtraGreen",SUMIFS(Table146[Amount],Table146[Company],$M$3,Table146[Date],$A84,Table146[Bill No.],$B84),SUMIFS('Other Sale'!$D:$D,'Other Sale'!$E:$E,$M$3,'Other Sale'!$C:$C,$J84,'Other Sale'!$A:$A,$A84)))))</f>
        <v/>
      </c>
      <c r="F84" s="347" t="str" cm="1">
        <f t="array" ref="F84">IF($A84="","",IF($J84="Payment",IFERROR(INDEX(_xlfn._xlws.FILTER(MasterPaid[Amount Paid],(MasterPaid[Customer]=$M$3)*(MasterPaid[Date]=$A84)),COUNTIFS($A$6:$A84,$A84,$J$6:$J84,"Payment")),0),0))</f>
        <v/>
      </c>
      <c r="G84" s="331"/>
      <c r="H84" s="427"/>
      <c r="I84" s="330" t="str">
        <f t="shared" si="10"/>
        <v/>
      </c>
      <c r="J84" s="344" t="str" cm="1">
        <f t="array" ref="J84">IFERROR(INDEX(_xlfn.ANCHORARRAY($P$6),ROW()-5,3),"")</f>
        <v/>
      </c>
      <c r="K84" s="432" t="str" cm="1">
        <f t="array" ref="K84">IF(OR($A84="",$J84&lt;&gt;"DIESEL"),"",_xlfn.LET(_xlpm.qty,N($C84),_xlpm.pos,$T$5:$T$54,_xlpm.alo,IF($U$5:$U$54="",0,$U$5:$U$54),_xlpm.usd,SUMIFS($C$6:$C83,$K$6:$K83,_xlpm.pos&amp;""),_xlpm.bal,_xlpm.alo-_xlpm.usd,IFERROR(INDEX(_xlfn._xlws.FILTER(_xlpm.pos,(_xlpm.pos&lt;&gt;"")*(_xlpm.qty&gt;0)*(_xlpm.bal&gt;=_xlpm.qty)),1),"")))</f>
        <v/>
      </c>
      <c r="L84" s="426"/>
      <c r="M84" s="277"/>
      <c r="N84" s="277"/>
      <c r="O84" s="277"/>
    </row>
    <row r="85" spans="1:15" ht="23" x14ac:dyDescent="0.25">
      <c r="A85" s="217" t="str" cm="1">
        <f t="array" ref="A85">IFERROR(INDEX(_xlfn.ANCHORARRAY($P$6),ROW()-5,1),"")</f>
        <v/>
      </c>
      <c r="B85" s="344" t="str" cm="1">
        <f t="array" ref="B85">IFERROR(INDEX(_xlfn.ANCHORARRAY($P$6),ROW()-5,2),"")</f>
        <v/>
      </c>
      <c r="C85" s="345" t="str">
        <f>IF($A85="","",IF($J85="DIESEL",SUMIFS(Table1[Quantity],Table1[Customer],$M$3,Table1[Date],$A85,Table1[Bill No.],$B85),IF($J85="PETROL",SUMIFS(Table14[Quantity],Table14[Customer],$M$3,Table14[Date],$A85,Table14[Bill No.],$B85),IF($J85="XtraGreen",SUMIFS(Table146[Quantity],Table146[Company],$M$3,Table146[Date],$A85,Table146[Bill No.],$B85),""))))</f>
        <v/>
      </c>
      <c r="D85" s="346" t="str">
        <f>IF($A85="","",IF($J85="DIESEL",AVERAGEIFS(Table1[RSP],Table1[Customer],$M$3,Table1[Date],$A85,Table1[Bill No.],$B85),IF($J85="PETROL",AVERAGEIFS(Table14[RSP],Table14[Customer],$M$3,Table14[Date],$A85,Table14[Bill No.],$B85),IF($J85="XtraGreen",AVERAGEIFS(Table146[RSP],Table146[Company],$M$3,Table146[Date],$A85,Table146[Bill No.],$B85),IFERROR($E85/$C85,"")))))</f>
        <v/>
      </c>
      <c r="E85" s="347" t="str">
        <f>IF($A85="","",IF($J85="DIESEL",SUMIFS(Table1[Amount],Table1[Customer],$M$3,Table1[Date],$A85,Table1[Bill No.],$B85),IF($J85="PETROL",SUMIFS(Table14[Amount],Table14[Customer],$M$3,Table14[Date],$A85,Table14[Bill No.],$B85),IF($J85="XtraGreen",SUMIFS(Table146[Amount],Table146[Company],$M$3,Table146[Date],$A85,Table146[Bill No.],$B85),SUMIFS('Other Sale'!$D:$D,'Other Sale'!$E:$E,$M$3,'Other Sale'!$C:$C,$J85,'Other Sale'!$A:$A,$A85)))))</f>
        <v/>
      </c>
      <c r="F85" s="347" t="str" cm="1">
        <f t="array" ref="F85">IF($A85="","",IF($J85="Payment",IFERROR(INDEX(_xlfn._xlws.FILTER(MasterPaid[Amount Paid],(MasterPaid[Customer]=$M$3)*(MasterPaid[Date]=$A85)),COUNTIFS($A$6:$A85,$A85,$J$6:$J85,"Payment")),0),0))</f>
        <v/>
      </c>
      <c r="G85" s="331"/>
      <c r="H85" s="427"/>
      <c r="I85" s="330" t="str">
        <f t="shared" si="10"/>
        <v/>
      </c>
      <c r="J85" s="344" t="str" cm="1">
        <f t="array" ref="J85">IFERROR(INDEX(_xlfn.ANCHORARRAY($P$6),ROW()-5,3),"")</f>
        <v/>
      </c>
      <c r="K85" s="432" t="str" cm="1">
        <f t="array" ref="K85">IF(OR($A85="",$J85&lt;&gt;"DIESEL"),"",_xlfn.LET(_xlpm.qty,N($C85),_xlpm.pos,$T$5:$T$54,_xlpm.alo,IF($U$5:$U$54="",0,$U$5:$U$54),_xlpm.usd,SUMIFS($C$6:$C84,$K$6:$K84,_xlpm.pos&amp;""),_xlpm.bal,_xlpm.alo-_xlpm.usd,IFERROR(INDEX(_xlfn._xlws.FILTER(_xlpm.pos,(_xlpm.pos&lt;&gt;"")*(_xlpm.qty&gt;0)*(_xlpm.bal&gt;=_xlpm.qty)),1),"")))</f>
        <v/>
      </c>
      <c r="L85" s="348"/>
      <c r="M85" s="277"/>
      <c r="N85" s="277"/>
      <c r="O85" s="277"/>
    </row>
    <row r="86" spans="1:15" ht="23" x14ac:dyDescent="0.25">
      <c r="A86" s="217" t="str" cm="1">
        <f t="array" ref="A86">IFERROR(INDEX(_xlfn.ANCHORARRAY($P$6),ROW()-5,1),"")</f>
        <v/>
      </c>
      <c r="B86" s="344" t="str" cm="1">
        <f t="array" ref="B86">IFERROR(INDEX(_xlfn.ANCHORARRAY($P$6),ROW()-5,2),"")</f>
        <v/>
      </c>
      <c r="C86" s="345" t="str">
        <f>IF($A86="","",IF($J86="DIESEL",SUMIFS(Table1[Quantity],Table1[Customer],$M$3,Table1[Date],$A86,Table1[Bill No.],$B86),IF($J86="PETROL",SUMIFS(Table14[Quantity],Table14[Customer],$M$3,Table14[Date],$A86,Table14[Bill No.],$B86),IF($J86="XtraGreen",SUMIFS(Table146[Quantity],Table146[Company],$M$3,Table146[Date],$A86,Table146[Bill No.],$B86),""))))</f>
        <v/>
      </c>
      <c r="D86" s="346" t="str">
        <f>IF($A86="","",IF($J86="DIESEL",AVERAGEIFS(Table1[RSP],Table1[Customer],$M$3,Table1[Date],$A86,Table1[Bill No.],$B86),IF($J86="PETROL",AVERAGEIFS(Table14[RSP],Table14[Customer],$M$3,Table14[Date],$A86,Table14[Bill No.],$B86),IF($J86="XtraGreen",AVERAGEIFS(Table146[RSP],Table146[Company],$M$3,Table146[Date],$A86,Table146[Bill No.],$B86),IFERROR($E86/$C86,"")))))</f>
        <v/>
      </c>
      <c r="E86" s="347" t="str">
        <f>IF($A86="","",IF($J86="DIESEL",SUMIFS(Table1[Amount],Table1[Customer],$M$3,Table1[Date],$A86,Table1[Bill No.],$B86),IF($J86="PETROL",SUMIFS(Table14[Amount],Table14[Customer],$M$3,Table14[Date],$A86,Table14[Bill No.],$B86),IF($J86="XtraGreen",SUMIFS(Table146[Amount],Table146[Company],$M$3,Table146[Date],$A86,Table146[Bill No.],$B86),SUMIFS('Other Sale'!$D:$D,'Other Sale'!$E:$E,$M$3,'Other Sale'!$C:$C,$J86,'Other Sale'!$A:$A,$A86)))))</f>
        <v/>
      </c>
      <c r="F86" s="347" t="str" cm="1">
        <f t="array" ref="F86">IF($A86="","",IF($J86="Payment",IFERROR(INDEX(_xlfn._xlws.FILTER(MasterPaid[Amount Paid],(MasterPaid[Customer]=$M$3)*(MasterPaid[Date]=$A86)),COUNTIFS($A$6:$A86,$A86,$J$6:$J86,"Payment")),0),0))</f>
        <v/>
      </c>
      <c r="G86" s="331"/>
      <c r="H86" s="427"/>
      <c r="I86" s="330" t="str">
        <f t="shared" si="10"/>
        <v/>
      </c>
      <c r="J86" s="344" t="str" cm="1">
        <f t="array" ref="J86">IFERROR(INDEX(_xlfn.ANCHORARRAY($P$6),ROW()-5,3),"")</f>
        <v/>
      </c>
      <c r="K86" s="432" t="str" cm="1">
        <f t="array" ref="K86">IF(OR($A86="",$J86&lt;&gt;"DIESEL"),"",_xlfn.LET(_xlpm.qty,N($C86),_xlpm.pos,$T$5:$T$54,_xlpm.alo,IF($U$5:$U$54="",0,$U$5:$U$54),_xlpm.usd,SUMIFS($C$6:$C85,$K$6:$K85,_xlpm.pos&amp;""),_xlpm.bal,_xlpm.alo-_xlpm.usd,IFERROR(INDEX(_xlfn._xlws.FILTER(_xlpm.pos,(_xlpm.pos&lt;&gt;"")*(_xlpm.qty&gt;0)*(_xlpm.bal&gt;=_xlpm.qty)),1),"")))</f>
        <v/>
      </c>
      <c r="L86" s="348"/>
    </row>
    <row r="87" spans="1:15" ht="23" x14ac:dyDescent="0.25">
      <c r="A87" s="217" t="str" cm="1">
        <f t="array" ref="A87">IFERROR(INDEX(_xlfn.ANCHORARRAY($P$6),ROW()-5,1),"")</f>
        <v/>
      </c>
      <c r="B87" s="344" t="str" cm="1">
        <f t="array" ref="B87">IFERROR(INDEX(_xlfn.ANCHORARRAY($P$6),ROW()-5,2),"")</f>
        <v/>
      </c>
      <c r="C87" s="345" t="str">
        <f>IF($A87="","",IF($J87="DIESEL",SUMIFS(Table1[Quantity],Table1[Customer],$M$3,Table1[Date],$A87,Table1[Bill No.],$B87),IF($J87="PETROL",SUMIFS(Table14[Quantity],Table14[Customer],$M$3,Table14[Date],$A87,Table14[Bill No.],$B87),IF($J87="XtraGreen",SUMIFS(Table146[Quantity],Table146[Company],$M$3,Table146[Date],$A87,Table146[Bill No.],$B87),""))))</f>
        <v/>
      </c>
      <c r="D87" s="346" t="str">
        <f>IF($A87="","",IF($J87="DIESEL",AVERAGEIFS(Table1[RSP],Table1[Customer],$M$3,Table1[Date],$A87,Table1[Bill No.],$B87),IF($J87="PETROL",AVERAGEIFS(Table14[RSP],Table14[Customer],$M$3,Table14[Date],$A87,Table14[Bill No.],$B87),IF($J87="XtraGreen",AVERAGEIFS(Table146[RSP],Table146[Company],$M$3,Table146[Date],$A87,Table146[Bill No.],$B87),IFERROR($E87/$C87,"")))))</f>
        <v/>
      </c>
      <c r="E87" s="347" t="str">
        <f>IF($A87="","",IF($J87="DIESEL",SUMIFS(Table1[Amount],Table1[Customer],$M$3,Table1[Date],$A87,Table1[Bill No.],$B87),IF($J87="PETROL",SUMIFS(Table14[Amount],Table14[Customer],$M$3,Table14[Date],$A87,Table14[Bill No.],$B87),IF($J87="XtraGreen",SUMIFS(Table146[Amount],Table146[Company],$M$3,Table146[Date],$A87,Table146[Bill No.],$B87),SUMIFS('Other Sale'!$D:$D,'Other Sale'!$E:$E,$M$3,'Other Sale'!$C:$C,$J87,'Other Sale'!$A:$A,$A87)))))</f>
        <v/>
      </c>
      <c r="F87" s="347" t="str" cm="1">
        <f t="array" ref="F87">IF($A87="","",IF($J87="Payment",IFERROR(INDEX(_xlfn._xlws.FILTER(MasterPaid[Amount Paid],(MasterPaid[Customer]=$M$3)*(MasterPaid[Date]=$A87)),COUNTIFS($A$6:$A87,$A87,$J$6:$J87,"Payment")),0),0))</f>
        <v/>
      </c>
      <c r="G87" s="331"/>
      <c r="H87" s="427"/>
      <c r="I87" s="330" t="str">
        <f t="shared" si="10"/>
        <v/>
      </c>
      <c r="J87" s="344" t="str" cm="1">
        <f t="array" ref="J87">IFERROR(INDEX(_xlfn.ANCHORARRAY($P$6),ROW()-5,3),"")</f>
        <v/>
      </c>
      <c r="K87" s="432" t="str" cm="1">
        <f t="array" ref="K87">IF(OR($A87="",$J87&lt;&gt;"DIESEL"),"",_xlfn.LET(_xlpm.qty,N($C87),_xlpm.pos,$T$5:$T$54,_xlpm.alo,IF($U$5:$U$54="",0,$U$5:$U$54),_xlpm.usd,SUMIFS($C$6:$C86,$K$6:$K86,_xlpm.pos&amp;""),_xlpm.bal,_xlpm.alo-_xlpm.usd,IFERROR(INDEX(_xlfn._xlws.FILTER(_xlpm.pos,(_xlpm.pos&lt;&gt;"")*(_xlpm.qty&gt;0)*(_xlpm.bal&gt;=_xlpm.qty)),1),"")))</f>
        <v/>
      </c>
      <c r="L87" s="348"/>
    </row>
    <row r="88" spans="1:15" ht="23" x14ac:dyDescent="0.25">
      <c r="A88" s="217" t="str" cm="1">
        <f t="array" ref="A88">IFERROR(INDEX(_xlfn.ANCHORARRAY($P$6),ROW()-5,1),"")</f>
        <v/>
      </c>
      <c r="B88" s="344" t="str" cm="1">
        <f t="array" ref="B88">IFERROR(INDEX(_xlfn.ANCHORARRAY($P$6),ROW()-5,2),"")</f>
        <v/>
      </c>
      <c r="C88" s="345" t="str">
        <f>IF($A88="","",IF($J88="DIESEL",SUMIFS(Table1[Quantity],Table1[Customer],$M$3,Table1[Date],$A88,Table1[Bill No.],$B88),IF($J88="PETROL",SUMIFS(Table14[Quantity],Table14[Customer],$M$3,Table14[Date],$A88,Table14[Bill No.],$B88),IF($J88="XtraGreen",SUMIFS(Table146[Quantity],Table146[Company],$M$3,Table146[Date],$A88,Table146[Bill No.],$B88),""))))</f>
        <v/>
      </c>
      <c r="D88" s="346" t="str">
        <f>IF($A88="","",IF($J88="DIESEL",AVERAGEIFS(Table1[RSP],Table1[Customer],$M$3,Table1[Date],$A88,Table1[Bill No.],$B88),IF($J88="PETROL",AVERAGEIFS(Table14[RSP],Table14[Customer],$M$3,Table14[Date],$A88,Table14[Bill No.],$B88),IF($J88="XtraGreen",AVERAGEIFS(Table146[RSP],Table146[Company],$M$3,Table146[Date],$A88,Table146[Bill No.],$B88),IFERROR($E88/$C88,"")))))</f>
        <v/>
      </c>
      <c r="E88" s="347" t="str">
        <f>IF($A88="","",IF($J88="DIESEL",SUMIFS(Table1[Amount],Table1[Customer],$M$3,Table1[Date],$A88,Table1[Bill No.],$B88),IF($J88="PETROL",SUMIFS(Table14[Amount],Table14[Customer],$M$3,Table14[Date],$A88,Table14[Bill No.],$B88),IF($J88="XtraGreen",SUMIFS(Table146[Amount],Table146[Company],$M$3,Table146[Date],$A88,Table146[Bill No.],$B88),SUMIFS('Other Sale'!$D:$D,'Other Sale'!$E:$E,$M$3,'Other Sale'!$C:$C,$J88,'Other Sale'!$A:$A,$A88)))))</f>
        <v/>
      </c>
      <c r="F88" s="347" t="str" cm="1">
        <f t="array" ref="F88">IF($A88="","",IF($J88="Payment",IFERROR(INDEX(_xlfn._xlws.FILTER(MasterPaid[Amount Paid],(MasterPaid[Customer]=$M$3)*(MasterPaid[Date]=$A88)),COUNTIFS($A$6:$A88,$A88,$J$6:$J88,"Payment")),0),0))</f>
        <v/>
      </c>
      <c r="G88" s="331"/>
      <c r="H88" s="427"/>
      <c r="I88" s="330" t="str">
        <f t="shared" si="10"/>
        <v/>
      </c>
      <c r="J88" s="344" t="str" cm="1">
        <f t="array" ref="J88">IFERROR(INDEX(_xlfn.ANCHORARRAY($P$6),ROW()-5,3),"")</f>
        <v/>
      </c>
      <c r="K88" s="432" t="str" cm="1">
        <f t="array" ref="K88">IF(OR($A88="",$J88&lt;&gt;"DIESEL"),"",_xlfn.LET(_xlpm.qty,N($C88),_xlpm.pos,$T$5:$T$54,_xlpm.alo,IF($U$5:$U$54="",0,$U$5:$U$54),_xlpm.usd,SUMIFS($C$6:$C87,$K$6:$K87,_xlpm.pos&amp;""),_xlpm.bal,_xlpm.alo-_xlpm.usd,IFERROR(INDEX(_xlfn._xlws.FILTER(_xlpm.pos,(_xlpm.pos&lt;&gt;"")*(_xlpm.qty&gt;0)*(_xlpm.bal&gt;=_xlpm.qty)),1),"")))</f>
        <v/>
      </c>
      <c r="L88" s="348"/>
    </row>
    <row r="89" spans="1:15" ht="23" x14ac:dyDescent="0.25">
      <c r="A89" s="217" t="str" cm="1">
        <f t="array" ref="A89">IFERROR(INDEX(_xlfn.ANCHORARRAY($P$6),ROW()-5,1),"")</f>
        <v/>
      </c>
      <c r="B89" s="344" t="str" cm="1">
        <f t="array" ref="B89">IFERROR(INDEX(_xlfn.ANCHORARRAY($P$6),ROW()-5,2),"")</f>
        <v/>
      </c>
      <c r="C89" s="345" t="str">
        <f>IF($A89="","",IF($J89="DIESEL",SUMIFS(Table1[Quantity],Table1[Customer],$M$3,Table1[Date],$A89,Table1[Bill No.],$B89),IF($J89="PETROL",SUMIFS(Table14[Quantity],Table14[Customer],$M$3,Table14[Date],$A89,Table14[Bill No.],$B89),IF($J89="XtraGreen",SUMIFS(Table146[Quantity],Table146[Company],$M$3,Table146[Date],$A89,Table146[Bill No.],$B89),""))))</f>
        <v/>
      </c>
      <c r="D89" s="346" t="str">
        <f>IF($A89="","",IF($J89="DIESEL",AVERAGEIFS(Table1[RSP],Table1[Customer],$M$3,Table1[Date],$A89,Table1[Bill No.],$B89),IF($J89="PETROL",AVERAGEIFS(Table14[RSP],Table14[Customer],$M$3,Table14[Date],$A89,Table14[Bill No.],$B89),IF($J89="XtraGreen",AVERAGEIFS(Table146[RSP],Table146[Company],$M$3,Table146[Date],$A89,Table146[Bill No.],$B89),IFERROR($E89/$C89,"")))))</f>
        <v/>
      </c>
      <c r="E89" s="347" t="str">
        <f>IF($A89="","",IF($J89="DIESEL",SUMIFS(Table1[Amount],Table1[Customer],$M$3,Table1[Date],$A89,Table1[Bill No.],$B89),IF($J89="PETROL",SUMIFS(Table14[Amount],Table14[Customer],$M$3,Table14[Date],$A89,Table14[Bill No.],$B89),IF($J89="XtraGreen",SUMIFS(Table146[Amount],Table146[Company],$M$3,Table146[Date],$A89,Table146[Bill No.],$B89),SUMIFS('Other Sale'!$D:$D,'Other Sale'!$E:$E,$M$3,'Other Sale'!$C:$C,$J89,'Other Sale'!$A:$A,$A89)))))</f>
        <v/>
      </c>
      <c r="F89" s="347" t="str" cm="1">
        <f t="array" ref="F89">IF($A89="","",IF($J89="Payment",IFERROR(INDEX(_xlfn._xlws.FILTER(MasterPaid[Amount Paid],(MasterPaid[Customer]=$M$3)*(MasterPaid[Date]=$A89)),COUNTIFS($A$6:$A89,$A89,$J$6:$J89,"Payment")),0),0))</f>
        <v/>
      </c>
      <c r="G89" s="331"/>
      <c r="H89" s="427"/>
      <c r="I89" s="330" t="str">
        <f t="shared" si="10"/>
        <v/>
      </c>
      <c r="J89" s="344" t="str" cm="1">
        <f t="array" ref="J89">IFERROR(INDEX(_xlfn.ANCHORARRAY($P$6),ROW()-5,3),"")</f>
        <v/>
      </c>
      <c r="K89" s="432" t="str" cm="1">
        <f t="array" ref="K89">IF(OR($A89="",$J89&lt;&gt;"DIESEL"),"",_xlfn.LET(_xlpm.qty,N($C89),_xlpm.pos,$T$5:$T$54,_xlpm.alo,IF($U$5:$U$54="",0,$U$5:$U$54),_xlpm.usd,SUMIFS($C$6:$C88,$K$6:$K88,_xlpm.pos&amp;""),_xlpm.bal,_xlpm.alo-_xlpm.usd,IFERROR(INDEX(_xlfn._xlws.FILTER(_xlpm.pos,(_xlpm.pos&lt;&gt;"")*(_xlpm.qty&gt;0)*(_xlpm.bal&gt;=_xlpm.qty)),1),"")))</f>
        <v/>
      </c>
      <c r="L89" s="348"/>
    </row>
    <row r="90" spans="1:15" ht="23" x14ac:dyDescent="0.25">
      <c r="A90" s="217" t="str" cm="1">
        <f t="array" ref="A90">IFERROR(INDEX(_xlfn.ANCHORARRAY($P$6),ROW()-5,1),"")</f>
        <v/>
      </c>
      <c r="B90" s="344" t="str" cm="1">
        <f t="array" ref="B90">IFERROR(INDEX(_xlfn.ANCHORARRAY($P$6),ROW()-5,2),"")</f>
        <v/>
      </c>
      <c r="C90" s="345" t="str">
        <f>IF($A90="","",IF($J90="DIESEL",SUMIFS(Table1[Quantity],Table1[Customer],$M$3,Table1[Date],$A90,Table1[Bill No.],$B90),IF($J90="PETROL",SUMIFS(Table14[Quantity],Table14[Customer],$M$3,Table14[Date],$A90,Table14[Bill No.],$B90),IF($J90="XtraGreen",SUMIFS(Table146[Quantity],Table146[Company],$M$3,Table146[Date],$A90,Table146[Bill No.],$B90),""))))</f>
        <v/>
      </c>
      <c r="D90" s="346" t="str">
        <f>IF($A90="","",IF($J90="DIESEL",AVERAGEIFS(Table1[RSP],Table1[Customer],$M$3,Table1[Date],$A90,Table1[Bill No.],$B90),IF($J90="PETROL",AVERAGEIFS(Table14[RSP],Table14[Customer],$M$3,Table14[Date],$A90,Table14[Bill No.],$B90),IF($J90="XtraGreen",AVERAGEIFS(Table146[RSP],Table146[Company],$M$3,Table146[Date],$A90,Table146[Bill No.],$B90),IFERROR($E90/$C90,"")))))</f>
        <v/>
      </c>
      <c r="E90" s="347" t="str">
        <f>IF($A90="","",IF($J90="DIESEL",SUMIFS(Table1[Amount],Table1[Customer],$M$3,Table1[Date],$A90,Table1[Bill No.],$B90),IF($J90="PETROL",SUMIFS(Table14[Amount],Table14[Customer],$M$3,Table14[Date],$A90,Table14[Bill No.],$B90),IF($J90="XtraGreen",SUMIFS(Table146[Amount],Table146[Company],$M$3,Table146[Date],$A90,Table146[Bill No.],$B90),SUMIFS('Other Sale'!$D:$D,'Other Sale'!$E:$E,$M$3,'Other Sale'!$C:$C,$J90,'Other Sale'!$A:$A,$A90)))))</f>
        <v/>
      </c>
      <c r="F90" s="347" t="str" cm="1">
        <f t="array" ref="F90">IF($A90="","",IF($J90="Payment",IFERROR(INDEX(_xlfn._xlws.FILTER(MasterPaid[Amount Paid],(MasterPaid[Customer]=$M$3)*(MasterPaid[Date]=$A90)),COUNTIFS($A$6:$A90,$A90,$J$6:$J90,"Payment")),0),0))</f>
        <v/>
      </c>
      <c r="G90" s="331"/>
      <c r="H90" s="427"/>
      <c r="I90" s="330" t="str">
        <f t="shared" si="10"/>
        <v/>
      </c>
      <c r="J90" s="344" t="str" cm="1">
        <f t="array" ref="J90">IFERROR(INDEX(_xlfn.ANCHORARRAY($P$6),ROW()-5,3),"")</f>
        <v/>
      </c>
      <c r="K90" s="432" t="str" cm="1">
        <f t="array" ref="K90">IF(OR($A90="",$J90&lt;&gt;"DIESEL"),"",_xlfn.LET(_xlpm.qty,N($C90),_xlpm.pos,$T$5:$T$54,_xlpm.alo,IF($U$5:$U$54="",0,$U$5:$U$54),_xlpm.usd,SUMIFS($C$6:$C89,$K$6:$K89,_xlpm.pos&amp;""),_xlpm.bal,_xlpm.alo-_xlpm.usd,IFERROR(INDEX(_xlfn._xlws.FILTER(_xlpm.pos,(_xlpm.pos&lt;&gt;"")*(_xlpm.qty&gt;0)*(_xlpm.bal&gt;=_xlpm.qty)),1),"")))</f>
        <v/>
      </c>
      <c r="L90" s="348"/>
    </row>
    <row r="91" spans="1:15" ht="23" x14ac:dyDescent="0.25">
      <c r="A91" s="217" t="str" cm="1">
        <f t="array" ref="A91">IFERROR(INDEX(_xlfn.ANCHORARRAY($P$6),ROW()-5,1),"")</f>
        <v/>
      </c>
      <c r="B91" s="344" t="str" cm="1">
        <f t="array" ref="B91">IFERROR(INDEX(_xlfn.ANCHORARRAY($P$6),ROW()-5,2),"")</f>
        <v/>
      </c>
      <c r="C91" s="345" t="str">
        <f>IF($A91="","",IF($J91="DIESEL",SUMIFS(Table1[Quantity],Table1[Customer],$M$3,Table1[Date],$A91,Table1[Bill No.],$B91),IF($J91="PETROL",SUMIFS(Table14[Quantity],Table14[Customer],$M$3,Table14[Date],$A91,Table14[Bill No.],$B91),IF($J91="XtraGreen",SUMIFS(Table146[Quantity],Table146[Company],$M$3,Table146[Date],$A91,Table146[Bill No.],$B91),""))))</f>
        <v/>
      </c>
      <c r="D91" s="346" t="str">
        <f>IF($A91="","",IF($J91="DIESEL",AVERAGEIFS(Table1[RSP],Table1[Customer],$M$3,Table1[Date],$A91,Table1[Bill No.],$B91),IF($J91="PETROL",AVERAGEIFS(Table14[RSP],Table14[Customer],$M$3,Table14[Date],$A91,Table14[Bill No.],$B91),IF($J91="XtraGreen",AVERAGEIFS(Table146[RSP],Table146[Company],$M$3,Table146[Date],$A91,Table146[Bill No.],$B91),IFERROR($E91/$C91,"")))))</f>
        <v/>
      </c>
      <c r="E91" s="347" t="str">
        <f>IF($A91="","",IF($J91="DIESEL",SUMIFS(Table1[Amount],Table1[Customer],$M$3,Table1[Date],$A91,Table1[Bill No.],$B91),IF($J91="PETROL",SUMIFS(Table14[Amount],Table14[Customer],$M$3,Table14[Date],$A91,Table14[Bill No.],$B91),IF($J91="XtraGreen",SUMIFS(Table146[Amount],Table146[Company],$M$3,Table146[Date],$A91,Table146[Bill No.],$B91),SUMIFS('Other Sale'!$D:$D,'Other Sale'!$E:$E,$M$3,'Other Sale'!$C:$C,$J91,'Other Sale'!$A:$A,$A91)))))</f>
        <v/>
      </c>
      <c r="F91" s="347" t="str" cm="1">
        <f t="array" ref="F91">IF($A91="","",IF($J91="Payment",IFERROR(INDEX(_xlfn._xlws.FILTER(MasterPaid[Amount Paid],(MasterPaid[Customer]=$M$3)*(MasterPaid[Date]=$A91)),COUNTIFS($A$6:$A91,$A91,$J$6:$J91,"Payment")),0),0))</f>
        <v/>
      </c>
      <c r="G91" s="331"/>
      <c r="H91" s="427"/>
      <c r="I91" s="330" t="str">
        <f t="shared" si="10"/>
        <v/>
      </c>
      <c r="J91" s="344" t="str" cm="1">
        <f t="array" ref="J91">IFERROR(INDEX(_xlfn.ANCHORARRAY($P$6),ROW()-5,3),"")</f>
        <v/>
      </c>
      <c r="K91" s="432" t="str" cm="1">
        <f t="array" ref="K91">IF(OR($A91="",$J91&lt;&gt;"DIESEL"),"",_xlfn.LET(_xlpm.qty,N($C91),_xlpm.pos,$T$5:$T$54,_xlpm.alo,IF($U$5:$U$54="",0,$U$5:$U$54),_xlpm.usd,SUMIFS($C$6:$C90,$K$6:$K90,_xlpm.pos&amp;""),_xlpm.bal,_xlpm.alo-_xlpm.usd,IFERROR(INDEX(_xlfn._xlws.FILTER(_xlpm.pos,(_xlpm.pos&lt;&gt;"")*(_xlpm.qty&gt;0)*(_xlpm.bal&gt;=_xlpm.qty)),1),"")))</f>
        <v/>
      </c>
      <c r="L91" s="348"/>
    </row>
    <row r="92" spans="1:15" ht="23" x14ac:dyDescent="0.25">
      <c r="A92" s="217" t="str" cm="1">
        <f t="array" ref="A92">IFERROR(INDEX(_xlfn.ANCHORARRAY($P$6),ROW()-5,1),"")</f>
        <v/>
      </c>
      <c r="B92" s="344" t="str" cm="1">
        <f t="array" ref="B92">IFERROR(INDEX(_xlfn.ANCHORARRAY($P$6),ROW()-5,2),"")</f>
        <v/>
      </c>
      <c r="C92" s="345" t="str">
        <f>IF($A92="","",IF($J92="DIESEL",SUMIFS(Table1[Quantity],Table1[Customer],$M$3,Table1[Date],$A92,Table1[Bill No.],$B92),IF($J92="PETROL",SUMIFS(Table14[Quantity],Table14[Customer],$M$3,Table14[Date],$A92,Table14[Bill No.],$B92),IF($J92="XtraGreen",SUMIFS(Table146[Quantity],Table146[Company],$M$3,Table146[Date],$A92,Table146[Bill No.],$B92),""))))</f>
        <v/>
      </c>
      <c r="D92" s="346" t="str">
        <f>IF($A92="","",IF($J92="DIESEL",AVERAGEIFS(Table1[RSP],Table1[Customer],$M$3,Table1[Date],$A92,Table1[Bill No.],$B92),IF($J92="PETROL",AVERAGEIFS(Table14[RSP],Table14[Customer],$M$3,Table14[Date],$A92,Table14[Bill No.],$B92),IF($J92="XtraGreen",AVERAGEIFS(Table146[RSP],Table146[Company],$M$3,Table146[Date],$A92,Table146[Bill No.],$B92),IFERROR($E92/$C92,"")))))</f>
        <v/>
      </c>
      <c r="E92" s="347" t="str">
        <f>IF($A92="","",IF($J92="DIESEL",SUMIFS(Table1[Amount],Table1[Customer],$M$3,Table1[Date],$A92,Table1[Bill No.],$B92),IF($J92="PETROL",SUMIFS(Table14[Amount],Table14[Customer],$M$3,Table14[Date],$A92,Table14[Bill No.],$B92),IF($J92="XtraGreen",SUMIFS(Table146[Amount],Table146[Company],$M$3,Table146[Date],$A92,Table146[Bill No.],$B92),SUMIFS('Other Sale'!$D:$D,'Other Sale'!$E:$E,$M$3,'Other Sale'!$C:$C,$J92,'Other Sale'!$A:$A,$A92)))))</f>
        <v/>
      </c>
      <c r="F92" s="347" t="str" cm="1">
        <f t="array" ref="F92">IF($A92="","",IF($J92="Payment",IFERROR(INDEX(_xlfn._xlws.FILTER(MasterPaid[Amount Paid],(MasterPaid[Customer]=$M$3)*(MasterPaid[Date]=$A92)),COUNTIFS($A$6:$A92,$A92,$J$6:$J92,"Payment")),0),0))</f>
        <v/>
      </c>
      <c r="G92" s="331"/>
      <c r="H92" s="427"/>
      <c r="I92" s="330" t="str">
        <f t="shared" si="10"/>
        <v/>
      </c>
      <c r="J92" s="344" t="str" cm="1">
        <f t="array" ref="J92">IFERROR(INDEX(_xlfn.ANCHORARRAY($P$6),ROW()-5,3),"")</f>
        <v/>
      </c>
      <c r="K92" s="432" t="str" cm="1">
        <f t="array" ref="K92">IF(OR($A92="",$J92&lt;&gt;"DIESEL"),"",_xlfn.LET(_xlpm.qty,N($C92),_xlpm.pos,$T$5:$T$54,_xlpm.alo,IF($U$5:$U$54="",0,$U$5:$U$54),_xlpm.usd,SUMIFS($C$6:$C91,$K$6:$K91,_xlpm.pos&amp;""),_xlpm.bal,_xlpm.alo-_xlpm.usd,IFERROR(INDEX(_xlfn._xlws.FILTER(_xlpm.pos,(_xlpm.pos&lt;&gt;"")*(_xlpm.qty&gt;0)*(_xlpm.bal&gt;=_xlpm.qty)),1),"")))</f>
        <v/>
      </c>
      <c r="L92" s="348"/>
    </row>
    <row r="93" spans="1:15" ht="23" x14ac:dyDescent="0.25">
      <c r="A93" s="217" t="str" cm="1">
        <f t="array" ref="A93">IFERROR(INDEX(_xlfn.ANCHORARRAY($P$6),ROW()-5,1),"")</f>
        <v/>
      </c>
      <c r="B93" s="344" t="str" cm="1">
        <f t="array" ref="B93">IFERROR(INDEX(_xlfn.ANCHORARRAY($P$6),ROW()-5,2),"")</f>
        <v/>
      </c>
      <c r="C93" s="345" t="str">
        <f>IF($A93="","",IF($J93="DIESEL",SUMIFS(Table1[Quantity],Table1[Customer],$M$3,Table1[Date],$A93,Table1[Bill No.],$B93),IF($J93="PETROL",SUMIFS(Table14[Quantity],Table14[Customer],$M$3,Table14[Date],$A93,Table14[Bill No.],$B93),IF($J93="XtraGreen",SUMIFS(Table146[Quantity],Table146[Company],$M$3,Table146[Date],$A93,Table146[Bill No.],$B93),""))))</f>
        <v/>
      </c>
      <c r="D93" s="346" t="str">
        <f>IF($A93="","",IF($J93="DIESEL",AVERAGEIFS(Table1[RSP],Table1[Customer],$M$3,Table1[Date],$A93,Table1[Bill No.],$B93),IF($J93="PETROL",AVERAGEIFS(Table14[RSP],Table14[Customer],$M$3,Table14[Date],$A93,Table14[Bill No.],$B93),IF($J93="XtraGreen",AVERAGEIFS(Table146[RSP],Table146[Company],$M$3,Table146[Date],$A93,Table146[Bill No.],$B93),IFERROR($E93/$C93,"")))))</f>
        <v/>
      </c>
      <c r="E93" s="347" t="str">
        <f>IF($A93="","",IF($J93="DIESEL",SUMIFS(Table1[Amount],Table1[Customer],$M$3,Table1[Date],$A93,Table1[Bill No.],$B93),IF($J93="PETROL",SUMIFS(Table14[Amount],Table14[Customer],$M$3,Table14[Date],$A93,Table14[Bill No.],$B93),IF($J93="XtraGreen",SUMIFS(Table146[Amount],Table146[Company],$M$3,Table146[Date],$A93,Table146[Bill No.],$B93),SUMIFS('Other Sale'!$D:$D,'Other Sale'!$E:$E,$M$3,'Other Sale'!$C:$C,$J93,'Other Sale'!$A:$A,$A93)))))</f>
        <v/>
      </c>
      <c r="F93" s="347" t="str" cm="1">
        <f t="array" ref="F93">IF($A93="","",IF($J93="Payment",IFERROR(INDEX(_xlfn._xlws.FILTER(MasterPaid[Amount Paid],(MasterPaid[Customer]=$M$3)*(MasterPaid[Date]=$A93)),COUNTIFS($A$6:$A93,$A93,$J$6:$J93,"Payment")),0),0))</f>
        <v/>
      </c>
      <c r="G93" s="331"/>
      <c r="H93" s="427"/>
      <c r="I93" s="330" t="str">
        <f t="shared" si="10"/>
        <v/>
      </c>
      <c r="J93" s="344" t="str" cm="1">
        <f t="array" ref="J93">IFERROR(INDEX(_xlfn.ANCHORARRAY($P$6),ROW()-5,3),"")</f>
        <v/>
      </c>
      <c r="K93" s="432" t="str" cm="1">
        <f t="array" ref="K93">IF(OR($A93="",$J93&lt;&gt;"DIESEL"),"",_xlfn.LET(_xlpm.qty,N($C93),_xlpm.pos,$T$5:$T$54,_xlpm.alo,IF($U$5:$U$54="",0,$U$5:$U$54),_xlpm.usd,SUMIFS($C$6:$C92,$K$6:$K92,_xlpm.pos&amp;""),_xlpm.bal,_xlpm.alo-_xlpm.usd,IFERROR(INDEX(_xlfn._xlws.FILTER(_xlpm.pos,(_xlpm.pos&lt;&gt;"")*(_xlpm.qty&gt;0)*(_xlpm.bal&gt;=_xlpm.qty)),1),"")))</f>
        <v/>
      </c>
      <c r="L93" s="348"/>
    </row>
    <row r="94" spans="1:15" ht="23" x14ac:dyDescent="0.25">
      <c r="A94" s="217" t="str" cm="1">
        <f t="array" ref="A94">IFERROR(INDEX(_xlfn.ANCHORARRAY($P$6),ROW()-5,1),"")</f>
        <v/>
      </c>
      <c r="B94" s="344" t="str" cm="1">
        <f t="array" ref="B94">IFERROR(INDEX(_xlfn.ANCHORARRAY($P$6),ROW()-5,2),"")</f>
        <v/>
      </c>
      <c r="C94" s="345" t="str">
        <f>IF($A94="","",IF($J94="DIESEL",SUMIFS(Table1[Quantity],Table1[Customer],$M$3,Table1[Date],$A94,Table1[Bill No.],$B94),IF($J94="PETROL",SUMIFS(Table14[Quantity],Table14[Customer],$M$3,Table14[Date],$A94,Table14[Bill No.],$B94),IF($J94="XtraGreen",SUMIFS(Table146[Quantity],Table146[Company],$M$3,Table146[Date],$A94,Table146[Bill No.],$B94),""))))</f>
        <v/>
      </c>
      <c r="D94" s="346" t="str">
        <f>IF($A94="","",IF($J94="DIESEL",AVERAGEIFS(Table1[RSP],Table1[Customer],$M$3,Table1[Date],$A94,Table1[Bill No.],$B94),IF($J94="PETROL",AVERAGEIFS(Table14[RSP],Table14[Customer],$M$3,Table14[Date],$A94,Table14[Bill No.],$B94),IF($J94="XtraGreen",AVERAGEIFS(Table146[RSP],Table146[Company],$M$3,Table146[Date],$A94,Table146[Bill No.],$B94),IFERROR($E94/$C94,"")))))</f>
        <v/>
      </c>
      <c r="E94" s="347" t="str">
        <f>IF($A94="","",IF($J94="DIESEL",SUMIFS(Table1[Amount],Table1[Customer],$M$3,Table1[Date],$A94,Table1[Bill No.],$B94),IF($J94="PETROL",SUMIFS(Table14[Amount],Table14[Customer],$M$3,Table14[Date],$A94,Table14[Bill No.],$B94),IF($J94="XtraGreen",SUMIFS(Table146[Amount],Table146[Company],$M$3,Table146[Date],$A94,Table146[Bill No.],$B94),SUMIFS('Other Sale'!$D:$D,'Other Sale'!$E:$E,$M$3,'Other Sale'!$C:$C,$J94,'Other Sale'!$A:$A,$A94)))))</f>
        <v/>
      </c>
      <c r="F94" s="347" t="str" cm="1">
        <f t="array" ref="F94">IF($A94="","",IF($J94="Payment",IFERROR(INDEX(_xlfn._xlws.FILTER(MasterPaid[Amount Paid],(MasterPaid[Customer]=$M$3)*(MasterPaid[Date]=$A94)),COUNTIFS($A$6:$A94,$A94,$J$6:$J94,"Payment")),0),0))</f>
        <v/>
      </c>
      <c r="G94" s="331"/>
      <c r="H94" s="427"/>
      <c r="I94" s="330" t="str">
        <f t="shared" si="10"/>
        <v/>
      </c>
      <c r="J94" s="344" t="str" cm="1">
        <f t="array" ref="J94">IFERROR(INDEX(_xlfn.ANCHORARRAY($P$6),ROW()-5,3),"")</f>
        <v/>
      </c>
      <c r="K94" s="432" t="str" cm="1">
        <f t="array" ref="K94">IF(OR($A94="",$J94&lt;&gt;"DIESEL"),"",_xlfn.LET(_xlpm.qty,N($C94),_xlpm.pos,$T$5:$T$54,_xlpm.alo,IF($U$5:$U$54="",0,$U$5:$U$54),_xlpm.usd,SUMIFS($C$6:$C93,$K$6:$K93,_xlpm.pos&amp;""),_xlpm.bal,_xlpm.alo-_xlpm.usd,IFERROR(INDEX(_xlfn._xlws.FILTER(_xlpm.pos,(_xlpm.pos&lt;&gt;"")*(_xlpm.qty&gt;0)*(_xlpm.bal&gt;=_xlpm.qty)),1),"")))</f>
        <v/>
      </c>
      <c r="L94" s="348"/>
    </row>
    <row r="95" spans="1:15" ht="23" x14ac:dyDescent="0.25">
      <c r="A95" s="217" t="str" cm="1">
        <f t="array" ref="A95">IFERROR(INDEX(_xlfn.ANCHORARRAY($P$6),ROW()-5,1),"")</f>
        <v/>
      </c>
      <c r="B95" s="344" t="str" cm="1">
        <f t="array" ref="B95">IFERROR(INDEX(_xlfn.ANCHORARRAY($P$6),ROW()-5,2),"")</f>
        <v/>
      </c>
      <c r="C95" s="345" t="str">
        <f>IF($A95="","",IF($J95="DIESEL",SUMIFS(Table1[Quantity],Table1[Customer],$M$3,Table1[Date],$A95,Table1[Bill No.],$B95),IF($J95="PETROL",SUMIFS(Table14[Quantity],Table14[Customer],$M$3,Table14[Date],$A95,Table14[Bill No.],$B95),IF($J95="XtraGreen",SUMIFS(Table146[Quantity],Table146[Company],$M$3,Table146[Date],$A95,Table146[Bill No.],$B95),""))))</f>
        <v/>
      </c>
      <c r="D95" s="346" t="str">
        <f>IF($A95="","",IF($J95="DIESEL",AVERAGEIFS(Table1[RSP],Table1[Customer],$M$3,Table1[Date],$A95,Table1[Bill No.],$B95),IF($J95="PETROL",AVERAGEIFS(Table14[RSP],Table14[Customer],$M$3,Table14[Date],$A95,Table14[Bill No.],$B95),IF($J95="XtraGreen",AVERAGEIFS(Table146[RSP],Table146[Company],$M$3,Table146[Date],$A95,Table146[Bill No.],$B95),IFERROR($E95/$C95,"")))))</f>
        <v/>
      </c>
      <c r="E95" s="347" t="str">
        <f>IF($A95="","",IF($J95="DIESEL",SUMIFS(Table1[Amount],Table1[Customer],$M$3,Table1[Date],$A95,Table1[Bill No.],$B95),IF($J95="PETROL",SUMIFS(Table14[Amount],Table14[Customer],$M$3,Table14[Date],$A95,Table14[Bill No.],$B95),IF($J95="XtraGreen",SUMIFS(Table146[Amount],Table146[Company],$M$3,Table146[Date],$A95,Table146[Bill No.],$B95),SUMIFS('Other Sale'!$D:$D,'Other Sale'!$E:$E,$M$3,'Other Sale'!$C:$C,$J95,'Other Sale'!$A:$A,$A95)))))</f>
        <v/>
      </c>
      <c r="F95" s="347" t="str" cm="1">
        <f t="array" ref="F95">IF($A95="","",IF($J95="Payment",IFERROR(INDEX(_xlfn._xlws.FILTER(MasterPaid[Amount Paid],(MasterPaid[Customer]=$M$3)*(MasterPaid[Date]=$A95)),COUNTIFS($A$6:$A95,$A95,$J$6:$J95,"Payment")),0),0))</f>
        <v/>
      </c>
      <c r="G95" s="331"/>
      <c r="H95" s="427"/>
      <c r="I95" s="330" t="str">
        <f t="shared" si="10"/>
        <v/>
      </c>
      <c r="J95" s="344" t="str" cm="1">
        <f t="array" ref="J95">IFERROR(INDEX(_xlfn.ANCHORARRAY($P$6),ROW()-5,3),"")</f>
        <v/>
      </c>
      <c r="K95" s="432" t="str" cm="1">
        <f t="array" ref="K95">IF(OR($A95="",$J95&lt;&gt;"DIESEL"),"",_xlfn.LET(_xlpm.qty,N($C95),_xlpm.pos,$T$5:$T$54,_xlpm.alo,IF($U$5:$U$54="",0,$U$5:$U$54),_xlpm.usd,SUMIFS($C$6:$C94,$K$6:$K94,_xlpm.pos&amp;""),_xlpm.bal,_xlpm.alo-_xlpm.usd,IFERROR(INDEX(_xlfn._xlws.FILTER(_xlpm.pos,(_xlpm.pos&lt;&gt;"")*(_xlpm.qty&gt;0)*(_xlpm.bal&gt;=_xlpm.qty)),1),"")))</f>
        <v/>
      </c>
      <c r="L95" s="348"/>
    </row>
    <row r="96" spans="1:15" ht="23" x14ac:dyDescent="0.25">
      <c r="A96" s="217" t="str" cm="1">
        <f t="array" ref="A96">IFERROR(INDEX(_xlfn.ANCHORARRAY($P$6),ROW()-5,1),"")</f>
        <v/>
      </c>
      <c r="B96" s="344" t="str" cm="1">
        <f t="array" ref="B96">IFERROR(INDEX(_xlfn.ANCHORARRAY($P$6),ROW()-5,2),"")</f>
        <v/>
      </c>
      <c r="C96" s="345" t="str">
        <f>IF($A96="","",IF($J96="DIESEL",SUMIFS(Table1[Quantity],Table1[Customer],$M$3,Table1[Date],$A96,Table1[Bill No.],$B96),IF($J96="PETROL",SUMIFS(Table14[Quantity],Table14[Customer],$M$3,Table14[Date],$A96,Table14[Bill No.],$B96),IF($J96="XtraGreen",SUMIFS(Table146[Quantity],Table146[Company],$M$3,Table146[Date],$A96,Table146[Bill No.],$B96),""))))</f>
        <v/>
      </c>
      <c r="D96" s="346" t="str">
        <f>IF($A96="","",IF($J96="DIESEL",AVERAGEIFS(Table1[RSP],Table1[Customer],$M$3,Table1[Date],$A96,Table1[Bill No.],$B96),IF($J96="PETROL",AVERAGEIFS(Table14[RSP],Table14[Customer],$M$3,Table14[Date],$A96,Table14[Bill No.],$B96),IF($J96="XtraGreen",AVERAGEIFS(Table146[RSP],Table146[Company],$M$3,Table146[Date],$A96,Table146[Bill No.],$B96),IFERROR($E96/$C96,"")))))</f>
        <v/>
      </c>
      <c r="E96" s="347" t="str">
        <f>IF($A96="","",IF($J96="DIESEL",SUMIFS(Table1[Amount],Table1[Customer],$M$3,Table1[Date],$A96,Table1[Bill No.],$B96),IF($J96="PETROL",SUMIFS(Table14[Amount],Table14[Customer],$M$3,Table14[Date],$A96,Table14[Bill No.],$B96),IF($J96="XtraGreen",SUMIFS(Table146[Amount],Table146[Company],$M$3,Table146[Date],$A96,Table146[Bill No.],$B96),SUMIFS('Other Sale'!$D:$D,'Other Sale'!$E:$E,$M$3,'Other Sale'!$C:$C,$J96,'Other Sale'!$A:$A,$A96)))))</f>
        <v/>
      </c>
      <c r="F96" s="347" t="str" cm="1">
        <f t="array" ref="F96">IF($A96="","",IF($J96="Payment",IFERROR(INDEX(_xlfn._xlws.FILTER(MasterPaid[Amount Paid],(MasterPaid[Customer]=$M$3)*(MasterPaid[Date]=$A96)),COUNTIFS($A$6:$A96,$A96,$J$6:$J96,"Payment")),0),0))</f>
        <v/>
      </c>
      <c r="G96" s="331"/>
      <c r="H96" s="427"/>
      <c r="I96" s="330" t="str">
        <f t="shared" si="10"/>
        <v/>
      </c>
      <c r="J96" s="344" t="str" cm="1">
        <f t="array" ref="J96">IFERROR(INDEX(_xlfn.ANCHORARRAY($P$6),ROW()-5,3),"")</f>
        <v/>
      </c>
      <c r="K96" s="432" t="str" cm="1">
        <f t="array" ref="K96">IF(OR($A96="",$J96&lt;&gt;"DIESEL"),"",_xlfn.LET(_xlpm.qty,N($C96),_xlpm.pos,$T$5:$T$54,_xlpm.alo,IF($U$5:$U$54="",0,$U$5:$U$54),_xlpm.usd,SUMIFS($C$6:$C95,$K$6:$K95,_xlpm.pos&amp;""),_xlpm.bal,_xlpm.alo-_xlpm.usd,IFERROR(INDEX(_xlfn._xlws.FILTER(_xlpm.pos,(_xlpm.pos&lt;&gt;"")*(_xlpm.qty&gt;0)*(_xlpm.bal&gt;=_xlpm.qty)),1),"")))</f>
        <v/>
      </c>
      <c r="L96" s="348"/>
    </row>
    <row r="97" spans="1:12" ht="23" x14ac:dyDescent="0.25">
      <c r="A97" s="217" t="str" cm="1">
        <f t="array" ref="A97">IFERROR(INDEX(_xlfn.ANCHORARRAY($P$6),ROW()-5,1),"")</f>
        <v/>
      </c>
      <c r="B97" s="344" t="str" cm="1">
        <f t="array" ref="B97">IFERROR(INDEX(_xlfn.ANCHORARRAY($P$6),ROW()-5,2),"")</f>
        <v/>
      </c>
      <c r="C97" s="345" t="str">
        <f>IF($A97="","",IF($J97="DIESEL",SUMIFS(Table1[Quantity],Table1[Customer],$M$3,Table1[Date],$A97,Table1[Bill No.],$B97),IF($J97="PETROL",SUMIFS(Table14[Quantity],Table14[Customer],$M$3,Table14[Date],$A97,Table14[Bill No.],$B97),IF($J97="XtraGreen",SUMIFS(Table146[Quantity],Table146[Company],$M$3,Table146[Date],$A97,Table146[Bill No.],$B97),""))))</f>
        <v/>
      </c>
      <c r="D97" s="346" t="str">
        <f>IF($A97="","",IF($J97="DIESEL",AVERAGEIFS(Table1[RSP],Table1[Customer],$M$3,Table1[Date],$A97,Table1[Bill No.],$B97),IF($J97="PETROL",AVERAGEIFS(Table14[RSP],Table14[Customer],$M$3,Table14[Date],$A97,Table14[Bill No.],$B97),IF($J97="XtraGreen",AVERAGEIFS(Table146[RSP],Table146[Company],$M$3,Table146[Date],$A97,Table146[Bill No.],$B97),IFERROR($E97/$C97,"")))))</f>
        <v/>
      </c>
      <c r="E97" s="347" t="str">
        <f>IF($A97="","",IF($J97="DIESEL",SUMIFS(Table1[Amount],Table1[Customer],$M$3,Table1[Date],$A97,Table1[Bill No.],$B97),IF($J97="PETROL",SUMIFS(Table14[Amount],Table14[Customer],$M$3,Table14[Date],$A97,Table14[Bill No.],$B97),IF($J97="XtraGreen",SUMIFS(Table146[Amount],Table146[Company],$M$3,Table146[Date],$A97,Table146[Bill No.],$B97),SUMIFS('Other Sale'!$D:$D,'Other Sale'!$E:$E,$M$3,'Other Sale'!$C:$C,$J97,'Other Sale'!$A:$A,$A97)))))</f>
        <v/>
      </c>
      <c r="F97" s="347" t="str" cm="1">
        <f t="array" ref="F97">IF($A97="","",IF($J97="Payment",IFERROR(INDEX(_xlfn._xlws.FILTER(MasterPaid[Amount Paid],(MasterPaid[Customer]=$M$3)*(MasterPaid[Date]=$A97)),COUNTIFS($A$6:$A97,$A97,$J$6:$J97,"Payment")),0),0))</f>
        <v/>
      </c>
      <c r="G97" s="331"/>
      <c r="H97" s="427"/>
      <c r="I97" s="330" t="str">
        <f t="shared" si="10"/>
        <v/>
      </c>
      <c r="J97" s="344" t="str" cm="1">
        <f t="array" ref="J97">IFERROR(INDEX(_xlfn.ANCHORARRAY($P$6),ROW()-5,3),"")</f>
        <v/>
      </c>
      <c r="K97" s="432" t="str" cm="1">
        <f t="array" ref="K97">IF(OR($A97="",$J97&lt;&gt;"DIESEL"),"",_xlfn.LET(_xlpm.qty,N($C97),_xlpm.pos,$T$5:$T$54,_xlpm.alo,IF($U$5:$U$54="",0,$U$5:$U$54),_xlpm.usd,SUMIFS($C$6:$C96,$K$6:$K96,_xlpm.pos&amp;""),_xlpm.bal,_xlpm.alo-_xlpm.usd,IFERROR(INDEX(_xlfn._xlws.FILTER(_xlpm.pos,(_xlpm.pos&lt;&gt;"")*(_xlpm.qty&gt;0)*(_xlpm.bal&gt;=_xlpm.qty)),1),"")))</f>
        <v/>
      </c>
      <c r="L97" s="348"/>
    </row>
    <row r="98" spans="1:12" ht="23" x14ac:dyDescent="0.25">
      <c r="A98" s="217" t="str" cm="1">
        <f t="array" ref="A98">IFERROR(INDEX(_xlfn.ANCHORARRAY($P$6),ROW()-5,1),"")</f>
        <v/>
      </c>
      <c r="B98" s="344" t="str" cm="1">
        <f t="array" ref="B98">IFERROR(INDEX(_xlfn.ANCHORARRAY($P$6),ROW()-5,2),"")</f>
        <v/>
      </c>
      <c r="C98" s="345" t="str">
        <f>IF($A98="","",IF($J98="DIESEL",SUMIFS(Table1[Quantity],Table1[Customer],$M$3,Table1[Date],$A98,Table1[Bill No.],$B98),IF($J98="PETROL",SUMIFS(Table14[Quantity],Table14[Customer],$M$3,Table14[Date],$A98,Table14[Bill No.],$B98),IF($J98="XtraGreen",SUMIFS(Table146[Quantity],Table146[Company],$M$3,Table146[Date],$A98,Table146[Bill No.],$B98),""))))</f>
        <v/>
      </c>
      <c r="D98" s="346" t="str">
        <f>IF($A98="","",IF($J98="DIESEL",AVERAGEIFS(Table1[RSP],Table1[Customer],$M$3,Table1[Date],$A98,Table1[Bill No.],$B98),IF($J98="PETROL",AVERAGEIFS(Table14[RSP],Table14[Customer],$M$3,Table14[Date],$A98,Table14[Bill No.],$B98),IF($J98="XtraGreen",AVERAGEIFS(Table146[RSP],Table146[Company],$M$3,Table146[Date],$A98,Table146[Bill No.],$B98),IFERROR($E98/$C98,"")))))</f>
        <v/>
      </c>
      <c r="E98" s="347" t="str">
        <f>IF($A98="","",IF($J98="DIESEL",SUMIFS(Table1[Amount],Table1[Customer],$M$3,Table1[Date],$A98,Table1[Bill No.],$B98),IF($J98="PETROL",SUMIFS(Table14[Amount],Table14[Customer],$M$3,Table14[Date],$A98,Table14[Bill No.],$B98),IF($J98="XtraGreen",SUMIFS(Table146[Amount],Table146[Company],$M$3,Table146[Date],$A98,Table146[Bill No.],$B98),SUMIFS('Other Sale'!$D:$D,'Other Sale'!$E:$E,$M$3,'Other Sale'!$C:$C,$J98,'Other Sale'!$A:$A,$A98)))))</f>
        <v/>
      </c>
      <c r="F98" s="347" t="str" cm="1">
        <f t="array" ref="F98">IF($A98="","",IF($J98="Payment",IFERROR(INDEX(_xlfn._xlws.FILTER(MasterPaid[Amount Paid],(MasterPaid[Customer]=$M$3)*(MasterPaid[Date]=$A98)),COUNTIFS($A$6:$A98,$A98,$J$6:$J98,"Payment")),0),0))</f>
        <v/>
      </c>
      <c r="G98" s="331"/>
      <c r="H98" s="427"/>
      <c r="I98" s="330" t="str">
        <f t="shared" si="10"/>
        <v/>
      </c>
      <c r="J98" s="344" t="str" cm="1">
        <f t="array" ref="J98">IFERROR(INDEX(_xlfn.ANCHORARRAY($P$6),ROW()-5,3),"")</f>
        <v/>
      </c>
      <c r="K98" s="432" t="str" cm="1">
        <f t="array" ref="K98">IF(OR($A98="",$J98&lt;&gt;"DIESEL"),"",_xlfn.LET(_xlpm.qty,N($C98),_xlpm.pos,$T$5:$T$54,_xlpm.alo,IF($U$5:$U$54="",0,$U$5:$U$54),_xlpm.usd,SUMIFS($C$6:$C97,$K$6:$K97,_xlpm.pos&amp;""),_xlpm.bal,_xlpm.alo-_xlpm.usd,IFERROR(INDEX(_xlfn._xlws.FILTER(_xlpm.pos,(_xlpm.pos&lt;&gt;"")*(_xlpm.qty&gt;0)*(_xlpm.bal&gt;=_xlpm.qty)),1),"")))</f>
        <v/>
      </c>
      <c r="L98" s="348"/>
    </row>
    <row r="99" spans="1:12" ht="23" x14ac:dyDescent="0.25">
      <c r="A99" s="217" t="str" cm="1">
        <f t="array" ref="A99">IFERROR(INDEX(_xlfn.ANCHORARRAY($P$6),ROW()-5,1),"")</f>
        <v/>
      </c>
      <c r="B99" s="344" t="str" cm="1">
        <f t="array" ref="B99">IFERROR(INDEX(_xlfn.ANCHORARRAY($P$6),ROW()-5,2),"")</f>
        <v/>
      </c>
      <c r="C99" s="345" t="str">
        <f>IF($A99="","",IF($J99="DIESEL",SUMIFS(Table1[Quantity],Table1[Customer],$M$3,Table1[Date],$A99,Table1[Bill No.],$B99),IF($J99="PETROL",SUMIFS(Table14[Quantity],Table14[Customer],$M$3,Table14[Date],$A99,Table14[Bill No.],$B99),IF($J99="XtraGreen",SUMIFS(Table146[Quantity],Table146[Company],$M$3,Table146[Date],$A99,Table146[Bill No.],$B99),""))))</f>
        <v/>
      </c>
      <c r="D99" s="346" t="str">
        <f>IF($A99="","",IF($J99="DIESEL",AVERAGEIFS(Table1[RSP],Table1[Customer],$M$3,Table1[Date],$A99,Table1[Bill No.],$B99),IF($J99="PETROL",AVERAGEIFS(Table14[RSP],Table14[Customer],$M$3,Table14[Date],$A99,Table14[Bill No.],$B99),IF($J99="XtraGreen",AVERAGEIFS(Table146[RSP],Table146[Company],$M$3,Table146[Date],$A99,Table146[Bill No.],$B99),IFERROR($E99/$C99,"")))))</f>
        <v/>
      </c>
      <c r="E99" s="347" t="str">
        <f>IF($A99="","",IF($J99="DIESEL",SUMIFS(Table1[Amount],Table1[Customer],$M$3,Table1[Date],$A99,Table1[Bill No.],$B99),IF($J99="PETROL",SUMIFS(Table14[Amount],Table14[Customer],$M$3,Table14[Date],$A99,Table14[Bill No.],$B99),IF($J99="XtraGreen",SUMIFS(Table146[Amount],Table146[Company],$M$3,Table146[Date],$A99,Table146[Bill No.],$B99),SUMIFS('Other Sale'!$D:$D,'Other Sale'!$E:$E,$M$3,'Other Sale'!$C:$C,$J99,'Other Sale'!$A:$A,$A99)))))</f>
        <v/>
      </c>
      <c r="F99" s="347" t="str" cm="1">
        <f t="array" ref="F99">IF($A99="","",IF($J99="Payment",IFERROR(INDEX(_xlfn._xlws.FILTER(MasterPaid[Amount Paid],(MasterPaid[Customer]=$M$3)*(MasterPaid[Date]=$A99)),COUNTIFS($A$6:$A99,$A99,$J$6:$J99,"Payment")),0),0))</f>
        <v/>
      </c>
      <c r="G99" s="331"/>
      <c r="H99" s="427"/>
      <c r="I99" s="330" t="str">
        <f t="shared" si="10"/>
        <v/>
      </c>
      <c r="J99" s="344" t="str" cm="1">
        <f t="array" ref="J99">IFERROR(INDEX(_xlfn.ANCHORARRAY($P$6),ROW()-5,3),"")</f>
        <v/>
      </c>
      <c r="K99" s="432" t="str" cm="1">
        <f t="array" ref="K99">IF(OR($A99="",$J99&lt;&gt;"DIESEL"),"",_xlfn.LET(_xlpm.qty,N($C99),_xlpm.pos,$T$5:$T$54,_xlpm.alo,IF($U$5:$U$54="",0,$U$5:$U$54),_xlpm.usd,SUMIFS($C$6:$C98,$K$6:$K98,_xlpm.pos&amp;""),_xlpm.bal,_xlpm.alo-_xlpm.usd,IFERROR(INDEX(_xlfn._xlws.FILTER(_xlpm.pos,(_xlpm.pos&lt;&gt;"")*(_xlpm.qty&gt;0)*(_xlpm.bal&gt;=_xlpm.qty)),1),"")))</f>
        <v/>
      </c>
      <c r="L99" s="348"/>
    </row>
    <row r="100" spans="1:12" ht="23" x14ac:dyDescent="0.25">
      <c r="A100" s="217" t="str" cm="1">
        <f t="array" ref="A100">IFERROR(INDEX(_xlfn.ANCHORARRAY($P$6),ROW()-5,1),"")</f>
        <v/>
      </c>
      <c r="B100" s="344" t="str" cm="1">
        <f t="array" ref="B100">IFERROR(INDEX(_xlfn.ANCHORARRAY($P$6),ROW()-5,2),"")</f>
        <v/>
      </c>
      <c r="C100" s="345" t="str">
        <f>IF($A100="","",IF($J100="DIESEL",SUMIFS(Table1[Quantity],Table1[Customer],$M$3,Table1[Date],$A100,Table1[Bill No.],$B100),IF($J100="PETROL",SUMIFS(Table14[Quantity],Table14[Customer],$M$3,Table14[Date],$A100,Table14[Bill No.],$B100),IF($J100="XtraGreen",SUMIFS(Table146[Quantity],Table146[Company],$M$3,Table146[Date],$A100,Table146[Bill No.],$B100),""))))</f>
        <v/>
      </c>
      <c r="D100" s="346" t="str">
        <f>IF($A100="","",IF($J100="DIESEL",AVERAGEIFS(Table1[RSP],Table1[Customer],$M$3,Table1[Date],$A100,Table1[Bill No.],$B100),IF($J100="PETROL",AVERAGEIFS(Table14[RSP],Table14[Customer],$M$3,Table14[Date],$A100,Table14[Bill No.],$B100),IF($J100="XtraGreen",AVERAGEIFS(Table146[RSP],Table146[Company],$M$3,Table146[Date],$A100,Table146[Bill No.],$B100),IFERROR($E100/$C100,"")))))</f>
        <v/>
      </c>
      <c r="E100" s="347" t="str">
        <f>IF($A100="","",IF($J100="DIESEL",SUMIFS(Table1[Amount],Table1[Customer],$M$3,Table1[Date],$A100,Table1[Bill No.],$B100),IF($J100="PETROL",SUMIFS(Table14[Amount],Table14[Customer],$M$3,Table14[Date],$A100,Table14[Bill No.],$B100),IF($J100="XtraGreen",SUMIFS(Table146[Amount],Table146[Company],$M$3,Table146[Date],$A100,Table146[Bill No.],$B100),SUMIFS('Other Sale'!$D:$D,'Other Sale'!$E:$E,$M$3,'Other Sale'!$C:$C,$J100,'Other Sale'!$A:$A,$A100)))))</f>
        <v/>
      </c>
      <c r="F100" s="347" t="str" cm="1">
        <f t="array" ref="F100">IF($A100="","",IF($J100="Payment",IFERROR(INDEX(_xlfn._xlws.FILTER(MasterPaid[Amount Paid],(MasterPaid[Customer]=$M$3)*(MasterPaid[Date]=$A100)),COUNTIFS($A$6:$A100,$A100,$J$6:$J100,"Payment")),0),0))</f>
        <v/>
      </c>
      <c r="G100" s="331"/>
      <c r="H100" s="427"/>
      <c r="I100" s="330" t="str">
        <f t="shared" si="10"/>
        <v/>
      </c>
      <c r="J100" s="344" t="str" cm="1">
        <f t="array" ref="J100">IFERROR(INDEX(_xlfn.ANCHORARRAY($P$6),ROW()-5,3),"")</f>
        <v/>
      </c>
      <c r="K100" s="432" t="str" cm="1">
        <f t="array" ref="K100">IF(OR($A100="",$J100&lt;&gt;"DIESEL"),"",_xlfn.LET(_xlpm.qty,N($C100),_xlpm.pos,$T$5:$T$54,_xlpm.alo,IF($U$5:$U$54="",0,$U$5:$U$54),_xlpm.usd,SUMIFS($C$6:$C99,$K$6:$K99,_xlpm.pos&amp;""),_xlpm.bal,_xlpm.alo-_xlpm.usd,IFERROR(INDEX(_xlfn._xlws.FILTER(_xlpm.pos,(_xlpm.pos&lt;&gt;"")*(_xlpm.qty&gt;0)*(_xlpm.bal&gt;=_xlpm.qty)),1),"")))</f>
        <v/>
      </c>
      <c r="L100" s="348"/>
    </row>
    <row r="101" spans="1:12" ht="23" x14ac:dyDescent="0.25">
      <c r="A101" s="217" t="str" cm="1">
        <f t="array" ref="A101">IFERROR(INDEX(_xlfn.ANCHORARRAY($P$6),ROW()-5,1),"")</f>
        <v/>
      </c>
      <c r="B101" s="344" t="str" cm="1">
        <f t="array" ref="B101">IFERROR(INDEX(_xlfn.ANCHORARRAY($P$6),ROW()-5,2),"")</f>
        <v/>
      </c>
      <c r="C101" s="345" t="str">
        <f>IF($A101="","",IF($J101="DIESEL",SUMIFS(Table1[Quantity],Table1[Customer],$M$3,Table1[Date],$A101,Table1[Bill No.],$B101),IF($J101="PETROL",SUMIFS(Table14[Quantity],Table14[Customer],$M$3,Table14[Date],$A101,Table14[Bill No.],$B101),IF($J101="XtraGreen",SUMIFS(Table146[Quantity],Table146[Company],$M$3,Table146[Date],$A101,Table146[Bill No.],$B101),""))))</f>
        <v/>
      </c>
      <c r="D101" s="346" t="str">
        <f>IF($A101="","",IF($J101="DIESEL",AVERAGEIFS(Table1[RSP],Table1[Customer],$M$3,Table1[Date],$A101,Table1[Bill No.],$B101),IF($J101="PETROL",AVERAGEIFS(Table14[RSP],Table14[Customer],$M$3,Table14[Date],$A101,Table14[Bill No.],$B101),IF($J101="XtraGreen",AVERAGEIFS(Table146[RSP],Table146[Company],$M$3,Table146[Date],$A101,Table146[Bill No.],$B101),IFERROR($E101/$C101,"")))))</f>
        <v/>
      </c>
      <c r="E101" s="347" t="str">
        <f>IF($A101="","",IF($J101="DIESEL",SUMIFS(Table1[Amount],Table1[Customer],$M$3,Table1[Date],$A101,Table1[Bill No.],$B101),IF($J101="PETROL",SUMIFS(Table14[Amount],Table14[Customer],$M$3,Table14[Date],$A101,Table14[Bill No.],$B101),IF($J101="XtraGreen",SUMIFS(Table146[Amount],Table146[Company],$M$3,Table146[Date],$A101,Table146[Bill No.],$B101),SUMIFS('Other Sale'!$D:$D,'Other Sale'!$E:$E,$M$3,'Other Sale'!$C:$C,$J101,'Other Sale'!$A:$A,$A101)))))</f>
        <v/>
      </c>
      <c r="F101" s="347" t="str" cm="1">
        <f t="array" ref="F101">IF($A101="","",IF($J101="Payment",IFERROR(INDEX(_xlfn._xlws.FILTER(MasterPaid[Amount Paid],(MasterPaid[Customer]=$M$3)*(MasterPaid[Date]=$A101)),COUNTIFS($A$6:$A101,$A101,$J$6:$J101,"Payment")),0),0))</f>
        <v/>
      </c>
      <c r="G101" s="331"/>
      <c r="H101" s="427"/>
      <c r="I101" s="330" t="str">
        <f t="shared" si="10"/>
        <v/>
      </c>
      <c r="J101" s="344" t="str" cm="1">
        <f t="array" ref="J101">IFERROR(INDEX(_xlfn.ANCHORARRAY($P$6),ROW()-5,3),"")</f>
        <v/>
      </c>
      <c r="K101" s="432" t="str" cm="1">
        <f t="array" ref="K101">IF(OR($A101="",$J101&lt;&gt;"DIESEL"),"",_xlfn.LET(_xlpm.qty,N($C101),_xlpm.pos,$T$5:$T$54,_xlpm.alo,IF($U$5:$U$54="",0,$U$5:$U$54),_xlpm.usd,SUMIFS($C$6:$C100,$K$6:$K100,_xlpm.pos&amp;""),_xlpm.bal,_xlpm.alo-_xlpm.usd,IFERROR(INDEX(_xlfn._xlws.FILTER(_xlpm.pos,(_xlpm.pos&lt;&gt;"")*(_xlpm.qty&gt;0)*(_xlpm.bal&gt;=_xlpm.qty)),1),"")))</f>
        <v/>
      </c>
      <c r="L101" s="348"/>
    </row>
    <row r="102" spans="1:12" ht="23" x14ac:dyDescent="0.25">
      <c r="A102" s="217" t="str" cm="1">
        <f t="array" ref="A102">IFERROR(INDEX(_xlfn.ANCHORARRAY($P$6),ROW()-5,1),"")</f>
        <v/>
      </c>
      <c r="B102" s="344" t="str" cm="1">
        <f t="array" ref="B102">IFERROR(INDEX(_xlfn.ANCHORARRAY($P$6),ROW()-5,2),"")</f>
        <v/>
      </c>
      <c r="C102" s="345" t="str">
        <f>IF($A102="","",IF($J102="DIESEL",SUMIFS(Table1[Quantity],Table1[Customer],$M$3,Table1[Date],$A102,Table1[Bill No.],$B102),IF($J102="PETROL",SUMIFS(Table14[Quantity],Table14[Customer],$M$3,Table14[Date],$A102,Table14[Bill No.],$B102),IF($J102="XtraGreen",SUMIFS(Table146[Quantity],Table146[Company],$M$3,Table146[Date],$A102,Table146[Bill No.],$B102),""))))</f>
        <v/>
      </c>
      <c r="D102" s="346" t="str">
        <f>IF($A102="","",IF($J102="DIESEL",AVERAGEIFS(Table1[RSP],Table1[Customer],$M$3,Table1[Date],$A102,Table1[Bill No.],$B102),IF($J102="PETROL",AVERAGEIFS(Table14[RSP],Table14[Customer],$M$3,Table14[Date],$A102,Table14[Bill No.],$B102),IF($J102="XtraGreen",AVERAGEIFS(Table146[RSP],Table146[Company],$M$3,Table146[Date],$A102,Table146[Bill No.],$B102),IFERROR($E102/$C102,"")))))</f>
        <v/>
      </c>
      <c r="E102" s="347" t="str">
        <f>IF($A102="","",IF($J102="DIESEL",SUMIFS(Table1[Amount],Table1[Customer],$M$3,Table1[Date],$A102,Table1[Bill No.],$B102),IF($J102="PETROL",SUMIFS(Table14[Amount],Table14[Customer],$M$3,Table14[Date],$A102,Table14[Bill No.],$B102),IF($J102="XtraGreen",SUMIFS(Table146[Amount],Table146[Company],$M$3,Table146[Date],$A102,Table146[Bill No.],$B102),SUMIFS('Other Sale'!$D:$D,'Other Sale'!$E:$E,$M$3,'Other Sale'!$C:$C,$J102,'Other Sale'!$A:$A,$A102)))))</f>
        <v/>
      </c>
      <c r="F102" s="347" t="str" cm="1">
        <f t="array" ref="F102">IF($A102="","",IF($J102="Payment",IFERROR(INDEX(_xlfn._xlws.FILTER(MasterPaid[Amount Paid],(MasterPaid[Customer]=$M$3)*(MasterPaid[Date]=$A102)),COUNTIFS($A$6:$A102,$A102,$J$6:$J102,"Payment")),0),0))</f>
        <v/>
      </c>
      <c r="G102" s="331"/>
      <c r="H102" s="427"/>
      <c r="I102" s="330" t="str">
        <f t="shared" si="10"/>
        <v/>
      </c>
      <c r="J102" s="344" t="str" cm="1">
        <f t="array" ref="J102">IFERROR(INDEX(_xlfn.ANCHORARRAY($P$6),ROW()-5,3),"")</f>
        <v/>
      </c>
      <c r="K102" s="432" t="str" cm="1">
        <f t="array" ref="K102">IF(OR($A102="",$J102&lt;&gt;"DIESEL"),"",_xlfn.LET(_xlpm.qty,N($C102),_xlpm.pos,$T$5:$T$54,_xlpm.alo,IF($U$5:$U$54="",0,$U$5:$U$54),_xlpm.usd,SUMIFS($C$6:$C101,$K$6:$K101,_xlpm.pos&amp;""),_xlpm.bal,_xlpm.alo-_xlpm.usd,IFERROR(INDEX(_xlfn._xlws.FILTER(_xlpm.pos,(_xlpm.pos&lt;&gt;"")*(_xlpm.qty&gt;0)*(_xlpm.bal&gt;=_xlpm.qty)),1),"")))</f>
        <v/>
      </c>
      <c r="L102" s="348"/>
    </row>
    <row r="103" spans="1:12" ht="23" x14ac:dyDescent="0.25">
      <c r="A103" s="217" t="str" cm="1">
        <f t="array" ref="A103">IFERROR(INDEX(_xlfn.ANCHORARRAY($P$6),ROW()-5,1),"")</f>
        <v/>
      </c>
      <c r="B103" s="344" t="str" cm="1">
        <f t="array" ref="B103">IFERROR(INDEX(_xlfn.ANCHORARRAY($P$6),ROW()-5,2),"")</f>
        <v/>
      </c>
      <c r="C103" s="345" t="str">
        <f>IF($A103="","",IF($J103="DIESEL",SUMIFS(Table1[Quantity],Table1[Customer],$M$3,Table1[Date],$A103,Table1[Bill No.],$B103),IF($J103="PETROL",SUMIFS(Table14[Quantity],Table14[Customer],$M$3,Table14[Date],$A103,Table14[Bill No.],$B103),IF($J103="XtraGreen",SUMIFS(Table146[Quantity],Table146[Company],$M$3,Table146[Date],$A103,Table146[Bill No.],$B103),""))))</f>
        <v/>
      </c>
      <c r="D103" s="346" t="str">
        <f>IF($A103="","",IF($J103="DIESEL",AVERAGEIFS(Table1[RSP],Table1[Customer],$M$3,Table1[Date],$A103,Table1[Bill No.],$B103),IF($J103="PETROL",AVERAGEIFS(Table14[RSP],Table14[Customer],$M$3,Table14[Date],$A103,Table14[Bill No.],$B103),IF($J103="XtraGreen",AVERAGEIFS(Table146[RSP],Table146[Company],$M$3,Table146[Date],$A103,Table146[Bill No.],$B103),IFERROR($E103/$C103,"")))))</f>
        <v/>
      </c>
      <c r="E103" s="347" t="str">
        <f>IF($A103="","",IF($J103="DIESEL",SUMIFS(Table1[Amount],Table1[Customer],$M$3,Table1[Date],$A103,Table1[Bill No.],$B103),IF($J103="PETROL",SUMIFS(Table14[Amount],Table14[Customer],$M$3,Table14[Date],$A103,Table14[Bill No.],$B103),IF($J103="XtraGreen",SUMIFS(Table146[Amount],Table146[Company],$M$3,Table146[Date],$A103,Table146[Bill No.],$B103),SUMIFS('Other Sale'!$D:$D,'Other Sale'!$E:$E,$M$3,'Other Sale'!$C:$C,$J103,'Other Sale'!$A:$A,$A103)))))</f>
        <v/>
      </c>
      <c r="F103" s="347" t="str" cm="1">
        <f t="array" ref="F103">IF($A103="","",IF($J103="Payment",IFERROR(INDEX(_xlfn._xlws.FILTER(MasterPaid[Amount Paid],(MasterPaid[Customer]=$M$3)*(MasterPaid[Date]=$A103)),COUNTIFS($A$6:$A103,$A103,$J$6:$J103,"Payment")),0),0))</f>
        <v/>
      </c>
      <c r="G103" s="331"/>
      <c r="H103" s="427"/>
      <c r="I103" s="330" t="str">
        <f t="shared" si="10"/>
        <v/>
      </c>
      <c r="J103" s="344" t="str" cm="1">
        <f t="array" ref="J103">IFERROR(INDEX(_xlfn.ANCHORARRAY($P$6),ROW()-5,3),"")</f>
        <v/>
      </c>
      <c r="K103" s="432" t="str" cm="1">
        <f t="array" ref="K103">IF(OR($A103="",$J103&lt;&gt;"DIESEL"),"",_xlfn.LET(_xlpm.qty,N($C103),_xlpm.pos,$T$5:$T$54,_xlpm.alo,IF($U$5:$U$54="",0,$U$5:$U$54),_xlpm.usd,SUMIFS($C$6:$C102,$K$6:$K102,_xlpm.pos&amp;""),_xlpm.bal,_xlpm.alo-_xlpm.usd,IFERROR(INDEX(_xlfn._xlws.FILTER(_xlpm.pos,(_xlpm.pos&lt;&gt;"")*(_xlpm.qty&gt;0)*(_xlpm.bal&gt;=_xlpm.qty)),1),"")))</f>
        <v/>
      </c>
      <c r="L103" s="348"/>
    </row>
    <row r="104" spans="1:12" ht="23" x14ac:dyDescent="0.25">
      <c r="A104" s="217" t="str" cm="1">
        <f t="array" ref="A104">IFERROR(INDEX(_xlfn.ANCHORARRAY($P$6),ROW()-5,1),"")</f>
        <v/>
      </c>
      <c r="B104" s="344" t="str" cm="1">
        <f t="array" ref="B104">IFERROR(INDEX(_xlfn.ANCHORARRAY($P$6),ROW()-5,2),"")</f>
        <v/>
      </c>
      <c r="C104" s="345" t="str">
        <f>IF($A104="","",IF($J104="DIESEL",SUMIFS(Table1[Quantity],Table1[Customer],$M$3,Table1[Date],$A104,Table1[Bill No.],$B104),IF($J104="PETROL",SUMIFS(Table14[Quantity],Table14[Customer],$M$3,Table14[Date],$A104,Table14[Bill No.],$B104),IF($J104="XtraGreen",SUMIFS(Table146[Quantity],Table146[Company],$M$3,Table146[Date],$A104,Table146[Bill No.],$B104),""))))</f>
        <v/>
      </c>
      <c r="D104" s="346" t="str">
        <f>IF($A104="","",IF($J104="DIESEL",AVERAGEIFS(Table1[RSP],Table1[Customer],$M$3,Table1[Date],$A104,Table1[Bill No.],$B104),IF($J104="PETROL",AVERAGEIFS(Table14[RSP],Table14[Customer],$M$3,Table14[Date],$A104,Table14[Bill No.],$B104),IF($J104="XtraGreen",AVERAGEIFS(Table146[RSP],Table146[Company],$M$3,Table146[Date],$A104,Table146[Bill No.],$B104),IFERROR($E104/$C104,"")))))</f>
        <v/>
      </c>
      <c r="E104" s="347" t="str">
        <f>IF($A104="","",IF($J104="DIESEL",SUMIFS(Table1[Amount],Table1[Customer],$M$3,Table1[Date],$A104,Table1[Bill No.],$B104),IF($J104="PETROL",SUMIFS(Table14[Amount],Table14[Customer],$M$3,Table14[Date],$A104,Table14[Bill No.],$B104),IF($J104="XtraGreen",SUMIFS(Table146[Amount],Table146[Company],$M$3,Table146[Date],$A104,Table146[Bill No.],$B104),SUMIFS('Other Sale'!$D:$D,'Other Sale'!$E:$E,$M$3,'Other Sale'!$C:$C,$J104,'Other Sale'!$A:$A,$A104)))))</f>
        <v/>
      </c>
      <c r="F104" s="347" t="str" cm="1">
        <f t="array" ref="F104">IF($A104="","",IF($J104="Payment",IFERROR(INDEX(_xlfn._xlws.FILTER(MasterPaid[Amount Paid],(MasterPaid[Customer]=$M$3)*(MasterPaid[Date]=$A104)),COUNTIFS($A$6:$A104,$A104,$J$6:$J104,"Payment")),0),0))</f>
        <v/>
      </c>
      <c r="G104" s="331"/>
      <c r="H104" s="427"/>
      <c r="I104" s="330" t="str">
        <f t="shared" si="10"/>
        <v/>
      </c>
      <c r="J104" s="344" t="str" cm="1">
        <f t="array" ref="J104">IFERROR(INDEX(_xlfn.ANCHORARRAY($P$6),ROW()-5,3),"")</f>
        <v/>
      </c>
      <c r="K104" s="432" t="str" cm="1">
        <f t="array" ref="K104">IF(OR($A104="",$J104&lt;&gt;"DIESEL"),"",_xlfn.LET(_xlpm.qty,N($C104),_xlpm.pos,$T$5:$T$54,_xlpm.alo,IF($U$5:$U$54="",0,$U$5:$U$54),_xlpm.usd,SUMIFS($C$6:$C103,$K$6:$K103,_xlpm.pos&amp;""),_xlpm.bal,_xlpm.alo-_xlpm.usd,IFERROR(INDEX(_xlfn._xlws.FILTER(_xlpm.pos,(_xlpm.pos&lt;&gt;"")*(_xlpm.qty&gt;0)*(_xlpm.bal&gt;=_xlpm.qty)),1),"")))</f>
        <v/>
      </c>
      <c r="L104" s="348"/>
    </row>
    <row r="105" spans="1:12" ht="23" x14ac:dyDescent="0.25">
      <c r="A105" s="217" t="str" cm="1">
        <f t="array" ref="A105">IFERROR(INDEX(_xlfn.ANCHORARRAY($P$6),ROW()-5,1),"")</f>
        <v/>
      </c>
      <c r="B105" s="344" t="str" cm="1">
        <f t="array" ref="B105">IFERROR(INDEX(_xlfn.ANCHORARRAY($P$6),ROW()-5,2),"")</f>
        <v/>
      </c>
      <c r="C105" s="345" t="str">
        <f>IF($A105="","",IF($J105="DIESEL",SUMIFS(Table1[Quantity],Table1[Customer],$M$3,Table1[Date],$A105,Table1[Bill No.],$B105),IF($J105="PETROL",SUMIFS(Table14[Quantity],Table14[Customer],$M$3,Table14[Date],$A105,Table14[Bill No.],$B105),IF($J105="XtraGreen",SUMIFS(Table146[Quantity],Table146[Company],$M$3,Table146[Date],$A105,Table146[Bill No.],$B105),""))))</f>
        <v/>
      </c>
      <c r="D105" s="346" t="str">
        <f>IF($A105="","",IF($J105="DIESEL",AVERAGEIFS(Table1[RSP],Table1[Customer],$M$3,Table1[Date],$A105,Table1[Bill No.],$B105),IF($J105="PETROL",AVERAGEIFS(Table14[RSP],Table14[Customer],$M$3,Table14[Date],$A105,Table14[Bill No.],$B105),IF($J105="XtraGreen",AVERAGEIFS(Table146[RSP],Table146[Company],$M$3,Table146[Date],$A105,Table146[Bill No.],$B105),IFERROR($E105/$C105,"")))))</f>
        <v/>
      </c>
      <c r="E105" s="347" t="str">
        <f>IF($A105="","",IF($J105="DIESEL",SUMIFS(Table1[Amount],Table1[Customer],$M$3,Table1[Date],$A105,Table1[Bill No.],$B105),IF($J105="PETROL",SUMIFS(Table14[Amount],Table14[Customer],$M$3,Table14[Date],$A105,Table14[Bill No.],$B105),IF($J105="XtraGreen",SUMIFS(Table146[Amount],Table146[Company],$M$3,Table146[Date],$A105,Table146[Bill No.],$B105),SUMIFS('Other Sale'!$D:$D,'Other Sale'!$E:$E,$M$3,'Other Sale'!$C:$C,$J105,'Other Sale'!$A:$A,$A105)))))</f>
        <v/>
      </c>
      <c r="F105" s="347" t="str" cm="1">
        <f t="array" ref="F105">IF($A105="","",IF($J105="Payment",IFERROR(INDEX(_xlfn._xlws.FILTER(MasterPaid[Amount Paid],(MasterPaid[Customer]=$M$3)*(MasterPaid[Date]=$A105)),COUNTIFS($A$6:$A105,$A105,$J$6:$J105,"Payment")),0),0))</f>
        <v/>
      </c>
      <c r="G105" s="331"/>
      <c r="H105" s="427"/>
      <c r="I105" s="330" t="str">
        <f t="shared" si="10"/>
        <v/>
      </c>
      <c r="J105" s="344" t="str" cm="1">
        <f t="array" ref="J105">IFERROR(INDEX(_xlfn.ANCHORARRAY($P$6),ROW()-5,3),"")</f>
        <v/>
      </c>
      <c r="K105" s="432" t="str" cm="1">
        <f t="array" ref="K105">IF(OR($A105="",$J105&lt;&gt;"DIESEL"),"",_xlfn.LET(_xlpm.qty,N($C105),_xlpm.pos,$T$5:$T$54,_xlpm.alo,IF($U$5:$U$54="",0,$U$5:$U$54),_xlpm.usd,SUMIFS($C$6:$C104,$K$6:$K104,_xlpm.pos&amp;""),_xlpm.bal,_xlpm.alo-_xlpm.usd,IFERROR(INDEX(_xlfn._xlws.FILTER(_xlpm.pos,(_xlpm.pos&lt;&gt;"")*(_xlpm.qty&gt;0)*(_xlpm.bal&gt;=_xlpm.qty)),1),"")))</f>
        <v/>
      </c>
      <c r="L105" s="348"/>
    </row>
    <row r="106" spans="1:12" ht="23" x14ac:dyDescent="0.25">
      <c r="A106" s="217" t="str" cm="1">
        <f t="array" ref="A106">IFERROR(INDEX(_xlfn.ANCHORARRAY($P$6),ROW()-5,1),"")</f>
        <v/>
      </c>
      <c r="B106" s="344" t="str" cm="1">
        <f t="array" ref="B106">IFERROR(INDEX(_xlfn.ANCHORARRAY($P$6),ROW()-5,2),"")</f>
        <v/>
      </c>
      <c r="C106" s="345" t="str">
        <f>IF($A106="","",IF($J106="DIESEL",SUMIFS(Table1[Quantity],Table1[Customer],$M$3,Table1[Date],$A106,Table1[Bill No.],$B106),IF($J106="PETROL",SUMIFS(Table14[Quantity],Table14[Customer],$M$3,Table14[Date],$A106,Table14[Bill No.],$B106),IF($J106="XtraGreen",SUMIFS(Table146[Quantity],Table146[Company],$M$3,Table146[Date],$A106,Table146[Bill No.],$B106),""))))</f>
        <v/>
      </c>
      <c r="D106" s="346" t="str">
        <f>IF($A106="","",IF($J106="DIESEL",AVERAGEIFS(Table1[RSP],Table1[Customer],$M$3,Table1[Date],$A106,Table1[Bill No.],$B106),IF($J106="PETROL",AVERAGEIFS(Table14[RSP],Table14[Customer],$M$3,Table14[Date],$A106,Table14[Bill No.],$B106),IF($J106="XtraGreen",AVERAGEIFS(Table146[RSP],Table146[Company],$M$3,Table146[Date],$A106,Table146[Bill No.],$B106),IFERROR($E106/$C106,"")))))</f>
        <v/>
      </c>
      <c r="E106" s="347" t="str">
        <f>IF($A106="","",IF($J106="DIESEL",SUMIFS(Table1[Amount],Table1[Customer],$M$3,Table1[Date],$A106,Table1[Bill No.],$B106),IF($J106="PETROL",SUMIFS(Table14[Amount],Table14[Customer],$M$3,Table14[Date],$A106,Table14[Bill No.],$B106),IF($J106="XtraGreen",SUMIFS(Table146[Amount],Table146[Company],$M$3,Table146[Date],$A106,Table146[Bill No.],$B106),SUMIFS('Other Sale'!$D:$D,'Other Sale'!$E:$E,$M$3,'Other Sale'!$C:$C,$J106,'Other Sale'!$A:$A,$A106)))))</f>
        <v/>
      </c>
      <c r="F106" s="347" t="str" cm="1">
        <f t="array" ref="F106">IF($A106="","",IF($J106="Payment",IFERROR(INDEX(_xlfn._xlws.FILTER(MasterPaid[Amount Paid],(MasterPaid[Customer]=$M$3)*(MasterPaid[Date]=$A106)),COUNTIFS($A$6:$A106,$A106,$J$6:$J106,"Payment")),0),0))</f>
        <v/>
      </c>
      <c r="G106" s="331"/>
      <c r="H106" s="427"/>
      <c r="I106" s="330" t="str">
        <f t="shared" si="10"/>
        <v/>
      </c>
      <c r="J106" s="344" t="str" cm="1">
        <f t="array" ref="J106">IFERROR(INDEX(_xlfn.ANCHORARRAY($P$6),ROW()-5,3),"")</f>
        <v/>
      </c>
      <c r="K106" s="432" t="str" cm="1">
        <f t="array" ref="K106">IF(OR($A106="",$J106&lt;&gt;"DIESEL"),"",_xlfn.LET(_xlpm.qty,N($C106),_xlpm.pos,$T$5:$T$54,_xlpm.alo,IF($U$5:$U$54="",0,$U$5:$U$54),_xlpm.usd,SUMIFS($C$6:$C105,$K$6:$K105,_xlpm.pos&amp;""),_xlpm.bal,_xlpm.alo-_xlpm.usd,IFERROR(INDEX(_xlfn._xlws.FILTER(_xlpm.pos,(_xlpm.pos&lt;&gt;"")*(_xlpm.qty&gt;0)*(_xlpm.bal&gt;=_xlpm.qty)),1),"")))</f>
        <v/>
      </c>
      <c r="L106" s="348"/>
    </row>
    <row r="107" spans="1:12" ht="23" x14ac:dyDescent="0.25">
      <c r="A107" s="217" t="str" cm="1">
        <f t="array" ref="A107">IFERROR(INDEX(_xlfn.ANCHORARRAY($P$6),ROW()-5,1),"")</f>
        <v/>
      </c>
      <c r="B107" s="344" t="str" cm="1">
        <f t="array" ref="B107">IFERROR(INDEX(_xlfn.ANCHORARRAY($P$6),ROW()-5,2),"")</f>
        <v/>
      </c>
      <c r="C107" s="345" t="str">
        <f>IF($A107="","",IF($J107="DIESEL",SUMIFS(Table1[Quantity],Table1[Customer],$M$3,Table1[Date],$A107,Table1[Bill No.],$B107),IF($J107="PETROL",SUMIFS(Table14[Quantity],Table14[Customer],$M$3,Table14[Date],$A107,Table14[Bill No.],$B107),IF($J107="XtraGreen",SUMIFS(Table146[Quantity],Table146[Company],$M$3,Table146[Date],$A107,Table146[Bill No.],$B107),""))))</f>
        <v/>
      </c>
      <c r="D107" s="346" t="str">
        <f>IF($A107="","",IF($J107="DIESEL",AVERAGEIFS(Table1[RSP],Table1[Customer],$M$3,Table1[Date],$A107,Table1[Bill No.],$B107),IF($J107="PETROL",AVERAGEIFS(Table14[RSP],Table14[Customer],$M$3,Table14[Date],$A107,Table14[Bill No.],$B107),IF($J107="XtraGreen",AVERAGEIFS(Table146[RSP],Table146[Company],$M$3,Table146[Date],$A107,Table146[Bill No.],$B107),IFERROR($E107/$C107,"")))))</f>
        <v/>
      </c>
      <c r="E107" s="347" t="str">
        <f>IF($A107="","",IF($J107="DIESEL",SUMIFS(Table1[Amount],Table1[Customer],$M$3,Table1[Date],$A107,Table1[Bill No.],$B107),IF($J107="PETROL",SUMIFS(Table14[Amount],Table14[Customer],$M$3,Table14[Date],$A107,Table14[Bill No.],$B107),IF($J107="XtraGreen",SUMIFS(Table146[Amount],Table146[Company],$M$3,Table146[Date],$A107,Table146[Bill No.],$B107),SUMIFS('Other Sale'!$D:$D,'Other Sale'!$E:$E,$M$3,'Other Sale'!$C:$C,$J107,'Other Sale'!$A:$A,$A107)))))</f>
        <v/>
      </c>
      <c r="F107" s="347" t="str" cm="1">
        <f t="array" ref="F107">IF($A107="","",IF($J107="Payment",IFERROR(INDEX(_xlfn._xlws.FILTER(MasterPaid[Amount Paid],(MasterPaid[Customer]=$M$3)*(MasterPaid[Date]=$A107)),COUNTIFS($A$6:$A107,$A107,$J$6:$J107,"Payment")),0),0))</f>
        <v/>
      </c>
      <c r="G107" s="331"/>
      <c r="H107" s="427"/>
      <c r="I107" s="330" t="str">
        <f t="shared" si="10"/>
        <v/>
      </c>
      <c r="J107" s="344" t="str" cm="1">
        <f t="array" ref="J107">IFERROR(INDEX(_xlfn.ANCHORARRAY($P$6),ROW()-5,3),"")</f>
        <v/>
      </c>
      <c r="K107" s="432" t="str" cm="1">
        <f t="array" ref="K107">IF(OR($A107="",$J107&lt;&gt;"DIESEL"),"",_xlfn.LET(_xlpm.qty,N($C107),_xlpm.pos,$T$5:$T$54,_xlpm.alo,IF($U$5:$U$54="",0,$U$5:$U$54),_xlpm.usd,SUMIFS($C$6:$C106,$K$6:$K106,_xlpm.pos&amp;""),_xlpm.bal,_xlpm.alo-_xlpm.usd,IFERROR(INDEX(_xlfn._xlws.FILTER(_xlpm.pos,(_xlpm.pos&lt;&gt;"")*(_xlpm.qty&gt;0)*(_xlpm.bal&gt;=_xlpm.qty)),1),"")))</f>
        <v/>
      </c>
      <c r="L107" s="348"/>
    </row>
    <row r="108" spans="1:12" ht="23" x14ac:dyDescent="0.25">
      <c r="A108" s="217" t="str" cm="1">
        <f t="array" ref="A108">IFERROR(INDEX(_xlfn.ANCHORARRAY($P$6),ROW()-5,1),"")</f>
        <v/>
      </c>
      <c r="B108" s="344" t="str" cm="1">
        <f t="array" ref="B108">IFERROR(INDEX(_xlfn.ANCHORARRAY($P$6),ROW()-5,2),"")</f>
        <v/>
      </c>
      <c r="C108" s="345" t="str">
        <f>IF($A108="","",IF($J108="DIESEL",SUMIFS(Table1[Quantity],Table1[Customer],$M$3,Table1[Date],$A108,Table1[Bill No.],$B108),IF($J108="PETROL",SUMIFS(Table14[Quantity],Table14[Customer],$M$3,Table14[Date],$A108,Table14[Bill No.],$B108),IF($J108="XtraGreen",SUMIFS(Table146[Quantity],Table146[Company],$M$3,Table146[Date],$A108,Table146[Bill No.],$B108),""))))</f>
        <v/>
      </c>
      <c r="D108" s="346" t="str">
        <f>IF($A108="","",IF($J108="DIESEL",AVERAGEIFS(Table1[RSP],Table1[Customer],$M$3,Table1[Date],$A108,Table1[Bill No.],$B108),IF($J108="PETROL",AVERAGEIFS(Table14[RSP],Table14[Customer],$M$3,Table14[Date],$A108,Table14[Bill No.],$B108),IF($J108="XtraGreen",AVERAGEIFS(Table146[RSP],Table146[Company],$M$3,Table146[Date],$A108,Table146[Bill No.],$B108),IFERROR($E108/$C108,"")))))</f>
        <v/>
      </c>
      <c r="E108" s="347" t="str">
        <f>IF($A108="","",IF($J108="DIESEL",SUMIFS(Table1[Amount],Table1[Customer],$M$3,Table1[Date],$A108,Table1[Bill No.],$B108),IF($J108="PETROL",SUMIFS(Table14[Amount],Table14[Customer],$M$3,Table14[Date],$A108,Table14[Bill No.],$B108),IF($J108="XtraGreen",SUMIFS(Table146[Amount],Table146[Company],$M$3,Table146[Date],$A108,Table146[Bill No.],$B108),SUMIFS('Other Sale'!$D:$D,'Other Sale'!$E:$E,$M$3,'Other Sale'!$C:$C,$J108,'Other Sale'!$A:$A,$A108)))))</f>
        <v/>
      </c>
      <c r="F108" s="347" t="str" cm="1">
        <f t="array" ref="F108">IF($A108="","",IF($J108="Payment",IFERROR(INDEX(_xlfn._xlws.FILTER(MasterPaid[Amount Paid],(MasterPaid[Customer]=$M$3)*(MasterPaid[Date]=$A108)),COUNTIFS($A$6:$A108,$A108,$J$6:$J108,"Payment")),0),0))</f>
        <v/>
      </c>
      <c r="G108" s="331"/>
      <c r="H108" s="427"/>
      <c r="I108" s="330" t="str">
        <f t="shared" si="10"/>
        <v/>
      </c>
      <c r="J108" s="344" t="str" cm="1">
        <f t="array" ref="J108">IFERROR(INDEX(_xlfn.ANCHORARRAY($P$6),ROW()-5,3),"")</f>
        <v/>
      </c>
      <c r="K108" s="432" t="str" cm="1">
        <f t="array" ref="K108">IF(OR($A108="",$J108&lt;&gt;"DIESEL"),"",_xlfn.LET(_xlpm.qty,N($C108),_xlpm.pos,$T$5:$T$54,_xlpm.alo,IF($U$5:$U$54="",0,$U$5:$U$54),_xlpm.usd,SUMIFS($C$6:$C107,$K$6:$K107,_xlpm.pos&amp;""),_xlpm.bal,_xlpm.alo-_xlpm.usd,IFERROR(INDEX(_xlfn._xlws.FILTER(_xlpm.pos,(_xlpm.pos&lt;&gt;"")*(_xlpm.qty&gt;0)*(_xlpm.bal&gt;=_xlpm.qty)),1),"")))</f>
        <v/>
      </c>
      <c r="L108" s="348"/>
    </row>
    <row r="109" spans="1:12" ht="23" x14ac:dyDescent="0.25">
      <c r="A109" s="217" t="str" cm="1">
        <f t="array" ref="A109">IFERROR(INDEX(_xlfn.ANCHORARRAY($P$6),ROW()-5,1),"")</f>
        <v/>
      </c>
      <c r="B109" s="344" t="str" cm="1">
        <f t="array" ref="B109">IFERROR(INDEX(_xlfn.ANCHORARRAY($P$6),ROW()-5,2),"")</f>
        <v/>
      </c>
      <c r="C109" s="345" t="str">
        <f>IF($A109="","",IF($J109="DIESEL",SUMIFS(Table1[Quantity],Table1[Customer],$M$3,Table1[Date],$A109,Table1[Bill No.],$B109),IF($J109="PETROL",SUMIFS(Table14[Quantity],Table14[Customer],$M$3,Table14[Date],$A109,Table14[Bill No.],$B109),IF($J109="XtraGreen",SUMIFS(Table146[Quantity],Table146[Company],$M$3,Table146[Date],$A109,Table146[Bill No.],$B109),""))))</f>
        <v/>
      </c>
      <c r="D109" s="346" t="str">
        <f>IF($A109="","",IF($J109="DIESEL",AVERAGEIFS(Table1[RSP],Table1[Customer],$M$3,Table1[Date],$A109,Table1[Bill No.],$B109),IF($J109="PETROL",AVERAGEIFS(Table14[RSP],Table14[Customer],$M$3,Table14[Date],$A109,Table14[Bill No.],$B109),IF($J109="XtraGreen",AVERAGEIFS(Table146[RSP],Table146[Company],$M$3,Table146[Date],$A109,Table146[Bill No.],$B109),IFERROR($E109/$C109,"")))))</f>
        <v/>
      </c>
      <c r="E109" s="347" t="str">
        <f>IF($A109="","",IF($J109="DIESEL",SUMIFS(Table1[Amount],Table1[Customer],$M$3,Table1[Date],$A109,Table1[Bill No.],$B109),IF($J109="PETROL",SUMIFS(Table14[Amount],Table14[Customer],$M$3,Table14[Date],$A109,Table14[Bill No.],$B109),IF($J109="XtraGreen",SUMIFS(Table146[Amount],Table146[Company],$M$3,Table146[Date],$A109,Table146[Bill No.],$B109),SUMIFS('Other Sale'!$D:$D,'Other Sale'!$E:$E,$M$3,'Other Sale'!$C:$C,$J109,'Other Sale'!$A:$A,$A109)))))</f>
        <v/>
      </c>
      <c r="F109" s="347" t="str" cm="1">
        <f t="array" ref="F109">IF($A109="","",IF($J109="Payment",IFERROR(INDEX(_xlfn._xlws.FILTER(MasterPaid[Amount Paid],(MasterPaid[Customer]=$M$3)*(MasterPaid[Date]=$A109)),COUNTIFS($A$6:$A109,$A109,$J$6:$J109,"Payment")),0),0))</f>
        <v/>
      </c>
      <c r="G109" s="331"/>
      <c r="H109" s="427"/>
      <c r="I109" s="330" t="str">
        <f t="shared" si="10"/>
        <v/>
      </c>
      <c r="J109" s="344" t="str" cm="1">
        <f t="array" ref="J109">IFERROR(INDEX(_xlfn.ANCHORARRAY($P$6),ROW()-5,3),"")</f>
        <v/>
      </c>
      <c r="K109" s="432" t="str" cm="1">
        <f t="array" ref="K109">IF(OR($A109="",$J109&lt;&gt;"DIESEL"),"",_xlfn.LET(_xlpm.qty,N($C109),_xlpm.pos,$T$5:$T$54,_xlpm.alo,IF($U$5:$U$54="",0,$U$5:$U$54),_xlpm.usd,SUMIFS($C$6:$C108,$K$6:$K108,_xlpm.pos&amp;""),_xlpm.bal,_xlpm.alo-_xlpm.usd,IFERROR(INDEX(_xlfn._xlws.FILTER(_xlpm.pos,(_xlpm.pos&lt;&gt;"")*(_xlpm.qty&gt;0)*(_xlpm.bal&gt;=_xlpm.qty)),1),"")))</f>
        <v/>
      </c>
      <c r="L109" s="348"/>
    </row>
    <row r="110" spans="1:12" ht="23" x14ac:dyDescent="0.25">
      <c r="A110" s="217" t="str" cm="1">
        <f t="array" ref="A110">IFERROR(INDEX(_xlfn.ANCHORARRAY($P$6),ROW()-5,1),"")</f>
        <v/>
      </c>
      <c r="B110" s="344" t="str" cm="1">
        <f t="array" ref="B110">IFERROR(INDEX(_xlfn.ANCHORARRAY($P$6),ROW()-5,2),"")</f>
        <v/>
      </c>
      <c r="C110" s="345" t="str">
        <f>IF($A110="","",IF($J110="DIESEL",SUMIFS(Table1[Quantity],Table1[Customer],$M$3,Table1[Date],$A110,Table1[Bill No.],$B110),IF($J110="PETROL",SUMIFS(Table14[Quantity],Table14[Customer],$M$3,Table14[Date],$A110,Table14[Bill No.],$B110),IF($J110="XtraGreen",SUMIFS(Table146[Quantity],Table146[Company],$M$3,Table146[Date],$A110,Table146[Bill No.],$B110),""))))</f>
        <v/>
      </c>
      <c r="D110" s="346" t="str">
        <f>IF($A110="","",IF($J110="DIESEL",AVERAGEIFS(Table1[RSP],Table1[Customer],$M$3,Table1[Date],$A110,Table1[Bill No.],$B110),IF($J110="PETROL",AVERAGEIFS(Table14[RSP],Table14[Customer],$M$3,Table14[Date],$A110,Table14[Bill No.],$B110),IF($J110="XtraGreen",AVERAGEIFS(Table146[RSP],Table146[Company],$M$3,Table146[Date],$A110,Table146[Bill No.],$B110),IFERROR($E110/$C110,"")))))</f>
        <v/>
      </c>
      <c r="E110" s="347" t="str">
        <f>IF($A110="","",IF($J110="DIESEL",SUMIFS(Table1[Amount],Table1[Customer],$M$3,Table1[Date],$A110,Table1[Bill No.],$B110),IF($J110="PETROL",SUMIFS(Table14[Amount],Table14[Customer],$M$3,Table14[Date],$A110,Table14[Bill No.],$B110),IF($J110="XtraGreen",SUMIFS(Table146[Amount],Table146[Company],$M$3,Table146[Date],$A110,Table146[Bill No.],$B110),SUMIFS('Other Sale'!$D:$D,'Other Sale'!$E:$E,$M$3,'Other Sale'!$C:$C,$J110,'Other Sale'!$A:$A,$A110)))))</f>
        <v/>
      </c>
      <c r="F110" s="347" t="str" cm="1">
        <f t="array" ref="F110">IF($A110="","",IF($J110="Payment",IFERROR(INDEX(_xlfn._xlws.FILTER(MasterPaid[Amount Paid],(MasterPaid[Customer]=$M$3)*(MasterPaid[Date]=$A110)),COUNTIFS($A$6:$A110,$A110,$J$6:$J110,"Payment")),0),0))</f>
        <v/>
      </c>
      <c r="G110" s="331"/>
      <c r="H110" s="427"/>
      <c r="I110" s="330" t="str">
        <f t="shared" si="10"/>
        <v/>
      </c>
      <c r="J110" s="344" t="str" cm="1">
        <f t="array" ref="J110">IFERROR(INDEX(_xlfn.ANCHORARRAY($P$6),ROW()-5,3),"")</f>
        <v/>
      </c>
      <c r="K110" s="432" t="str" cm="1">
        <f t="array" ref="K110">IF(OR($A110="",$J110&lt;&gt;"DIESEL"),"",_xlfn.LET(_xlpm.qty,N($C110),_xlpm.pos,$T$5:$T$54,_xlpm.alo,IF($U$5:$U$54="",0,$U$5:$U$54),_xlpm.usd,SUMIFS($C$6:$C109,$K$6:$K109,_xlpm.pos&amp;""),_xlpm.bal,_xlpm.alo-_xlpm.usd,IFERROR(INDEX(_xlfn._xlws.FILTER(_xlpm.pos,(_xlpm.pos&lt;&gt;"")*(_xlpm.qty&gt;0)*(_xlpm.bal&gt;=_xlpm.qty)),1),"")))</f>
        <v/>
      </c>
      <c r="L110" s="348"/>
    </row>
    <row r="111" spans="1:12" ht="23" x14ac:dyDescent="0.25">
      <c r="A111" s="217" t="str" cm="1">
        <f t="array" ref="A111">IFERROR(INDEX(_xlfn.ANCHORARRAY($P$6),ROW()-5,1),"")</f>
        <v/>
      </c>
      <c r="B111" s="344" t="str" cm="1">
        <f t="array" ref="B111">IFERROR(INDEX(_xlfn.ANCHORARRAY($P$6),ROW()-5,2),"")</f>
        <v/>
      </c>
      <c r="C111" s="345" t="str">
        <f>IF($A111="","",IF($J111="DIESEL",SUMIFS(Table1[Quantity],Table1[Customer],$M$3,Table1[Date],$A111,Table1[Bill No.],$B111),IF($J111="PETROL",SUMIFS(Table14[Quantity],Table14[Customer],$M$3,Table14[Date],$A111,Table14[Bill No.],$B111),IF($J111="XtraGreen",SUMIFS(Table146[Quantity],Table146[Company],$M$3,Table146[Date],$A111,Table146[Bill No.],$B111),""))))</f>
        <v/>
      </c>
      <c r="D111" s="346" t="str">
        <f>IF($A111="","",IF($J111="DIESEL",AVERAGEIFS(Table1[RSP],Table1[Customer],$M$3,Table1[Date],$A111,Table1[Bill No.],$B111),IF($J111="PETROL",AVERAGEIFS(Table14[RSP],Table14[Customer],$M$3,Table14[Date],$A111,Table14[Bill No.],$B111),IF($J111="XtraGreen",AVERAGEIFS(Table146[RSP],Table146[Company],$M$3,Table146[Date],$A111,Table146[Bill No.],$B111),IFERROR($E111/$C111,"")))))</f>
        <v/>
      </c>
      <c r="E111" s="347" t="str">
        <f>IF($A111="","",IF($J111="DIESEL",SUMIFS(Table1[Amount],Table1[Customer],$M$3,Table1[Date],$A111,Table1[Bill No.],$B111),IF($J111="PETROL",SUMIFS(Table14[Amount],Table14[Customer],$M$3,Table14[Date],$A111,Table14[Bill No.],$B111),IF($J111="XtraGreen",SUMIFS(Table146[Amount],Table146[Company],$M$3,Table146[Date],$A111,Table146[Bill No.],$B111),SUMIFS('Other Sale'!$D:$D,'Other Sale'!$E:$E,$M$3,'Other Sale'!$C:$C,$J111,'Other Sale'!$A:$A,$A111)))))</f>
        <v/>
      </c>
      <c r="F111" s="347" t="str" cm="1">
        <f t="array" ref="F111">IF($A111="","",IF($J111="Payment",IFERROR(INDEX(_xlfn._xlws.FILTER(MasterPaid[Amount Paid],(MasterPaid[Customer]=$M$3)*(MasterPaid[Date]=$A111)),COUNTIFS($A$6:$A111,$A111,$J$6:$J111,"Payment")),0),0))</f>
        <v/>
      </c>
      <c r="G111" s="331"/>
      <c r="H111" s="427"/>
      <c r="I111" s="330" t="str">
        <f t="shared" si="10"/>
        <v/>
      </c>
      <c r="J111" s="344" t="str" cm="1">
        <f t="array" ref="J111">IFERROR(INDEX(_xlfn.ANCHORARRAY($P$6),ROW()-5,3),"")</f>
        <v/>
      </c>
      <c r="K111" s="432" t="str" cm="1">
        <f t="array" ref="K111">IF(OR($A111="",$J111&lt;&gt;"DIESEL"),"",_xlfn.LET(_xlpm.qty,N($C111),_xlpm.pos,$T$5:$T$54,_xlpm.alo,IF($U$5:$U$54="",0,$U$5:$U$54),_xlpm.usd,SUMIFS($C$6:$C110,$K$6:$K110,_xlpm.pos&amp;""),_xlpm.bal,_xlpm.alo-_xlpm.usd,IFERROR(INDEX(_xlfn._xlws.FILTER(_xlpm.pos,(_xlpm.pos&lt;&gt;"")*(_xlpm.qty&gt;0)*(_xlpm.bal&gt;=_xlpm.qty)),1),"")))</f>
        <v/>
      </c>
      <c r="L111" s="348"/>
    </row>
    <row r="112" spans="1:12" ht="23" x14ac:dyDescent="0.25">
      <c r="A112" s="217" t="str" cm="1">
        <f t="array" ref="A112">IFERROR(INDEX(_xlfn.ANCHORARRAY($P$6),ROW()-5,1),"")</f>
        <v/>
      </c>
      <c r="B112" s="344" t="str" cm="1">
        <f t="array" ref="B112">IFERROR(INDEX(_xlfn.ANCHORARRAY($P$6),ROW()-5,2),"")</f>
        <v/>
      </c>
      <c r="C112" s="345" t="str">
        <f>IF($A112="","",IF($J112="DIESEL",SUMIFS(Table1[Quantity],Table1[Customer],$M$3,Table1[Date],$A112,Table1[Bill No.],$B112),IF($J112="PETROL",SUMIFS(Table14[Quantity],Table14[Customer],$M$3,Table14[Date],$A112,Table14[Bill No.],$B112),IF($J112="XtraGreen",SUMIFS(Table146[Quantity],Table146[Company],$M$3,Table146[Date],$A112,Table146[Bill No.],$B112),""))))</f>
        <v/>
      </c>
      <c r="D112" s="346" t="str">
        <f>IF($A112="","",IF($J112="DIESEL",AVERAGEIFS(Table1[RSP],Table1[Customer],$M$3,Table1[Date],$A112,Table1[Bill No.],$B112),IF($J112="PETROL",AVERAGEIFS(Table14[RSP],Table14[Customer],$M$3,Table14[Date],$A112,Table14[Bill No.],$B112),IF($J112="XtraGreen",AVERAGEIFS(Table146[RSP],Table146[Company],$M$3,Table146[Date],$A112,Table146[Bill No.],$B112),IFERROR($E112/$C112,"")))))</f>
        <v/>
      </c>
      <c r="E112" s="347" t="str">
        <f>IF($A112="","",IF($J112="DIESEL",SUMIFS(Table1[Amount],Table1[Customer],$M$3,Table1[Date],$A112,Table1[Bill No.],$B112),IF($J112="PETROL",SUMIFS(Table14[Amount],Table14[Customer],$M$3,Table14[Date],$A112,Table14[Bill No.],$B112),IF($J112="XtraGreen",SUMIFS(Table146[Amount],Table146[Company],$M$3,Table146[Date],$A112,Table146[Bill No.],$B112),SUMIFS('Other Sale'!$D:$D,'Other Sale'!$E:$E,$M$3,'Other Sale'!$C:$C,$J112,'Other Sale'!$A:$A,$A112)))))</f>
        <v/>
      </c>
      <c r="F112" s="347" t="str" cm="1">
        <f t="array" ref="F112">IF($A112="","",IF($J112="Payment",IFERROR(INDEX(_xlfn._xlws.FILTER(MasterPaid[Amount Paid],(MasterPaid[Customer]=$M$3)*(MasterPaid[Date]=$A112)),COUNTIFS($A$6:$A112,$A112,$J$6:$J112,"Payment")),0),0))</f>
        <v/>
      </c>
      <c r="G112" s="331"/>
      <c r="H112" s="427"/>
      <c r="I112" s="330" t="str">
        <f t="shared" si="10"/>
        <v/>
      </c>
      <c r="J112" s="344" t="str" cm="1">
        <f t="array" ref="J112">IFERROR(INDEX(_xlfn.ANCHORARRAY($P$6),ROW()-5,3),"")</f>
        <v/>
      </c>
      <c r="K112" s="432" t="str" cm="1">
        <f t="array" ref="K112">IF(OR($A112="",$J112&lt;&gt;"DIESEL"),"",_xlfn.LET(_xlpm.qty,N($C112),_xlpm.pos,$T$5:$T$54,_xlpm.alo,IF($U$5:$U$54="",0,$U$5:$U$54),_xlpm.usd,SUMIFS($C$6:$C111,$K$6:$K111,_xlpm.pos&amp;""),_xlpm.bal,_xlpm.alo-_xlpm.usd,IFERROR(INDEX(_xlfn._xlws.FILTER(_xlpm.pos,(_xlpm.pos&lt;&gt;"")*(_xlpm.qty&gt;0)*(_xlpm.bal&gt;=_xlpm.qty)),1),"")))</f>
        <v/>
      </c>
      <c r="L112" s="348"/>
    </row>
    <row r="113" spans="1:12" ht="23" x14ac:dyDescent="0.25">
      <c r="A113" s="217" t="str" cm="1">
        <f t="array" ref="A113">IFERROR(INDEX(_xlfn.ANCHORARRAY($P$6),ROW()-5,1),"")</f>
        <v/>
      </c>
      <c r="B113" s="344" t="str" cm="1">
        <f t="array" ref="B113">IFERROR(INDEX(_xlfn.ANCHORARRAY($P$6),ROW()-5,2),"")</f>
        <v/>
      </c>
      <c r="C113" s="345" t="str">
        <f>IF($A113="","",IF($J113="DIESEL",SUMIFS(Table1[Quantity],Table1[Customer],$M$3,Table1[Date],$A113,Table1[Bill No.],$B113),IF($J113="PETROL",SUMIFS(Table14[Quantity],Table14[Customer],$M$3,Table14[Date],$A113,Table14[Bill No.],$B113),IF($J113="XtraGreen",SUMIFS(Table146[Quantity],Table146[Company],$M$3,Table146[Date],$A113,Table146[Bill No.],$B113),""))))</f>
        <v/>
      </c>
      <c r="D113" s="346" t="str">
        <f>IF($A113="","",IF($J113="DIESEL",AVERAGEIFS(Table1[RSP],Table1[Customer],$M$3,Table1[Date],$A113,Table1[Bill No.],$B113),IF($J113="PETROL",AVERAGEIFS(Table14[RSP],Table14[Customer],$M$3,Table14[Date],$A113,Table14[Bill No.],$B113),IF($J113="XtraGreen",AVERAGEIFS(Table146[RSP],Table146[Company],$M$3,Table146[Date],$A113,Table146[Bill No.],$B113),IFERROR($E113/$C113,"")))))</f>
        <v/>
      </c>
      <c r="E113" s="347" t="str">
        <f>IF($A113="","",IF($J113="DIESEL",SUMIFS(Table1[Amount],Table1[Customer],$M$3,Table1[Date],$A113,Table1[Bill No.],$B113),IF($J113="PETROL",SUMIFS(Table14[Amount],Table14[Customer],$M$3,Table14[Date],$A113,Table14[Bill No.],$B113),IF($J113="XtraGreen",SUMIFS(Table146[Amount],Table146[Company],$M$3,Table146[Date],$A113,Table146[Bill No.],$B113),SUMIFS('Other Sale'!$D:$D,'Other Sale'!$E:$E,$M$3,'Other Sale'!$C:$C,$J113,'Other Sale'!$A:$A,$A113)))))</f>
        <v/>
      </c>
      <c r="F113" s="347" t="str" cm="1">
        <f t="array" ref="F113">IF($A113="","",IF($J113="Payment",IFERROR(INDEX(_xlfn._xlws.FILTER(MasterPaid[Amount Paid],(MasterPaid[Customer]=$M$3)*(MasterPaid[Date]=$A113)),COUNTIFS($A$6:$A113,$A113,$J$6:$J113,"Payment")),0),0))</f>
        <v/>
      </c>
      <c r="G113" s="331"/>
      <c r="H113" s="427"/>
      <c r="I113" s="330" t="str">
        <f t="shared" si="10"/>
        <v/>
      </c>
      <c r="J113" s="344" t="str" cm="1">
        <f t="array" ref="J113">IFERROR(INDEX(_xlfn.ANCHORARRAY($P$6),ROW()-5,3),"")</f>
        <v/>
      </c>
      <c r="K113" s="432" t="str" cm="1">
        <f t="array" ref="K113">IF(OR($A113="",$J113&lt;&gt;"DIESEL"),"",_xlfn.LET(_xlpm.qty,N($C113),_xlpm.pos,$T$5:$T$54,_xlpm.alo,IF($U$5:$U$54="",0,$U$5:$U$54),_xlpm.usd,SUMIFS($C$6:$C112,$K$6:$K112,_xlpm.pos&amp;""),_xlpm.bal,_xlpm.alo-_xlpm.usd,IFERROR(INDEX(_xlfn._xlws.FILTER(_xlpm.pos,(_xlpm.pos&lt;&gt;"")*(_xlpm.qty&gt;0)*(_xlpm.bal&gt;=_xlpm.qty)),1),"")))</f>
        <v/>
      </c>
      <c r="L113" s="348"/>
    </row>
    <row r="114" spans="1:12" ht="23" x14ac:dyDescent="0.25">
      <c r="A114" s="217" t="str" cm="1">
        <f t="array" ref="A114">IFERROR(INDEX(_xlfn.ANCHORARRAY($P$6),ROW()-5,1),"")</f>
        <v/>
      </c>
      <c r="B114" s="344" t="str" cm="1">
        <f t="array" ref="B114">IFERROR(INDEX(_xlfn.ANCHORARRAY($P$6),ROW()-5,2),"")</f>
        <v/>
      </c>
      <c r="C114" s="345" t="str">
        <f>IF($A114="","",IF($J114="DIESEL",SUMIFS(Table1[Quantity],Table1[Customer],$M$3,Table1[Date],$A114,Table1[Bill No.],$B114),IF($J114="PETROL",SUMIFS(Table14[Quantity],Table14[Customer],$M$3,Table14[Date],$A114,Table14[Bill No.],$B114),IF($J114="XtraGreen",SUMIFS(Table146[Quantity],Table146[Company],$M$3,Table146[Date],$A114,Table146[Bill No.],$B114),""))))</f>
        <v/>
      </c>
      <c r="D114" s="346" t="str">
        <f>IF($A114="","",IF($J114="DIESEL",AVERAGEIFS(Table1[RSP],Table1[Customer],$M$3,Table1[Date],$A114,Table1[Bill No.],$B114),IF($J114="PETROL",AVERAGEIFS(Table14[RSP],Table14[Customer],$M$3,Table14[Date],$A114,Table14[Bill No.],$B114),IF($J114="XtraGreen",AVERAGEIFS(Table146[RSP],Table146[Company],$M$3,Table146[Date],$A114,Table146[Bill No.],$B114),IFERROR($E114/$C114,"")))))</f>
        <v/>
      </c>
      <c r="E114" s="347" t="str">
        <f>IF($A114="","",IF($J114="DIESEL",SUMIFS(Table1[Amount],Table1[Customer],$M$3,Table1[Date],$A114,Table1[Bill No.],$B114),IF($J114="PETROL",SUMIFS(Table14[Amount],Table14[Customer],$M$3,Table14[Date],$A114,Table14[Bill No.],$B114),IF($J114="XtraGreen",SUMIFS(Table146[Amount],Table146[Company],$M$3,Table146[Date],$A114,Table146[Bill No.],$B114),SUMIFS('Other Sale'!$D:$D,'Other Sale'!$E:$E,$M$3,'Other Sale'!$C:$C,$J114,'Other Sale'!$A:$A,$A114)))))</f>
        <v/>
      </c>
      <c r="F114" s="347" t="str" cm="1">
        <f t="array" ref="F114">IF($A114="","",IF($J114="Payment",IFERROR(INDEX(_xlfn._xlws.FILTER(MasterPaid[Amount Paid],(MasterPaid[Customer]=$M$3)*(MasterPaid[Date]=$A114)),COUNTIFS($A$6:$A114,$A114,$J$6:$J114,"Payment")),0),0))</f>
        <v/>
      </c>
      <c r="G114" s="331"/>
      <c r="H114" s="427"/>
      <c r="I114" s="330" t="str">
        <f t="shared" si="10"/>
        <v/>
      </c>
      <c r="J114" s="344" t="str" cm="1">
        <f t="array" ref="J114">IFERROR(INDEX(_xlfn.ANCHORARRAY($P$6),ROW()-5,3),"")</f>
        <v/>
      </c>
      <c r="K114" s="432" t="str" cm="1">
        <f t="array" ref="K114">IF(OR($A114="",$J114&lt;&gt;"DIESEL"),"",_xlfn.LET(_xlpm.qty,N($C114),_xlpm.pos,$T$5:$T$54,_xlpm.alo,IF($U$5:$U$54="",0,$U$5:$U$54),_xlpm.usd,SUMIFS($C$6:$C113,$K$6:$K113,_xlpm.pos&amp;""),_xlpm.bal,_xlpm.alo-_xlpm.usd,IFERROR(INDEX(_xlfn._xlws.FILTER(_xlpm.pos,(_xlpm.pos&lt;&gt;"")*(_xlpm.qty&gt;0)*(_xlpm.bal&gt;=_xlpm.qty)),1),"")))</f>
        <v/>
      </c>
      <c r="L114" s="348"/>
    </row>
    <row r="115" spans="1:12" ht="23" x14ac:dyDescent="0.25">
      <c r="A115" s="217" t="str" cm="1">
        <f t="array" ref="A115">IFERROR(INDEX(_xlfn.ANCHORARRAY($P$6),ROW()-5,1),"")</f>
        <v/>
      </c>
      <c r="B115" s="344" t="str" cm="1">
        <f t="array" ref="B115">IFERROR(INDEX(_xlfn.ANCHORARRAY($P$6),ROW()-5,2),"")</f>
        <v/>
      </c>
      <c r="C115" s="345" t="str">
        <f>IF($A115="","",IF($J115="DIESEL",SUMIFS(Table1[Quantity],Table1[Customer],$M$3,Table1[Date],$A115,Table1[Bill No.],$B115),IF($J115="PETROL",SUMIFS(Table14[Quantity],Table14[Customer],$M$3,Table14[Date],$A115,Table14[Bill No.],$B115),IF($J115="XtraGreen",SUMIFS(Table146[Quantity],Table146[Company],$M$3,Table146[Date],$A115,Table146[Bill No.],$B115),""))))</f>
        <v/>
      </c>
      <c r="D115" s="346" t="str">
        <f>IF($A115="","",IF($J115="DIESEL",AVERAGEIFS(Table1[RSP],Table1[Customer],$M$3,Table1[Date],$A115,Table1[Bill No.],$B115),IF($J115="PETROL",AVERAGEIFS(Table14[RSP],Table14[Customer],$M$3,Table14[Date],$A115,Table14[Bill No.],$B115),IF($J115="XtraGreen",AVERAGEIFS(Table146[RSP],Table146[Company],$M$3,Table146[Date],$A115,Table146[Bill No.],$B115),IFERROR($E115/$C115,"")))))</f>
        <v/>
      </c>
      <c r="E115" s="347" t="str">
        <f>IF($A115="","",IF($J115="DIESEL",SUMIFS(Table1[Amount],Table1[Customer],$M$3,Table1[Date],$A115,Table1[Bill No.],$B115),IF($J115="PETROL",SUMIFS(Table14[Amount],Table14[Customer],$M$3,Table14[Date],$A115,Table14[Bill No.],$B115),IF($J115="XtraGreen",SUMIFS(Table146[Amount],Table146[Company],$M$3,Table146[Date],$A115,Table146[Bill No.],$B115),SUMIFS('Other Sale'!$D:$D,'Other Sale'!$E:$E,$M$3,'Other Sale'!$C:$C,$J115,'Other Sale'!$A:$A,$A115)))))</f>
        <v/>
      </c>
      <c r="F115" s="347" t="str" cm="1">
        <f t="array" ref="F115">IF($A115="","",IF($J115="Payment",IFERROR(INDEX(_xlfn._xlws.FILTER(MasterPaid[Amount Paid],(MasterPaid[Customer]=$M$3)*(MasterPaid[Date]=$A115)),COUNTIFS($A$6:$A115,$A115,$J$6:$J115,"Payment")),0),0))</f>
        <v/>
      </c>
      <c r="G115" s="331"/>
      <c r="H115" s="427"/>
      <c r="I115" s="330" t="str">
        <f t="shared" si="10"/>
        <v/>
      </c>
      <c r="J115" s="344" t="str" cm="1">
        <f t="array" ref="J115">IFERROR(INDEX(_xlfn.ANCHORARRAY($P$6),ROW()-5,3),"")</f>
        <v/>
      </c>
      <c r="K115" s="432" t="str" cm="1">
        <f t="array" ref="K115">IF(OR($A115="",$J115&lt;&gt;"DIESEL"),"",_xlfn.LET(_xlpm.qty,N($C115),_xlpm.pos,$T$5:$T$54,_xlpm.alo,IF($U$5:$U$54="",0,$U$5:$U$54),_xlpm.usd,SUMIFS($C$6:$C114,$K$6:$K114,_xlpm.pos&amp;""),_xlpm.bal,_xlpm.alo-_xlpm.usd,IFERROR(INDEX(_xlfn._xlws.FILTER(_xlpm.pos,(_xlpm.pos&lt;&gt;"")*(_xlpm.qty&gt;0)*(_xlpm.bal&gt;=_xlpm.qty)),1),"")))</f>
        <v/>
      </c>
      <c r="L115" s="348"/>
    </row>
    <row r="116" spans="1:12" ht="23" x14ac:dyDescent="0.25">
      <c r="A116" s="217" t="str" cm="1">
        <f t="array" ref="A116">IFERROR(INDEX(_xlfn.ANCHORARRAY($P$6),ROW()-5,1),"")</f>
        <v/>
      </c>
      <c r="B116" s="344" t="str" cm="1">
        <f t="array" ref="B116">IFERROR(INDEX(_xlfn.ANCHORARRAY($P$6),ROW()-5,2),"")</f>
        <v/>
      </c>
      <c r="C116" s="345" t="str">
        <f>IF($A116="","",IF($J116="DIESEL",SUMIFS(Table1[Quantity],Table1[Customer],$M$3,Table1[Date],$A116,Table1[Bill No.],$B116),IF($J116="PETROL",SUMIFS(Table14[Quantity],Table14[Customer],$M$3,Table14[Date],$A116,Table14[Bill No.],$B116),IF($J116="XtraGreen",SUMIFS(Table146[Quantity],Table146[Company],$M$3,Table146[Date],$A116,Table146[Bill No.],$B116),""))))</f>
        <v/>
      </c>
      <c r="D116" s="346" t="str">
        <f>IF($A116="","",IF($J116="DIESEL",AVERAGEIFS(Table1[RSP],Table1[Customer],$M$3,Table1[Date],$A116,Table1[Bill No.],$B116),IF($J116="PETROL",AVERAGEIFS(Table14[RSP],Table14[Customer],$M$3,Table14[Date],$A116,Table14[Bill No.],$B116),IF($J116="XtraGreen",AVERAGEIFS(Table146[RSP],Table146[Company],$M$3,Table146[Date],$A116,Table146[Bill No.],$B116),IFERROR($E116/$C116,"")))))</f>
        <v/>
      </c>
      <c r="E116" s="347" t="str">
        <f>IF($A116="","",IF($J116="DIESEL",SUMIFS(Table1[Amount],Table1[Customer],$M$3,Table1[Date],$A116,Table1[Bill No.],$B116),IF($J116="PETROL",SUMIFS(Table14[Amount],Table14[Customer],$M$3,Table14[Date],$A116,Table14[Bill No.],$B116),IF($J116="XtraGreen",SUMIFS(Table146[Amount],Table146[Company],$M$3,Table146[Date],$A116,Table146[Bill No.],$B116),SUMIFS('Other Sale'!$D:$D,'Other Sale'!$E:$E,$M$3,'Other Sale'!$C:$C,$J116,'Other Sale'!$A:$A,$A116)))))</f>
        <v/>
      </c>
      <c r="F116" s="347" t="str" cm="1">
        <f t="array" ref="F116">IF($A116="","",IF($J116="Payment",IFERROR(INDEX(_xlfn._xlws.FILTER(MasterPaid[Amount Paid],(MasterPaid[Customer]=$M$3)*(MasterPaid[Date]=$A116)),COUNTIFS($A$6:$A116,$A116,$J$6:$J116,"Payment")),0),0))</f>
        <v/>
      </c>
      <c r="G116" s="331"/>
      <c r="H116" s="427"/>
      <c r="I116" s="330" t="str">
        <f t="shared" si="10"/>
        <v/>
      </c>
      <c r="J116" s="344" t="str" cm="1">
        <f t="array" ref="J116">IFERROR(INDEX(_xlfn.ANCHORARRAY($P$6),ROW()-5,3),"")</f>
        <v/>
      </c>
      <c r="K116" s="432" t="str" cm="1">
        <f t="array" ref="K116">IF(OR($A116="",$J116&lt;&gt;"DIESEL"),"",_xlfn.LET(_xlpm.qty,N($C116),_xlpm.pos,$T$5:$T$54,_xlpm.alo,IF($U$5:$U$54="",0,$U$5:$U$54),_xlpm.usd,SUMIFS($C$6:$C115,$K$6:$K115,_xlpm.pos&amp;""),_xlpm.bal,_xlpm.alo-_xlpm.usd,IFERROR(INDEX(_xlfn._xlws.FILTER(_xlpm.pos,(_xlpm.pos&lt;&gt;"")*(_xlpm.qty&gt;0)*(_xlpm.bal&gt;=_xlpm.qty)),1),"")))</f>
        <v/>
      </c>
      <c r="L116" s="348"/>
    </row>
    <row r="117" spans="1:12" ht="23" x14ac:dyDescent="0.25">
      <c r="A117" s="217" t="str" cm="1">
        <f t="array" ref="A117">IFERROR(INDEX(_xlfn.ANCHORARRAY($P$6),ROW()-5,1),"")</f>
        <v/>
      </c>
      <c r="B117" s="344" t="str" cm="1">
        <f t="array" ref="B117">IFERROR(INDEX(_xlfn.ANCHORARRAY($P$6),ROW()-5,2),"")</f>
        <v/>
      </c>
      <c r="C117" s="345" t="str">
        <f>IF($A117="","",IF($J117="DIESEL",SUMIFS(Table1[Quantity],Table1[Customer],$M$3,Table1[Date],$A117,Table1[Bill No.],$B117),IF($J117="PETROL",SUMIFS(Table14[Quantity],Table14[Customer],$M$3,Table14[Date],$A117,Table14[Bill No.],$B117),IF($J117="XtraGreen",SUMIFS(Table146[Quantity],Table146[Company],$M$3,Table146[Date],$A117,Table146[Bill No.],$B117),""))))</f>
        <v/>
      </c>
      <c r="D117" s="346" t="str">
        <f>IF($A117="","",IF($J117="DIESEL",AVERAGEIFS(Table1[RSP],Table1[Customer],$M$3,Table1[Date],$A117,Table1[Bill No.],$B117),IF($J117="PETROL",AVERAGEIFS(Table14[RSP],Table14[Customer],$M$3,Table14[Date],$A117,Table14[Bill No.],$B117),IF($J117="XtraGreen",AVERAGEIFS(Table146[RSP],Table146[Company],$M$3,Table146[Date],$A117,Table146[Bill No.],$B117),IFERROR($E117/$C117,"")))))</f>
        <v/>
      </c>
      <c r="E117" s="347" t="str">
        <f>IF($A117="","",IF($J117="DIESEL",SUMIFS(Table1[Amount],Table1[Customer],$M$3,Table1[Date],$A117,Table1[Bill No.],$B117),IF($J117="PETROL",SUMIFS(Table14[Amount],Table14[Customer],$M$3,Table14[Date],$A117,Table14[Bill No.],$B117),IF($J117="XtraGreen",SUMIFS(Table146[Amount],Table146[Company],$M$3,Table146[Date],$A117,Table146[Bill No.],$B117),SUMIFS('Other Sale'!$D:$D,'Other Sale'!$E:$E,$M$3,'Other Sale'!$C:$C,$J117,'Other Sale'!$A:$A,$A117)))))</f>
        <v/>
      </c>
      <c r="F117" s="347" t="str" cm="1">
        <f t="array" ref="F117">IF($A117="","",IF($J117="Payment",IFERROR(INDEX(_xlfn._xlws.FILTER(MasterPaid[Amount Paid],(MasterPaid[Customer]=$M$3)*(MasterPaid[Date]=$A117)),COUNTIFS($A$6:$A117,$A117,$J$6:$J117,"Payment")),0),0))</f>
        <v/>
      </c>
      <c r="G117" s="331"/>
      <c r="H117" s="427"/>
      <c r="I117" s="330" t="str">
        <f t="shared" si="10"/>
        <v/>
      </c>
      <c r="J117" s="344" t="str" cm="1">
        <f t="array" ref="J117">IFERROR(INDEX(_xlfn.ANCHORARRAY($P$6),ROW()-5,3),"")</f>
        <v/>
      </c>
      <c r="K117" s="432" t="str" cm="1">
        <f t="array" ref="K117">IF(OR($A117="",$J117&lt;&gt;"DIESEL"),"",_xlfn.LET(_xlpm.qty,N($C117),_xlpm.pos,$T$5:$T$54,_xlpm.alo,IF($U$5:$U$54="",0,$U$5:$U$54),_xlpm.usd,SUMIFS($C$6:$C116,$K$6:$K116,_xlpm.pos&amp;""),_xlpm.bal,_xlpm.alo-_xlpm.usd,IFERROR(INDEX(_xlfn._xlws.FILTER(_xlpm.pos,(_xlpm.pos&lt;&gt;"")*(_xlpm.qty&gt;0)*(_xlpm.bal&gt;=_xlpm.qty)),1),"")))</f>
        <v/>
      </c>
      <c r="L117" s="348"/>
    </row>
    <row r="118" spans="1:12" ht="23" x14ac:dyDescent="0.25">
      <c r="A118" s="217" t="str" cm="1">
        <f t="array" ref="A118">IFERROR(INDEX(_xlfn.ANCHORARRAY($P$6),ROW()-5,1),"")</f>
        <v/>
      </c>
      <c r="B118" s="344" t="str" cm="1">
        <f t="array" ref="B118">IFERROR(INDEX(_xlfn.ANCHORARRAY($P$6),ROW()-5,2),"")</f>
        <v/>
      </c>
      <c r="C118" s="345" t="str">
        <f>IF($A118="","",IF($J118="DIESEL",SUMIFS(Table1[Quantity],Table1[Customer],$M$3,Table1[Date],$A118,Table1[Bill No.],$B118),IF($J118="PETROL",SUMIFS(Table14[Quantity],Table14[Customer],$M$3,Table14[Date],$A118,Table14[Bill No.],$B118),IF($J118="XtraGreen",SUMIFS(Table146[Quantity],Table146[Company],$M$3,Table146[Date],$A118,Table146[Bill No.],$B118),""))))</f>
        <v/>
      </c>
      <c r="D118" s="346" t="str">
        <f>IF($A118="","",IF($J118="DIESEL",AVERAGEIFS(Table1[RSP],Table1[Customer],$M$3,Table1[Date],$A118,Table1[Bill No.],$B118),IF($J118="PETROL",AVERAGEIFS(Table14[RSP],Table14[Customer],$M$3,Table14[Date],$A118,Table14[Bill No.],$B118),IF($J118="XtraGreen",AVERAGEIFS(Table146[RSP],Table146[Company],$M$3,Table146[Date],$A118,Table146[Bill No.],$B118),IFERROR($E118/$C118,"")))))</f>
        <v/>
      </c>
      <c r="E118" s="347" t="str">
        <f>IF($A118="","",IF($J118="DIESEL",SUMIFS(Table1[Amount],Table1[Customer],$M$3,Table1[Date],$A118,Table1[Bill No.],$B118),IF($J118="PETROL",SUMIFS(Table14[Amount],Table14[Customer],$M$3,Table14[Date],$A118,Table14[Bill No.],$B118),IF($J118="XtraGreen",SUMIFS(Table146[Amount],Table146[Company],$M$3,Table146[Date],$A118,Table146[Bill No.],$B118),SUMIFS('Other Sale'!$D:$D,'Other Sale'!$E:$E,$M$3,'Other Sale'!$C:$C,$J118,'Other Sale'!$A:$A,$A118)))))</f>
        <v/>
      </c>
      <c r="F118" s="347" t="str" cm="1">
        <f t="array" ref="F118">IF($A118="","",IF($J118="Payment",IFERROR(INDEX(_xlfn._xlws.FILTER(MasterPaid[Amount Paid],(MasterPaid[Customer]=$M$3)*(MasterPaid[Date]=$A118)),COUNTIFS($A$6:$A118,$A118,$J$6:$J118,"Payment")),0),0))</f>
        <v/>
      </c>
      <c r="G118" s="331"/>
      <c r="H118" s="427"/>
      <c r="I118" s="330" t="str">
        <f t="shared" si="10"/>
        <v/>
      </c>
      <c r="J118" s="344" t="str" cm="1">
        <f t="array" ref="J118">IFERROR(INDEX(_xlfn.ANCHORARRAY($P$6),ROW()-5,3),"")</f>
        <v/>
      </c>
      <c r="K118" s="432" t="str" cm="1">
        <f t="array" ref="K118">IF(OR($A118="",$J118&lt;&gt;"DIESEL"),"",_xlfn.LET(_xlpm.qty,N($C118),_xlpm.pos,$T$5:$T$54,_xlpm.alo,IF($U$5:$U$54="",0,$U$5:$U$54),_xlpm.usd,SUMIFS($C$6:$C117,$K$6:$K117,_xlpm.pos&amp;""),_xlpm.bal,_xlpm.alo-_xlpm.usd,IFERROR(INDEX(_xlfn._xlws.FILTER(_xlpm.pos,(_xlpm.pos&lt;&gt;"")*(_xlpm.qty&gt;0)*(_xlpm.bal&gt;=_xlpm.qty)),1),"")))</f>
        <v/>
      </c>
      <c r="L118" s="348"/>
    </row>
    <row r="119" spans="1:12" ht="23" x14ac:dyDescent="0.25">
      <c r="A119" s="217" t="str" cm="1">
        <f t="array" ref="A119">IFERROR(INDEX(_xlfn.ANCHORARRAY($P$6),ROW()-5,1),"")</f>
        <v/>
      </c>
      <c r="B119" s="344" t="str" cm="1">
        <f t="array" ref="B119">IFERROR(INDEX(_xlfn.ANCHORARRAY($P$6),ROW()-5,2),"")</f>
        <v/>
      </c>
      <c r="C119" s="345" t="str">
        <f>IF($A119="","",IF($J119="DIESEL",SUMIFS(Table1[Quantity],Table1[Customer],$M$3,Table1[Date],$A119,Table1[Bill No.],$B119),IF($J119="PETROL",SUMIFS(Table14[Quantity],Table14[Customer],$M$3,Table14[Date],$A119,Table14[Bill No.],$B119),IF($J119="XtraGreen",SUMIFS(Table146[Quantity],Table146[Company],$M$3,Table146[Date],$A119,Table146[Bill No.],$B119),""))))</f>
        <v/>
      </c>
      <c r="D119" s="346" t="str">
        <f>IF($A119="","",IF($J119="DIESEL",AVERAGEIFS(Table1[RSP],Table1[Customer],$M$3,Table1[Date],$A119,Table1[Bill No.],$B119),IF($J119="PETROL",AVERAGEIFS(Table14[RSP],Table14[Customer],$M$3,Table14[Date],$A119,Table14[Bill No.],$B119),IF($J119="XtraGreen",AVERAGEIFS(Table146[RSP],Table146[Company],$M$3,Table146[Date],$A119,Table146[Bill No.],$B119),IFERROR($E119/$C119,"")))))</f>
        <v/>
      </c>
      <c r="E119" s="347" t="str">
        <f>IF($A119="","",IF($J119="DIESEL",SUMIFS(Table1[Amount],Table1[Customer],$M$3,Table1[Date],$A119,Table1[Bill No.],$B119),IF($J119="PETROL",SUMIFS(Table14[Amount],Table14[Customer],$M$3,Table14[Date],$A119,Table14[Bill No.],$B119),IF($J119="XtraGreen",SUMIFS(Table146[Amount],Table146[Company],$M$3,Table146[Date],$A119,Table146[Bill No.],$B119),SUMIFS('Other Sale'!$D:$D,'Other Sale'!$E:$E,$M$3,'Other Sale'!$C:$C,$J119,'Other Sale'!$A:$A,$A119)))))</f>
        <v/>
      </c>
      <c r="F119" s="347" t="str" cm="1">
        <f t="array" ref="F119">IF($A119="","",IF($J119="Payment",IFERROR(INDEX(_xlfn._xlws.FILTER(MasterPaid[Amount Paid],(MasterPaid[Customer]=$M$3)*(MasterPaid[Date]=$A119)),COUNTIFS($A$6:$A119,$A119,$J$6:$J119,"Payment")),0),0))</f>
        <v/>
      </c>
      <c r="G119" s="331"/>
      <c r="H119" s="427"/>
      <c r="I119" s="330" t="str">
        <f t="shared" si="10"/>
        <v/>
      </c>
      <c r="J119" s="344" t="str" cm="1">
        <f t="array" ref="J119">IFERROR(INDEX(_xlfn.ANCHORARRAY($P$6),ROW()-5,3),"")</f>
        <v/>
      </c>
      <c r="K119" s="432" t="str" cm="1">
        <f t="array" ref="K119">IF(OR($A119="",$J119&lt;&gt;"DIESEL"),"",_xlfn.LET(_xlpm.qty,N($C119),_xlpm.pos,$T$5:$T$54,_xlpm.alo,IF($U$5:$U$54="",0,$U$5:$U$54),_xlpm.usd,SUMIFS($C$6:$C118,$K$6:$K118,_xlpm.pos&amp;""),_xlpm.bal,_xlpm.alo-_xlpm.usd,IFERROR(INDEX(_xlfn._xlws.FILTER(_xlpm.pos,(_xlpm.pos&lt;&gt;"")*(_xlpm.qty&gt;0)*(_xlpm.bal&gt;=_xlpm.qty)),1),"")))</f>
        <v/>
      </c>
      <c r="L119" s="348"/>
    </row>
    <row r="120" spans="1:12" ht="23" x14ac:dyDescent="0.25">
      <c r="A120" s="217" t="str" cm="1">
        <f t="array" ref="A120">IFERROR(INDEX(_xlfn.ANCHORARRAY($P$6),ROW()-5,1),"")</f>
        <v/>
      </c>
      <c r="B120" s="344" t="str" cm="1">
        <f t="array" ref="B120">IFERROR(INDEX(_xlfn.ANCHORARRAY($P$6),ROW()-5,2),"")</f>
        <v/>
      </c>
      <c r="C120" s="345" t="str">
        <f>IF($A120="","",IF($J120="DIESEL",SUMIFS(Table1[Quantity],Table1[Customer],$M$3,Table1[Date],$A120,Table1[Bill No.],$B120),IF($J120="PETROL",SUMIFS(Table14[Quantity],Table14[Customer],$M$3,Table14[Date],$A120,Table14[Bill No.],$B120),IF($J120="XtraGreen",SUMIFS(Table146[Quantity],Table146[Company],$M$3,Table146[Date],$A120,Table146[Bill No.],$B120),""))))</f>
        <v/>
      </c>
      <c r="D120" s="346" t="str">
        <f>IF($A120="","",IF($J120="DIESEL",AVERAGEIFS(Table1[RSP],Table1[Customer],$M$3,Table1[Date],$A120,Table1[Bill No.],$B120),IF($J120="PETROL",AVERAGEIFS(Table14[RSP],Table14[Customer],$M$3,Table14[Date],$A120,Table14[Bill No.],$B120),IF($J120="XtraGreen",AVERAGEIFS(Table146[RSP],Table146[Company],$M$3,Table146[Date],$A120,Table146[Bill No.],$B120),IFERROR($E120/$C120,"")))))</f>
        <v/>
      </c>
      <c r="E120" s="347" t="str">
        <f>IF($A120="","",IF($J120="DIESEL",SUMIFS(Table1[Amount],Table1[Customer],$M$3,Table1[Date],$A120,Table1[Bill No.],$B120),IF($J120="PETROL",SUMIFS(Table14[Amount],Table14[Customer],$M$3,Table14[Date],$A120,Table14[Bill No.],$B120),IF($J120="XtraGreen",SUMIFS(Table146[Amount],Table146[Company],$M$3,Table146[Date],$A120,Table146[Bill No.],$B120),SUMIFS('Other Sale'!$D:$D,'Other Sale'!$E:$E,$M$3,'Other Sale'!$C:$C,$J120,'Other Sale'!$A:$A,$A120)))))</f>
        <v/>
      </c>
      <c r="F120" s="347" t="str" cm="1">
        <f t="array" ref="F120">IF($A120="","",IF($J120="Payment",IFERROR(INDEX(_xlfn._xlws.FILTER(MasterPaid[Amount Paid],(MasterPaid[Customer]=$M$3)*(MasterPaid[Date]=$A120)),COUNTIFS($A$6:$A120,$A120,$J$6:$J120,"Payment")),0),0))</f>
        <v/>
      </c>
      <c r="G120" s="331"/>
      <c r="H120" s="427"/>
      <c r="I120" s="330" t="str">
        <f t="shared" si="10"/>
        <v/>
      </c>
      <c r="J120" s="344" t="str" cm="1">
        <f t="array" ref="J120">IFERROR(INDEX(_xlfn.ANCHORARRAY($P$6),ROW()-5,3),"")</f>
        <v/>
      </c>
      <c r="K120" s="432" t="str" cm="1">
        <f t="array" ref="K120">IF(OR($A120="",$J120&lt;&gt;"DIESEL"),"",_xlfn.LET(_xlpm.qty,N($C120),_xlpm.pos,$T$5:$T$54,_xlpm.alo,IF($U$5:$U$54="",0,$U$5:$U$54),_xlpm.usd,SUMIFS($C$6:$C119,$K$6:$K119,_xlpm.pos&amp;""),_xlpm.bal,_xlpm.alo-_xlpm.usd,IFERROR(INDEX(_xlfn._xlws.FILTER(_xlpm.pos,(_xlpm.pos&lt;&gt;"")*(_xlpm.qty&gt;0)*(_xlpm.bal&gt;=_xlpm.qty)),1),"")))</f>
        <v/>
      </c>
      <c r="L120" s="348"/>
    </row>
    <row r="121" spans="1:12" ht="23" x14ac:dyDescent="0.25">
      <c r="A121" s="217" t="str" cm="1">
        <f t="array" ref="A121">IFERROR(INDEX(_xlfn.ANCHORARRAY($P$6),ROW()-5,1),"")</f>
        <v/>
      </c>
      <c r="B121" s="344" t="str" cm="1">
        <f t="array" ref="B121">IFERROR(INDEX(_xlfn.ANCHORARRAY($P$6),ROW()-5,2),"")</f>
        <v/>
      </c>
      <c r="C121" s="345" t="str">
        <f>IF($A121="","",IF($J121="DIESEL",SUMIFS(Table1[Quantity],Table1[Customer],$M$3,Table1[Date],$A121,Table1[Bill No.],$B121),IF($J121="PETROL",SUMIFS(Table14[Quantity],Table14[Customer],$M$3,Table14[Date],$A121,Table14[Bill No.],$B121),IF($J121="XtraGreen",SUMIFS(Table146[Quantity],Table146[Company],$M$3,Table146[Date],$A121,Table146[Bill No.],$B121),""))))</f>
        <v/>
      </c>
      <c r="D121" s="346" t="str">
        <f>IF($A121="","",IF($J121="DIESEL",AVERAGEIFS(Table1[RSP],Table1[Customer],$M$3,Table1[Date],$A121,Table1[Bill No.],$B121),IF($J121="PETROL",AVERAGEIFS(Table14[RSP],Table14[Customer],$M$3,Table14[Date],$A121,Table14[Bill No.],$B121),IF($J121="XtraGreen",AVERAGEIFS(Table146[RSP],Table146[Company],$M$3,Table146[Date],$A121,Table146[Bill No.],$B121),IFERROR($E121/$C121,"")))))</f>
        <v/>
      </c>
      <c r="E121" s="347" t="str">
        <f>IF($A121="","",IF($J121="DIESEL",SUMIFS(Table1[Amount],Table1[Customer],$M$3,Table1[Date],$A121,Table1[Bill No.],$B121),IF($J121="PETROL",SUMIFS(Table14[Amount],Table14[Customer],$M$3,Table14[Date],$A121,Table14[Bill No.],$B121),IF($J121="XtraGreen",SUMIFS(Table146[Amount],Table146[Company],$M$3,Table146[Date],$A121,Table146[Bill No.],$B121),SUMIFS('Other Sale'!$D:$D,'Other Sale'!$E:$E,$M$3,'Other Sale'!$C:$C,$J121,'Other Sale'!$A:$A,$A121)))))</f>
        <v/>
      </c>
      <c r="F121" s="347" t="str" cm="1">
        <f t="array" ref="F121">IF($A121="","",IF($J121="Payment",IFERROR(INDEX(_xlfn._xlws.FILTER(MasterPaid[Amount Paid],(MasterPaid[Customer]=$M$3)*(MasterPaid[Date]=$A121)),COUNTIFS($A$6:$A121,$A121,$J$6:$J121,"Payment")),0),0))</f>
        <v/>
      </c>
      <c r="G121" s="331"/>
      <c r="H121" s="427"/>
      <c r="I121" s="330" t="str">
        <f t="shared" si="10"/>
        <v/>
      </c>
      <c r="J121" s="344" t="str" cm="1">
        <f t="array" ref="J121">IFERROR(INDEX(_xlfn.ANCHORARRAY($P$6),ROW()-5,3),"")</f>
        <v/>
      </c>
      <c r="K121" s="432" t="str" cm="1">
        <f t="array" ref="K121">IF(OR($A121="",$J121&lt;&gt;"DIESEL"),"",_xlfn.LET(_xlpm.qty,N($C121),_xlpm.pos,$T$5:$T$54,_xlpm.alo,IF($U$5:$U$54="",0,$U$5:$U$54),_xlpm.usd,SUMIFS($C$6:$C120,$K$6:$K120,_xlpm.pos&amp;""),_xlpm.bal,_xlpm.alo-_xlpm.usd,IFERROR(INDEX(_xlfn._xlws.FILTER(_xlpm.pos,(_xlpm.pos&lt;&gt;"")*(_xlpm.qty&gt;0)*(_xlpm.bal&gt;=_xlpm.qty)),1),"")))</f>
        <v/>
      </c>
      <c r="L121" s="348"/>
    </row>
    <row r="122" spans="1:12" ht="23" x14ac:dyDescent="0.25">
      <c r="A122" s="217" t="str" cm="1">
        <f t="array" ref="A122">IFERROR(INDEX(_xlfn.ANCHORARRAY($P$6),ROW()-5,1),"")</f>
        <v/>
      </c>
      <c r="B122" s="344" t="str" cm="1">
        <f t="array" ref="B122">IFERROR(INDEX(_xlfn.ANCHORARRAY($P$6),ROW()-5,2),"")</f>
        <v/>
      </c>
      <c r="C122" s="345" t="str">
        <f>IF($A122="","",IF($J122="DIESEL",SUMIFS(Table1[Quantity],Table1[Customer],$M$3,Table1[Date],$A122,Table1[Bill No.],$B122),IF($J122="PETROL",SUMIFS(Table14[Quantity],Table14[Customer],$M$3,Table14[Date],$A122,Table14[Bill No.],$B122),IF($J122="XtraGreen",SUMIFS(Table146[Quantity],Table146[Company],$M$3,Table146[Date],$A122,Table146[Bill No.],$B122),""))))</f>
        <v/>
      </c>
      <c r="D122" s="346" t="str">
        <f>IF($A122="","",IF($J122="DIESEL",AVERAGEIFS(Table1[RSP],Table1[Customer],$M$3,Table1[Date],$A122,Table1[Bill No.],$B122),IF($J122="PETROL",AVERAGEIFS(Table14[RSP],Table14[Customer],$M$3,Table14[Date],$A122,Table14[Bill No.],$B122),IF($J122="XtraGreen",AVERAGEIFS(Table146[RSP],Table146[Company],$M$3,Table146[Date],$A122,Table146[Bill No.],$B122),IFERROR($E122/$C122,"")))))</f>
        <v/>
      </c>
      <c r="E122" s="347" t="str">
        <f>IF($A122="","",IF($J122="DIESEL",SUMIFS(Table1[Amount],Table1[Customer],$M$3,Table1[Date],$A122,Table1[Bill No.],$B122),IF($J122="PETROL",SUMIFS(Table14[Amount],Table14[Customer],$M$3,Table14[Date],$A122,Table14[Bill No.],$B122),IF($J122="XtraGreen",SUMIFS(Table146[Amount],Table146[Company],$M$3,Table146[Date],$A122,Table146[Bill No.],$B122),SUMIFS('Other Sale'!$D:$D,'Other Sale'!$E:$E,$M$3,'Other Sale'!$C:$C,$J122,'Other Sale'!$A:$A,$A122)))))</f>
        <v/>
      </c>
      <c r="F122" s="347" t="str" cm="1">
        <f t="array" ref="F122">IF($A122="","",IF($J122="Payment",IFERROR(INDEX(_xlfn._xlws.FILTER(MasterPaid[Amount Paid],(MasterPaid[Customer]=$M$3)*(MasterPaid[Date]=$A122)),COUNTIFS($A$6:$A122,$A122,$J$6:$J122,"Payment")),0),0))</f>
        <v/>
      </c>
      <c r="G122" s="331"/>
      <c r="H122" s="427"/>
      <c r="I122" s="330" t="str">
        <f t="shared" si="10"/>
        <v/>
      </c>
      <c r="J122" s="344" t="str" cm="1">
        <f t="array" ref="J122">IFERROR(INDEX(_xlfn.ANCHORARRAY($P$6),ROW()-5,3),"")</f>
        <v/>
      </c>
      <c r="K122" s="432" t="str" cm="1">
        <f t="array" ref="K122">IF(OR($A122="",$J122&lt;&gt;"DIESEL"),"",_xlfn.LET(_xlpm.qty,N($C122),_xlpm.pos,$T$5:$T$54,_xlpm.alo,IF($U$5:$U$54="",0,$U$5:$U$54),_xlpm.usd,SUMIFS($C$6:$C121,$K$6:$K121,_xlpm.pos&amp;""),_xlpm.bal,_xlpm.alo-_xlpm.usd,IFERROR(INDEX(_xlfn._xlws.FILTER(_xlpm.pos,(_xlpm.pos&lt;&gt;"")*(_xlpm.qty&gt;0)*(_xlpm.bal&gt;=_xlpm.qty)),1),"")))</f>
        <v/>
      </c>
      <c r="L122" s="348"/>
    </row>
    <row r="123" spans="1:12" ht="23" x14ac:dyDescent="0.25">
      <c r="A123" s="217" t="str" cm="1">
        <f t="array" ref="A123">IFERROR(INDEX(_xlfn.ANCHORARRAY($P$6),ROW()-5,1),"")</f>
        <v/>
      </c>
      <c r="B123" s="344" t="str" cm="1">
        <f t="array" ref="B123">IFERROR(INDEX(_xlfn.ANCHORARRAY($P$6),ROW()-5,2),"")</f>
        <v/>
      </c>
      <c r="C123" s="345" t="str">
        <f>IF($A123="","",IF($J123="DIESEL",SUMIFS(Table1[Quantity],Table1[Customer],$M$3,Table1[Date],$A123,Table1[Bill No.],$B123),IF($J123="PETROL",SUMIFS(Table14[Quantity],Table14[Customer],$M$3,Table14[Date],$A123,Table14[Bill No.],$B123),IF($J123="XtraGreen",SUMIFS(Table146[Quantity],Table146[Company],$M$3,Table146[Date],$A123,Table146[Bill No.],$B123),""))))</f>
        <v/>
      </c>
      <c r="D123" s="346" t="str">
        <f>IF($A123="","",IF($J123="DIESEL",AVERAGEIFS(Table1[RSP],Table1[Customer],$M$3,Table1[Date],$A123,Table1[Bill No.],$B123),IF($J123="PETROL",AVERAGEIFS(Table14[RSP],Table14[Customer],$M$3,Table14[Date],$A123,Table14[Bill No.],$B123),IF($J123="XtraGreen",AVERAGEIFS(Table146[RSP],Table146[Company],$M$3,Table146[Date],$A123,Table146[Bill No.],$B123),IFERROR($E123/$C123,"")))))</f>
        <v/>
      </c>
      <c r="E123" s="347" t="str">
        <f>IF($A123="","",IF($J123="DIESEL",SUMIFS(Table1[Amount],Table1[Customer],$M$3,Table1[Date],$A123,Table1[Bill No.],$B123),IF($J123="PETROL",SUMIFS(Table14[Amount],Table14[Customer],$M$3,Table14[Date],$A123,Table14[Bill No.],$B123),IF($J123="XtraGreen",SUMIFS(Table146[Amount],Table146[Company],$M$3,Table146[Date],$A123,Table146[Bill No.],$B123),SUMIFS('Other Sale'!$D:$D,'Other Sale'!$E:$E,$M$3,'Other Sale'!$C:$C,$J123,'Other Sale'!$A:$A,$A123)))))</f>
        <v/>
      </c>
      <c r="F123" s="347" t="str" cm="1">
        <f t="array" ref="F123">IF($A123="","",IF($J123="Payment",IFERROR(INDEX(_xlfn._xlws.FILTER(MasterPaid[Amount Paid],(MasterPaid[Customer]=$M$3)*(MasterPaid[Date]=$A123)),COUNTIFS($A$6:$A123,$A123,$J$6:$J123,"Payment")),0),0))</f>
        <v/>
      </c>
      <c r="G123" s="331"/>
      <c r="H123" s="427"/>
      <c r="I123" s="330" t="str">
        <f t="shared" si="10"/>
        <v/>
      </c>
      <c r="J123" s="344" t="str" cm="1">
        <f t="array" ref="J123">IFERROR(INDEX(_xlfn.ANCHORARRAY($P$6),ROW()-5,3),"")</f>
        <v/>
      </c>
      <c r="K123" s="432" t="str" cm="1">
        <f t="array" ref="K123">IF(OR($A123="",$J123&lt;&gt;"DIESEL"),"",_xlfn.LET(_xlpm.qty,N($C123),_xlpm.pos,$T$5:$T$54,_xlpm.alo,IF($U$5:$U$54="",0,$U$5:$U$54),_xlpm.usd,SUMIFS($C$6:$C122,$K$6:$K122,_xlpm.pos&amp;""),_xlpm.bal,_xlpm.alo-_xlpm.usd,IFERROR(INDEX(_xlfn._xlws.FILTER(_xlpm.pos,(_xlpm.pos&lt;&gt;"")*(_xlpm.qty&gt;0)*(_xlpm.bal&gt;=_xlpm.qty)),1),"")))</f>
        <v/>
      </c>
      <c r="L123" s="348"/>
    </row>
    <row r="124" spans="1:12" ht="23" x14ac:dyDescent="0.25">
      <c r="A124" s="217" t="str" cm="1">
        <f t="array" ref="A124">IFERROR(INDEX(_xlfn.ANCHORARRAY($P$6),ROW()-5,1),"")</f>
        <v/>
      </c>
      <c r="B124" s="344" t="str" cm="1">
        <f t="array" ref="B124">IFERROR(INDEX(_xlfn.ANCHORARRAY($P$6),ROW()-5,2),"")</f>
        <v/>
      </c>
      <c r="C124" s="345" t="str">
        <f>IF($A124="","",IF($J124="DIESEL",SUMIFS(Table1[Quantity],Table1[Customer],$M$3,Table1[Date],$A124,Table1[Bill No.],$B124),IF($J124="PETROL",SUMIFS(Table14[Quantity],Table14[Customer],$M$3,Table14[Date],$A124,Table14[Bill No.],$B124),IF($J124="XtraGreen",SUMIFS(Table146[Quantity],Table146[Company],$M$3,Table146[Date],$A124,Table146[Bill No.],$B124),""))))</f>
        <v/>
      </c>
      <c r="D124" s="346" t="str">
        <f>IF($A124="","",IF($J124="DIESEL",AVERAGEIFS(Table1[RSP],Table1[Customer],$M$3,Table1[Date],$A124,Table1[Bill No.],$B124),IF($J124="PETROL",AVERAGEIFS(Table14[RSP],Table14[Customer],$M$3,Table14[Date],$A124,Table14[Bill No.],$B124),IF($J124="XtraGreen",AVERAGEIFS(Table146[RSP],Table146[Company],$M$3,Table146[Date],$A124,Table146[Bill No.],$B124),IFERROR($E124/$C124,"")))))</f>
        <v/>
      </c>
      <c r="E124" s="347" t="str">
        <f>IF($A124="","",IF($J124="DIESEL",SUMIFS(Table1[Amount],Table1[Customer],$M$3,Table1[Date],$A124,Table1[Bill No.],$B124),IF($J124="PETROL",SUMIFS(Table14[Amount],Table14[Customer],$M$3,Table14[Date],$A124,Table14[Bill No.],$B124),IF($J124="XtraGreen",SUMIFS(Table146[Amount],Table146[Company],$M$3,Table146[Date],$A124,Table146[Bill No.],$B124),SUMIFS('Other Sale'!$D:$D,'Other Sale'!$E:$E,$M$3,'Other Sale'!$C:$C,$J124,'Other Sale'!$A:$A,$A124)))))</f>
        <v/>
      </c>
      <c r="F124" s="347" t="str" cm="1">
        <f t="array" ref="F124">IF($A124="","",IF($J124="Payment",IFERROR(INDEX(_xlfn._xlws.FILTER(MasterPaid[Amount Paid],(MasterPaid[Customer]=$M$3)*(MasterPaid[Date]=$A124)),COUNTIFS($A$6:$A124,$A124,$J$6:$J124,"Payment")),0),0))</f>
        <v/>
      </c>
      <c r="G124" s="331"/>
      <c r="H124" s="427"/>
      <c r="I124" s="330" t="str">
        <f t="shared" si="10"/>
        <v/>
      </c>
      <c r="J124" s="344" t="str" cm="1">
        <f t="array" ref="J124">IFERROR(INDEX(_xlfn.ANCHORARRAY($P$6),ROW()-5,3),"")</f>
        <v/>
      </c>
      <c r="K124" s="432" t="str" cm="1">
        <f t="array" ref="K124">IF(OR($A124="",$J124&lt;&gt;"DIESEL"),"",_xlfn.LET(_xlpm.qty,N($C124),_xlpm.pos,$T$5:$T$54,_xlpm.alo,IF($U$5:$U$54="",0,$U$5:$U$54),_xlpm.usd,SUMIFS($C$6:$C123,$K$6:$K123,_xlpm.pos&amp;""),_xlpm.bal,_xlpm.alo-_xlpm.usd,IFERROR(INDEX(_xlfn._xlws.FILTER(_xlpm.pos,(_xlpm.pos&lt;&gt;"")*(_xlpm.qty&gt;0)*(_xlpm.bal&gt;=_xlpm.qty)),1),"")))</f>
        <v/>
      </c>
      <c r="L124" s="348"/>
    </row>
    <row r="125" spans="1:12" ht="23" x14ac:dyDescent="0.25">
      <c r="A125" s="217" t="str" cm="1">
        <f t="array" ref="A125">IFERROR(INDEX(_xlfn.ANCHORARRAY($P$6),ROW()-5,1),"")</f>
        <v/>
      </c>
      <c r="B125" s="344" t="str" cm="1">
        <f t="array" ref="B125">IFERROR(INDEX(_xlfn.ANCHORARRAY($P$6),ROW()-5,2),"")</f>
        <v/>
      </c>
      <c r="C125" s="345" t="str">
        <f>IF($A125="","",IF($J125="DIESEL",SUMIFS(Table1[Quantity],Table1[Customer],$M$3,Table1[Date],$A125,Table1[Bill No.],$B125),IF($J125="PETROL",SUMIFS(Table14[Quantity],Table14[Customer],$M$3,Table14[Date],$A125,Table14[Bill No.],$B125),IF($J125="XtraGreen",SUMIFS(Table146[Quantity],Table146[Company],$M$3,Table146[Date],$A125,Table146[Bill No.],$B125),""))))</f>
        <v/>
      </c>
      <c r="D125" s="346" t="str">
        <f>IF($A125="","",IF($J125="DIESEL",AVERAGEIFS(Table1[RSP],Table1[Customer],$M$3,Table1[Date],$A125,Table1[Bill No.],$B125),IF($J125="PETROL",AVERAGEIFS(Table14[RSP],Table14[Customer],$M$3,Table14[Date],$A125,Table14[Bill No.],$B125),IF($J125="XtraGreen",AVERAGEIFS(Table146[RSP],Table146[Company],$M$3,Table146[Date],$A125,Table146[Bill No.],$B125),IFERROR($E125/$C125,"")))))</f>
        <v/>
      </c>
      <c r="E125" s="347" t="str">
        <f>IF($A125="","",IF($J125="DIESEL",SUMIFS(Table1[Amount],Table1[Customer],$M$3,Table1[Date],$A125,Table1[Bill No.],$B125),IF($J125="PETROL",SUMIFS(Table14[Amount],Table14[Customer],$M$3,Table14[Date],$A125,Table14[Bill No.],$B125),IF($J125="XtraGreen",SUMIFS(Table146[Amount],Table146[Company],$M$3,Table146[Date],$A125,Table146[Bill No.],$B125),SUMIFS('Other Sale'!$D:$D,'Other Sale'!$E:$E,$M$3,'Other Sale'!$C:$C,$J125,'Other Sale'!$A:$A,$A125)))))</f>
        <v/>
      </c>
      <c r="F125" s="347" t="str" cm="1">
        <f t="array" ref="F125">IF($A125="","",IF($J125="Payment",IFERROR(INDEX(_xlfn._xlws.FILTER(MasterPaid[Amount Paid],(MasterPaid[Customer]=$M$3)*(MasterPaid[Date]=$A125)),COUNTIFS($A$6:$A125,$A125,$J$6:$J125,"Payment")),0),0))</f>
        <v/>
      </c>
      <c r="G125" s="331"/>
      <c r="H125" s="427"/>
      <c r="I125" s="330" t="str">
        <f t="shared" si="10"/>
        <v/>
      </c>
      <c r="J125" s="344" t="str" cm="1">
        <f t="array" ref="J125">IFERROR(INDEX(_xlfn.ANCHORARRAY($P$6),ROW()-5,3),"")</f>
        <v/>
      </c>
      <c r="K125" s="432" t="str" cm="1">
        <f t="array" ref="K125">IF(OR($A125="",$J125&lt;&gt;"DIESEL"),"",_xlfn.LET(_xlpm.qty,N($C125),_xlpm.pos,$T$5:$T$54,_xlpm.alo,IF($U$5:$U$54="",0,$U$5:$U$54),_xlpm.usd,SUMIFS($C$6:$C124,$K$6:$K124,_xlpm.pos&amp;""),_xlpm.bal,_xlpm.alo-_xlpm.usd,IFERROR(INDEX(_xlfn._xlws.FILTER(_xlpm.pos,(_xlpm.pos&lt;&gt;"")*(_xlpm.qty&gt;0)*(_xlpm.bal&gt;=_xlpm.qty)),1),"")))</f>
        <v/>
      </c>
      <c r="L125" s="348"/>
    </row>
    <row r="126" spans="1:12" ht="23" x14ac:dyDescent="0.25">
      <c r="A126" s="217" t="str" cm="1">
        <f t="array" ref="A126">IFERROR(INDEX(_xlfn.ANCHORARRAY($P$6),ROW()-5,1),"")</f>
        <v/>
      </c>
      <c r="B126" s="344" t="str" cm="1">
        <f t="array" ref="B126">IFERROR(INDEX(_xlfn.ANCHORARRAY($P$6),ROW()-5,2),"")</f>
        <v/>
      </c>
      <c r="C126" s="345" t="str">
        <f>IF($A126="","",IF($J126="DIESEL",SUMIFS(Table1[Quantity],Table1[Customer],$M$3,Table1[Date],$A126,Table1[Bill No.],$B126),IF($J126="PETROL",SUMIFS(Table14[Quantity],Table14[Customer],$M$3,Table14[Date],$A126,Table14[Bill No.],$B126),IF($J126="XtraGreen",SUMIFS(Table146[Quantity],Table146[Company],$M$3,Table146[Date],$A126,Table146[Bill No.],$B126),""))))</f>
        <v/>
      </c>
      <c r="D126" s="346" t="str">
        <f>IF($A126="","",IF($J126="DIESEL",AVERAGEIFS(Table1[RSP],Table1[Customer],$M$3,Table1[Date],$A126,Table1[Bill No.],$B126),IF($J126="PETROL",AVERAGEIFS(Table14[RSP],Table14[Customer],$M$3,Table14[Date],$A126,Table14[Bill No.],$B126),IF($J126="XtraGreen",AVERAGEIFS(Table146[RSP],Table146[Company],$M$3,Table146[Date],$A126,Table146[Bill No.],$B126),IFERROR($E126/$C126,"")))))</f>
        <v/>
      </c>
      <c r="E126" s="347" t="str">
        <f>IF($A126="","",IF($J126="DIESEL",SUMIFS(Table1[Amount],Table1[Customer],$M$3,Table1[Date],$A126,Table1[Bill No.],$B126),IF($J126="PETROL",SUMIFS(Table14[Amount],Table14[Customer],$M$3,Table14[Date],$A126,Table14[Bill No.],$B126),IF($J126="XtraGreen",SUMIFS(Table146[Amount],Table146[Company],$M$3,Table146[Date],$A126,Table146[Bill No.],$B126),SUMIFS('Other Sale'!$D:$D,'Other Sale'!$E:$E,$M$3,'Other Sale'!$C:$C,$J126,'Other Sale'!$A:$A,$A126)))))</f>
        <v/>
      </c>
      <c r="F126" s="347" t="str" cm="1">
        <f t="array" ref="F126">IF($A126="","",IF($J126="Payment",IFERROR(INDEX(_xlfn._xlws.FILTER(MasterPaid[Amount Paid],(MasterPaid[Customer]=$M$3)*(MasterPaid[Date]=$A126)),COUNTIFS($A$6:$A126,$A126,$J$6:$J126,"Payment")),0),0))</f>
        <v/>
      </c>
      <c r="G126" s="331"/>
      <c r="H126" s="427"/>
      <c r="I126" s="330" t="str">
        <f t="shared" si="10"/>
        <v/>
      </c>
      <c r="J126" s="344" t="str" cm="1">
        <f t="array" ref="J126">IFERROR(INDEX(_xlfn.ANCHORARRAY($P$6),ROW()-5,3),"")</f>
        <v/>
      </c>
      <c r="K126" s="432" t="str" cm="1">
        <f t="array" ref="K126">IF(OR($A126="",$J126&lt;&gt;"DIESEL"),"",_xlfn.LET(_xlpm.qty,N($C126),_xlpm.pos,$T$5:$T$54,_xlpm.alo,IF($U$5:$U$54="",0,$U$5:$U$54),_xlpm.usd,SUMIFS($C$6:$C125,$K$6:$K125,_xlpm.pos&amp;""),_xlpm.bal,_xlpm.alo-_xlpm.usd,IFERROR(INDEX(_xlfn._xlws.FILTER(_xlpm.pos,(_xlpm.pos&lt;&gt;"")*(_xlpm.qty&gt;0)*(_xlpm.bal&gt;=_xlpm.qty)),1),"")))</f>
        <v/>
      </c>
      <c r="L126" s="348"/>
    </row>
    <row r="127" spans="1:12" ht="23" x14ac:dyDescent="0.25">
      <c r="A127" s="217" t="str" cm="1">
        <f t="array" ref="A127">IFERROR(INDEX(_xlfn.ANCHORARRAY($P$6),ROW()-5,1),"")</f>
        <v/>
      </c>
      <c r="B127" s="344" t="str" cm="1">
        <f t="array" ref="B127">IFERROR(INDEX(_xlfn.ANCHORARRAY($P$6),ROW()-5,2),"")</f>
        <v/>
      </c>
      <c r="C127" s="345" t="str">
        <f>IF($A127="","",IF($J127="DIESEL",SUMIFS(Table1[Quantity],Table1[Customer],$M$3,Table1[Date],$A127,Table1[Bill No.],$B127),IF($J127="PETROL",SUMIFS(Table14[Quantity],Table14[Customer],$M$3,Table14[Date],$A127,Table14[Bill No.],$B127),IF($J127="XtraGreen",SUMIFS(Table146[Quantity],Table146[Company],$M$3,Table146[Date],$A127,Table146[Bill No.],$B127),""))))</f>
        <v/>
      </c>
      <c r="D127" s="346" t="str">
        <f>IF($A127="","",IF($J127="DIESEL",AVERAGEIFS(Table1[RSP],Table1[Customer],$M$3,Table1[Date],$A127,Table1[Bill No.],$B127),IF($J127="PETROL",AVERAGEIFS(Table14[RSP],Table14[Customer],$M$3,Table14[Date],$A127,Table14[Bill No.],$B127),IF($J127="XtraGreen",AVERAGEIFS(Table146[RSP],Table146[Company],$M$3,Table146[Date],$A127,Table146[Bill No.],$B127),IFERROR($E127/$C127,"")))))</f>
        <v/>
      </c>
      <c r="E127" s="347" t="str">
        <f>IF($A127="","",IF($J127="DIESEL",SUMIFS(Table1[Amount],Table1[Customer],$M$3,Table1[Date],$A127,Table1[Bill No.],$B127),IF($J127="PETROL",SUMIFS(Table14[Amount],Table14[Customer],$M$3,Table14[Date],$A127,Table14[Bill No.],$B127),IF($J127="XtraGreen",SUMIFS(Table146[Amount],Table146[Company],$M$3,Table146[Date],$A127,Table146[Bill No.],$B127),SUMIFS('Other Sale'!$D:$D,'Other Sale'!$E:$E,$M$3,'Other Sale'!$C:$C,$J127,'Other Sale'!$A:$A,$A127)))))</f>
        <v/>
      </c>
      <c r="F127" s="347" t="str" cm="1">
        <f t="array" ref="F127">IF($A127="","",IF($J127="Payment",IFERROR(INDEX(_xlfn._xlws.FILTER(MasterPaid[Amount Paid],(MasterPaid[Customer]=$M$3)*(MasterPaid[Date]=$A127)),COUNTIFS($A$6:$A127,$A127,$J$6:$J127,"Payment")),0),0))</f>
        <v/>
      </c>
      <c r="G127" s="331"/>
      <c r="H127" s="427"/>
      <c r="I127" s="330" t="str">
        <f t="shared" si="10"/>
        <v/>
      </c>
      <c r="J127" s="344" t="str" cm="1">
        <f t="array" ref="J127">IFERROR(INDEX(_xlfn.ANCHORARRAY($P$6),ROW()-5,3),"")</f>
        <v/>
      </c>
      <c r="K127" s="432" t="str" cm="1">
        <f t="array" ref="K127">IF(OR($A127="",$J127&lt;&gt;"DIESEL"),"",_xlfn.LET(_xlpm.qty,N($C127),_xlpm.pos,$T$5:$T$54,_xlpm.alo,IF($U$5:$U$54="",0,$U$5:$U$54),_xlpm.usd,SUMIFS($C$6:$C126,$K$6:$K126,_xlpm.pos&amp;""),_xlpm.bal,_xlpm.alo-_xlpm.usd,IFERROR(INDEX(_xlfn._xlws.FILTER(_xlpm.pos,(_xlpm.pos&lt;&gt;"")*(_xlpm.qty&gt;0)*(_xlpm.bal&gt;=_xlpm.qty)),1),"")))</f>
        <v/>
      </c>
      <c r="L127" s="348"/>
    </row>
    <row r="128" spans="1:12" ht="23" x14ac:dyDescent="0.25">
      <c r="A128" s="217" t="str" cm="1">
        <f t="array" ref="A128">IFERROR(INDEX(_xlfn.ANCHORARRAY($P$6),ROW()-5,1),"")</f>
        <v/>
      </c>
      <c r="B128" s="344" t="str" cm="1">
        <f t="array" ref="B128">IFERROR(INDEX(_xlfn.ANCHORARRAY($P$6),ROW()-5,2),"")</f>
        <v/>
      </c>
      <c r="C128" s="345" t="str">
        <f>IF($A128="","",IF($J128="DIESEL",SUMIFS(Table1[Quantity],Table1[Customer],$M$3,Table1[Date],$A128,Table1[Bill No.],$B128),IF($J128="PETROL",SUMIFS(Table14[Quantity],Table14[Customer],$M$3,Table14[Date],$A128,Table14[Bill No.],$B128),IF($J128="XtraGreen",SUMIFS(Table146[Quantity],Table146[Company],$M$3,Table146[Date],$A128,Table146[Bill No.],$B128),""))))</f>
        <v/>
      </c>
      <c r="D128" s="346" t="str">
        <f>IF($A128="","",IF($J128="DIESEL",AVERAGEIFS(Table1[RSP],Table1[Customer],$M$3,Table1[Date],$A128,Table1[Bill No.],$B128),IF($J128="PETROL",AVERAGEIFS(Table14[RSP],Table14[Customer],$M$3,Table14[Date],$A128,Table14[Bill No.],$B128),IF($J128="XtraGreen",AVERAGEIFS(Table146[RSP],Table146[Company],$M$3,Table146[Date],$A128,Table146[Bill No.],$B128),IFERROR($E128/$C128,"")))))</f>
        <v/>
      </c>
      <c r="E128" s="347" t="str">
        <f>IF($A128="","",IF($J128="DIESEL",SUMIFS(Table1[Amount],Table1[Customer],$M$3,Table1[Date],$A128,Table1[Bill No.],$B128),IF($J128="PETROL",SUMIFS(Table14[Amount],Table14[Customer],$M$3,Table14[Date],$A128,Table14[Bill No.],$B128),IF($J128="XtraGreen",SUMIFS(Table146[Amount],Table146[Company],$M$3,Table146[Date],$A128,Table146[Bill No.],$B128),SUMIFS('Other Sale'!$D:$D,'Other Sale'!$E:$E,$M$3,'Other Sale'!$C:$C,$J128,'Other Sale'!$A:$A,$A128)))))</f>
        <v/>
      </c>
      <c r="F128" s="347" t="str" cm="1">
        <f t="array" ref="F128">IF($A128="","",IF($J128="Payment",IFERROR(INDEX(_xlfn._xlws.FILTER(MasterPaid[Amount Paid],(MasterPaid[Customer]=$M$3)*(MasterPaid[Date]=$A128)),COUNTIFS($A$6:$A128,$A128,$J$6:$J128,"Payment")),0),0))</f>
        <v/>
      </c>
      <c r="G128" s="331"/>
      <c r="H128" s="427"/>
      <c r="I128" s="330" t="str">
        <f t="shared" si="10"/>
        <v/>
      </c>
      <c r="J128" s="344" t="str" cm="1">
        <f t="array" ref="J128">IFERROR(INDEX(_xlfn.ANCHORARRAY($P$6),ROW()-5,3),"")</f>
        <v/>
      </c>
      <c r="K128" s="432" t="str" cm="1">
        <f t="array" ref="K128">IF(OR($A128="",$J128&lt;&gt;"DIESEL"),"",_xlfn.LET(_xlpm.qty,N($C128),_xlpm.pos,$T$5:$T$54,_xlpm.alo,IF($U$5:$U$54="",0,$U$5:$U$54),_xlpm.usd,SUMIFS($C$6:$C127,$K$6:$K127,_xlpm.pos&amp;""),_xlpm.bal,_xlpm.alo-_xlpm.usd,IFERROR(INDEX(_xlfn._xlws.FILTER(_xlpm.pos,(_xlpm.pos&lt;&gt;"")*(_xlpm.qty&gt;0)*(_xlpm.bal&gt;=_xlpm.qty)),1),"")))</f>
        <v/>
      </c>
      <c r="L128" s="348"/>
    </row>
    <row r="129" spans="1:12" ht="23" x14ac:dyDescent="0.25">
      <c r="A129" s="217" t="str" cm="1">
        <f t="array" ref="A129">IFERROR(INDEX(_xlfn.ANCHORARRAY($P$6),ROW()-5,1),"")</f>
        <v/>
      </c>
      <c r="B129" s="344" t="str" cm="1">
        <f t="array" ref="B129">IFERROR(INDEX(_xlfn.ANCHORARRAY($P$6),ROW()-5,2),"")</f>
        <v/>
      </c>
      <c r="C129" s="345" t="str">
        <f>IF($A129="","",IF($J129="DIESEL",SUMIFS(Table1[Quantity],Table1[Customer],$M$3,Table1[Date],$A129,Table1[Bill No.],$B129),IF($J129="PETROL",SUMIFS(Table14[Quantity],Table14[Customer],$M$3,Table14[Date],$A129,Table14[Bill No.],$B129),IF($J129="XtraGreen",SUMIFS(Table146[Quantity],Table146[Company],$M$3,Table146[Date],$A129,Table146[Bill No.],$B129),""))))</f>
        <v/>
      </c>
      <c r="D129" s="346" t="str">
        <f>IF($A129="","",IF($J129="DIESEL",AVERAGEIFS(Table1[RSP],Table1[Customer],$M$3,Table1[Date],$A129,Table1[Bill No.],$B129),IF($J129="PETROL",AVERAGEIFS(Table14[RSP],Table14[Customer],$M$3,Table14[Date],$A129,Table14[Bill No.],$B129),IF($J129="XtraGreen",AVERAGEIFS(Table146[RSP],Table146[Company],$M$3,Table146[Date],$A129,Table146[Bill No.],$B129),IFERROR($E129/$C129,"")))))</f>
        <v/>
      </c>
      <c r="E129" s="347" t="str">
        <f>IF($A129="","",IF($J129="DIESEL",SUMIFS(Table1[Amount],Table1[Customer],$M$3,Table1[Date],$A129,Table1[Bill No.],$B129),IF($J129="PETROL",SUMIFS(Table14[Amount],Table14[Customer],$M$3,Table14[Date],$A129,Table14[Bill No.],$B129),IF($J129="XtraGreen",SUMIFS(Table146[Amount],Table146[Company],$M$3,Table146[Date],$A129,Table146[Bill No.],$B129),SUMIFS('Other Sale'!$D:$D,'Other Sale'!$E:$E,$M$3,'Other Sale'!$C:$C,$J129,'Other Sale'!$A:$A,$A129)))))</f>
        <v/>
      </c>
      <c r="F129" s="347" t="str" cm="1">
        <f t="array" ref="F129">IF($A129="","",IF($J129="Payment",IFERROR(INDEX(_xlfn._xlws.FILTER(MasterPaid[Amount Paid],(MasterPaid[Customer]=$M$3)*(MasterPaid[Date]=$A129)),COUNTIFS($A$6:$A129,$A129,$J$6:$J129,"Payment")),0),0))</f>
        <v/>
      </c>
      <c r="G129" s="331"/>
      <c r="H129" s="427"/>
      <c r="I129" s="330" t="str">
        <f t="shared" si="10"/>
        <v/>
      </c>
      <c r="J129" s="344" t="str" cm="1">
        <f t="array" ref="J129">IFERROR(INDEX(_xlfn.ANCHORARRAY($P$6),ROW()-5,3),"")</f>
        <v/>
      </c>
      <c r="K129" s="432" t="str" cm="1">
        <f t="array" ref="K129">IF(OR($A129="",$J129&lt;&gt;"DIESEL"),"",_xlfn.LET(_xlpm.qty,N($C129),_xlpm.pos,$T$5:$T$54,_xlpm.alo,IF($U$5:$U$54="",0,$U$5:$U$54),_xlpm.usd,SUMIFS($C$6:$C128,$K$6:$K128,_xlpm.pos&amp;""),_xlpm.bal,_xlpm.alo-_xlpm.usd,IFERROR(INDEX(_xlfn._xlws.FILTER(_xlpm.pos,(_xlpm.pos&lt;&gt;"")*(_xlpm.qty&gt;0)*(_xlpm.bal&gt;=_xlpm.qty)),1),"")))</f>
        <v/>
      </c>
      <c r="L129" s="348"/>
    </row>
    <row r="130" spans="1:12" ht="23" x14ac:dyDescent="0.25">
      <c r="A130" s="217" t="str" cm="1">
        <f t="array" ref="A130">IFERROR(INDEX(_xlfn.ANCHORARRAY($P$6),ROW()-5,1),"")</f>
        <v/>
      </c>
      <c r="B130" s="344" t="str" cm="1">
        <f t="array" ref="B130">IFERROR(INDEX(_xlfn.ANCHORARRAY($P$6),ROW()-5,2),"")</f>
        <v/>
      </c>
      <c r="C130" s="345" t="str">
        <f>IF($A130="","",IF($J130="DIESEL",SUMIFS(Table1[Quantity],Table1[Customer],$M$3,Table1[Date],$A130,Table1[Bill No.],$B130),IF($J130="PETROL",SUMIFS(Table14[Quantity],Table14[Customer],$M$3,Table14[Date],$A130,Table14[Bill No.],$B130),IF($J130="XtraGreen",SUMIFS(Table146[Quantity],Table146[Company],$M$3,Table146[Date],$A130,Table146[Bill No.],$B130),""))))</f>
        <v/>
      </c>
      <c r="D130" s="346" t="str">
        <f>IF($A130="","",IF($J130="DIESEL",AVERAGEIFS(Table1[RSP],Table1[Customer],$M$3,Table1[Date],$A130,Table1[Bill No.],$B130),IF($J130="PETROL",AVERAGEIFS(Table14[RSP],Table14[Customer],$M$3,Table14[Date],$A130,Table14[Bill No.],$B130),IF($J130="XtraGreen",AVERAGEIFS(Table146[RSP],Table146[Company],$M$3,Table146[Date],$A130,Table146[Bill No.],$B130),IFERROR($E130/$C130,"")))))</f>
        <v/>
      </c>
      <c r="E130" s="347" t="str">
        <f>IF($A130="","",IF($J130="DIESEL",SUMIFS(Table1[Amount],Table1[Customer],$M$3,Table1[Date],$A130,Table1[Bill No.],$B130),IF($J130="PETROL",SUMIFS(Table14[Amount],Table14[Customer],$M$3,Table14[Date],$A130,Table14[Bill No.],$B130),IF($J130="XtraGreen",SUMIFS(Table146[Amount],Table146[Company],$M$3,Table146[Date],$A130,Table146[Bill No.],$B130),SUMIFS('Other Sale'!$D:$D,'Other Sale'!$E:$E,$M$3,'Other Sale'!$C:$C,$J130,'Other Sale'!$A:$A,$A130)))))</f>
        <v/>
      </c>
      <c r="F130" s="347" t="str" cm="1">
        <f t="array" ref="F130">IF($A130="","",IF($J130="Payment",IFERROR(INDEX(_xlfn._xlws.FILTER(MasterPaid[Amount Paid],(MasterPaid[Customer]=$M$3)*(MasterPaid[Date]=$A130)),COUNTIFS($A$6:$A130,$A130,$J$6:$J130,"Payment")),0),0))</f>
        <v/>
      </c>
      <c r="G130" s="331"/>
      <c r="H130" s="427"/>
      <c r="I130" s="330" t="str">
        <f t="shared" si="10"/>
        <v/>
      </c>
      <c r="J130" s="344" t="str" cm="1">
        <f t="array" ref="J130">IFERROR(INDEX(_xlfn.ANCHORARRAY($P$6),ROW()-5,3),"")</f>
        <v/>
      </c>
      <c r="K130" s="432" t="str" cm="1">
        <f t="array" ref="K130">IF(OR($A130="",$J130&lt;&gt;"DIESEL"),"",_xlfn.LET(_xlpm.qty,N($C130),_xlpm.pos,$T$5:$T$54,_xlpm.alo,IF($U$5:$U$54="",0,$U$5:$U$54),_xlpm.usd,SUMIFS($C$6:$C129,$K$6:$K129,_xlpm.pos&amp;""),_xlpm.bal,_xlpm.alo-_xlpm.usd,IFERROR(INDEX(_xlfn._xlws.FILTER(_xlpm.pos,(_xlpm.pos&lt;&gt;"")*(_xlpm.qty&gt;0)*(_xlpm.bal&gt;=_xlpm.qty)),1),"")))</f>
        <v/>
      </c>
      <c r="L130" s="348"/>
    </row>
    <row r="131" spans="1:12" ht="23" x14ac:dyDescent="0.25">
      <c r="A131" s="217" t="str" cm="1">
        <f t="array" ref="A131">IFERROR(INDEX(_xlfn.ANCHORARRAY($P$6),ROW()-5,1),"")</f>
        <v/>
      </c>
      <c r="B131" s="344" t="str" cm="1">
        <f t="array" ref="B131">IFERROR(INDEX(_xlfn.ANCHORARRAY($P$6),ROW()-5,2),"")</f>
        <v/>
      </c>
      <c r="C131" s="345" t="str">
        <f>IF($A131="","",IF($J131="DIESEL",SUMIFS(Table1[Quantity],Table1[Customer],$M$3,Table1[Date],$A131,Table1[Bill No.],$B131),IF($J131="PETROL",SUMIFS(Table14[Quantity],Table14[Customer],$M$3,Table14[Date],$A131,Table14[Bill No.],$B131),IF($J131="XtraGreen",SUMIFS(Table146[Quantity],Table146[Company],$M$3,Table146[Date],$A131,Table146[Bill No.],$B131),""))))</f>
        <v/>
      </c>
      <c r="D131" s="346" t="str">
        <f>IF($A131="","",IF($J131="DIESEL",AVERAGEIFS(Table1[RSP],Table1[Customer],$M$3,Table1[Date],$A131,Table1[Bill No.],$B131),IF($J131="PETROL",AVERAGEIFS(Table14[RSP],Table14[Customer],$M$3,Table14[Date],$A131,Table14[Bill No.],$B131),IF($J131="XtraGreen",AVERAGEIFS(Table146[RSP],Table146[Company],$M$3,Table146[Date],$A131,Table146[Bill No.],$B131),IFERROR($E131/$C131,"")))))</f>
        <v/>
      </c>
      <c r="E131" s="347" t="str">
        <f>IF($A131="","",IF($J131="DIESEL",SUMIFS(Table1[Amount],Table1[Customer],$M$3,Table1[Date],$A131,Table1[Bill No.],$B131),IF($J131="PETROL",SUMIFS(Table14[Amount],Table14[Customer],$M$3,Table14[Date],$A131,Table14[Bill No.],$B131),IF($J131="XtraGreen",SUMIFS(Table146[Amount],Table146[Company],$M$3,Table146[Date],$A131,Table146[Bill No.],$B131),SUMIFS('Other Sale'!$D:$D,'Other Sale'!$E:$E,$M$3,'Other Sale'!$C:$C,$J131,'Other Sale'!$A:$A,$A131)))))</f>
        <v/>
      </c>
      <c r="F131" s="347" t="str" cm="1">
        <f t="array" ref="F131">IF($A131="","",IF($J131="Payment",IFERROR(INDEX(_xlfn._xlws.FILTER(MasterPaid[Amount Paid],(MasterPaid[Customer]=$M$3)*(MasterPaid[Date]=$A131)),COUNTIFS($A$6:$A131,$A131,$J$6:$J131,"Payment")),0),0))</f>
        <v/>
      </c>
      <c r="G131" s="331"/>
      <c r="H131" s="427"/>
      <c r="I131" s="330" t="str">
        <f t="shared" si="10"/>
        <v/>
      </c>
      <c r="J131" s="344" t="str" cm="1">
        <f t="array" ref="J131">IFERROR(INDEX(_xlfn.ANCHORARRAY($P$6),ROW()-5,3),"")</f>
        <v/>
      </c>
      <c r="K131" s="432" t="str" cm="1">
        <f t="array" ref="K131">IF(OR($A131="",$J131&lt;&gt;"DIESEL"),"",_xlfn.LET(_xlpm.qty,N($C131),_xlpm.pos,$T$5:$T$54,_xlpm.alo,IF($U$5:$U$54="",0,$U$5:$U$54),_xlpm.usd,SUMIFS($C$6:$C130,$K$6:$K130,_xlpm.pos&amp;""),_xlpm.bal,_xlpm.alo-_xlpm.usd,IFERROR(INDEX(_xlfn._xlws.FILTER(_xlpm.pos,(_xlpm.pos&lt;&gt;"")*(_xlpm.qty&gt;0)*(_xlpm.bal&gt;=_xlpm.qty)),1),"")))</f>
        <v/>
      </c>
      <c r="L131" s="348"/>
    </row>
    <row r="132" spans="1:12" ht="23" x14ac:dyDescent="0.25">
      <c r="A132" s="217" t="str" cm="1">
        <f t="array" ref="A132">IFERROR(INDEX(_xlfn.ANCHORARRAY($P$6),ROW()-5,1),"")</f>
        <v/>
      </c>
      <c r="B132" s="344" t="str" cm="1">
        <f t="array" ref="B132">IFERROR(INDEX(_xlfn.ANCHORARRAY($P$6),ROW()-5,2),"")</f>
        <v/>
      </c>
      <c r="C132" s="345" t="str">
        <f>IF($A132="","",IF($J132="DIESEL",SUMIFS(Table1[Quantity],Table1[Customer],$M$3,Table1[Date],$A132,Table1[Bill No.],$B132),IF($J132="PETROL",SUMIFS(Table14[Quantity],Table14[Customer],$M$3,Table14[Date],$A132,Table14[Bill No.],$B132),IF($J132="XtraGreen",SUMIFS(Table146[Quantity],Table146[Company],$M$3,Table146[Date],$A132,Table146[Bill No.],$B132),""))))</f>
        <v/>
      </c>
      <c r="D132" s="346" t="str">
        <f>IF($A132="","",IF($J132="DIESEL",AVERAGEIFS(Table1[RSP],Table1[Customer],$M$3,Table1[Date],$A132,Table1[Bill No.],$B132),IF($J132="PETROL",AVERAGEIFS(Table14[RSP],Table14[Customer],$M$3,Table14[Date],$A132,Table14[Bill No.],$B132),IF($J132="XtraGreen",AVERAGEIFS(Table146[RSP],Table146[Company],$M$3,Table146[Date],$A132,Table146[Bill No.],$B132),IFERROR($E132/$C132,"")))))</f>
        <v/>
      </c>
      <c r="E132" s="347" t="str">
        <f>IF($A132="","",IF($J132="DIESEL",SUMIFS(Table1[Amount],Table1[Customer],$M$3,Table1[Date],$A132,Table1[Bill No.],$B132),IF($J132="PETROL",SUMIFS(Table14[Amount],Table14[Customer],$M$3,Table14[Date],$A132,Table14[Bill No.],$B132),IF($J132="XtraGreen",SUMIFS(Table146[Amount],Table146[Company],$M$3,Table146[Date],$A132,Table146[Bill No.],$B132),SUMIFS('Other Sale'!$D:$D,'Other Sale'!$E:$E,$M$3,'Other Sale'!$C:$C,$J132,'Other Sale'!$A:$A,$A132)))))</f>
        <v/>
      </c>
      <c r="F132" s="347" t="str" cm="1">
        <f t="array" ref="F132">IF($A132="","",IF($J132="Payment",IFERROR(INDEX(_xlfn._xlws.FILTER(MasterPaid[Amount Paid],(MasterPaid[Customer]=$M$3)*(MasterPaid[Date]=$A132)),COUNTIFS($A$6:$A132,$A132,$J$6:$J132,"Payment")),0),0))</f>
        <v/>
      </c>
      <c r="G132" s="331"/>
      <c r="H132" s="427"/>
      <c r="I132" s="330" t="str">
        <f t="shared" si="10"/>
        <v/>
      </c>
      <c r="J132" s="344" t="str" cm="1">
        <f t="array" ref="J132">IFERROR(INDEX(_xlfn.ANCHORARRAY($P$6),ROW()-5,3),"")</f>
        <v/>
      </c>
      <c r="K132" s="432" t="str" cm="1">
        <f t="array" ref="K132">IF(OR($A132="",$J132&lt;&gt;"DIESEL"),"",_xlfn.LET(_xlpm.qty,N($C132),_xlpm.pos,$T$5:$T$54,_xlpm.alo,IF($U$5:$U$54="",0,$U$5:$U$54),_xlpm.usd,SUMIFS($C$6:$C131,$K$6:$K131,_xlpm.pos&amp;""),_xlpm.bal,_xlpm.alo-_xlpm.usd,IFERROR(INDEX(_xlfn._xlws.FILTER(_xlpm.pos,(_xlpm.pos&lt;&gt;"")*(_xlpm.qty&gt;0)*(_xlpm.bal&gt;=_xlpm.qty)),1),"")))</f>
        <v/>
      </c>
      <c r="L132" s="348"/>
    </row>
    <row r="133" spans="1:12" ht="23" x14ac:dyDescent="0.25">
      <c r="A133" s="217" t="str" cm="1">
        <f t="array" ref="A133">IFERROR(INDEX(_xlfn.ANCHORARRAY($P$6),ROW()-5,1),"")</f>
        <v/>
      </c>
      <c r="B133" s="344" t="str" cm="1">
        <f t="array" ref="B133">IFERROR(INDEX(_xlfn.ANCHORARRAY($P$6),ROW()-5,2),"")</f>
        <v/>
      </c>
      <c r="C133" s="345" t="str">
        <f>IF($A133="","",IF($J133="DIESEL",SUMIFS(Table1[Quantity],Table1[Customer],$M$3,Table1[Date],$A133,Table1[Bill No.],$B133),IF($J133="PETROL",SUMIFS(Table14[Quantity],Table14[Customer],$M$3,Table14[Date],$A133,Table14[Bill No.],$B133),IF($J133="XtraGreen",SUMIFS(Table146[Quantity],Table146[Company],$M$3,Table146[Date],$A133,Table146[Bill No.],$B133),""))))</f>
        <v/>
      </c>
      <c r="D133" s="346" t="str">
        <f>IF($A133="","",IF($J133="DIESEL",AVERAGEIFS(Table1[RSP],Table1[Customer],$M$3,Table1[Date],$A133,Table1[Bill No.],$B133),IF($J133="PETROL",AVERAGEIFS(Table14[RSP],Table14[Customer],$M$3,Table14[Date],$A133,Table14[Bill No.],$B133),IF($J133="XtraGreen",AVERAGEIFS(Table146[RSP],Table146[Company],$M$3,Table146[Date],$A133,Table146[Bill No.],$B133),IFERROR($E133/$C133,"")))))</f>
        <v/>
      </c>
      <c r="E133" s="347" t="str">
        <f>IF($A133="","",IF($J133="DIESEL",SUMIFS(Table1[Amount],Table1[Customer],$M$3,Table1[Date],$A133,Table1[Bill No.],$B133),IF($J133="PETROL",SUMIFS(Table14[Amount],Table14[Customer],$M$3,Table14[Date],$A133,Table14[Bill No.],$B133),IF($J133="XtraGreen",SUMIFS(Table146[Amount],Table146[Company],$M$3,Table146[Date],$A133,Table146[Bill No.],$B133),SUMIFS('Other Sale'!$D:$D,'Other Sale'!$E:$E,$M$3,'Other Sale'!$C:$C,$J133,'Other Sale'!$A:$A,$A133)))))</f>
        <v/>
      </c>
      <c r="F133" s="347" t="str" cm="1">
        <f t="array" ref="F133">IF($A133="","",IF($J133="Payment",IFERROR(INDEX(_xlfn._xlws.FILTER(MasterPaid[Amount Paid],(MasterPaid[Customer]=$M$3)*(MasterPaid[Date]=$A133)),COUNTIFS($A$6:$A133,$A133,$J$6:$J133,"Payment")),0),0))</f>
        <v/>
      </c>
      <c r="G133" s="331"/>
      <c r="H133" s="427"/>
      <c r="I133" s="330" t="str">
        <f t="shared" si="10"/>
        <v/>
      </c>
      <c r="J133" s="344" t="str" cm="1">
        <f t="array" ref="J133">IFERROR(INDEX(_xlfn.ANCHORARRAY($P$6),ROW()-5,3),"")</f>
        <v/>
      </c>
      <c r="K133" s="432" t="str" cm="1">
        <f t="array" ref="K133">IF(OR($A133="",$J133&lt;&gt;"DIESEL"),"",_xlfn.LET(_xlpm.qty,N($C133),_xlpm.pos,$T$5:$T$54,_xlpm.alo,IF($U$5:$U$54="",0,$U$5:$U$54),_xlpm.usd,SUMIFS($C$6:$C132,$K$6:$K132,_xlpm.pos&amp;""),_xlpm.bal,_xlpm.alo-_xlpm.usd,IFERROR(INDEX(_xlfn._xlws.FILTER(_xlpm.pos,(_xlpm.pos&lt;&gt;"")*(_xlpm.qty&gt;0)*(_xlpm.bal&gt;=_xlpm.qty)),1),"")))</f>
        <v/>
      </c>
      <c r="L133" s="348"/>
    </row>
    <row r="134" spans="1:12" ht="23" x14ac:dyDescent="0.25">
      <c r="A134" s="217" t="str" cm="1">
        <f t="array" ref="A134">IFERROR(INDEX(_xlfn.ANCHORARRAY($P$6),ROW()-5,1),"")</f>
        <v/>
      </c>
      <c r="B134" s="344" t="str" cm="1">
        <f t="array" ref="B134">IFERROR(INDEX(_xlfn.ANCHORARRAY($P$6),ROW()-5,2),"")</f>
        <v/>
      </c>
      <c r="C134" s="345" t="str">
        <f>IF($A134="","",IF($J134="DIESEL",SUMIFS(Table1[Quantity],Table1[Customer],$M$3,Table1[Date],$A134,Table1[Bill No.],$B134),IF($J134="PETROL",SUMIFS(Table14[Quantity],Table14[Customer],$M$3,Table14[Date],$A134,Table14[Bill No.],$B134),IF($J134="XtraGreen",SUMIFS(Table146[Quantity],Table146[Company],$M$3,Table146[Date],$A134,Table146[Bill No.],$B134),""))))</f>
        <v/>
      </c>
      <c r="D134" s="346" t="str">
        <f>IF($A134="","",IF($J134="DIESEL",AVERAGEIFS(Table1[RSP],Table1[Customer],$M$3,Table1[Date],$A134,Table1[Bill No.],$B134),IF($J134="PETROL",AVERAGEIFS(Table14[RSP],Table14[Customer],$M$3,Table14[Date],$A134,Table14[Bill No.],$B134),IF($J134="XtraGreen",AVERAGEIFS(Table146[RSP],Table146[Company],$M$3,Table146[Date],$A134,Table146[Bill No.],$B134),IFERROR($E134/$C134,"")))))</f>
        <v/>
      </c>
      <c r="E134" s="347" t="str">
        <f>IF($A134="","",IF($J134="DIESEL",SUMIFS(Table1[Amount],Table1[Customer],$M$3,Table1[Date],$A134,Table1[Bill No.],$B134),IF($J134="PETROL",SUMIFS(Table14[Amount],Table14[Customer],$M$3,Table14[Date],$A134,Table14[Bill No.],$B134),IF($J134="XtraGreen",SUMIFS(Table146[Amount],Table146[Company],$M$3,Table146[Date],$A134,Table146[Bill No.],$B134),SUMIFS('Other Sale'!$D:$D,'Other Sale'!$E:$E,$M$3,'Other Sale'!$C:$C,$J134,'Other Sale'!$A:$A,$A134)))))</f>
        <v/>
      </c>
      <c r="F134" s="347" t="str" cm="1">
        <f t="array" ref="F134">IF($A134="","",IF($J134="Payment",IFERROR(INDEX(_xlfn._xlws.FILTER(MasterPaid[Amount Paid],(MasterPaid[Customer]=$M$3)*(MasterPaid[Date]=$A134)),COUNTIFS($A$6:$A134,$A134,$J$6:$J134,"Payment")),0),0))</f>
        <v/>
      </c>
      <c r="G134" s="331"/>
      <c r="H134" s="427"/>
      <c r="I134" s="330" t="str">
        <f t="shared" si="10"/>
        <v/>
      </c>
      <c r="J134" s="344" t="str" cm="1">
        <f t="array" ref="J134">IFERROR(INDEX(_xlfn.ANCHORARRAY($P$6),ROW()-5,3),"")</f>
        <v/>
      </c>
      <c r="K134" s="432" t="str" cm="1">
        <f t="array" ref="K134">IF(OR($A134="",$J134&lt;&gt;"DIESEL"),"",_xlfn.LET(_xlpm.qty,N($C134),_xlpm.pos,$T$5:$T$54,_xlpm.alo,IF($U$5:$U$54="",0,$U$5:$U$54),_xlpm.usd,SUMIFS($C$6:$C133,$K$6:$K133,_xlpm.pos&amp;""),_xlpm.bal,_xlpm.alo-_xlpm.usd,IFERROR(INDEX(_xlfn._xlws.FILTER(_xlpm.pos,(_xlpm.pos&lt;&gt;"")*(_xlpm.qty&gt;0)*(_xlpm.bal&gt;=_xlpm.qty)),1),"")))</f>
        <v/>
      </c>
      <c r="L134" s="348"/>
    </row>
    <row r="135" spans="1:12" ht="23" x14ac:dyDescent="0.25">
      <c r="A135" s="217" t="str" cm="1">
        <f t="array" ref="A135">IFERROR(INDEX(_xlfn.ANCHORARRAY($P$6),ROW()-5,1),"")</f>
        <v/>
      </c>
      <c r="B135" s="344" t="str" cm="1">
        <f t="array" ref="B135">IFERROR(INDEX(_xlfn.ANCHORARRAY($P$6),ROW()-5,2),"")</f>
        <v/>
      </c>
      <c r="C135" s="345" t="str">
        <f>IF($A135="","",IF($J135="DIESEL",SUMIFS(Table1[Quantity],Table1[Customer],$M$3,Table1[Date],$A135,Table1[Bill No.],$B135),IF($J135="PETROL",SUMIFS(Table14[Quantity],Table14[Customer],$M$3,Table14[Date],$A135,Table14[Bill No.],$B135),IF($J135="XtraGreen",SUMIFS(Table146[Quantity],Table146[Company],$M$3,Table146[Date],$A135,Table146[Bill No.],$B135),""))))</f>
        <v/>
      </c>
      <c r="D135" s="346" t="str">
        <f>IF($A135="","",IF($J135="DIESEL",AVERAGEIFS(Table1[RSP],Table1[Customer],$M$3,Table1[Date],$A135,Table1[Bill No.],$B135),IF($J135="PETROL",AVERAGEIFS(Table14[RSP],Table14[Customer],$M$3,Table14[Date],$A135,Table14[Bill No.],$B135),IF($J135="XtraGreen",AVERAGEIFS(Table146[RSP],Table146[Company],$M$3,Table146[Date],$A135,Table146[Bill No.],$B135),IFERROR($E135/$C135,"")))))</f>
        <v/>
      </c>
      <c r="E135" s="347" t="str">
        <f>IF($A135="","",IF($J135="DIESEL",SUMIFS(Table1[Amount],Table1[Customer],$M$3,Table1[Date],$A135,Table1[Bill No.],$B135),IF($J135="PETROL",SUMIFS(Table14[Amount],Table14[Customer],$M$3,Table14[Date],$A135,Table14[Bill No.],$B135),IF($J135="XtraGreen",SUMIFS(Table146[Amount],Table146[Company],$M$3,Table146[Date],$A135,Table146[Bill No.],$B135),SUMIFS('Other Sale'!$D:$D,'Other Sale'!$E:$E,$M$3,'Other Sale'!$C:$C,$J135,'Other Sale'!$A:$A,$A135)))))</f>
        <v/>
      </c>
      <c r="F135" s="347" t="str" cm="1">
        <f t="array" ref="F135">IF($A135="","",IF($J135="Payment",IFERROR(INDEX(_xlfn._xlws.FILTER(MasterPaid[Amount Paid],(MasterPaid[Customer]=$M$3)*(MasterPaid[Date]=$A135)),COUNTIFS($A$6:$A135,$A135,$J$6:$J135,"Payment")),0),0))</f>
        <v/>
      </c>
      <c r="G135" s="331"/>
      <c r="H135" s="427"/>
      <c r="I135" s="330" t="str">
        <f t="shared" si="10"/>
        <v/>
      </c>
      <c r="J135" s="344" t="str" cm="1">
        <f t="array" ref="J135">IFERROR(INDEX(_xlfn.ANCHORARRAY($P$6),ROW()-5,3),"")</f>
        <v/>
      </c>
      <c r="K135" s="432" t="str" cm="1">
        <f t="array" ref="K135">IF(OR($A135="",$J135&lt;&gt;"DIESEL"),"",_xlfn.LET(_xlpm.qty,N($C135),_xlpm.pos,$T$5:$T$54,_xlpm.alo,IF($U$5:$U$54="",0,$U$5:$U$54),_xlpm.usd,SUMIFS($C$6:$C134,$K$6:$K134,_xlpm.pos&amp;""),_xlpm.bal,_xlpm.alo-_xlpm.usd,IFERROR(INDEX(_xlfn._xlws.FILTER(_xlpm.pos,(_xlpm.pos&lt;&gt;"")*(_xlpm.qty&gt;0)*(_xlpm.bal&gt;=_xlpm.qty)),1),"")))</f>
        <v/>
      </c>
      <c r="L135" s="348"/>
    </row>
    <row r="136" spans="1:12" ht="23" x14ac:dyDescent="0.25">
      <c r="A136" s="217" t="str" cm="1">
        <f t="array" ref="A136">IFERROR(INDEX(_xlfn.ANCHORARRAY($P$6),ROW()-5,1),"")</f>
        <v/>
      </c>
      <c r="B136" s="344" t="str" cm="1">
        <f t="array" ref="B136">IFERROR(INDEX(_xlfn.ANCHORARRAY($P$6),ROW()-5,2),"")</f>
        <v/>
      </c>
      <c r="C136" s="345" t="str">
        <f>IF($A136="","",IF($J136="DIESEL",SUMIFS(Table1[Quantity],Table1[Customer],$M$3,Table1[Date],$A136,Table1[Bill No.],$B136),IF($J136="PETROL",SUMIFS(Table14[Quantity],Table14[Customer],$M$3,Table14[Date],$A136,Table14[Bill No.],$B136),IF($J136="XtraGreen",SUMIFS(Table146[Quantity],Table146[Company],$M$3,Table146[Date],$A136,Table146[Bill No.],$B136),""))))</f>
        <v/>
      </c>
      <c r="D136" s="346" t="str">
        <f>IF($A136="","",IF($J136="DIESEL",AVERAGEIFS(Table1[RSP],Table1[Customer],$M$3,Table1[Date],$A136,Table1[Bill No.],$B136),IF($J136="PETROL",AVERAGEIFS(Table14[RSP],Table14[Customer],$M$3,Table14[Date],$A136,Table14[Bill No.],$B136),IF($J136="XtraGreen",AVERAGEIFS(Table146[RSP],Table146[Company],$M$3,Table146[Date],$A136,Table146[Bill No.],$B136),IFERROR($E136/$C136,"")))))</f>
        <v/>
      </c>
      <c r="E136" s="347" t="str">
        <f>IF($A136="","",IF($J136="DIESEL",SUMIFS(Table1[Amount],Table1[Customer],$M$3,Table1[Date],$A136,Table1[Bill No.],$B136),IF($J136="PETROL",SUMIFS(Table14[Amount],Table14[Customer],$M$3,Table14[Date],$A136,Table14[Bill No.],$B136),IF($J136="XtraGreen",SUMIFS(Table146[Amount],Table146[Company],$M$3,Table146[Date],$A136,Table146[Bill No.],$B136),SUMIFS('Other Sale'!$D:$D,'Other Sale'!$E:$E,$M$3,'Other Sale'!$C:$C,$J136,'Other Sale'!$A:$A,$A136)))))</f>
        <v/>
      </c>
      <c r="F136" s="347" t="str" cm="1">
        <f t="array" ref="F136">IF($A136="","",IF($J136="Payment",IFERROR(INDEX(_xlfn._xlws.FILTER(MasterPaid[Amount Paid],(MasterPaid[Customer]=$M$3)*(MasterPaid[Date]=$A136)),COUNTIFS($A$6:$A136,$A136,$J$6:$J136,"Payment")),0),0))</f>
        <v/>
      </c>
      <c r="G136" s="331"/>
      <c r="H136" s="427"/>
      <c r="I136" s="330" t="str">
        <f t="shared" ref="I136:I199" si="11">IF($A136="","",I135+N(E136)-N(F136)-N(G136)-N(H136))</f>
        <v/>
      </c>
      <c r="J136" s="344" t="str" cm="1">
        <f t="array" ref="J136">IFERROR(INDEX(_xlfn.ANCHORARRAY($P$6),ROW()-5,3),"")</f>
        <v/>
      </c>
      <c r="K136" s="432" t="str" cm="1">
        <f t="array" ref="K136">IF(OR($A136="",$J136&lt;&gt;"DIESEL"),"",_xlfn.LET(_xlpm.qty,N($C136),_xlpm.pos,$T$5:$T$54,_xlpm.alo,IF($U$5:$U$54="",0,$U$5:$U$54),_xlpm.usd,SUMIFS($C$6:$C135,$K$6:$K135,_xlpm.pos&amp;""),_xlpm.bal,_xlpm.alo-_xlpm.usd,IFERROR(INDEX(_xlfn._xlws.FILTER(_xlpm.pos,(_xlpm.pos&lt;&gt;"")*(_xlpm.qty&gt;0)*(_xlpm.bal&gt;=_xlpm.qty)),1),"")))</f>
        <v/>
      </c>
      <c r="L136" s="348"/>
    </row>
    <row r="137" spans="1:12" ht="23" x14ac:dyDescent="0.25">
      <c r="A137" s="217" t="str" cm="1">
        <f t="array" ref="A137">IFERROR(INDEX(_xlfn.ANCHORARRAY($P$6),ROW()-5,1),"")</f>
        <v/>
      </c>
      <c r="B137" s="344" t="str" cm="1">
        <f t="array" ref="B137">IFERROR(INDEX(_xlfn.ANCHORARRAY($P$6),ROW()-5,2),"")</f>
        <v/>
      </c>
      <c r="C137" s="345" t="str">
        <f>IF($A137="","",IF($J137="DIESEL",SUMIFS(Table1[Quantity],Table1[Customer],$M$3,Table1[Date],$A137,Table1[Bill No.],$B137),IF($J137="PETROL",SUMIFS(Table14[Quantity],Table14[Customer],$M$3,Table14[Date],$A137,Table14[Bill No.],$B137),IF($J137="XtraGreen",SUMIFS(Table146[Quantity],Table146[Company],$M$3,Table146[Date],$A137,Table146[Bill No.],$B137),""))))</f>
        <v/>
      </c>
      <c r="D137" s="346" t="str">
        <f>IF($A137="","",IF($J137="DIESEL",AVERAGEIFS(Table1[RSP],Table1[Customer],$M$3,Table1[Date],$A137,Table1[Bill No.],$B137),IF($J137="PETROL",AVERAGEIFS(Table14[RSP],Table14[Customer],$M$3,Table14[Date],$A137,Table14[Bill No.],$B137),IF($J137="XtraGreen",AVERAGEIFS(Table146[RSP],Table146[Company],$M$3,Table146[Date],$A137,Table146[Bill No.],$B137),IFERROR($E137/$C137,"")))))</f>
        <v/>
      </c>
      <c r="E137" s="347" t="str">
        <f>IF($A137="","",IF($J137="DIESEL",SUMIFS(Table1[Amount],Table1[Customer],$M$3,Table1[Date],$A137,Table1[Bill No.],$B137),IF($J137="PETROL",SUMIFS(Table14[Amount],Table14[Customer],$M$3,Table14[Date],$A137,Table14[Bill No.],$B137),IF($J137="XtraGreen",SUMIFS(Table146[Amount],Table146[Company],$M$3,Table146[Date],$A137,Table146[Bill No.],$B137),SUMIFS('Other Sale'!$D:$D,'Other Sale'!$E:$E,$M$3,'Other Sale'!$C:$C,$J137,'Other Sale'!$A:$A,$A137)))))</f>
        <v/>
      </c>
      <c r="F137" s="347" t="str" cm="1">
        <f t="array" ref="F137">IF($A137="","",IF($J137="Payment",IFERROR(INDEX(_xlfn._xlws.FILTER(MasterPaid[Amount Paid],(MasterPaid[Customer]=$M$3)*(MasterPaid[Date]=$A137)),COUNTIFS($A$6:$A137,$A137,$J$6:$J137,"Payment")),0),0))</f>
        <v/>
      </c>
      <c r="G137" s="331"/>
      <c r="H137" s="427"/>
      <c r="I137" s="330" t="str">
        <f t="shared" si="11"/>
        <v/>
      </c>
      <c r="J137" s="344" t="str" cm="1">
        <f t="array" ref="J137">IFERROR(INDEX(_xlfn.ANCHORARRAY($P$6),ROW()-5,3),"")</f>
        <v/>
      </c>
      <c r="K137" s="432" t="str" cm="1">
        <f t="array" ref="K137">IF(OR($A137="",$J137&lt;&gt;"DIESEL"),"",_xlfn.LET(_xlpm.qty,N($C137),_xlpm.pos,$T$5:$T$54,_xlpm.alo,IF($U$5:$U$54="",0,$U$5:$U$54),_xlpm.usd,SUMIFS($C$6:$C136,$K$6:$K136,_xlpm.pos&amp;""),_xlpm.bal,_xlpm.alo-_xlpm.usd,IFERROR(INDEX(_xlfn._xlws.FILTER(_xlpm.pos,(_xlpm.pos&lt;&gt;"")*(_xlpm.qty&gt;0)*(_xlpm.bal&gt;=_xlpm.qty)),1),"")))</f>
        <v/>
      </c>
      <c r="L137" s="348"/>
    </row>
    <row r="138" spans="1:12" ht="23" x14ac:dyDescent="0.25">
      <c r="A138" s="217" t="str" cm="1">
        <f t="array" ref="A138">IFERROR(INDEX(_xlfn.ANCHORARRAY($P$6),ROW()-5,1),"")</f>
        <v/>
      </c>
      <c r="B138" s="344" t="str" cm="1">
        <f t="array" ref="B138">IFERROR(INDEX(_xlfn.ANCHORARRAY($P$6),ROW()-5,2),"")</f>
        <v/>
      </c>
      <c r="C138" s="345" t="str">
        <f>IF($A138="","",IF($J138="DIESEL",SUMIFS(Table1[Quantity],Table1[Customer],$M$3,Table1[Date],$A138,Table1[Bill No.],$B138),IF($J138="PETROL",SUMIFS(Table14[Quantity],Table14[Customer],$M$3,Table14[Date],$A138,Table14[Bill No.],$B138),IF($J138="XtraGreen",SUMIFS(Table146[Quantity],Table146[Company],$M$3,Table146[Date],$A138,Table146[Bill No.],$B138),""))))</f>
        <v/>
      </c>
      <c r="D138" s="346" t="str">
        <f>IF($A138="","",IF($J138="DIESEL",AVERAGEIFS(Table1[RSP],Table1[Customer],$M$3,Table1[Date],$A138,Table1[Bill No.],$B138),IF($J138="PETROL",AVERAGEIFS(Table14[RSP],Table14[Customer],$M$3,Table14[Date],$A138,Table14[Bill No.],$B138),IF($J138="XtraGreen",AVERAGEIFS(Table146[RSP],Table146[Company],$M$3,Table146[Date],$A138,Table146[Bill No.],$B138),IFERROR($E138/$C138,"")))))</f>
        <v/>
      </c>
      <c r="E138" s="347" t="str">
        <f>IF($A138="","",IF($J138="DIESEL",SUMIFS(Table1[Amount],Table1[Customer],$M$3,Table1[Date],$A138,Table1[Bill No.],$B138),IF($J138="PETROL",SUMIFS(Table14[Amount],Table14[Customer],$M$3,Table14[Date],$A138,Table14[Bill No.],$B138),IF($J138="XtraGreen",SUMIFS(Table146[Amount],Table146[Company],$M$3,Table146[Date],$A138,Table146[Bill No.],$B138),SUMIFS('Other Sale'!$D:$D,'Other Sale'!$E:$E,$M$3,'Other Sale'!$C:$C,$J138,'Other Sale'!$A:$A,$A138)))))</f>
        <v/>
      </c>
      <c r="F138" s="347" t="str" cm="1">
        <f t="array" ref="F138">IF($A138="","",IF($J138="Payment",IFERROR(INDEX(_xlfn._xlws.FILTER(MasterPaid[Amount Paid],(MasterPaid[Customer]=$M$3)*(MasterPaid[Date]=$A138)),COUNTIFS($A$6:$A138,$A138,$J$6:$J138,"Payment")),0),0))</f>
        <v/>
      </c>
      <c r="G138" s="331"/>
      <c r="H138" s="427"/>
      <c r="I138" s="330" t="str">
        <f t="shared" si="11"/>
        <v/>
      </c>
      <c r="J138" s="344" t="str" cm="1">
        <f t="array" ref="J138">IFERROR(INDEX(_xlfn.ANCHORARRAY($P$6),ROW()-5,3),"")</f>
        <v/>
      </c>
      <c r="K138" s="432" t="str" cm="1">
        <f t="array" ref="K138">IF(OR($A138="",$J138&lt;&gt;"DIESEL"),"",_xlfn.LET(_xlpm.qty,N($C138),_xlpm.pos,$T$5:$T$54,_xlpm.alo,IF($U$5:$U$54="",0,$U$5:$U$54),_xlpm.usd,SUMIFS($C$6:$C137,$K$6:$K137,_xlpm.pos&amp;""),_xlpm.bal,_xlpm.alo-_xlpm.usd,IFERROR(INDEX(_xlfn._xlws.FILTER(_xlpm.pos,(_xlpm.pos&lt;&gt;"")*(_xlpm.qty&gt;0)*(_xlpm.bal&gt;=_xlpm.qty)),1),"")))</f>
        <v/>
      </c>
      <c r="L138" s="348"/>
    </row>
    <row r="139" spans="1:12" ht="23" x14ac:dyDescent="0.25">
      <c r="A139" s="217" t="str" cm="1">
        <f t="array" ref="A139">IFERROR(INDEX(_xlfn.ANCHORARRAY($P$6),ROW()-5,1),"")</f>
        <v/>
      </c>
      <c r="B139" s="344" t="str" cm="1">
        <f t="array" ref="B139">IFERROR(INDEX(_xlfn.ANCHORARRAY($P$6),ROW()-5,2),"")</f>
        <v/>
      </c>
      <c r="C139" s="345" t="str">
        <f>IF($A139="","",IF($J139="DIESEL",SUMIFS(Table1[Quantity],Table1[Customer],$M$3,Table1[Date],$A139,Table1[Bill No.],$B139),IF($J139="PETROL",SUMIFS(Table14[Quantity],Table14[Customer],$M$3,Table14[Date],$A139,Table14[Bill No.],$B139),IF($J139="XtraGreen",SUMIFS(Table146[Quantity],Table146[Company],$M$3,Table146[Date],$A139,Table146[Bill No.],$B139),""))))</f>
        <v/>
      </c>
      <c r="D139" s="346" t="str">
        <f>IF($A139="","",IF($J139="DIESEL",AVERAGEIFS(Table1[RSP],Table1[Customer],$M$3,Table1[Date],$A139,Table1[Bill No.],$B139),IF($J139="PETROL",AVERAGEIFS(Table14[RSP],Table14[Customer],$M$3,Table14[Date],$A139,Table14[Bill No.],$B139),IF($J139="XtraGreen",AVERAGEIFS(Table146[RSP],Table146[Company],$M$3,Table146[Date],$A139,Table146[Bill No.],$B139),IFERROR($E139/$C139,"")))))</f>
        <v/>
      </c>
      <c r="E139" s="347" t="str">
        <f>IF($A139="","",IF($J139="DIESEL",SUMIFS(Table1[Amount],Table1[Customer],$M$3,Table1[Date],$A139,Table1[Bill No.],$B139),IF($J139="PETROL",SUMIFS(Table14[Amount],Table14[Customer],$M$3,Table14[Date],$A139,Table14[Bill No.],$B139),IF($J139="XtraGreen",SUMIFS(Table146[Amount],Table146[Company],$M$3,Table146[Date],$A139,Table146[Bill No.],$B139),SUMIFS('Other Sale'!$D:$D,'Other Sale'!$E:$E,$M$3,'Other Sale'!$C:$C,$J139,'Other Sale'!$A:$A,$A139)))))</f>
        <v/>
      </c>
      <c r="F139" s="347" t="str" cm="1">
        <f t="array" ref="F139">IF($A139="","",IF($J139="Payment",IFERROR(INDEX(_xlfn._xlws.FILTER(MasterPaid[Amount Paid],(MasterPaid[Customer]=$M$3)*(MasterPaid[Date]=$A139)),COUNTIFS($A$6:$A139,$A139,$J$6:$J139,"Payment")),0),0))</f>
        <v/>
      </c>
      <c r="G139" s="331"/>
      <c r="H139" s="427"/>
      <c r="I139" s="330" t="str">
        <f t="shared" si="11"/>
        <v/>
      </c>
      <c r="J139" s="344" t="str" cm="1">
        <f t="array" ref="J139">IFERROR(INDEX(_xlfn.ANCHORARRAY($P$6),ROW()-5,3),"")</f>
        <v/>
      </c>
      <c r="K139" s="432" t="str" cm="1">
        <f t="array" ref="K139">IF(OR($A139="",$J139&lt;&gt;"DIESEL"),"",_xlfn.LET(_xlpm.qty,N($C139),_xlpm.pos,$T$5:$T$54,_xlpm.alo,IF($U$5:$U$54="",0,$U$5:$U$54),_xlpm.usd,SUMIFS($C$6:$C138,$K$6:$K138,_xlpm.pos&amp;""),_xlpm.bal,_xlpm.alo-_xlpm.usd,IFERROR(INDEX(_xlfn._xlws.FILTER(_xlpm.pos,(_xlpm.pos&lt;&gt;"")*(_xlpm.qty&gt;0)*(_xlpm.bal&gt;=_xlpm.qty)),1),"")))</f>
        <v/>
      </c>
      <c r="L139" s="348"/>
    </row>
    <row r="140" spans="1:12" ht="23" x14ac:dyDescent="0.25">
      <c r="A140" s="217" t="str" cm="1">
        <f t="array" ref="A140">IFERROR(INDEX(_xlfn.ANCHORARRAY($P$6),ROW()-5,1),"")</f>
        <v/>
      </c>
      <c r="B140" s="344" t="str" cm="1">
        <f t="array" ref="B140">IFERROR(INDEX(_xlfn.ANCHORARRAY($P$6),ROW()-5,2),"")</f>
        <v/>
      </c>
      <c r="C140" s="345" t="str">
        <f>IF($A140="","",IF($J140="DIESEL",SUMIFS(Table1[Quantity],Table1[Customer],$M$3,Table1[Date],$A140,Table1[Bill No.],$B140),IF($J140="PETROL",SUMIFS(Table14[Quantity],Table14[Customer],$M$3,Table14[Date],$A140,Table14[Bill No.],$B140),IF($J140="XtraGreen",SUMIFS(Table146[Quantity],Table146[Company],$M$3,Table146[Date],$A140,Table146[Bill No.],$B140),""))))</f>
        <v/>
      </c>
      <c r="D140" s="346" t="str">
        <f>IF($A140="","",IF($J140="DIESEL",AVERAGEIFS(Table1[RSP],Table1[Customer],$M$3,Table1[Date],$A140,Table1[Bill No.],$B140),IF($J140="PETROL",AVERAGEIFS(Table14[RSP],Table14[Customer],$M$3,Table14[Date],$A140,Table14[Bill No.],$B140),IF($J140="XtraGreen",AVERAGEIFS(Table146[RSP],Table146[Company],$M$3,Table146[Date],$A140,Table146[Bill No.],$B140),IFERROR($E140/$C140,"")))))</f>
        <v/>
      </c>
      <c r="E140" s="347" t="str">
        <f>IF($A140="","",IF($J140="DIESEL",SUMIFS(Table1[Amount],Table1[Customer],$M$3,Table1[Date],$A140,Table1[Bill No.],$B140),IF($J140="PETROL",SUMIFS(Table14[Amount],Table14[Customer],$M$3,Table14[Date],$A140,Table14[Bill No.],$B140),IF($J140="XtraGreen",SUMIFS(Table146[Amount],Table146[Company],$M$3,Table146[Date],$A140,Table146[Bill No.],$B140),SUMIFS('Other Sale'!$D:$D,'Other Sale'!$E:$E,$M$3,'Other Sale'!$C:$C,$J140,'Other Sale'!$A:$A,$A140)))))</f>
        <v/>
      </c>
      <c r="F140" s="347" t="str" cm="1">
        <f t="array" ref="F140">IF($A140="","",IF($J140="Payment",IFERROR(INDEX(_xlfn._xlws.FILTER(MasterPaid[Amount Paid],(MasterPaid[Customer]=$M$3)*(MasterPaid[Date]=$A140)),COUNTIFS($A$6:$A140,$A140,$J$6:$J140,"Payment")),0),0))</f>
        <v/>
      </c>
      <c r="G140" s="331"/>
      <c r="H140" s="427"/>
      <c r="I140" s="330" t="str">
        <f t="shared" si="11"/>
        <v/>
      </c>
      <c r="J140" s="344" t="str" cm="1">
        <f t="array" ref="J140">IFERROR(INDEX(_xlfn.ANCHORARRAY($P$6),ROW()-5,3),"")</f>
        <v/>
      </c>
      <c r="K140" s="432" t="str" cm="1">
        <f t="array" ref="K140">IF(OR($A140="",$J140&lt;&gt;"DIESEL"),"",_xlfn.LET(_xlpm.qty,N($C140),_xlpm.pos,$T$5:$T$54,_xlpm.alo,IF($U$5:$U$54="",0,$U$5:$U$54),_xlpm.usd,SUMIFS($C$6:$C139,$K$6:$K139,_xlpm.pos&amp;""),_xlpm.bal,_xlpm.alo-_xlpm.usd,IFERROR(INDEX(_xlfn._xlws.FILTER(_xlpm.pos,(_xlpm.pos&lt;&gt;"")*(_xlpm.qty&gt;0)*(_xlpm.bal&gt;=_xlpm.qty)),1),"")))</f>
        <v/>
      </c>
      <c r="L140" s="348"/>
    </row>
    <row r="141" spans="1:12" ht="23" x14ac:dyDescent="0.25">
      <c r="A141" s="217" t="str" cm="1">
        <f t="array" ref="A141">IFERROR(INDEX(_xlfn.ANCHORARRAY($P$6),ROW()-5,1),"")</f>
        <v/>
      </c>
      <c r="B141" s="344" t="str" cm="1">
        <f t="array" ref="B141">IFERROR(INDEX(_xlfn.ANCHORARRAY($P$6),ROW()-5,2),"")</f>
        <v/>
      </c>
      <c r="C141" s="345" t="str">
        <f>IF($A141="","",IF($J141="DIESEL",SUMIFS(Table1[Quantity],Table1[Customer],$M$3,Table1[Date],$A141,Table1[Bill No.],$B141),IF($J141="PETROL",SUMIFS(Table14[Quantity],Table14[Customer],$M$3,Table14[Date],$A141,Table14[Bill No.],$B141),IF($J141="XtraGreen",SUMIFS(Table146[Quantity],Table146[Company],$M$3,Table146[Date],$A141,Table146[Bill No.],$B141),""))))</f>
        <v/>
      </c>
      <c r="D141" s="346" t="str">
        <f>IF($A141="","",IF($J141="DIESEL",AVERAGEIFS(Table1[RSP],Table1[Customer],$M$3,Table1[Date],$A141,Table1[Bill No.],$B141),IF($J141="PETROL",AVERAGEIFS(Table14[RSP],Table14[Customer],$M$3,Table14[Date],$A141,Table14[Bill No.],$B141),IF($J141="XtraGreen",AVERAGEIFS(Table146[RSP],Table146[Company],$M$3,Table146[Date],$A141,Table146[Bill No.],$B141),IFERROR($E141/$C141,"")))))</f>
        <v/>
      </c>
      <c r="E141" s="347" t="str">
        <f>IF($A141="","",IF($J141="DIESEL",SUMIFS(Table1[Amount],Table1[Customer],$M$3,Table1[Date],$A141,Table1[Bill No.],$B141),IF($J141="PETROL",SUMIFS(Table14[Amount],Table14[Customer],$M$3,Table14[Date],$A141,Table14[Bill No.],$B141),IF($J141="XtraGreen",SUMIFS(Table146[Amount],Table146[Company],$M$3,Table146[Date],$A141,Table146[Bill No.],$B141),SUMIFS('Other Sale'!$D:$D,'Other Sale'!$E:$E,$M$3,'Other Sale'!$C:$C,$J141,'Other Sale'!$A:$A,$A141)))))</f>
        <v/>
      </c>
      <c r="F141" s="347" t="str" cm="1">
        <f t="array" ref="F141">IF($A141="","",IF($J141="Payment",IFERROR(INDEX(_xlfn._xlws.FILTER(MasterPaid[Amount Paid],(MasterPaid[Customer]=$M$3)*(MasterPaid[Date]=$A141)),COUNTIFS($A$6:$A141,$A141,$J$6:$J141,"Payment")),0),0))</f>
        <v/>
      </c>
      <c r="G141" s="331"/>
      <c r="H141" s="427"/>
      <c r="I141" s="330" t="str">
        <f t="shared" si="11"/>
        <v/>
      </c>
      <c r="J141" s="344" t="str" cm="1">
        <f t="array" ref="J141">IFERROR(INDEX(_xlfn.ANCHORARRAY($P$6),ROW()-5,3),"")</f>
        <v/>
      </c>
      <c r="K141" s="432" t="str" cm="1">
        <f t="array" ref="K141">IF(OR($A141="",$J141&lt;&gt;"DIESEL"),"",_xlfn.LET(_xlpm.qty,N($C141),_xlpm.pos,$T$5:$T$54,_xlpm.alo,IF($U$5:$U$54="",0,$U$5:$U$54),_xlpm.usd,SUMIFS($C$6:$C140,$K$6:$K140,_xlpm.pos&amp;""),_xlpm.bal,_xlpm.alo-_xlpm.usd,IFERROR(INDEX(_xlfn._xlws.FILTER(_xlpm.pos,(_xlpm.pos&lt;&gt;"")*(_xlpm.qty&gt;0)*(_xlpm.bal&gt;=_xlpm.qty)),1),"")))</f>
        <v/>
      </c>
      <c r="L141" s="348"/>
    </row>
    <row r="142" spans="1:12" ht="23" x14ac:dyDescent="0.25">
      <c r="A142" s="217" t="str" cm="1">
        <f t="array" ref="A142">IFERROR(INDEX(_xlfn.ANCHORARRAY($P$6),ROW()-5,1),"")</f>
        <v/>
      </c>
      <c r="B142" s="344" t="str" cm="1">
        <f t="array" ref="B142">IFERROR(INDEX(_xlfn.ANCHORARRAY($P$6),ROW()-5,2),"")</f>
        <v/>
      </c>
      <c r="C142" s="345" t="str">
        <f>IF($A142="","",IF($J142="DIESEL",SUMIFS(Table1[Quantity],Table1[Customer],$M$3,Table1[Date],$A142,Table1[Bill No.],$B142),IF($J142="PETROL",SUMIFS(Table14[Quantity],Table14[Customer],$M$3,Table14[Date],$A142,Table14[Bill No.],$B142),IF($J142="XtraGreen",SUMIFS(Table146[Quantity],Table146[Company],$M$3,Table146[Date],$A142,Table146[Bill No.],$B142),""))))</f>
        <v/>
      </c>
      <c r="D142" s="346" t="str">
        <f>IF($A142="","",IF($J142="DIESEL",AVERAGEIFS(Table1[RSP],Table1[Customer],$M$3,Table1[Date],$A142,Table1[Bill No.],$B142),IF($J142="PETROL",AVERAGEIFS(Table14[RSP],Table14[Customer],$M$3,Table14[Date],$A142,Table14[Bill No.],$B142),IF($J142="XtraGreen",AVERAGEIFS(Table146[RSP],Table146[Company],$M$3,Table146[Date],$A142,Table146[Bill No.],$B142),IFERROR($E142/$C142,"")))))</f>
        <v/>
      </c>
      <c r="E142" s="347" t="str">
        <f>IF($A142="","",IF($J142="DIESEL",SUMIFS(Table1[Amount],Table1[Customer],$M$3,Table1[Date],$A142,Table1[Bill No.],$B142),IF($J142="PETROL",SUMIFS(Table14[Amount],Table14[Customer],$M$3,Table14[Date],$A142,Table14[Bill No.],$B142),IF($J142="XtraGreen",SUMIFS(Table146[Amount],Table146[Company],$M$3,Table146[Date],$A142,Table146[Bill No.],$B142),SUMIFS('Other Sale'!$D:$D,'Other Sale'!$E:$E,$M$3,'Other Sale'!$C:$C,$J142,'Other Sale'!$A:$A,$A142)))))</f>
        <v/>
      </c>
      <c r="F142" s="347" t="str" cm="1">
        <f t="array" ref="F142">IF($A142="","",IF($J142="Payment",IFERROR(INDEX(_xlfn._xlws.FILTER(MasterPaid[Amount Paid],(MasterPaid[Customer]=$M$3)*(MasterPaid[Date]=$A142)),COUNTIFS($A$6:$A142,$A142,$J$6:$J142,"Payment")),0),0))</f>
        <v/>
      </c>
      <c r="G142" s="331"/>
      <c r="H142" s="427"/>
      <c r="I142" s="330" t="str">
        <f t="shared" si="11"/>
        <v/>
      </c>
      <c r="J142" s="344" t="str" cm="1">
        <f t="array" ref="J142">IFERROR(INDEX(_xlfn.ANCHORARRAY($P$6),ROW()-5,3),"")</f>
        <v/>
      </c>
      <c r="K142" s="432" t="str" cm="1">
        <f t="array" ref="K142">IF(OR($A142="",$J142&lt;&gt;"DIESEL"),"",_xlfn.LET(_xlpm.qty,N($C142),_xlpm.pos,$T$5:$T$54,_xlpm.alo,IF($U$5:$U$54="",0,$U$5:$U$54),_xlpm.usd,SUMIFS($C$6:$C141,$K$6:$K141,_xlpm.pos&amp;""),_xlpm.bal,_xlpm.alo-_xlpm.usd,IFERROR(INDEX(_xlfn._xlws.FILTER(_xlpm.pos,(_xlpm.pos&lt;&gt;"")*(_xlpm.qty&gt;0)*(_xlpm.bal&gt;=_xlpm.qty)),1),"")))</f>
        <v/>
      </c>
      <c r="L142" s="348"/>
    </row>
    <row r="143" spans="1:12" ht="23" x14ac:dyDescent="0.25">
      <c r="A143" s="217" t="str" cm="1">
        <f t="array" ref="A143">IFERROR(INDEX(_xlfn.ANCHORARRAY($P$6),ROW()-5,1),"")</f>
        <v/>
      </c>
      <c r="B143" s="344" t="str" cm="1">
        <f t="array" ref="B143">IFERROR(INDEX(_xlfn.ANCHORARRAY($P$6),ROW()-5,2),"")</f>
        <v/>
      </c>
      <c r="C143" s="345" t="str">
        <f>IF($A143="","",IF($J143="DIESEL",SUMIFS(Table1[Quantity],Table1[Customer],$M$3,Table1[Date],$A143,Table1[Bill No.],$B143),IF($J143="PETROL",SUMIFS(Table14[Quantity],Table14[Customer],$M$3,Table14[Date],$A143,Table14[Bill No.],$B143),IF($J143="XtraGreen",SUMIFS(Table146[Quantity],Table146[Company],$M$3,Table146[Date],$A143,Table146[Bill No.],$B143),""))))</f>
        <v/>
      </c>
      <c r="D143" s="346" t="str">
        <f>IF($A143="","",IF($J143="DIESEL",AVERAGEIFS(Table1[RSP],Table1[Customer],$M$3,Table1[Date],$A143,Table1[Bill No.],$B143),IF($J143="PETROL",AVERAGEIFS(Table14[RSP],Table14[Customer],$M$3,Table14[Date],$A143,Table14[Bill No.],$B143),IF($J143="XtraGreen",AVERAGEIFS(Table146[RSP],Table146[Company],$M$3,Table146[Date],$A143,Table146[Bill No.],$B143),IFERROR($E143/$C143,"")))))</f>
        <v/>
      </c>
      <c r="E143" s="347" t="str">
        <f>IF($A143="","",IF($J143="DIESEL",SUMIFS(Table1[Amount],Table1[Customer],$M$3,Table1[Date],$A143,Table1[Bill No.],$B143),IF($J143="PETROL",SUMIFS(Table14[Amount],Table14[Customer],$M$3,Table14[Date],$A143,Table14[Bill No.],$B143),IF($J143="XtraGreen",SUMIFS(Table146[Amount],Table146[Company],$M$3,Table146[Date],$A143,Table146[Bill No.],$B143),SUMIFS('Other Sale'!$D:$D,'Other Sale'!$E:$E,$M$3,'Other Sale'!$C:$C,$J143,'Other Sale'!$A:$A,$A143)))))</f>
        <v/>
      </c>
      <c r="F143" s="347" t="str" cm="1">
        <f t="array" ref="F143">IF($A143="","",IF($J143="Payment",IFERROR(INDEX(_xlfn._xlws.FILTER(MasterPaid[Amount Paid],(MasterPaid[Customer]=$M$3)*(MasterPaid[Date]=$A143)),COUNTIFS($A$6:$A143,$A143,$J$6:$J143,"Payment")),0),0))</f>
        <v/>
      </c>
      <c r="G143" s="331"/>
      <c r="H143" s="427"/>
      <c r="I143" s="330" t="str">
        <f t="shared" si="11"/>
        <v/>
      </c>
      <c r="J143" s="344" t="str" cm="1">
        <f t="array" ref="J143">IFERROR(INDEX(_xlfn.ANCHORARRAY($P$6),ROW()-5,3),"")</f>
        <v/>
      </c>
      <c r="K143" s="432" t="str" cm="1">
        <f t="array" ref="K143">IF(OR($A143="",$J143&lt;&gt;"DIESEL"),"",_xlfn.LET(_xlpm.qty,N($C143),_xlpm.pos,$T$5:$T$54,_xlpm.alo,IF($U$5:$U$54="",0,$U$5:$U$54),_xlpm.usd,SUMIFS($C$6:$C142,$K$6:$K142,_xlpm.pos&amp;""),_xlpm.bal,_xlpm.alo-_xlpm.usd,IFERROR(INDEX(_xlfn._xlws.FILTER(_xlpm.pos,(_xlpm.pos&lt;&gt;"")*(_xlpm.qty&gt;0)*(_xlpm.bal&gt;=_xlpm.qty)),1),"")))</f>
        <v/>
      </c>
      <c r="L143" s="348"/>
    </row>
    <row r="144" spans="1:12" ht="23" x14ac:dyDescent="0.25">
      <c r="A144" s="217" t="str" cm="1">
        <f t="array" ref="A144">IFERROR(INDEX(_xlfn.ANCHORARRAY($P$6),ROW()-5,1),"")</f>
        <v/>
      </c>
      <c r="B144" s="344" t="str" cm="1">
        <f t="array" ref="B144">IFERROR(INDEX(_xlfn.ANCHORARRAY($P$6),ROW()-5,2),"")</f>
        <v/>
      </c>
      <c r="C144" s="345" t="str">
        <f>IF($A144="","",IF($J144="DIESEL",SUMIFS(Table1[Quantity],Table1[Customer],$M$3,Table1[Date],$A144,Table1[Bill No.],$B144),IF($J144="PETROL",SUMIFS(Table14[Quantity],Table14[Customer],$M$3,Table14[Date],$A144,Table14[Bill No.],$B144),IF($J144="XtraGreen",SUMIFS(Table146[Quantity],Table146[Company],$M$3,Table146[Date],$A144,Table146[Bill No.],$B144),""))))</f>
        <v/>
      </c>
      <c r="D144" s="346" t="str">
        <f>IF($A144="","",IF($J144="DIESEL",AVERAGEIFS(Table1[RSP],Table1[Customer],$M$3,Table1[Date],$A144,Table1[Bill No.],$B144),IF($J144="PETROL",AVERAGEIFS(Table14[RSP],Table14[Customer],$M$3,Table14[Date],$A144,Table14[Bill No.],$B144),IF($J144="XtraGreen",AVERAGEIFS(Table146[RSP],Table146[Company],$M$3,Table146[Date],$A144,Table146[Bill No.],$B144),IFERROR($E144/$C144,"")))))</f>
        <v/>
      </c>
      <c r="E144" s="347" t="str">
        <f>IF($A144="","",IF($J144="DIESEL",SUMIFS(Table1[Amount],Table1[Customer],$M$3,Table1[Date],$A144,Table1[Bill No.],$B144),IF($J144="PETROL",SUMIFS(Table14[Amount],Table14[Customer],$M$3,Table14[Date],$A144,Table14[Bill No.],$B144),IF($J144="XtraGreen",SUMIFS(Table146[Amount],Table146[Company],$M$3,Table146[Date],$A144,Table146[Bill No.],$B144),SUMIFS('Other Sale'!$D:$D,'Other Sale'!$E:$E,$M$3,'Other Sale'!$C:$C,$J144,'Other Sale'!$A:$A,$A144)))))</f>
        <v/>
      </c>
      <c r="F144" s="347" t="str" cm="1">
        <f t="array" ref="F144">IF($A144="","",IF($J144="Payment",IFERROR(INDEX(_xlfn._xlws.FILTER(MasterPaid[Amount Paid],(MasterPaid[Customer]=$M$3)*(MasterPaid[Date]=$A144)),COUNTIFS($A$6:$A144,$A144,$J$6:$J144,"Payment")),0),0))</f>
        <v/>
      </c>
      <c r="G144" s="331"/>
      <c r="H144" s="427"/>
      <c r="I144" s="330" t="str">
        <f t="shared" si="11"/>
        <v/>
      </c>
      <c r="J144" s="344" t="str" cm="1">
        <f t="array" ref="J144">IFERROR(INDEX(_xlfn.ANCHORARRAY($P$6),ROW()-5,3),"")</f>
        <v/>
      </c>
      <c r="K144" s="432" t="str" cm="1">
        <f t="array" ref="K144">IF(OR($A144="",$J144&lt;&gt;"DIESEL"),"",_xlfn.LET(_xlpm.qty,N($C144),_xlpm.pos,$T$5:$T$54,_xlpm.alo,IF($U$5:$U$54="",0,$U$5:$U$54),_xlpm.usd,SUMIFS($C$6:$C143,$K$6:$K143,_xlpm.pos&amp;""),_xlpm.bal,_xlpm.alo-_xlpm.usd,IFERROR(INDEX(_xlfn._xlws.FILTER(_xlpm.pos,(_xlpm.pos&lt;&gt;"")*(_xlpm.qty&gt;0)*(_xlpm.bal&gt;=_xlpm.qty)),1),"")))</f>
        <v/>
      </c>
      <c r="L144" s="348"/>
    </row>
    <row r="145" spans="1:12" ht="23" x14ac:dyDescent="0.25">
      <c r="A145" s="217" t="str" cm="1">
        <f t="array" ref="A145">IFERROR(INDEX(_xlfn.ANCHORARRAY($P$6),ROW()-5,1),"")</f>
        <v/>
      </c>
      <c r="B145" s="344" t="str" cm="1">
        <f t="array" ref="B145">IFERROR(INDEX(_xlfn.ANCHORARRAY($P$6),ROW()-5,2),"")</f>
        <v/>
      </c>
      <c r="C145" s="345" t="str">
        <f>IF($A145="","",IF($J145="DIESEL",SUMIFS(Table1[Quantity],Table1[Customer],$M$3,Table1[Date],$A145,Table1[Bill No.],$B145),IF($J145="PETROL",SUMIFS(Table14[Quantity],Table14[Customer],$M$3,Table14[Date],$A145,Table14[Bill No.],$B145),IF($J145="XtraGreen",SUMIFS(Table146[Quantity],Table146[Company],$M$3,Table146[Date],$A145,Table146[Bill No.],$B145),""))))</f>
        <v/>
      </c>
      <c r="D145" s="346" t="str">
        <f>IF($A145="","",IF($J145="DIESEL",AVERAGEIFS(Table1[RSP],Table1[Customer],$M$3,Table1[Date],$A145,Table1[Bill No.],$B145),IF($J145="PETROL",AVERAGEIFS(Table14[RSP],Table14[Customer],$M$3,Table14[Date],$A145,Table14[Bill No.],$B145),IF($J145="XtraGreen",AVERAGEIFS(Table146[RSP],Table146[Company],$M$3,Table146[Date],$A145,Table146[Bill No.],$B145),IFERROR($E145/$C145,"")))))</f>
        <v/>
      </c>
      <c r="E145" s="347" t="str">
        <f>IF($A145="","",IF($J145="DIESEL",SUMIFS(Table1[Amount],Table1[Customer],$M$3,Table1[Date],$A145,Table1[Bill No.],$B145),IF($J145="PETROL",SUMIFS(Table14[Amount],Table14[Customer],$M$3,Table14[Date],$A145,Table14[Bill No.],$B145),IF($J145="XtraGreen",SUMIFS(Table146[Amount],Table146[Company],$M$3,Table146[Date],$A145,Table146[Bill No.],$B145),SUMIFS('Other Sale'!$D:$D,'Other Sale'!$E:$E,$M$3,'Other Sale'!$C:$C,$J145,'Other Sale'!$A:$A,$A145)))))</f>
        <v/>
      </c>
      <c r="F145" s="347" t="str" cm="1">
        <f t="array" ref="F145">IF($A145="","",IF($J145="Payment",IFERROR(INDEX(_xlfn._xlws.FILTER(MasterPaid[Amount Paid],(MasterPaid[Customer]=$M$3)*(MasterPaid[Date]=$A145)),COUNTIFS($A$6:$A145,$A145,$J$6:$J145,"Payment")),0),0))</f>
        <v/>
      </c>
      <c r="G145" s="331"/>
      <c r="H145" s="427"/>
      <c r="I145" s="330" t="str">
        <f t="shared" si="11"/>
        <v/>
      </c>
      <c r="J145" s="344" t="str" cm="1">
        <f t="array" ref="J145">IFERROR(INDEX(_xlfn.ANCHORARRAY($P$6),ROW()-5,3),"")</f>
        <v/>
      </c>
      <c r="K145" s="432" t="str" cm="1">
        <f t="array" ref="K145">IF(OR($A145="",$J145&lt;&gt;"DIESEL"),"",_xlfn.LET(_xlpm.qty,N($C145),_xlpm.pos,$T$5:$T$54,_xlpm.alo,IF($U$5:$U$54="",0,$U$5:$U$54),_xlpm.usd,SUMIFS($C$6:$C144,$K$6:$K144,_xlpm.pos&amp;""),_xlpm.bal,_xlpm.alo-_xlpm.usd,IFERROR(INDEX(_xlfn._xlws.FILTER(_xlpm.pos,(_xlpm.pos&lt;&gt;"")*(_xlpm.qty&gt;0)*(_xlpm.bal&gt;=_xlpm.qty)),1),"")))</f>
        <v/>
      </c>
      <c r="L145" s="348"/>
    </row>
    <row r="146" spans="1:12" ht="23" x14ac:dyDescent="0.25">
      <c r="A146" s="217" t="str" cm="1">
        <f t="array" ref="A146">IFERROR(INDEX(_xlfn.ANCHORARRAY($P$6),ROW()-5,1),"")</f>
        <v/>
      </c>
      <c r="B146" s="344" t="str" cm="1">
        <f t="array" ref="B146">IFERROR(INDEX(_xlfn.ANCHORARRAY($P$6),ROW()-5,2),"")</f>
        <v/>
      </c>
      <c r="C146" s="345" t="str">
        <f>IF($A146="","",IF($J146="DIESEL",SUMIFS(Table1[Quantity],Table1[Customer],$M$3,Table1[Date],$A146,Table1[Bill No.],$B146),IF($J146="PETROL",SUMIFS(Table14[Quantity],Table14[Customer],$M$3,Table14[Date],$A146,Table14[Bill No.],$B146),IF($J146="XtraGreen",SUMIFS(Table146[Quantity],Table146[Company],$M$3,Table146[Date],$A146,Table146[Bill No.],$B146),""))))</f>
        <v/>
      </c>
      <c r="D146" s="346" t="str">
        <f>IF($A146="","",IF($J146="DIESEL",AVERAGEIFS(Table1[RSP],Table1[Customer],$M$3,Table1[Date],$A146,Table1[Bill No.],$B146),IF($J146="PETROL",AVERAGEIFS(Table14[RSP],Table14[Customer],$M$3,Table14[Date],$A146,Table14[Bill No.],$B146),IF($J146="XtraGreen",AVERAGEIFS(Table146[RSP],Table146[Company],$M$3,Table146[Date],$A146,Table146[Bill No.],$B146),IFERROR($E146/$C146,"")))))</f>
        <v/>
      </c>
      <c r="E146" s="347" t="str">
        <f>IF($A146="","",IF($J146="DIESEL",SUMIFS(Table1[Amount],Table1[Customer],$M$3,Table1[Date],$A146,Table1[Bill No.],$B146),IF($J146="PETROL",SUMIFS(Table14[Amount],Table14[Customer],$M$3,Table14[Date],$A146,Table14[Bill No.],$B146),IF($J146="XtraGreen",SUMIFS(Table146[Amount],Table146[Company],$M$3,Table146[Date],$A146,Table146[Bill No.],$B146),SUMIFS('Other Sale'!$D:$D,'Other Sale'!$E:$E,$M$3,'Other Sale'!$C:$C,$J146,'Other Sale'!$A:$A,$A146)))))</f>
        <v/>
      </c>
      <c r="F146" s="347" t="str" cm="1">
        <f t="array" ref="F146">IF($A146="","",IF($J146="Payment",IFERROR(INDEX(_xlfn._xlws.FILTER(MasterPaid[Amount Paid],(MasterPaid[Customer]=$M$3)*(MasterPaid[Date]=$A146)),COUNTIFS($A$6:$A146,$A146,$J$6:$J146,"Payment")),0),0))</f>
        <v/>
      </c>
      <c r="G146" s="331"/>
      <c r="H146" s="427"/>
      <c r="I146" s="330" t="str">
        <f t="shared" si="11"/>
        <v/>
      </c>
      <c r="J146" s="344" t="str" cm="1">
        <f t="array" ref="J146">IFERROR(INDEX(_xlfn.ANCHORARRAY($P$6),ROW()-5,3),"")</f>
        <v/>
      </c>
      <c r="K146" s="432" t="str" cm="1">
        <f t="array" ref="K146">IF(OR($A146="",$J146&lt;&gt;"DIESEL"),"",_xlfn.LET(_xlpm.qty,N($C146),_xlpm.pos,$T$5:$T$54,_xlpm.alo,IF($U$5:$U$54="",0,$U$5:$U$54),_xlpm.usd,SUMIFS($C$6:$C145,$K$6:$K145,_xlpm.pos&amp;""),_xlpm.bal,_xlpm.alo-_xlpm.usd,IFERROR(INDEX(_xlfn._xlws.FILTER(_xlpm.pos,(_xlpm.pos&lt;&gt;"")*(_xlpm.qty&gt;0)*(_xlpm.bal&gt;=_xlpm.qty)),1),"")))</f>
        <v/>
      </c>
      <c r="L146" s="348"/>
    </row>
    <row r="147" spans="1:12" ht="23" x14ac:dyDescent="0.25">
      <c r="A147" s="217" t="str" cm="1">
        <f t="array" ref="A147">IFERROR(INDEX(_xlfn.ANCHORARRAY($P$6),ROW()-5,1),"")</f>
        <v/>
      </c>
      <c r="B147" s="344" t="str" cm="1">
        <f t="array" ref="B147">IFERROR(INDEX(_xlfn.ANCHORARRAY($P$6),ROW()-5,2),"")</f>
        <v/>
      </c>
      <c r="C147" s="345" t="str">
        <f>IF($A147="","",IF($J147="DIESEL",SUMIFS(Table1[Quantity],Table1[Customer],$M$3,Table1[Date],$A147,Table1[Bill No.],$B147),IF($J147="PETROL",SUMIFS(Table14[Quantity],Table14[Customer],$M$3,Table14[Date],$A147,Table14[Bill No.],$B147),IF($J147="XtraGreen",SUMIFS(Table146[Quantity],Table146[Company],$M$3,Table146[Date],$A147,Table146[Bill No.],$B147),""))))</f>
        <v/>
      </c>
      <c r="D147" s="346" t="str">
        <f>IF($A147="","",IF($J147="DIESEL",AVERAGEIFS(Table1[RSP],Table1[Customer],$M$3,Table1[Date],$A147,Table1[Bill No.],$B147),IF($J147="PETROL",AVERAGEIFS(Table14[RSP],Table14[Customer],$M$3,Table14[Date],$A147,Table14[Bill No.],$B147),IF($J147="XtraGreen",AVERAGEIFS(Table146[RSP],Table146[Company],$M$3,Table146[Date],$A147,Table146[Bill No.],$B147),IFERROR($E147/$C147,"")))))</f>
        <v/>
      </c>
      <c r="E147" s="347" t="str">
        <f>IF($A147="","",IF($J147="DIESEL",SUMIFS(Table1[Amount],Table1[Customer],$M$3,Table1[Date],$A147,Table1[Bill No.],$B147),IF($J147="PETROL",SUMIFS(Table14[Amount],Table14[Customer],$M$3,Table14[Date],$A147,Table14[Bill No.],$B147),IF($J147="XtraGreen",SUMIFS(Table146[Amount],Table146[Company],$M$3,Table146[Date],$A147,Table146[Bill No.],$B147),SUMIFS('Other Sale'!$D:$D,'Other Sale'!$E:$E,$M$3,'Other Sale'!$C:$C,$J147,'Other Sale'!$A:$A,$A147)))))</f>
        <v/>
      </c>
      <c r="F147" s="347" t="str" cm="1">
        <f t="array" ref="F147">IF($A147="","",IF($J147="Payment",IFERROR(INDEX(_xlfn._xlws.FILTER(MasterPaid[Amount Paid],(MasterPaid[Customer]=$M$3)*(MasterPaid[Date]=$A147)),COUNTIFS($A$6:$A147,$A147,$J$6:$J147,"Payment")),0),0))</f>
        <v/>
      </c>
      <c r="G147" s="331"/>
      <c r="H147" s="427"/>
      <c r="I147" s="330" t="str">
        <f t="shared" si="11"/>
        <v/>
      </c>
      <c r="J147" s="344" t="str" cm="1">
        <f t="array" ref="J147">IFERROR(INDEX(_xlfn.ANCHORARRAY($P$6),ROW()-5,3),"")</f>
        <v/>
      </c>
      <c r="K147" s="432" t="str" cm="1">
        <f t="array" ref="K147">IF(OR($A147="",$J147&lt;&gt;"DIESEL"),"",_xlfn.LET(_xlpm.qty,N($C147),_xlpm.pos,$T$5:$T$54,_xlpm.alo,IF($U$5:$U$54="",0,$U$5:$U$54),_xlpm.usd,SUMIFS($C$6:$C146,$K$6:$K146,_xlpm.pos&amp;""),_xlpm.bal,_xlpm.alo-_xlpm.usd,IFERROR(INDEX(_xlfn._xlws.FILTER(_xlpm.pos,(_xlpm.pos&lt;&gt;"")*(_xlpm.qty&gt;0)*(_xlpm.bal&gt;=_xlpm.qty)),1),"")))</f>
        <v/>
      </c>
      <c r="L147" s="348"/>
    </row>
    <row r="148" spans="1:12" ht="23" x14ac:dyDescent="0.25">
      <c r="A148" s="217" t="str" cm="1">
        <f t="array" ref="A148">IFERROR(INDEX(_xlfn.ANCHORARRAY($P$6),ROW()-5,1),"")</f>
        <v/>
      </c>
      <c r="B148" s="344" t="str" cm="1">
        <f t="array" ref="B148">IFERROR(INDEX(_xlfn.ANCHORARRAY($P$6),ROW()-5,2),"")</f>
        <v/>
      </c>
      <c r="C148" s="345" t="str">
        <f>IF($A148="","",IF($J148="DIESEL",SUMIFS(Table1[Quantity],Table1[Customer],$M$3,Table1[Date],$A148,Table1[Bill No.],$B148),IF($J148="PETROL",SUMIFS(Table14[Quantity],Table14[Customer],$M$3,Table14[Date],$A148,Table14[Bill No.],$B148),IF($J148="XtraGreen",SUMIFS(Table146[Quantity],Table146[Company],$M$3,Table146[Date],$A148,Table146[Bill No.],$B148),""))))</f>
        <v/>
      </c>
      <c r="D148" s="346" t="str">
        <f>IF($A148="","",IF($J148="DIESEL",AVERAGEIFS(Table1[RSP],Table1[Customer],$M$3,Table1[Date],$A148,Table1[Bill No.],$B148),IF($J148="PETROL",AVERAGEIFS(Table14[RSP],Table14[Customer],$M$3,Table14[Date],$A148,Table14[Bill No.],$B148),IF($J148="XtraGreen",AVERAGEIFS(Table146[RSP],Table146[Company],$M$3,Table146[Date],$A148,Table146[Bill No.],$B148),IFERROR($E148/$C148,"")))))</f>
        <v/>
      </c>
      <c r="E148" s="347" t="str">
        <f>IF($A148="","",IF($J148="DIESEL",SUMIFS(Table1[Amount],Table1[Customer],$M$3,Table1[Date],$A148,Table1[Bill No.],$B148),IF($J148="PETROL",SUMIFS(Table14[Amount],Table14[Customer],$M$3,Table14[Date],$A148,Table14[Bill No.],$B148),IF($J148="XtraGreen",SUMIFS(Table146[Amount],Table146[Company],$M$3,Table146[Date],$A148,Table146[Bill No.],$B148),SUMIFS('Other Sale'!$D:$D,'Other Sale'!$E:$E,$M$3,'Other Sale'!$C:$C,$J148,'Other Sale'!$A:$A,$A148)))))</f>
        <v/>
      </c>
      <c r="F148" s="347" t="str" cm="1">
        <f t="array" ref="F148">IF($A148="","",IF($J148="Payment",IFERROR(INDEX(_xlfn._xlws.FILTER(MasterPaid[Amount Paid],(MasterPaid[Customer]=$M$3)*(MasterPaid[Date]=$A148)),COUNTIFS($A$6:$A148,$A148,$J$6:$J148,"Payment")),0),0))</f>
        <v/>
      </c>
      <c r="G148" s="331"/>
      <c r="H148" s="427"/>
      <c r="I148" s="330" t="str">
        <f t="shared" si="11"/>
        <v/>
      </c>
      <c r="J148" s="344" t="str" cm="1">
        <f t="array" ref="J148">IFERROR(INDEX(_xlfn.ANCHORARRAY($P$6),ROW()-5,3),"")</f>
        <v/>
      </c>
      <c r="K148" s="432" t="str" cm="1">
        <f t="array" ref="K148">IF(OR($A148="",$J148&lt;&gt;"DIESEL"),"",_xlfn.LET(_xlpm.qty,N($C148),_xlpm.pos,$T$5:$T$54,_xlpm.alo,IF($U$5:$U$54="",0,$U$5:$U$54),_xlpm.usd,SUMIFS($C$6:$C147,$K$6:$K147,_xlpm.pos&amp;""),_xlpm.bal,_xlpm.alo-_xlpm.usd,IFERROR(INDEX(_xlfn._xlws.FILTER(_xlpm.pos,(_xlpm.pos&lt;&gt;"")*(_xlpm.qty&gt;0)*(_xlpm.bal&gt;=_xlpm.qty)),1),"")))</f>
        <v/>
      </c>
      <c r="L148" s="348"/>
    </row>
    <row r="149" spans="1:12" ht="23" x14ac:dyDescent="0.25">
      <c r="A149" s="217" t="str" cm="1">
        <f t="array" ref="A149">IFERROR(INDEX(_xlfn.ANCHORARRAY($P$6),ROW()-5,1),"")</f>
        <v/>
      </c>
      <c r="B149" s="344" t="str" cm="1">
        <f t="array" ref="B149">IFERROR(INDEX(_xlfn.ANCHORARRAY($P$6),ROW()-5,2),"")</f>
        <v/>
      </c>
      <c r="C149" s="345" t="str">
        <f>IF($A149="","",IF($J149="DIESEL",SUMIFS(Table1[Quantity],Table1[Customer],$M$3,Table1[Date],$A149,Table1[Bill No.],$B149),IF($J149="PETROL",SUMIFS(Table14[Quantity],Table14[Customer],$M$3,Table14[Date],$A149,Table14[Bill No.],$B149),IF($J149="XtraGreen",SUMIFS(Table146[Quantity],Table146[Company],$M$3,Table146[Date],$A149,Table146[Bill No.],$B149),""))))</f>
        <v/>
      </c>
      <c r="D149" s="346" t="str">
        <f>IF($A149="","",IF($J149="DIESEL",AVERAGEIFS(Table1[RSP],Table1[Customer],$M$3,Table1[Date],$A149,Table1[Bill No.],$B149),IF($J149="PETROL",AVERAGEIFS(Table14[RSP],Table14[Customer],$M$3,Table14[Date],$A149,Table14[Bill No.],$B149),IF($J149="XtraGreen",AVERAGEIFS(Table146[RSP],Table146[Company],$M$3,Table146[Date],$A149,Table146[Bill No.],$B149),IFERROR($E149/$C149,"")))))</f>
        <v/>
      </c>
      <c r="E149" s="347" t="str">
        <f>IF($A149="","",IF($J149="DIESEL",SUMIFS(Table1[Amount],Table1[Customer],$M$3,Table1[Date],$A149,Table1[Bill No.],$B149),IF($J149="PETROL",SUMIFS(Table14[Amount],Table14[Customer],$M$3,Table14[Date],$A149,Table14[Bill No.],$B149),IF($J149="XtraGreen",SUMIFS(Table146[Amount],Table146[Company],$M$3,Table146[Date],$A149,Table146[Bill No.],$B149),SUMIFS('Other Sale'!$D:$D,'Other Sale'!$E:$E,$M$3,'Other Sale'!$C:$C,$J149,'Other Sale'!$A:$A,$A149)))))</f>
        <v/>
      </c>
      <c r="F149" s="347" t="str" cm="1">
        <f t="array" ref="F149">IF($A149="","",IF($J149="Payment",IFERROR(INDEX(_xlfn._xlws.FILTER(MasterPaid[Amount Paid],(MasterPaid[Customer]=$M$3)*(MasterPaid[Date]=$A149)),COUNTIFS($A$6:$A149,$A149,$J$6:$J149,"Payment")),0),0))</f>
        <v/>
      </c>
      <c r="G149" s="331"/>
      <c r="H149" s="427"/>
      <c r="I149" s="330" t="str">
        <f t="shared" si="11"/>
        <v/>
      </c>
      <c r="J149" s="344" t="str" cm="1">
        <f t="array" ref="J149">IFERROR(INDEX(_xlfn.ANCHORARRAY($P$6),ROW()-5,3),"")</f>
        <v/>
      </c>
      <c r="K149" s="432" t="str" cm="1">
        <f t="array" ref="K149">IF(OR($A149="",$J149&lt;&gt;"DIESEL"),"",_xlfn.LET(_xlpm.qty,N($C149),_xlpm.pos,$T$5:$T$54,_xlpm.alo,IF($U$5:$U$54="",0,$U$5:$U$54),_xlpm.usd,SUMIFS($C$6:$C148,$K$6:$K148,_xlpm.pos&amp;""),_xlpm.bal,_xlpm.alo-_xlpm.usd,IFERROR(INDEX(_xlfn._xlws.FILTER(_xlpm.pos,(_xlpm.pos&lt;&gt;"")*(_xlpm.qty&gt;0)*(_xlpm.bal&gt;=_xlpm.qty)),1),"")))</f>
        <v/>
      </c>
      <c r="L149" s="348"/>
    </row>
    <row r="150" spans="1:12" ht="23" x14ac:dyDescent="0.25">
      <c r="A150" s="217" t="str" cm="1">
        <f t="array" ref="A150">IFERROR(INDEX(_xlfn.ANCHORARRAY($P$6),ROW()-5,1),"")</f>
        <v/>
      </c>
      <c r="B150" s="344" t="str" cm="1">
        <f t="array" ref="B150">IFERROR(INDEX(_xlfn.ANCHORARRAY($P$6),ROW()-5,2),"")</f>
        <v/>
      </c>
      <c r="C150" s="345" t="str">
        <f>IF($A150="","",IF($J150="DIESEL",SUMIFS(Table1[Quantity],Table1[Customer],$M$3,Table1[Date],$A150,Table1[Bill No.],$B150),IF($J150="PETROL",SUMIFS(Table14[Quantity],Table14[Customer],$M$3,Table14[Date],$A150,Table14[Bill No.],$B150),IF($J150="XtraGreen",SUMIFS(Table146[Quantity],Table146[Company],$M$3,Table146[Date],$A150,Table146[Bill No.],$B150),""))))</f>
        <v/>
      </c>
      <c r="D150" s="346" t="str">
        <f>IF($A150="","",IF($J150="DIESEL",AVERAGEIFS(Table1[RSP],Table1[Customer],$M$3,Table1[Date],$A150,Table1[Bill No.],$B150),IF($J150="PETROL",AVERAGEIFS(Table14[RSP],Table14[Customer],$M$3,Table14[Date],$A150,Table14[Bill No.],$B150),IF($J150="XtraGreen",AVERAGEIFS(Table146[RSP],Table146[Company],$M$3,Table146[Date],$A150,Table146[Bill No.],$B150),IFERROR($E150/$C150,"")))))</f>
        <v/>
      </c>
      <c r="E150" s="347" t="str">
        <f>IF($A150="","",IF($J150="DIESEL",SUMIFS(Table1[Amount],Table1[Customer],$M$3,Table1[Date],$A150,Table1[Bill No.],$B150),IF($J150="PETROL",SUMIFS(Table14[Amount],Table14[Customer],$M$3,Table14[Date],$A150,Table14[Bill No.],$B150),IF($J150="XtraGreen",SUMIFS(Table146[Amount],Table146[Company],$M$3,Table146[Date],$A150,Table146[Bill No.],$B150),SUMIFS('Other Sale'!$D:$D,'Other Sale'!$E:$E,$M$3,'Other Sale'!$C:$C,$J150,'Other Sale'!$A:$A,$A150)))))</f>
        <v/>
      </c>
      <c r="F150" s="347" t="str" cm="1">
        <f t="array" ref="F150">IF($A150="","",IF($J150="Payment",IFERROR(INDEX(_xlfn._xlws.FILTER(MasterPaid[Amount Paid],(MasterPaid[Customer]=$M$3)*(MasterPaid[Date]=$A150)),COUNTIFS($A$6:$A150,$A150,$J$6:$J150,"Payment")),0),0))</f>
        <v/>
      </c>
      <c r="G150" s="331"/>
      <c r="H150" s="427"/>
      <c r="I150" s="330" t="str">
        <f t="shared" si="11"/>
        <v/>
      </c>
      <c r="J150" s="344" t="str" cm="1">
        <f t="array" ref="J150">IFERROR(INDEX(_xlfn.ANCHORARRAY($P$6),ROW()-5,3),"")</f>
        <v/>
      </c>
      <c r="K150" s="432" t="str" cm="1">
        <f t="array" ref="K150">IF(OR($A150="",$J150&lt;&gt;"DIESEL"),"",_xlfn.LET(_xlpm.qty,N($C150),_xlpm.pos,$T$5:$T$54,_xlpm.alo,IF($U$5:$U$54="",0,$U$5:$U$54),_xlpm.usd,SUMIFS($C$6:$C149,$K$6:$K149,_xlpm.pos&amp;""),_xlpm.bal,_xlpm.alo-_xlpm.usd,IFERROR(INDEX(_xlfn._xlws.FILTER(_xlpm.pos,(_xlpm.pos&lt;&gt;"")*(_xlpm.qty&gt;0)*(_xlpm.bal&gt;=_xlpm.qty)),1),"")))</f>
        <v/>
      </c>
      <c r="L150" s="348"/>
    </row>
    <row r="151" spans="1:12" ht="23" x14ac:dyDescent="0.25">
      <c r="A151" s="217" t="str" cm="1">
        <f t="array" ref="A151">IFERROR(INDEX(_xlfn.ANCHORARRAY($P$6),ROW()-5,1),"")</f>
        <v/>
      </c>
      <c r="B151" s="344" t="str" cm="1">
        <f t="array" ref="B151">IFERROR(INDEX(_xlfn.ANCHORARRAY($P$6),ROW()-5,2),"")</f>
        <v/>
      </c>
      <c r="C151" s="345" t="str">
        <f>IF($A151="","",IF($J151="DIESEL",SUMIFS(Table1[Quantity],Table1[Customer],$M$3,Table1[Date],$A151,Table1[Bill No.],$B151),IF($J151="PETROL",SUMIFS(Table14[Quantity],Table14[Customer],$M$3,Table14[Date],$A151,Table14[Bill No.],$B151),IF($J151="XtraGreen",SUMIFS(Table146[Quantity],Table146[Company],$M$3,Table146[Date],$A151,Table146[Bill No.],$B151),""))))</f>
        <v/>
      </c>
      <c r="D151" s="346" t="str">
        <f>IF($A151="","",IF($J151="DIESEL",AVERAGEIFS(Table1[RSP],Table1[Customer],$M$3,Table1[Date],$A151,Table1[Bill No.],$B151),IF($J151="PETROL",AVERAGEIFS(Table14[RSP],Table14[Customer],$M$3,Table14[Date],$A151,Table14[Bill No.],$B151),IF($J151="XtraGreen",AVERAGEIFS(Table146[RSP],Table146[Company],$M$3,Table146[Date],$A151,Table146[Bill No.],$B151),IFERROR($E151/$C151,"")))))</f>
        <v/>
      </c>
      <c r="E151" s="347" t="str">
        <f>IF($A151="","",IF($J151="DIESEL",SUMIFS(Table1[Amount],Table1[Customer],$M$3,Table1[Date],$A151,Table1[Bill No.],$B151),IF($J151="PETROL",SUMIFS(Table14[Amount],Table14[Customer],$M$3,Table14[Date],$A151,Table14[Bill No.],$B151),IF($J151="XtraGreen",SUMIFS(Table146[Amount],Table146[Company],$M$3,Table146[Date],$A151,Table146[Bill No.],$B151),SUMIFS('Other Sale'!$D:$D,'Other Sale'!$E:$E,$M$3,'Other Sale'!$C:$C,$J151,'Other Sale'!$A:$A,$A151)))))</f>
        <v/>
      </c>
      <c r="F151" s="347" t="str" cm="1">
        <f t="array" ref="F151">IF($A151="","",IF($J151="Payment",IFERROR(INDEX(_xlfn._xlws.FILTER(MasterPaid[Amount Paid],(MasterPaid[Customer]=$M$3)*(MasterPaid[Date]=$A151)),COUNTIFS($A$6:$A151,$A151,$J$6:$J151,"Payment")),0),0))</f>
        <v/>
      </c>
      <c r="G151" s="331"/>
      <c r="H151" s="427"/>
      <c r="I151" s="330" t="str">
        <f t="shared" si="11"/>
        <v/>
      </c>
      <c r="J151" s="344" t="str" cm="1">
        <f t="array" ref="J151">IFERROR(INDEX(_xlfn.ANCHORARRAY($P$6),ROW()-5,3),"")</f>
        <v/>
      </c>
      <c r="K151" s="432" t="str" cm="1">
        <f t="array" ref="K151">IF(OR($A151="",$J151&lt;&gt;"DIESEL"),"",_xlfn.LET(_xlpm.qty,N($C151),_xlpm.pos,$T$5:$T$54,_xlpm.alo,IF($U$5:$U$54="",0,$U$5:$U$54),_xlpm.usd,SUMIFS($C$6:$C150,$K$6:$K150,_xlpm.pos&amp;""),_xlpm.bal,_xlpm.alo-_xlpm.usd,IFERROR(INDEX(_xlfn._xlws.FILTER(_xlpm.pos,(_xlpm.pos&lt;&gt;"")*(_xlpm.qty&gt;0)*(_xlpm.bal&gt;=_xlpm.qty)),1),"")))</f>
        <v/>
      </c>
      <c r="L151" s="348"/>
    </row>
    <row r="152" spans="1:12" ht="23" x14ac:dyDescent="0.25">
      <c r="A152" s="217" t="str" cm="1">
        <f t="array" ref="A152">IFERROR(INDEX(_xlfn.ANCHORARRAY($P$6),ROW()-5,1),"")</f>
        <v/>
      </c>
      <c r="B152" s="344" t="str" cm="1">
        <f t="array" ref="B152">IFERROR(INDEX(_xlfn.ANCHORARRAY($P$6),ROW()-5,2),"")</f>
        <v/>
      </c>
      <c r="C152" s="345" t="str">
        <f>IF($A152="","",IF($J152="DIESEL",SUMIFS(Table1[Quantity],Table1[Customer],$M$3,Table1[Date],$A152,Table1[Bill No.],$B152),IF($J152="PETROL",SUMIFS(Table14[Quantity],Table14[Customer],$M$3,Table14[Date],$A152,Table14[Bill No.],$B152),IF($J152="XtraGreen",SUMIFS(Table146[Quantity],Table146[Company],$M$3,Table146[Date],$A152,Table146[Bill No.],$B152),""))))</f>
        <v/>
      </c>
      <c r="D152" s="346" t="str">
        <f>IF($A152="","",IF($J152="DIESEL",AVERAGEIFS(Table1[RSP],Table1[Customer],$M$3,Table1[Date],$A152,Table1[Bill No.],$B152),IF($J152="PETROL",AVERAGEIFS(Table14[RSP],Table14[Customer],$M$3,Table14[Date],$A152,Table14[Bill No.],$B152),IF($J152="XtraGreen",AVERAGEIFS(Table146[RSP],Table146[Company],$M$3,Table146[Date],$A152,Table146[Bill No.],$B152),IFERROR($E152/$C152,"")))))</f>
        <v/>
      </c>
      <c r="E152" s="347" t="str">
        <f>IF($A152="","",IF($J152="DIESEL",SUMIFS(Table1[Amount],Table1[Customer],$M$3,Table1[Date],$A152,Table1[Bill No.],$B152),IF($J152="PETROL",SUMIFS(Table14[Amount],Table14[Customer],$M$3,Table14[Date],$A152,Table14[Bill No.],$B152),IF($J152="XtraGreen",SUMIFS(Table146[Amount],Table146[Company],$M$3,Table146[Date],$A152,Table146[Bill No.],$B152),SUMIFS('Other Sale'!$D:$D,'Other Sale'!$E:$E,$M$3,'Other Sale'!$C:$C,$J152,'Other Sale'!$A:$A,$A152)))))</f>
        <v/>
      </c>
      <c r="F152" s="347" t="str" cm="1">
        <f t="array" ref="F152">IF($A152="","",IF($J152="Payment",IFERROR(INDEX(_xlfn._xlws.FILTER(MasterPaid[Amount Paid],(MasterPaid[Customer]=$M$3)*(MasterPaid[Date]=$A152)),COUNTIFS($A$6:$A152,$A152,$J$6:$J152,"Payment")),0),0))</f>
        <v/>
      </c>
      <c r="G152" s="331"/>
      <c r="H152" s="427"/>
      <c r="I152" s="330" t="str">
        <f t="shared" si="11"/>
        <v/>
      </c>
      <c r="J152" s="344" t="str" cm="1">
        <f t="array" ref="J152">IFERROR(INDEX(_xlfn.ANCHORARRAY($P$6),ROW()-5,3),"")</f>
        <v/>
      </c>
      <c r="K152" s="432" t="str" cm="1">
        <f t="array" ref="K152">IF(OR($A152="",$J152&lt;&gt;"DIESEL"),"",_xlfn.LET(_xlpm.qty,N($C152),_xlpm.pos,$T$5:$T$54,_xlpm.alo,IF($U$5:$U$54="",0,$U$5:$U$54),_xlpm.usd,SUMIFS($C$6:$C151,$K$6:$K151,_xlpm.pos&amp;""),_xlpm.bal,_xlpm.alo-_xlpm.usd,IFERROR(INDEX(_xlfn._xlws.FILTER(_xlpm.pos,(_xlpm.pos&lt;&gt;"")*(_xlpm.qty&gt;0)*(_xlpm.bal&gt;=_xlpm.qty)),1),"")))</f>
        <v/>
      </c>
      <c r="L152" s="348"/>
    </row>
    <row r="153" spans="1:12" ht="23" x14ac:dyDescent="0.25">
      <c r="A153" s="217" t="str" cm="1">
        <f t="array" ref="A153">IFERROR(INDEX(_xlfn.ANCHORARRAY($P$6),ROW()-5,1),"")</f>
        <v/>
      </c>
      <c r="B153" s="344" t="str" cm="1">
        <f t="array" ref="B153">IFERROR(INDEX(_xlfn.ANCHORARRAY($P$6),ROW()-5,2),"")</f>
        <v/>
      </c>
      <c r="C153" s="345" t="str">
        <f>IF($A153="","",IF($J153="DIESEL",SUMIFS(Table1[Quantity],Table1[Customer],$M$3,Table1[Date],$A153,Table1[Bill No.],$B153),IF($J153="PETROL",SUMIFS(Table14[Quantity],Table14[Customer],$M$3,Table14[Date],$A153,Table14[Bill No.],$B153),IF($J153="XtraGreen",SUMIFS(Table146[Quantity],Table146[Company],$M$3,Table146[Date],$A153,Table146[Bill No.],$B153),""))))</f>
        <v/>
      </c>
      <c r="D153" s="346" t="str">
        <f>IF($A153="","",IF($J153="DIESEL",AVERAGEIFS(Table1[RSP],Table1[Customer],$M$3,Table1[Date],$A153,Table1[Bill No.],$B153),IF($J153="PETROL",AVERAGEIFS(Table14[RSP],Table14[Customer],$M$3,Table14[Date],$A153,Table14[Bill No.],$B153),IF($J153="XtraGreen",AVERAGEIFS(Table146[RSP],Table146[Company],$M$3,Table146[Date],$A153,Table146[Bill No.],$B153),IFERROR($E153/$C153,"")))))</f>
        <v/>
      </c>
      <c r="E153" s="347" t="str">
        <f>IF($A153="","",IF($J153="DIESEL",SUMIFS(Table1[Amount],Table1[Customer],$M$3,Table1[Date],$A153,Table1[Bill No.],$B153),IF($J153="PETROL",SUMIFS(Table14[Amount],Table14[Customer],$M$3,Table14[Date],$A153,Table14[Bill No.],$B153),IF($J153="XtraGreen",SUMIFS(Table146[Amount],Table146[Company],$M$3,Table146[Date],$A153,Table146[Bill No.],$B153),SUMIFS('Other Sale'!$D:$D,'Other Sale'!$E:$E,$M$3,'Other Sale'!$C:$C,$J153,'Other Sale'!$A:$A,$A153)))))</f>
        <v/>
      </c>
      <c r="F153" s="347" t="str" cm="1">
        <f t="array" ref="F153">IF($A153="","",IF($J153="Payment",IFERROR(INDEX(_xlfn._xlws.FILTER(MasterPaid[Amount Paid],(MasterPaid[Customer]=$M$3)*(MasterPaid[Date]=$A153)),COUNTIFS($A$6:$A153,$A153,$J$6:$J153,"Payment")),0),0))</f>
        <v/>
      </c>
      <c r="G153" s="331"/>
      <c r="H153" s="427"/>
      <c r="I153" s="330" t="str">
        <f t="shared" si="11"/>
        <v/>
      </c>
      <c r="J153" s="344" t="str" cm="1">
        <f t="array" ref="J153">IFERROR(INDEX(_xlfn.ANCHORARRAY($P$6),ROW()-5,3),"")</f>
        <v/>
      </c>
      <c r="K153" s="432" t="str" cm="1">
        <f t="array" ref="K153">IF(OR($A153="",$J153&lt;&gt;"DIESEL"),"",_xlfn.LET(_xlpm.qty,N($C153),_xlpm.pos,$T$5:$T$54,_xlpm.alo,IF($U$5:$U$54="",0,$U$5:$U$54),_xlpm.usd,SUMIFS($C$6:$C152,$K$6:$K152,_xlpm.pos&amp;""),_xlpm.bal,_xlpm.alo-_xlpm.usd,IFERROR(INDEX(_xlfn._xlws.FILTER(_xlpm.pos,(_xlpm.pos&lt;&gt;"")*(_xlpm.qty&gt;0)*(_xlpm.bal&gt;=_xlpm.qty)),1),"")))</f>
        <v/>
      </c>
      <c r="L153" s="348"/>
    </row>
    <row r="154" spans="1:12" ht="23" x14ac:dyDescent="0.25">
      <c r="A154" s="217" t="str" cm="1">
        <f t="array" ref="A154">IFERROR(INDEX(_xlfn.ANCHORARRAY($P$6),ROW()-5,1),"")</f>
        <v/>
      </c>
      <c r="B154" s="344" t="str" cm="1">
        <f t="array" ref="B154">IFERROR(INDEX(_xlfn.ANCHORARRAY($P$6),ROW()-5,2),"")</f>
        <v/>
      </c>
      <c r="C154" s="345" t="str">
        <f>IF($A154="","",IF($J154="DIESEL",SUMIFS(Table1[Quantity],Table1[Customer],$M$3,Table1[Date],$A154,Table1[Bill No.],$B154),IF($J154="PETROL",SUMIFS(Table14[Quantity],Table14[Customer],$M$3,Table14[Date],$A154,Table14[Bill No.],$B154),IF($J154="XtraGreen",SUMIFS(Table146[Quantity],Table146[Company],$M$3,Table146[Date],$A154,Table146[Bill No.],$B154),""))))</f>
        <v/>
      </c>
      <c r="D154" s="346" t="str">
        <f>IF($A154="","",IF($J154="DIESEL",AVERAGEIFS(Table1[RSP],Table1[Customer],$M$3,Table1[Date],$A154,Table1[Bill No.],$B154),IF($J154="PETROL",AVERAGEIFS(Table14[RSP],Table14[Customer],$M$3,Table14[Date],$A154,Table14[Bill No.],$B154),IF($J154="XtraGreen",AVERAGEIFS(Table146[RSP],Table146[Company],$M$3,Table146[Date],$A154,Table146[Bill No.],$B154),IFERROR($E154/$C154,"")))))</f>
        <v/>
      </c>
      <c r="E154" s="347" t="str">
        <f>IF($A154="","",IF($J154="DIESEL",SUMIFS(Table1[Amount],Table1[Customer],$M$3,Table1[Date],$A154,Table1[Bill No.],$B154),IF($J154="PETROL",SUMIFS(Table14[Amount],Table14[Customer],$M$3,Table14[Date],$A154,Table14[Bill No.],$B154),IF($J154="XtraGreen",SUMIFS(Table146[Amount],Table146[Company],$M$3,Table146[Date],$A154,Table146[Bill No.],$B154),SUMIFS('Other Sale'!$D:$D,'Other Sale'!$E:$E,$M$3,'Other Sale'!$C:$C,$J154,'Other Sale'!$A:$A,$A154)))))</f>
        <v/>
      </c>
      <c r="F154" s="347" t="str" cm="1">
        <f t="array" ref="F154">IF($A154="","",IF($J154="Payment",IFERROR(INDEX(_xlfn._xlws.FILTER(MasterPaid[Amount Paid],(MasterPaid[Customer]=$M$3)*(MasterPaid[Date]=$A154)),COUNTIFS($A$6:$A154,$A154,$J$6:$J154,"Payment")),0),0))</f>
        <v/>
      </c>
      <c r="G154" s="331"/>
      <c r="H154" s="427"/>
      <c r="I154" s="330" t="str">
        <f t="shared" si="11"/>
        <v/>
      </c>
      <c r="J154" s="344" t="str" cm="1">
        <f t="array" ref="J154">IFERROR(INDEX(_xlfn.ANCHORARRAY($P$6),ROW()-5,3),"")</f>
        <v/>
      </c>
      <c r="K154" s="432" t="str" cm="1">
        <f t="array" ref="K154">IF(OR($A154="",$J154&lt;&gt;"DIESEL"),"",_xlfn.LET(_xlpm.qty,N($C154),_xlpm.pos,$T$5:$T$54,_xlpm.alo,IF($U$5:$U$54="",0,$U$5:$U$54),_xlpm.usd,SUMIFS($C$6:$C153,$K$6:$K153,_xlpm.pos&amp;""),_xlpm.bal,_xlpm.alo-_xlpm.usd,IFERROR(INDEX(_xlfn._xlws.FILTER(_xlpm.pos,(_xlpm.pos&lt;&gt;"")*(_xlpm.qty&gt;0)*(_xlpm.bal&gt;=_xlpm.qty)),1),"")))</f>
        <v/>
      </c>
      <c r="L154" s="348"/>
    </row>
    <row r="155" spans="1:12" ht="23" x14ac:dyDescent="0.25">
      <c r="A155" s="217" t="str" cm="1">
        <f t="array" ref="A155">IFERROR(INDEX(_xlfn.ANCHORARRAY($P$6),ROW()-5,1),"")</f>
        <v/>
      </c>
      <c r="B155" s="344" t="str" cm="1">
        <f t="array" ref="B155">IFERROR(INDEX(_xlfn.ANCHORARRAY($P$6),ROW()-5,2),"")</f>
        <v/>
      </c>
      <c r="C155" s="345" t="str">
        <f>IF($A155="","",IF($J155="DIESEL",SUMIFS(Table1[Quantity],Table1[Customer],$M$3,Table1[Date],$A155,Table1[Bill No.],$B155),IF($J155="PETROL",SUMIFS(Table14[Quantity],Table14[Customer],$M$3,Table14[Date],$A155,Table14[Bill No.],$B155),IF($J155="XtraGreen",SUMIFS(Table146[Quantity],Table146[Company],$M$3,Table146[Date],$A155,Table146[Bill No.],$B155),""))))</f>
        <v/>
      </c>
      <c r="D155" s="346" t="str">
        <f>IF($A155="","",IF($J155="DIESEL",AVERAGEIFS(Table1[RSP],Table1[Customer],$M$3,Table1[Date],$A155,Table1[Bill No.],$B155),IF($J155="PETROL",AVERAGEIFS(Table14[RSP],Table14[Customer],$M$3,Table14[Date],$A155,Table14[Bill No.],$B155),IF($J155="XtraGreen",AVERAGEIFS(Table146[RSP],Table146[Company],$M$3,Table146[Date],$A155,Table146[Bill No.],$B155),IFERROR($E155/$C155,"")))))</f>
        <v/>
      </c>
      <c r="E155" s="347" t="str">
        <f>IF($A155="","",IF($J155="DIESEL",SUMIFS(Table1[Amount],Table1[Customer],$M$3,Table1[Date],$A155,Table1[Bill No.],$B155),IF($J155="PETROL",SUMIFS(Table14[Amount],Table14[Customer],$M$3,Table14[Date],$A155,Table14[Bill No.],$B155),IF($J155="XtraGreen",SUMIFS(Table146[Amount],Table146[Company],$M$3,Table146[Date],$A155,Table146[Bill No.],$B155),SUMIFS('Other Sale'!$D:$D,'Other Sale'!$E:$E,$M$3,'Other Sale'!$C:$C,$J155,'Other Sale'!$A:$A,$A155)))))</f>
        <v/>
      </c>
      <c r="F155" s="347" t="str" cm="1">
        <f t="array" ref="F155">IF($A155="","",IF($J155="Payment",IFERROR(INDEX(_xlfn._xlws.FILTER(MasterPaid[Amount Paid],(MasterPaid[Customer]=$M$3)*(MasterPaid[Date]=$A155)),COUNTIFS($A$6:$A155,$A155,$J$6:$J155,"Payment")),0),0))</f>
        <v/>
      </c>
      <c r="G155" s="331"/>
      <c r="H155" s="427"/>
      <c r="I155" s="330" t="str">
        <f t="shared" si="11"/>
        <v/>
      </c>
      <c r="J155" s="344" t="str" cm="1">
        <f t="array" ref="J155">IFERROR(INDEX(_xlfn.ANCHORARRAY($P$6),ROW()-5,3),"")</f>
        <v/>
      </c>
      <c r="K155" s="432" t="str" cm="1">
        <f t="array" ref="K155">IF(OR($A155="",$J155&lt;&gt;"DIESEL"),"",_xlfn.LET(_xlpm.qty,N($C155),_xlpm.pos,$T$5:$T$54,_xlpm.alo,IF($U$5:$U$54="",0,$U$5:$U$54),_xlpm.usd,SUMIFS($C$6:$C154,$K$6:$K154,_xlpm.pos&amp;""),_xlpm.bal,_xlpm.alo-_xlpm.usd,IFERROR(INDEX(_xlfn._xlws.FILTER(_xlpm.pos,(_xlpm.pos&lt;&gt;"")*(_xlpm.qty&gt;0)*(_xlpm.bal&gt;=_xlpm.qty)),1),"")))</f>
        <v/>
      </c>
      <c r="L155" s="348"/>
    </row>
    <row r="156" spans="1:12" ht="23" x14ac:dyDescent="0.25">
      <c r="A156" s="217" t="str" cm="1">
        <f t="array" ref="A156">IFERROR(INDEX(_xlfn.ANCHORARRAY($P$6),ROW()-5,1),"")</f>
        <v/>
      </c>
      <c r="B156" s="344" t="str" cm="1">
        <f t="array" ref="B156">IFERROR(INDEX(_xlfn.ANCHORARRAY($P$6),ROW()-5,2),"")</f>
        <v/>
      </c>
      <c r="C156" s="345" t="str">
        <f>IF($A156="","",IF($J156="DIESEL",SUMIFS(Table1[Quantity],Table1[Customer],$M$3,Table1[Date],$A156,Table1[Bill No.],$B156),IF($J156="PETROL",SUMIFS(Table14[Quantity],Table14[Customer],$M$3,Table14[Date],$A156,Table14[Bill No.],$B156),IF($J156="XtraGreen",SUMIFS(Table146[Quantity],Table146[Company],$M$3,Table146[Date],$A156,Table146[Bill No.],$B156),""))))</f>
        <v/>
      </c>
      <c r="D156" s="346" t="str">
        <f>IF($A156="","",IF($J156="DIESEL",AVERAGEIFS(Table1[RSP],Table1[Customer],$M$3,Table1[Date],$A156,Table1[Bill No.],$B156),IF($J156="PETROL",AVERAGEIFS(Table14[RSP],Table14[Customer],$M$3,Table14[Date],$A156,Table14[Bill No.],$B156),IF($J156="XtraGreen",AVERAGEIFS(Table146[RSP],Table146[Company],$M$3,Table146[Date],$A156,Table146[Bill No.],$B156),IFERROR($E156/$C156,"")))))</f>
        <v/>
      </c>
      <c r="E156" s="347" t="str">
        <f>IF($A156="","",IF($J156="DIESEL",SUMIFS(Table1[Amount],Table1[Customer],$M$3,Table1[Date],$A156,Table1[Bill No.],$B156),IF($J156="PETROL",SUMIFS(Table14[Amount],Table14[Customer],$M$3,Table14[Date],$A156,Table14[Bill No.],$B156),IF($J156="XtraGreen",SUMIFS(Table146[Amount],Table146[Company],$M$3,Table146[Date],$A156,Table146[Bill No.],$B156),SUMIFS('Other Sale'!$D:$D,'Other Sale'!$E:$E,$M$3,'Other Sale'!$C:$C,$J156,'Other Sale'!$A:$A,$A156)))))</f>
        <v/>
      </c>
      <c r="F156" s="347" t="str" cm="1">
        <f t="array" ref="F156">IF($A156="","",IF($J156="Payment",IFERROR(INDEX(_xlfn._xlws.FILTER(MasterPaid[Amount Paid],(MasterPaid[Customer]=$M$3)*(MasterPaid[Date]=$A156)),COUNTIFS($A$6:$A156,$A156,$J$6:$J156,"Payment")),0),0))</f>
        <v/>
      </c>
      <c r="G156" s="331"/>
      <c r="H156" s="427"/>
      <c r="I156" s="330" t="str">
        <f t="shared" si="11"/>
        <v/>
      </c>
      <c r="J156" s="344" t="str" cm="1">
        <f t="array" ref="J156">IFERROR(INDEX(_xlfn.ANCHORARRAY($P$6),ROW()-5,3),"")</f>
        <v/>
      </c>
      <c r="K156" s="432" t="str" cm="1">
        <f t="array" ref="K156">IF(OR($A156="",$J156&lt;&gt;"DIESEL"),"",_xlfn.LET(_xlpm.qty,N($C156),_xlpm.pos,$T$5:$T$54,_xlpm.alo,IF($U$5:$U$54="",0,$U$5:$U$54),_xlpm.usd,SUMIFS($C$6:$C155,$K$6:$K155,_xlpm.pos&amp;""),_xlpm.bal,_xlpm.alo-_xlpm.usd,IFERROR(INDEX(_xlfn._xlws.FILTER(_xlpm.pos,(_xlpm.pos&lt;&gt;"")*(_xlpm.qty&gt;0)*(_xlpm.bal&gt;=_xlpm.qty)),1),"")))</f>
        <v/>
      </c>
      <c r="L156" s="348"/>
    </row>
    <row r="157" spans="1:12" ht="23" x14ac:dyDescent="0.25">
      <c r="A157" s="217" t="str" cm="1">
        <f t="array" ref="A157">IFERROR(INDEX(_xlfn.ANCHORARRAY($P$6),ROW()-5,1),"")</f>
        <v/>
      </c>
      <c r="B157" s="344" t="str" cm="1">
        <f t="array" ref="B157">IFERROR(INDEX(_xlfn.ANCHORARRAY($P$6),ROW()-5,2),"")</f>
        <v/>
      </c>
      <c r="C157" s="345" t="str">
        <f>IF($A157="","",IF($J157="DIESEL",SUMIFS(Table1[Quantity],Table1[Customer],$M$3,Table1[Date],$A157,Table1[Bill No.],$B157),IF($J157="PETROL",SUMIFS(Table14[Quantity],Table14[Customer],$M$3,Table14[Date],$A157,Table14[Bill No.],$B157),IF($J157="XtraGreen",SUMIFS(Table146[Quantity],Table146[Company],$M$3,Table146[Date],$A157,Table146[Bill No.],$B157),""))))</f>
        <v/>
      </c>
      <c r="D157" s="346" t="str">
        <f>IF($A157="","",IF($J157="DIESEL",AVERAGEIFS(Table1[RSP],Table1[Customer],$M$3,Table1[Date],$A157,Table1[Bill No.],$B157),IF($J157="PETROL",AVERAGEIFS(Table14[RSP],Table14[Customer],$M$3,Table14[Date],$A157,Table14[Bill No.],$B157),IF($J157="XtraGreen",AVERAGEIFS(Table146[RSP],Table146[Company],$M$3,Table146[Date],$A157,Table146[Bill No.],$B157),IFERROR($E157/$C157,"")))))</f>
        <v/>
      </c>
      <c r="E157" s="347" t="str">
        <f>IF($A157="","",IF($J157="DIESEL",SUMIFS(Table1[Amount],Table1[Customer],$M$3,Table1[Date],$A157,Table1[Bill No.],$B157),IF($J157="PETROL",SUMIFS(Table14[Amount],Table14[Customer],$M$3,Table14[Date],$A157,Table14[Bill No.],$B157),IF($J157="XtraGreen",SUMIFS(Table146[Amount],Table146[Company],$M$3,Table146[Date],$A157,Table146[Bill No.],$B157),SUMIFS('Other Sale'!$D:$D,'Other Sale'!$E:$E,$M$3,'Other Sale'!$C:$C,$J157,'Other Sale'!$A:$A,$A157)))))</f>
        <v/>
      </c>
      <c r="F157" s="347" t="str" cm="1">
        <f t="array" ref="F157">IF($A157="","",IF($J157="Payment",IFERROR(INDEX(_xlfn._xlws.FILTER(MasterPaid[Amount Paid],(MasterPaid[Customer]=$M$3)*(MasterPaid[Date]=$A157)),COUNTIFS($A$6:$A157,$A157,$J$6:$J157,"Payment")),0),0))</f>
        <v/>
      </c>
      <c r="G157" s="331"/>
      <c r="H157" s="427"/>
      <c r="I157" s="330" t="str">
        <f t="shared" si="11"/>
        <v/>
      </c>
      <c r="J157" s="344" t="str" cm="1">
        <f t="array" ref="J157">IFERROR(INDEX(_xlfn.ANCHORARRAY($P$6),ROW()-5,3),"")</f>
        <v/>
      </c>
      <c r="K157" s="432" t="str" cm="1">
        <f t="array" ref="K157">IF(OR($A157="",$J157&lt;&gt;"DIESEL"),"",_xlfn.LET(_xlpm.qty,N($C157),_xlpm.pos,$T$5:$T$54,_xlpm.alo,IF($U$5:$U$54="",0,$U$5:$U$54),_xlpm.usd,SUMIFS($C$6:$C156,$K$6:$K156,_xlpm.pos&amp;""),_xlpm.bal,_xlpm.alo-_xlpm.usd,IFERROR(INDEX(_xlfn._xlws.FILTER(_xlpm.pos,(_xlpm.pos&lt;&gt;"")*(_xlpm.qty&gt;0)*(_xlpm.bal&gt;=_xlpm.qty)),1),"")))</f>
        <v/>
      </c>
      <c r="L157" s="348"/>
    </row>
    <row r="158" spans="1:12" ht="23" x14ac:dyDescent="0.25">
      <c r="A158" s="217" t="str" cm="1">
        <f t="array" ref="A158">IFERROR(INDEX(_xlfn.ANCHORARRAY($P$6),ROW()-5,1),"")</f>
        <v/>
      </c>
      <c r="B158" s="344" t="str" cm="1">
        <f t="array" ref="B158">IFERROR(INDEX(_xlfn.ANCHORARRAY($P$6),ROW()-5,2),"")</f>
        <v/>
      </c>
      <c r="C158" s="345" t="str">
        <f>IF($A158="","",IF($J158="DIESEL",SUMIFS(Table1[Quantity],Table1[Customer],$M$3,Table1[Date],$A158,Table1[Bill No.],$B158),IF($J158="PETROL",SUMIFS(Table14[Quantity],Table14[Customer],$M$3,Table14[Date],$A158,Table14[Bill No.],$B158),IF($J158="XtraGreen",SUMIFS(Table146[Quantity],Table146[Company],$M$3,Table146[Date],$A158,Table146[Bill No.],$B158),""))))</f>
        <v/>
      </c>
      <c r="D158" s="346" t="str">
        <f>IF($A158="","",IF($J158="DIESEL",AVERAGEIFS(Table1[RSP],Table1[Customer],$M$3,Table1[Date],$A158,Table1[Bill No.],$B158),IF($J158="PETROL",AVERAGEIFS(Table14[RSP],Table14[Customer],$M$3,Table14[Date],$A158,Table14[Bill No.],$B158),IF($J158="XtraGreen",AVERAGEIFS(Table146[RSP],Table146[Company],$M$3,Table146[Date],$A158,Table146[Bill No.],$B158),IFERROR($E158/$C158,"")))))</f>
        <v/>
      </c>
      <c r="E158" s="347" t="str">
        <f>IF($A158="","",IF($J158="DIESEL",SUMIFS(Table1[Amount],Table1[Customer],$M$3,Table1[Date],$A158,Table1[Bill No.],$B158),IF($J158="PETROL",SUMIFS(Table14[Amount],Table14[Customer],$M$3,Table14[Date],$A158,Table14[Bill No.],$B158),IF($J158="XtraGreen",SUMIFS(Table146[Amount],Table146[Company],$M$3,Table146[Date],$A158,Table146[Bill No.],$B158),SUMIFS('Other Sale'!$D:$D,'Other Sale'!$E:$E,$M$3,'Other Sale'!$C:$C,$J158,'Other Sale'!$A:$A,$A158)))))</f>
        <v/>
      </c>
      <c r="F158" s="347" t="str" cm="1">
        <f t="array" ref="F158">IF($A158="","",IF($J158="Payment",IFERROR(INDEX(_xlfn._xlws.FILTER(MasterPaid[Amount Paid],(MasterPaid[Customer]=$M$3)*(MasterPaid[Date]=$A158)),COUNTIFS($A$6:$A158,$A158,$J$6:$J158,"Payment")),0),0))</f>
        <v/>
      </c>
      <c r="G158" s="331"/>
      <c r="H158" s="427"/>
      <c r="I158" s="330" t="str">
        <f t="shared" si="11"/>
        <v/>
      </c>
      <c r="J158" s="344" t="str" cm="1">
        <f t="array" ref="J158">IFERROR(INDEX(_xlfn.ANCHORARRAY($P$6),ROW()-5,3),"")</f>
        <v/>
      </c>
      <c r="K158" s="432" t="str" cm="1">
        <f t="array" ref="K158">IF(OR($A158="",$J158&lt;&gt;"DIESEL"),"",_xlfn.LET(_xlpm.qty,N($C158),_xlpm.pos,$T$5:$T$54,_xlpm.alo,IF($U$5:$U$54="",0,$U$5:$U$54),_xlpm.usd,SUMIFS($C$6:$C157,$K$6:$K157,_xlpm.pos&amp;""),_xlpm.bal,_xlpm.alo-_xlpm.usd,IFERROR(INDEX(_xlfn._xlws.FILTER(_xlpm.pos,(_xlpm.pos&lt;&gt;"")*(_xlpm.qty&gt;0)*(_xlpm.bal&gt;=_xlpm.qty)),1),"")))</f>
        <v/>
      </c>
      <c r="L158" s="348"/>
    </row>
    <row r="159" spans="1:12" ht="23" x14ac:dyDescent="0.25">
      <c r="A159" s="217" t="str" cm="1">
        <f t="array" ref="A159">IFERROR(INDEX(_xlfn.ANCHORARRAY($P$6),ROW()-5,1),"")</f>
        <v/>
      </c>
      <c r="B159" s="344" t="str" cm="1">
        <f t="array" ref="B159">IFERROR(INDEX(_xlfn.ANCHORARRAY($P$6),ROW()-5,2),"")</f>
        <v/>
      </c>
      <c r="C159" s="345" t="str">
        <f>IF($A159="","",IF($J159="DIESEL",SUMIFS(Table1[Quantity],Table1[Customer],$M$3,Table1[Date],$A159,Table1[Bill No.],$B159),IF($J159="PETROL",SUMIFS(Table14[Quantity],Table14[Customer],$M$3,Table14[Date],$A159,Table14[Bill No.],$B159),IF($J159="XtraGreen",SUMIFS(Table146[Quantity],Table146[Company],$M$3,Table146[Date],$A159,Table146[Bill No.],$B159),""))))</f>
        <v/>
      </c>
      <c r="D159" s="346" t="str">
        <f>IF($A159="","",IF($J159="DIESEL",AVERAGEIFS(Table1[RSP],Table1[Customer],$M$3,Table1[Date],$A159,Table1[Bill No.],$B159),IF($J159="PETROL",AVERAGEIFS(Table14[RSP],Table14[Customer],$M$3,Table14[Date],$A159,Table14[Bill No.],$B159),IF($J159="XtraGreen",AVERAGEIFS(Table146[RSP],Table146[Company],$M$3,Table146[Date],$A159,Table146[Bill No.],$B159),IFERROR($E159/$C159,"")))))</f>
        <v/>
      </c>
      <c r="E159" s="347" t="str">
        <f>IF($A159="","",IF($J159="DIESEL",SUMIFS(Table1[Amount],Table1[Customer],$M$3,Table1[Date],$A159,Table1[Bill No.],$B159),IF($J159="PETROL",SUMIFS(Table14[Amount],Table14[Customer],$M$3,Table14[Date],$A159,Table14[Bill No.],$B159),IF($J159="XtraGreen",SUMIFS(Table146[Amount],Table146[Company],$M$3,Table146[Date],$A159,Table146[Bill No.],$B159),SUMIFS('Other Sale'!$D:$D,'Other Sale'!$E:$E,$M$3,'Other Sale'!$C:$C,$J159,'Other Sale'!$A:$A,$A159)))))</f>
        <v/>
      </c>
      <c r="F159" s="347" t="str" cm="1">
        <f t="array" ref="F159">IF($A159="","",IF($J159="Payment",IFERROR(INDEX(_xlfn._xlws.FILTER(MasterPaid[Amount Paid],(MasterPaid[Customer]=$M$3)*(MasterPaid[Date]=$A159)),COUNTIFS($A$6:$A159,$A159,$J$6:$J159,"Payment")),0),0))</f>
        <v/>
      </c>
      <c r="G159" s="331"/>
      <c r="H159" s="427"/>
      <c r="I159" s="330" t="str">
        <f t="shared" si="11"/>
        <v/>
      </c>
      <c r="J159" s="344" t="str" cm="1">
        <f t="array" ref="J159">IFERROR(INDEX(_xlfn.ANCHORARRAY($P$6),ROW()-5,3),"")</f>
        <v/>
      </c>
      <c r="K159" s="432" t="str" cm="1">
        <f t="array" ref="K159">IF(OR($A159="",$J159&lt;&gt;"DIESEL"),"",_xlfn.LET(_xlpm.qty,N($C159),_xlpm.pos,$T$5:$T$54,_xlpm.alo,IF($U$5:$U$54="",0,$U$5:$U$54),_xlpm.usd,SUMIFS($C$6:$C158,$K$6:$K158,_xlpm.pos&amp;""),_xlpm.bal,_xlpm.alo-_xlpm.usd,IFERROR(INDEX(_xlfn._xlws.FILTER(_xlpm.pos,(_xlpm.pos&lt;&gt;"")*(_xlpm.qty&gt;0)*(_xlpm.bal&gt;=_xlpm.qty)),1),"")))</f>
        <v/>
      </c>
      <c r="L159" s="348"/>
    </row>
    <row r="160" spans="1:12" ht="23" x14ac:dyDescent="0.25">
      <c r="A160" s="217" t="str" cm="1">
        <f t="array" ref="A160">IFERROR(INDEX(_xlfn.ANCHORARRAY($P$6),ROW()-5,1),"")</f>
        <v/>
      </c>
      <c r="B160" s="344" t="str" cm="1">
        <f t="array" ref="B160">IFERROR(INDEX(_xlfn.ANCHORARRAY($P$6),ROW()-5,2),"")</f>
        <v/>
      </c>
      <c r="C160" s="345" t="str">
        <f>IF($A160="","",IF($J160="DIESEL",SUMIFS(Table1[Quantity],Table1[Customer],$M$3,Table1[Date],$A160,Table1[Bill No.],$B160),IF($J160="PETROL",SUMIFS(Table14[Quantity],Table14[Customer],$M$3,Table14[Date],$A160,Table14[Bill No.],$B160),IF($J160="XtraGreen",SUMIFS(Table146[Quantity],Table146[Company],$M$3,Table146[Date],$A160,Table146[Bill No.],$B160),""))))</f>
        <v/>
      </c>
      <c r="D160" s="346" t="str">
        <f>IF($A160="","",IF($J160="DIESEL",AVERAGEIFS(Table1[RSP],Table1[Customer],$M$3,Table1[Date],$A160,Table1[Bill No.],$B160),IF($J160="PETROL",AVERAGEIFS(Table14[RSP],Table14[Customer],$M$3,Table14[Date],$A160,Table14[Bill No.],$B160),IF($J160="XtraGreen",AVERAGEIFS(Table146[RSP],Table146[Company],$M$3,Table146[Date],$A160,Table146[Bill No.],$B160),IFERROR($E160/$C160,"")))))</f>
        <v/>
      </c>
      <c r="E160" s="347" t="str">
        <f>IF($A160="","",IF($J160="DIESEL",SUMIFS(Table1[Amount],Table1[Customer],$M$3,Table1[Date],$A160,Table1[Bill No.],$B160),IF($J160="PETROL",SUMIFS(Table14[Amount],Table14[Customer],$M$3,Table14[Date],$A160,Table14[Bill No.],$B160),IF($J160="XtraGreen",SUMIFS(Table146[Amount],Table146[Company],$M$3,Table146[Date],$A160,Table146[Bill No.],$B160),SUMIFS('Other Sale'!$D:$D,'Other Sale'!$E:$E,$M$3,'Other Sale'!$C:$C,$J160,'Other Sale'!$A:$A,$A160)))))</f>
        <v/>
      </c>
      <c r="F160" s="347" t="str" cm="1">
        <f t="array" ref="F160">IF($A160="","",IF($J160="Payment",IFERROR(INDEX(_xlfn._xlws.FILTER(MasterPaid[Amount Paid],(MasterPaid[Customer]=$M$3)*(MasterPaid[Date]=$A160)),COUNTIFS($A$6:$A160,$A160,$J$6:$J160,"Payment")),0),0))</f>
        <v/>
      </c>
      <c r="G160" s="331"/>
      <c r="H160" s="427"/>
      <c r="I160" s="330" t="str">
        <f t="shared" si="11"/>
        <v/>
      </c>
      <c r="J160" s="344" t="str" cm="1">
        <f t="array" ref="J160">IFERROR(INDEX(_xlfn.ANCHORARRAY($P$6),ROW()-5,3),"")</f>
        <v/>
      </c>
      <c r="K160" s="432" t="str" cm="1">
        <f t="array" ref="K160">IF(OR($A160="",$J160&lt;&gt;"DIESEL"),"",_xlfn.LET(_xlpm.qty,N($C160),_xlpm.pos,$T$5:$T$54,_xlpm.alo,IF($U$5:$U$54="",0,$U$5:$U$54),_xlpm.usd,SUMIFS($C$6:$C159,$K$6:$K159,_xlpm.pos&amp;""),_xlpm.bal,_xlpm.alo-_xlpm.usd,IFERROR(INDEX(_xlfn._xlws.FILTER(_xlpm.pos,(_xlpm.pos&lt;&gt;"")*(_xlpm.qty&gt;0)*(_xlpm.bal&gt;=_xlpm.qty)),1),"")))</f>
        <v/>
      </c>
      <c r="L160" s="348"/>
    </row>
    <row r="161" spans="1:12" ht="23" x14ac:dyDescent="0.25">
      <c r="A161" s="217" t="str" cm="1">
        <f t="array" ref="A161">IFERROR(INDEX(_xlfn.ANCHORARRAY($P$6),ROW()-5,1),"")</f>
        <v/>
      </c>
      <c r="B161" s="344" t="str" cm="1">
        <f t="array" ref="B161">IFERROR(INDEX(_xlfn.ANCHORARRAY($P$6),ROW()-5,2),"")</f>
        <v/>
      </c>
      <c r="C161" s="345" t="str">
        <f>IF($A161="","",IF($J161="DIESEL",SUMIFS(Table1[Quantity],Table1[Customer],$M$3,Table1[Date],$A161,Table1[Bill No.],$B161),IF($J161="PETROL",SUMIFS(Table14[Quantity],Table14[Customer],$M$3,Table14[Date],$A161,Table14[Bill No.],$B161),IF($J161="XtraGreen",SUMIFS(Table146[Quantity],Table146[Company],$M$3,Table146[Date],$A161,Table146[Bill No.],$B161),""))))</f>
        <v/>
      </c>
      <c r="D161" s="346" t="str">
        <f>IF($A161="","",IF($J161="DIESEL",AVERAGEIFS(Table1[RSP],Table1[Customer],$M$3,Table1[Date],$A161,Table1[Bill No.],$B161),IF($J161="PETROL",AVERAGEIFS(Table14[RSP],Table14[Customer],$M$3,Table14[Date],$A161,Table14[Bill No.],$B161),IF($J161="XtraGreen",AVERAGEIFS(Table146[RSP],Table146[Company],$M$3,Table146[Date],$A161,Table146[Bill No.],$B161),IFERROR($E161/$C161,"")))))</f>
        <v/>
      </c>
      <c r="E161" s="347" t="str">
        <f>IF($A161="","",IF($J161="DIESEL",SUMIFS(Table1[Amount],Table1[Customer],$M$3,Table1[Date],$A161,Table1[Bill No.],$B161),IF($J161="PETROL",SUMIFS(Table14[Amount],Table14[Customer],$M$3,Table14[Date],$A161,Table14[Bill No.],$B161),IF($J161="XtraGreen",SUMIFS(Table146[Amount],Table146[Company],$M$3,Table146[Date],$A161,Table146[Bill No.],$B161),SUMIFS('Other Sale'!$D:$D,'Other Sale'!$E:$E,$M$3,'Other Sale'!$C:$C,$J161,'Other Sale'!$A:$A,$A161)))))</f>
        <v/>
      </c>
      <c r="F161" s="347" t="str" cm="1">
        <f t="array" ref="F161">IF($A161="","",IF($J161="Payment",IFERROR(INDEX(_xlfn._xlws.FILTER(MasterPaid[Amount Paid],(MasterPaid[Customer]=$M$3)*(MasterPaid[Date]=$A161)),COUNTIFS($A$6:$A161,$A161,$J$6:$J161,"Payment")),0),0))</f>
        <v/>
      </c>
      <c r="G161" s="331"/>
      <c r="H161" s="427"/>
      <c r="I161" s="330" t="str">
        <f t="shared" si="11"/>
        <v/>
      </c>
      <c r="J161" s="344" t="str" cm="1">
        <f t="array" ref="J161">IFERROR(INDEX(_xlfn.ANCHORARRAY($P$6),ROW()-5,3),"")</f>
        <v/>
      </c>
      <c r="K161" s="432" t="str" cm="1">
        <f t="array" ref="K161">IF(OR($A161="",$J161&lt;&gt;"DIESEL"),"",_xlfn.LET(_xlpm.qty,N($C161),_xlpm.pos,$T$5:$T$54,_xlpm.alo,IF($U$5:$U$54="",0,$U$5:$U$54),_xlpm.usd,SUMIFS($C$6:$C160,$K$6:$K160,_xlpm.pos&amp;""),_xlpm.bal,_xlpm.alo-_xlpm.usd,IFERROR(INDEX(_xlfn._xlws.FILTER(_xlpm.pos,(_xlpm.pos&lt;&gt;"")*(_xlpm.qty&gt;0)*(_xlpm.bal&gt;=_xlpm.qty)),1),"")))</f>
        <v/>
      </c>
      <c r="L161" s="348"/>
    </row>
    <row r="162" spans="1:12" ht="23" x14ac:dyDescent="0.25">
      <c r="A162" s="217" t="str" cm="1">
        <f t="array" ref="A162">IFERROR(INDEX(_xlfn.ANCHORARRAY($P$6),ROW()-5,1),"")</f>
        <v/>
      </c>
      <c r="B162" s="344" t="str" cm="1">
        <f t="array" ref="B162">IFERROR(INDEX(_xlfn.ANCHORARRAY($P$6),ROW()-5,2),"")</f>
        <v/>
      </c>
      <c r="C162" s="345" t="str">
        <f>IF($A162="","",IF($J162="DIESEL",SUMIFS(Table1[Quantity],Table1[Customer],$M$3,Table1[Date],$A162,Table1[Bill No.],$B162),IF($J162="PETROL",SUMIFS(Table14[Quantity],Table14[Customer],$M$3,Table14[Date],$A162,Table14[Bill No.],$B162),IF($J162="XtraGreen",SUMIFS(Table146[Quantity],Table146[Company],$M$3,Table146[Date],$A162,Table146[Bill No.],$B162),""))))</f>
        <v/>
      </c>
      <c r="D162" s="346" t="str">
        <f>IF($A162="","",IF($J162="DIESEL",AVERAGEIFS(Table1[RSP],Table1[Customer],$M$3,Table1[Date],$A162,Table1[Bill No.],$B162),IF($J162="PETROL",AVERAGEIFS(Table14[RSP],Table14[Customer],$M$3,Table14[Date],$A162,Table14[Bill No.],$B162),IF($J162="XtraGreen",AVERAGEIFS(Table146[RSP],Table146[Company],$M$3,Table146[Date],$A162,Table146[Bill No.],$B162),IFERROR($E162/$C162,"")))))</f>
        <v/>
      </c>
      <c r="E162" s="347" t="str">
        <f>IF($A162="","",IF($J162="DIESEL",SUMIFS(Table1[Amount],Table1[Customer],$M$3,Table1[Date],$A162,Table1[Bill No.],$B162),IF($J162="PETROL",SUMIFS(Table14[Amount],Table14[Customer],$M$3,Table14[Date],$A162,Table14[Bill No.],$B162),IF($J162="XtraGreen",SUMIFS(Table146[Amount],Table146[Company],$M$3,Table146[Date],$A162,Table146[Bill No.],$B162),SUMIFS('Other Sale'!$D:$D,'Other Sale'!$E:$E,$M$3,'Other Sale'!$C:$C,$J162,'Other Sale'!$A:$A,$A162)))))</f>
        <v/>
      </c>
      <c r="F162" s="347" t="str" cm="1">
        <f t="array" ref="F162">IF($A162="","",IF($J162="Payment",IFERROR(INDEX(_xlfn._xlws.FILTER(MasterPaid[Amount Paid],(MasterPaid[Customer]=$M$3)*(MasterPaid[Date]=$A162)),COUNTIFS($A$6:$A162,$A162,$J$6:$J162,"Payment")),0),0))</f>
        <v/>
      </c>
      <c r="G162" s="331"/>
      <c r="H162" s="427"/>
      <c r="I162" s="330" t="str">
        <f t="shared" si="11"/>
        <v/>
      </c>
      <c r="J162" s="344" t="str" cm="1">
        <f t="array" ref="J162">IFERROR(INDEX(_xlfn.ANCHORARRAY($P$6),ROW()-5,3),"")</f>
        <v/>
      </c>
      <c r="K162" s="432" t="str" cm="1">
        <f t="array" ref="K162">IF(OR($A162="",$J162&lt;&gt;"DIESEL"),"",_xlfn.LET(_xlpm.qty,N($C162),_xlpm.pos,$T$5:$T$54,_xlpm.alo,IF($U$5:$U$54="",0,$U$5:$U$54),_xlpm.usd,SUMIFS($C$6:$C161,$K$6:$K161,_xlpm.pos&amp;""),_xlpm.bal,_xlpm.alo-_xlpm.usd,IFERROR(INDEX(_xlfn._xlws.FILTER(_xlpm.pos,(_xlpm.pos&lt;&gt;"")*(_xlpm.qty&gt;0)*(_xlpm.bal&gt;=_xlpm.qty)),1),"")))</f>
        <v/>
      </c>
      <c r="L162" s="348"/>
    </row>
    <row r="163" spans="1:12" ht="23" x14ac:dyDescent="0.25">
      <c r="A163" s="217" t="str" cm="1">
        <f t="array" ref="A163">IFERROR(INDEX(_xlfn.ANCHORARRAY($P$6),ROW()-5,1),"")</f>
        <v/>
      </c>
      <c r="B163" s="344" t="str" cm="1">
        <f t="array" ref="B163">IFERROR(INDEX(_xlfn.ANCHORARRAY($P$6),ROW()-5,2),"")</f>
        <v/>
      </c>
      <c r="C163" s="345" t="str">
        <f>IF($A163="","",IF($J163="DIESEL",SUMIFS(Table1[Quantity],Table1[Customer],$M$3,Table1[Date],$A163,Table1[Bill No.],$B163),IF($J163="PETROL",SUMIFS(Table14[Quantity],Table14[Customer],$M$3,Table14[Date],$A163,Table14[Bill No.],$B163),IF($J163="XtraGreen",SUMIFS(Table146[Quantity],Table146[Company],$M$3,Table146[Date],$A163,Table146[Bill No.],$B163),""))))</f>
        <v/>
      </c>
      <c r="D163" s="346" t="str">
        <f>IF($A163="","",IF($J163="DIESEL",AVERAGEIFS(Table1[RSP],Table1[Customer],$M$3,Table1[Date],$A163,Table1[Bill No.],$B163),IF($J163="PETROL",AVERAGEIFS(Table14[RSP],Table14[Customer],$M$3,Table14[Date],$A163,Table14[Bill No.],$B163),IF($J163="XtraGreen",AVERAGEIFS(Table146[RSP],Table146[Company],$M$3,Table146[Date],$A163,Table146[Bill No.],$B163),IFERROR($E163/$C163,"")))))</f>
        <v/>
      </c>
      <c r="E163" s="347" t="str">
        <f>IF($A163="","",IF($J163="DIESEL",SUMIFS(Table1[Amount],Table1[Customer],$M$3,Table1[Date],$A163,Table1[Bill No.],$B163),IF($J163="PETROL",SUMIFS(Table14[Amount],Table14[Customer],$M$3,Table14[Date],$A163,Table14[Bill No.],$B163),IF($J163="XtraGreen",SUMIFS(Table146[Amount],Table146[Company],$M$3,Table146[Date],$A163,Table146[Bill No.],$B163),SUMIFS('Other Sale'!$D:$D,'Other Sale'!$E:$E,$M$3,'Other Sale'!$C:$C,$J163,'Other Sale'!$A:$A,$A163)))))</f>
        <v/>
      </c>
      <c r="F163" s="347" t="str" cm="1">
        <f t="array" ref="F163">IF($A163="","",IF($J163="Payment",IFERROR(INDEX(_xlfn._xlws.FILTER(MasterPaid[Amount Paid],(MasterPaid[Customer]=$M$3)*(MasterPaid[Date]=$A163)),COUNTIFS($A$6:$A163,$A163,$J$6:$J163,"Payment")),0),0))</f>
        <v/>
      </c>
      <c r="G163" s="331"/>
      <c r="H163" s="427"/>
      <c r="I163" s="330" t="str">
        <f t="shared" si="11"/>
        <v/>
      </c>
      <c r="J163" s="344" t="str" cm="1">
        <f t="array" ref="J163">IFERROR(INDEX(_xlfn.ANCHORARRAY($P$6),ROW()-5,3),"")</f>
        <v/>
      </c>
      <c r="K163" s="432" t="str" cm="1">
        <f t="array" ref="K163">IF(OR($A163="",$J163&lt;&gt;"DIESEL"),"",_xlfn.LET(_xlpm.qty,N($C163),_xlpm.pos,$T$5:$T$54,_xlpm.alo,IF($U$5:$U$54="",0,$U$5:$U$54),_xlpm.usd,SUMIFS($C$6:$C162,$K$6:$K162,_xlpm.pos&amp;""),_xlpm.bal,_xlpm.alo-_xlpm.usd,IFERROR(INDEX(_xlfn._xlws.FILTER(_xlpm.pos,(_xlpm.pos&lt;&gt;"")*(_xlpm.qty&gt;0)*(_xlpm.bal&gt;=_xlpm.qty)),1),"")))</f>
        <v/>
      </c>
      <c r="L163" s="348"/>
    </row>
    <row r="164" spans="1:12" ht="23" x14ac:dyDescent="0.25">
      <c r="A164" s="217" t="str" cm="1">
        <f t="array" ref="A164">IFERROR(INDEX(_xlfn.ANCHORARRAY($P$6),ROW()-5,1),"")</f>
        <v/>
      </c>
      <c r="B164" s="344" t="str" cm="1">
        <f t="array" ref="B164">IFERROR(INDEX(_xlfn.ANCHORARRAY($P$6),ROW()-5,2),"")</f>
        <v/>
      </c>
      <c r="C164" s="345" t="str">
        <f>IF($A164="","",IF($J164="DIESEL",SUMIFS(Table1[Quantity],Table1[Customer],$M$3,Table1[Date],$A164,Table1[Bill No.],$B164),IF($J164="PETROL",SUMIFS(Table14[Quantity],Table14[Customer],$M$3,Table14[Date],$A164,Table14[Bill No.],$B164),IF($J164="XtraGreen",SUMIFS(Table146[Quantity],Table146[Company],$M$3,Table146[Date],$A164,Table146[Bill No.],$B164),""))))</f>
        <v/>
      </c>
      <c r="D164" s="346" t="str">
        <f>IF($A164="","",IF($J164="DIESEL",AVERAGEIFS(Table1[RSP],Table1[Customer],$M$3,Table1[Date],$A164,Table1[Bill No.],$B164),IF($J164="PETROL",AVERAGEIFS(Table14[RSP],Table14[Customer],$M$3,Table14[Date],$A164,Table14[Bill No.],$B164),IF($J164="XtraGreen",AVERAGEIFS(Table146[RSP],Table146[Company],$M$3,Table146[Date],$A164,Table146[Bill No.],$B164),IFERROR($E164/$C164,"")))))</f>
        <v/>
      </c>
      <c r="E164" s="347" t="str">
        <f>IF($A164="","",IF($J164="DIESEL",SUMIFS(Table1[Amount],Table1[Customer],$M$3,Table1[Date],$A164,Table1[Bill No.],$B164),IF($J164="PETROL",SUMIFS(Table14[Amount],Table14[Customer],$M$3,Table14[Date],$A164,Table14[Bill No.],$B164),IF($J164="XtraGreen",SUMIFS(Table146[Amount],Table146[Company],$M$3,Table146[Date],$A164,Table146[Bill No.],$B164),SUMIFS('Other Sale'!$D:$D,'Other Sale'!$E:$E,$M$3,'Other Sale'!$C:$C,$J164,'Other Sale'!$A:$A,$A164)))))</f>
        <v/>
      </c>
      <c r="F164" s="347" t="str" cm="1">
        <f t="array" ref="F164">IF($A164="","",IF($J164="Payment",IFERROR(INDEX(_xlfn._xlws.FILTER(MasterPaid[Amount Paid],(MasterPaid[Customer]=$M$3)*(MasterPaid[Date]=$A164)),COUNTIFS($A$6:$A164,$A164,$J$6:$J164,"Payment")),0),0))</f>
        <v/>
      </c>
      <c r="G164" s="331"/>
      <c r="H164" s="427"/>
      <c r="I164" s="330" t="str">
        <f t="shared" si="11"/>
        <v/>
      </c>
      <c r="J164" s="344" t="str" cm="1">
        <f t="array" ref="J164">IFERROR(INDEX(_xlfn.ANCHORARRAY($P$6),ROW()-5,3),"")</f>
        <v/>
      </c>
      <c r="K164" s="432" t="str" cm="1">
        <f t="array" ref="K164">IF(OR($A164="",$J164&lt;&gt;"DIESEL"),"",_xlfn.LET(_xlpm.qty,N($C164),_xlpm.pos,$T$5:$T$54,_xlpm.alo,IF($U$5:$U$54="",0,$U$5:$U$54),_xlpm.usd,SUMIFS($C$6:$C163,$K$6:$K163,_xlpm.pos&amp;""),_xlpm.bal,_xlpm.alo-_xlpm.usd,IFERROR(INDEX(_xlfn._xlws.FILTER(_xlpm.pos,(_xlpm.pos&lt;&gt;"")*(_xlpm.qty&gt;0)*(_xlpm.bal&gt;=_xlpm.qty)),1),"")))</f>
        <v/>
      </c>
      <c r="L164" s="348"/>
    </row>
    <row r="165" spans="1:12" ht="23" x14ac:dyDescent="0.25">
      <c r="A165" s="217" t="str" cm="1">
        <f t="array" ref="A165">IFERROR(INDEX(_xlfn.ANCHORARRAY($P$6),ROW()-5,1),"")</f>
        <v/>
      </c>
      <c r="B165" s="344" t="str" cm="1">
        <f t="array" ref="B165">IFERROR(INDEX(_xlfn.ANCHORARRAY($P$6),ROW()-5,2),"")</f>
        <v/>
      </c>
      <c r="C165" s="345" t="str">
        <f>IF($A165="","",IF($J165="DIESEL",SUMIFS(Table1[Quantity],Table1[Customer],$M$3,Table1[Date],$A165,Table1[Bill No.],$B165),IF($J165="PETROL",SUMIFS(Table14[Quantity],Table14[Customer],$M$3,Table14[Date],$A165,Table14[Bill No.],$B165),IF($J165="XtraGreen",SUMIFS(Table146[Quantity],Table146[Company],$M$3,Table146[Date],$A165,Table146[Bill No.],$B165),""))))</f>
        <v/>
      </c>
      <c r="D165" s="346" t="str">
        <f>IF($A165="","",IF($J165="DIESEL",AVERAGEIFS(Table1[RSP],Table1[Customer],$M$3,Table1[Date],$A165,Table1[Bill No.],$B165),IF($J165="PETROL",AVERAGEIFS(Table14[RSP],Table14[Customer],$M$3,Table14[Date],$A165,Table14[Bill No.],$B165),IF($J165="XtraGreen",AVERAGEIFS(Table146[RSP],Table146[Company],$M$3,Table146[Date],$A165,Table146[Bill No.],$B165),IFERROR($E165/$C165,"")))))</f>
        <v/>
      </c>
      <c r="E165" s="347" t="str">
        <f>IF($A165="","",IF($J165="DIESEL",SUMIFS(Table1[Amount],Table1[Customer],$M$3,Table1[Date],$A165,Table1[Bill No.],$B165),IF($J165="PETROL",SUMIFS(Table14[Amount],Table14[Customer],$M$3,Table14[Date],$A165,Table14[Bill No.],$B165),IF($J165="XtraGreen",SUMIFS(Table146[Amount],Table146[Company],$M$3,Table146[Date],$A165,Table146[Bill No.],$B165),SUMIFS('Other Sale'!$D:$D,'Other Sale'!$E:$E,$M$3,'Other Sale'!$C:$C,$J165,'Other Sale'!$A:$A,$A165)))))</f>
        <v/>
      </c>
      <c r="F165" s="347" t="str" cm="1">
        <f t="array" ref="F165">IF($A165="","",IF($J165="Payment",IFERROR(INDEX(_xlfn._xlws.FILTER(MasterPaid[Amount Paid],(MasterPaid[Customer]=$M$3)*(MasterPaid[Date]=$A165)),COUNTIFS($A$6:$A165,$A165,$J$6:$J165,"Payment")),0),0))</f>
        <v/>
      </c>
      <c r="G165" s="331"/>
      <c r="H165" s="427"/>
      <c r="I165" s="330" t="str">
        <f t="shared" si="11"/>
        <v/>
      </c>
      <c r="J165" s="344" t="str" cm="1">
        <f t="array" ref="J165">IFERROR(INDEX(_xlfn.ANCHORARRAY($P$6),ROW()-5,3),"")</f>
        <v/>
      </c>
      <c r="K165" s="432" t="str" cm="1">
        <f t="array" ref="K165">IF(OR($A165="",$J165&lt;&gt;"DIESEL"),"",_xlfn.LET(_xlpm.qty,N($C165),_xlpm.pos,$T$5:$T$54,_xlpm.alo,IF($U$5:$U$54="",0,$U$5:$U$54),_xlpm.usd,SUMIFS($C$6:$C164,$K$6:$K164,_xlpm.pos&amp;""),_xlpm.bal,_xlpm.alo-_xlpm.usd,IFERROR(INDEX(_xlfn._xlws.FILTER(_xlpm.pos,(_xlpm.pos&lt;&gt;"")*(_xlpm.qty&gt;0)*(_xlpm.bal&gt;=_xlpm.qty)),1),"")))</f>
        <v/>
      </c>
      <c r="L165" s="348"/>
    </row>
    <row r="166" spans="1:12" ht="23" x14ac:dyDescent="0.25">
      <c r="A166" s="217" t="str" cm="1">
        <f t="array" ref="A166">IFERROR(INDEX(_xlfn.ANCHORARRAY($P$6),ROW()-5,1),"")</f>
        <v/>
      </c>
      <c r="B166" s="344" t="str" cm="1">
        <f t="array" ref="B166">IFERROR(INDEX(_xlfn.ANCHORARRAY($P$6),ROW()-5,2),"")</f>
        <v/>
      </c>
      <c r="C166" s="345" t="str">
        <f>IF($A166="","",IF($J166="DIESEL",SUMIFS(Table1[Quantity],Table1[Customer],$M$3,Table1[Date],$A166,Table1[Bill No.],$B166),IF($J166="PETROL",SUMIFS(Table14[Quantity],Table14[Customer],$M$3,Table14[Date],$A166,Table14[Bill No.],$B166),IF($J166="XtraGreen",SUMIFS(Table146[Quantity],Table146[Company],$M$3,Table146[Date],$A166,Table146[Bill No.],$B166),""))))</f>
        <v/>
      </c>
      <c r="D166" s="346" t="str">
        <f>IF($A166="","",IF($J166="DIESEL",AVERAGEIFS(Table1[RSP],Table1[Customer],$M$3,Table1[Date],$A166,Table1[Bill No.],$B166),IF($J166="PETROL",AVERAGEIFS(Table14[RSP],Table14[Customer],$M$3,Table14[Date],$A166,Table14[Bill No.],$B166),IF($J166="XtraGreen",AVERAGEIFS(Table146[RSP],Table146[Company],$M$3,Table146[Date],$A166,Table146[Bill No.],$B166),IFERROR($E166/$C166,"")))))</f>
        <v/>
      </c>
      <c r="E166" s="347" t="str">
        <f>IF($A166="","",IF($J166="DIESEL",SUMIFS(Table1[Amount],Table1[Customer],$M$3,Table1[Date],$A166,Table1[Bill No.],$B166),IF($J166="PETROL",SUMIFS(Table14[Amount],Table14[Customer],$M$3,Table14[Date],$A166,Table14[Bill No.],$B166),IF($J166="XtraGreen",SUMIFS(Table146[Amount],Table146[Company],$M$3,Table146[Date],$A166,Table146[Bill No.],$B166),SUMIFS('Other Sale'!$D:$D,'Other Sale'!$E:$E,$M$3,'Other Sale'!$C:$C,$J166,'Other Sale'!$A:$A,$A166)))))</f>
        <v/>
      </c>
      <c r="F166" s="347" t="str" cm="1">
        <f t="array" ref="F166">IF($A166="","",IF($J166="Payment",IFERROR(INDEX(_xlfn._xlws.FILTER(MasterPaid[Amount Paid],(MasterPaid[Customer]=$M$3)*(MasterPaid[Date]=$A166)),COUNTIFS($A$6:$A166,$A166,$J$6:$J166,"Payment")),0),0))</f>
        <v/>
      </c>
      <c r="G166" s="331"/>
      <c r="H166" s="427"/>
      <c r="I166" s="330" t="str">
        <f t="shared" si="11"/>
        <v/>
      </c>
      <c r="J166" s="344" t="str" cm="1">
        <f t="array" ref="J166">IFERROR(INDEX(_xlfn.ANCHORARRAY($P$6),ROW()-5,3),"")</f>
        <v/>
      </c>
      <c r="K166" s="432" t="str" cm="1">
        <f t="array" ref="K166">IF(OR($A166="",$J166&lt;&gt;"DIESEL"),"",_xlfn.LET(_xlpm.qty,N($C166),_xlpm.pos,$T$5:$T$54,_xlpm.alo,IF($U$5:$U$54="",0,$U$5:$U$54),_xlpm.usd,SUMIFS($C$6:$C165,$K$6:$K165,_xlpm.pos&amp;""),_xlpm.bal,_xlpm.alo-_xlpm.usd,IFERROR(INDEX(_xlfn._xlws.FILTER(_xlpm.pos,(_xlpm.pos&lt;&gt;"")*(_xlpm.qty&gt;0)*(_xlpm.bal&gt;=_xlpm.qty)),1),"")))</f>
        <v/>
      </c>
      <c r="L166" s="348"/>
    </row>
    <row r="167" spans="1:12" ht="23" x14ac:dyDescent="0.25">
      <c r="A167" s="217" t="str" cm="1">
        <f t="array" ref="A167">IFERROR(INDEX(_xlfn.ANCHORARRAY($P$6),ROW()-5,1),"")</f>
        <v/>
      </c>
      <c r="B167" s="344" t="str" cm="1">
        <f t="array" ref="B167">IFERROR(INDEX(_xlfn.ANCHORARRAY($P$6),ROW()-5,2),"")</f>
        <v/>
      </c>
      <c r="C167" s="345" t="str">
        <f>IF($A167="","",IF($J167="DIESEL",SUMIFS(Table1[Quantity],Table1[Customer],$M$3,Table1[Date],$A167,Table1[Bill No.],$B167),IF($J167="PETROL",SUMIFS(Table14[Quantity],Table14[Customer],$M$3,Table14[Date],$A167,Table14[Bill No.],$B167),IF($J167="XtraGreen",SUMIFS(Table146[Quantity],Table146[Company],$M$3,Table146[Date],$A167,Table146[Bill No.],$B167),""))))</f>
        <v/>
      </c>
      <c r="D167" s="346" t="str">
        <f>IF($A167="","",IF($J167="DIESEL",AVERAGEIFS(Table1[RSP],Table1[Customer],$M$3,Table1[Date],$A167,Table1[Bill No.],$B167),IF($J167="PETROL",AVERAGEIFS(Table14[RSP],Table14[Customer],$M$3,Table14[Date],$A167,Table14[Bill No.],$B167),IF($J167="XtraGreen",AVERAGEIFS(Table146[RSP],Table146[Company],$M$3,Table146[Date],$A167,Table146[Bill No.],$B167),IFERROR($E167/$C167,"")))))</f>
        <v/>
      </c>
      <c r="E167" s="347" t="str">
        <f>IF($A167="","",IF($J167="DIESEL",SUMIFS(Table1[Amount],Table1[Customer],$M$3,Table1[Date],$A167,Table1[Bill No.],$B167),IF($J167="PETROL",SUMIFS(Table14[Amount],Table14[Customer],$M$3,Table14[Date],$A167,Table14[Bill No.],$B167),IF($J167="XtraGreen",SUMIFS(Table146[Amount],Table146[Company],$M$3,Table146[Date],$A167,Table146[Bill No.],$B167),SUMIFS('Other Sale'!$D:$D,'Other Sale'!$E:$E,$M$3,'Other Sale'!$C:$C,$J167,'Other Sale'!$A:$A,$A167)))))</f>
        <v/>
      </c>
      <c r="F167" s="347" t="str" cm="1">
        <f t="array" ref="F167">IF($A167="","",IF($J167="Payment",IFERROR(INDEX(_xlfn._xlws.FILTER(MasterPaid[Amount Paid],(MasterPaid[Customer]=$M$3)*(MasterPaid[Date]=$A167)),COUNTIFS($A$6:$A167,$A167,$J$6:$J167,"Payment")),0),0))</f>
        <v/>
      </c>
      <c r="G167" s="331"/>
      <c r="H167" s="427"/>
      <c r="I167" s="330" t="str">
        <f t="shared" si="11"/>
        <v/>
      </c>
      <c r="J167" s="344" t="str" cm="1">
        <f t="array" ref="J167">IFERROR(INDEX(_xlfn.ANCHORARRAY($P$6),ROW()-5,3),"")</f>
        <v/>
      </c>
      <c r="K167" s="432" t="str" cm="1">
        <f t="array" ref="K167">IF(OR($A167="",$J167&lt;&gt;"DIESEL"),"",_xlfn.LET(_xlpm.qty,N($C167),_xlpm.pos,$T$5:$T$54,_xlpm.alo,IF($U$5:$U$54="",0,$U$5:$U$54),_xlpm.usd,SUMIFS($C$6:$C166,$K$6:$K166,_xlpm.pos&amp;""),_xlpm.bal,_xlpm.alo-_xlpm.usd,IFERROR(INDEX(_xlfn._xlws.FILTER(_xlpm.pos,(_xlpm.pos&lt;&gt;"")*(_xlpm.qty&gt;0)*(_xlpm.bal&gt;=_xlpm.qty)),1),"")))</f>
        <v/>
      </c>
      <c r="L167" s="348"/>
    </row>
    <row r="168" spans="1:12" ht="23" x14ac:dyDescent="0.25">
      <c r="A168" s="217" t="str" cm="1">
        <f t="array" ref="A168">IFERROR(INDEX(_xlfn.ANCHORARRAY($P$6),ROW()-5,1),"")</f>
        <v/>
      </c>
      <c r="B168" s="344" t="str" cm="1">
        <f t="array" ref="B168">IFERROR(INDEX(_xlfn.ANCHORARRAY($P$6),ROW()-5,2),"")</f>
        <v/>
      </c>
      <c r="C168" s="345" t="str">
        <f>IF($A168="","",IF($J168="DIESEL",SUMIFS(Table1[Quantity],Table1[Customer],$M$3,Table1[Date],$A168,Table1[Bill No.],$B168),IF($J168="PETROL",SUMIFS(Table14[Quantity],Table14[Customer],$M$3,Table14[Date],$A168,Table14[Bill No.],$B168),IF($J168="XtraGreen",SUMIFS(Table146[Quantity],Table146[Company],$M$3,Table146[Date],$A168,Table146[Bill No.],$B168),""))))</f>
        <v/>
      </c>
      <c r="D168" s="346" t="str">
        <f>IF($A168="","",IF($J168="DIESEL",AVERAGEIFS(Table1[RSP],Table1[Customer],$M$3,Table1[Date],$A168,Table1[Bill No.],$B168),IF($J168="PETROL",AVERAGEIFS(Table14[RSP],Table14[Customer],$M$3,Table14[Date],$A168,Table14[Bill No.],$B168),IF($J168="XtraGreen",AVERAGEIFS(Table146[RSP],Table146[Company],$M$3,Table146[Date],$A168,Table146[Bill No.],$B168),IFERROR($E168/$C168,"")))))</f>
        <v/>
      </c>
      <c r="E168" s="347" t="str">
        <f>IF($A168="","",IF($J168="DIESEL",SUMIFS(Table1[Amount],Table1[Customer],$M$3,Table1[Date],$A168,Table1[Bill No.],$B168),IF($J168="PETROL",SUMIFS(Table14[Amount],Table14[Customer],$M$3,Table14[Date],$A168,Table14[Bill No.],$B168),IF($J168="XtraGreen",SUMIFS(Table146[Amount],Table146[Company],$M$3,Table146[Date],$A168,Table146[Bill No.],$B168),SUMIFS('Other Sale'!$D:$D,'Other Sale'!$E:$E,$M$3,'Other Sale'!$C:$C,$J168,'Other Sale'!$A:$A,$A168)))))</f>
        <v/>
      </c>
      <c r="F168" s="347" t="str" cm="1">
        <f t="array" ref="F168">IF($A168="","",IF($J168="Payment",IFERROR(INDEX(_xlfn._xlws.FILTER(MasterPaid[Amount Paid],(MasterPaid[Customer]=$M$3)*(MasterPaid[Date]=$A168)),COUNTIFS($A$6:$A168,$A168,$J$6:$J168,"Payment")),0),0))</f>
        <v/>
      </c>
      <c r="G168" s="331"/>
      <c r="H168" s="427"/>
      <c r="I168" s="330" t="str">
        <f t="shared" si="11"/>
        <v/>
      </c>
      <c r="J168" s="344" t="str" cm="1">
        <f t="array" ref="J168">IFERROR(INDEX(_xlfn.ANCHORARRAY($P$6),ROW()-5,3),"")</f>
        <v/>
      </c>
      <c r="K168" s="432" t="str" cm="1">
        <f t="array" ref="K168">IF(OR($A168="",$J168&lt;&gt;"DIESEL"),"",_xlfn.LET(_xlpm.qty,N($C168),_xlpm.pos,$T$5:$T$54,_xlpm.alo,IF($U$5:$U$54="",0,$U$5:$U$54),_xlpm.usd,SUMIFS($C$6:$C167,$K$6:$K167,_xlpm.pos&amp;""),_xlpm.bal,_xlpm.alo-_xlpm.usd,IFERROR(INDEX(_xlfn._xlws.FILTER(_xlpm.pos,(_xlpm.pos&lt;&gt;"")*(_xlpm.qty&gt;0)*(_xlpm.bal&gt;=_xlpm.qty)),1),"")))</f>
        <v/>
      </c>
      <c r="L168" s="348"/>
    </row>
    <row r="169" spans="1:12" ht="23" x14ac:dyDescent="0.25">
      <c r="A169" s="217" t="str" cm="1">
        <f t="array" ref="A169">IFERROR(INDEX(_xlfn.ANCHORARRAY($P$6),ROW()-5,1),"")</f>
        <v/>
      </c>
      <c r="B169" s="344" t="str" cm="1">
        <f t="array" ref="B169">IFERROR(INDEX(_xlfn.ANCHORARRAY($P$6),ROW()-5,2),"")</f>
        <v/>
      </c>
      <c r="C169" s="345" t="str">
        <f>IF($A169="","",IF($J169="DIESEL",SUMIFS(Table1[Quantity],Table1[Customer],$M$3,Table1[Date],$A169,Table1[Bill No.],$B169),IF($J169="PETROL",SUMIFS(Table14[Quantity],Table14[Customer],$M$3,Table14[Date],$A169,Table14[Bill No.],$B169),IF($J169="XtraGreen",SUMIFS(Table146[Quantity],Table146[Company],$M$3,Table146[Date],$A169,Table146[Bill No.],$B169),""))))</f>
        <v/>
      </c>
      <c r="D169" s="346" t="str">
        <f>IF($A169="","",IF($J169="DIESEL",AVERAGEIFS(Table1[RSP],Table1[Customer],$M$3,Table1[Date],$A169,Table1[Bill No.],$B169),IF($J169="PETROL",AVERAGEIFS(Table14[RSP],Table14[Customer],$M$3,Table14[Date],$A169,Table14[Bill No.],$B169),IF($J169="XtraGreen",AVERAGEIFS(Table146[RSP],Table146[Company],$M$3,Table146[Date],$A169,Table146[Bill No.],$B169),IFERROR($E169/$C169,"")))))</f>
        <v/>
      </c>
      <c r="E169" s="347" t="str">
        <f>IF($A169="","",IF($J169="DIESEL",SUMIFS(Table1[Amount],Table1[Customer],$M$3,Table1[Date],$A169,Table1[Bill No.],$B169),IF($J169="PETROL",SUMIFS(Table14[Amount],Table14[Customer],$M$3,Table14[Date],$A169,Table14[Bill No.],$B169),IF($J169="XtraGreen",SUMIFS(Table146[Amount],Table146[Company],$M$3,Table146[Date],$A169,Table146[Bill No.],$B169),SUMIFS('Other Sale'!$D:$D,'Other Sale'!$E:$E,$M$3,'Other Sale'!$C:$C,$J169,'Other Sale'!$A:$A,$A169)))))</f>
        <v/>
      </c>
      <c r="F169" s="347" t="str" cm="1">
        <f t="array" ref="F169">IF($A169="","",IF($J169="Payment",IFERROR(INDEX(_xlfn._xlws.FILTER(MasterPaid[Amount Paid],(MasterPaid[Customer]=$M$3)*(MasterPaid[Date]=$A169)),COUNTIFS($A$6:$A169,$A169,$J$6:$J169,"Payment")),0),0))</f>
        <v/>
      </c>
      <c r="G169" s="331"/>
      <c r="H169" s="427"/>
      <c r="I169" s="330" t="str">
        <f t="shared" si="11"/>
        <v/>
      </c>
      <c r="J169" s="344" t="str" cm="1">
        <f t="array" ref="J169">IFERROR(INDEX(_xlfn.ANCHORARRAY($P$6),ROW()-5,3),"")</f>
        <v/>
      </c>
      <c r="K169" s="432" t="str" cm="1">
        <f t="array" ref="K169">IF(OR($A169="",$J169&lt;&gt;"DIESEL"),"",_xlfn.LET(_xlpm.qty,N($C169),_xlpm.pos,$T$5:$T$54,_xlpm.alo,IF($U$5:$U$54="",0,$U$5:$U$54),_xlpm.usd,SUMIFS($C$6:$C168,$K$6:$K168,_xlpm.pos&amp;""),_xlpm.bal,_xlpm.alo-_xlpm.usd,IFERROR(INDEX(_xlfn._xlws.FILTER(_xlpm.pos,(_xlpm.pos&lt;&gt;"")*(_xlpm.qty&gt;0)*(_xlpm.bal&gt;=_xlpm.qty)),1),"")))</f>
        <v/>
      </c>
      <c r="L169" s="348"/>
    </row>
    <row r="170" spans="1:12" ht="23" x14ac:dyDescent="0.25">
      <c r="A170" s="217" t="str" cm="1">
        <f t="array" ref="A170">IFERROR(INDEX(_xlfn.ANCHORARRAY($P$6),ROW()-5,1),"")</f>
        <v/>
      </c>
      <c r="B170" s="344" t="str" cm="1">
        <f t="array" ref="B170">IFERROR(INDEX(_xlfn.ANCHORARRAY($P$6),ROW()-5,2),"")</f>
        <v/>
      </c>
      <c r="C170" s="345" t="str">
        <f>IF($A170="","",IF($J170="DIESEL",SUMIFS(Table1[Quantity],Table1[Customer],$M$3,Table1[Date],$A170,Table1[Bill No.],$B170),IF($J170="PETROL",SUMIFS(Table14[Quantity],Table14[Customer],$M$3,Table14[Date],$A170,Table14[Bill No.],$B170),IF($J170="XtraGreen",SUMIFS(Table146[Quantity],Table146[Company],$M$3,Table146[Date],$A170,Table146[Bill No.],$B170),""))))</f>
        <v/>
      </c>
      <c r="D170" s="346" t="str">
        <f>IF($A170="","",IF($J170="DIESEL",AVERAGEIFS(Table1[RSP],Table1[Customer],$M$3,Table1[Date],$A170,Table1[Bill No.],$B170),IF($J170="PETROL",AVERAGEIFS(Table14[RSP],Table14[Customer],$M$3,Table14[Date],$A170,Table14[Bill No.],$B170),IF($J170="XtraGreen",AVERAGEIFS(Table146[RSP],Table146[Company],$M$3,Table146[Date],$A170,Table146[Bill No.],$B170),IFERROR($E170/$C170,"")))))</f>
        <v/>
      </c>
      <c r="E170" s="347" t="str">
        <f>IF($A170="","",IF($J170="DIESEL",SUMIFS(Table1[Amount],Table1[Customer],$M$3,Table1[Date],$A170,Table1[Bill No.],$B170),IF($J170="PETROL",SUMIFS(Table14[Amount],Table14[Customer],$M$3,Table14[Date],$A170,Table14[Bill No.],$B170),IF($J170="XtraGreen",SUMIFS(Table146[Amount],Table146[Company],$M$3,Table146[Date],$A170,Table146[Bill No.],$B170),SUMIFS('Other Sale'!$D:$D,'Other Sale'!$E:$E,$M$3,'Other Sale'!$C:$C,$J170,'Other Sale'!$A:$A,$A170)))))</f>
        <v/>
      </c>
      <c r="F170" s="347" t="str" cm="1">
        <f t="array" ref="F170">IF($A170="","",IF($J170="Payment",IFERROR(INDEX(_xlfn._xlws.FILTER(MasterPaid[Amount Paid],(MasterPaid[Customer]=$M$3)*(MasterPaid[Date]=$A170)),COUNTIFS($A$6:$A170,$A170,$J$6:$J170,"Payment")),0),0))</f>
        <v/>
      </c>
      <c r="G170" s="331"/>
      <c r="H170" s="427"/>
      <c r="I170" s="330" t="str">
        <f t="shared" si="11"/>
        <v/>
      </c>
      <c r="J170" s="344" t="str" cm="1">
        <f t="array" ref="J170">IFERROR(INDEX(_xlfn.ANCHORARRAY($P$6),ROW()-5,3),"")</f>
        <v/>
      </c>
      <c r="K170" s="432" t="str" cm="1">
        <f t="array" ref="K170">IF(OR($A170="",$J170&lt;&gt;"DIESEL"),"",_xlfn.LET(_xlpm.qty,N($C170),_xlpm.pos,$T$5:$T$54,_xlpm.alo,IF($U$5:$U$54="",0,$U$5:$U$54),_xlpm.usd,SUMIFS($C$6:$C169,$K$6:$K169,_xlpm.pos&amp;""),_xlpm.bal,_xlpm.alo-_xlpm.usd,IFERROR(INDEX(_xlfn._xlws.FILTER(_xlpm.pos,(_xlpm.pos&lt;&gt;"")*(_xlpm.qty&gt;0)*(_xlpm.bal&gt;=_xlpm.qty)),1),"")))</f>
        <v/>
      </c>
      <c r="L170" s="348"/>
    </row>
    <row r="171" spans="1:12" ht="23" x14ac:dyDescent="0.25">
      <c r="A171" s="217" t="str" cm="1">
        <f t="array" ref="A171">IFERROR(INDEX(_xlfn.ANCHORARRAY($P$6),ROW()-5,1),"")</f>
        <v/>
      </c>
      <c r="B171" s="344" t="str" cm="1">
        <f t="array" ref="B171">IFERROR(INDEX(_xlfn.ANCHORARRAY($P$6),ROW()-5,2),"")</f>
        <v/>
      </c>
      <c r="C171" s="345" t="str">
        <f>IF($A171="","",IF($J171="DIESEL",SUMIFS(Table1[Quantity],Table1[Customer],$M$3,Table1[Date],$A171,Table1[Bill No.],$B171),IF($J171="PETROL",SUMIFS(Table14[Quantity],Table14[Customer],$M$3,Table14[Date],$A171,Table14[Bill No.],$B171),IF($J171="XtraGreen",SUMIFS(Table146[Quantity],Table146[Company],$M$3,Table146[Date],$A171,Table146[Bill No.],$B171),""))))</f>
        <v/>
      </c>
      <c r="D171" s="346" t="str">
        <f>IF($A171="","",IF($J171="DIESEL",AVERAGEIFS(Table1[RSP],Table1[Customer],$M$3,Table1[Date],$A171,Table1[Bill No.],$B171),IF($J171="PETROL",AVERAGEIFS(Table14[RSP],Table14[Customer],$M$3,Table14[Date],$A171,Table14[Bill No.],$B171),IF($J171="XtraGreen",AVERAGEIFS(Table146[RSP],Table146[Company],$M$3,Table146[Date],$A171,Table146[Bill No.],$B171),IFERROR($E171/$C171,"")))))</f>
        <v/>
      </c>
      <c r="E171" s="347" t="str">
        <f>IF($A171="","",IF($J171="DIESEL",SUMIFS(Table1[Amount],Table1[Customer],$M$3,Table1[Date],$A171,Table1[Bill No.],$B171),IF($J171="PETROL",SUMIFS(Table14[Amount],Table14[Customer],$M$3,Table14[Date],$A171,Table14[Bill No.],$B171),IF($J171="XtraGreen",SUMIFS(Table146[Amount],Table146[Company],$M$3,Table146[Date],$A171,Table146[Bill No.],$B171),SUMIFS('Other Sale'!$D:$D,'Other Sale'!$E:$E,$M$3,'Other Sale'!$C:$C,$J171,'Other Sale'!$A:$A,$A171)))))</f>
        <v/>
      </c>
      <c r="F171" s="347" t="str" cm="1">
        <f t="array" ref="F171">IF($A171="","",IF($J171="Payment",IFERROR(INDEX(_xlfn._xlws.FILTER(MasterPaid[Amount Paid],(MasterPaid[Customer]=$M$3)*(MasterPaid[Date]=$A171)),COUNTIFS($A$6:$A171,$A171,$J$6:$J171,"Payment")),0),0))</f>
        <v/>
      </c>
      <c r="G171" s="331"/>
      <c r="H171" s="427"/>
      <c r="I171" s="330" t="str">
        <f t="shared" si="11"/>
        <v/>
      </c>
      <c r="J171" s="344" t="str" cm="1">
        <f t="array" ref="J171">IFERROR(INDEX(_xlfn.ANCHORARRAY($P$6),ROW()-5,3),"")</f>
        <v/>
      </c>
      <c r="K171" s="432" t="str" cm="1">
        <f t="array" ref="K171">IF(OR($A171="",$J171&lt;&gt;"DIESEL"),"",_xlfn.LET(_xlpm.qty,N($C171),_xlpm.pos,$T$5:$T$54,_xlpm.alo,IF($U$5:$U$54="",0,$U$5:$U$54),_xlpm.usd,SUMIFS($C$6:$C170,$K$6:$K170,_xlpm.pos&amp;""),_xlpm.bal,_xlpm.alo-_xlpm.usd,IFERROR(INDEX(_xlfn._xlws.FILTER(_xlpm.pos,(_xlpm.pos&lt;&gt;"")*(_xlpm.qty&gt;0)*(_xlpm.bal&gt;=_xlpm.qty)),1),"")))</f>
        <v/>
      </c>
      <c r="L171" s="348"/>
    </row>
    <row r="172" spans="1:12" ht="23" x14ac:dyDescent="0.25">
      <c r="A172" s="217" t="str" cm="1">
        <f t="array" ref="A172">IFERROR(INDEX(_xlfn.ANCHORARRAY($P$6),ROW()-5,1),"")</f>
        <v/>
      </c>
      <c r="B172" s="344" t="str" cm="1">
        <f t="array" ref="B172">IFERROR(INDEX(_xlfn.ANCHORARRAY($P$6),ROW()-5,2),"")</f>
        <v/>
      </c>
      <c r="C172" s="345" t="str">
        <f>IF($A172="","",IF($J172="DIESEL",SUMIFS(Table1[Quantity],Table1[Customer],$M$3,Table1[Date],$A172,Table1[Bill No.],$B172),IF($J172="PETROL",SUMIFS(Table14[Quantity],Table14[Customer],$M$3,Table14[Date],$A172,Table14[Bill No.],$B172),IF($J172="XtraGreen",SUMIFS(Table146[Quantity],Table146[Company],$M$3,Table146[Date],$A172,Table146[Bill No.],$B172),""))))</f>
        <v/>
      </c>
      <c r="D172" s="346" t="str">
        <f>IF($A172="","",IF($J172="DIESEL",AVERAGEIFS(Table1[RSP],Table1[Customer],$M$3,Table1[Date],$A172,Table1[Bill No.],$B172),IF($J172="PETROL",AVERAGEIFS(Table14[RSP],Table14[Customer],$M$3,Table14[Date],$A172,Table14[Bill No.],$B172),IF($J172="XtraGreen",AVERAGEIFS(Table146[RSP],Table146[Company],$M$3,Table146[Date],$A172,Table146[Bill No.],$B172),IFERROR($E172/$C172,"")))))</f>
        <v/>
      </c>
      <c r="E172" s="347" t="str">
        <f>IF($A172="","",IF($J172="DIESEL",SUMIFS(Table1[Amount],Table1[Customer],$M$3,Table1[Date],$A172,Table1[Bill No.],$B172),IF($J172="PETROL",SUMIFS(Table14[Amount],Table14[Customer],$M$3,Table14[Date],$A172,Table14[Bill No.],$B172),IF($J172="XtraGreen",SUMIFS(Table146[Amount],Table146[Company],$M$3,Table146[Date],$A172,Table146[Bill No.],$B172),SUMIFS('Other Sale'!$D:$D,'Other Sale'!$E:$E,$M$3,'Other Sale'!$C:$C,$J172,'Other Sale'!$A:$A,$A172)))))</f>
        <v/>
      </c>
      <c r="F172" s="347" t="str" cm="1">
        <f t="array" ref="F172">IF($A172="","",IF($J172="Payment",IFERROR(INDEX(_xlfn._xlws.FILTER(MasterPaid[Amount Paid],(MasterPaid[Customer]=$M$3)*(MasterPaid[Date]=$A172)),COUNTIFS($A$6:$A172,$A172,$J$6:$J172,"Payment")),0),0))</f>
        <v/>
      </c>
      <c r="G172" s="331"/>
      <c r="H172" s="427"/>
      <c r="I172" s="330" t="str">
        <f t="shared" si="11"/>
        <v/>
      </c>
      <c r="J172" s="344" t="str" cm="1">
        <f t="array" ref="J172">IFERROR(INDEX(_xlfn.ANCHORARRAY($P$6),ROW()-5,3),"")</f>
        <v/>
      </c>
      <c r="K172" s="432" t="str" cm="1">
        <f t="array" ref="K172">IF(OR($A172="",$J172&lt;&gt;"DIESEL"),"",_xlfn.LET(_xlpm.qty,N($C172),_xlpm.pos,$T$5:$T$54,_xlpm.alo,IF($U$5:$U$54="",0,$U$5:$U$54),_xlpm.usd,SUMIFS($C$6:$C171,$K$6:$K171,_xlpm.pos&amp;""),_xlpm.bal,_xlpm.alo-_xlpm.usd,IFERROR(INDEX(_xlfn._xlws.FILTER(_xlpm.pos,(_xlpm.pos&lt;&gt;"")*(_xlpm.qty&gt;0)*(_xlpm.bal&gt;=_xlpm.qty)),1),"")))</f>
        <v/>
      </c>
      <c r="L172" s="348"/>
    </row>
    <row r="173" spans="1:12" ht="23" x14ac:dyDescent="0.25">
      <c r="A173" s="217" t="str" cm="1">
        <f t="array" ref="A173">IFERROR(INDEX(_xlfn.ANCHORARRAY($P$6),ROW()-5,1),"")</f>
        <v/>
      </c>
      <c r="B173" s="344" t="str" cm="1">
        <f t="array" ref="B173">IFERROR(INDEX(_xlfn.ANCHORARRAY($P$6),ROW()-5,2),"")</f>
        <v/>
      </c>
      <c r="C173" s="345" t="str">
        <f>IF($A173="","",IF($J173="DIESEL",SUMIFS(Table1[Quantity],Table1[Customer],$M$3,Table1[Date],$A173,Table1[Bill No.],$B173),IF($J173="PETROL",SUMIFS(Table14[Quantity],Table14[Customer],$M$3,Table14[Date],$A173,Table14[Bill No.],$B173),IF($J173="XtraGreen",SUMIFS(Table146[Quantity],Table146[Company],$M$3,Table146[Date],$A173,Table146[Bill No.],$B173),""))))</f>
        <v/>
      </c>
      <c r="D173" s="346" t="str">
        <f>IF($A173="","",IF($J173="DIESEL",AVERAGEIFS(Table1[RSP],Table1[Customer],$M$3,Table1[Date],$A173,Table1[Bill No.],$B173),IF($J173="PETROL",AVERAGEIFS(Table14[RSP],Table14[Customer],$M$3,Table14[Date],$A173,Table14[Bill No.],$B173),IF($J173="XtraGreen",AVERAGEIFS(Table146[RSP],Table146[Company],$M$3,Table146[Date],$A173,Table146[Bill No.],$B173),IFERROR($E173/$C173,"")))))</f>
        <v/>
      </c>
      <c r="E173" s="347" t="str">
        <f>IF($A173="","",IF($J173="DIESEL",SUMIFS(Table1[Amount],Table1[Customer],$M$3,Table1[Date],$A173,Table1[Bill No.],$B173),IF($J173="PETROL",SUMIFS(Table14[Amount],Table14[Customer],$M$3,Table14[Date],$A173,Table14[Bill No.],$B173),IF($J173="XtraGreen",SUMIFS(Table146[Amount],Table146[Company],$M$3,Table146[Date],$A173,Table146[Bill No.],$B173),SUMIFS('Other Sale'!$D:$D,'Other Sale'!$E:$E,$M$3,'Other Sale'!$C:$C,$J173,'Other Sale'!$A:$A,$A173)))))</f>
        <v/>
      </c>
      <c r="F173" s="347" t="str" cm="1">
        <f t="array" ref="F173">IF($A173="","",IF($J173="Payment",IFERROR(INDEX(_xlfn._xlws.FILTER(MasterPaid[Amount Paid],(MasterPaid[Customer]=$M$3)*(MasterPaid[Date]=$A173)),COUNTIFS($A$6:$A173,$A173,$J$6:$J173,"Payment")),0),0))</f>
        <v/>
      </c>
      <c r="G173" s="331"/>
      <c r="H173" s="427"/>
      <c r="I173" s="330" t="str">
        <f t="shared" si="11"/>
        <v/>
      </c>
      <c r="J173" s="344" t="str" cm="1">
        <f t="array" ref="J173">IFERROR(INDEX(_xlfn.ANCHORARRAY($P$6),ROW()-5,3),"")</f>
        <v/>
      </c>
      <c r="K173" s="432" t="str" cm="1">
        <f t="array" ref="K173">IF(OR($A173="",$J173&lt;&gt;"DIESEL"),"",_xlfn.LET(_xlpm.qty,N($C173),_xlpm.pos,$T$5:$T$54,_xlpm.alo,IF($U$5:$U$54="",0,$U$5:$U$54),_xlpm.usd,SUMIFS($C$6:$C172,$K$6:$K172,_xlpm.pos&amp;""),_xlpm.bal,_xlpm.alo-_xlpm.usd,IFERROR(INDEX(_xlfn._xlws.FILTER(_xlpm.pos,(_xlpm.pos&lt;&gt;"")*(_xlpm.qty&gt;0)*(_xlpm.bal&gt;=_xlpm.qty)),1),"")))</f>
        <v/>
      </c>
      <c r="L173" s="348"/>
    </row>
    <row r="174" spans="1:12" ht="23" x14ac:dyDescent="0.25">
      <c r="A174" s="217" t="str" cm="1">
        <f t="array" ref="A174">IFERROR(INDEX(_xlfn.ANCHORARRAY($P$6),ROW()-5,1),"")</f>
        <v/>
      </c>
      <c r="B174" s="344" t="str" cm="1">
        <f t="array" ref="B174">IFERROR(INDEX(_xlfn.ANCHORARRAY($P$6),ROW()-5,2),"")</f>
        <v/>
      </c>
      <c r="C174" s="345" t="str">
        <f>IF($A174="","",IF($J174="DIESEL",SUMIFS(Table1[Quantity],Table1[Customer],$M$3,Table1[Date],$A174,Table1[Bill No.],$B174),IF($J174="PETROL",SUMIFS(Table14[Quantity],Table14[Customer],$M$3,Table14[Date],$A174,Table14[Bill No.],$B174),IF($J174="XtraGreen",SUMIFS(Table146[Quantity],Table146[Company],$M$3,Table146[Date],$A174,Table146[Bill No.],$B174),""))))</f>
        <v/>
      </c>
      <c r="D174" s="346" t="str">
        <f>IF($A174="","",IF($J174="DIESEL",AVERAGEIFS(Table1[RSP],Table1[Customer],$M$3,Table1[Date],$A174,Table1[Bill No.],$B174),IF($J174="PETROL",AVERAGEIFS(Table14[RSP],Table14[Customer],$M$3,Table14[Date],$A174,Table14[Bill No.],$B174),IF($J174="XtraGreen",AVERAGEIFS(Table146[RSP],Table146[Company],$M$3,Table146[Date],$A174,Table146[Bill No.],$B174),IFERROR($E174/$C174,"")))))</f>
        <v/>
      </c>
      <c r="E174" s="347" t="str">
        <f>IF($A174="","",IF($J174="DIESEL",SUMIFS(Table1[Amount],Table1[Customer],$M$3,Table1[Date],$A174,Table1[Bill No.],$B174),IF($J174="PETROL",SUMIFS(Table14[Amount],Table14[Customer],$M$3,Table14[Date],$A174,Table14[Bill No.],$B174),IF($J174="XtraGreen",SUMIFS(Table146[Amount],Table146[Company],$M$3,Table146[Date],$A174,Table146[Bill No.],$B174),SUMIFS('Other Sale'!$D:$D,'Other Sale'!$E:$E,$M$3,'Other Sale'!$C:$C,$J174,'Other Sale'!$A:$A,$A174)))))</f>
        <v/>
      </c>
      <c r="F174" s="347" t="str" cm="1">
        <f t="array" ref="F174">IF($A174="","",IF($J174="Payment",IFERROR(INDEX(_xlfn._xlws.FILTER(MasterPaid[Amount Paid],(MasterPaid[Customer]=$M$3)*(MasterPaid[Date]=$A174)),COUNTIFS($A$6:$A174,$A174,$J$6:$J174,"Payment")),0),0))</f>
        <v/>
      </c>
      <c r="G174" s="331"/>
      <c r="H174" s="427"/>
      <c r="I174" s="330" t="str">
        <f t="shared" si="11"/>
        <v/>
      </c>
      <c r="J174" s="344" t="str" cm="1">
        <f t="array" ref="J174">IFERROR(INDEX(_xlfn.ANCHORARRAY($P$6),ROW()-5,3),"")</f>
        <v/>
      </c>
      <c r="K174" s="432" t="str" cm="1">
        <f t="array" ref="K174">IF(OR($A174="",$J174&lt;&gt;"DIESEL"),"",_xlfn.LET(_xlpm.qty,N($C174),_xlpm.pos,$T$5:$T$54,_xlpm.alo,IF($U$5:$U$54="",0,$U$5:$U$54),_xlpm.usd,SUMIFS($C$6:$C173,$K$6:$K173,_xlpm.pos&amp;""),_xlpm.bal,_xlpm.alo-_xlpm.usd,IFERROR(INDEX(_xlfn._xlws.FILTER(_xlpm.pos,(_xlpm.pos&lt;&gt;"")*(_xlpm.qty&gt;0)*(_xlpm.bal&gt;=_xlpm.qty)),1),"")))</f>
        <v/>
      </c>
      <c r="L174" s="348"/>
    </row>
    <row r="175" spans="1:12" ht="23" x14ac:dyDescent="0.25">
      <c r="A175" s="217" t="str" cm="1">
        <f t="array" ref="A175">IFERROR(INDEX(_xlfn.ANCHORARRAY($P$6),ROW()-5,1),"")</f>
        <v/>
      </c>
      <c r="B175" s="344" t="str" cm="1">
        <f t="array" ref="B175">IFERROR(INDEX(_xlfn.ANCHORARRAY($P$6),ROW()-5,2),"")</f>
        <v/>
      </c>
      <c r="C175" s="345" t="str">
        <f>IF($A175="","",IF($J175="DIESEL",SUMIFS(Table1[Quantity],Table1[Customer],$M$3,Table1[Date],$A175,Table1[Bill No.],$B175),IF($J175="PETROL",SUMIFS(Table14[Quantity],Table14[Customer],$M$3,Table14[Date],$A175,Table14[Bill No.],$B175),IF($J175="XtraGreen",SUMIFS(Table146[Quantity],Table146[Company],$M$3,Table146[Date],$A175,Table146[Bill No.],$B175),""))))</f>
        <v/>
      </c>
      <c r="D175" s="346" t="str">
        <f>IF($A175="","",IF($J175="DIESEL",AVERAGEIFS(Table1[RSP],Table1[Customer],$M$3,Table1[Date],$A175,Table1[Bill No.],$B175),IF($J175="PETROL",AVERAGEIFS(Table14[RSP],Table14[Customer],$M$3,Table14[Date],$A175,Table14[Bill No.],$B175),IF($J175="XtraGreen",AVERAGEIFS(Table146[RSP],Table146[Company],$M$3,Table146[Date],$A175,Table146[Bill No.],$B175),IFERROR($E175/$C175,"")))))</f>
        <v/>
      </c>
      <c r="E175" s="347" t="str">
        <f>IF($A175="","",IF($J175="DIESEL",SUMIFS(Table1[Amount],Table1[Customer],$M$3,Table1[Date],$A175,Table1[Bill No.],$B175),IF($J175="PETROL",SUMIFS(Table14[Amount],Table14[Customer],$M$3,Table14[Date],$A175,Table14[Bill No.],$B175),IF($J175="XtraGreen",SUMIFS(Table146[Amount],Table146[Company],$M$3,Table146[Date],$A175,Table146[Bill No.],$B175),SUMIFS('Other Sale'!$D:$D,'Other Sale'!$E:$E,$M$3,'Other Sale'!$C:$C,$J175,'Other Sale'!$A:$A,$A175)))))</f>
        <v/>
      </c>
      <c r="F175" s="347" t="str" cm="1">
        <f t="array" ref="F175">IF($A175="","",IF($J175="Payment",IFERROR(INDEX(_xlfn._xlws.FILTER(MasterPaid[Amount Paid],(MasterPaid[Customer]=$M$3)*(MasterPaid[Date]=$A175)),COUNTIFS($A$6:$A175,$A175,$J$6:$J175,"Payment")),0),0))</f>
        <v/>
      </c>
      <c r="G175" s="331"/>
      <c r="H175" s="427"/>
      <c r="I175" s="330" t="str">
        <f t="shared" si="11"/>
        <v/>
      </c>
      <c r="J175" s="344" t="str" cm="1">
        <f t="array" ref="J175">IFERROR(INDEX(_xlfn.ANCHORARRAY($P$6),ROW()-5,3),"")</f>
        <v/>
      </c>
      <c r="K175" s="432" t="str" cm="1">
        <f t="array" ref="K175">IF(OR($A175="",$J175&lt;&gt;"DIESEL"),"",_xlfn.LET(_xlpm.qty,N($C175),_xlpm.pos,$T$5:$T$54,_xlpm.alo,IF($U$5:$U$54="",0,$U$5:$U$54),_xlpm.usd,SUMIFS($C$6:$C174,$K$6:$K174,_xlpm.pos&amp;""),_xlpm.bal,_xlpm.alo-_xlpm.usd,IFERROR(INDEX(_xlfn._xlws.FILTER(_xlpm.pos,(_xlpm.pos&lt;&gt;"")*(_xlpm.qty&gt;0)*(_xlpm.bal&gt;=_xlpm.qty)),1),"")))</f>
        <v/>
      </c>
      <c r="L175" s="348"/>
    </row>
    <row r="176" spans="1:12" ht="23" x14ac:dyDescent="0.25">
      <c r="A176" s="217" t="str" cm="1">
        <f t="array" ref="A176">IFERROR(INDEX(_xlfn.ANCHORARRAY($P$6),ROW()-5,1),"")</f>
        <v/>
      </c>
      <c r="B176" s="344" t="str" cm="1">
        <f t="array" ref="B176">IFERROR(INDEX(_xlfn.ANCHORARRAY($P$6),ROW()-5,2),"")</f>
        <v/>
      </c>
      <c r="C176" s="345" t="str">
        <f>IF($A176="","",IF($J176="DIESEL",SUMIFS(Table1[Quantity],Table1[Customer],$M$3,Table1[Date],$A176,Table1[Bill No.],$B176),IF($J176="PETROL",SUMIFS(Table14[Quantity],Table14[Customer],$M$3,Table14[Date],$A176,Table14[Bill No.],$B176),IF($J176="XtraGreen",SUMIFS(Table146[Quantity],Table146[Company],$M$3,Table146[Date],$A176,Table146[Bill No.],$B176),""))))</f>
        <v/>
      </c>
      <c r="D176" s="346" t="str">
        <f>IF($A176="","",IF($J176="DIESEL",AVERAGEIFS(Table1[RSP],Table1[Customer],$M$3,Table1[Date],$A176,Table1[Bill No.],$B176),IF($J176="PETROL",AVERAGEIFS(Table14[RSP],Table14[Customer],$M$3,Table14[Date],$A176,Table14[Bill No.],$B176),IF($J176="XtraGreen",AVERAGEIFS(Table146[RSP],Table146[Company],$M$3,Table146[Date],$A176,Table146[Bill No.],$B176),IFERROR($E176/$C176,"")))))</f>
        <v/>
      </c>
      <c r="E176" s="347" t="str">
        <f>IF($A176="","",IF($J176="DIESEL",SUMIFS(Table1[Amount],Table1[Customer],$M$3,Table1[Date],$A176,Table1[Bill No.],$B176),IF($J176="PETROL",SUMIFS(Table14[Amount],Table14[Customer],$M$3,Table14[Date],$A176,Table14[Bill No.],$B176),IF($J176="XtraGreen",SUMIFS(Table146[Amount],Table146[Company],$M$3,Table146[Date],$A176,Table146[Bill No.],$B176),SUMIFS('Other Sale'!$D:$D,'Other Sale'!$E:$E,$M$3,'Other Sale'!$C:$C,$J176,'Other Sale'!$A:$A,$A176)))))</f>
        <v/>
      </c>
      <c r="F176" s="347" t="str" cm="1">
        <f t="array" ref="F176">IF($A176="","",IF($J176="Payment",IFERROR(INDEX(_xlfn._xlws.FILTER(MasterPaid[Amount Paid],(MasterPaid[Customer]=$M$3)*(MasterPaid[Date]=$A176)),COUNTIFS($A$6:$A176,$A176,$J$6:$J176,"Payment")),0),0))</f>
        <v/>
      </c>
      <c r="G176" s="331"/>
      <c r="H176" s="427"/>
      <c r="I176" s="330" t="str">
        <f t="shared" si="11"/>
        <v/>
      </c>
      <c r="J176" s="344" t="str" cm="1">
        <f t="array" ref="J176">IFERROR(INDEX(_xlfn.ANCHORARRAY($P$6),ROW()-5,3),"")</f>
        <v/>
      </c>
      <c r="K176" s="432" t="str" cm="1">
        <f t="array" ref="K176">IF(OR($A176="",$J176&lt;&gt;"DIESEL"),"",_xlfn.LET(_xlpm.qty,N($C176),_xlpm.pos,$T$5:$T$54,_xlpm.alo,IF($U$5:$U$54="",0,$U$5:$U$54),_xlpm.usd,SUMIFS($C$6:$C175,$K$6:$K175,_xlpm.pos&amp;""),_xlpm.bal,_xlpm.alo-_xlpm.usd,IFERROR(INDEX(_xlfn._xlws.FILTER(_xlpm.pos,(_xlpm.pos&lt;&gt;"")*(_xlpm.qty&gt;0)*(_xlpm.bal&gt;=_xlpm.qty)),1),"")))</f>
        <v/>
      </c>
      <c r="L176" s="348"/>
    </row>
    <row r="177" spans="1:12" ht="23" x14ac:dyDescent="0.25">
      <c r="A177" s="217" t="str" cm="1">
        <f t="array" ref="A177">IFERROR(INDEX(_xlfn.ANCHORARRAY($P$6),ROW()-5,1),"")</f>
        <v/>
      </c>
      <c r="B177" s="344" t="str" cm="1">
        <f t="array" ref="B177">IFERROR(INDEX(_xlfn.ANCHORARRAY($P$6),ROW()-5,2),"")</f>
        <v/>
      </c>
      <c r="C177" s="345" t="str">
        <f>IF($A177="","",IF($J177="DIESEL",SUMIFS(Table1[Quantity],Table1[Customer],$M$3,Table1[Date],$A177,Table1[Bill No.],$B177),IF($J177="PETROL",SUMIFS(Table14[Quantity],Table14[Customer],$M$3,Table14[Date],$A177,Table14[Bill No.],$B177),IF($J177="XtraGreen",SUMIFS(Table146[Quantity],Table146[Company],$M$3,Table146[Date],$A177,Table146[Bill No.],$B177),""))))</f>
        <v/>
      </c>
      <c r="D177" s="346" t="str">
        <f>IF($A177="","",IF($J177="DIESEL",AVERAGEIFS(Table1[RSP],Table1[Customer],$M$3,Table1[Date],$A177,Table1[Bill No.],$B177),IF($J177="PETROL",AVERAGEIFS(Table14[RSP],Table14[Customer],$M$3,Table14[Date],$A177,Table14[Bill No.],$B177),IF($J177="XtraGreen",AVERAGEIFS(Table146[RSP],Table146[Company],$M$3,Table146[Date],$A177,Table146[Bill No.],$B177),IFERROR($E177/$C177,"")))))</f>
        <v/>
      </c>
      <c r="E177" s="347" t="str">
        <f>IF($A177="","",IF($J177="DIESEL",SUMIFS(Table1[Amount],Table1[Customer],$M$3,Table1[Date],$A177,Table1[Bill No.],$B177),IF($J177="PETROL",SUMIFS(Table14[Amount],Table14[Customer],$M$3,Table14[Date],$A177,Table14[Bill No.],$B177),IF($J177="XtraGreen",SUMIFS(Table146[Amount],Table146[Company],$M$3,Table146[Date],$A177,Table146[Bill No.],$B177),SUMIFS('Other Sale'!$D:$D,'Other Sale'!$E:$E,$M$3,'Other Sale'!$C:$C,$J177,'Other Sale'!$A:$A,$A177)))))</f>
        <v/>
      </c>
      <c r="F177" s="347" t="str" cm="1">
        <f t="array" ref="F177">IF($A177="","",IF($J177="Payment",IFERROR(INDEX(_xlfn._xlws.FILTER(MasterPaid[Amount Paid],(MasterPaid[Customer]=$M$3)*(MasterPaid[Date]=$A177)),COUNTIFS($A$6:$A177,$A177,$J$6:$J177,"Payment")),0),0))</f>
        <v/>
      </c>
      <c r="G177" s="331"/>
      <c r="H177" s="427"/>
      <c r="I177" s="330" t="str">
        <f t="shared" si="11"/>
        <v/>
      </c>
      <c r="J177" s="344" t="str" cm="1">
        <f t="array" ref="J177">IFERROR(INDEX(_xlfn.ANCHORARRAY($P$6),ROW()-5,3),"")</f>
        <v/>
      </c>
      <c r="K177" s="432" t="str" cm="1">
        <f t="array" ref="K177">IF(OR($A177="",$J177&lt;&gt;"DIESEL"),"",_xlfn.LET(_xlpm.qty,N($C177),_xlpm.pos,$T$5:$T$54,_xlpm.alo,IF($U$5:$U$54="",0,$U$5:$U$54),_xlpm.usd,SUMIFS($C$6:$C176,$K$6:$K176,_xlpm.pos&amp;""),_xlpm.bal,_xlpm.alo-_xlpm.usd,IFERROR(INDEX(_xlfn._xlws.FILTER(_xlpm.pos,(_xlpm.pos&lt;&gt;"")*(_xlpm.qty&gt;0)*(_xlpm.bal&gt;=_xlpm.qty)),1),"")))</f>
        <v/>
      </c>
      <c r="L177" s="348"/>
    </row>
    <row r="178" spans="1:12" ht="23" x14ac:dyDescent="0.25">
      <c r="A178" s="217" t="str" cm="1">
        <f t="array" ref="A178">IFERROR(INDEX(_xlfn.ANCHORARRAY($P$6),ROW()-5,1),"")</f>
        <v/>
      </c>
      <c r="B178" s="344" t="str" cm="1">
        <f t="array" ref="B178">IFERROR(INDEX(_xlfn.ANCHORARRAY($P$6),ROW()-5,2),"")</f>
        <v/>
      </c>
      <c r="C178" s="345" t="str">
        <f>IF($A178="","",IF($J178="DIESEL",SUMIFS(Table1[Quantity],Table1[Customer],$M$3,Table1[Date],$A178,Table1[Bill No.],$B178),IF($J178="PETROL",SUMIFS(Table14[Quantity],Table14[Customer],$M$3,Table14[Date],$A178,Table14[Bill No.],$B178),IF($J178="XtraGreen",SUMIFS(Table146[Quantity],Table146[Company],$M$3,Table146[Date],$A178,Table146[Bill No.],$B178),""))))</f>
        <v/>
      </c>
      <c r="D178" s="346" t="str">
        <f>IF($A178="","",IF($J178="DIESEL",AVERAGEIFS(Table1[RSP],Table1[Customer],$M$3,Table1[Date],$A178,Table1[Bill No.],$B178),IF($J178="PETROL",AVERAGEIFS(Table14[RSP],Table14[Customer],$M$3,Table14[Date],$A178,Table14[Bill No.],$B178),IF($J178="XtraGreen",AVERAGEIFS(Table146[RSP],Table146[Company],$M$3,Table146[Date],$A178,Table146[Bill No.],$B178),IFERROR($E178/$C178,"")))))</f>
        <v/>
      </c>
      <c r="E178" s="347" t="str">
        <f>IF($A178="","",IF($J178="DIESEL",SUMIFS(Table1[Amount],Table1[Customer],$M$3,Table1[Date],$A178,Table1[Bill No.],$B178),IF($J178="PETROL",SUMIFS(Table14[Amount],Table14[Customer],$M$3,Table14[Date],$A178,Table14[Bill No.],$B178),IF($J178="XtraGreen",SUMIFS(Table146[Amount],Table146[Company],$M$3,Table146[Date],$A178,Table146[Bill No.],$B178),SUMIFS('Other Sale'!$D:$D,'Other Sale'!$E:$E,$M$3,'Other Sale'!$C:$C,$J178,'Other Sale'!$A:$A,$A178)))))</f>
        <v/>
      </c>
      <c r="F178" s="347" t="str" cm="1">
        <f t="array" ref="F178">IF($A178="","",IF($J178="Payment",IFERROR(INDEX(_xlfn._xlws.FILTER(MasterPaid[Amount Paid],(MasterPaid[Customer]=$M$3)*(MasterPaid[Date]=$A178)),COUNTIFS($A$6:$A178,$A178,$J$6:$J178,"Payment")),0),0))</f>
        <v/>
      </c>
      <c r="G178" s="331"/>
      <c r="H178" s="427"/>
      <c r="I178" s="330" t="str">
        <f t="shared" si="11"/>
        <v/>
      </c>
      <c r="J178" s="344" t="str" cm="1">
        <f t="array" ref="J178">IFERROR(INDEX(_xlfn.ANCHORARRAY($P$6),ROW()-5,3),"")</f>
        <v/>
      </c>
      <c r="K178" s="432" t="str" cm="1">
        <f t="array" ref="K178">IF(OR($A178="",$J178&lt;&gt;"DIESEL"),"",_xlfn.LET(_xlpm.qty,N($C178),_xlpm.pos,$T$5:$T$54,_xlpm.alo,IF($U$5:$U$54="",0,$U$5:$U$54),_xlpm.usd,SUMIFS($C$6:$C177,$K$6:$K177,_xlpm.pos&amp;""),_xlpm.bal,_xlpm.alo-_xlpm.usd,IFERROR(INDEX(_xlfn._xlws.FILTER(_xlpm.pos,(_xlpm.pos&lt;&gt;"")*(_xlpm.qty&gt;0)*(_xlpm.bal&gt;=_xlpm.qty)),1),"")))</f>
        <v/>
      </c>
      <c r="L178" s="348"/>
    </row>
    <row r="179" spans="1:12" ht="23" x14ac:dyDescent="0.25">
      <c r="A179" s="217" t="str" cm="1">
        <f t="array" ref="A179">IFERROR(INDEX(_xlfn.ANCHORARRAY($P$6),ROW()-5,1),"")</f>
        <v/>
      </c>
      <c r="B179" s="344" t="str" cm="1">
        <f t="array" ref="B179">IFERROR(INDEX(_xlfn.ANCHORARRAY($P$6),ROW()-5,2),"")</f>
        <v/>
      </c>
      <c r="C179" s="345" t="str">
        <f>IF($A179="","",IF($J179="DIESEL",SUMIFS(Table1[Quantity],Table1[Customer],$M$3,Table1[Date],$A179,Table1[Bill No.],$B179),IF($J179="PETROL",SUMIFS(Table14[Quantity],Table14[Customer],$M$3,Table14[Date],$A179,Table14[Bill No.],$B179),IF($J179="XtraGreen",SUMIFS(Table146[Quantity],Table146[Company],$M$3,Table146[Date],$A179,Table146[Bill No.],$B179),""))))</f>
        <v/>
      </c>
      <c r="D179" s="346" t="str">
        <f>IF($A179="","",IF($J179="DIESEL",AVERAGEIFS(Table1[RSP],Table1[Customer],$M$3,Table1[Date],$A179,Table1[Bill No.],$B179),IF($J179="PETROL",AVERAGEIFS(Table14[RSP],Table14[Customer],$M$3,Table14[Date],$A179,Table14[Bill No.],$B179),IF($J179="XtraGreen",AVERAGEIFS(Table146[RSP],Table146[Company],$M$3,Table146[Date],$A179,Table146[Bill No.],$B179),IFERROR($E179/$C179,"")))))</f>
        <v/>
      </c>
      <c r="E179" s="347" t="str">
        <f>IF($A179="","",IF($J179="DIESEL",SUMIFS(Table1[Amount],Table1[Customer],$M$3,Table1[Date],$A179,Table1[Bill No.],$B179),IF($J179="PETROL",SUMIFS(Table14[Amount],Table14[Customer],$M$3,Table14[Date],$A179,Table14[Bill No.],$B179),IF($J179="XtraGreen",SUMIFS(Table146[Amount],Table146[Company],$M$3,Table146[Date],$A179,Table146[Bill No.],$B179),SUMIFS('Other Sale'!$D:$D,'Other Sale'!$E:$E,$M$3,'Other Sale'!$C:$C,$J179,'Other Sale'!$A:$A,$A179)))))</f>
        <v/>
      </c>
      <c r="F179" s="347" t="str" cm="1">
        <f t="array" ref="F179">IF($A179="","",IF($J179="Payment",IFERROR(INDEX(_xlfn._xlws.FILTER(MasterPaid[Amount Paid],(MasterPaid[Customer]=$M$3)*(MasterPaid[Date]=$A179)),COUNTIFS($A$6:$A179,$A179,$J$6:$J179,"Payment")),0),0))</f>
        <v/>
      </c>
      <c r="G179" s="331"/>
      <c r="H179" s="427"/>
      <c r="I179" s="330" t="str">
        <f t="shared" si="11"/>
        <v/>
      </c>
      <c r="J179" s="344" t="str" cm="1">
        <f t="array" ref="J179">IFERROR(INDEX(_xlfn.ANCHORARRAY($P$6),ROW()-5,3),"")</f>
        <v/>
      </c>
      <c r="K179" s="432" t="str" cm="1">
        <f t="array" ref="K179">IF(OR($A179="",$J179&lt;&gt;"DIESEL"),"",_xlfn.LET(_xlpm.qty,N($C179),_xlpm.pos,$T$5:$T$54,_xlpm.alo,IF($U$5:$U$54="",0,$U$5:$U$54),_xlpm.usd,SUMIFS($C$6:$C178,$K$6:$K178,_xlpm.pos&amp;""),_xlpm.bal,_xlpm.alo-_xlpm.usd,IFERROR(INDEX(_xlfn._xlws.FILTER(_xlpm.pos,(_xlpm.pos&lt;&gt;"")*(_xlpm.qty&gt;0)*(_xlpm.bal&gt;=_xlpm.qty)),1),"")))</f>
        <v/>
      </c>
      <c r="L179" s="348"/>
    </row>
    <row r="180" spans="1:12" ht="23" x14ac:dyDescent="0.25">
      <c r="A180" s="217" t="str" cm="1">
        <f t="array" ref="A180">IFERROR(INDEX(_xlfn.ANCHORARRAY($P$6),ROW()-5,1),"")</f>
        <v/>
      </c>
      <c r="B180" s="344" t="str" cm="1">
        <f t="array" ref="B180">IFERROR(INDEX(_xlfn.ANCHORARRAY($P$6),ROW()-5,2),"")</f>
        <v/>
      </c>
      <c r="C180" s="345" t="str">
        <f>IF($A180="","",IF($J180="DIESEL",SUMIFS(Table1[Quantity],Table1[Customer],$M$3,Table1[Date],$A180,Table1[Bill No.],$B180),IF($J180="PETROL",SUMIFS(Table14[Quantity],Table14[Customer],$M$3,Table14[Date],$A180,Table14[Bill No.],$B180),IF($J180="XtraGreen",SUMIFS(Table146[Quantity],Table146[Company],$M$3,Table146[Date],$A180,Table146[Bill No.],$B180),""))))</f>
        <v/>
      </c>
      <c r="D180" s="346" t="str">
        <f>IF($A180="","",IF($J180="DIESEL",AVERAGEIFS(Table1[RSP],Table1[Customer],$M$3,Table1[Date],$A180,Table1[Bill No.],$B180),IF($J180="PETROL",AVERAGEIFS(Table14[RSP],Table14[Customer],$M$3,Table14[Date],$A180,Table14[Bill No.],$B180),IF($J180="XtraGreen",AVERAGEIFS(Table146[RSP],Table146[Company],$M$3,Table146[Date],$A180,Table146[Bill No.],$B180),IFERROR($E180/$C180,"")))))</f>
        <v/>
      </c>
      <c r="E180" s="347" t="str">
        <f>IF($A180="","",IF($J180="DIESEL",SUMIFS(Table1[Amount],Table1[Customer],$M$3,Table1[Date],$A180,Table1[Bill No.],$B180),IF($J180="PETROL",SUMIFS(Table14[Amount],Table14[Customer],$M$3,Table14[Date],$A180,Table14[Bill No.],$B180),IF($J180="XtraGreen",SUMIFS(Table146[Amount],Table146[Company],$M$3,Table146[Date],$A180,Table146[Bill No.],$B180),SUMIFS('Other Sale'!$D:$D,'Other Sale'!$E:$E,$M$3,'Other Sale'!$C:$C,$J180,'Other Sale'!$A:$A,$A180)))))</f>
        <v/>
      </c>
      <c r="F180" s="347" t="str" cm="1">
        <f t="array" ref="F180">IF($A180="","",IF($J180="Payment",IFERROR(INDEX(_xlfn._xlws.FILTER(MasterPaid[Amount Paid],(MasterPaid[Customer]=$M$3)*(MasterPaid[Date]=$A180)),COUNTIFS($A$6:$A180,$A180,$J$6:$J180,"Payment")),0),0))</f>
        <v/>
      </c>
      <c r="G180" s="331"/>
      <c r="H180" s="427"/>
      <c r="I180" s="330" t="str">
        <f t="shared" si="11"/>
        <v/>
      </c>
      <c r="J180" s="344" t="str" cm="1">
        <f t="array" ref="J180">IFERROR(INDEX(_xlfn.ANCHORARRAY($P$6),ROW()-5,3),"")</f>
        <v/>
      </c>
      <c r="K180" s="432" t="str" cm="1">
        <f t="array" ref="K180">IF(OR($A180="",$J180&lt;&gt;"DIESEL"),"",_xlfn.LET(_xlpm.qty,N($C180),_xlpm.pos,$T$5:$T$54,_xlpm.alo,IF($U$5:$U$54="",0,$U$5:$U$54),_xlpm.usd,SUMIFS($C$6:$C179,$K$6:$K179,_xlpm.pos&amp;""),_xlpm.bal,_xlpm.alo-_xlpm.usd,IFERROR(INDEX(_xlfn._xlws.FILTER(_xlpm.pos,(_xlpm.pos&lt;&gt;"")*(_xlpm.qty&gt;0)*(_xlpm.bal&gt;=_xlpm.qty)),1),"")))</f>
        <v/>
      </c>
      <c r="L180" s="348"/>
    </row>
    <row r="181" spans="1:12" ht="23" x14ac:dyDescent="0.25">
      <c r="A181" s="217" t="str" cm="1">
        <f t="array" ref="A181">IFERROR(INDEX(_xlfn.ANCHORARRAY($P$6),ROW()-5,1),"")</f>
        <v/>
      </c>
      <c r="B181" s="344" t="str" cm="1">
        <f t="array" ref="B181">IFERROR(INDEX(_xlfn.ANCHORARRAY($P$6),ROW()-5,2),"")</f>
        <v/>
      </c>
      <c r="C181" s="345" t="str">
        <f>IF($A181="","",IF($J181="DIESEL",SUMIFS(Table1[Quantity],Table1[Customer],$M$3,Table1[Date],$A181,Table1[Bill No.],$B181),IF($J181="PETROL",SUMIFS(Table14[Quantity],Table14[Customer],$M$3,Table14[Date],$A181,Table14[Bill No.],$B181),IF($J181="XtraGreen",SUMIFS(Table146[Quantity],Table146[Company],$M$3,Table146[Date],$A181,Table146[Bill No.],$B181),""))))</f>
        <v/>
      </c>
      <c r="D181" s="346" t="str">
        <f>IF($A181="","",IF($J181="DIESEL",AVERAGEIFS(Table1[RSP],Table1[Customer],$M$3,Table1[Date],$A181,Table1[Bill No.],$B181),IF($J181="PETROL",AVERAGEIFS(Table14[RSP],Table14[Customer],$M$3,Table14[Date],$A181,Table14[Bill No.],$B181),IF($J181="XtraGreen",AVERAGEIFS(Table146[RSP],Table146[Company],$M$3,Table146[Date],$A181,Table146[Bill No.],$B181),IFERROR($E181/$C181,"")))))</f>
        <v/>
      </c>
      <c r="E181" s="347" t="str">
        <f>IF($A181="","",IF($J181="DIESEL",SUMIFS(Table1[Amount],Table1[Customer],$M$3,Table1[Date],$A181,Table1[Bill No.],$B181),IF($J181="PETROL",SUMIFS(Table14[Amount],Table14[Customer],$M$3,Table14[Date],$A181,Table14[Bill No.],$B181),IF($J181="XtraGreen",SUMIFS(Table146[Amount],Table146[Company],$M$3,Table146[Date],$A181,Table146[Bill No.],$B181),SUMIFS('Other Sale'!$D:$D,'Other Sale'!$E:$E,$M$3,'Other Sale'!$C:$C,$J181,'Other Sale'!$A:$A,$A181)))))</f>
        <v/>
      </c>
      <c r="F181" s="347" t="str" cm="1">
        <f t="array" ref="F181">IF($A181="","",IF($J181="Payment",IFERROR(INDEX(_xlfn._xlws.FILTER(MasterPaid[Amount Paid],(MasterPaid[Customer]=$M$3)*(MasterPaid[Date]=$A181)),COUNTIFS($A$6:$A181,$A181,$J$6:$J181,"Payment")),0),0))</f>
        <v/>
      </c>
      <c r="G181" s="331"/>
      <c r="H181" s="427"/>
      <c r="I181" s="330" t="str">
        <f t="shared" si="11"/>
        <v/>
      </c>
      <c r="J181" s="344" t="str" cm="1">
        <f t="array" ref="J181">IFERROR(INDEX(_xlfn.ANCHORARRAY($P$6),ROW()-5,3),"")</f>
        <v/>
      </c>
      <c r="K181" s="432" t="str" cm="1">
        <f t="array" ref="K181">IF(OR($A181="",$J181&lt;&gt;"DIESEL"),"",_xlfn.LET(_xlpm.qty,N($C181),_xlpm.pos,$T$5:$T$54,_xlpm.alo,IF($U$5:$U$54="",0,$U$5:$U$54),_xlpm.usd,SUMIFS($C$6:$C180,$K$6:$K180,_xlpm.pos&amp;""),_xlpm.bal,_xlpm.alo-_xlpm.usd,IFERROR(INDEX(_xlfn._xlws.FILTER(_xlpm.pos,(_xlpm.pos&lt;&gt;"")*(_xlpm.qty&gt;0)*(_xlpm.bal&gt;=_xlpm.qty)),1),"")))</f>
        <v/>
      </c>
      <c r="L181" s="348"/>
    </row>
    <row r="182" spans="1:12" ht="23" x14ac:dyDescent="0.25">
      <c r="A182" s="217" t="str" cm="1">
        <f t="array" ref="A182">IFERROR(INDEX(_xlfn.ANCHORARRAY($P$6),ROW()-5,1),"")</f>
        <v/>
      </c>
      <c r="B182" s="344" t="str" cm="1">
        <f t="array" ref="B182">IFERROR(INDEX(_xlfn.ANCHORARRAY($P$6),ROW()-5,2),"")</f>
        <v/>
      </c>
      <c r="C182" s="345" t="str">
        <f>IF($A182="","",IF($J182="DIESEL",SUMIFS(Table1[Quantity],Table1[Customer],$M$3,Table1[Date],$A182,Table1[Bill No.],$B182),IF($J182="PETROL",SUMIFS(Table14[Quantity],Table14[Customer],$M$3,Table14[Date],$A182,Table14[Bill No.],$B182),IF($J182="XtraGreen",SUMIFS(Table146[Quantity],Table146[Company],$M$3,Table146[Date],$A182,Table146[Bill No.],$B182),""))))</f>
        <v/>
      </c>
      <c r="D182" s="346" t="str">
        <f>IF($A182="","",IF($J182="DIESEL",AVERAGEIFS(Table1[RSP],Table1[Customer],$M$3,Table1[Date],$A182,Table1[Bill No.],$B182),IF($J182="PETROL",AVERAGEIFS(Table14[RSP],Table14[Customer],$M$3,Table14[Date],$A182,Table14[Bill No.],$B182),IF($J182="XtraGreen",AVERAGEIFS(Table146[RSP],Table146[Company],$M$3,Table146[Date],$A182,Table146[Bill No.],$B182),IFERROR($E182/$C182,"")))))</f>
        <v/>
      </c>
      <c r="E182" s="347" t="str">
        <f>IF($A182="","",IF($J182="DIESEL",SUMIFS(Table1[Amount],Table1[Customer],$M$3,Table1[Date],$A182,Table1[Bill No.],$B182),IF($J182="PETROL",SUMIFS(Table14[Amount],Table14[Customer],$M$3,Table14[Date],$A182,Table14[Bill No.],$B182),IF($J182="XtraGreen",SUMIFS(Table146[Amount],Table146[Company],$M$3,Table146[Date],$A182,Table146[Bill No.],$B182),SUMIFS('Other Sale'!$D:$D,'Other Sale'!$E:$E,$M$3,'Other Sale'!$C:$C,$J182,'Other Sale'!$A:$A,$A182)))))</f>
        <v/>
      </c>
      <c r="F182" s="347" t="str" cm="1">
        <f t="array" ref="F182">IF($A182="","",IF($J182="Payment",IFERROR(INDEX(_xlfn._xlws.FILTER(MasterPaid[Amount Paid],(MasterPaid[Customer]=$M$3)*(MasterPaid[Date]=$A182)),COUNTIFS($A$6:$A182,$A182,$J$6:$J182,"Payment")),0),0))</f>
        <v/>
      </c>
      <c r="G182" s="331"/>
      <c r="H182" s="427"/>
      <c r="I182" s="330" t="str">
        <f t="shared" si="11"/>
        <v/>
      </c>
      <c r="J182" s="344" t="str" cm="1">
        <f t="array" ref="J182">IFERROR(INDEX(_xlfn.ANCHORARRAY($P$6),ROW()-5,3),"")</f>
        <v/>
      </c>
      <c r="K182" s="432" t="str" cm="1">
        <f t="array" ref="K182">IF(OR($A182="",$J182&lt;&gt;"DIESEL"),"",_xlfn.LET(_xlpm.qty,N($C182),_xlpm.pos,$T$5:$T$54,_xlpm.alo,IF($U$5:$U$54="",0,$U$5:$U$54),_xlpm.usd,SUMIFS($C$6:$C181,$K$6:$K181,_xlpm.pos&amp;""),_xlpm.bal,_xlpm.alo-_xlpm.usd,IFERROR(INDEX(_xlfn._xlws.FILTER(_xlpm.pos,(_xlpm.pos&lt;&gt;"")*(_xlpm.qty&gt;0)*(_xlpm.bal&gt;=_xlpm.qty)),1),"")))</f>
        <v/>
      </c>
      <c r="L182" s="348"/>
    </row>
    <row r="183" spans="1:12" ht="23" x14ac:dyDescent="0.25">
      <c r="A183" s="217" t="str" cm="1">
        <f t="array" ref="A183">IFERROR(INDEX(_xlfn.ANCHORARRAY($P$6),ROW()-5,1),"")</f>
        <v/>
      </c>
      <c r="B183" s="344" t="str" cm="1">
        <f t="array" ref="B183">IFERROR(INDEX(_xlfn.ANCHORARRAY($P$6),ROW()-5,2),"")</f>
        <v/>
      </c>
      <c r="C183" s="345" t="str">
        <f>IF($A183="","",IF($J183="DIESEL",SUMIFS(Table1[Quantity],Table1[Customer],$M$3,Table1[Date],$A183,Table1[Bill No.],$B183),IF($J183="PETROL",SUMIFS(Table14[Quantity],Table14[Customer],$M$3,Table14[Date],$A183,Table14[Bill No.],$B183),IF($J183="XtraGreen",SUMIFS(Table146[Quantity],Table146[Company],$M$3,Table146[Date],$A183,Table146[Bill No.],$B183),""))))</f>
        <v/>
      </c>
      <c r="D183" s="346" t="str">
        <f>IF($A183="","",IF($J183="DIESEL",AVERAGEIFS(Table1[RSP],Table1[Customer],$M$3,Table1[Date],$A183,Table1[Bill No.],$B183),IF($J183="PETROL",AVERAGEIFS(Table14[RSP],Table14[Customer],$M$3,Table14[Date],$A183,Table14[Bill No.],$B183),IF($J183="XtraGreen",AVERAGEIFS(Table146[RSP],Table146[Company],$M$3,Table146[Date],$A183,Table146[Bill No.],$B183),IFERROR($E183/$C183,"")))))</f>
        <v/>
      </c>
      <c r="E183" s="347" t="str">
        <f>IF($A183="","",IF($J183="DIESEL",SUMIFS(Table1[Amount],Table1[Customer],$M$3,Table1[Date],$A183,Table1[Bill No.],$B183),IF($J183="PETROL",SUMIFS(Table14[Amount],Table14[Customer],$M$3,Table14[Date],$A183,Table14[Bill No.],$B183),IF($J183="XtraGreen",SUMIFS(Table146[Amount],Table146[Company],$M$3,Table146[Date],$A183,Table146[Bill No.],$B183),SUMIFS('Other Sale'!$D:$D,'Other Sale'!$E:$E,$M$3,'Other Sale'!$C:$C,$J183,'Other Sale'!$A:$A,$A183)))))</f>
        <v/>
      </c>
      <c r="F183" s="347" t="str" cm="1">
        <f t="array" ref="F183">IF($A183="","",IF($J183="Payment",IFERROR(INDEX(_xlfn._xlws.FILTER(MasterPaid[Amount Paid],(MasterPaid[Customer]=$M$3)*(MasterPaid[Date]=$A183)),COUNTIFS($A$6:$A183,$A183,$J$6:$J183,"Payment")),0),0))</f>
        <v/>
      </c>
      <c r="G183" s="331"/>
      <c r="H183" s="427"/>
      <c r="I183" s="330" t="str">
        <f t="shared" si="11"/>
        <v/>
      </c>
      <c r="J183" s="344" t="str" cm="1">
        <f t="array" ref="J183">IFERROR(INDEX(_xlfn.ANCHORARRAY($P$6),ROW()-5,3),"")</f>
        <v/>
      </c>
      <c r="K183" s="432" t="str" cm="1">
        <f t="array" ref="K183">IF(OR($A183="",$J183&lt;&gt;"DIESEL"),"",_xlfn.LET(_xlpm.qty,N($C183),_xlpm.pos,$T$5:$T$54,_xlpm.alo,IF($U$5:$U$54="",0,$U$5:$U$54),_xlpm.usd,SUMIFS($C$6:$C182,$K$6:$K182,_xlpm.pos&amp;""),_xlpm.bal,_xlpm.alo-_xlpm.usd,IFERROR(INDEX(_xlfn._xlws.FILTER(_xlpm.pos,(_xlpm.pos&lt;&gt;"")*(_xlpm.qty&gt;0)*(_xlpm.bal&gt;=_xlpm.qty)),1),"")))</f>
        <v/>
      </c>
      <c r="L183" s="348"/>
    </row>
    <row r="184" spans="1:12" ht="23" x14ac:dyDescent="0.25">
      <c r="A184" s="217" t="str" cm="1">
        <f t="array" ref="A184">IFERROR(INDEX(_xlfn.ANCHORARRAY($P$6),ROW()-5,1),"")</f>
        <v/>
      </c>
      <c r="B184" s="344" t="str" cm="1">
        <f t="array" ref="B184">IFERROR(INDEX(_xlfn.ANCHORARRAY($P$6),ROW()-5,2),"")</f>
        <v/>
      </c>
      <c r="C184" s="345" t="str">
        <f>IF($A184="","",IF($J184="DIESEL",SUMIFS(Table1[Quantity],Table1[Customer],$M$3,Table1[Date],$A184,Table1[Bill No.],$B184),IF($J184="PETROL",SUMIFS(Table14[Quantity],Table14[Customer],$M$3,Table14[Date],$A184,Table14[Bill No.],$B184),IF($J184="XtraGreen",SUMIFS(Table146[Quantity],Table146[Company],$M$3,Table146[Date],$A184,Table146[Bill No.],$B184),""))))</f>
        <v/>
      </c>
      <c r="D184" s="346" t="str">
        <f>IF($A184="","",IF($J184="DIESEL",AVERAGEIFS(Table1[RSP],Table1[Customer],$M$3,Table1[Date],$A184,Table1[Bill No.],$B184),IF($J184="PETROL",AVERAGEIFS(Table14[RSP],Table14[Customer],$M$3,Table14[Date],$A184,Table14[Bill No.],$B184),IF($J184="XtraGreen",AVERAGEIFS(Table146[RSP],Table146[Company],$M$3,Table146[Date],$A184,Table146[Bill No.],$B184),IFERROR($E184/$C184,"")))))</f>
        <v/>
      </c>
      <c r="E184" s="347" t="str">
        <f>IF($A184="","",IF($J184="DIESEL",SUMIFS(Table1[Amount],Table1[Customer],$M$3,Table1[Date],$A184,Table1[Bill No.],$B184),IF($J184="PETROL",SUMIFS(Table14[Amount],Table14[Customer],$M$3,Table14[Date],$A184,Table14[Bill No.],$B184),IF($J184="XtraGreen",SUMIFS(Table146[Amount],Table146[Company],$M$3,Table146[Date],$A184,Table146[Bill No.],$B184),SUMIFS('Other Sale'!$D:$D,'Other Sale'!$E:$E,$M$3,'Other Sale'!$C:$C,$J184,'Other Sale'!$A:$A,$A184)))))</f>
        <v/>
      </c>
      <c r="F184" s="347" t="str" cm="1">
        <f t="array" ref="F184">IF($A184="","",IF($J184="Payment",IFERROR(INDEX(_xlfn._xlws.FILTER(MasterPaid[Amount Paid],(MasterPaid[Customer]=$M$3)*(MasterPaid[Date]=$A184)),COUNTIFS($A$6:$A184,$A184,$J$6:$J184,"Payment")),0),0))</f>
        <v/>
      </c>
      <c r="G184" s="331"/>
      <c r="H184" s="427"/>
      <c r="I184" s="330" t="str">
        <f t="shared" si="11"/>
        <v/>
      </c>
      <c r="J184" s="344" t="str" cm="1">
        <f t="array" ref="J184">IFERROR(INDEX(_xlfn.ANCHORARRAY($P$6),ROW()-5,3),"")</f>
        <v/>
      </c>
      <c r="K184" s="432" t="str" cm="1">
        <f t="array" ref="K184">IF(OR($A184="",$J184&lt;&gt;"DIESEL"),"",_xlfn.LET(_xlpm.qty,N($C184),_xlpm.pos,$T$5:$T$54,_xlpm.alo,IF($U$5:$U$54="",0,$U$5:$U$54),_xlpm.usd,SUMIFS($C$6:$C183,$K$6:$K183,_xlpm.pos&amp;""),_xlpm.bal,_xlpm.alo-_xlpm.usd,IFERROR(INDEX(_xlfn._xlws.FILTER(_xlpm.pos,(_xlpm.pos&lt;&gt;"")*(_xlpm.qty&gt;0)*(_xlpm.bal&gt;=_xlpm.qty)),1),"")))</f>
        <v/>
      </c>
      <c r="L184" s="348"/>
    </row>
    <row r="185" spans="1:12" ht="23" x14ac:dyDescent="0.25">
      <c r="A185" s="217" t="str" cm="1">
        <f t="array" ref="A185">IFERROR(INDEX(_xlfn.ANCHORARRAY($P$6),ROW()-5,1),"")</f>
        <v/>
      </c>
      <c r="B185" s="344" t="str" cm="1">
        <f t="array" ref="B185">IFERROR(INDEX(_xlfn.ANCHORARRAY($P$6),ROW()-5,2),"")</f>
        <v/>
      </c>
      <c r="C185" s="345" t="str">
        <f>IF($A185="","",IF($J185="DIESEL",SUMIFS(Table1[Quantity],Table1[Customer],$M$3,Table1[Date],$A185,Table1[Bill No.],$B185),IF($J185="PETROL",SUMIFS(Table14[Quantity],Table14[Customer],$M$3,Table14[Date],$A185,Table14[Bill No.],$B185),IF($J185="XtraGreen",SUMIFS(Table146[Quantity],Table146[Company],$M$3,Table146[Date],$A185,Table146[Bill No.],$B185),""))))</f>
        <v/>
      </c>
      <c r="D185" s="346" t="str">
        <f>IF($A185="","",IF($J185="DIESEL",AVERAGEIFS(Table1[RSP],Table1[Customer],$M$3,Table1[Date],$A185,Table1[Bill No.],$B185),IF($J185="PETROL",AVERAGEIFS(Table14[RSP],Table14[Customer],$M$3,Table14[Date],$A185,Table14[Bill No.],$B185),IF($J185="XtraGreen",AVERAGEIFS(Table146[RSP],Table146[Company],$M$3,Table146[Date],$A185,Table146[Bill No.],$B185),IFERROR($E185/$C185,"")))))</f>
        <v/>
      </c>
      <c r="E185" s="347" t="str">
        <f>IF($A185="","",IF($J185="DIESEL",SUMIFS(Table1[Amount],Table1[Customer],$M$3,Table1[Date],$A185,Table1[Bill No.],$B185),IF($J185="PETROL",SUMIFS(Table14[Amount],Table14[Customer],$M$3,Table14[Date],$A185,Table14[Bill No.],$B185),IF($J185="XtraGreen",SUMIFS(Table146[Amount],Table146[Company],$M$3,Table146[Date],$A185,Table146[Bill No.],$B185),SUMIFS('Other Sale'!$D:$D,'Other Sale'!$E:$E,$M$3,'Other Sale'!$C:$C,$J185,'Other Sale'!$A:$A,$A185)))))</f>
        <v/>
      </c>
      <c r="F185" s="347" t="str" cm="1">
        <f t="array" ref="F185">IF($A185="","",IF($J185="Payment",IFERROR(INDEX(_xlfn._xlws.FILTER(MasterPaid[Amount Paid],(MasterPaid[Customer]=$M$3)*(MasterPaid[Date]=$A185)),COUNTIFS($A$6:$A185,$A185,$J$6:$J185,"Payment")),0),0))</f>
        <v/>
      </c>
      <c r="G185" s="331"/>
      <c r="H185" s="427"/>
      <c r="I185" s="330" t="str">
        <f t="shared" si="11"/>
        <v/>
      </c>
      <c r="J185" s="344" t="str" cm="1">
        <f t="array" ref="J185">IFERROR(INDEX(_xlfn.ANCHORARRAY($P$6),ROW()-5,3),"")</f>
        <v/>
      </c>
      <c r="K185" s="432" t="str" cm="1">
        <f t="array" ref="K185">IF(OR($A185="",$J185&lt;&gt;"DIESEL"),"",_xlfn.LET(_xlpm.qty,N($C185),_xlpm.pos,$T$5:$T$54,_xlpm.alo,IF($U$5:$U$54="",0,$U$5:$U$54),_xlpm.usd,SUMIFS($C$6:$C184,$K$6:$K184,_xlpm.pos&amp;""),_xlpm.bal,_xlpm.alo-_xlpm.usd,IFERROR(INDEX(_xlfn._xlws.FILTER(_xlpm.pos,(_xlpm.pos&lt;&gt;"")*(_xlpm.qty&gt;0)*(_xlpm.bal&gt;=_xlpm.qty)),1),"")))</f>
        <v/>
      </c>
      <c r="L185" s="348"/>
    </row>
    <row r="186" spans="1:12" ht="23" x14ac:dyDescent="0.25">
      <c r="A186" s="217" t="str" cm="1">
        <f t="array" ref="A186">IFERROR(INDEX(_xlfn.ANCHORARRAY($P$6),ROW()-5,1),"")</f>
        <v/>
      </c>
      <c r="B186" s="344" t="str" cm="1">
        <f t="array" ref="B186">IFERROR(INDEX(_xlfn.ANCHORARRAY($P$6),ROW()-5,2),"")</f>
        <v/>
      </c>
      <c r="C186" s="345" t="str">
        <f>IF($A186="","",IF($J186="DIESEL",SUMIFS(Table1[Quantity],Table1[Customer],$M$3,Table1[Date],$A186,Table1[Bill No.],$B186),IF($J186="PETROL",SUMIFS(Table14[Quantity],Table14[Customer],$M$3,Table14[Date],$A186,Table14[Bill No.],$B186),IF($J186="XtraGreen",SUMIFS(Table146[Quantity],Table146[Company],$M$3,Table146[Date],$A186,Table146[Bill No.],$B186),""))))</f>
        <v/>
      </c>
      <c r="D186" s="346" t="str">
        <f>IF($A186="","",IF($J186="DIESEL",AVERAGEIFS(Table1[RSP],Table1[Customer],$M$3,Table1[Date],$A186,Table1[Bill No.],$B186),IF($J186="PETROL",AVERAGEIFS(Table14[RSP],Table14[Customer],$M$3,Table14[Date],$A186,Table14[Bill No.],$B186),IF($J186="XtraGreen",AVERAGEIFS(Table146[RSP],Table146[Company],$M$3,Table146[Date],$A186,Table146[Bill No.],$B186),IFERROR($E186/$C186,"")))))</f>
        <v/>
      </c>
      <c r="E186" s="347" t="str">
        <f>IF($A186="","",IF($J186="DIESEL",SUMIFS(Table1[Amount],Table1[Customer],$M$3,Table1[Date],$A186,Table1[Bill No.],$B186),IF($J186="PETROL",SUMIFS(Table14[Amount],Table14[Customer],$M$3,Table14[Date],$A186,Table14[Bill No.],$B186),IF($J186="XtraGreen",SUMIFS(Table146[Amount],Table146[Company],$M$3,Table146[Date],$A186,Table146[Bill No.],$B186),SUMIFS('Other Sale'!$D:$D,'Other Sale'!$E:$E,$M$3,'Other Sale'!$C:$C,$J186,'Other Sale'!$A:$A,$A186)))))</f>
        <v/>
      </c>
      <c r="F186" s="347" t="str" cm="1">
        <f t="array" ref="F186">IF($A186="","",IF($J186="Payment",IFERROR(INDEX(_xlfn._xlws.FILTER(MasterPaid[Amount Paid],(MasterPaid[Customer]=$M$3)*(MasterPaid[Date]=$A186)),COUNTIFS($A$6:$A186,$A186,$J$6:$J186,"Payment")),0),0))</f>
        <v/>
      </c>
      <c r="G186" s="331"/>
      <c r="H186" s="427"/>
      <c r="I186" s="330" t="str">
        <f t="shared" si="11"/>
        <v/>
      </c>
      <c r="J186" s="344" t="str" cm="1">
        <f t="array" ref="J186">IFERROR(INDEX(_xlfn.ANCHORARRAY($P$6),ROW()-5,3),"")</f>
        <v/>
      </c>
      <c r="K186" s="432" t="str" cm="1">
        <f t="array" ref="K186">IF(OR($A186="",$J186&lt;&gt;"DIESEL"),"",_xlfn.LET(_xlpm.qty,N($C186),_xlpm.pos,$T$5:$T$54,_xlpm.alo,IF($U$5:$U$54="",0,$U$5:$U$54),_xlpm.usd,SUMIFS($C$6:$C185,$K$6:$K185,_xlpm.pos&amp;""),_xlpm.bal,_xlpm.alo-_xlpm.usd,IFERROR(INDEX(_xlfn._xlws.FILTER(_xlpm.pos,(_xlpm.pos&lt;&gt;"")*(_xlpm.qty&gt;0)*(_xlpm.bal&gt;=_xlpm.qty)),1),"")))</f>
        <v/>
      </c>
      <c r="L186" s="348"/>
    </row>
    <row r="187" spans="1:12" ht="23" x14ac:dyDescent="0.25">
      <c r="A187" s="217" t="str" cm="1">
        <f t="array" ref="A187">IFERROR(INDEX(_xlfn.ANCHORARRAY($P$6),ROW()-5,1),"")</f>
        <v/>
      </c>
      <c r="B187" s="344" t="str" cm="1">
        <f t="array" ref="B187">IFERROR(INDEX(_xlfn.ANCHORARRAY($P$6),ROW()-5,2),"")</f>
        <v/>
      </c>
      <c r="C187" s="345" t="str">
        <f>IF($A187="","",IF($J187="DIESEL",SUMIFS(Table1[Quantity],Table1[Customer],$M$3,Table1[Date],$A187,Table1[Bill No.],$B187),IF($J187="PETROL",SUMIFS(Table14[Quantity],Table14[Customer],$M$3,Table14[Date],$A187,Table14[Bill No.],$B187),IF($J187="XtraGreen",SUMIFS(Table146[Quantity],Table146[Company],$M$3,Table146[Date],$A187,Table146[Bill No.],$B187),""))))</f>
        <v/>
      </c>
      <c r="D187" s="346" t="str">
        <f>IF($A187="","",IF($J187="DIESEL",AVERAGEIFS(Table1[RSP],Table1[Customer],$M$3,Table1[Date],$A187,Table1[Bill No.],$B187),IF($J187="PETROL",AVERAGEIFS(Table14[RSP],Table14[Customer],$M$3,Table14[Date],$A187,Table14[Bill No.],$B187),IF($J187="XtraGreen",AVERAGEIFS(Table146[RSP],Table146[Company],$M$3,Table146[Date],$A187,Table146[Bill No.],$B187),IFERROR($E187/$C187,"")))))</f>
        <v/>
      </c>
      <c r="E187" s="347" t="str">
        <f>IF($A187="","",IF($J187="DIESEL",SUMIFS(Table1[Amount],Table1[Customer],$M$3,Table1[Date],$A187,Table1[Bill No.],$B187),IF($J187="PETROL",SUMIFS(Table14[Amount],Table14[Customer],$M$3,Table14[Date],$A187,Table14[Bill No.],$B187),IF($J187="XtraGreen",SUMIFS(Table146[Amount],Table146[Company],$M$3,Table146[Date],$A187,Table146[Bill No.],$B187),SUMIFS('Other Sale'!$D:$D,'Other Sale'!$E:$E,$M$3,'Other Sale'!$C:$C,$J187,'Other Sale'!$A:$A,$A187)))))</f>
        <v/>
      </c>
      <c r="F187" s="347" t="str" cm="1">
        <f t="array" ref="F187">IF($A187="","",IF($J187="Payment",IFERROR(INDEX(_xlfn._xlws.FILTER(MasterPaid[Amount Paid],(MasterPaid[Customer]=$M$3)*(MasterPaid[Date]=$A187)),COUNTIFS($A$6:$A187,$A187,$J$6:$J187,"Payment")),0),0))</f>
        <v/>
      </c>
      <c r="G187" s="331"/>
      <c r="H187" s="427"/>
      <c r="I187" s="330" t="str">
        <f t="shared" si="11"/>
        <v/>
      </c>
      <c r="J187" s="344" t="str" cm="1">
        <f t="array" ref="J187">IFERROR(INDEX(_xlfn.ANCHORARRAY($P$6),ROW()-5,3),"")</f>
        <v/>
      </c>
      <c r="K187" s="432" t="str" cm="1">
        <f t="array" ref="K187">IF(OR($A187="",$J187&lt;&gt;"DIESEL"),"",_xlfn.LET(_xlpm.qty,N($C187),_xlpm.pos,$T$5:$T$54,_xlpm.alo,IF($U$5:$U$54="",0,$U$5:$U$54),_xlpm.usd,SUMIFS($C$6:$C186,$K$6:$K186,_xlpm.pos&amp;""),_xlpm.bal,_xlpm.alo-_xlpm.usd,IFERROR(INDEX(_xlfn._xlws.FILTER(_xlpm.pos,(_xlpm.pos&lt;&gt;"")*(_xlpm.qty&gt;0)*(_xlpm.bal&gt;=_xlpm.qty)),1),"")))</f>
        <v/>
      </c>
      <c r="L187" s="348"/>
    </row>
    <row r="188" spans="1:12" ht="23" x14ac:dyDescent="0.25">
      <c r="A188" s="217" t="str" cm="1">
        <f t="array" ref="A188">IFERROR(INDEX(_xlfn.ANCHORARRAY($P$6),ROW()-5,1),"")</f>
        <v/>
      </c>
      <c r="B188" s="344" t="str" cm="1">
        <f t="array" ref="B188">IFERROR(INDEX(_xlfn.ANCHORARRAY($P$6),ROW()-5,2),"")</f>
        <v/>
      </c>
      <c r="C188" s="345" t="str">
        <f>IF($A188="","",IF($J188="DIESEL",SUMIFS(Table1[Quantity],Table1[Customer],$M$3,Table1[Date],$A188,Table1[Bill No.],$B188),IF($J188="PETROL",SUMIFS(Table14[Quantity],Table14[Customer],$M$3,Table14[Date],$A188,Table14[Bill No.],$B188),IF($J188="XtraGreen",SUMIFS(Table146[Quantity],Table146[Company],$M$3,Table146[Date],$A188,Table146[Bill No.],$B188),""))))</f>
        <v/>
      </c>
      <c r="D188" s="346" t="str">
        <f>IF($A188="","",IF($J188="DIESEL",AVERAGEIFS(Table1[RSP],Table1[Customer],$M$3,Table1[Date],$A188,Table1[Bill No.],$B188),IF($J188="PETROL",AVERAGEIFS(Table14[RSP],Table14[Customer],$M$3,Table14[Date],$A188,Table14[Bill No.],$B188),IF($J188="XtraGreen",AVERAGEIFS(Table146[RSP],Table146[Company],$M$3,Table146[Date],$A188,Table146[Bill No.],$B188),IFERROR($E188/$C188,"")))))</f>
        <v/>
      </c>
      <c r="E188" s="347" t="str">
        <f>IF($A188="","",IF($J188="DIESEL",SUMIFS(Table1[Amount],Table1[Customer],$M$3,Table1[Date],$A188,Table1[Bill No.],$B188),IF($J188="PETROL",SUMIFS(Table14[Amount],Table14[Customer],$M$3,Table14[Date],$A188,Table14[Bill No.],$B188),IF($J188="XtraGreen",SUMIFS(Table146[Amount],Table146[Company],$M$3,Table146[Date],$A188,Table146[Bill No.],$B188),SUMIFS('Other Sale'!$D:$D,'Other Sale'!$E:$E,$M$3,'Other Sale'!$C:$C,$J188,'Other Sale'!$A:$A,$A188)))))</f>
        <v/>
      </c>
      <c r="F188" s="347" t="str" cm="1">
        <f t="array" ref="F188">IF($A188="","",IF($J188="Payment",IFERROR(INDEX(_xlfn._xlws.FILTER(MasterPaid[Amount Paid],(MasterPaid[Customer]=$M$3)*(MasterPaid[Date]=$A188)),COUNTIFS($A$6:$A188,$A188,$J$6:$J188,"Payment")),0),0))</f>
        <v/>
      </c>
      <c r="G188" s="331"/>
      <c r="H188" s="427"/>
      <c r="I188" s="330" t="str">
        <f t="shared" si="11"/>
        <v/>
      </c>
      <c r="J188" s="344" t="str" cm="1">
        <f t="array" ref="J188">IFERROR(INDEX(_xlfn.ANCHORARRAY($P$6),ROW()-5,3),"")</f>
        <v/>
      </c>
      <c r="K188" s="432" t="str" cm="1">
        <f t="array" ref="K188">IF(OR($A188="",$J188&lt;&gt;"DIESEL"),"",_xlfn.LET(_xlpm.qty,N($C188),_xlpm.pos,$T$5:$T$54,_xlpm.alo,IF($U$5:$U$54="",0,$U$5:$U$54),_xlpm.usd,SUMIFS($C$6:$C187,$K$6:$K187,_xlpm.pos&amp;""),_xlpm.bal,_xlpm.alo-_xlpm.usd,IFERROR(INDEX(_xlfn._xlws.FILTER(_xlpm.pos,(_xlpm.pos&lt;&gt;"")*(_xlpm.qty&gt;0)*(_xlpm.bal&gt;=_xlpm.qty)),1),"")))</f>
        <v/>
      </c>
      <c r="L188" s="348"/>
    </row>
    <row r="189" spans="1:12" ht="23" x14ac:dyDescent="0.25">
      <c r="A189" s="217" t="str" cm="1">
        <f t="array" ref="A189">IFERROR(INDEX(_xlfn.ANCHORARRAY($P$6),ROW()-5,1),"")</f>
        <v/>
      </c>
      <c r="B189" s="344" t="str" cm="1">
        <f t="array" ref="B189">IFERROR(INDEX(_xlfn.ANCHORARRAY($P$6),ROW()-5,2),"")</f>
        <v/>
      </c>
      <c r="C189" s="345" t="str">
        <f>IF($A189="","",IF($J189="DIESEL",SUMIFS(Table1[Quantity],Table1[Customer],$M$3,Table1[Date],$A189,Table1[Bill No.],$B189),IF($J189="PETROL",SUMIFS(Table14[Quantity],Table14[Customer],$M$3,Table14[Date],$A189,Table14[Bill No.],$B189),IF($J189="XtraGreen",SUMIFS(Table146[Quantity],Table146[Company],$M$3,Table146[Date],$A189,Table146[Bill No.],$B189),""))))</f>
        <v/>
      </c>
      <c r="D189" s="346" t="str">
        <f>IF($A189="","",IF($J189="DIESEL",AVERAGEIFS(Table1[RSP],Table1[Customer],$M$3,Table1[Date],$A189,Table1[Bill No.],$B189),IF($J189="PETROL",AVERAGEIFS(Table14[RSP],Table14[Customer],$M$3,Table14[Date],$A189,Table14[Bill No.],$B189),IF($J189="XtraGreen",AVERAGEIFS(Table146[RSP],Table146[Company],$M$3,Table146[Date],$A189,Table146[Bill No.],$B189),IFERROR($E189/$C189,"")))))</f>
        <v/>
      </c>
      <c r="E189" s="347" t="str">
        <f>IF($A189="","",IF($J189="DIESEL",SUMIFS(Table1[Amount],Table1[Customer],$M$3,Table1[Date],$A189,Table1[Bill No.],$B189),IF($J189="PETROL",SUMIFS(Table14[Amount],Table14[Customer],$M$3,Table14[Date],$A189,Table14[Bill No.],$B189),IF($J189="XtraGreen",SUMIFS(Table146[Amount],Table146[Company],$M$3,Table146[Date],$A189,Table146[Bill No.],$B189),SUMIFS('Other Sale'!$D:$D,'Other Sale'!$E:$E,$M$3,'Other Sale'!$C:$C,$J189,'Other Sale'!$A:$A,$A189)))))</f>
        <v/>
      </c>
      <c r="F189" s="347" t="str" cm="1">
        <f t="array" ref="F189">IF($A189="","",IF($J189="Payment",IFERROR(INDEX(_xlfn._xlws.FILTER(MasterPaid[Amount Paid],(MasterPaid[Customer]=$M$3)*(MasterPaid[Date]=$A189)),COUNTIFS($A$6:$A189,$A189,$J$6:$J189,"Payment")),0),0))</f>
        <v/>
      </c>
      <c r="G189" s="331"/>
      <c r="H189" s="427"/>
      <c r="I189" s="330" t="str">
        <f t="shared" si="11"/>
        <v/>
      </c>
      <c r="J189" s="344" t="str" cm="1">
        <f t="array" ref="J189">IFERROR(INDEX(_xlfn.ANCHORARRAY($P$6),ROW()-5,3),"")</f>
        <v/>
      </c>
      <c r="K189" s="432" t="str" cm="1">
        <f t="array" ref="K189">IF(OR($A189="",$J189&lt;&gt;"DIESEL"),"",_xlfn.LET(_xlpm.qty,N($C189),_xlpm.pos,$T$5:$T$54,_xlpm.alo,IF($U$5:$U$54="",0,$U$5:$U$54),_xlpm.usd,SUMIFS($C$6:$C188,$K$6:$K188,_xlpm.pos&amp;""),_xlpm.bal,_xlpm.alo-_xlpm.usd,IFERROR(INDEX(_xlfn._xlws.FILTER(_xlpm.pos,(_xlpm.pos&lt;&gt;"")*(_xlpm.qty&gt;0)*(_xlpm.bal&gt;=_xlpm.qty)),1),"")))</f>
        <v/>
      </c>
      <c r="L189" s="348"/>
    </row>
    <row r="190" spans="1:12" ht="23" x14ac:dyDescent="0.25">
      <c r="A190" s="217" t="str" cm="1">
        <f t="array" ref="A190">IFERROR(INDEX(_xlfn.ANCHORARRAY($P$6),ROW()-5,1),"")</f>
        <v/>
      </c>
      <c r="B190" s="344" t="str" cm="1">
        <f t="array" ref="B190">IFERROR(INDEX(_xlfn.ANCHORARRAY($P$6),ROW()-5,2),"")</f>
        <v/>
      </c>
      <c r="C190" s="345" t="str">
        <f>IF($A190="","",IF($J190="DIESEL",SUMIFS(Table1[Quantity],Table1[Customer],$M$3,Table1[Date],$A190,Table1[Bill No.],$B190),IF($J190="PETROL",SUMIFS(Table14[Quantity],Table14[Customer],$M$3,Table14[Date],$A190,Table14[Bill No.],$B190),IF($J190="XtraGreen",SUMIFS(Table146[Quantity],Table146[Company],$M$3,Table146[Date],$A190,Table146[Bill No.],$B190),""))))</f>
        <v/>
      </c>
      <c r="D190" s="346" t="str">
        <f>IF($A190="","",IF($J190="DIESEL",AVERAGEIFS(Table1[RSP],Table1[Customer],$M$3,Table1[Date],$A190,Table1[Bill No.],$B190),IF($J190="PETROL",AVERAGEIFS(Table14[RSP],Table14[Customer],$M$3,Table14[Date],$A190,Table14[Bill No.],$B190),IF($J190="XtraGreen",AVERAGEIFS(Table146[RSP],Table146[Company],$M$3,Table146[Date],$A190,Table146[Bill No.],$B190),IFERROR($E190/$C190,"")))))</f>
        <v/>
      </c>
      <c r="E190" s="347" t="str">
        <f>IF($A190="","",IF($J190="DIESEL",SUMIFS(Table1[Amount],Table1[Customer],$M$3,Table1[Date],$A190,Table1[Bill No.],$B190),IF($J190="PETROL",SUMIFS(Table14[Amount],Table14[Customer],$M$3,Table14[Date],$A190,Table14[Bill No.],$B190),IF($J190="XtraGreen",SUMIFS(Table146[Amount],Table146[Company],$M$3,Table146[Date],$A190,Table146[Bill No.],$B190),SUMIFS('Other Sale'!$D:$D,'Other Sale'!$E:$E,$M$3,'Other Sale'!$C:$C,$J190,'Other Sale'!$A:$A,$A190)))))</f>
        <v/>
      </c>
      <c r="F190" s="347" t="str" cm="1">
        <f t="array" ref="F190">IF($A190="","",IF($J190="Payment",IFERROR(INDEX(_xlfn._xlws.FILTER(MasterPaid[Amount Paid],(MasterPaid[Customer]=$M$3)*(MasterPaid[Date]=$A190)),COUNTIFS($A$6:$A190,$A190,$J$6:$J190,"Payment")),0),0))</f>
        <v/>
      </c>
      <c r="G190" s="331"/>
      <c r="H190" s="427"/>
      <c r="I190" s="330" t="str">
        <f t="shared" si="11"/>
        <v/>
      </c>
      <c r="J190" s="344" t="str" cm="1">
        <f t="array" ref="J190">IFERROR(INDEX(_xlfn.ANCHORARRAY($P$6),ROW()-5,3),"")</f>
        <v/>
      </c>
      <c r="K190" s="432" t="str" cm="1">
        <f t="array" ref="K190">IF(OR($A190="",$J190&lt;&gt;"DIESEL"),"",_xlfn.LET(_xlpm.qty,N($C190),_xlpm.pos,$T$5:$T$54,_xlpm.alo,IF($U$5:$U$54="",0,$U$5:$U$54),_xlpm.usd,SUMIFS($C$6:$C189,$K$6:$K189,_xlpm.pos&amp;""),_xlpm.bal,_xlpm.alo-_xlpm.usd,IFERROR(INDEX(_xlfn._xlws.FILTER(_xlpm.pos,(_xlpm.pos&lt;&gt;"")*(_xlpm.qty&gt;0)*(_xlpm.bal&gt;=_xlpm.qty)),1),"")))</f>
        <v/>
      </c>
      <c r="L190" s="348"/>
    </row>
    <row r="191" spans="1:12" ht="23" x14ac:dyDescent="0.25">
      <c r="A191" s="217" t="str" cm="1">
        <f t="array" ref="A191">IFERROR(INDEX(_xlfn.ANCHORARRAY($P$6),ROW()-5,1),"")</f>
        <v/>
      </c>
      <c r="B191" s="344" t="str" cm="1">
        <f t="array" ref="B191">IFERROR(INDEX(_xlfn.ANCHORARRAY($P$6),ROW()-5,2),"")</f>
        <v/>
      </c>
      <c r="C191" s="345" t="str">
        <f>IF($A191="","",IF($J191="DIESEL",SUMIFS(Table1[Quantity],Table1[Customer],$M$3,Table1[Date],$A191,Table1[Bill No.],$B191),IF($J191="PETROL",SUMIFS(Table14[Quantity],Table14[Customer],$M$3,Table14[Date],$A191,Table14[Bill No.],$B191),IF($J191="XtraGreen",SUMIFS(Table146[Quantity],Table146[Company],$M$3,Table146[Date],$A191,Table146[Bill No.],$B191),""))))</f>
        <v/>
      </c>
      <c r="D191" s="346" t="str">
        <f>IF($A191="","",IF($J191="DIESEL",AVERAGEIFS(Table1[RSP],Table1[Customer],$M$3,Table1[Date],$A191,Table1[Bill No.],$B191),IF($J191="PETROL",AVERAGEIFS(Table14[RSP],Table14[Customer],$M$3,Table14[Date],$A191,Table14[Bill No.],$B191),IF($J191="XtraGreen",AVERAGEIFS(Table146[RSP],Table146[Company],$M$3,Table146[Date],$A191,Table146[Bill No.],$B191),IFERROR($E191/$C191,"")))))</f>
        <v/>
      </c>
      <c r="E191" s="347" t="str">
        <f>IF($A191="","",IF($J191="DIESEL",SUMIFS(Table1[Amount],Table1[Customer],$M$3,Table1[Date],$A191,Table1[Bill No.],$B191),IF($J191="PETROL",SUMIFS(Table14[Amount],Table14[Customer],$M$3,Table14[Date],$A191,Table14[Bill No.],$B191),IF($J191="XtraGreen",SUMIFS(Table146[Amount],Table146[Company],$M$3,Table146[Date],$A191,Table146[Bill No.],$B191),SUMIFS('Other Sale'!$D:$D,'Other Sale'!$E:$E,$M$3,'Other Sale'!$C:$C,$J191,'Other Sale'!$A:$A,$A191)))))</f>
        <v/>
      </c>
      <c r="F191" s="347" t="str" cm="1">
        <f t="array" ref="F191">IF($A191="","",IF($J191="Payment",IFERROR(INDEX(_xlfn._xlws.FILTER(MasterPaid[Amount Paid],(MasterPaid[Customer]=$M$3)*(MasterPaid[Date]=$A191)),COUNTIFS($A$6:$A191,$A191,$J$6:$J191,"Payment")),0),0))</f>
        <v/>
      </c>
      <c r="G191" s="331"/>
      <c r="H191" s="427"/>
      <c r="I191" s="330" t="str">
        <f t="shared" si="11"/>
        <v/>
      </c>
      <c r="J191" s="344" t="str" cm="1">
        <f t="array" ref="J191">IFERROR(INDEX(_xlfn.ANCHORARRAY($P$6),ROW()-5,3),"")</f>
        <v/>
      </c>
      <c r="K191" s="432" t="str" cm="1">
        <f t="array" ref="K191">IF(OR($A191="",$J191&lt;&gt;"DIESEL"),"",_xlfn.LET(_xlpm.qty,N($C191),_xlpm.pos,$T$5:$T$54,_xlpm.alo,IF($U$5:$U$54="",0,$U$5:$U$54),_xlpm.usd,SUMIFS($C$6:$C190,$K$6:$K190,_xlpm.pos&amp;""),_xlpm.bal,_xlpm.alo-_xlpm.usd,IFERROR(INDEX(_xlfn._xlws.FILTER(_xlpm.pos,(_xlpm.pos&lt;&gt;"")*(_xlpm.qty&gt;0)*(_xlpm.bal&gt;=_xlpm.qty)),1),"")))</f>
        <v/>
      </c>
      <c r="L191" s="348"/>
    </row>
    <row r="192" spans="1:12" ht="23" x14ac:dyDescent="0.25">
      <c r="A192" s="217" t="str" cm="1">
        <f t="array" ref="A192">IFERROR(INDEX(_xlfn.ANCHORARRAY($P$6),ROW()-5,1),"")</f>
        <v/>
      </c>
      <c r="B192" s="344" t="str" cm="1">
        <f t="array" ref="B192">IFERROR(INDEX(_xlfn.ANCHORARRAY($P$6),ROW()-5,2),"")</f>
        <v/>
      </c>
      <c r="C192" s="345" t="str">
        <f>IF($A192="","",IF($J192="DIESEL",SUMIFS(Table1[Quantity],Table1[Customer],$M$3,Table1[Date],$A192,Table1[Bill No.],$B192),IF($J192="PETROL",SUMIFS(Table14[Quantity],Table14[Customer],$M$3,Table14[Date],$A192,Table14[Bill No.],$B192),IF($J192="XtraGreen",SUMIFS(Table146[Quantity],Table146[Company],$M$3,Table146[Date],$A192,Table146[Bill No.],$B192),""))))</f>
        <v/>
      </c>
      <c r="D192" s="346" t="str">
        <f>IF($A192="","",IF($J192="DIESEL",AVERAGEIFS(Table1[RSP],Table1[Customer],$M$3,Table1[Date],$A192,Table1[Bill No.],$B192),IF($J192="PETROL",AVERAGEIFS(Table14[RSP],Table14[Customer],$M$3,Table14[Date],$A192,Table14[Bill No.],$B192),IF($J192="XtraGreen",AVERAGEIFS(Table146[RSP],Table146[Company],$M$3,Table146[Date],$A192,Table146[Bill No.],$B192),IFERROR($E192/$C192,"")))))</f>
        <v/>
      </c>
      <c r="E192" s="347" t="str">
        <f>IF($A192="","",IF($J192="DIESEL",SUMIFS(Table1[Amount],Table1[Customer],$M$3,Table1[Date],$A192,Table1[Bill No.],$B192),IF($J192="PETROL",SUMIFS(Table14[Amount],Table14[Customer],$M$3,Table14[Date],$A192,Table14[Bill No.],$B192),IF($J192="XtraGreen",SUMIFS(Table146[Amount],Table146[Company],$M$3,Table146[Date],$A192,Table146[Bill No.],$B192),SUMIFS('Other Sale'!$D:$D,'Other Sale'!$E:$E,$M$3,'Other Sale'!$C:$C,$J192,'Other Sale'!$A:$A,$A192)))))</f>
        <v/>
      </c>
      <c r="F192" s="347" t="str" cm="1">
        <f t="array" ref="F192">IF($A192="","",IF($J192="Payment",IFERROR(INDEX(_xlfn._xlws.FILTER(MasterPaid[Amount Paid],(MasterPaid[Customer]=$M$3)*(MasterPaid[Date]=$A192)),COUNTIFS($A$6:$A192,$A192,$J$6:$J192,"Payment")),0),0))</f>
        <v/>
      </c>
      <c r="G192" s="331"/>
      <c r="H192" s="427"/>
      <c r="I192" s="330" t="str">
        <f t="shared" si="11"/>
        <v/>
      </c>
      <c r="J192" s="344" t="str" cm="1">
        <f t="array" ref="J192">IFERROR(INDEX(_xlfn.ANCHORARRAY($P$6),ROW()-5,3),"")</f>
        <v/>
      </c>
      <c r="K192" s="432" t="str" cm="1">
        <f t="array" ref="K192">IF(OR($A192="",$J192&lt;&gt;"DIESEL"),"",_xlfn.LET(_xlpm.qty,N($C192),_xlpm.pos,$T$5:$T$54,_xlpm.alo,IF($U$5:$U$54="",0,$U$5:$U$54),_xlpm.usd,SUMIFS($C$6:$C191,$K$6:$K191,_xlpm.pos&amp;""),_xlpm.bal,_xlpm.alo-_xlpm.usd,IFERROR(INDEX(_xlfn._xlws.FILTER(_xlpm.pos,(_xlpm.pos&lt;&gt;"")*(_xlpm.qty&gt;0)*(_xlpm.bal&gt;=_xlpm.qty)),1),"")))</f>
        <v/>
      </c>
      <c r="L192" s="348"/>
    </row>
    <row r="193" spans="1:12" ht="23" x14ac:dyDescent="0.25">
      <c r="A193" s="217" t="str" cm="1">
        <f t="array" ref="A193">IFERROR(INDEX(_xlfn.ANCHORARRAY($P$6),ROW()-5,1),"")</f>
        <v/>
      </c>
      <c r="B193" s="344" t="str" cm="1">
        <f t="array" ref="B193">IFERROR(INDEX(_xlfn.ANCHORARRAY($P$6),ROW()-5,2),"")</f>
        <v/>
      </c>
      <c r="C193" s="345" t="str">
        <f>IF($A193="","",IF($J193="DIESEL",SUMIFS(Table1[Quantity],Table1[Customer],$M$3,Table1[Date],$A193,Table1[Bill No.],$B193),IF($J193="PETROL",SUMIFS(Table14[Quantity],Table14[Customer],$M$3,Table14[Date],$A193,Table14[Bill No.],$B193),IF($J193="XtraGreen",SUMIFS(Table146[Quantity],Table146[Company],$M$3,Table146[Date],$A193,Table146[Bill No.],$B193),""))))</f>
        <v/>
      </c>
      <c r="D193" s="346" t="str">
        <f>IF($A193="","",IF($J193="DIESEL",AVERAGEIFS(Table1[RSP],Table1[Customer],$M$3,Table1[Date],$A193,Table1[Bill No.],$B193),IF($J193="PETROL",AVERAGEIFS(Table14[RSP],Table14[Customer],$M$3,Table14[Date],$A193,Table14[Bill No.],$B193),IF($J193="XtraGreen",AVERAGEIFS(Table146[RSP],Table146[Company],$M$3,Table146[Date],$A193,Table146[Bill No.],$B193),IFERROR($E193/$C193,"")))))</f>
        <v/>
      </c>
      <c r="E193" s="347" t="str">
        <f>IF($A193="","",IF($J193="DIESEL",SUMIFS(Table1[Amount],Table1[Customer],$M$3,Table1[Date],$A193,Table1[Bill No.],$B193),IF($J193="PETROL",SUMIFS(Table14[Amount],Table14[Customer],$M$3,Table14[Date],$A193,Table14[Bill No.],$B193),IF($J193="XtraGreen",SUMIFS(Table146[Amount],Table146[Company],$M$3,Table146[Date],$A193,Table146[Bill No.],$B193),SUMIFS('Other Sale'!$D:$D,'Other Sale'!$E:$E,$M$3,'Other Sale'!$C:$C,$J193,'Other Sale'!$A:$A,$A193)))))</f>
        <v/>
      </c>
      <c r="F193" s="347" t="str" cm="1">
        <f t="array" ref="F193">IF($A193="","",IF($J193="Payment",IFERROR(INDEX(_xlfn._xlws.FILTER(MasterPaid[Amount Paid],(MasterPaid[Customer]=$M$3)*(MasterPaid[Date]=$A193)),COUNTIFS($A$6:$A193,$A193,$J$6:$J193,"Payment")),0),0))</f>
        <v/>
      </c>
      <c r="G193" s="331"/>
      <c r="H193" s="427"/>
      <c r="I193" s="330" t="str">
        <f t="shared" si="11"/>
        <v/>
      </c>
      <c r="J193" s="344" t="str" cm="1">
        <f t="array" ref="J193">IFERROR(INDEX(_xlfn.ANCHORARRAY($P$6),ROW()-5,3),"")</f>
        <v/>
      </c>
      <c r="K193" s="432" t="str" cm="1">
        <f t="array" ref="K193">IF(OR($A193="",$J193&lt;&gt;"DIESEL"),"",_xlfn.LET(_xlpm.qty,N($C193),_xlpm.pos,$T$5:$T$54,_xlpm.alo,IF($U$5:$U$54="",0,$U$5:$U$54),_xlpm.usd,SUMIFS($C$6:$C192,$K$6:$K192,_xlpm.pos&amp;""),_xlpm.bal,_xlpm.alo-_xlpm.usd,IFERROR(INDEX(_xlfn._xlws.FILTER(_xlpm.pos,(_xlpm.pos&lt;&gt;"")*(_xlpm.qty&gt;0)*(_xlpm.bal&gt;=_xlpm.qty)),1),"")))</f>
        <v/>
      </c>
      <c r="L193" s="348"/>
    </row>
    <row r="194" spans="1:12" ht="23" x14ac:dyDescent="0.25">
      <c r="A194" s="217" t="str" cm="1">
        <f t="array" ref="A194">IFERROR(INDEX(_xlfn.ANCHORARRAY($P$6),ROW()-5,1),"")</f>
        <v/>
      </c>
      <c r="B194" s="344" t="str" cm="1">
        <f t="array" ref="B194">IFERROR(INDEX(_xlfn.ANCHORARRAY($P$6),ROW()-5,2),"")</f>
        <v/>
      </c>
      <c r="C194" s="345" t="str">
        <f>IF($A194="","",IF($J194="DIESEL",SUMIFS(Table1[Quantity],Table1[Customer],$M$3,Table1[Date],$A194,Table1[Bill No.],$B194),IF($J194="PETROL",SUMIFS(Table14[Quantity],Table14[Customer],$M$3,Table14[Date],$A194,Table14[Bill No.],$B194),IF($J194="XtraGreen",SUMIFS(Table146[Quantity],Table146[Company],$M$3,Table146[Date],$A194,Table146[Bill No.],$B194),""))))</f>
        <v/>
      </c>
      <c r="D194" s="346" t="str">
        <f>IF($A194="","",IF($J194="DIESEL",AVERAGEIFS(Table1[RSP],Table1[Customer],$M$3,Table1[Date],$A194,Table1[Bill No.],$B194),IF($J194="PETROL",AVERAGEIFS(Table14[RSP],Table14[Customer],$M$3,Table14[Date],$A194,Table14[Bill No.],$B194),IF($J194="XtraGreen",AVERAGEIFS(Table146[RSP],Table146[Company],$M$3,Table146[Date],$A194,Table146[Bill No.],$B194),IFERROR($E194/$C194,"")))))</f>
        <v/>
      </c>
      <c r="E194" s="347" t="str">
        <f>IF($A194="","",IF($J194="DIESEL",SUMIFS(Table1[Amount],Table1[Customer],$M$3,Table1[Date],$A194,Table1[Bill No.],$B194),IF($J194="PETROL",SUMIFS(Table14[Amount],Table14[Customer],$M$3,Table14[Date],$A194,Table14[Bill No.],$B194),IF($J194="XtraGreen",SUMIFS(Table146[Amount],Table146[Company],$M$3,Table146[Date],$A194,Table146[Bill No.],$B194),SUMIFS('Other Sale'!$D:$D,'Other Sale'!$E:$E,$M$3,'Other Sale'!$C:$C,$J194,'Other Sale'!$A:$A,$A194)))))</f>
        <v/>
      </c>
      <c r="F194" s="347" t="str" cm="1">
        <f t="array" ref="F194">IF($A194="","",IF($J194="Payment",IFERROR(INDEX(_xlfn._xlws.FILTER(MasterPaid[Amount Paid],(MasterPaid[Customer]=$M$3)*(MasterPaid[Date]=$A194)),COUNTIFS($A$6:$A194,$A194,$J$6:$J194,"Payment")),0),0))</f>
        <v/>
      </c>
      <c r="G194" s="331"/>
      <c r="H194" s="427"/>
      <c r="I194" s="330" t="str">
        <f t="shared" si="11"/>
        <v/>
      </c>
      <c r="J194" s="344" t="str" cm="1">
        <f t="array" ref="J194">IFERROR(INDEX(_xlfn.ANCHORARRAY($P$6),ROW()-5,3),"")</f>
        <v/>
      </c>
      <c r="K194" s="432" t="str" cm="1">
        <f t="array" ref="K194">IF(OR($A194="",$J194&lt;&gt;"DIESEL"),"",_xlfn.LET(_xlpm.qty,N($C194),_xlpm.pos,$T$5:$T$54,_xlpm.alo,IF($U$5:$U$54="",0,$U$5:$U$54),_xlpm.usd,SUMIFS($C$6:$C193,$K$6:$K193,_xlpm.pos&amp;""),_xlpm.bal,_xlpm.alo-_xlpm.usd,IFERROR(INDEX(_xlfn._xlws.FILTER(_xlpm.pos,(_xlpm.pos&lt;&gt;"")*(_xlpm.qty&gt;0)*(_xlpm.bal&gt;=_xlpm.qty)),1),"")))</f>
        <v/>
      </c>
      <c r="L194" s="348"/>
    </row>
    <row r="195" spans="1:12" ht="23" x14ac:dyDescent="0.25">
      <c r="A195" s="217" t="str" cm="1">
        <f t="array" ref="A195">IFERROR(INDEX(_xlfn.ANCHORARRAY($P$6),ROW()-5,1),"")</f>
        <v/>
      </c>
      <c r="B195" s="344" t="str" cm="1">
        <f t="array" ref="B195">IFERROR(INDEX(_xlfn.ANCHORARRAY($P$6),ROW()-5,2),"")</f>
        <v/>
      </c>
      <c r="C195" s="345" t="str">
        <f>IF($A195="","",IF($J195="DIESEL",SUMIFS(Table1[Quantity],Table1[Customer],$M$3,Table1[Date],$A195,Table1[Bill No.],$B195),IF($J195="PETROL",SUMIFS(Table14[Quantity],Table14[Customer],$M$3,Table14[Date],$A195,Table14[Bill No.],$B195),IF($J195="XtraGreen",SUMIFS(Table146[Quantity],Table146[Company],$M$3,Table146[Date],$A195,Table146[Bill No.],$B195),""))))</f>
        <v/>
      </c>
      <c r="D195" s="346" t="str">
        <f>IF($A195="","",IF($J195="DIESEL",AVERAGEIFS(Table1[RSP],Table1[Customer],$M$3,Table1[Date],$A195,Table1[Bill No.],$B195),IF($J195="PETROL",AVERAGEIFS(Table14[RSP],Table14[Customer],$M$3,Table14[Date],$A195,Table14[Bill No.],$B195),IF($J195="XtraGreen",AVERAGEIFS(Table146[RSP],Table146[Company],$M$3,Table146[Date],$A195,Table146[Bill No.],$B195),IFERROR($E195/$C195,"")))))</f>
        <v/>
      </c>
      <c r="E195" s="347" t="str">
        <f>IF($A195="","",IF($J195="DIESEL",SUMIFS(Table1[Amount],Table1[Customer],$M$3,Table1[Date],$A195,Table1[Bill No.],$B195),IF($J195="PETROL",SUMIFS(Table14[Amount],Table14[Customer],$M$3,Table14[Date],$A195,Table14[Bill No.],$B195),IF($J195="XtraGreen",SUMIFS(Table146[Amount],Table146[Company],$M$3,Table146[Date],$A195,Table146[Bill No.],$B195),SUMIFS('Other Sale'!$D:$D,'Other Sale'!$E:$E,$M$3,'Other Sale'!$C:$C,$J195,'Other Sale'!$A:$A,$A195)))))</f>
        <v/>
      </c>
      <c r="F195" s="347" t="str" cm="1">
        <f t="array" ref="F195">IF($A195="","",IF($J195="Payment",IFERROR(INDEX(_xlfn._xlws.FILTER(MasterPaid[Amount Paid],(MasterPaid[Customer]=$M$3)*(MasterPaid[Date]=$A195)),COUNTIFS($A$6:$A195,$A195,$J$6:$J195,"Payment")),0),0))</f>
        <v/>
      </c>
      <c r="G195" s="331"/>
      <c r="H195" s="427"/>
      <c r="I195" s="330" t="str">
        <f t="shared" si="11"/>
        <v/>
      </c>
      <c r="J195" s="344" t="str" cm="1">
        <f t="array" ref="J195">IFERROR(INDEX(_xlfn.ANCHORARRAY($P$6),ROW()-5,3),"")</f>
        <v/>
      </c>
      <c r="K195" s="432" t="str" cm="1">
        <f t="array" ref="K195">IF(OR($A195="",$J195&lt;&gt;"DIESEL"),"",_xlfn.LET(_xlpm.qty,N($C195),_xlpm.pos,$T$5:$T$54,_xlpm.alo,IF($U$5:$U$54="",0,$U$5:$U$54),_xlpm.usd,SUMIFS($C$6:$C194,$K$6:$K194,_xlpm.pos&amp;""),_xlpm.bal,_xlpm.alo-_xlpm.usd,IFERROR(INDEX(_xlfn._xlws.FILTER(_xlpm.pos,(_xlpm.pos&lt;&gt;"")*(_xlpm.qty&gt;0)*(_xlpm.bal&gt;=_xlpm.qty)),1),"")))</f>
        <v/>
      </c>
      <c r="L195" s="348"/>
    </row>
    <row r="196" spans="1:12" ht="23" x14ac:dyDescent="0.25">
      <c r="A196" s="217" t="str" cm="1">
        <f t="array" ref="A196">IFERROR(INDEX(_xlfn.ANCHORARRAY($P$6),ROW()-5,1),"")</f>
        <v/>
      </c>
      <c r="B196" s="344" t="str" cm="1">
        <f t="array" ref="B196">IFERROR(INDEX(_xlfn.ANCHORARRAY($P$6),ROW()-5,2),"")</f>
        <v/>
      </c>
      <c r="C196" s="345" t="str">
        <f>IF($A196="","",IF($J196="DIESEL",SUMIFS(Table1[Quantity],Table1[Customer],$M$3,Table1[Date],$A196,Table1[Bill No.],$B196),IF($J196="PETROL",SUMIFS(Table14[Quantity],Table14[Customer],$M$3,Table14[Date],$A196,Table14[Bill No.],$B196),IF($J196="XtraGreen",SUMIFS(Table146[Quantity],Table146[Company],$M$3,Table146[Date],$A196,Table146[Bill No.],$B196),""))))</f>
        <v/>
      </c>
      <c r="D196" s="346" t="str">
        <f>IF($A196="","",IF($J196="DIESEL",AVERAGEIFS(Table1[RSP],Table1[Customer],$M$3,Table1[Date],$A196,Table1[Bill No.],$B196),IF($J196="PETROL",AVERAGEIFS(Table14[RSP],Table14[Customer],$M$3,Table14[Date],$A196,Table14[Bill No.],$B196),IF($J196="XtraGreen",AVERAGEIFS(Table146[RSP],Table146[Company],$M$3,Table146[Date],$A196,Table146[Bill No.],$B196),IFERROR($E196/$C196,"")))))</f>
        <v/>
      </c>
      <c r="E196" s="347" t="str">
        <f>IF($A196="","",IF($J196="DIESEL",SUMIFS(Table1[Amount],Table1[Customer],$M$3,Table1[Date],$A196,Table1[Bill No.],$B196),IF($J196="PETROL",SUMIFS(Table14[Amount],Table14[Customer],$M$3,Table14[Date],$A196,Table14[Bill No.],$B196),IF($J196="XtraGreen",SUMIFS(Table146[Amount],Table146[Company],$M$3,Table146[Date],$A196,Table146[Bill No.],$B196),SUMIFS('Other Sale'!$D:$D,'Other Sale'!$E:$E,$M$3,'Other Sale'!$C:$C,$J196,'Other Sale'!$A:$A,$A196)))))</f>
        <v/>
      </c>
      <c r="F196" s="347" t="str" cm="1">
        <f t="array" ref="F196">IF($A196="","",IF($J196="Payment",IFERROR(INDEX(_xlfn._xlws.FILTER(MasterPaid[Amount Paid],(MasterPaid[Customer]=$M$3)*(MasterPaid[Date]=$A196)),COUNTIFS($A$6:$A196,$A196,$J$6:$J196,"Payment")),0),0))</f>
        <v/>
      </c>
      <c r="G196" s="331"/>
      <c r="H196" s="427"/>
      <c r="I196" s="330" t="str">
        <f t="shared" si="11"/>
        <v/>
      </c>
      <c r="J196" s="344" t="str" cm="1">
        <f t="array" ref="J196">IFERROR(INDEX(_xlfn.ANCHORARRAY($P$6),ROW()-5,3),"")</f>
        <v/>
      </c>
      <c r="K196" s="432" t="str" cm="1">
        <f t="array" ref="K196">IF(OR($A196="",$J196&lt;&gt;"DIESEL"),"",_xlfn.LET(_xlpm.qty,N($C196),_xlpm.pos,$T$5:$T$54,_xlpm.alo,IF($U$5:$U$54="",0,$U$5:$U$54),_xlpm.usd,SUMIFS($C$6:$C195,$K$6:$K195,_xlpm.pos&amp;""),_xlpm.bal,_xlpm.alo-_xlpm.usd,IFERROR(INDEX(_xlfn._xlws.FILTER(_xlpm.pos,(_xlpm.pos&lt;&gt;"")*(_xlpm.qty&gt;0)*(_xlpm.bal&gt;=_xlpm.qty)),1),"")))</f>
        <v/>
      </c>
      <c r="L196" s="348"/>
    </row>
    <row r="197" spans="1:12" ht="23" x14ac:dyDescent="0.25">
      <c r="A197" s="217" t="str" cm="1">
        <f t="array" ref="A197">IFERROR(INDEX(_xlfn.ANCHORARRAY($P$6),ROW()-5,1),"")</f>
        <v/>
      </c>
      <c r="B197" s="344" t="str" cm="1">
        <f t="array" ref="B197">IFERROR(INDEX(_xlfn.ANCHORARRAY($P$6),ROW()-5,2),"")</f>
        <v/>
      </c>
      <c r="C197" s="345" t="str">
        <f>IF($A197="","",IF($J197="DIESEL",SUMIFS(Table1[Quantity],Table1[Customer],$M$3,Table1[Date],$A197,Table1[Bill No.],$B197),IF($J197="PETROL",SUMIFS(Table14[Quantity],Table14[Customer],$M$3,Table14[Date],$A197,Table14[Bill No.],$B197),IF($J197="XtraGreen",SUMIFS(Table146[Quantity],Table146[Company],$M$3,Table146[Date],$A197,Table146[Bill No.],$B197),""))))</f>
        <v/>
      </c>
      <c r="D197" s="346" t="str">
        <f>IF($A197="","",IF($J197="DIESEL",AVERAGEIFS(Table1[RSP],Table1[Customer],$M$3,Table1[Date],$A197,Table1[Bill No.],$B197),IF($J197="PETROL",AVERAGEIFS(Table14[RSP],Table14[Customer],$M$3,Table14[Date],$A197,Table14[Bill No.],$B197),IF($J197="XtraGreen",AVERAGEIFS(Table146[RSP],Table146[Company],$M$3,Table146[Date],$A197,Table146[Bill No.],$B197),IFERROR($E197/$C197,"")))))</f>
        <v/>
      </c>
      <c r="E197" s="347" t="str">
        <f>IF($A197="","",IF($J197="DIESEL",SUMIFS(Table1[Amount],Table1[Customer],$M$3,Table1[Date],$A197,Table1[Bill No.],$B197),IF($J197="PETROL",SUMIFS(Table14[Amount],Table14[Customer],$M$3,Table14[Date],$A197,Table14[Bill No.],$B197),IF($J197="XtraGreen",SUMIFS(Table146[Amount],Table146[Company],$M$3,Table146[Date],$A197,Table146[Bill No.],$B197),SUMIFS('Other Sale'!$D:$D,'Other Sale'!$E:$E,$M$3,'Other Sale'!$C:$C,$J197,'Other Sale'!$A:$A,$A197)))))</f>
        <v/>
      </c>
      <c r="F197" s="347" t="str" cm="1">
        <f t="array" ref="F197">IF($A197="","",IF($J197="Payment",IFERROR(INDEX(_xlfn._xlws.FILTER(MasterPaid[Amount Paid],(MasterPaid[Customer]=$M$3)*(MasterPaid[Date]=$A197)),COUNTIFS($A$6:$A197,$A197,$J$6:$J197,"Payment")),0),0))</f>
        <v/>
      </c>
      <c r="G197" s="331"/>
      <c r="H197" s="427"/>
      <c r="I197" s="330" t="str">
        <f t="shared" si="11"/>
        <v/>
      </c>
      <c r="J197" s="344" t="str" cm="1">
        <f t="array" ref="J197">IFERROR(INDEX(_xlfn.ANCHORARRAY($P$6),ROW()-5,3),"")</f>
        <v/>
      </c>
      <c r="K197" s="432" t="str" cm="1">
        <f t="array" ref="K197">IF(OR($A197="",$J197&lt;&gt;"DIESEL"),"",_xlfn.LET(_xlpm.qty,N($C197),_xlpm.pos,$T$5:$T$54,_xlpm.alo,IF($U$5:$U$54="",0,$U$5:$U$54),_xlpm.usd,SUMIFS($C$6:$C196,$K$6:$K196,_xlpm.pos&amp;""),_xlpm.bal,_xlpm.alo-_xlpm.usd,IFERROR(INDEX(_xlfn._xlws.FILTER(_xlpm.pos,(_xlpm.pos&lt;&gt;"")*(_xlpm.qty&gt;0)*(_xlpm.bal&gt;=_xlpm.qty)),1),"")))</f>
        <v/>
      </c>
      <c r="L197" s="348"/>
    </row>
    <row r="198" spans="1:12" ht="23" x14ac:dyDescent="0.25">
      <c r="A198" s="217" t="str" cm="1">
        <f t="array" ref="A198">IFERROR(INDEX(_xlfn.ANCHORARRAY($P$6),ROW()-5,1),"")</f>
        <v/>
      </c>
      <c r="B198" s="344" t="str" cm="1">
        <f t="array" ref="B198">IFERROR(INDEX(_xlfn.ANCHORARRAY($P$6),ROW()-5,2),"")</f>
        <v/>
      </c>
      <c r="C198" s="345" t="str">
        <f>IF($A198="","",IF($J198="DIESEL",SUMIFS(Table1[Quantity],Table1[Customer],$M$3,Table1[Date],$A198,Table1[Bill No.],$B198),IF($J198="PETROL",SUMIFS(Table14[Quantity],Table14[Customer],$M$3,Table14[Date],$A198,Table14[Bill No.],$B198),IF($J198="XtraGreen",SUMIFS(Table146[Quantity],Table146[Company],$M$3,Table146[Date],$A198,Table146[Bill No.],$B198),""))))</f>
        <v/>
      </c>
      <c r="D198" s="346" t="str">
        <f>IF($A198="","",IF($J198="DIESEL",AVERAGEIFS(Table1[RSP],Table1[Customer],$M$3,Table1[Date],$A198,Table1[Bill No.],$B198),IF($J198="PETROL",AVERAGEIFS(Table14[RSP],Table14[Customer],$M$3,Table14[Date],$A198,Table14[Bill No.],$B198),IF($J198="XtraGreen",AVERAGEIFS(Table146[RSP],Table146[Company],$M$3,Table146[Date],$A198,Table146[Bill No.],$B198),IFERROR($E198/$C198,"")))))</f>
        <v/>
      </c>
      <c r="E198" s="347" t="str">
        <f>IF($A198="","",IF($J198="DIESEL",SUMIFS(Table1[Amount],Table1[Customer],$M$3,Table1[Date],$A198,Table1[Bill No.],$B198),IF($J198="PETROL",SUMIFS(Table14[Amount],Table14[Customer],$M$3,Table14[Date],$A198,Table14[Bill No.],$B198),IF($J198="XtraGreen",SUMIFS(Table146[Amount],Table146[Company],$M$3,Table146[Date],$A198,Table146[Bill No.],$B198),SUMIFS('Other Sale'!$D:$D,'Other Sale'!$E:$E,$M$3,'Other Sale'!$C:$C,$J198,'Other Sale'!$A:$A,$A198)))))</f>
        <v/>
      </c>
      <c r="F198" s="347" t="str" cm="1">
        <f t="array" ref="F198">IF($A198="","",IF($J198="Payment",IFERROR(INDEX(_xlfn._xlws.FILTER(MasterPaid[Amount Paid],(MasterPaid[Customer]=$M$3)*(MasterPaid[Date]=$A198)),COUNTIFS($A$6:$A198,$A198,$J$6:$J198,"Payment")),0),0))</f>
        <v/>
      </c>
      <c r="G198" s="331"/>
      <c r="H198" s="427"/>
      <c r="I198" s="330" t="str">
        <f t="shared" si="11"/>
        <v/>
      </c>
      <c r="J198" s="344" t="str" cm="1">
        <f t="array" ref="J198">IFERROR(INDEX(_xlfn.ANCHORARRAY($P$6),ROW()-5,3),"")</f>
        <v/>
      </c>
      <c r="K198" s="432" t="str" cm="1">
        <f t="array" ref="K198">IF(OR($A198="",$J198&lt;&gt;"DIESEL"),"",_xlfn.LET(_xlpm.qty,N($C198),_xlpm.pos,$T$5:$T$54,_xlpm.alo,IF($U$5:$U$54="",0,$U$5:$U$54),_xlpm.usd,SUMIFS($C$6:$C197,$K$6:$K197,_xlpm.pos&amp;""),_xlpm.bal,_xlpm.alo-_xlpm.usd,IFERROR(INDEX(_xlfn._xlws.FILTER(_xlpm.pos,(_xlpm.pos&lt;&gt;"")*(_xlpm.qty&gt;0)*(_xlpm.bal&gt;=_xlpm.qty)),1),"")))</f>
        <v/>
      </c>
      <c r="L198" s="348"/>
    </row>
    <row r="199" spans="1:12" ht="23" x14ac:dyDescent="0.25">
      <c r="A199" s="217" t="str" cm="1">
        <f t="array" ref="A199">IFERROR(INDEX(_xlfn.ANCHORARRAY($P$6),ROW()-5,1),"")</f>
        <v/>
      </c>
      <c r="B199" s="344" t="str" cm="1">
        <f t="array" ref="B199">IFERROR(INDEX(_xlfn.ANCHORARRAY($P$6),ROW()-5,2),"")</f>
        <v/>
      </c>
      <c r="C199" s="345" t="str">
        <f>IF($A199="","",IF($J199="DIESEL",SUMIFS(Table1[Quantity],Table1[Customer],$M$3,Table1[Date],$A199,Table1[Bill No.],$B199),IF($J199="PETROL",SUMIFS(Table14[Quantity],Table14[Customer],$M$3,Table14[Date],$A199,Table14[Bill No.],$B199),IF($J199="XtraGreen",SUMIFS(Table146[Quantity],Table146[Company],$M$3,Table146[Date],$A199,Table146[Bill No.],$B199),""))))</f>
        <v/>
      </c>
      <c r="D199" s="346" t="str">
        <f>IF($A199="","",IF($J199="DIESEL",AVERAGEIFS(Table1[RSP],Table1[Customer],$M$3,Table1[Date],$A199,Table1[Bill No.],$B199),IF($J199="PETROL",AVERAGEIFS(Table14[RSP],Table14[Customer],$M$3,Table14[Date],$A199,Table14[Bill No.],$B199),IF($J199="XtraGreen",AVERAGEIFS(Table146[RSP],Table146[Company],$M$3,Table146[Date],$A199,Table146[Bill No.],$B199),IFERROR($E199/$C199,"")))))</f>
        <v/>
      </c>
      <c r="E199" s="347" t="str">
        <f>IF($A199="","",IF($J199="DIESEL",SUMIFS(Table1[Amount],Table1[Customer],$M$3,Table1[Date],$A199,Table1[Bill No.],$B199),IF($J199="PETROL",SUMIFS(Table14[Amount],Table14[Customer],$M$3,Table14[Date],$A199,Table14[Bill No.],$B199),IF($J199="XtraGreen",SUMIFS(Table146[Amount],Table146[Company],$M$3,Table146[Date],$A199,Table146[Bill No.],$B199),SUMIFS('Other Sale'!$D:$D,'Other Sale'!$E:$E,$M$3,'Other Sale'!$C:$C,$J199,'Other Sale'!$A:$A,$A199)))))</f>
        <v/>
      </c>
      <c r="F199" s="347" t="str" cm="1">
        <f t="array" ref="F199">IF($A199="","",IF($J199="Payment",IFERROR(INDEX(_xlfn._xlws.FILTER(MasterPaid[Amount Paid],(MasterPaid[Customer]=$M$3)*(MasterPaid[Date]=$A199)),COUNTIFS($A$6:$A199,$A199,$J$6:$J199,"Payment")),0),0))</f>
        <v/>
      </c>
      <c r="G199" s="331"/>
      <c r="H199" s="427"/>
      <c r="I199" s="330" t="str">
        <f t="shared" si="11"/>
        <v/>
      </c>
      <c r="J199" s="344" t="str" cm="1">
        <f t="array" ref="J199">IFERROR(INDEX(_xlfn.ANCHORARRAY($P$6),ROW()-5,3),"")</f>
        <v/>
      </c>
      <c r="K199" s="432" t="str" cm="1">
        <f t="array" ref="K199">IF(OR($A199="",$J199&lt;&gt;"DIESEL"),"",_xlfn.LET(_xlpm.qty,N($C199),_xlpm.pos,$T$5:$T$54,_xlpm.alo,IF($U$5:$U$54="",0,$U$5:$U$54),_xlpm.usd,SUMIFS($C$6:$C198,$K$6:$K198,_xlpm.pos&amp;""),_xlpm.bal,_xlpm.alo-_xlpm.usd,IFERROR(INDEX(_xlfn._xlws.FILTER(_xlpm.pos,(_xlpm.pos&lt;&gt;"")*(_xlpm.qty&gt;0)*(_xlpm.bal&gt;=_xlpm.qty)),1),"")))</f>
        <v/>
      </c>
      <c r="L199" s="348"/>
    </row>
    <row r="200" spans="1:12" ht="23" x14ac:dyDescent="0.25">
      <c r="A200" s="217" t="str" cm="1">
        <f t="array" ref="A200">IFERROR(INDEX(_xlfn.ANCHORARRAY($P$6),ROW()-5,1),"")</f>
        <v/>
      </c>
      <c r="B200" s="344" t="str" cm="1">
        <f t="array" ref="B200">IFERROR(INDEX(_xlfn.ANCHORARRAY($P$6),ROW()-5,2),"")</f>
        <v/>
      </c>
      <c r="C200" s="345" t="str">
        <f>IF($A200="","",IF($J200="DIESEL",SUMIFS(Table1[Quantity],Table1[Customer],$M$3,Table1[Date],$A200,Table1[Bill No.],$B200),IF($J200="PETROL",SUMIFS(Table14[Quantity],Table14[Customer],$M$3,Table14[Date],$A200,Table14[Bill No.],$B200),IF($J200="XtraGreen",SUMIFS(Table146[Quantity],Table146[Company],$M$3,Table146[Date],$A200,Table146[Bill No.],$B200),""))))</f>
        <v/>
      </c>
      <c r="D200" s="346" t="str">
        <f>IF($A200="","",IF($J200="DIESEL",AVERAGEIFS(Table1[RSP],Table1[Customer],$M$3,Table1[Date],$A200,Table1[Bill No.],$B200),IF($J200="PETROL",AVERAGEIFS(Table14[RSP],Table14[Customer],$M$3,Table14[Date],$A200,Table14[Bill No.],$B200),IF($J200="XtraGreen",AVERAGEIFS(Table146[RSP],Table146[Company],$M$3,Table146[Date],$A200,Table146[Bill No.],$B200),IFERROR($E200/$C200,"")))))</f>
        <v/>
      </c>
      <c r="E200" s="347" t="str">
        <f>IF($A200="","",IF($J200="DIESEL",SUMIFS(Table1[Amount],Table1[Customer],$M$3,Table1[Date],$A200,Table1[Bill No.],$B200),IF($J200="PETROL",SUMIFS(Table14[Amount],Table14[Customer],$M$3,Table14[Date],$A200,Table14[Bill No.],$B200),IF($J200="XtraGreen",SUMIFS(Table146[Amount],Table146[Company],$M$3,Table146[Date],$A200,Table146[Bill No.],$B200),SUMIFS('Other Sale'!$D:$D,'Other Sale'!$E:$E,$M$3,'Other Sale'!$C:$C,$J200,'Other Sale'!$A:$A,$A200)))))</f>
        <v/>
      </c>
      <c r="F200" s="347" t="str" cm="1">
        <f t="array" ref="F200">IF($A200="","",IF($J200="Payment",IFERROR(INDEX(_xlfn._xlws.FILTER(MasterPaid[Amount Paid],(MasterPaid[Customer]=$M$3)*(MasterPaid[Date]=$A200)),COUNTIFS($A$6:$A200,$A200,$J$6:$J200,"Payment")),0),0))</f>
        <v/>
      </c>
      <c r="G200" s="331"/>
      <c r="H200" s="427"/>
      <c r="I200" s="330" t="str">
        <f t="shared" ref="I200:I263" si="12">IF($A200="","",I199+N(E200)-N(F200)-N(G200)-N(H200))</f>
        <v/>
      </c>
      <c r="J200" s="344" t="str" cm="1">
        <f t="array" ref="J200">IFERROR(INDEX(_xlfn.ANCHORARRAY($P$6),ROW()-5,3),"")</f>
        <v/>
      </c>
      <c r="K200" s="432" t="str" cm="1">
        <f t="array" ref="K200">IF(OR($A200="",$J200&lt;&gt;"DIESEL"),"",_xlfn.LET(_xlpm.qty,N($C200),_xlpm.pos,$T$5:$T$54,_xlpm.alo,IF($U$5:$U$54="",0,$U$5:$U$54),_xlpm.usd,SUMIFS($C$6:$C199,$K$6:$K199,_xlpm.pos&amp;""),_xlpm.bal,_xlpm.alo-_xlpm.usd,IFERROR(INDEX(_xlfn._xlws.FILTER(_xlpm.pos,(_xlpm.pos&lt;&gt;"")*(_xlpm.qty&gt;0)*(_xlpm.bal&gt;=_xlpm.qty)),1),"")))</f>
        <v/>
      </c>
      <c r="L200" s="348"/>
    </row>
    <row r="201" spans="1:12" ht="23" x14ac:dyDescent="0.25">
      <c r="A201" s="217" t="str" cm="1">
        <f t="array" ref="A201">IFERROR(INDEX(_xlfn.ANCHORARRAY($P$6),ROW()-5,1),"")</f>
        <v/>
      </c>
      <c r="B201" s="344" t="str" cm="1">
        <f t="array" ref="B201">IFERROR(INDEX(_xlfn.ANCHORARRAY($P$6),ROW()-5,2),"")</f>
        <v/>
      </c>
      <c r="C201" s="345" t="str">
        <f>IF($A201="","",IF($J201="DIESEL",SUMIFS(Table1[Quantity],Table1[Customer],$M$3,Table1[Date],$A201,Table1[Bill No.],$B201),IF($J201="PETROL",SUMIFS(Table14[Quantity],Table14[Customer],$M$3,Table14[Date],$A201,Table14[Bill No.],$B201),IF($J201="XtraGreen",SUMIFS(Table146[Quantity],Table146[Company],$M$3,Table146[Date],$A201,Table146[Bill No.],$B201),""))))</f>
        <v/>
      </c>
      <c r="D201" s="346" t="str">
        <f>IF($A201="","",IF($J201="DIESEL",AVERAGEIFS(Table1[RSP],Table1[Customer],$M$3,Table1[Date],$A201,Table1[Bill No.],$B201),IF($J201="PETROL",AVERAGEIFS(Table14[RSP],Table14[Customer],$M$3,Table14[Date],$A201,Table14[Bill No.],$B201),IF($J201="XtraGreen",AVERAGEIFS(Table146[RSP],Table146[Company],$M$3,Table146[Date],$A201,Table146[Bill No.],$B201),IFERROR($E201/$C201,"")))))</f>
        <v/>
      </c>
      <c r="E201" s="347" t="str">
        <f>IF($A201="","",IF($J201="DIESEL",SUMIFS(Table1[Amount],Table1[Customer],$M$3,Table1[Date],$A201,Table1[Bill No.],$B201),IF($J201="PETROL",SUMIFS(Table14[Amount],Table14[Customer],$M$3,Table14[Date],$A201,Table14[Bill No.],$B201),IF($J201="XtraGreen",SUMIFS(Table146[Amount],Table146[Company],$M$3,Table146[Date],$A201,Table146[Bill No.],$B201),SUMIFS('Other Sale'!$D:$D,'Other Sale'!$E:$E,$M$3,'Other Sale'!$C:$C,$J201,'Other Sale'!$A:$A,$A201)))))</f>
        <v/>
      </c>
      <c r="F201" s="347" t="str" cm="1">
        <f t="array" ref="F201">IF($A201="","",IF($J201="Payment",IFERROR(INDEX(_xlfn._xlws.FILTER(MasterPaid[Amount Paid],(MasterPaid[Customer]=$M$3)*(MasterPaid[Date]=$A201)),COUNTIFS($A$6:$A201,$A201,$J$6:$J201,"Payment")),0),0))</f>
        <v/>
      </c>
      <c r="G201" s="331"/>
      <c r="H201" s="427"/>
      <c r="I201" s="330" t="str">
        <f t="shared" si="12"/>
        <v/>
      </c>
      <c r="J201" s="344" t="str" cm="1">
        <f t="array" ref="J201">IFERROR(INDEX(_xlfn.ANCHORARRAY($P$6),ROW()-5,3),"")</f>
        <v/>
      </c>
      <c r="K201" s="432" t="str" cm="1">
        <f t="array" ref="K201">IF(OR($A201="",$J201&lt;&gt;"DIESEL"),"",_xlfn.LET(_xlpm.qty,N($C201),_xlpm.pos,$T$5:$T$54,_xlpm.alo,IF($U$5:$U$54="",0,$U$5:$U$54),_xlpm.usd,SUMIFS($C$6:$C200,$K$6:$K200,_xlpm.pos&amp;""),_xlpm.bal,_xlpm.alo-_xlpm.usd,IFERROR(INDEX(_xlfn._xlws.FILTER(_xlpm.pos,(_xlpm.pos&lt;&gt;"")*(_xlpm.qty&gt;0)*(_xlpm.bal&gt;=_xlpm.qty)),1),"")))</f>
        <v/>
      </c>
      <c r="L201" s="348"/>
    </row>
    <row r="202" spans="1:12" ht="23" x14ac:dyDescent="0.25">
      <c r="A202" s="217" t="str" cm="1">
        <f t="array" ref="A202">IFERROR(INDEX(_xlfn.ANCHORARRAY($P$6),ROW()-5,1),"")</f>
        <v/>
      </c>
      <c r="B202" s="344" t="str" cm="1">
        <f t="array" ref="B202">IFERROR(INDEX(_xlfn.ANCHORARRAY($P$6),ROW()-5,2),"")</f>
        <v/>
      </c>
      <c r="C202" s="345" t="str">
        <f>IF($A202="","",IF($J202="DIESEL",SUMIFS(Table1[Quantity],Table1[Customer],$M$3,Table1[Date],$A202,Table1[Bill No.],$B202),IF($J202="PETROL",SUMIFS(Table14[Quantity],Table14[Customer],$M$3,Table14[Date],$A202,Table14[Bill No.],$B202),IF($J202="XtraGreen",SUMIFS(Table146[Quantity],Table146[Company],$M$3,Table146[Date],$A202,Table146[Bill No.],$B202),""))))</f>
        <v/>
      </c>
      <c r="D202" s="346" t="str">
        <f>IF($A202="","",IF($J202="DIESEL",AVERAGEIFS(Table1[RSP],Table1[Customer],$M$3,Table1[Date],$A202,Table1[Bill No.],$B202),IF($J202="PETROL",AVERAGEIFS(Table14[RSP],Table14[Customer],$M$3,Table14[Date],$A202,Table14[Bill No.],$B202),IF($J202="XtraGreen",AVERAGEIFS(Table146[RSP],Table146[Company],$M$3,Table146[Date],$A202,Table146[Bill No.],$B202),IFERROR($E202/$C202,"")))))</f>
        <v/>
      </c>
      <c r="E202" s="347" t="str">
        <f>IF($A202="","",IF($J202="DIESEL",SUMIFS(Table1[Amount],Table1[Customer],$M$3,Table1[Date],$A202,Table1[Bill No.],$B202),IF($J202="PETROL",SUMIFS(Table14[Amount],Table14[Customer],$M$3,Table14[Date],$A202,Table14[Bill No.],$B202),IF($J202="XtraGreen",SUMIFS(Table146[Amount],Table146[Company],$M$3,Table146[Date],$A202,Table146[Bill No.],$B202),SUMIFS('Other Sale'!$D:$D,'Other Sale'!$E:$E,$M$3,'Other Sale'!$C:$C,$J202,'Other Sale'!$A:$A,$A202)))))</f>
        <v/>
      </c>
      <c r="F202" s="347" t="str" cm="1">
        <f t="array" ref="F202">IF($A202="","",IF($J202="Payment",IFERROR(INDEX(_xlfn._xlws.FILTER(MasterPaid[Amount Paid],(MasterPaid[Customer]=$M$3)*(MasterPaid[Date]=$A202)),COUNTIFS($A$6:$A202,$A202,$J$6:$J202,"Payment")),0),0))</f>
        <v/>
      </c>
      <c r="G202" s="331"/>
      <c r="H202" s="427"/>
      <c r="I202" s="330" t="str">
        <f t="shared" si="12"/>
        <v/>
      </c>
      <c r="J202" s="344" t="str" cm="1">
        <f t="array" ref="J202">IFERROR(INDEX(_xlfn.ANCHORARRAY($P$6),ROW()-5,3),"")</f>
        <v/>
      </c>
      <c r="K202" s="432" t="str" cm="1">
        <f t="array" ref="K202">IF(OR($A202="",$J202&lt;&gt;"DIESEL"),"",_xlfn.LET(_xlpm.qty,N($C202),_xlpm.pos,$T$5:$T$54,_xlpm.alo,IF($U$5:$U$54="",0,$U$5:$U$54),_xlpm.usd,SUMIFS($C$6:$C201,$K$6:$K201,_xlpm.pos&amp;""),_xlpm.bal,_xlpm.alo-_xlpm.usd,IFERROR(INDEX(_xlfn._xlws.FILTER(_xlpm.pos,(_xlpm.pos&lt;&gt;"")*(_xlpm.qty&gt;0)*(_xlpm.bal&gt;=_xlpm.qty)),1),"")))</f>
        <v/>
      </c>
      <c r="L202" s="348"/>
    </row>
    <row r="203" spans="1:12" ht="23" x14ac:dyDescent="0.25">
      <c r="A203" s="217" t="str" cm="1">
        <f t="array" ref="A203">IFERROR(INDEX(_xlfn.ANCHORARRAY($P$6),ROW()-5,1),"")</f>
        <v/>
      </c>
      <c r="B203" s="344" t="str" cm="1">
        <f t="array" ref="B203">IFERROR(INDEX(_xlfn.ANCHORARRAY($P$6),ROW()-5,2),"")</f>
        <v/>
      </c>
      <c r="C203" s="345" t="str">
        <f>IF($A203="","",IF($J203="DIESEL",SUMIFS(Table1[Quantity],Table1[Customer],$M$3,Table1[Date],$A203,Table1[Bill No.],$B203),IF($J203="PETROL",SUMIFS(Table14[Quantity],Table14[Customer],$M$3,Table14[Date],$A203,Table14[Bill No.],$B203),IF($J203="XtraGreen",SUMIFS(Table146[Quantity],Table146[Company],$M$3,Table146[Date],$A203,Table146[Bill No.],$B203),""))))</f>
        <v/>
      </c>
      <c r="D203" s="346" t="str">
        <f>IF($A203="","",IF($J203="DIESEL",AVERAGEIFS(Table1[RSP],Table1[Customer],$M$3,Table1[Date],$A203,Table1[Bill No.],$B203),IF($J203="PETROL",AVERAGEIFS(Table14[RSP],Table14[Customer],$M$3,Table14[Date],$A203,Table14[Bill No.],$B203),IF($J203="XtraGreen",AVERAGEIFS(Table146[RSP],Table146[Company],$M$3,Table146[Date],$A203,Table146[Bill No.],$B203),IFERROR($E203/$C203,"")))))</f>
        <v/>
      </c>
      <c r="E203" s="347" t="str">
        <f>IF($A203="","",IF($J203="DIESEL",SUMIFS(Table1[Amount],Table1[Customer],$M$3,Table1[Date],$A203,Table1[Bill No.],$B203),IF($J203="PETROL",SUMIFS(Table14[Amount],Table14[Customer],$M$3,Table14[Date],$A203,Table14[Bill No.],$B203),IF($J203="XtraGreen",SUMIFS(Table146[Amount],Table146[Company],$M$3,Table146[Date],$A203,Table146[Bill No.],$B203),SUMIFS('Other Sale'!$D:$D,'Other Sale'!$E:$E,$M$3,'Other Sale'!$C:$C,$J203,'Other Sale'!$A:$A,$A203)))))</f>
        <v/>
      </c>
      <c r="F203" s="347" t="str" cm="1">
        <f t="array" ref="F203">IF($A203="","",IF($J203="Payment",IFERROR(INDEX(_xlfn._xlws.FILTER(MasterPaid[Amount Paid],(MasterPaid[Customer]=$M$3)*(MasterPaid[Date]=$A203)),COUNTIFS($A$6:$A203,$A203,$J$6:$J203,"Payment")),0),0))</f>
        <v/>
      </c>
      <c r="G203" s="331"/>
      <c r="H203" s="427"/>
      <c r="I203" s="330" t="str">
        <f t="shared" si="12"/>
        <v/>
      </c>
      <c r="J203" s="344" t="str" cm="1">
        <f t="array" ref="J203">IFERROR(INDEX(_xlfn.ANCHORARRAY($P$6),ROW()-5,3),"")</f>
        <v/>
      </c>
      <c r="K203" s="432" t="str" cm="1">
        <f t="array" ref="K203">IF(OR($A203="",$J203&lt;&gt;"DIESEL"),"",_xlfn.LET(_xlpm.qty,N($C203),_xlpm.pos,$T$5:$T$54,_xlpm.alo,IF($U$5:$U$54="",0,$U$5:$U$54),_xlpm.usd,SUMIFS($C$6:$C202,$K$6:$K202,_xlpm.pos&amp;""),_xlpm.bal,_xlpm.alo-_xlpm.usd,IFERROR(INDEX(_xlfn._xlws.FILTER(_xlpm.pos,(_xlpm.pos&lt;&gt;"")*(_xlpm.qty&gt;0)*(_xlpm.bal&gt;=_xlpm.qty)),1),"")))</f>
        <v/>
      </c>
      <c r="L203" s="348"/>
    </row>
    <row r="204" spans="1:12" ht="23" x14ac:dyDescent="0.25">
      <c r="A204" s="217" t="str" cm="1">
        <f t="array" ref="A204">IFERROR(INDEX(_xlfn.ANCHORARRAY($P$6),ROW()-5,1),"")</f>
        <v/>
      </c>
      <c r="B204" s="344" t="str" cm="1">
        <f t="array" ref="B204">IFERROR(INDEX(_xlfn.ANCHORARRAY($P$6),ROW()-5,2),"")</f>
        <v/>
      </c>
      <c r="C204" s="345" t="str">
        <f>IF($A204="","",IF($J204="DIESEL",SUMIFS(Table1[Quantity],Table1[Customer],$M$3,Table1[Date],$A204,Table1[Bill No.],$B204),IF($J204="PETROL",SUMIFS(Table14[Quantity],Table14[Customer],$M$3,Table14[Date],$A204,Table14[Bill No.],$B204),IF($J204="XtraGreen",SUMIFS(Table146[Quantity],Table146[Company],$M$3,Table146[Date],$A204,Table146[Bill No.],$B204),""))))</f>
        <v/>
      </c>
      <c r="D204" s="346" t="str">
        <f>IF($A204="","",IF($J204="DIESEL",AVERAGEIFS(Table1[RSP],Table1[Customer],$M$3,Table1[Date],$A204,Table1[Bill No.],$B204),IF($J204="PETROL",AVERAGEIFS(Table14[RSP],Table14[Customer],$M$3,Table14[Date],$A204,Table14[Bill No.],$B204),IF($J204="XtraGreen",AVERAGEIFS(Table146[RSP],Table146[Company],$M$3,Table146[Date],$A204,Table146[Bill No.],$B204),IFERROR($E204/$C204,"")))))</f>
        <v/>
      </c>
      <c r="E204" s="347" t="str">
        <f>IF($A204="","",IF($J204="DIESEL",SUMIFS(Table1[Amount],Table1[Customer],$M$3,Table1[Date],$A204,Table1[Bill No.],$B204),IF($J204="PETROL",SUMIFS(Table14[Amount],Table14[Customer],$M$3,Table14[Date],$A204,Table14[Bill No.],$B204),IF($J204="XtraGreen",SUMIFS(Table146[Amount],Table146[Company],$M$3,Table146[Date],$A204,Table146[Bill No.],$B204),SUMIFS('Other Sale'!$D:$D,'Other Sale'!$E:$E,$M$3,'Other Sale'!$C:$C,$J204,'Other Sale'!$A:$A,$A204)))))</f>
        <v/>
      </c>
      <c r="F204" s="347" t="str" cm="1">
        <f t="array" ref="F204">IF($A204="","",IF($J204="Payment",IFERROR(INDEX(_xlfn._xlws.FILTER(MasterPaid[Amount Paid],(MasterPaid[Customer]=$M$3)*(MasterPaid[Date]=$A204)),COUNTIFS($A$6:$A204,$A204,$J$6:$J204,"Payment")),0),0))</f>
        <v/>
      </c>
      <c r="G204" s="331"/>
      <c r="H204" s="427"/>
      <c r="I204" s="330" t="str">
        <f t="shared" si="12"/>
        <v/>
      </c>
      <c r="J204" s="344" t="str" cm="1">
        <f t="array" ref="J204">IFERROR(INDEX(_xlfn.ANCHORARRAY($P$6),ROW()-5,3),"")</f>
        <v/>
      </c>
      <c r="K204" s="432" t="str" cm="1">
        <f t="array" ref="K204">IF(OR($A204="",$J204&lt;&gt;"DIESEL"),"",_xlfn.LET(_xlpm.qty,N($C204),_xlpm.pos,$T$5:$T$54,_xlpm.alo,IF($U$5:$U$54="",0,$U$5:$U$54),_xlpm.usd,SUMIFS($C$6:$C203,$K$6:$K203,_xlpm.pos&amp;""),_xlpm.bal,_xlpm.alo-_xlpm.usd,IFERROR(INDEX(_xlfn._xlws.FILTER(_xlpm.pos,(_xlpm.pos&lt;&gt;"")*(_xlpm.qty&gt;0)*(_xlpm.bal&gt;=_xlpm.qty)),1),"")))</f>
        <v/>
      </c>
      <c r="L204" s="348"/>
    </row>
    <row r="205" spans="1:12" ht="23" x14ac:dyDescent="0.25">
      <c r="A205" s="217" t="str" cm="1">
        <f t="array" ref="A205">IFERROR(INDEX(_xlfn.ANCHORARRAY($P$6),ROW()-5,1),"")</f>
        <v/>
      </c>
      <c r="B205" s="344" t="str" cm="1">
        <f t="array" ref="B205">IFERROR(INDEX(_xlfn.ANCHORARRAY($P$6),ROW()-5,2),"")</f>
        <v/>
      </c>
      <c r="C205" s="345" t="str">
        <f>IF($A205="","",IF($J205="DIESEL",SUMIFS(Table1[Quantity],Table1[Customer],$M$3,Table1[Date],$A205,Table1[Bill No.],$B205),IF($J205="PETROL",SUMIFS(Table14[Quantity],Table14[Customer],$M$3,Table14[Date],$A205,Table14[Bill No.],$B205),IF($J205="XtraGreen",SUMIFS(Table146[Quantity],Table146[Company],$M$3,Table146[Date],$A205,Table146[Bill No.],$B205),""))))</f>
        <v/>
      </c>
      <c r="D205" s="346" t="str">
        <f>IF($A205="","",IF($J205="DIESEL",AVERAGEIFS(Table1[RSP],Table1[Customer],$M$3,Table1[Date],$A205,Table1[Bill No.],$B205),IF($J205="PETROL",AVERAGEIFS(Table14[RSP],Table14[Customer],$M$3,Table14[Date],$A205,Table14[Bill No.],$B205),IF($J205="XtraGreen",AVERAGEIFS(Table146[RSP],Table146[Company],$M$3,Table146[Date],$A205,Table146[Bill No.],$B205),IFERROR($E205/$C205,"")))))</f>
        <v/>
      </c>
      <c r="E205" s="347" t="str">
        <f>IF($A205="","",IF($J205="DIESEL",SUMIFS(Table1[Amount],Table1[Customer],$M$3,Table1[Date],$A205,Table1[Bill No.],$B205),IF($J205="PETROL",SUMIFS(Table14[Amount],Table14[Customer],$M$3,Table14[Date],$A205,Table14[Bill No.],$B205),IF($J205="XtraGreen",SUMIFS(Table146[Amount],Table146[Company],$M$3,Table146[Date],$A205,Table146[Bill No.],$B205),SUMIFS('Other Sale'!$D:$D,'Other Sale'!$E:$E,$M$3,'Other Sale'!$C:$C,$J205,'Other Sale'!$A:$A,$A205)))))</f>
        <v/>
      </c>
      <c r="F205" s="347" t="str" cm="1">
        <f t="array" ref="F205">IF($A205="","",IF($J205="Payment",IFERROR(INDEX(_xlfn._xlws.FILTER(MasterPaid[Amount Paid],(MasterPaid[Customer]=$M$3)*(MasterPaid[Date]=$A205)),COUNTIFS($A$6:$A205,$A205,$J$6:$J205,"Payment")),0),0))</f>
        <v/>
      </c>
      <c r="G205" s="331"/>
      <c r="H205" s="427"/>
      <c r="I205" s="330" t="str">
        <f t="shared" si="12"/>
        <v/>
      </c>
      <c r="J205" s="344" t="str" cm="1">
        <f t="array" ref="J205">IFERROR(INDEX(_xlfn.ANCHORARRAY($P$6),ROW()-5,3),"")</f>
        <v/>
      </c>
      <c r="K205" s="432" t="str" cm="1">
        <f t="array" ref="K205">IF(OR($A205="",$J205&lt;&gt;"DIESEL"),"",_xlfn.LET(_xlpm.qty,N($C205),_xlpm.pos,$T$5:$T$54,_xlpm.alo,IF($U$5:$U$54="",0,$U$5:$U$54),_xlpm.usd,SUMIFS($C$6:$C204,$K$6:$K204,_xlpm.pos&amp;""),_xlpm.bal,_xlpm.alo-_xlpm.usd,IFERROR(INDEX(_xlfn._xlws.FILTER(_xlpm.pos,(_xlpm.pos&lt;&gt;"")*(_xlpm.qty&gt;0)*(_xlpm.bal&gt;=_xlpm.qty)),1),"")))</f>
        <v/>
      </c>
      <c r="L205" s="348"/>
    </row>
    <row r="206" spans="1:12" ht="23" x14ac:dyDescent="0.25">
      <c r="A206" s="217" t="str" cm="1">
        <f t="array" ref="A206">IFERROR(INDEX(_xlfn.ANCHORARRAY($P$6),ROW()-5,1),"")</f>
        <v/>
      </c>
      <c r="B206" s="344" t="str" cm="1">
        <f t="array" ref="B206">IFERROR(INDEX(_xlfn.ANCHORARRAY($P$6),ROW()-5,2),"")</f>
        <v/>
      </c>
      <c r="C206" s="345" t="str">
        <f>IF($A206="","",IF($J206="DIESEL",SUMIFS(Table1[Quantity],Table1[Customer],$M$3,Table1[Date],$A206,Table1[Bill No.],$B206),IF($J206="PETROL",SUMIFS(Table14[Quantity],Table14[Customer],$M$3,Table14[Date],$A206,Table14[Bill No.],$B206),IF($J206="XtraGreen",SUMIFS(Table146[Quantity],Table146[Company],$M$3,Table146[Date],$A206,Table146[Bill No.],$B206),""))))</f>
        <v/>
      </c>
      <c r="D206" s="346" t="str">
        <f>IF($A206="","",IF($J206="DIESEL",AVERAGEIFS(Table1[RSP],Table1[Customer],$M$3,Table1[Date],$A206,Table1[Bill No.],$B206),IF($J206="PETROL",AVERAGEIFS(Table14[RSP],Table14[Customer],$M$3,Table14[Date],$A206,Table14[Bill No.],$B206),IF($J206="XtraGreen",AVERAGEIFS(Table146[RSP],Table146[Company],$M$3,Table146[Date],$A206,Table146[Bill No.],$B206),IFERROR($E206/$C206,"")))))</f>
        <v/>
      </c>
      <c r="E206" s="347" t="str">
        <f>IF($A206="","",IF($J206="DIESEL",SUMIFS(Table1[Amount],Table1[Customer],$M$3,Table1[Date],$A206,Table1[Bill No.],$B206),IF($J206="PETROL",SUMIFS(Table14[Amount],Table14[Customer],$M$3,Table14[Date],$A206,Table14[Bill No.],$B206),IF($J206="XtraGreen",SUMIFS(Table146[Amount],Table146[Company],$M$3,Table146[Date],$A206,Table146[Bill No.],$B206),SUMIFS('Other Sale'!$D:$D,'Other Sale'!$E:$E,$M$3,'Other Sale'!$C:$C,$J206,'Other Sale'!$A:$A,$A206)))))</f>
        <v/>
      </c>
      <c r="F206" s="347" t="str" cm="1">
        <f t="array" ref="F206">IF($A206="","",IF($J206="Payment",IFERROR(INDEX(_xlfn._xlws.FILTER(MasterPaid[Amount Paid],(MasterPaid[Customer]=$M$3)*(MasterPaid[Date]=$A206)),COUNTIFS($A$6:$A206,$A206,$J$6:$J206,"Payment")),0),0))</f>
        <v/>
      </c>
      <c r="G206" s="331"/>
      <c r="H206" s="427"/>
      <c r="I206" s="330" t="str">
        <f t="shared" si="12"/>
        <v/>
      </c>
      <c r="J206" s="344" t="str" cm="1">
        <f t="array" ref="J206">IFERROR(INDEX(_xlfn.ANCHORARRAY($P$6),ROW()-5,3),"")</f>
        <v/>
      </c>
      <c r="K206" s="432" t="str" cm="1">
        <f t="array" ref="K206">IF(OR($A206="",$J206&lt;&gt;"DIESEL"),"",_xlfn.LET(_xlpm.qty,N($C206),_xlpm.pos,$T$5:$T$54,_xlpm.alo,IF($U$5:$U$54="",0,$U$5:$U$54),_xlpm.usd,SUMIFS($C$6:$C205,$K$6:$K205,_xlpm.pos&amp;""),_xlpm.bal,_xlpm.alo-_xlpm.usd,IFERROR(INDEX(_xlfn._xlws.FILTER(_xlpm.pos,(_xlpm.pos&lt;&gt;"")*(_xlpm.qty&gt;0)*(_xlpm.bal&gt;=_xlpm.qty)),1),"")))</f>
        <v/>
      </c>
      <c r="L206" s="348"/>
    </row>
    <row r="207" spans="1:12" ht="23" x14ac:dyDescent="0.25">
      <c r="A207" s="217" t="str" cm="1">
        <f t="array" ref="A207">IFERROR(INDEX(_xlfn.ANCHORARRAY($P$6),ROW()-5,1),"")</f>
        <v/>
      </c>
      <c r="B207" s="344" t="str" cm="1">
        <f t="array" ref="B207">IFERROR(INDEX(_xlfn.ANCHORARRAY($P$6),ROW()-5,2),"")</f>
        <v/>
      </c>
      <c r="C207" s="345" t="str">
        <f>IF($A207="","",IF($J207="DIESEL",SUMIFS(Table1[Quantity],Table1[Customer],$M$3,Table1[Date],$A207,Table1[Bill No.],$B207),IF($J207="PETROL",SUMIFS(Table14[Quantity],Table14[Customer],$M$3,Table14[Date],$A207,Table14[Bill No.],$B207),IF($J207="XtraGreen",SUMIFS(Table146[Quantity],Table146[Company],$M$3,Table146[Date],$A207,Table146[Bill No.],$B207),""))))</f>
        <v/>
      </c>
      <c r="D207" s="346" t="str">
        <f>IF($A207="","",IF($J207="DIESEL",AVERAGEIFS(Table1[RSP],Table1[Customer],$M$3,Table1[Date],$A207,Table1[Bill No.],$B207),IF($J207="PETROL",AVERAGEIFS(Table14[RSP],Table14[Customer],$M$3,Table14[Date],$A207,Table14[Bill No.],$B207),IF($J207="XtraGreen",AVERAGEIFS(Table146[RSP],Table146[Company],$M$3,Table146[Date],$A207,Table146[Bill No.],$B207),IFERROR($E207/$C207,"")))))</f>
        <v/>
      </c>
      <c r="E207" s="347" t="str">
        <f>IF($A207="","",IF($J207="DIESEL",SUMIFS(Table1[Amount],Table1[Customer],$M$3,Table1[Date],$A207,Table1[Bill No.],$B207),IF($J207="PETROL",SUMIFS(Table14[Amount],Table14[Customer],$M$3,Table14[Date],$A207,Table14[Bill No.],$B207),IF($J207="XtraGreen",SUMIFS(Table146[Amount],Table146[Company],$M$3,Table146[Date],$A207,Table146[Bill No.],$B207),SUMIFS('Other Sale'!$D:$D,'Other Sale'!$E:$E,$M$3,'Other Sale'!$C:$C,$J207,'Other Sale'!$A:$A,$A207)))))</f>
        <v/>
      </c>
      <c r="F207" s="347" t="str" cm="1">
        <f t="array" ref="F207">IF($A207="","",IF($J207="Payment",IFERROR(INDEX(_xlfn._xlws.FILTER(MasterPaid[Amount Paid],(MasterPaid[Customer]=$M$3)*(MasterPaid[Date]=$A207)),COUNTIFS($A$6:$A207,$A207,$J$6:$J207,"Payment")),0),0))</f>
        <v/>
      </c>
      <c r="G207" s="331"/>
      <c r="H207" s="427"/>
      <c r="I207" s="330" t="str">
        <f t="shared" si="12"/>
        <v/>
      </c>
      <c r="J207" s="344" t="str" cm="1">
        <f t="array" ref="J207">IFERROR(INDEX(_xlfn.ANCHORARRAY($P$6),ROW()-5,3),"")</f>
        <v/>
      </c>
      <c r="K207" s="432" t="str" cm="1">
        <f t="array" ref="K207">IF(OR($A207="",$J207&lt;&gt;"DIESEL"),"",_xlfn.LET(_xlpm.qty,N($C207),_xlpm.pos,$T$5:$T$54,_xlpm.alo,IF($U$5:$U$54="",0,$U$5:$U$54),_xlpm.usd,SUMIFS($C$6:$C206,$K$6:$K206,_xlpm.pos&amp;""),_xlpm.bal,_xlpm.alo-_xlpm.usd,IFERROR(INDEX(_xlfn._xlws.FILTER(_xlpm.pos,(_xlpm.pos&lt;&gt;"")*(_xlpm.qty&gt;0)*(_xlpm.bal&gt;=_xlpm.qty)),1),"")))</f>
        <v/>
      </c>
      <c r="L207" s="348"/>
    </row>
    <row r="208" spans="1:12" ht="23" x14ac:dyDescent="0.25">
      <c r="A208" s="217" t="str" cm="1">
        <f t="array" ref="A208">IFERROR(INDEX(_xlfn.ANCHORARRAY($P$6),ROW()-5,1),"")</f>
        <v/>
      </c>
      <c r="B208" s="344" t="str" cm="1">
        <f t="array" ref="B208">IFERROR(INDEX(_xlfn.ANCHORARRAY($P$6),ROW()-5,2),"")</f>
        <v/>
      </c>
      <c r="C208" s="345" t="str">
        <f>IF($A208="","",IF($J208="DIESEL",SUMIFS(Table1[Quantity],Table1[Customer],$M$3,Table1[Date],$A208,Table1[Bill No.],$B208),IF($J208="PETROL",SUMIFS(Table14[Quantity],Table14[Customer],$M$3,Table14[Date],$A208,Table14[Bill No.],$B208),IF($J208="XtraGreen",SUMIFS(Table146[Quantity],Table146[Company],$M$3,Table146[Date],$A208,Table146[Bill No.],$B208),""))))</f>
        <v/>
      </c>
      <c r="D208" s="346" t="str">
        <f>IF($A208="","",IF($J208="DIESEL",AVERAGEIFS(Table1[RSP],Table1[Customer],$M$3,Table1[Date],$A208,Table1[Bill No.],$B208),IF($J208="PETROL",AVERAGEIFS(Table14[RSP],Table14[Customer],$M$3,Table14[Date],$A208,Table14[Bill No.],$B208),IF($J208="XtraGreen",AVERAGEIFS(Table146[RSP],Table146[Company],$M$3,Table146[Date],$A208,Table146[Bill No.],$B208),IFERROR($E208/$C208,"")))))</f>
        <v/>
      </c>
      <c r="E208" s="347" t="str">
        <f>IF($A208="","",IF($J208="DIESEL",SUMIFS(Table1[Amount],Table1[Customer],$M$3,Table1[Date],$A208,Table1[Bill No.],$B208),IF($J208="PETROL",SUMIFS(Table14[Amount],Table14[Customer],$M$3,Table14[Date],$A208,Table14[Bill No.],$B208),IF($J208="XtraGreen",SUMIFS(Table146[Amount],Table146[Company],$M$3,Table146[Date],$A208,Table146[Bill No.],$B208),SUMIFS('Other Sale'!$D:$D,'Other Sale'!$E:$E,$M$3,'Other Sale'!$C:$C,$J208,'Other Sale'!$A:$A,$A208)))))</f>
        <v/>
      </c>
      <c r="F208" s="347" t="str" cm="1">
        <f t="array" ref="F208">IF($A208="","",IF($J208="Payment",IFERROR(INDEX(_xlfn._xlws.FILTER(MasterPaid[Amount Paid],(MasterPaid[Customer]=$M$3)*(MasterPaid[Date]=$A208)),COUNTIFS($A$6:$A208,$A208,$J$6:$J208,"Payment")),0),0))</f>
        <v/>
      </c>
      <c r="G208" s="331"/>
      <c r="H208" s="427"/>
      <c r="I208" s="330" t="str">
        <f t="shared" si="12"/>
        <v/>
      </c>
      <c r="J208" s="344" t="str" cm="1">
        <f t="array" ref="J208">IFERROR(INDEX(_xlfn.ANCHORARRAY($P$6),ROW()-5,3),"")</f>
        <v/>
      </c>
      <c r="K208" s="432" t="str" cm="1">
        <f t="array" ref="K208">IF(OR($A208="",$J208&lt;&gt;"DIESEL"),"",_xlfn.LET(_xlpm.qty,N($C208),_xlpm.pos,$T$5:$T$54,_xlpm.alo,IF($U$5:$U$54="",0,$U$5:$U$54),_xlpm.usd,SUMIFS($C$6:$C207,$K$6:$K207,_xlpm.pos&amp;""),_xlpm.bal,_xlpm.alo-_xlpm.usd,IFERROR(INDEX(_xlfn._xlws.FILTER(_xlpm.pos,(_xlpm.pos&lt;&gt;"")*(_xlpm.qty&gt;0)*(_xlpm.bal&gt;=_xlpm.qty)),1),"")))</f>
        <v/>
      </c>
      <c r="L208" s="348"/>
    </row>
    <row r="209" spans="1:12" ht="23" x14ac:dyDescent="0.25">
      <c r="A209" s="217" t="str" cm="1">
        <f t="array" ref="A209">IFERROR(INDEX(_xlfn.ANCHORARRAY($P$6),ROW()-5,1),"")</f>
        <v/>
      </c>
      <c r="B209" s="344" t="str" cm="1">
        <f t="array" ref="B209">IFERROR(INDEX(_xlfn.ANCHORARRAY($P$6),ROW()-5,2),"")</f>
        <v/>
      </c>
      <c r="C209" s="345" t="str">
        <f>IF($A209="","",IF($J209="DIESEL",SUMIFS(Table1[Quantity],Table1[Customer],$M$3,Table1[Date],$A209,Table1[Bill No.],$B209),IF($J209="PETROL",SUMIFS(Table14[Quantity],Table14[Customer],$M$3,Table14[Date],$A209,Table14[Bill No.],$B209),IF($J209="XtraGreen",SUMIFS(Table146[Quantity],Table146[Company],$M$3,Table146[Date],$A209,Table146[Bill No.],$B209),""))))</f>
        <v/>
      </c>
      <c r="D209" s="346" t="str">
        <f>IF($A209="","",IF($J209="DIESEL",AVERAGEIFS(Table1[RSP],Table1[Customer],$M$3,Table1[Date],$A209,Table1[Bill No.],$B209),IF($J209="PETROL",AVERAGEIFS(Table14[RSP],Table14[Customer],$M$3,Table14[Date],$A209,Table14[Bill No.],$B209),IF($J209="XtraGreen",AVERAGEIFS(Table146[RSP],Table146[Company],$M$3,Table146[Date],$A209,Table146[Bill No.],$B209),IFERROR($E209/$C209,"")))))</f>
        <v/>
      </c>
      <c r="E209" s="347" t="str">
        <f>IF($A209="","",IF($J209="DIESEL",SUMIFS(Table1[Amount],Table1[Customer],$M$3,Table1[Date],$A209,Table1[Bill No.],$B209),IF($J209="PETROL",SUMIFS(Table14[Amount],Table14[Customer],$M$3,Table14[Date],$A209,Table14[Bill No.],$B209),IF($J209="XtraGreen",SUMIFS(Table146[Amount],Table146[Company],$M$3,Table146[Date],$A209,Table146[Bill No.],$B209),SUMIFS('Other Sale'!$D:$D,'Other Sale'!$E:$E,$M$3,'Other Sale'!$C:$C,$J209,'Other Sale'!$A:$A,$A209)))))</f>
        <v/>
      </c>
      <c r="F209" s="347" t="str" cm="1">
        <f t="array" ref="F209">IF($A209="","",IF($J209="Payment",IFERROR(INDEX(_xlfn._xlws.FILTER(MasterPaid[Amount Paid],(MasterPaid[Customer]=$M$3)*(MasterPaid[Date]=$A209)),COUNTIFS($A$6:$A209,$A209,$J$6:$J209,"Payment")),0),0))</f>
        <v/>
      </c>
      <c r="G209" s="331"/>
      <c r="H209" s="427"/>
      <c r="I209" s="330" t="str">
        <f t="shared" si="12"/>
        <v/>
      </c>
      <c r="J209" s="344" t="str" cm="1">
        <f t="array" ref="J209">IFERROR(INDEX(_xlfn.ANCHORARRAY($P$6),ROW()-5,3),"")</f>
        <v/>
      </c>
      <c r="K209" s="432" t="str" cm="1">
        <f t="array" ref="K209">IF(OR($A209="",$J209&lt;&gt;"DIESEL"),"",_xlfn.LET(_xlpm.qty,N($C209),_xlpm.pos,$T$5:$T$54,_xlpm.alo,IF($U$5:$U$54="",0,$U$5:$U$54),_xlpm.usd,SUMIFS($C$6:$C208,$K$6:$K208,_xlpm.pos&amp;""),_xlpm.bal,_xlpm.alo-_xlpm.usd,IFERROR(INDEX(_xlfn._xlws.FILTER(_xlpm.pos,(_xlpm.pos&lt;&gt;"")*(_xlpm.qty&gt;0)*(_xlpm.bal&gt;=_xlpm.qty)),1),"")))</f>
        <v/>
      </c>
      <c r="L209" s="348"/>
    </row>
    <row r="210" spans="1:12" ht="23" x14ac:dyDescent="0.25">
      <c r="A210" s="217" t="str" cm="1">
        <f t="array" ref="A210">IFERROR(INDEX(_xlfn.ANCHORARRAY($P$6),ROW()-5,1),"")</f>
        <v/>
      </c>
      <c r="B210" s="344" t="str" cm="1">
        <f t="array" ref="B210">IFERROR(INDEX(_xlfn.ANCHORARRAY($P$6),ROW()-5,2),"")</f>
        <v/>
      </c>
      <c r="C210" s="345" t="str">
        <f>IF($A210="","",IF($J210="DIESEL",SUMIFS(Table1[Quantity],Table1[Customer],$M$3,Table1[Date],$A210,Table1[Bill No.],$B210),IF($J210="PETROL",SUMIFS(Table14[Quantity],Table14[Customer],$M$3,Table14[Date],$A210,Table14[Bill No.],$B210),IF($J210="XtraGreen",SUMIFS(Table146[Quantity],Table146[Company],$M$3,Table146[Date],$A210,Table146[Bill No.],$B210),""))))</f>
        <v/>
      </c>
      <c r="D210" s="346" t="str">
        <f>IF($A210="","",IF($J210="DIESEL",AVERAGEIFS(Table1[RSP],Table1[Customer],$M$3,Table1[Date],$A210,Table1[Bill No.],$B210),IF($J210="PETROL",AVERAGEIFS(Table14[RSP],Table14[Customer],$M$3,Table14[Date],$A210,Table14[Bill No.],$B210),IF($J210="XtraGreen",AVERAGEIFS(Table146[RSP],Table146[Company],$M$3,Table146[Date],$A210,Table146[Bill No.],$B210),IFERROR($E210/$C210,"")))))</f>
        <v/>
      </c>
      <c r="E210" s="347" t="str">
        <f>IF($A210="","",IF($J210="DIESEL",SUMIFS(Table1[Amount],Table1[Customer],$M$3,Table1[Date],$A210,Table1[Bill No.],$B210),IF($J210="PETROL",SUMIFS(Table14[Amount],Table14[Customer],$M$3,Table14[Date],$A210,Table14[Bill No.],$B210),IF($J210="XtraGreen",SUMIFS(Table146[Amount],Table146[Company],$M$3,Table146[Date],$A210,Table146[Bill No.],$B210),SUMIFS('Other Sale'!$D:$D,'Other Sale'!$E:$E,$M$3,'Other Sale'!$C:$C,$J210,'Other Sale'!$A:$A,$A210)))))</f>
        <v/>
      </c>
      <c r="F210" s="347" t="str" cm="1">
        <f t="array" ref="F210">IF($A210="","",IF($J210="Payment",IFERROR(INDEX(_xlfn._xlws.FILTER(MasterPaid[Amount Paid],(MasterPaid[Customer]=$M$3)*(MasterPaid[Date]=$A210)),COUNTIFS($A$6:$A210,$A210,$J$6:$J210,"Payment")),0),0))</f>
        <v/>
      </c>
      <c r="G210" s="331"/>
      <c r="H210" s="427"/>
      <c r="I210" s="330" t="str">
        <f t="shared" si="12"/>
        <v/>
      </c>
      <c r="J210" s="344" t="str" cm="1">
        <f t="array" ref="J210">IFERROR(INDEX(_xlfn.ANCHORARRAY($P$6),ROW()-5,3),"")</f>
        <v/>
      </c>
      <c r="K210" s="432" t="str" cm="1">
        <f t="array" ref="K210">IF(OR($A210="",$J210&lt;&gt;"DIESEL"),"",_xlfn.LET(_xlpm.qty,N($C210),_xlpm.pos,$T$5:$T$54,_xlpm.alo,IF($U$5:$U$54="",0,$U$5:$U$54),_xlpm.usd,SUMIFS($C$6:$C209,$K$6:$K209,_xlpm.pos&amp;""),_xlpm.bal,_xlpm.alo-_xlpm.usd,IFERROR(INDEX(_xlfn._xlws.FILTER(_xlpm.pos,(_xlpm.pos&lt;&gt;"")*(_xlpm.qty&gt;0)*(_xlpm.bal&gt;=_xlpm.qty)),1),"")))</f>
        <v/>
      </c>
      <c r="L210" s="348"/>
    </row>
    <row r="211" spans="1:12" ht="23" x14ac:dyDescent="0.25">
      <c r="A211" s="217" t="str" cm="1">
        <f t="array" ref="A211">IFERROR(INDEX(_xlfn.ANCHORARRAY($P$6),ROW()-5,1),"")</f>
        <v/>
      </c>
      <c r="B211" s="344" t="str" cm="1">
        <f t="array" ref="B211">IFERROR(INDEX(_xlfn.ANCHORARRAY($P$6),ROW()-5,2),"")</f>
        <v/>
      </c>
      <c r="C211" s="345" t="str">
        <f>IF($A211="","",IF($J211="DIESEL",SUMIFS(Table1[Quantity],Table1[Customer],$M$3,Table1[Date],$A211,Table1[Bill No.],$B211),IF($J211="PETROL",SUMIFS(Table14[Quantity],Table14[Customer],$M$3,Table14[Date],$A211,Table14[Bill No.],$B211),IF($J211="XtraGreen",SUMIFS(Table146[Quantity],Table146[Company],$M$3,Table146[Date],$A211,Table146[Bill No.],$B211),""))))</f>
        <v/>
      </c>
      <c r="D211" s="346" t="str">
        <f>IF($A211="","",IF($J211="DIESEL",AVERAGEIFS(Table1[RSP],Table1[Customer],$M$3,Table1[Date],$A211,Table1[Bill No.],$B211),IF($J211="PETROL",AVERAGEIFS(Table14[RSP],Table14[Customer],$M$3,Table14[Date],$A211,Table14[Bill No.],$B211),IF($J211="XtraGreen",AVERAGEIFS(Table146[RSP],Table146[Company],$M$3,Table146[Date],$A211,Table146[Bill No.],$B211),IFERROR($E211/$C211,"")))))</f>
        <v/>
      </c>
      <c r="E211" s="347" t="str">
        <f>IF($A211="","",IF($J211="DIESEL",SUMIFS(Table1[Amount],Table1[Customer],$M$3,Table1[Date],$A211,Table1[Bill No.],$B211),IF($J211="PETROL",SUMIFS(Table14[Amount],Table14[Customer],$M$3,Table14[Date],$A211,Table14[Bill No.],$B211),IF($J211="XtraGreen",SUMIFS(Table146[Amount],Table146[Company],$M$3,Table146[Date],$A211,Table146[Bill No.],$B211),SUMIFS('Other Sale'!$D:$D,'Other Sale'!$E:$E,$M$3,'Other Sale'!$C:$C,$J211,'Other Sale'!$A:$A,$A211)))))</f>
        <v/>
      </c>
      <c r="F211" s="347" t="str" cm="1">
        <f t="array" ref="F211">IF($A211="","",IF($J211="Payment",IFERROR(INDEX(_xlfn._xlws.FILTER(MasterPaid[Amount Paid],(MasterPaid[Customer]=$M$3)*(MasterPaid[Date]=$A211)),COUNTIFS($A$6:$A211,$A211,$J$6:$J211,"Payment")),0),0))</f>
        <v/>
      </c>
      <c r="G211" s="331"/>
      <c r="H211" s="427"/>
      <c r="I211" s="330" t="str">
        <f t="shared" si="12"/>
        <v/>
      </c>
      <c r="J211" s="344" t="str" cm="1">
        <f t="array" ref="J211">IFERROR(INDEX(_xlfn.ANCHORARRAY($P$6),ROW()-5,3),"")</f>
        <v/>
      </c>
      <c r="K211" s="432" t="str" cm="1">
        <f t="array" ref="K211">IF(OR($A211="",$J211&lt;&gt;"DIESEL"),"",_xlfn.LET(_xlpm.qty,N($C211),_xlpm.pos,$T$5:$T$54,_xlpm.alo,IF($U$5:$U$54="",0,$U$5:$U$54),_xlpm.usd,SUMIFS($C$6:$C210,$K$6:$K210,_xlpm.pos&amp;""),_xlpm.bal,_xlpm.alo-_xlpm.usd,IFERROR(INDEX(_xlfn._xlws.FILTER(_xlpm.pos,(_xlpm.pos&lt;&gt;"")*(_xlpm.qty&gt;0)*(_xlpm.bal&gt;=_xlpm.qty)),1),"")))</f>
        <v/>
      </c>
      <c r="L211" s="348"/>
    </row>
    <row r="212" spans="1:12" ht="23" x14ac:dyDescent="0.25">
      <c r="A212" s="217" t="str" cm="1">
        <f t="array" ref="A212">IFERROR(INDEX(_xlfn.ANCHORARRAY($P$6),ROW()-5,1),"")</f>
        <v/>
      </c>
      <c r="B212" s="344" t="str" cm="1">
        <f t="array" ref="B212">IFERROR(INDEX(_xlfn.ANCHORARRAY($P$6),ROW()-5,2),"")</f>
        <v/>
      </c>
      <c r="C212" s="345" t="str">
        <f>IF($A212="","",IF($J212="DIESEL",SUMIFS(Table1[Quantity],Table1[Customer],$M$3,Table1[Date],$A212,Table1[Bill No.],$B212),IF($J212="PETROL",SUMIFS(Table14[Quantity],Table14[Customer],$M$3,Table14[Date],$A212,Table14[Bill No.],$B212),IF($J212="XtraGreen",SUMIFS(Table146[Quantity],Table146[Company],$M$3,Table146[Date],$A212,Table146[Bill No.],$B212),""))))</f>
        <v/>
      </c>
      <c r="D212" s="346" t="str">
        <f>IF($A212="","",IF($J212="DIESEL",AVERAGEIFS(Table1[RSP],Table1[Customer],$M$3,Table1[Date],$A212,Table1[Bill No.],$B212),IF($J212="PETROL",AVERAGEIFS(Table14[RSP],Table14[Customer],$M$3,Table14[Date],$A212,Table14[Bill No.],$B212),IF($J212="XtraGreen",AVERAGEIFS(Table146[RSP],Table146[Company],$M$3,Table146[Date],$A212,Table146[Bill No.],$B212),IFERROR($E212/$C212,"")))))</f>
        <v/>
      </c>
      <c r="E212" s="347" t="str">
        <f>IF($A212="","",IF($J212="DIESEL",SUMIFS(Table1[Amount],Table1[Customer],$M$3,Table1[Date],$A212,Table1[Bill No.],$B212),IF($J212="PETROL",SUMIFS(Table14[Amount],Table14[Customer],$M$3,Table14[Date],$A212,Table14[Bill No.],$B212),IF($J212="XtraGreen",SUMIFS(Table146[Amount],Table146[Company],$M$3,Table146[Date],$A212,Table146[Bill No.],$B212),SUMIFS('Other Sale'!$D:$D,'Other Sale'!$E:$E,$M$3,'Other Sale'!$C:$C,$J212,'Other Sale'!$A:$A,$A212)))))</f>
        <v/>
      </c>
      <c r="F212" s="347" t="str" cm="1">
        <f t="array" ref="F212">IF($A212="","",IF($J212="Payment",IFERROR(INDEX(_xlfn._xlws.FILTER(MasterPaid[Amount Paid],(MasterPaid[Customer]=$M$3)*(MasterPaid[Date]=$A212)),COUNTIFS($A$6:$A212,$A212,$J$6:$J212,"Payment")),0),0))</f>
        <v/>
      </c>
      <c r="G212" s="331"/>
      <c r="H212" s="427"/>
      <c r="I212" s="330" t="str">
        <f t="shared" si="12"/>
        <v/>
      </c>
      <c r="J212" s="344" t="str" cm="1">
        <f t="array" ref="J212">IFERROR(INDEX(_xlfn.ANCHORARRAY($P$6),ROW()-5,3),"")</f>
        <v/>
      </c>
      <c r="K212" s="432" t="str" cm="1">
        <f t="array" ref="K212">IF(OR($A212="",$J212&lt;&gt;"DIESEL"),"",_xlfn.LET(_xlpm.qty,N($C212),_xlpm.pos,$T$5:$T$54,_xlpm.alo,IF($U$5:$U$54="",0,$U$5:$U$54),_xlpm.usd,SUMIFS($C$6:$C211,$K$6:$K211,_xlpm.pos&amp;""),_xlpm.bal,_xlpm.alo-_xlpm.usd,IFERROR(INDEX(_xlfn._xlws.FILTER(_xlpm.pos,(_xlpm.pos&lt;&gt;"")*(_xlpm.qty&gt;0)*(_xlpm.bal&gt;=_xlpm.qty)),1),"")))</f>
        <v/>
      </c>
      <c r="L212" s="348"/>
    </row>
    <row r="213" spans="1:12" ht="23" x14ac:dyDescent="0.25">
      <c r="A213" s="217" t="str" cm="1">
        <f t="array" ref="A213">IFERROR(INDEX(_xlfn.ANCHORARRAY($P$6),ROW()-5,1),"")</f>
        <v/>
      </c>
      <c r="B213" s="344" t="str" cm="1">
        <f t="array" ref="B213">IFERROR(INDEX(_xlfn.ANCHORARRAY($P$6),ROW()-5,2),"")</f>
        <v/>
      </c>
      <c r="C213" s="345" t="str">
        <f>IF($A213="","",IF($J213="DIESEL",SUMIFS(Table1[Quantity],Table1[Customer],$M$3,Table1[Date],$A213,Table1[Bill No.],$B213),IF($J213="PETROL",SUMIFS(Table14[Quantity],Table14[Customer],$M$3,Table14[Date],$A213,Table14[Bill No.],$B213),IF($J213="XtraGreen",SUMIFS(Table146[Quantity],Table146[Company],$M$3,Table146[Date],$A213,Table146[Bill No.],$B213),""))))</f>
        <v/>
      </c>
      <c r="D213" s="346" t="str">
        <f>IF($A213="","",IF($J213="DIESEL",AVERAGEIFS(Table1[RSP],Table1[Customer],$M$3,Table1[Date],$A213,Table1[Bill No.],$B213),IF($J213="PETROL",AVERAGEIFS(Table14[RSP],Table14[Customer],$M$3,Table14[Date],$A213,Table14[Bill No.],$B213),IF($J213="XtraGreen",AVERAGEIFS(Table146[RSP],Table146[Company],$M$3,Table146[Date],$A213,Table146[Bill No.],$B213),IFERROR($E213/$C213,"")))))</f>
        <v/>
      </c>
      <c r="E213" s="347" t="str">
        <f>IF($A213="","",IF($J213="DIESEL",SUMIFS(Table1[Amount],Table1[Customer],$M$3,Table1[Date],$A213,Table1[Bill No.],$B213),IF($J213="PETROL",SUMIFS(Table14[Amount],Table14[Customer],$M$3,Table14[Date],$A213,Table14[Bill No.],$B213),IF($J213="XtraGreen",SUMIFS(Table146[Amount],Table146[Company],$M$3,Table146[Date],$A213,Table146[Bill No.],$B213),SUMIFS('Other Sale'!$D:$D,'Other Sale'!$E:$E,$M$3,'Other Sale'!$C:$C,$J213,'Other Sale'!$A:$A,$A213)))))</f>
        <v/>
      </c>
      <c r="F213" s="347" t="str" cm="1">
        <f t="array" ref="F213">IF($A213="","",IF($J213="Payment",IFERROR(INDEX(_xlfn._xlws.FILTER(MasterPaid[Amount Paid],(MasterPaid[Customer]=$M$3)*(MasterPaid[Date]=$A213)),COUNTIFS($A$6:$A213,$A213,$J$6:$J213,"Payment")),0),0))</f>
        <v/>
      </c>
      <c r="G213" s="331"/>
      <c r="H213" s="427"/>
      <c r="I213" s="330" t="str">
        <f t="shared" si="12"/>
        <v/>
      </c>
      <c r="J213" s="344" t="str" cm="1">
        <f t="array" ref="J213">IFERROR(INDEX(_xlfn.ANCHORARRAY($P$6),ROW()-5,3),"")</f>
        <v/>
      </c>
      <c r="K213" s="432" t="str" cm="1">
        <f t="array" ref="K213">IF(OR($A213="",$J213&lt;&gt;"DIESEL"),"",_xlfn.LET(_xlpm.qty,N($C213),_xlpm.pos,$T$5:$T$54,_xlpm.alo,IF($U$5:$U$54="",0,$U$5:$U$54),_xlpm.usd,SUMIFS($C$6:$C212,$K$6:$K212,_xlpm.pos&amp;""),_xlpm.bal,_xlpm.alo-_xlpm.usd,IFERROR(INDEX(_xlfn._xlws.FILTER(_xlpm.pos,(_xlpm.pos&lt;&gt;"")*(_xlpm.qty&gt;0)*(_xlpm.bal&gt;=_xlpm.qty)),1),"")))</f>
        <v/>
      </c>
      <c r="L213" s="348"/>
    </row>
    <row r="214" spans="1:12" ht="23" x14ac:dyDescent="0.25">
      <c r="A214" s="217" t="str" cm="1">
        <f t="array" ref="A214">IFERROR(INDEX(_xlfn.ANCHORARRAY($P$6),ROW()-5,1),"")</f>
        <v/>
      </c>
      <c r="B214" s="344" t="str" cm="1">
        <f t="array" ref="B214">IFERROR(INDEX(_xlfn.ANCHORARRAY($P$6),ROW()-5,2),"")</f>
        <v/>
      </c>
      <c r="C214" s="345" t="str">
        <f>IF($A214="","",IF($J214="DIESEL",SUMIFS(Table1[Quantity],Table1[Customer],$M$3,Table1[Date],$A214,Table1[Bill No.],$B214),IF($J214="PETROL",SUMIFS(Table14[Quantity],Table14[Customer],$M$3,Table14[Date],$A214,Table14[Bill No.],$B214),IF($J214="XtraGreen",SUMIFS(Table146[Quantity],Table146[Company],$M$3,Table146[Date],$A214,Table146[Bill No.],$B214),""))))</f>
        <v/>
      </c>
      <c r="D214" s="346" t="str">
        <f>IF($A214="","",IF($J214="DIESEL",AVERAGEIFS(Table1[RSP],Table1[Customer],$M$3,Table1[Date],$A214,Table1[Bill No.],$B214),IF($J214="PETROL",AVERAGEIFS(Table14[RSP],Table14[Customer],$M$3,Table14[Date],$A214,Table14[Bill No.],$B214),IF($J214="XtraGreen",AVERAGEIFS(Table146[RSP],Table146[Company],$M$3,Table146[Date],$A214,Table146[Bill No.],$B214),IFERROR($E214/$C214,"")))))</f>
        <v/>
      </c>
      <c r="E214" s="347" t="str">
        <f>IF($A214="","",IF($J214="DIESEL",SUMIFS(Table1[Amount],Table1[Customer],$M$3,Table1[Date],$A214,Table1[Bill No.],$B214),IF($J214="PETROL",SUMIFS(Table14[Amount],Table14[Customer],$M$3,Table14[Date],$A214,Table14[Bill No.],$B214),IF($J214="XtraGreen",SUMIFS(Table146[Amount],Table146[Company],$M$3,Table146[Date],$A214,Table146[Bill No.],$B214),SUMIFS('Other Sale'!$D:$D,'Other Sale'!$E:$E,$M$3,'Other Sale'!$C:$C,$J214,'Other Sale'!$A:$A,$A214)))))</f>
        <v/>
      </c>
      <c r="F214" s="347" t="str" cm="1">
        <f t="array" ref="F214">IF($A214="","",IF($J214="Payment",IFERROR(INDEX(_xlfn._xlws.FILTER(MasterPaid[Amount Paid],(MasterPaid[Customer]=$M$3)*(MasterPaid[Date]=$A214)),COUNTIFS($A$6:$A214,$A214,$J$6:$J214,"Payment")),0),0))</f>
        <v/>
      </c>
      <c r="G214" s="331"/>
      <c r="H214" s="427"/>
      <c r="I214" s="330" t="str">
        <f t="shared" si="12"/>
        <v/>
      </c>
      <c r="J214" s="344" t="str" cm="1">
        <f t="array" ref="J214">IFERROR(INDEX(_xlfn.ANCHORARRAY($P$6),ROW()-5,3),"")</f>
        <v/>
      </c>
      <c r="K214" s="432" t="str" cm="1">
        <f t="array" ref="K214">IF(OR($A214="",$J214&lt;&gt;"DIESEL"),"",_xlfn.LET(_xlpm.qty,N($C214),_xlpm.pos,$T$5:$T$54,_xlpm.alo,IF($U$5:$U$54="",0,$U$5:$U$54),_xlpm.usd,SUMIFS($C$6:$C213,$K$6:$K213,_xlpm.pos&amp;""),_xlpm.bal,_xlpm.alo-_xlpm.usd,IFERROR(INDEX(_xlfn._xlws.FILTER(_xlpm.pos,(_xlpm.pos&lt;&gt;"")*(_xlpm.qty&gt;0)*(_xlpm.bal&gt;=_xlpm.qty)),1),"")))</f>
        <v/>
      </c>
      <c r="L214" s="348"/>
    </row>
    <row r="215" spans="1:12" ht="23" x14ac:dyDescent="0.25">
      <c r="A215" s="217" t="str" cm="1">
        <f t="array" ref="A215">IFERROR(INDEX(_xlfn.ANCHORARRAY($P$6),ROW()-5,1),"")</f>
        <v/>
      </c>
      <c r="B215" s="344" t="str" cm="1">
        <f t="array" ref="B215">IFERROR(INDEX(_xlfn.ANCHORARRAY($P$6),ROW()-5,2),"")</f>
        <v/>
      </c>
      <c r="C215" s="345" t="str">
        <f>IF($A215="","",IF($J215="DIESEL",SUMIFS(Table1[Quantity],Table1[Customer],$M$3,Table1[Date],$A215,Table1[Bill No.],$B215),IF($J215="PETROL",SUMIFS(Table14[Quantity],Table14[Customer],$M$3,Table14[Date],$A215,Table14[Bill No.],$B215),IF($J215="XtraGreen",SUMIFS(Table146[Quantity],Table146[Company],$M$3,Table146[Date],$A215,Table146[Bill No.],$B215),""))))</f>
        <v/>
      </c>
      <c r="D215" s="346" t="str">
        <f>IF($A215="","",IF($J215="DIESEL",AVERAGEIFS(Table1[RSP],Table1[Customer],$M$3,Table1[Date],$A215,Table1[Bill No.],$B215),IF($J215="PETROL",AVERAGEIFS(Table14[RSP],Table14[Customer],$M$3,Table14[Date],$A215,Table14[Bill No.],$B215),IF($J215="XtraGreen",AVERAGEIFS(Table146[RSP],Table146[Company],$M$3,Table146[Date],$A215,Table146[Bill No.],$B215),IFERROR($E215/$C215,"")))))</f>
        <v/>
      </c>
      <c r="E215" s="347" t="str">
        <f>IF($A215="","",IF($J215="DIESEL",SUMIFS(Table1[Amount],Table1[Customer],$M$3,Table1[Date],$A215,Table1[Bill No.],$B215),IF($J215="PETROL",SUMIFS(Table14[Amount],Table14[Customer],$M$3,Table14[Date],$A215,Table14[Bill No.],$B215),IF($J215="XtraGreen",SUMIFS(Table146[Amount],Table146[Company],$M$3,Table146[Date],$A215,Table146[Bill No.],$B215),SUMIFS('Other Sale'!$D:$D,'Other Sale'!$E:$E,$M$3,'Other Sale'!$C:$C,$J215,'Other Sale'!$A:$A,$A215)))))</f>
        <v/>
      </c>
      <c r="F215" s="347" t="str" cm="1">
        <f t="array" ref="F215">IF($A215="","",IF($J215="Payment",IFERROR(INDEX(_xlfn._xlws.FILTER(MasterPaid[Amount Paid],(MasterPaid[Customer]=$M$3)*(MasterPaid[Date]=$A215)),COUNTIFS($A$6:$A215,$A215,$J$6:$J215,"Payment")),0),0))</f>
        <v/>
      </c>
      <c r="G215" s="331"/>
      <c r="H215" s="427"/>
      <c r="I215" s="330" t="str">
        <f t="shared" si="12"/>
        <v/>
      </c>
      <c r="J215" s="344" t="str" cm="1">
        <f t="array" ref="J215">IFERROR(INDEX(_xlfn.ANCHORARRAY($P$6),ROW()-5,3),"")</f>
        <v/>
      </c>
      <c r="K215" s="432" t="str" cm="1">
        <f t="array" ref="K215">IF(OR($A215="",$J215&lt;&gt;"DIESEL"),"",_xlfn.LET(_xlpm.qty,N($C215),_xlpm.pos,$T$5:$T$54,_xlpm.alo,IF($U$5:$U$54="",0,$U$5:$U$54),_xlpm.usd,SUMIFS($C$6:$C214,$K$6:$K214,_xlpm.pos&amp;""),_xlpm.bal,_xlpm.alo-_xlpm.usd,IFERROR(INDEX(_xlfn._xlws.FILTER(_xlpm.pos,(_xlpm.pos&lt;&gt;"")*(_xlpm.qty&gt;0)*(_xlpm.bal&gt;=_xlpm.qty)),1),"")))</f>
        <v/>
      </c>
      <c r="L215" s="348"/>
    </row>
    <row r="216" spans="1:12" ht="23" x14ac:dyDescent="0.25">
      <c r="A216" s="217" t="str" cm="1">
        <f t="array" ref="A216">IFERROR(INDEX(_xlfn.ANCHORARRAY($P$6),ROW()-5,1),"")</f>
        <v/>
      </c>
      <c r="B216" s="344" t="str" cm="1">
        <f t="array" ref="B216">IFERROR(INDEX(_xlfn.ANCHORARRAY($P$6),ROW()-5,2),"")</f>
        <v/>
      </c>
      <c r="C216" s="345" t="str">
        <f>IF($A216="","",IF($J216="DIESEL",SUMIFS(Table1[Quantity],Table1[Customer],$M$3,Table1[Date],$A216,Table1[Bill No.],$B216),IF($J216="PETROL",SUMIFS(Table14[Quantity],Table14[Customer],$M$3,Table14[Date],$A216,Table14[Bill No.],$B216),IF($J216="XtraGreen",SUMIFS(Table146[Quantity],Table146[Company],$M$3,Table146[Date],$A216,Table146[Bill No.],$B216),""))))</f>
        <v/>
      </c>
      <c r="D216" s="346" t="str">
        <f>IF($A216="","",IF($J216="DIESEL",AVERAGEIFS(Table1[RSP],Table1[Customer],$M$3,Table1[Date],$A216,Table1[Bill No.],$B216),IF($J216="PETROL",AVERAGEIFS(Table14[RSP],Table14[Customer],$M$3,Table14[Date],$A216,Table14[Bill No.],$B216),IF($J216="XtraGreen",AVERAGEIFS(Table146[RSP],Table146[Company],$M$3,Table146[Date],$A216,Table146[Bill No.],$B216),IFERROR($E216/$C216,"")))))</f>
        <v/>
      </c>
      <c r="E216" s="347" t="str">
        <f>IF($A216="","",IF($J216="DIESEL",SUMIFS(Table1[Amount],Table1[Customer],$M$3,Table1[Date],$A216,Table1[Bill No.],$B216),IF($J216="PETROL",SUMIFS(Table14[Amount],Table14[Customer],$M$3,Table14[Date],$A216,Table14[Bill No.],$B216),IF($J216="XtraGreen",SUMIFS(Table146[Amount],Table146[Company],$M$3,Table146[Date],$A216,Table146[Bill No.],$B216),SUMIFS('Other Sale'!$D:$D,'Other Sale'!$E:$E,$M$3,'Other Sale'!$C:$C,$J216,'Other Sale'!$A:$A,$A216)))))</f>
        <v/>
      </c>
      <c r="F216" s="347" t="str" cm="1">
        <f t="array" ref="F216">IF($A216="","",IF($J216="Payment",IFERROR(INDEX(_xlfn._xlws.FILTER(MasterPaid[Amount Paid],(MasterPaid[Customer]=$M$3)*(MasterPaid[Date]=$A216)),COUNTIFS($A$6:$A216,$A216,$J$6:$J216,"Payment")),0),0))</f>
        <v/>
      </c>
      <c r="G216" s="331"/>
      <c r="H216" s="427"/>
      <c r="I216" s="330" t="str">
        <f t="shared" si="12"/>
        <v/>
      </c>
      <c r="J216" s="344" t="str" cm="1">
        <f t="array" ref="J216">IFERROR(INDEX(_xlfn.ANCHORARRAY($P$6),ROW()-5,3),"")</f>
        <v/>
      </c>
      <c r="K216" s="432" t="str" cm="1">
        <f t="array" ref="K216">IF(OR($A216="",$J216&lt;&gt;"DIESEL"),"",_xlfn.LET(_xlpm.qty,N($C216),_xlpm.pos,$T$5:$T$54,_xlpm.alo,IF($U$5:$U$54="",0,$U$5:$U$54),_xlpm.usd,SUMIFS($C$6:$C215,$K$6:$K215,_xlpm.pos&amp;""),_xlpm.bal,_xlpm.alo-_xlpm.usd,IFERROR(INDEX(_xlfn._xlws.FILTER(_xlpm.pos,(_xlpm.pos&lt;&gt;"")*(_xlpm.qty&gt;0)*(_xlpm.bal&gt;=_xlpm.qty)),1),"")))</f>
        <v/>
      </c>
      <c r="L216" s="348"/>
    </row>
    <row r="217" spans="1:12" ht="23" x14ac:dyDescent="0.25">
      <c r="A217" s="217" t="str" cm="1">
        <f t="array" ref="A217">IFERROR(INDEX(_xlfn.ANCHORARRAY($P$6),ROW()-5,1),"")</f>
        <v/>
      </c>
      <c r="B217" s="344" t="str" cm="1">
        <f t="array" ref="B217">IFERROR(INDEX(_xlfn.ANCHORARRAY($P$6),ROW()-5,2),"")</f>
        <v/>
      </c>
      <c r="C217" s="345" t="str">
        <f>IF($A217="","",IF($J217="DIESEL",SUMIFS(Table1[Quantity],Table1[Customer],$M$3,Table1[Date],$A217,Table1[Bill No.],$B217),IF($J217="PETROL",SUMIFS(Table14[Quantity],Table14[Customer],$M$3,Table14[Date],$A217,Table14[Bill No.],$B217),IF($J217="XtraGreen",SUMIFS(Table146[Quantity],Table146[Company],$M$3,Table146[Date],$A217,Table146[Bill No.],$B217),""))))</f>
        <v/>
      </c>
      <c r="D217" s="346" t="str">
        <f>IF($A217="","",IF($J217="DIESEL",AVERAGEIFS(Table1[RSP],Table1[Customer],$M$3,Table1[Date],$A217,Table1[Bill No.],$B217),IF($J217="PETROL",AVERAGEIFS(Table14[RSP],Table14[Customer],$M$3,Table14[Date],$A217,Table14[Bill No.],$B217),IF($J217="XtraGreen",AVERAGEIFS(Table146[RSP],Table146[Company],$M$3,Table146[Date],$A217,Table146[Bill No.],$B217),IFERROR($E217/$C217,"")))))</f>
        <v/>
      </c>
      <c r="E217" s="347" t="str">
        <f>IF($A217="","",IF($J217="DIESEL",SUMIFS(Table1[Amount],Table1[Customer],$M$3,Table1[Date],$A217,Table1[Bill No.],$B217),IF($J217="PETROL",SUMIFS(Table14[Amount],Table14[Customer],$M$3,Table14[Date],$A217,Table14[Bill No.],$B217),IF($J217="XtraGreen",SUMIFS(Table146[Amount],Table146[Company],$M$3,Table146[Date],$A217,Table146[Bill No.],$B217),SUMIFS('Other Sale'!$D:$D,'Other Sale'!$E:$E,$M$3,'Other Sale'!$C:$C,$J217,'Other Sale'!$A:$A,$A217)))))</f>
        <v/>
      </c>
      <c r="F217" s="347" t="str" cm="1">
        <f t="array" ref="F217">IF($A217="","",IF($J217="Payment",IFERROR(INDEX(_xlfn._xlws.FILTER(MasterPaid[Amount Paid],(MasterPaid[Customer]=$M$3)*(MasterPaid[Date]=$A217)),COUNTIFS($A$6:$A217,$A217,$J$6:$J217,"Payment")),0),0))</f>
        <v/>
      </c>
      <c r="G217" s="331"/>
      <c r="H217" s="427"/>
      <c r="I217" s="330" t="str">
        <f t="shared" si="12"/>
        <v/>
      </c>
      <c r="J217" s="344" t="str" cm="1">
        <f t="array" ref="J217">IFERROR(INDEX(_xlfn.ANCHORARRAY($P$6),ROW()-5,3),"")</f>
        <v/>
      </c>
      <c r="K217" s="432" t="str" cm="1">
        <f t="array" ref="K217">IF(OR($A217="",$J217&lt;&gt;"DIESEL"),"",_xlfn.LET(_xlpm.qty,N($C217),_xlpm.pos,$T$5:$T$54,_xlpm.alo,IF($U$5:$U$54="",0,$U$5:$U$54),_xlpm.usd,SUMIFS($C$6:$C216,$K$6:$K216,_xlpm.pos&amp;""),_xlpm.bal,_xlpm.alo-_xlpm.usd,IFERROR(INDEX(_xlfn._xlws.FILTER(_xlpm.pos,(_xlpm.pos&lt;&gt;"")*(_xlpm.qty&gt;0)*(_xlpm.bal&gt;=_xlpm.qty)),1),"")))</f>
        <v/>
      </c>
      <c r="L217" s="348"/>
    </row>
    <row r="218" spans="1:12" ht="23" x14ac:dyDescent="0.25">
      <c r="A218" s="217" t="str" cm="1">
        <f t="array" ref="A218">IFERROR(INDEX(_xlfn.ANCHORARRAY($P$6),ROW()-5,1),"")</f>
        <v/>
      </c>
      <c r="B218" s="344" t="str" cm="1">
        <f t="array" ref="B218">IFERROR(INDEX(_xlfn.ANCHORARRAY($P$6),ROW()-5,2),"")</f>
        <v/>
      </c>
      <c r="C218" s="345" t="str">
        <f>IF($A218="","",IF($J218="DIESEL",SUMIFS(Table1[Quantity],Table1[Customer],$M$3,Table1[Date],$A218,Table1[Bill No.],$B218),IF($J218="PETROL",SUMIFS(Table14[Quantity],Table14[Customer],$M$3,Table14[Date],$A218,Table14[Bill No.],$B218),IF($J218="XtraGreen",SUMIFS(Table146[Quantity],Table146[Company],$M$3,Table146[Date],$A218,Table146[Bill No.],$B218),""))))</f>
        <v/>
      </c>
      <c r="D218" s="346" t="str">
        <f>IF($A218="","",IF($J218="DIESEL",AVERAGEIFS(Table1[RSP],Table1[Customer],$M$3,Table1[Date],$A218,Table1[Bill No.],$B218),IF($J218="PETROL",AVERAGEIFS(Table14[RSP],Table14[Customer],$M$3,Table14[Date],$A218,Table14[Bill No.],$B218),IF($J218="XtraGreen",AVERAGEIFS(Table146[RSP],Table146[Company],$M$3,Table146[Date],$A218,Table146[Bill No.],$B218),IFERROR($E218/$C218,"")))))</f>
        <v/>
      </c>
      <c r="E218" s="347" t="str">
        <f>IF($A218="","",IF($J218="DIESEL",SUMIFS(Table1[Amount],Table1[Customer],$M$3,Table1[Date],$A218,Table1[Bill No.],$B218),IF($J218="PETROL",SUMIFS(Table14[Amount],Table14[Customer],$M$3,Table14[Date],$A218,Table14[Bill No.],$B218),IF($J218="XtraGreen",SUMIFS(Table146[Amount],Table146[Company],$M$3,Table146[Date],$A218,Table146[Bill No.],$B218),SUMIFS('Other Sale'!$D:$D,'Other Sale'!$E:$E,$M$3,'Other Sale'!$C:$C,$J218,'Other Sale'!$A:$A,$A218)))))</f>
        <v/>
      </c>
      <c r="F218" s="347" t="str" cm="1">
        <f t="array" ref="F218">IF($A218="","",IF($J218="Payment",IFERROR(INDEX(_xlfn._xlws.FILTER(MasterPaid[Amount Paid],(MasterPaid[Customer]=$M$3)*(MasterPaid[Date]=$A218)),COUNTIFS($A$6:$A218,$A218,$J$6:$J218,"Payment")),0),0))</f>
        <v/>
      </c>
      <c r="G218" s="331"/>
      <c r="H218" s="427"/>
      <c r="I218" s="330" t="str">
        <f t="shared" si="12"/>
        <v/>
      </c>
      <c r="J218" s="344" t="str" cm="1">
        <f t="array" ref="J218">IFERROR(INDEX(_xlfn.ANCHORARRAY($P$6),ROW()-5,3),"")</f>
        <v/>
      </c>
      <c r="K218" s="432" t="str" cm="1">
        <f t="array" ref="K218">IF(OR($A218="",$J218&lt;&gt;"DIESEL"),"",_xlfn.LET(_xlpm.qty,N($C218),_xlpm.pos,$T$5:$T$54,_xlpm.alo,IF($U$5:$U$54="",0,$U$5:$U$54),_xlpm.usd,SUMIFS($C$6:$C217,$K$6:$K217,_xlpm.pos&amp;""),_xlpm.bal,_xlpm.alo-_xlpm.usd,IFERROR(INDEX(_xlfn._xlws.FILTER(_xlpm.pos,(_xlpm.pos&lt;&gt;"")*(_xlpm.qty&gt;0)*(_xlpm.bal&gt;=_xlpm.qty)),1),"")))</f>
        <v/>
      </c>
      <c r="L218" s="348"/>
    </row>
    <row r="219" spans="1:12" ht="23" x14ac:dyDescent="0.25">
      <c r="A219" s="217" t="str" cm="1">
        <f t="array" ref="A219">IFERROR(INDEX(_xlfn.ANCHORARRAY($P$6),ROW()-5,1),"")</f>
        <v/>
      </c>
      <c r="B219" s="344" t="str" cm="1">
        <f t="array" ref="B219">IFERROR(INDEX(_xlfn.ANCHORARRAY($P$6),ROW()-5,2),"")</f>
        <v/>
      </c>
      <c r="C219" s="345" t="str">
        <f>IF($A219="","",IF($J219="DIESEL",SUMIFS(Table1[Quantity],Table1[Customer],$M$3,Table1[Date],$A219,Table1[Bill No.],$B219),IF($J219="PETROL",SUMIFS(Table14[Quantity],Table14[Customer],$M$3,Table14[Date],$A219,Table14[Bill No.],$B219),IF($J219="XtraGreen",SUMIFS(Table146[Quantity],Table146[Company],$M$3,Table146[Date],$A219,Table146[Bill No.],$B219),""))))</f>
        <v/>
      </c>
      <c r="D219" s="346" t="str">
        <f>IF($A219="","",IF($J219="DIESEL",AVERAGEIFS(Table1[RSP],Table1[Customer],$M$3,Table1[Date],$A219,Table1[Bill No.],$B219),IF($J219="PETROL",AVERAGEIFS(Table14[RSP],Table14[Customer],$M$3,Table14[Date],$A219,Table14[Bill No.],$B219),IF($J219="XtraGreen",AVERAGEIFS(Table146[RSP],Table146[Company],$M$3,Table146[Date],$A219,Table146[Bill No.],$B219),IFERROR($E219/$C219,"")))))</f>
        <v/>
      </c>
      <c r="E219" s="347" t="str">
        <f>IF($A219="","",IF($J219="DIESEL",SUMIFS(Table1[Amount],Table1[Customer],$M$3,Table1[Date],$A219,Table1[Bill No.],$B219),IF($J219="PETROL",SUMIFS(Table14[Amount],Table14[Customer],$M$3,Table14[Date],$A219,Table14[Bill No.],$B219),IF($J219="XtraGreen",SUMIFS(Table146[Amount],Table146[Company],$M$3,Table146[Date],$A219,Table146[Bill No.],$B219),SUMIFS('Other Sale'!$D:$D,'Other Sale'!$E:$E,$M$3,'Other Sale'!$C:$C,$J219,'Other Sale'!$A:$A,$A219)))))</f>
        <v/>
      </c>
      <c r="F219" s="347" t="str" cm="1">
        <f t="array" ref="F219">IF($A219="","",IF($J219="Payment",IFERROR(INDEX(_xlfn._xlws.FILTER(MasterPaid[Amount Paid],(MasterPaid[Customer]=$M$3)*(MasterPaid[Date]=$A219)),COUNTIFS($A$6:$A219,$A219,$J$6:$J219,"Payment")),0),0))</f>
        <v/>
      </c>
      <c r="G219" s="331"/>
      <c r="H219" s="427"/>
      <c r="I219" s="330" t="str">
        <f t="shared" si="12"/>
        <v/>
      </c>
      <c r="J219" s="344" t="str" cm="1">
        <f t="array" ref="J219">IFERROR(INDEX(_xlfn.ANCHORARRAY($P$6),ROW()-5,3),"")</f>
        <v/>
      </c>
      <c r="K219" s="432" t="str" cm="1">
        <f t="array" ref="K219">IF(OR($A219="",$J219&lt;&gt;"DIESEL"),"",_xlfn.LET(_xlpm.qty,N($C219),_xlpm.pos,$T$5:$T$54,_xlpm.alo,IF($U$5:$U$54="",0,$U$5:$U$54),_xlpm.usd,SUMIFS($C$6:$C218,$K$6:$K218,_xlpm.pos&amp;""),_xlpm.bal,_xlpm.alo-_xlpm.usd,IFERROR(INDEX(_xlfn._xlws.FILTER(_xlpm.pos,(_xlpm.pos&lt;&gt;"")*(_xlpm.qty&gt;0)*(_xlpm.bal&gt;=_xlpm.qty)),1),"")))</f>
        <v/>
      </c>
      <c r="L219" s="348"/>
    </row>
    <row r="220" spans="1:12" ht="23" x14ac:dyDescent="0.25">
      <c r="A220" s="217" t="str" cm="1">
        <f t="array" ref="A220">IFERROR(INDEX(_xlfn.ANCHORARRAY($P$6),ROW()-5,1),"")</f>
        <v/>
      </c>
      <c r="B220" s="344" t="str" cm="1">
        <f t="array" ref="B220">IFERROR(INDEX(_xlfn.ANCHORARRAY($P$6),ROW()-5,2),"")</f>
        <v/>
      </c>
      <c r="C220" s="345" t="str">
        <f>IF($A220="","",IF($J220="DIESEL",SUMIFS(Table1[Quantity],Table1[Customer],$M$3,Table1[Date],$A220,Table1[Bill No.],$B220),IF($J220="PETROL",SUMIFS(Table14[Quantity],Table14[Customer],$M$3,Table14[Date],$A220,Table14[Bill No.],$B220),IF($J220="XtraGreen",SUMIFS(Table146[Quantity],Table146[Company],$M$3,Table146[Date],$A220,Table146[Bill No.],$B220),""))))</f>
        <v/>
      </c>
      <c r="D220" s="346" t="str">
        <f>IF($A220="","",IF($J220="DIESEL",AVERAGEIFS(Table1[RSP],Table1[Customer],$M$3,Table1[Date],$A220,Table1[Bill No.],$B220),IF($J220="PETROL",AVERAGEIFS(Table14[RSP],Table14[Customer],$M$3,Table14[Date],$A220,Table14[Bill No.],$B220),IF($J220="XtraGreen",AVERAGEIFS(Table146[RSP],Table146[Company],$M$3,Table146[Date],$A220,Table146[Bill No.],$B220),IFERROR($E220/$C220,"")))))</f>
        <v/>
      </c>
      <c r="E220" s="347" t="str">
        <f>IF($A220="","",IF($J220="DIESEL",SUMIFS(Table1[Amount],Table1[Customer],$M$3,Table1[Date],$A220,Table1[Bill No.],$B220),IF($J220="PETROL",SUMIFS(Table14[Amount],Table14[Customer],$M$3,Table14[Date],$A220,Table14[Bill No.],$B220),IF($J220="XtraGreen",SUMIFS(Table146[Amount],Table146[Company],$M$3,Table146[Date],$A220,Table146[Bill No.],$B220),SUMIFS('Other Sale'!$D:$D,'Other Sale'!$E:$E,$M$3,'Other Sale'!$C:$C,$J220,'Other Sale'!$A:$A,$A220)))))</f>
        <v/>
      </c>
      <c r="F220" s="347" t="str" cm="1">
        <f t="array" ref="F220">IF($A220="","",IF($J220="Payment",IFERROR(INDEX(_xlfn._xlws.FILTER(MasterPaid[Amount Paid],(MasterPaid[Customer]=$M$3)*(MasterPaid[Date]=$A220)),COUNTIFS($A$6:$A220,$A220,$J$6:$J220,"Payment")),0),0))</f>
        <v/>
      </c>
      <c r="G220" s="331"/>
      <c r="H220" s="427"/>
      <c r="I220" s="330" t="str">
        <f t="shared" si="12"/>
        <v/>
      </c>
      <c r="J220" s="344" t="str" cm="1">
        <f t="array" ref="J220">IFERROR(INDEX(_xlfn.ANCHORARRAY($P$6),ROW()-5,3),"")</f>
        <v/>
      </c>
      <c r="K220" s="432" t="str" cm="1">
        <f t="array" ref="K220">IF(OR($A220="",$J220&lt;&gt;"DIESEL"),"",_xlfn.LET(_xlpm.qty,N($C220),_xlpm.pos,$T$5:$T$54,_xlpm.alo,IF($U$5:$U$54="",0,$U$5:$U$54),_xlpm.usd,SUMIFS($C$6:$C219,$K$6:$K219,_xlpm.pos&amp;""),_xlpm.bal,_xlpm.alo-_xlpm.usd,IFERROR(INDEX(_xlfn._xlws.FILTER(_xlpm.pos,(_xlpm.pos&lt;&gt;"")*(_xlpm.qty&gt;0)*(_xlpm.bal&gt;=_xlpm.qty)),1),"")))</f>
        <v/>
      </c>
      <c r="L220" s="348"/>
    </row>
    <row r="221" spans="1:12" ht="23" x14ac:dyDescent="0.25">
      <c r="A221" s="217" t="str" cm="1">
        <f t="array" ref="A221">IFERROR(INDEX(_xlfn.ANCHORARRAY($P$6),ROW()-5,1),"")</f>
        <v/>
      </c>
      <c r="B221" s="344" t="str" cm="1">
        <f t="array" ref="B221">IFERROR(INDEX(_xlfn.ANCHORARRAY($P$6),ROW()-5,2),"")</f>
        <v/>
      </c>
      <c r="C221" s="345" t="str">
        <f>IF($A221="","",IF($J221="DIESEL",SUMIFS(Table1[Quantity],Table1[Customer],$M$3,Table1[Date],$A221,Table1[Bill No.],$B221),IF($J221="PETROL",SUMIFS(Table14[Quantity],Table14[Customer],$M$3,Table14[Date],$A221,Table14[Bill No.],$B221),IF($J221="XtraGreen",SUMIFS(Table146[Quantity],Table146[Company],$M$3,Table146[Date],$A221,Table146[Bill No.],$B221),""))))</f>
        <v/>
      </c>
      <c r="D221" s="346" t="str">
        <f>IF($A221="","",IF($J221="DIESEL",AVERAGEIFS(Table1[RSP],Table1[Customer],$M$3,Table1[Date],$A221,Table1[Bill No.],$B221),IF($J221="PETROL",AVERAGEIFS(Table14[RSP],Table14[Customer],$M$3,Table14[Date],$A221,Table14[Bill No.],$B221),IF($J221="XtraGreen",AVERAGEIFS(Table146[RSP],Table146[Company],$M$3,Table146[Date],$A221,Table146[Bill No.],$B221),IFERROR($E221/$C221,"")))))</f>
        <v/>
      </c>
      <c r="E221" s="347" t="str">
        <f>IF($A221="","",IF($J221="DIESEL",SUMIFS(Table1[Amount],Table1[Customer],$M$3,Table1[Date],$A221,Table1[Bill No.],$B221),IF($J221="PETROL",SUMIFS(Table14[Amount],Table14[Customer],$M$3,Table14[Date],$A221,Table14[Bill No.],$B221),IF($J221="XtraGreen",SUMIFS(Table146[Amount],Table146[Company],$M$3,Table146[Date],$A221,Table146[Bill No.],$B221),SUMIFS('Other Sale'!$D:$D,'Other Sale'!$E:$E,$M$3,'Other Sale'!$C:$C,$J221,'Other Sale'!$A:$A,$A221)))))</f>
        <v/>
      </c>
      <c r="F221" s="347" t="str" cm="1">
        <f t="array" ref="F221">IF($A221="","",IF($J221="Payment",IFERROR(INDEX(_xlfn._xlws.FILTER(MasterPaid[Amount Paid],(MasterPaid[Customer]=$M$3)*(MasterPaid[Date]=$A221)),COUNTIFS($A$6:$A221,$A221,$J$6:$J221,"Payment")),0),0))</f>
        <v/>
      </c>
      <c r="G221" s="331"/>
      <c r="H221" s="427"/>
      <c r="I221" s="330" t="str">
        <f t="shared" si="12"/>
        <v/>
      </c>
      <c r="J221" s="344" t="str" cm="1">
        <f t="array" ref="J221">IFERROR(INDEX(_xlfn.ANCHORARRAY($P$6),ROW()-5,3),"")</f>
        <v/>
      </c>
      <c r="K221" s="432" t="str" cm="1">
        <f t="array" ref="K221">IF(OR($A221="",$J221&lt;&gt;"DIESEL"),"",_xlfn.LET(_xlpm.qty,N($C221),_xlpm.pos,$T$5:$T$54,_xlpm.alo,IF($U$5:$U$54="",0,$U$5:$U$54),_xlpm.usd,SUMIFS($C$6:$C220,$K$6:$K220,_xlpm.pos&amp;""),_xlpm.bal,_xlpm.alo-_xlpm.usd,IFERROR(INDEX(_xlfn._xlws.FILTER(_xlpm.pos,(_xlpm.pos&lt;&gt;"")*(_xlpm.qty&gt;0)*(_xlpm.bal&gt;=_xlpm.qty)),1),"")))</f>
        <v/>
      </c>
      <c r="L221" s="348"/>
    </row>
    <row r="222" spans="1:12" ht="23" x14ac:dyDescent="0.25">
      <c r="A222" s="217" t="str" cm="1">
        <f t="array" ref="A222">IFERROR(INDEX(_xlfn.ANCHORARRAY($P$6),ROW()-5,1),"")</f>
        <v/>
      </c>
      <c r="B222" s="344" t="str" cm="1">
        <f t="array" ref="B222">IFERROR(INDEX(_xlfn.ANCHORARRAY($P$6),ROW()-5,2),"")</f>
        <v/>
      </c>
      <c r="C222" s="345" t="str">
        <f>IF($A222="","",IF($J222="DIESEL",SUMIFS(Table1[Quantity],Table1[Customer],$M$3,Table1[Date],$A222,Table1[Bill No.],$B222),IF($J222="PETROL",SUMIFS(Table14[Quantity],Table14[Customer],$M$3,Table14[Date],$A222,Table14[Bill No.],$B222),IF($J222="XtraGreen",SUMIFS(Table146[Quantity],Table146[Company],$M$3,Table146[Date],$A222,Table146[Bill No.],$B222),""))))</f>
        <v/>
      </c>
      <c r="D222" s="346" t="str">
        <f>IF($A222="","",IF($J222="DIESEL",AVERAGEIFS(Table1[RSP],Table1[Customer],$M$3,Table1[Date],$A222,Table1[Bill No.],$B222),IF($J222="PETROL",AVERAGEIFS(Table14[RSP],Table14[Customer],$M$3,Table14[Date],$A222,Table14[Bill No.],$B222),IF($J222="XtraGreen",AVERAGEIFS(Table146[RSP],Table146[Company],$M$3,Table146[Date],$A222,Table146[Bill No.],$B222),IFERROR($E222/$C222,"")))))</f>
        <v/>
      </c>
      <c r="E222" s="347" t="str">
        <f>IF($A222="","",IF($J222="DIESEL",SUMIFS(Table1[Amount],Table1[Customer],$M$3,Table1[Date],$A222,Table1[Bill No.],$B222),IF($J222="PETROL",SUMIFS(Table14[Amount],Table14[Customer],$M$3,Table14[Date],$A222,Table14[Bill No.],$B222),IF($J222="XtraGreen",SUMIFS(Table146[Amount],Table146[Company],$M$3,Table146[Date],$A222,Table146[Bill No.],$B222),SUMIFS('Other Sale'!$D:$D,'Other Sale'!$E:$E,$M$3,'Other Sale'!$C:$C,$J222,'Other Sale'!$A:$A,$A222)))))</f>
        <v/>
      </c>
      <c r="F222" s="347" t="str" cm="1">
        <f t="array" ref="F222">IF($A222="","",IF($J222="Payment",IFERROR(INDEX(_xlfn._xlws.FILTER(MasterPaid[Amount Paid],(MasterPaid[Customer]=$M$3)*(MasterPaid[Date]=$A222)),COUNTIFS($A$6:$A222,$A222,$J$6:$J222,"Payment")),0),0))</f>
        <v/>
      </c>
      <c r="G222" s="331"/>
      <c r="H222" s="427"/>
      <c r="I222" s="330" t="str">
        <f t="shared" si="12"/>
        <v/>
      </c>
      <c r="J222" s="344" t="str" cm="1">
        <f t="array" ref="J222">IFERROR(INDEX(_xlfn.ANCHORARRAY($P$6),ROW()-5,3),"")</f>
        <v/>
      </c>
      <c r="K222" s="432" t="str" cm="1">
        <f t="array" ref="K222">IF(OR($A222="",$J222&lt;&gt;"DIESEL"),"",_xlfn.LET(_xlpm.qty,N($C222),_xlpm.pos,$T$5:$T$54,_xlpm.alo,IF($U$5:$U$54="",0,$U$5:$U$54),_xlpm.usd,SUMIFS($C$6:$C221,$K$6:$K221,_xlpm.pos&amp;""),_xlpm.bal,_xlpm.alo-_xlpm.usd,IFERROR(INDEX(_xlfn._xlws.FILTER(_xlpm.pos,(_xlpm.pos&lt;&gt;"")*(_xlpm.qty&gt;0)*(_xlpm.bal&gt;=_xlpm.qty)),1),"")))</f>
        <v/>
      </c>
      <c r="L222" s="348"/>
    </row>
    <row r="223" spans="1:12" ht="23" x14ac:dyDescent="0.25">
      <c r="A223" s="217" t="str" cm="1">
        <f t="array" ref="A223">IFERROR(INDEX(_xlfn.ANCHORARRAY($P$6),ROW()-5,1),"")</f>
        <v/>
      </c>
      <c r="B223" s="344" t="str" cm="1">
        <f t="array" ref="B223">IFERROR(INDEX(_xlfn.ANCHORARRAY($P$6),ROW()-5,2),"")</f>
        <v/>
      </c>
      <c r="C223" s="345" t="str">
        <f>IF($A223="","",IF($J223="DIESEL",SUMIFS(Table1[Quantity],Table1[Customer],$M$3,Table1[Date],$A223,Table1[Bill No.],$B223),IF($J223="PETROL",SUMIFS(Table14[Quantity],Table14[Customer],$M$3,Table14[Date],$A223,Table14[Bill No.],$B223),IF($J223="XtraGreen",SUMIFS(Table146[Quantity],Table146[Company],$M$3,Table146[Date],$A223,Table146[Bill No.],$B223),""))))</f>
        <v/>
      </c>
      <c r="D223" s="346" t="str">
        <f>IF($A223="","",IF($J223="DIESEL",AVERAGEIFS(Table1[RSP],Table1[Customer],$M$3,Table1[Date],$A223,Table1[Bill No.],$B223),IF($J223="PETROL",AVERAGEIFS(Table14[RSP],Table14[Customer],$M$3,Table14[Date],$A223,Table14[Bill No.],$B223),IF($J223="XtraGreen",AVERAGEIFS(Table146[RSP],Table146[Company],$M$3,Table146[Date],$A223,Table146[Bill No.],$B223),IFERROR($E223/$C223,"")))))</f>
        <v/>
      </c>
      <c r="E223" s="347" t="str">
        <f>IF($A223="","",IF($J223="DIESEL",SUMIFS(Table1[Amount],Table1[Customer],$M$3,Table1[Date],$A223,Table1[Bill No.],$B223),IF($J223="PETROL",SUMIFS(Table14[Amount],Table14[Customer],$M$3,Table14[Date],$A223,Table14[Bill No.],$B223),IF($J223="XtraGreen",SUMIFS(Table146[Amount],Table146[Company],$M$3,Table146[Date],$A223,Table146[Bill No.],$B223),SUMIFS('Other Sale'!$D:$D,'Other Sale'!$E:$E,$M$3,'Other Sale'!$C:$C,$J223,'Other Sale'!$A:$A,$A223)))))</f>
        <v/>
      </c>
      <c r="F223" s="347" t="str" cm="1">
        <f t="array" ref="F223">IF($A223="","",IF($J223="Payment",IFERROR(INDEX(_xlfn._xlws.FILTER(MasterPaid[Amount Paid],(MasterPaid[Customer]=$M$3)*(MasterPaid[Date]=$A223)),COUNTIFS($A$6:$A223,$A223,$J$6:$J223,"Payment")),0),0))</f>
        <v/>
      </c>
      <c r="G223" s="331"/>
      <c r="H223" s="427"/>
      <c r="I223" s="330" t="str">
        <f t="shared" si="12"/>
        <v/>
      </c>
      <c r="J223" s="344" t="str" cm="1">
        <f t="array" ref="J223">IFERROR(INDEX(_xlfn.ANCHORARRAY($P$6),ROW()-5,3),"")</f>
        <v/>
      </c>
      <c r="K223" s="432" t="str" cm="1">
        <f t="array" ref="K223">IF(OR($A223="",$J223&lt;&gt;"DIESEL"),"",_xlfn.LET(_xlpm.qty,N($C223),_xlpm.pos,$T$5:$T$54,_xlpm.alo,IF($U$5:$U$54="",0,$U$5:$U$54),_xlpm.usd,SUMIFS($C$6:$C222,$K$6:$K222,_xlpm.pos&amp;""),_xlpm.bal,_xlpm.alo-_xlpm.usd,IFERROR(INDEX(_xlfn._xlws.FILTER(_xlpm.pos,(_xlpm.pos&lt;&gt;"")*(_xlpm.qty&gt;0)*(_xlpm.bal&gt;=_xlpm.qty)),1),"")))</f>
        <v/>
      </c>
      <c r="L223" s="348"/>
    </row>
    <row r="224" spans="1:12" ht="23" x14ac:dyDescent="0.25">
      <c r="A224" s="217" t="str" cm="1">
        <f t="array" ref="A224">IFERROR(INDEX(_xlfn.ANCHORARRAY($P$6),ROW()-5,1),"")</f>
        <v/>
      </c>
      <c r="B224" s="344" t="str" cm="1">
        <f t="array" ref="B224">IFERROR(INDEX(_xlfn.ANCHORARRAY($P$6),ROW()-5,2),"")</f>
        <v/>
      </c>
      <c r="C224" s="345" t="str">
        <f>IF($A224="","",IF($J224="DIESEL",SUMIFS(Table1[Quantity],Table1[Customer],$M$3,Table1[Date],$A224,Table1[Bill No.],$B224),IF($J224="PETROL",SUMIFS(Table14[Quantity],Table14[Customer],$M$3,Table14[Date],$A224,Table14[Bill No.],$B224),IF($J224="XtraGreen",SUMIFS(Table146[Quantity],Table146[Company],$M$3,Table146[Date],$A224,Table146[Bill No.],$B224),""))))</f>
        <v/>
      </c>
      <c r="D224" s="346" t="str">
        <f>IF($A224="","",IF($J224="DIESEL",AVERAGEIFS(Table1[RSP],Table1[Customer],$M$3,Table1[Date],$A224,Table1[Bill No.],$B224),IF($J224="PETROL",AVERAGEIFS(Table14[RSP],Table14[Customer],$M$3,Table14[Date],$A224,Table14[Bill No.],$B224),IF($J224="XtraGreen",AVERAGEIFS(Table146[RSP],Table146[Company],$M$3,Table146[Date],$A224,Table146[Bill No.],$B224),IFERROR($E224/$C224,"")))))</f>
        <v/>
      </c>
      <c r="E224" s="347" t="str">
        <f>IF($A224="","",IF($J224="DIESEL",SUMIFS(Table1[Amount],Table1[Customer],$M$3,Table1[Date],$A224,Table1[Bill No.],$B224),IF($J224="PETROL",SUMIFS(Table14[Amount],Table14[Customer],$M$3,Table14[Date],$A224,Table14[Bill No.],$B224),IF($J224="XtraGreen",SUMIFS(Table146[Amount],Table146[Company],$M$3,Table146[Date],$A224,Table146[Bill No.],$B224),SUMIFS('Other Sale'!$D:$D,'Other Sale'!$E:$E,$M$3,'Other Sale'!$C:$C,$J224,'Other Sale'!$A:$A,$A224)))))</f>
        <v/>
      </c>
      <c r="F224" s="347" t="str" cm="1">
        <f t="array" ref="F224">IF($A224="","",IF($J224="Payment",IFERROR(INDEX(_xlfn._xlws.FILTER(MasterPaid[Amount Paid],(MasterPaid[Customer]=$M$3)*(MasterPaid[Date]=$A224)),COUNTIFS($A$6:$A224,$A224,$J$6:$J224,"Payment")),0),0))</f>
        <v/>
      </c>
      <c r="G224" s="331"/>
      <c r="H224" s="427"/>
      <c r="I224" s="330" t="str">
        <f t="shared" si="12"/>
        <v/>
      </c>
      <c r="J224" s="344" t="str" cm="1">
        <f t="array" ref="J224">IFERROR(INDEX(_xlfn.ANCHORARRAY($P$6),ROW()-5,3),"")</f>
        <v/>
      </c>
      <c r="K224" s="432" t="str" cm="1">
        <f t="array" ref="K224">IF(OR($A224="",$J224&lt;&gt;"DIESEL"),"",_xlfn.LET(_xlpm.qty,N($C224),_xlpm.pos,$T$5:$T$54,_xlpm.alo,IF($U$5:$U$54="",0,$U$5:$U$54),_xlpm.usd,SUMIFS($C$6:$C223,$K$6:$K223,_xlpm.pos&amp;""),_xlpm.bal,_xlpm.alo-_xlpm.usd,IFERROR(INDEX(_xlfn._xlws.FILTER(_xlpm.pos,(_xlpm.pos&lt;&gt;"")*(_xlpm.qty&gt;0)*(_xlpm.bal&gt;=_xlpm.qty)),1),"")))</f>
        <v/>
      </c>
      <c r="L224" s="348"/>
    </row>
    <row r="225" spans="1:12" ht="23" x14ac:dyDescent="0.25">
      <c r="A225" s="217" t="str" cm="1">
        <f t="array" ref="A225">IFERROR(INDEX(_xlfn.ANCHORARRAY($P$6),ROW()-5,1),"")</f>
        <v/>
      </c>
      <c r="B225" s="344" t="str" cm="1">
        <f t="array" ref="B225">IFERROR(INDEX(_xlfn.ANCHORARRAY($P$6),ROW()-5,2),"")</f>
        <v/>
      </c>
      <c r="C225" s="345" t="str">
        <f>IF($A225="","",IF($J225="DIESEL",SUMIFS(Table1[Quantity],Table1[Customer],$M$3,Table1[Date],$A225,Table1[Bill No.],$B225),IF($J225="PETROL",SUMIFS(Table14[Quantity],Table14[Customer],$M$3,Table14[Date],$A225,Table14[Bill No.],$B225),IF($J225="XtraGreen",SUMIFS(Table146[Quantity],Table146[Company],$M$3,Table146[Date],$A225,Table146[Bill No.],$B225),""))))</f>
        <v/>
      </c>
      <c r="D225" s="346" t="str">
        <f>IF($A225="","",IF($J225="DIESEL",AVERAGEIFS(Table1[RSP],Table1[Customer],$M$3,Table1[Date],$A225,Table1[Bill No.],$B225),IF($J225="PETROL",AVERAGEIFS(Table14[RSP],Table14[Customer],$M$3,Table14[Date],$A225,Table14[Bill No.],$B225),IF($J225="XtraGreen",AVERAGEIFS(Table146[RSP],Table146[Company],$M$3,Table146[Date],$A225,Table146[Bill No.],$B225),IFERROR($E225/$C225,"")))))</f>
        <v/>
      </c>
      <c r="E225" s="347" t="str">
        <f>IF($A225="","",IF($J225="DIESEL",SUMIFS(Table1[Amount],Table1[Customer],$M$3,Table1[Date],$A225,Table1[Bill No.],$B225),IF($J225="PETROL",SUMIFS(Table14[Amount],Table14[Customer],$M$3,Table14[Date],$A225,Table14[Bill No.],$B225),IF($J225="XtraGreen",SUMIFS(Table146[Amount],Table146[Company],$M$3,Table146[Date],$A225,Table146[Bill No.],$B225),SUMIFS('Other Sale'!$D:$D,'Other Sale'!$E:$E,$M$3,'Other Sale'!$C:$C,$J225,'Other Sale'!$A:$A,$A225)))))</f>
        <v/>
      </c>
      <c r="F225" s="347" t="str" cm="1">
        <f t="array" ref="F225">IF($A225="","",IF($J225="Payment",IFERROR(INDEX(_xlfn._xlws.FILTER(MasterPaid[Amount Paid],(MasterPaid[Customer]=$M$3)*(MasterPaid[Date]=$A225)),COUNTIFS($A$6:$A225,$A225,$J$6:$J225,"Payment")),0),0))</f>
        <v/>
      </c>
      <c r="G225" s="331"/>
      <c r="H225" s="427"/>
      <c r="I225" s="330" t="str">
        <f t="shared" si="12"/>
        <v/>
      </c>
      <c r="J225" s="344" t="str" cm="1">
        <f t="array" ref="J225">IFERROR(INDEX(_xlfn.ANCHORARRAY($P$6),ROW()-5,3),"")</f>
        <v/>
      </c>
      <c r="K225" s="432" t="str" cm="1">
        <f t="array" ref="K225">IF(OR($A225="",$J225&lt;&gt;"DIESEL"),"",_xlfn.LET(_xlpm.qty,N($C225),_xlpm.pos,$T$5:$T$54,_xlpm.alo,IF($U$5:$U$54="",0,$U$5:$U$54),_xlpm.usd,SUMIFS($C$6:$C224,$K$6:$K224,_xlpm.pos&amp;""),_xlpm.bal,_xlpm.alo-_xlpm.usd,IFERROR(INDEX(_xlfn._xlws.FILTER(_xlpm.pos,(_xlpm.pos&lt;&gt;"")*(_xlpm.qty&gt;0)*(_xlpm.bal&gt;=_xlpm.qty)),1),"")))</f>
        <v/>
      </c>
      <c r="L225" s="348"/>
    </row>
    <row r="226" spans="1:12" ht="23" x14ac:dyDescent="0.25">
      <c r="A226" s="217" t="str" cm="1">
        <f t="array" ref="A226">IFERROR(INDEX(_xlfn.ANCHORARRAY($P$6),ROW()-5,1),"")</f>
        <v/>
      </c>
      <c r="B226" s="344" t="str" cm="1">
        <f t="array" ref="B226">IFERROR(INDEX(_xlfn.ANCHORARRAY($P$6),ROW()-5,2),"")</f>
        <v/>
      </c>
      <c r="C226" s="345" t="str">
        <f>IF($A226="","",IF($J226="DIESEL",SUMIFS(Table1[Quantity],Table1[Customer],$M$3,Table1[Date],$A226,Table1[Bill No.],$B226),IF($J226="PETROL",SUMIFS(Table14[Quantity],Table14[Customer],$M$3,Table14[Date],$A226,Table14[Bill No.],$B226),IF($J226="XtraGreen",SUMIFS(Table146[Quantity],Table146[Company],$M$3,Table146[Date],$A226,Table146[Bill No.],$B226),""))))</f>
        <v/>
      </c>
      <c r="D226" s="346" t="str">
        <f>IF($A226="","",IF($J226="DIESEL",AVERAGEIFS(Table1[RSP],Table1[Customer],$M$3,Table1[Date],$A226,Table1[Bill No.],$B226),IF($J226="PETROL",AVERAGEIFS(Table14[RSP],Table14[Customer],$M$3,Table14[Date],$A226,Table14[Bill No.],$B226),IF($J226="XtraGreen",AVERAGEIFS(Table146[RSP],Table146[Company],$M$3,Table146[Date],$A226,Table146[Bill No.],$B226),IFERROR($E226/$C226,"")))))</f>
        <v/>
      </c>
      <c r="E226" s="347" t="str">
        <f>IF($A226="","",IF($J226="DIESEL",SUMIFS(Table1[Amount],Table1[Customer],$M$3,Table1[Date],$A226,Table1[Bill No.],$B226),IF($J226="PETROL",SUMIFS(Table14[Amount],Table14[Customer],$M$3,Table14[Date],$A226,Table14[Bill No.],$B226),IF($J226="XtraGreen",SUMIFS(Table146[Amount],Table146[Company],$M$3,Table146[Date],$A226,Table146[Bill No.],$B226),SUMIFS('Other Sale'!$D:$D,'Other Sale'!$E:$E,$M$3,'Other Sale'!$C:$C,$J226,'Other Sale'!$A:$A,$A226)))))</f>
        <v/>
      </c>
      <c r="F226" s="347" t="str" cm="1">
        <f t="array" ref="F226">IF($A226="","",IF($J226="Payment",IFERROR(INDEX(_xlfn._xlws.FILTER(MasterPaid[Amount Paid],(MasterPaid[Customer]=$M$3)*(MasterPaid[Date]=$A226)),COUNTIFS($A$6:$A226,$A226,$J$6:$J226,"Payment")),0),0))</f>
        <v/>
      </c>
      <c r="G226" s="331"/>
      <c r="H226" s="427"/>
      <c r="I226" s="330" t="str">
        <f t="shared" si="12"/>
        <v/>
      </c>
      <c r="J226" s="344" t="str" cm="1">
        <f t="array" ref="J226">IFERROR(INDEX(_xlfn.ANCHORARRAY($P$6),ROW()-5,3),"")</f>
        <v/>
      </c>
      <c r="K226" s="432" t="str" cm="1">
        <f t="array" ref="K226">IF(OR($A226="",$J226&lt;&gt;"DIESEL"),"",_xlfn.LET(_xlpm.qty,N($C226),_xlpm.pos,$T$5:$T$54,_xlpm.alo,IF($U$5:$U$54="",0,$U$5:$U$54),_xlpm.usd,SUMIFS($C$6:$C225,$K$6:$K225,_xlpm.pos&amp;""),_xlpm.bal,_xlpm.alo-_xlpm.usd,IFERROR(INDEX(_xlfn._xlws.FILTER(_xlpm.pos,(_xlpm.pos&lt;&gt;"")*(_xlpm.qty&gt;0)*(_xlpm.bal&gt;=_xlpm.qty)),1),"")))</f>
        <v/>
      </c>
      <c r="L226" s="348"/>
    </row>
    <row r="227" spans="1:12" ht="23" x14ac:dyDescent="0.25">
      <c r="A227" s="217" t="str" cm="1">
        <f t="array" ref="A227">IFERROR(INDEX(_xlfn.ANCHORARRAY($P$6),ROW()-5,1),"")</f>
        <v/>
      </c>
      <c r="B227" s="344" t="str" cm="1">
        <f t="array" ref="B227">IFERROR(INDEX(_xlfn.ANCHORARRAY($P$6),ROW()-5,2),"")</f>
        <v/>
      </c>
      <c r="C227" s="345" t="str">
        <f>IF($A227="","",IF($J227="DIESEL",SUMIFS(Table1[Quantity],Table1[Customer],$M$3,Table1[Date],$A227,Table1[Bill No.],$B227),IF($J227="PETROL",SUMIFS(Table14[Quantity],Table14[Customer],$M$3,Table14[Date],$A227,Table14[Bill No.],$B227),IF($J227="XtraGreen",SUMIFS(Table146[Quantity],Table146[Company],$M$3,Table146[Date],$A227,Table146[Bill No.],$B227),""))))</f>
        <v/>
      </c>
      <c r="D227" s="346" t="str">
        <f>IF($A227="","",IF($J227="DIESEL",AVERAGEIFS(Table1[RSP],Table1[Customer],$M$3,Table1[Date],$A227,Table1[Bill No.],$B227),IF($J227="PETROL",AVERAGEIFS(Table14[RSP],Table14[Customer],$M$3,Table14[Date],$A227,Table14[Bill No.],$B227),IF($J227="XtraGreen",AVERAGEIFS(Table146[RSP],Table146[Company],$M$3,Table146[Date],$A227,Table146[Bill No.],$B227),IFERROR($E227/$C227,"")))))</f>
        <v/>
      </c>
      <c r="E227" s="347" t="str">
        <f>IF($A227="","",IF($J227="DIESEL",SUMIFS(Table1[Amount],Table1[Customer],$M$3,Table1[Date],$A227,Table1[Bill No.],$B227),IF($J227="PETROL",SUMIFS(Table14[Amount],Table14[Customer],$M$3,Table14[Date],$A227,Table14[Bill No.],$B227),IF($J227="XtraGreen",SUMIFS(Table146[Amount],Table146[Company],$M$3,Table146[Date],$A227,Table146[Bill No.],$B227),SUMIFS('Other Sale'!$D:$D,'Other Sale'!$E:$E,$M$3,'Other Sale'!$C:$C,$J227,'Other Sale'!$A:$A,$A227)))))</f>
        <v/>
      </c>
      <c r="F227" s="347" t="str" cm="1">
        <f t="array" ref="F227">IF($A227="","",IF($J227="Payment",IFERROR(INDEX(_xlfn._xlws.FILTER(MasterPaid[Amount Paid],(MasterPaid[Customer]=$M$3)*(MasterPaid[Date]=$A227)),COUNTIFS($A$6:$A227,$A227,$J$6:$J227,"Payment")),0),0))</f>
        <v/>
      </c>
      <c r="G227" s="331"/>
      <c r="H227" s="427"/>
      <c r="I227" s="330" t="str">
        <f t="shared" si="12"/>
        <v/>
      </c>
      <c r="J227" s="344" t="str" cm="1">
        <f t="array" ref="J227">IFERROR(INDEX(_xlfn.ANCHORARRAY($P$6),ROW()-5,3),"")</f>
        <v/>
      </c>
      <c r="K227" s="432" t="str" cm="1">
        <f t="array" ref="K227">IF(OR($A227="",$J227&lt;&gt;"DIESEL"),"",_xlfn.LET(_xlpm.qty,N($C227),_xlpm.pos,$T$5:$T$54,_xlpm.alo,IF($U$5:$U$54="",0,$U$5:$U$54),_xlpm.usd,SUMIFS($C$6:$C226,$K$6:$K226,_xlpm.pos&amp;""),_xlpm.bal,_xlpm.alo-_xlpm.usd,IFERROR(INDEX(_xlfn._xlws.FILTER(_xlpm.pos,(_xlpm.pos&lt;&gt;"")*(_xlpm.qty&gt;0)*(_xlpm.bal&gt;=_xlpm.qty)),1),"")))</f>
        <v/>
      </c>
      <c r="L227" s="348"/>
    </row>
    <row r="228" spans="1:12" ht="23" x14ac:dyDescent="0.25">
      <c r="A228" s="217" t="str" cm="1">
        <f t="array" ref="A228">IFERROR(INDEX(_xlfn.ANCHORARRAY($P$6),ROW()-5,1),"")</f>
        <v/>
      </c>
      <c r="B228" s="344" t="str" cm="1">
        <f t="array" ref="B228">IFERROR(INDEX(_xlfn.ANCHORARRAY($P$6),ROW()-5,2),"")</f>
        <v/>
      </c>
      <c r="C228" s="345" t="str">
        <f>IF($A228="","",IF($J228="DIESEL",SUMIFS(Table1[Quantity],Table1[Customer],$M$3,Table1[Date],$A228,Table1[Bill No.],$B228),IF($J228="PETROL",SUMIFS(Table14[Quantity],Table14[Customer],$M$3,Table14[Date],$A228,Table14[Bill No.],$B228),IF($J228="XtraGreen",SUMIFS(Table146[Quantity],Table146[Company],$M$3,Table146[Date],$A228,Table146[Bill No.],$B228),""))))</f>
        <v/>
      </c>
      <c r="D228" s="346" t="str">
        <f>IF($A228="","",IF($J228="DIESEL",AVERAGEIFS(Table1[RSP],Table1[Customer],$M$3,Table1[Date],$A228,Table1[Bill No.],$B228),IF($J228="PETROL",AVERAGEIFS(Table14[RSP],Table14[Customer],$M$3,Table14[Date],$A228,Table14[Bill No.],$B228),IF($J228="XtraGreen",AVERAGEIFS(Table146[RSP],Table146[Company],$M$3,Table146[Date],$A228,Table146[Bill No.],$B228),IFERROR($E228/$C228,"")))))</f>
        <v/>
      </c>
      <c r="E228" s="347" t="str">
        <f>IF($A228="","",IF($J228="DIESEL",SUMIFS(Table1[Amount],Table1[Customer],$M$3,Table1[Date],$A228,Table1[Bill No.],$B228),IF($J228="PETROL",SUMIFS(Table14[Amount],Table14[Customer],$M$3,Table14[Date],$A228,Table14[Bill No.],$B228),IF($J228="XtraGreen",SUMIFS(Table146[Amount],Table146[Company],$M$3,Table146[Date],$A228,Table146[Bill No.],$B228),SUMIFS('Other Sale'!$D:$D,'Other Sale'!$E:$E,$M$3,'Other Sale'!$C:$C,$J228,'Other Sale'!$A:$A,$A228)))))</f>
        <v/>
      </c>
      <c r="F228" s="347" t="str" cm="1">
        <f t="array" ref="F228">IF($A228="","",IF($J228="Payment",IFERROR(INDEX(_xlfn._xlws.FILTER(MasterPaid[Amount Paid],(MasterPaid[Customer]=$M$3)*(MasterPaid[Date]=$A228)),COUNTIFS($A$6:$A228,$A228,$J$6:$J228,"Payment")),0),0))</f>
        <v/>
      </c>
      <c r="G228" s="331"/>
      <c r="H228" s="427"/>
      <c r="I228" s="330" t="str">
        <f t="shared" si="12"/>
        <v/>
      </c>
      <c r="J228" s="344" t="str" cm="1">
        <f t="array" ref="J228">IFERROR(INDEX(_xlfn.ANCHORARRAY($P$6),ROW()-5,3),"")</f>
        <v/>
      </c>
      <c r="K228" s="432" t="str" cm="1">
        <f t="array" ref="K228">IF(OR($A228="",$J228&lt;&gt;"DIESEL"),"",_xlfn.LET(_xlpm.qty,N($C228),_xlpm.pos,$T$5:$T$54,_xlpm.alo,IF($U$5:$U$54="",0,$U$5:$U$54),_xlpm.usd,SUMIFS($C$6:$C227,$K$6:$K227,_xlpm.pos&amp;""),_xlpm.bal,_xlpm.alo-_xlpm.usd,IFERROR(INDEX(_xlfn._xlws.FILTER(_xlpm.pos,(_xlpm.pos&lt;&gt;"")*(_xlpm.qty&gt;0)*(_xlpm.bal&gt;=_xlpm.qty)),1),"")))</f>
        <v/>
      </c>
      <c r="L228" s="348"/>
    </row>
    <row r="229" spans="1:12" ht="23" x14ac:dyDescent="0.25">
      <c r="A229" s="217" t="str" cm="1">
        <f t="array" ref="A229">IFERROR(INDEX(_xlfn.ANCHORARRAY($P$6),ROW()-5,1),"")</f>
        <v/>
      </c>
      <c r="B229" s="344" t="str" cm="1">
        <f t="array" ref="B229">IFERROR(INDEX(_xlfn.ANCHORARRAY($P$6),ROW()-5,2),"")</f>
        <v/>
      </c>
      <c r="C229" s="345" t="str">
        <f>IF($A229="","",IF($J229="DIESEL",SUMIFS(Table1[Quantity],Table1[Customer],$M$3,Table1[Date],$A229,Table1[Bill No.],$B229),IF($J229="PETROL",SUMIFS(Table14[Quantity],Table14[Customer],$M$3,Table14[Date],$A229,Table14[Bill No.],$B229),IF($J229="XtraGreen",SUMIFS(Table146[Quantity],Table146[Company],$M$3,Table146[Date],$A229,Table146[Bill No.],$B229),""))))</f>
        <v/>
      </c>
      <c r="D229" s="346" t="str">
        <f>IF($A229="","",IF($J229="DIESEL",AVERAGEIFS(Table1[RSP],Table1[Customer],$M$3,Table1[Date],$A229,Table1[Bill No.],$B229),IF($J229="PETROL",AVERAGEIFS(Table14[RSP],Table14[Customer],$M$3,Table14[Date],$A229,Table14[Bill No.],$B229),IF($J229="XtraGreen",AVERAGEIFS(Table146[RSP],Table146[Company],$M$3,Table146[Date],$A229,Table146[Bill No.],$B229),IFERROR($E229/$C229,"")))))</f>
        <v/>
      </c>
      <c r="E229" s="347" t="str">
        <f>IF($A229="","",IF($J229="DIESEL",SUMIFS(Table1[Amount],Table1[Customer],$M$3,Table1[Date],$A229,Table1[Bill No.],$B229),IF($J229="PETROL",SUMIFS(Table14[Amount],Table14[Customer],$M$3,Table14[Date],$A229,Table14[Bill No.],$B229),IF($J229="XtraGreen",SUMIFS(Table146[Amount],Table146[Company],$M$3,Table146[Date],$A229,Table146[Bill No.],$B229),SUMIFS('Other Sale'!$D:$D,'Other Sale'!$E:$E,$M$3,'Other Sale'!$C:$C,$J229,'Other Sale'!$A:$A,$A229)))))</f>
        <v/>
      </c>
      <c r="F229" s="347" t="str" cm="1">
        <f t="array" ref="F229">IF($A229="","",IF($J229="Payment",IFERROR(INDEX(_xlfn._xlws.FILTER(MasterPaid[Amount Paid],(MasterPaid[Customer]=$M$3)*(MasterPaid[Date]=$A229)),COUNTIFS($A$6:$A229,$A229,$J$6:$J229,"Payment")),0),0))</f>
        <v/>
      </c>
      <c r="G229" s="331"/>
      <c r="H229" s="427"/>
      <c r="I229" s="330" t="str">
        <f t="shared" si="12"/>
        <v/>
      </c>
      <c r="J229" s="344" t="str" cm="1">
        <f t="array" ref="J229">IFERROR(INDEX(_xlfn.ANCHORARRAY($P$6),ROW()-5,3),"")</f>
        <v/>
      </c>
      <c r="K229" s="432" t="str" cm="1">
        <f t="array" ref="K229">IF(OR($A229="",$J229&lt;&gt;"DIESEL"),"",_xlfn.LET(_xlpm.qty,N($C229),_xlpm.pos,$T$5:$T$54,_xlpm.alo,IF($U$5:$U$54="",0,$U$5:$U$54),_xlpm.usd,SUMIFS($C$6:$C228,$K$6:$K228,_xlpm.pos&amp;""),_xlpm.bal,_xlpm.alo-_xlpm.usd,IFERROR(INDEX(_xlfn._xlws.FILTER(_xlpm.pos,(_xlpm.pos&lt;&gt;"")*(_xlpm.qty&gt;0)*(_xlpm.bal&gt;=_xlpm.qty)),1),"")))</f>
        <v/>
      </c>
      <c r="L229" s="348"/>
    </row>
    <row r="230" spans="1:12" ht="23" x14ac:dyDescent="0.25">
      <c r="A230" s="217" t="str" cm="1">
        <f t="array" ref="A230">IFERROR(INDEX(_xlfn.ANCHORARRAY($P$6),ROW()-5,1),"")</f>
        <v/>
      </c>
      <c r="B230" s="344" t="str" cm="1">
        <f t="array" ref="B230">IFERROR(INDEX(_xlfn.ANCHORARRAY($P$6),ROW()-5,2),"")</f>
        <v/>
      </c>
      <c r="C230" s="345" t="str">
        <f>IF($A230="","",IF($J230="DIESEL",SUMIFS(Table1[Quantity],Table1[Customer],$M$3,Table1[Date],$A230,Table1[Bill No.],$B230),IF($J230="PETROL",SUMIFS(Table14[Quantity],Table14[Customer],$M$3,Table14[Date],$A230,Table14[Bill No.],$B230),IF($J230="XtraGreen",SUMIFS(Table146[Quantity],Table146[Company],$M$3,Table146[Date],$A230,Table146[Bill No.],$B230),""))))</f>
        <v/>
      </c>
      <c r="D230" s="346" t="str">
        <f>IF($A230="","",IF($J230="DIESEL",AVERAGEIFS(Table1[RSP],Table1[Customer],$M$3,Table1[Date],$A230,Table1[Bill No.],$B230),IF($J230="PETROL",AVERAGEIFS(Table14[RSP],Table14[Customer],$M$3,Table14[Date],$A230,Table14[Bill No.],$B230),IF($J230="XtraGreen",AVERAGEIFS(Table146[RSP],Table146[Company],$M$3,Table146[Date],$A230,Table146[Bill No.],$B230),IFERROR($E230/$C230,"")))))</f>
        <v/>
      </c>
      <c r="E230" s="347" t="str">
        <f>IF($A230="","",IF($J230="DIESEL",SUMIFS(Table1[Amount],Table1[Customer],$M$3,Table1[Date],$A230,Table1[Bill No.],$B230),IF($J230="PETROL",SUMIFS(Table14[Amount],Table14[Customer],$M$3,Table14[Date],$A230,Table14[Bill No.],$B230),IF($J230="XtraGreen",SUMIFS(Table146[Amount],Table146[Company],$M$3,Table146[Date],$A230,Table146[Bill No.],$B230),SUMIFS('Other Sale'!$D:$D,'Other Sale'!$E:$E,$M$3,'Other Sale'!$C:$C,$J230,'Other Sale'!$A:$A,$A230)))))</f>
        <v/>
      </c>
      <c r="F230" s="347" t="str" cm="1">
        <f t="array" ref="F230">IF($A230="","",IF($J230="Payment",IFERROR(INDEX(_xlfn._xlws.FILTER(MasterPaid[Amount Paid],(MasterPaid[Customer]=$M$3)*(MasterPaid[Date]=$A230)),COUNTIFS($A$6:$A230,$A230,$J$6:$J230,"Payment")),0),0))</f>
        <v/>
      </c>
      <c r="G230" s="331"/>
      <c r="H230" s="427"/>
      <c r="I230" s="330" t="str">
        <f t="shared" si="12"/>
        <v/>
      </c>
      <c r="J230" s="344" t="str" cm="1">
        <f t="array" ref="J230">IFERROR(INDEX(_xlfn.ANCHORARRAY($P$6),ROW()-5,3),"")</f>
        <v/>
      </c>
      <c r="K230" s="432" t="str" cm="1">
        <f t="array" ref="K230">IF(OR($A230="",$J230&lt;&gt;"DIESEL"),"",_xlfn.LET(_xlpm.qty,N($C230),_xlpm.pos,$T$5:$T$54,_xlpm.alo,IF($U$5:$U$54="",0,$U$5:$U$54),_xlpm.usd,SUMIFS($C$6:$C229,$K$6:$K229,_xlpm.pos&amp;""),_xlpm.bal,_xlpm.alo-_xlpm.usd,IFERROR(INDEX(_xlfn._xlws.FILTER(_xlpm.pos,(_xlpm.pos&lt;&gt;"")*(_xlpm.qty&gt;0)*(_xlpm.bal&gt;=_xlpm.qty)),1),"")))</f>
        <v/>
      </c>
      <c r="L230" s="348"/>
    </row>
    <row r="231" spans="1:12" ht="23" x14ac:dyDescent="0.25">
      <c r="A231" s="217" t="str" cm="1">
        <f t="array" ref="A231">IFERROR(INDEX(_xlfn.ANCHORARRAY($P$6),ROW()-5,1),"")</f>
        <v/>
      </c>
      <c r="B231" s="344" t="str" cm="1">
        <f t="array" ref="B231">IFERROR(INDEX(_xlfn.ANCHORARRAY($P$6),ROW()-5,2),"")</f>
        <v/>
      </c>
      <c r="C231" s="345" t="str">
        <f>IF($A231="","",IF($J231="DIESEL",SUMIFS(Table1[Quantity],Table1[Customer],$M$3,Table1[Date],$A231,Table1[Bill No.],$B231),IF($J231="PETROL",SUMIFS(Table14[Quantity],Table14[Customer],$M$3,Table14[Date],$A231,Table14[Bill No.],$B231),IF($J231="XtraGreen",SUMIFS(Table146[Quantity],Table146[Company],$M$3,Table146[Date],$A231,Table146[Bill No.],$B231),""))))</f>
        <v/>
      </c>
      <c r="D231" s="346" t="str">
        <f>IF($A231="","",IF($J231="DIESEL",AVERAGEIFS(Table1[RSP],Table1[Customer],$M$3,Table1[Date],$A231,Table1[Bill No.],$B231),IF($J231="PETROL",AVERAGEIFS(Table14[RSP],Table14[Customer],$M$3,Table14[Date],$A231,Table14[Bill No.],$B231),IF($J231="XtraGreen",AVERAGEIFS(Table146[RSP],Table146[Company],$M$3,Table146[Date],$A231,Table146[Bill No.],$B231),IFERROR($E231/$C231,"")))))</f>
        <v/>
      </c>
      <c r="E231" s="347" t="str">
        <f>IF($A231="","",IF($J231="DIESEL",SUMIFS(Table1[Amount],Table1[Customer],$M$3,Table1[Date],$A231,Table1[Bill No.],$B231),IF($J231="PETROL",SUMIFS(Table14[Amount],Table14[Customer],$M$3,Table14[Date],$A231,Table14[Bill No.],$B231),IF($J231="XtraGreen",SUMIFS(Table146[Amount],Table146[Company],$M$3,Table146[Date],$A231,Table146[Bill No.],$B231),SUMIFS('Other Sale'!$D:$D,'Other Sale'!$E:$E,$M$3,'Other Sale'!$C:$C,$J231,'Other Sale'!$A:$A,$A231)))))</f>
        <v/>
      </c>
      <c r="F231" s="347" t="str" cm="1">
        <f t="array" ref="F231">IF($A231="","",IF($J231="Payment",IFERROR(INDEX(_xlfn._xlws.FILTER(MasterPaid[Amount Paid],(MasterPaid[Customer]=$M$3)*(MasterPaid[Date]=$A231)),COUNTIFS($A$6:$A231,$A231,$J$6:$J231,"Payment")),0),0))</f>
        <v/>
      </c>
      <c r="G231" s="331"/>
      <c r="H231" s="427"/>
      <c r="I231" s="330" t="str">
        <f t="shared" si="12"/>
        <v/>
      </c>
      <c r="J231" s="344" t="str" cm="1">
        <f t="array" ref="J231">IFERROR(INDEX(_xlfn.ANCHORARRAY($P$6),ROW()-5,3),"")</f>
        <v/>
      </c>
      <c r="K231" s="432" t="str" cm="1">
        <f t="array" ref="K231">IF(OR($A231="",$J231&lt;&gt;"DIESEL"),"",_xlfn.LET(_xlpm.qty,N($C231),_xlpm.pos,$T$5:$T$54,_xlpm.alo,IF($U$5:$U$54="",0,$U$5:$U$54),_xlpm.usd,SUMIFS($C$6:$C230,$K$6:$K230,_xlpm.pos&amp;""),_xlpm.bal,_xlpm.alo-_xlpm.usd,IFERROR(INDEX(_xlfn._xlws.FILTER(_xlpm.pos,(_xlpm.pos&lt;&gt;"")*(_xlpm.qty&gt;0)*(_xlpm.bal&gt;=_xlpm.qty)),1),"")))</f>
        <v/>
      </c>
      <c r="L231" s="348"/>
    </row>
    <row r="232" spans="1:12" ht="23" x14ac:dyDescent="0.25">
      <c r="A232" s="217" t="str" cm="1">
        <f t="array" ref="A232">IFERROR(INDEX(_xlfn.ANCHORARRAY($P$6),ROW()-5,1),"")</f>
        <v/>
      </c>
      <c r="B232" s="344" t="str" cm="1">
        <f t="array" ref="B232">IFERROR(INDEX(_xlfn.ANCHORARRAY($P$6),ROW()-5,2),"")</f>
        <v/>
      </c>
      <c r="C232" s="345" t="str">
        <f>IF($A232="","",IF($J232="DIESEL",SUMIFS(Table1[Quantity],Table1[Customer],$M$3,Table1[Date],$A232,Table1[Bill No.],$B232),IF($J232="PETROL",SUMIFS(Table14[Quantity],Table14[Customer],$M$3,Table14[Date],$A232,Table14[Bill No.],$B232),IF($J232="XtraGreen",SUMIFS(Table146[Quantity],Table146[Company],$M$3,Table146[Date],$A232,Table146[Bill No.],$B232),""))))</f>
        <v/>
      </c>
      <c r="D232" s="346" t="str">
        <f>IF($A232="","",IF($J232="DIESEL",AVERAGEIFS(Table1[RSP],Table1[Customer],$M$3,Table1[Date],$A232,Table1[Bill No.],$B232),IF($J232="PETROL",AVERAGEIFS(Table14[RSP],Table14[Customer],$M$3,Table14[Date],$A232,Table14[Bill No.],$B232),IF($J232="XtraGreen",AVERAGEIFS(Table146[RSP],Table146[Company],$M$3,Table146[Date],$A232,Table146[Bill No.],$B232),IFERROR($E232/$C232,"")))))</f>
        <v/>
      </c>
      <c r="E232" s="347" t="str">
        <f>IF($A232="","",IF($J232="DIESEL",SUMIFS(Table1[Amount],Table1[Customer],$M$3,Table1[Date],$A232,Table1[Bill No.],$B232),IF($J232="PETROL",SUMIFS(Table14[Amount],Table14[Customer],$M$3,Table14[Date],$A232,Table14[Bill No.],$B232),IF($J232="XtraGreen",SUMIFS(Table146[Amount],Table146[Company],$M$3,Table146[Date],$A232,Table146[Bill No.],$B232),SUMIFS('Other Sale'!$D:$D,'Other Sale'!$E:$E,$M$3,'Other Sale'!$C:$C,$J232,'Other Sale'!$A:$A,$A232)))))</f>
        <v/>
      </c>
      <c r="F232" s="347" t="str" cm="1">
        <f t="array" ref="F232">IF($A232="","",IF($J232="Payment",IFERROR(INDEX(_xlfn._xlws.FILTER(MasterPaid[Amount Paid],(MasterPaid[Customer]=$M$3)*(MasterPaid[Date]=$A232)),COUNTIFS($A$6:$A232,$A232,$J$6:$J232,"Payment")),0),0))</f>
        <v/>
      </c>
      <c r="G232" s="331"/>
      <c r="H232" s="427"/>
      <c r="I232" s="330" t="str">
        <f t="shared" si="12"/>
        <v/>
      </c>
      <c r="J232" s="344" t="str" cm="1">
        <f t="array" ref="J232">IFERROR(INDEX(_xlfn.ANCHORARRAY($P$6),ROW()-5,3),"")</f>
        <v/>
      </c>
      <c r="K232" s="432" t="str" cm="1">
        <f t="array" ref="K232">IF(OR($A232="",$J232&lt;&gt;"DIESEL"),"",_xlfn.LET(_xlpm.qty,N($C232),_xlpm.pos,$T$5:$T$54,_xlpm.alo,IF($U$5:$U$54="",0,$U$5:$U$54),_xlpm.usd,SUMIFS($C$6:$C231,$K$6:$K231,_xlpm.pos&amp;""),_xlpm.bal,_xlpm.alo-_xlpm.usd,IFERROR(INDEX(_xlfn._xlws.FILTER(_xlpm.pos,(_xlpm.pos&lt;&gt;"")*(_xlpm.qty&gt;0)*(_xlpm.bal&gt;=_xlpm.qty)),1),"")))</f>
        <v/>
      </c>
      <c r="L232" s="348"/>
    </row>
    <row r="233" spans="1:12" ht="23" x14ac:dyDescent="0.25">
      <c r="A233" s="217" t="str" cm="1">
        <f t="array" ref="A233">IFERROR(INDEX(_xlfn.ANCHORARRAY($P$6),ROW()-5,1),"")</f>
        <v/>
      </c>
      <c r="B233" s="344" t="str" cm="1">
        <f t="array" ref="B233">IFERROR(INDEX(_xlfn.ANCHORARRAY($P$6),ROW()-5,2),"")</f>
        <v/>
      </c>
      <c r="C233" s="345" t="str">
        <f>IF($A233="","",IF($J233="DIESEL",SUMIFS(Table1[Quantity],Table1[Customer],$M$3,Table1[Date],$A233,Table1[Bill No.],$B233),IF($J233="PETROL",SUMIFS(Table14[Quantity],Table14[Customer],$M$3,Table14[Date],$A233,Table14[Bill No.],$B233),IF($J233="XtraGreen",SUMIFS(Table146[Quantity],Table146[Company],$M$3,Table146[Date],$A233,Table146[Bill No.],$B233),""))))</f>
        <v/>
      </c>
      <c r="D233" s="346" t="str">
        <f>IF($A233="","",IF($J233="DIESEL",AVERAGEIFS(Table1[RSP],Table1[Customer],$M$3,Table1[Date],$A233,Table1[Bill No.],$B233),IF($J233="PETROL",AVERAGEIFS(Table14[RSP],Table14[Customer],$M$3,Table14[Date],$A233,Table14[Bill No.],$B233),IF($J233="XtraGreen",AVERAGEIFS(Table146[RSP],Table146[Company],$M$3,Table146[Date],$A233,Table146[Bill No.],$B233),IFERROR($E233/$C233,"")))))</f>
        <v/>
      </c>
      <c r="E233" s="347" t="str">
        <f>IF($A233="","",IF($J233="DIESEL",SUMIFS(Table1[Amount],Table1[Customer],$M$3,Table1[Date],$A233,Table1[Bill No.],$B233),IF($J233="PETROL",SUMIFS(Table14[Amount],Table14[Customer],$M$3,Table14[Date],$A233,Table14[Bill No.],$B233),IF($J233="XtraGreen",SUMIFS(Table146[Amount],Table146[Company],$M$3,Table146[Date],$A233,Table146[Bill No.],$B233),SUMIFS('Other Sale'!$D:$D,'Other Sale'!$E:$E,$M$3,'Other Sale'!$C:$C,$J233,'Other Sale'!$A:$A,$A233)))))</f>
        <v/>
      </c>
      <c r="F233" s="347" t="str" cm="1">
        <f t="array" ref="F233">IF($A233="","",IF($J233="Payment",IFERROR(INDEX(_xlfn._xlws.FILTER(MasterPaid[Amount Paid],(MasterPaid[Customer]=$M$3)*(MasterPaid[Date]=$A233)),COUNTIFS($A$6:$A233,$A233,$J$6:$J233,"Payment")),0),0))</f>
        <v/>
      </c>
      <c r="G233" s="331"/>
      <c r="H233" s="427"/>
      <c r="I233" s="330" t="str">
        <f t="shared" si="12"/>
        <v/>
      </c>
      <c r="J233" s="344" t="str" cm="1">
        <f t="array" ref="J233">IFERROR(INDEX(_xlfn.ANCHORARRAY($P$6),ROW()-5,3),"")</f>
        <v/>
      </c>
      <c r="K233" s="432" t="str" cm="1">
        <f t="array" ref="K233">IF(OR($A233="",$J233&lt;&gt;"DIESEL"),"",_xlfn.LET(_xlpm.qty,N($C233),_xlpm.pos,$T$5:$T$54,_xlpm.alo,IF($U$5:$U$54="",0,$U$5:$U$54),_xlpm.usd,SUMIFS($C$6:$C232,$K$6:$K232,_xlpm.pos&amp;""),_xlpm.bal,_xlpm.alo-_xlpm.usd,IFERROR(INDEX(_xlfn._xlws.FILTER(_xlpm.pos,(_xlpm.pos&lt;&gt;"")*(_xlpm.qty&gt;0)*(_xlpm.bal&gt;=_xlpm.qty)),1),"")))</f>
        <v/>
      </c>
      <c r="L233" s="348"/>
    </row>
    <row r="234" spans="1:12" ht="23" x14ac:dyDescent="0.25">
      <c r="A234" s="217" t="str" cm="1">
        <f t="array" ref="A234">IFERROR(INDEX(_xlfn.ANCHORARRAY($P$6),ROW()-5,1),"")</f>
        <v/>
      </c>
      <c r="B234" s="344" t="str" cm="1">
        <f t="array" ref="B234">IFERROR(INDEX(_xlfn.ANCHORARRAY($P$6),ROW()-5,2),"")</f>
        <v/>
      </c>
      <c r="C234" s="345" t="str">
        <f>IF($A234="","",IF($J234="DIESEL",SUMIFS(Table1[Quantity],Table1[Customer],$M$3,Table1[Date],$A234,Table1[Bill No.],$B234),IF($J234="PETROL",SUMIFS(Table14[Quantity],Table14[Customer],$M$3,Table14[Date],$A234,Table14[Bill No.],$B234),IF($J234="XtraGreen",SUMIFS(Table146[Quantity],Table146[Company],$M$3,Table146[Date],$A234,Table146[Bill No.],$B234),""))))</f>
        <v/>
      </c>
      <c r="D234" s="346" t="str">
        <f>IF($A234="","",IF($J234="DIESEL",AVERAGEIFS(Table1[RSP],Table1[Customer],$M$3,Table1[Date],$A234,Table1[Bill No.],$B234),IF($J234="PETROL",AVERAGEIFS(Table14[RSP],Table14[Customer],$M$3,Table14[Date],$A234,Table14[Bill No.],$B234),IF($J234="XtraGreen",AVERAGEIFS(Table146[RSP],Table146[Company],$M$3,Table146[Date],$A234,Table146[Bill No.],$B234),IFERROR($E234/$C234,"")))))</f>
        <v/>
      </c>
      <c r="E234" s="347" t="str">
        <f>IF($A234="","",IF($J234="DIESEL",SUMIFS(Table1[Amount],Table1[Customer],$M$3,Table1[Date],$A234,Table1[Bill No.],$B234),IF($J234="PETROL",SUMIFS(Table14[Amount],Table14[Customer],$M$3,Table14[Date],$A234,Table14[Bill No.],$B234),IF($J234="XtraGreen",SUMIFS(Table146[Amount],Table146[Company],$M$3,Table146[Date],$A234,Table146[Bill No.],$B234),SUMIFS('Other Sale'!$D:$D,'Other Sale'!$E:$E,$M$3,'Other Sale'!$C:$C,$J234,'Other Sale'!$A:$A,$A234)))))</f>
        <v/>
      </c>
      <c r="F234" s="347" t="str" cm="1">
        <f t="array" ref="F234">IF($A234="","",IF($J234="Payment",IFERROR(INDEX(_xlfn._xlws.FILTER(MasterPaid[Amount Paid],(MasterPaid[Customer]=$M$3)*(MasterPaid[Date]=$A234)),COUNTIFS($A$6:$A234,$A234,$J$6:$J234,"Payment")),0),0))</f>
        <v/>
      </c>
      <c r="G234" s="331"/>
      <c r="H234" s="427"/>
      <c r="I234" s="330" t="str">
        <f t="shared" si="12"/>
        <v/>
      </c>
      <c r="J234" s="344" t="str" cm="1">
        <f t="array" ref="J234">IFERROR(INDEX(_xlfn.ANCHORARRAY($P$6),ROW()-5,3),"")</f>
        <v/>
      </c>
      <c r="K234" s="432" t="str" cm="1">
        <f t="array" ref="K234">IF(OR($A234="",$J234&lt;&gt;"DIESEL"),"",_xlfn.LET(_xlpm.qty,N($C234),_xlpm.pos,$T$5:$T$54,_xlpm.alo,IF($U$5:$U$54="",0,$U$5:$U$54),_xlpm.usd,SUMIFS($C$6:$C233,$K$6:$K233,_xlpm.pos&amp;""),_xlpm.bal,_xlpm.alo-_xlpm.usd,IFERROR(INDEX(_xlfn._xlws.FILTER(_xlpm.pos,(_xlpm.pos&lt;&gt;"")*(_xlpm.qty&gt;0)*(_xlpm.bal&gt;=_xlpm.qty)),1),"")))</f>
        <v/>
      </c>
      <c r="L234" s="348"/>
    </row>
    <row r="235" spans="1:12" ht="23" x14ac:dyDescent="0.25">
      <c r="A235" s="217" t="str" cm="1">
        <f t="array" ref="A235">IFERROR(INDEX(_xlfn.ANCHORARRAY($P$6),ROW()-5,1),"")</f>
        <v/>
      </c>
      <c r="B235" s="344" t="str" cm="1">
        <f t="array" ref="B235">IFERROR(INDEX(_xlfn.ANCHORARRAY($P$6),ROW()-5,2),"")</f>
        <v/>
      </c>
      <c r="C235" s="345" t="str">
        <f>IF($A235="","",IF($J235="DIESEL",SUMIFS(Table1[Quantity],Table1[Customer],$M$3,Table1[Date],$A235,Table1[Bill No.],$B235),IF($J235="PETROL",SUMIFS(Table14[Quantity],Table14[Customer],$M$3,Table14[Date],$A235,Table14[Bill No.],$B235),IF($J235="XtraGreen",SUMIFS(Table146[Quantity],Table146[Company],$M$3,Table146[Date],$A235,Table146[Bill No.],$B235),""))))</f>
        <v/>
      </c>
      <c r="D235" s="346" t="str">
        <f>IF($A235="","",IF($J235="DIESEL",AVERAGEIFS(Table1[RSP],Table1[Customer],$M$3,Table1[Date],$A235,Table1[Bill No.],$B235),IF($J235="PETROL",AVERAGEIFS(Table14[RSP],Table14[Customer],$M$3,Table14[Date],$A235,Table14[Bill No.],$B235),IF($J235="XtraGreen",AVERAGEIFS(Table146[RSP],Table146[Company],$M$3,Table146[Date],$A235,Table146[Bill No.],$B235),IFERROR($E235/$C235,"")))))</f>
        <v/>
      </c>
      <c r="E235" s="347" t="str">
        <f>IF($A235="","",IF($J235="DIESEL",SUMIFS(Table1[Amount],Table1[Customer],$M$3,Table1[Date],$A235,Table1[Bill No.],$B235),IF($J235="PETROL",SUMIFS(Table14[Amount],Table14[Customer],$M$3,Table14[Date],$A235,Table14[Bill No.],$B235),IF($J235="XtraGreen",SUMIFS(Table146[Amount],Table146[Company],$M$3,Table146[Date],$A235,Table146[Bill No.],$B235),SUMIFS('Other Sale'!$D:$D,'Other Sale'!$E:$E,$M$3,'Other Sale'!$C:$C,$J235,'Other Sale'!$A:$A,$A235)))))</f>
        <v/>
      </c>
      <c r="F235" s="347" t="str" cm="1">
        <f t="array" ref="F235">IF($A235="","",IF($J235="Payment",IFERROR(INDEX(_xlfn._xlws.FILTER(MasterPaid[Amount Paid],(MasterPaid[Customer]=$M$3)*(MasterPaid[Date]=$A235)),COUNTIFS($A$6:$A235,$A235,$J$6:$J235,"Payment")),0),0))</f>
        <v/>
      </c>
      <c r="G235" s="331"/>
      <c r="H235" s="427"/>
      <c r="I235" s="330" t="str">
        <f t="shared" si="12"/>
        <v/>
      </c>
      <c r="J235" s="344" t="str" cm="1">
        <f t="array" ref="J235">IFERROR(INDEX(_xlfn.ANCHORARRAY($P$6),ROW()-5,3),"")</f>
        <v/>
      </c>
      <c r="K235" s="432" t="str" cm="1">
        <f t="array" ref="K235">IF(OR($A235="",$J235&lt;&gt;"DIESEL"),"",_xlfn.LET(_xlpm.qty,N($C235),_xlpm.pos,$T$5:$T$54,_xlpm.alo,IF($U$5:$U$54="",0,$U$5:$U$54),_xlpm.usd,SUMIFS($C$6:$C234,$K$6:$K234,_xlpm.pos&amp;""),_xlpm.bal,_xlpm.alo-_xlpm.usd,IFERROR(INDEX(_xlfn._xlws.FILTER(_xlpm.pos,(_xlpm.pos&lt;&gt;"")*(_xlpm.qty&gt;0)*(_xlpm.bal&gt;=_xlpm.qty)),1),"")))</f>
        <v/>
      </c>
      <c r="L235" s="348"/>
    </row>
    <row r="236" spans="1:12" ht="23" x14ac:dyDescent="0.25">
      <c r="A236" s="217" t="str" cm="1">
        <f t="array" ref="A236">IFERROR(INDEX(_xlfn.ANCHORARRAY($P$6),ROW()-5,1),"")</f>
        <v/>
      </c>
      <c r="B236" s="344" t="str" cm="1">
        <f t="array" ref="B236">IFERROR(INDEX(_xlfn.ANCHORARRAY($P$6),ROW()-5,2),"")</f>
        <v/>
      </c>
      <c r="C236" s="345" t="str">
        <f>IF($A236="","",IF($J236="DIESEL",SUMIFS(Table1[Quantity],Table1[Customer],$M$3,Table1[Date],$A236,Table1[Bill No.],$B236),IF($J236="PETROL",SUMIFS(Table14[Quantity],Table14[Customer],$M$3,Table14[Date],$A236,Table14[Bill No.],$B236),IF($J236="XtraGreen",SUMIFS(Table146[Quantity],Table146[Company],$M$3,Table146[Date],$A236,Table146[Bill No.],$B236),""))))</f>
        <v/>
      </c>
      <c r="D236" s="346" t="str">
        <f>IF($A236="","",IF($J236="DIESEL",AVERAGEIFS(Table1[RSP],Table1[Customer],$M$3,Table1[Date],$A236,Table1[Bill No.],$B236),IF($J236="PETROL",AVERAGEIFS(Table14[RSP],Table14[Customer],$M$3,Table14[Date],$A236,Table14[Bill No.],$B236),IF($J236="XtraGreen",AVERAGEIFS(Table146[RSP],Table146[Company],$M$3,Table146[Date],$A236,Table146[Bill No.],$B236),IFERROR($E236/$C236,"")))))</f>
        <v/>
      </c>
      <c r="E236" s="347" t="str">
        <f>IF($A236="","",IF($J236="DIESEL",SUMIFS(Table1[Amount],Table1[Customer],$M$3,Table1[Date],$A236,Table1[Bill No.],$B236),IF($J236="PETROL",SUMIFS(Table14[Amount],Table14[Customer],$M$3,Table14[Date],$A236,Table14[Bill No.],$B236),IF($J236="XtraGreen",SUMIFS(Table146[Amount],Table146[Company],$M$3,Table146[Date],$A236,Table146[Bill No.],$B236),SUMIFS('Other Sale'!$D:$D,'Other Sale'!$E:$E,$M$3,'Other Sale'!$C:$C,$J236,'Other Sale'!$A:$A,$A236)))))</f>
        <v/>
      </c>
      <c r="F236" s="347" t="str" cm="1">
        <f t="array" ref="F236">IF($A236="","",IF($J236="Payment",IFERROR(INDEX(_xlfn._xlws.FILTER(MasterPaid[Amount Paid],(MasterPaid[Customer]=$M$3)*(MasterPaid[Date]=$A236)),COUNTIFS($A$6:$A236,$A236,$J$6:$J236,"Payment")),0),0))</f>
        <v/>
      </c>
      <c r="G236" s="331"/>
      <c r="H236" s="427"/>
      <c r="I236" s="330" t="str">
        <f t="shared" si="12"/>
        <v/>
      </c>
      <c r="J236" s="344" t="str" cm="1">
        <f t="array" ref="J236">IFERROR(INDEX(_xlfn.ANCHORARRAY($P$6),ROW()-5,3),"")</f>
        <v/>
      </c>
      <c r="K236" s="432" t="str" cm="1">
        <f t="array" ref="K236">IF(OR($A236="",$J236&lt;&gt;"DIESEL"),"",_xlfn.LET(_xlpm.qty,N($C236),_xlpm.pos,$T$5:$T$54,_xlpm.alo,IF($U$5:$U$54="",0,$U$5:$U$54),_xlpm.usd,SUMIFS($C$6:$C235,$K$6:$K235,_xlpm.pos&amp;""),_xlpm.bal,_xlpm.alo-_xlpm.usd,IFERROR(INDEX(_xlfn._xlws.FILTER(_xlpm.pos,(_xlpm.pos&lt;&gt;"")*(_xlpm.qty&gt;0)*(_xlpm.bal&gt;=_xlpm.qty)),1),"")))</f>
        <v/>
      </c>
      <c r="L236" s="348"/>
    </row>
    <row r="237" spans="1:12" ht="23" x14ac:dyDescent="0.25">
      <c r="A237" s="217" t="str" cm="1">
        <f t="array" ref="A237">IFERROR(INDEX(_xlfn.ANCHORARRAY($P$6),ROW()-5,1),"")</f>
        <v/>
      </c>
      <c r="B237" s="344" t="str" cm="1">
        <f t="array" ref="B237">IFERROR(INDEX(_xlfn.ANCHORARRAY($P$6),ROW()-5,2),"")</f>
        <v/>
      </c>
      <c r="C237" s="345" t="str">
        <f>IF($A237="","",IF($J237="DIESEL",SUMIFS(Table1[Quantity],Table1[Customer],$M$3,Table1[Date],$A237,Table1[Bill No.],$B237),IF($J237="PETROL",SUMIFS(Table14[Quantity],Table14[Customer],$M$3,Table14[Date],$A237,Table14[Bill No.],$B237),IF($J237="XtraGreen",SUMIFS(Table146[Quantity],Table146[Company],$M$3,Table146[Date],$A237,Table146[Bill No.],$B237),""))))</f>
        <v/>
      </c>
      <c r="D237" s="346" t="str">
        <f>IF($A237="","",IF($J237="DIESEL",AVERAGEIFS(Table1[RSP],Table1[Customer],$M$3,Table1[Date],$A237,Table1[Bill No.],$B237),IF($J237="PETROL",AVERAGEIFS(Table14[RSP],Table14[Customer],$M$3,Table14[Date],$A237,Table14[Bill No.],$B237),IF($J237="XtraGreen",AVERAGEIFS(Table146[RSP],Table146[Company],$M$3,Table146[Date],$A237,Table146[Bill No.],$B237),IFERROR($E237/$C237,"")))))</f>
        <v/>
      </c>
      <c r="E237" s="347" t="str">
        <f>IF($A237="","",IF($J237="DIESEL",SUMIFS(Table1[Amount],Table1[Customer],$M$3,Table1[Date],$A237,Table1[Bill No.],$B237),IF($J237="PETROL",SUMIFS(Table14[Amount],Table14[Customer],$M$3,Table14[Date],$A237,Table14[Bill No.],$B237),IF($J237="XtraGreen",SUMIFS(Table146[Amount],Table146[Company],$M$3,Table146[Date],$A237,Table146[Bill No.],$B237),SUMIFS('Other Sale'!$D:$D,'Other Sale'!$E:$E,$M$3,'Other Sale'!$C:$C,$J237,'Other Sale'!$A:$A,$A237)))))</f>
        <v/>
      </c>
      <c r="F237" s="347" t="str" cm="1">
        <f t="array" ref="F237">IF($A237="","",IF($J237="Payment",IFERROR(INDEX(_xlfn._xlws.FILTER(MasterPaid[Amount Paid],(MasterPaid[Customer]=$M$3)*(MasterPaid[Date]=$A237)),COUNTIFS($A$6:$A237,$A237,$J$6:$J237,"Payment")),0),0))</f>
        <v/>
      </c>
      <c r="G237" s="331"/>
      <c r="H237" s="427"/>
      <c r="I237" s="330" t="str">
        <f t="shared" si="12"/>
        <v/>
      </c>
      <c r="J237" s="344" t="str" cm="1">
        <f t="array" ref="J237">IFERROR(INDEX(_xlfn.ANCHORARRAY($P$6),ROW()-5,3),"")</f>
        <v/>
      </c>
      <c r="K237" s="432" t="str" cm="1">
        <f t="array" ref="K237">IF(OR($A237="",$J237&lt;&gt;"DIESEL"),"",_xlfn.LET(_xlpm.qty,N($C237),_xlpm.pos,$T$5:$T$54,_xlpm.alo,IF($U$5:$U$54="",0,$U$5:$U$54),_xlpm.usd,SUMIFS($C$6:$C236,$K$6:$K236,_xlpm.pos&amp;""),_xlpm.bal,_xlpm.alo-_xlpm.usd,IFERROR(INDEX(_xlfn._xlws.FILTER(_xlpm.pos,(_xlpm.pos&lt;&gt;"")*(_xlpm.qty&gt;0)*(_xlpm.bal&gt;=_xlpm.qty)),1),"")))</f>
        <v/>
      </c>
      <c r="L237" s="348"/>
    </row>
    <row r="238" spans="1:12" ht="23" x14ac:dyDescent="0.25">
      <c r="A238" s="217" t="str" cm="1">
        <f t="array" ref="A238">IFERROR(INDEX(_xlfn.ANCHORARRAY($P$6),ROW()-5,1),"")</f>
        <v/>
      </c>
      <c r="B238" s="344" t="str" cm="1">
        <f t="array" ref="B238">IFERROR(INDEX(_xlfn.ANCHORARRAY($P$6),ROW()-5,2),"")</f>
        <v/>
      </c>
      <c r="C238" s="345" t="str">
        <f>IF($A238="","",IF($J238="DIESEL",SUMIFS(Table1[Quantity],Table1[Customer],$M$3,Table1[Date],$A238,Table1[Bill No.],$B238),IF($J238="PETROL",SUMIFS(Table14[Quantity],Table14[Customer],$M$3,Table14[Date],$A238,Table14[Bill No.],$B238),IF($J238="XtraGreen",SUMIFS(Table146[Quantity],Table146[Company],$M$3,Table146[Date],$A238,Table146[Bill No.],$B238),""))))</f>
        <v/>
      </c>
      <c r="D238" s="346" t="str">
        <f>IF($A238="","",IF($J238="DIESEL",AVERAGEIFS(Table1[RSP],Table1[Customer],$M$3,Table1[Date],$A238,Table1[Bill No.],$B238),IF($J238="PETROL",AVERAGEIFS(Table14[RSP],Table14[Customer],$M$3,Table14[Date],$A238,Table14[Bill No.],$B238),IF($J238="XtraGreen",AVERAGEIFS(Table146[RSP],Table146[Company],$M$3,Table146[Date],$A238,Table146[Bill No.],$B238),IFERROR($E238/$C238,"")))))</f>
        <v/>
      </c>
      <c r="E238" s="347" t="str">
        <f>IF($A238="","",IF($J238="DIESEL",SUMIFS(Table1[Amount],Table1[Customer],$M$3,Table1[Date],$A238,Table1[Bill No.],$B238),IF($J238="PETROL",SUMIFS(Table14[Amount],Table14[Customer],$M$3,Table14[Date],$A238,Table14[Bill No.],$B238),IF($J238="XtraGreen",SUMIFS(Table146[Amount],Table146[Company],$M$3,Table146[Date],$A238,Table146[Bill No.],$B238),SUMIFS('Other Sale'!$D:$D,'Other Sale'!$E:$E,$M$3,'Other Sale'!$C:$C,$J238,'Other Sale'!$A:$A,$A238)))))</f>
        <v/>
      </c>
      <c r="F238" s="347" t="str" cm="1">
        <f t="array" ref="F238">IF($A238="","",IF($J238="Payment",IFERROR(INDEX(_xlfn._xlws.FILTER(MasterPaid[Amount Paid],(MasterPaid[Customer]=$M$3)*(MasterPaid[Date]=$A238)),COUNTIFS($A$6:$A238,$A238,$J$6:$J238,"Payment")),0),0))</f>
        <v/>
      </c>
      <c r="G238" s="331"/>
      <c r="H238" s="427"/>
      <c r="I238" s="330" t="str">
        <f t="shared" si="12"/>
        <v/>
      </c>
      <c r="J238" s="344" t="str" cm="1">
        <f t="array" ref="J238">IFERROR(INDEX(_xlfn.ANCHORARRAY($P$6),ROW()-5,3),"")</f>
        <v/>
      </c>
      <c r="K238" s="432" t="str" cm="1">
        <f t="array" ref="K238">IF(OR($A238="",$J238&lt;&gt;"DIESEL"),"",_xlfn.LET(_xlpm.qty,N($C238),_xlpm.pos,$T$5:$T$54,_xlpm.alo,IF($U$5:$U$54="",0,$U$5:$U$54),_xlpm.usd,SUMIFS($C$6:$C237,$K$6:$K237,_xlpm.pos&amp;""),_xlpm.bal,_xlpm.alo-_xlpm.usd,IFERROR(INDEX(_xlfn._xlws.FILTER(_xlpm.pos,(_xlpm.pos&lt;&gt;"")*(_xlpm.qty&gt;0)*(_xlpm.bal&gt;=_xlpm.qty)),1),"")))</f>
        <v/>
      </c>
      <c r="L238" s="348"/>
    </row>
    <row r="239" spans="1:12" ht="23" x14ac:dyDescent="0.25">
      <c r="A239" s="217" t="str" cm="1">
        <f t="array" ref="A239">IFERROR(INDEX(_xlfn.ANCHORARRAY($P$6),ROW()-5,1),"")</f>
        <v/>
      </c>
      <c r="B239" s="344" t="str" cm="1">
        <f t="array" ref="B239">IFERROR(INDEX(_xlfn.ANCHORARRAY($P$6),ROW()-5,2),"")</f>
        <v/>
      </c>
      <c r="C239" s="345" t="str">
        <f>IF($A239="","",IF($J239="DIESEL",SUMIFS(Table1[Quantity],Table1[Customer],$M$3,Table1[Date],$A239,Table1[Bill No.],$B239),IF($J239="PETROL",SUMIFS(Table14[Quantity],Table14[Customer],$M$3,Table14[Date],$A239,Table14[Bill No.],$B239),IF($J239="XtraGreen",SUMIFS(Table146[Quantity],Table146[Company],$M$3,Table146[Date],$A239,Table146[Bill No.],$B239),""))))</f>
        <v/>
      </c>
      <c r="D239" s="346" t="str">
        <f>IF($A239="","",IF($J239="DIESEL",AVERAGEIFS(Table1[RSP],Table1[Customer],$M$3,Table1[Date],$A239,Table1[Bill No.],$B239),IF($J239="PETROL",AVERAGEIFS(Table14[RSP],Table14[Customer],$M$3,Table14[Date],$A239,Table14[Bill No.],$B239),IF($J239="XtraGreen",AVERAGEIFS(Table146[RSP],Table146[Company],$M$3,Table146[Date],$A239,Table146[Bill No.],$B239),IFERROR($E239/$C239,"")))))</f>
        <v/>
      </c>
      <c r="E239" s="347" t="str">
        <f>IF($A239="","",IF($J239="DIESEL",SUMIFS(Table1[Amount],Table1[Customer],$M$3,Table1[Date],$A239,Table1[Bill No.],$B239),IF($J239="PETROL",SUMIFS(Table14[Amount],Table14[Customer],$M$3,Table14[Date],$A239,Table14[Bill No.],$B239),IF($J239="XtraGreen",SUMIFS(Table146[Amount],Table146[Company],$M$3,Table146[Date],$A239,Table146[Bill No.],$B239),SUMIFS('Other Sale'!$D:$D,'Other Sale'!$E:$E,$M$3,'Other Sale'!$C:$C,$J239,'Other Sale'!$A:$A,$A239)))))</f>
        <v/>
      </c>
      <c r="F239" s="347" t="str" cm="1">
        <f t="array" ref="F239">IF($A239="","",IF($J239="Payment",IFERROR(INDEX(_xlfn._xlws.FILTER(MasterPaid[Amount Paid],(MasterPaid[Customer]=$M$3)*(MasterPaid[Date]=$A239)),COUNTIFS($A$6:$A239,$A239,$J$6:$J239,"Payment")),0),0))</f>
        <v/>
      </c>
      <c r="G239" s="331"/>
      <c r="H239" s="427"/>
      <c r="I239" s="330" t="str">
        <f t="shared" si="12"/>
        <v/>
      </c>
      <c r="J239" s="344" t="str" cm="1">
        <f t="array" ref="J239">IFERROR(INDEX(_xlfn.ANCHORARRAY($P$6),ROW()-5,3),"")</f>
        <v/>
      </c>
      <c r="K239" s="432" t="str" cm="1">
        <f t="array" ref="K239">IF(OR($A239="",$J239&lt;&gt;"DIESEL"),"",_xlfn.LET(_xlpm.qty,N($C239),_xlpm.pos,$T$5:$T$54,_xlpm.alo,IF($U$5:$U$54="",0,$U$5:$U$54),_xlpm.usd,SUMIFS($C$6:$C238,$K$6:$K238,_xlpm.pos&amp;""),_xlpm.bal,_xlpm.alo-_xlpm.usd,IFERROR(INDEX(_xlfn._xlws.FILTER(_xlpm.pos,(_xlpm.pos&lt;&gt;"")*(_xlpm.qty&gt;0)*(_xlpm.bal&gt;=_xlpm.qty)),1),"")))</f>
        <v/>
      </c>
      <c r="L239" s="348"/>
    </row>
    <row r="240" spans="1:12" ht="23" x14ac:dyDescent="0.25">
      <c r="A240" s="217" t="str" cm="1">
        <f t="array" ref="A240">IFERROR(INDEX(_xlfn.ANCHORARRAY($P$6),ROW()-5,1),"")</f>
        <v/>
      </c>
      <c r="B240" s="344" t="str" cm="1">
        <f t="array" ref="B240">IFERROR(INDEX(_xlfn.ANCHORARRAY($P$6),ROW()-5,2),"")</f>
        <v/>
      </c>
      <c r="C240" s="345" t="str">
        <f>IF($A240="","",IF($J240="DIESEL",SUMIFS(Table1[Quantity],Table1[Customer],$M$3,Table1[Date],$A240,Table1[Bill No.],$B240),IF($J240="PETROL",SUMIFS(Table14[Quantity],Table14[Customer],$M$3,Table14[Date],$A240,Table14[Bill No.],$B240),IF($J240="XtraGreen",SUMIFS(Table146[Quantity],Table146[Company],$M$3,Table146[Date],$A240,Table146[Bill No.],$B240),""))))</f>
        <v/>
      </c>
      <c r="D240" s="346" t="str">
        <f>IF($A240="","",IF($J240="DIESEL",AVERAGEIFS(Table1[RSP],Table1[Customer],$M$3,Table1[Date],$A240,Table1[Bill No.],$B240),IF($J240="PETROL",AVERAGEIFS(Table14[RSP],Table14[Customer],$M$3,Table14[Date],$A240,Table14[Bill No.],$B240),IF($J240="XtraGreen",AVERAGEIFS(Table146[RSP],Table146[Company],$M$3,Table146[Date],$A240,Table146[Bill No.],$B240),IFERROR($E240/$C240,"")))))</f>
        <v/>
      </c>
      <c r="E240" s="347" t="str">
        <f>IF($A240="","",IF($J240="DIESEL",SUMIFS(Table1[Amount],Table1[Customer],$M$3,Table1[Date],$A240,Table1[Bill No.],$B240),IF($J240="PETROL",SUMIFS(Table14[Amount],Table14[Customer],$M$3,Table14[Date],$A240,Table14[Bill No.],$B240),IF($J240="XtraGreen",SUMIFS(Table146[Amount],Table146[Company],$M$3,Table146[Date],$A240,Table146[Bill No.],$B240),SUMIFS('Other Sale'!$D:$D,'Other Sale'!$E:$E,$M$3,'Other Sale'!$C:$C,$J240,'Other Sale'!$A:$A,$A240)))))</f>
        <v/>
      </c>
      <c r="F240" s="347" t="str" cm="1">
        <f t="array" ref="F240">IF($A240="","",IF($J240="Payment",IFERROR(INDEX(_xlfn._xlws.FILTER(MasterPaid[Amount Paid],(MasterPaid[Customer]=$M$3)*(MasterPaid[Date]=$A240)),COUNTIFS($A$6:$A240,$A240,$J$6:$J240,"Payment")),0),0))</f>
        <v/>
      </c>
      <c r="G240" s="331"/>
      <c r="H240" s="427"/>
      <c r="I240" s="330" t="str">
        <f t="shared" si="12"/>
        <v/>
      </c>
      <c r="J240" s="344" t="str" cm="1">
        <f t="array" ref="J240">IFERROR(INDEX(_xlfn.ANCHORARRAY($P$6),ROW()-5,3),"")</f>
        <v/>
      </c>
      <c r="K240" s="432" t="str" cm="1">
        <f t="array" ref="K240">IF(OR($A240="",$J240&lt;&gt;"DIESEL"),"",_xlfn.LET(_xlpm.qty,N($C240),_xlpm.pos,$T$5:$T$54,_xlpm.alo,IF($U$5:$U$54="",0,$U$5:$U$54),_xlpm.usd,SUMIFS($C$6:$C239,$K$6:$K239,_xlpm.pos&amp;""),_xlpm.bal,_xlpm.alo-_xlpm.usd,IFERROR(INDEX(_xlfn._xlws.FILTER(_xlpm.pos,(_xlpm.pos&lt;&gt;"")*(_xlpm.qty&gt;0)*(_xlpm.bal&gt;=_xlpm.qty)),1),"")))</f>
        <v/>
      </c>
      <c r="L240" s="348"/>
    </row>
    <row r="241" spans="1:12" ht="23" x14ac:dyDescent="0.25">
      <c r="A241" s="217" t="str" cm="1">
        <f t="array" ref="A241">IFERROR(INDEX(_xlfn.ANCHORARRAY($P$6),ROW()-5,1),"")</f>
        <v/>
      </c>
      <c r="B241" s="344" t="str" cm="1">
        <f t="array" ref="B241">IFERROR(INDEX(_xlfn.ANCHORARRAY($P$6),ROW()-5,2),"")</f>
        <v/>
      </c>
      <c r="C241" s="345" t="str">
        <f>IF($A241="","",IF($J241="DIESEL",SUMIFS(Table1[Quantity],Table1[Customer],$M$3,Table1[Date],$A241,Table1[Bill No.],$B241),IF($J241="PETROL",SUMIFS(Table14[Quantity],Table14[Customer],$M$3,Table14[Date],$A241,Table14[Bill No.],$B241),IF($J241="XtraGreen",SUMIFS(Table146[Quantity],Table146[Company],$M$3,Table146[Date],$A241,Table146[Bill No.],$B241),""))))</f>
        <v/>
      </c>
      <c r="D241" s="346" t="str">
        <f>IF($A241="","",IF($J241="DIESEL",AVERAGEIFS(Table1[RSP],Table1[Customer],$M$3,Table1[Date],$A241,Table1[Bill No.],$B241),IF($J241="PETROL",AVERAGEIFS(Table14[RSP],Table14[Customer],$M$3,Table14[Date],$A241,Table14[Bill No.],$B241),IF($J241="XtraGreen",AVERAGEIFS(Table146[RSP],Table146[Company],$M$3,Table146[Date],$A241,Table146[Bill No.],$B241),IFERROR($E241/$C241,"")))))</f>
        <v/>
      </c>
      <c r="E241" s="347" t="str">
        <f>IF($A241="","",IF($J241="DIESEL",SUMIFS(Table1[Amount],Table1[Customer],$M$3,Table1[Date],$A241,Table1[Bill No.],$B241),IF($J241="PETROL",SUMIFS(Table14[Amount],Table14[Customer],$M$3,Table14[Date],$A241,Table14[Bill No.],$B241),IF($J241="XtraGreen",SUMIFS(Table146[Amount],Table146[Company],$M$3,Table146[Date],$A241,Table146[Bill No.],$B241),SUMIFS('Other Sale'!$D:$D,'Other Sale'!$E:$E,$M$3,'Other Sale'!$C:$C,$J241,'Other Sale'!$A:$A,$A241)))))</f>
        <v/>
      </c>
      <c r="F241" s="347" t="str" cm="1">
        <f t="array" ref="F241">IF($A241="","",IF($J241="Payment",IFERROR(INDEX(_xlfn._xlws.FILTER(MasterPaid[Amount Paid],(MasterPaid[Customer]=$M$3)*(MasterPaid[Date]=$A241)),COUNTIFS($A$6:$A241,$A241,$J$6:$J241,"Payment")),0),0))</f>
        <v/>
      </c>
      <c r="G241" s="331"/>
      <c r="H241" s="427"/>
      <c r="I241" s="330" t="str">
        <f t="shared" si="12"/>
        <v/>
      </c>
      <c r="J241" s="344" t="str" cm="1">
        <f t="array" ref="J241">IFERROR(INDEX(_xlfn.ANCHORARRAY($P$6),ROW()-5,3),"")</f>
        <v/>
      </c>
      <c r="K241" s="432" t="str" cm="1">
        <f t="array" ref="K241">IF(OR($A241="",$J241&lt;&gt;"DIESEL"),"",_xlfn.LET(_xlpm.qty,N($C241),_xlpm.pos,$T$5:$T$54,_xlpm.alo,IF($U$5:$U$54="",0,$U$5:$U$54),_xlpm.usd,SUMIFS($C$6:$C240,$K$6:$K240,_xlpm.pos&amp;""),_xlpm.bal,_xlpm.alo-_xlpm.usd,IFERROR(INDEX(_xlfn._xlws.FILTER(_xlpm.pos,(_xlpm.pos&lt;&gt;"")*(_xlpm.qty&gt;0)*(_xlpm.bal&gt;=_xlpm.qty)),1),"")))</f>
        <v/>
      </c>
      <c r="L241" s="348"/>
    </row>
    <row r="242" spans="1:12" ht="23" x14ac:dyDescent="0.25">
      <c r="A242" s="217" t="str" cm="1">
        <f t="array" ref="A242">IFERROR(INDEX(_xlfn.ANCHORARRAY($P$6),ROW()-5,1),"")</f>
        <v/>
      </c>
      <c r="B242" s="344" t="str" cm="1">
        <f t="array" ref="B242">IFERROR(INDEX(_xlfn.ANCHORARRAY($P$6),ROW()-5,2),"")</f>
        <v/>
      </c>
      <c r="C242" s="345" t="str">
        <f>IF($A242="","",IF($J242="DIESEL",SUMIFS(Table1[Quantity],Table1[Customer],$M$3,Table1[Date],$A242,Table1[Bill No.],$B242),IF($J242="PETROL",SUMIFS(Table14[Quantity],Table14[Customer],$M$3,Table14[Date],$A242,Table14[Bill No.],$B242),IF($J242="XtraGreen",SUMIFS(Table146[Quantity],Table146[Company],$M$3,Table146[Date],$A242,Table146[Bill No.],$B242),""))))</f>
        <v/>
      </c>
      <c r="D242" s="346" t="str">
        <f>IF($A242="","",IF($J242="DIESEL",AVERAGEIFS(Table1[RSP],Table1[Customer],$M$3,Table1[Date],$A242,Table1[Bill No.],$B242),IF($J242="PETROL",AVERAGEIFS(Table14[RSP],Table14[Customer],$M$3,Table14[Date],$A242,Table14[Bill No.],$B242),IF($J242="XtraGreen",AVERAGEIFS(Table146[RSP],Table146[Company],$M$3,Table146[Date],$A242,Table146[Bill No.],$B242),IFERROR($E242/$C242,"")))))</f>
        <v/>
      </c>
      <c r="E242" s="347" t="str">
        <f>IF($A242="","",IF($J242="DIESEL",SUMIFS(Table1[Amount],Table1[Customer],$M$3,Table1[Date],$A242,Table1[Bill No.],$B242),IF($J242="PETROL",SUMIFS(Table14[Amount],Table14[Customer],$M$3,Table14[Date],$A242,Table14[Bill No.],$B242),IF($J242="XtraGreen",SUMIFS(Table146[Amount],Table146[Company],$M$3,Table146[Date],$A242,Table146[Bill No.],$B242),SUMIFS('Other Sale'!$D:$D,'Other Sale'!$E:$E,$M$3,'Other Sale'!$C:$C,$J242,'Other Sale'!$A:$A,$A242)))))</f>
        <v/>
      </c>
      <c r="F242" s="347" t="str" cm="1">
        <f t="array" ref="F242">IF($A242="","",IF($J242="Payment",IFERROR(INDEX(_xlfn._xlws.FILTER(MasterPaid[Amount Paid],(MasterPaid[Customer]=$M$3)*(MasterPaid[Date]=$A242)),COUNTIFS($A$6:$A242,$A242,$J$6:$J242,"Payment")),0),0))</f>
        <v/>
      </c>
      <c r="G242" s="331"/>
      <c r="H242" s="427"/>
      <c r="I242" s="330" t="str">
        <f t="shared" si="12"/>
        <v/>
      </c>
      <c r="J242" s="344" t="str" cm="1">
        <f t="array" ref="J242">IFERROR(INDEX(_xlfn.ANCHORARRAY($P$6),ROW()-5,3),"")</f>
        <v/>
      </c>
      <c r="K242" s="432" t="str" cm="1">
        <f t="array" ref="K242">IF(OR($A242="",$J242&lt;&gt;"DIESEL"),"",_xlfn.LET(_xlpm.qty,N($C242),_xlpm.pos,$T$5:$T$54,_xlpm.alo,IF($U$5:$U$54="",0,$U$5:$U$54),_xlpm.usd,SUMIFS($C$6:$C241,$K$6:$K241,_xlpm.pos&amp;""),_xlpm.bal,_xlpm.alo-_xlpm.usd,IFERROR(INDEX(_xlfn._xlws.FILTER(_xlpm.pos,(_xlpm.pos&lt;&gt;"")*(_xlpm.qty&gt;0)*(_xlpm.bal&gt;=_xlpm.qty)),1),"")))</f>
        <v/>
      </c>
      <c r="L242" s="348"/>
    </row>
    <row r="243" spans="1:12" ht="23" x14ac:dyDescent="0.25">
      <c r="A243" s="217" t="str" cm="1">
        <f t="array" ref="A243">IFERROR(INDEX(_xlfn.ANCHORARRAY($P$6),ROW()-5,1),"")</f>
        <v/>
      </c>
      <c r="B243" s="344" t="str" cm="1">
        <f t="array" ref="B243">IFERROR(INDEX(_xlfn.ANCHORARRAY($P$6),ROW()-5,2),"")</f>
        <v/>
      </c>
      <c r="C243" s="345" t="str">
        <f>IF($A243="","",IF($J243="DIESEL",SUMIFS(Table1[Quantity],Table1[Customer],$M$3,Table1[Date],$A243,Table1[Bill No.],$B243),IF($J243="PETROL",SUMIFS(Table14[Quantity],Table14[Customer],$M$3,Table14[Date],$A243,Table14[Bill No.],$B243),IF($J243="XtraGreen",SUMIFS(Table146[Quantity],Table146[Company],$M$3,Table146[Date],$A243,Table146[Bill No.],$B243),""))))</f>
        <v/>
      </c>
      <c r="D243" s="346" t="str">
        <f>IF($A243="","",IF($J243="DIESEL",AVERAGEIFS(Table1[RSP],Table1[Customer],$M$3,Table1[Date],$A243,Table1[Bill No.],$B243),IF($J243="PETROL",AVERAGEIFS(Table14[RSP],Table14[Customer],$M$3,Table14[Date],$A243,Table14[Bill No.],$B243),IF($J243="XtraGreen",AVERAGEIFS(Table146[RSP],Table146[Company],$M$3,Table146[Date],$A243,Table146[Bill No.],$B243),IFERROR($E243/$C243,"")))))</f>
        <v/>
      </c>
      <c r="E243" s="347" t="str">
        <f>IF($A243="","",IF($J243="DIESEL",SUMIFS(Table1[Amount],Table1[Customer],$M$3,Table1[Date],$A243,Table1[Bill No.],$B243),IF($J243="PETROL",SUMIFS(Table14[Amount],Table14[Customer],$M$3,Table14[Date],$A243,Table14[Bill No.],$B243),IF($J243="XtraGreen",SUMIFS(Table146[Amount],Table146[Company],$M$3,Table146[Date],$A243,Table146[Bill No.],$B243),SUMIFS('Other Sale'!$D:$D,'Other Sale'!$E:$E,$M$3,'Other Sale'!$C:$C,$J243,'Other Sale'!$A:$A,$A243)))))</f>
        <v/>
      </c>
      <c r="F243" s="347" t="str" cm="1">
        <f t="array" ref="F243">IF($A243="","",IF($J243="Payment",IFERROR(INDEX(_xlfn._xlws.FILTER(MasterPaid[Amount Paid],(MasterPaid[Customer]=$M$3)*(MasterPaid[Date]=$A243)),COUNTIFS($A$6:$A243,$A243,$J$6:$J243,"Payment")),0),0))</f>
        <v/>
      </c>
      <c r="G243" s="331"/>
      <c r="H243" s="427"/>
      <c r="I243" s="330" t="str">
        <f t="shared" si="12"/>
        <v/>
      </c>
      <c r="J243" s="344" t="str" cm="1">
        <f t="array" ref="J243">IFERROR(INDEX(_xlfn.ANCHORARRAY($P$6),ROW()-5,3),"")</f>
        <v/>
      </c>
      <c r="K243" s="432" t="str" cm="1">
        <f t="array" ref="K243">IF(OR($A243="",$J243&lt;&gt;"DIESEL"),"",_xlfn.LET(_xlpm.qty,N($C243),_xlpm.pos,$T$5:$T$54,_xlpm.alo,IF($U$5:$U$54="",0,$U$5:$U$54),_xlpm.usd,SUMIFS($C$6:$C242,$K$6:$K242,_xlpm.pos&amp;""),_xlpm.bal,_xlpm.alo-_xlpm.usd,IFERROR(INDEX(_xlfn._xlws.FILTER(_xlpm.pos,(_xlpm.pos&lt;&gt;"")*(_xlpm.qty&gt;0)*(_xlpm.bal&gt;=_xlpm.qty)),1),"")))</f>
        <v/>
      </c>
      <c r="L243" s="348"/>
    </row>
    <row r="244" spans="1:12" ht="23" x14ac:dyDescent="0.25">
      <c r="A244" s="217" t="str" cm="1">
        <f t="array" ref="A244">IFERROR(INDEX(_xlfn.ANCHORARRAY($P$6),ROW()-5,1),"")</f>
        <v/>
      </c>
      <c r="B244" s="344" t="str" cm="1">
        <f t="array" ref="B244">IFERROR(INDEX(_xlfn.ANCHORARRAY($P$6),ROW()-5,2),"")</f>
        <v/>
      </c>
      <c r="C244" s="345" t="str">
        <f>IF($A244="","",IF($J244="DIESEL",SUMIFS(Table1[Quantity],Table1[Customer],$M$3,Table1[Date],$A244,Table1[Bill No.],$B244),IF($J244="PETROL",SUMIFS(Table14[Quantity],Table14[Customer],$M$3,Table14[Date],$A244,Table14[Bill No.],$B244),IF($J244="XtraGreen",SUMIFS(Table146[Quantity],Table146[Company],$M$3,Table146[Date],$A244,Table146[Bill No.],$B244),""))))</f>
        <v/>
      </c>
      <c r="D244" s="346" t="str">
        <f>IF($A244="","",IF($J244="DIESEL",AVERAGEIFS(Table1[RSP],Table1[Customer],$M$3,Table1[Date],$A244,Table1[Bill No.],$B244),IF($J244="PETROL",AVERAGEIFS(Table14[RSP],Table14[Customer],$M$3,Table14[Date],$A244,Table14[Bill No.],$B244),IF($J244="XtraGreen",AVERAGEIFS(Table146[RSP],Table146[Company],$M$3,Table146[Date],$A244,Table146[Bill No.],$B244),IFERROR($E244/$C244,"")))))</f>
        <v/>
      </c>
      <c r="E244" s="347" t="str">
        <f>IF($A244="","",IF($J244="DIESEL",SUMIFS(Table1[Amount],Table1[Customer],$M$3,Table1[Date],$A244,Table1[Bill No.],$B244),IF($J244="PETROL",SUMIFS(Table14[Amount],Table14[Customer],$M$3,Table14[Date],$A244,Table14[Bill No.],$B244),IF($J244="XtraGreen",SUMIFS(Table146[Amount],Table146[Company],$M$3,Table146[Date],$A244,Table146[Bill No.],$B244),SUMIFS('Other Sale'!$D:$D,'Other Sale'!$E:$E,$M$3,'Other Sale'!$C:$C,$J244,'Other Sale'!$A:$A,$A244)))))</f>
        <v/>
      </c>
      <c r="F244" s="347" t="str" cm="1">
        <f t="array" ref="F244">IF($A244="","",IF($J244="Payment",IFERROR(INDEX(_xlfn._xlws.FILTER(MasterPaid[Amount Paid],(MasterPaid[Customer]=$M$3)*(MasterPaid[Date]=$A244)),COUNTIFS($A$6:$A244,$A244,$J$6:$J244,"Payment")),0),0))</f>
        <v/>
      </c>
      <c r="G244" s="331"/>
      <c r="H244" s="427"/>
      <c r="I244" s="330" t="str">
        <f t="shared" si="12"/>
        <v/>
      </c>
      <c r="J244" s="344" t="str" cm="1">
        <f t="array" ref="J244">IFERROR(INDEX(_xlfn.ANCHORARRAY($P$6),ROW()-5,3),"")</f>
        <v/>
      </c>
      <c r="K244" s="432" t="str" cm="1">
        <f t="array" ref="K244">IF(OR($A244="",$J244&lt;&gt;"DIESEL"),"",_xlfn.LET(_xlpm.qty,N($C244),_xlpm.pos,$T$5:$T$54,_xlpm.alo,IF($U$5:$U$54="",0,$U$5:$U$54),_xlpm.usd,SUMIFS($C$6:$C243,$K$6:$K243,_xlpm.pos&amp;""),_xlpm.bal,_xlpm.alo-_xlpm.usd,IFERROR(INDEX(_xlfn._xlws.FILTER(_xlpm.pos,(_xlpm.pos&lt;&gt;"")*(_xlpm.qty&gt;0)*(_xlpm.bal&gt;=_xlpm.qty)),1),"")))</f>
        <v/>
      </c>
      <c r="L244" s="348"/>
    </row>
    <row r="245" spans="1:12" ht="23" x14ac:dyDescent="0.25">
      <c r="A245" s="217" t="str" cm="1">
        <f t="array" ref="A245">IFERROR(INDEX(_xlfn.ANCHORARRAY($P$6),ROW()-5,1),"")</f>
        <v/>
      </c>
      <c r="B245" s="344" t="str" cm="1">
        <f t="array" ref="B245">IFERROR(INDEX(_xlfn.ANCHORARRAY($P$6),ROW()-5,2),"")</f>
        <v/>
      </c>
      <c r="C245" s="345" t="str">
        <f>IF($A245="","",IF($J245="DIESEL",SUMIFS(Table1[Quantity],Table1[Customer],$M$3,Table1[Date],$A245,Table1[Bill No.],$B245),IF($J245="PETROL",SUMIFS(Table14[Quantity],Table14[Customer],$M$3,Table14[Date],$A245,Table14[Bill No.],$B245),IF($J245="XtraGreen",SUMIFS(Table146[Quantity],Table146[Company],$M$3,Table146[Date],$A245,Table146[Bill No.],$B245),""))))</f>
        <v/>
      </c>
      <c r="D245" s="346" t="str">
        <f>IF($A245="","",IF($J245="DIESEL",AVERAGEIFS(Table1[RSP],Table1[Customer],$M$3,Table1[Date],$A245,Table1[Bill No.],$B245),IF($J245="PETROL",AVERAGEIFS(Table14[RSP],Table14[Customer],$M$3,Table14[Date],$A245,Table14[Bill No.],$B245),IF($J245="XtraGreen",AVERAGEIFS(Table146[RSP],Table146[Company],$M$3,Table146[Date],$A245,Table146[Bill No.],$B245),IFERROR($E245/$C245,"")))))</f>
        <v/>
      </c>
      <c r="E245" s="347" t="str">
        <f>IF($A245="","",IF($J245="DIESEL",SUMIFS(Table1[Amount],Table1[Customer],$M$3,Table1[Date],$A245,Table1[Bill No.],$B245),IF($J245="PETROL",SUMIFS(Table14[Amount],Table14[Customer],$M$3,Table14[Date],$A245,Table14[Bill No.],$B245),IF($J245="XtraGreen",SUMIFS(Table146[Amount],Table146[Company],$M$3,Table146[Date],$A245,Table146[Bill No.],$B245),SUMIFS('Other Sale'!$D:$D,'Other Sale'!$E:$E,$M$3,'Other Sale'!$C:$C,$J245,'Other Sale'!$A:$A,$A245)))))</f>
        <v/>
      </c>
      <c r="F245" s="347" t="str" cm="1">
        <f t="array" ref="F245">IF($A245="","",IF($J245="Payment",IFERROR(INDEX(_xlfn._xlws.FILTER(MasterPaid[Amount Paid],(MasterPaid[Customer]=$M$3)*(MasterPaid[Date]=$A245)),COUNTIFS($A$6:$A245,$A245,$J$6:$J245,"Payment")),0),0))</f>
        <v/>
      </c>
      <c r="G245" s="331"/>
      <c r="H245" s="427"/>
      <c r="I245" s="330" t="str">
        <f t="shared" si="12"/>
        <v/>
      </c>
      <c r="J245" s="344" t="str" cm="1">
        <f t="array" ref="J245">IFERROR(INDEX(_xlfn.ANCHORARRAY($P$6),ROW()-5,3),"")</f>
        <v/>
      </c>
      <c r="K245" s="432" t="str" cm="1">
        <f t="array" ref="K245">IF(OR($A245="",$J245&lt;&gt;"DIESEL"),"",_xlfn.LET(_xlpm.qty,N($C245),_xlpm.pos,$T$5:$T$54,_xlpm.alo,IF($U$5:$U$54="",0,$U$5:$U$54),_xlpm.usd,SUMIFS($C$6:$C244,$K$6:$K244,_xlpm.pos&amp;""),_xlpm.bal,_xlpm.alo-_xlpm.usd,IFERROR(INDEX(_xlfn._xlws.FILTER(_xlpm.pos,(_xlpm.pos&lt;&gt;"")*(_xlpm.qty&gt;0)*(_xlpm.bal&gt;=_xlpm.qty)),1),"")))</f>
        <v/>
      </c>
      <c r="L245" s="348"/>
    </row>
    <row r="246" spans="1:12" ht="23" x14ac:dyDescent="0.25">
      <c r="A246" s="217" t="str" cm="1">
        <f t="array" ref="A246">IFERROR(INDEX(_xlfn.ANCHORARRAY($P$6),ROW()-5,1),"")</f>
        <v/>
      </c>
      <c r="B246" s="344" t="str" cm="1">
        <f t="array" ref="B246">IFERROR(INDEX(_xlfn.ANCHORARRAY($P$6),ROW()-5,2),"")</f>
        <v/>
      </c>
      <c r="C246" s="345" t="str">
        <f>IF($A246="","",IF($J246="DIESEL",SUMIFS(Table1[Quantity],Table1[Customer],$M$3,Table1[Date],$A246,Table1[Bill No.],$B246),IF($J246="PETROL",SUMIFS(Table14[Quantity],Table14[Customer],$M$3,Table14[Date],$A246,Table14[Bill No.],$B246),IF($J246="XtraGreen",SUMIFS(Table146[Quantity],Table146[Company],$M$3,Table146[Date],$A246,Table146[Bill No.],$B246),""))))</f>
        <v/>
      </c>
      <c r="D246" s="346" t="str">
        <f>IF($A246="","",IF($J246="DIESEL",AVERAGEIFS(Table1[RSP],Table1[Customer],$M$3,Table1[Date],$A246,Table1[Bill No.],$B246),IF($J246="PETROL",AVERAGEIFS(Table14[RSP],Table14[Customer],$M$3,Table14[Date],$A246,Table14[Bill No.],$B246),IF($J246="XtraGreen",AVERAGEIFS(Table146[RSP],Table146[Company],$M$3,Table146[Date],$A246,Table146[Bill No.],$B246),IFERROR($E246/$C246,"")))))</f>
        <v/>
      </c>
      <c r="E246" s="347" t="str">
        <f>IF($A246="","",IF($J246="DIESEL",SUMIFS(Table1[Amount],Table1[Customer],$M$3,Table1[Date],$A246,Table1[Bill No.],$B246),IF($J246="PETROL",SUMIFS(Table14[Amount],Table14[Customer],$M$3,Table14[Date],$A246,Table14[Bill No.],$B246),IF($J246="XtraGreen",SUMIFS(Table146[Amount],Table146[Company],$M$3,Table146[Date],$A246,Table146[Bill No.],$B246),SUMIFS('Other Sale'!$D:$D,'Other Sale'!$E:$E,$M$3,'Other Sale'!$C:$C,$J246,'Other Sale'!$A:$A,$A246)))))</f>
        <v/>
      </c>
      <c r="F246" s="347" t="str" cm="1">
        <f t="array" ref="F246">IF($A246="","",IF($J246="Payment",IFERROR(INDEX(_xlfn._xlws.FILTER(MasterPaid[Amount Paid],(MasterPaid[Customer]=$M$3)*(MasterPaid[Date]=$A246)),COUNTIFS($A$6:$A246,$A246,$J$6:$J246,"Payment")),0),0))</f>
        <v/>
      </c>
      <c r="G246" s="331"/>
      <c r="H246" s="427"/>
      <c r="I246" s="330" t="str">
        <f t="shared" si="12"/>
        <v/>
      </c>
      <c r="J246" s="344" t="str" cm="1">
        <f t="array" ref="J246">IFERROR(INDEX(_xlfn.ANCHORARRAY($P$6),ROW()-5,3),"")</f>
        <v/>
      </c>
      <c r="K246" s="432" t="str" cm="1">
        <f t="array" ref="K246">IF(OR($A246="",$J246&lt;&gt;"DIESEL"),"",_xlfn.LET(_xlpm.qty,N($C246),_xlpm.pos,$T$5:$T$54,_xlpm.alo,IF($U$5:$U$54="",0,$U$5:$U$54),_xlpm.usd,SUMIFS($C$6:$C245,$K$6:$K245,_xlpm.pos&amp;""),_xlpm.bal,_xlpm.alo-_xlpm.usd,IFERROR(INDEX(_xlfn._xlws.FILTER(_xlpm.pos,(_xlpm.pos&lt;&gt;"")*(_xlpm.qty&gt;0)*(_xlpm.bal&gt;=_xlpm.qty)),1),"")))</f>
        <v/>
      </c>
      <c r="L246" s="348"/>
    </row>
    <row r="247" spans="1:12" ht="23" x14ac:dyDescent="0.25">
      <c r="A247" s="217" t="str" cm="1">
        <f t="array" ref="A247">IFERROR(INDEX(_xlfn.ANCHORARRAY($P$6),ROW()-5,1),"")</f>
        <v/>
      </c>
      <c r="B247" s="344" t="str" cm="1">
        <f t="array" ref="B247">IFERROR(INDEX(_xlfn.ANCHORARRAY($P$6),ROW()-5,2),"")</f>
        <v/>
      </c>
      <c r="C247" s="345" t="str">
        <f>IF($A247="","",IF($J247="DIESEL",SUMIFS(Table1[Quantity],Table1[Customer],$M$3,Table1[Date],$A247,Table1[Bill No.],$B247),IF($J247="PETROL",SUMIFS(Table14[Quantity],Table14[Customer],$M$3,Table14[Date],$A247,Table14[Bill No.],$B247),IF($J247="XtraGreen",SUMIFS(Table146[Quantity],Table146[Company],$M$3,Table146[Date],$A247,Table146[Bill No.],$B247),""))))</f>
        <v/>
      </c>
      <c r="D247" s="346" t="str">
        <f>IF($A247="","",IF($J247="DIESEL",AVERAGEIFS(Table1[RSP],Table1[Customer],$M$3,Table1[Date],$A247,Table1[Bill No.],$B247),IF($J247="PETROL",AVERAGEIFS(Table14[RSP],Table14[Customer],$M$3,Table14[Date],$A247,Table14[Bill No.],$B247),IF($J247="XtraGreen",AVERAGEIFS(Table146[RSP],Table146[Company],$M$3,Table146[Date],$A247,Table146[Bill No.],$B247),IFERROR($E247/$C247,"")))))</f>
        <v/>
      </c>
      <c r="E247" s="347" t="str">
        <f>IF($A247="","",IF($J247="DIESEL",SUMIFS(Table1[Amount],Table1[Customer],$M$3,Table1[Date],$A247,Table1[Bill No.],$B247),IF($J247="PETROL",SUMIFS(Table14[Amount],Table14[Customer],$M$3,Table14[Date],$A247,Table14[Bill No.],$B247),IF($J247="XtraGreen",SUMIFS(Table146[Amount],Table146[Company],$M$3,Table146[Date],$A247,Table146[Bill No.],$B247),SUMIFS('Other Sale'!$D:$D,'Other Sale'!$E:$E,$M$3,'Other Sale'!$C:$C,$J247,'Other Sale'!$A:$A,$A247)))))</f>
        <v/>
      </c>
      <c r="F247" s="347" t="str" cm="1">
        <f t="array" ref="F247">IF($A247="","",IF($J247="Payment",IFERROR(INDEX(_xlfn._xlws.FILTER(MasterPaid[Amount Paid],(MasterPaid[Customer]=$M$3)*(MasterPaid[Date]=$A247)),COUNTIFS($A$6:$A247,$A247,$J$6:$J247,"Payment")),0),0))</f>
        <v/>
      </c>
      <c r="G247" s="331"/>
      <c r="H247" s="427"/>
      <c r="I247" s="330" t="str">
        <f t="shared" si="12"/>
        <v/>
      </c>
      <c r="J247" s="344" t="str" cm="1">
        <f t="array" ref="J247">IFERROR(INDEX(_xlfn.ANCHORARRAY($P$6),ROW()-5,3),"")</f>
        <v/>
      </c>
      <c r="K247" s="432" t="str" cm="1">
        <f t="array" ref="K247">IF(OR($A247="",$J247&lt;&gt;"DIESEL"),"",_xlfn.LET(_xlpm.qty,N($C247),_xlpm.pos,$T$5:$T$54,_xlpm.alo,IF($U$5:$U$54="",0,$U$5:$U$54),_xlpm.usd,SUMIFS($C$6:$C246,$K$6:$K246,_xlpm.pos&amp;""),_xlpm.bal,_xlpm.alo-_xlpm.usd,IFERROR(INDEX(_xlfn._xlws.FILTER(_xlpm.pos,(_xlpm.pos&lt;&gt;"")*(_xlpm.qty&gt;0)*(_xlpm.bal&gt;=_xlpm.qty)),1),"")))</f>
        <v/>
      </c>
      <c r="L247" s="348"/>
    </row>
    <row r="248" spans="1:12" ht="23" x14ac:dyDescent="0.25">
      <c r="A248" s="217" t="str" cm="1">
        <f t="array" ref="A248">IFERROR(INDEX(_xlfn.ANCHORARRAY($P$6),ROW()-5,1),"")</f>
        <v/>
      </c>
      <c r="B248" s="344" t="str" cm="1">
        <f t="array" ref="B248">IFERROR(INDEX(_xlfn.ANCHORARRAY($P$6),ROW()-5,2),"")</f>
        <v/>
      </c>
      <c r="C248" s="345" t="str">
        <f>IF($A248="","",IF($J248="DIESEL",SUMIFS(Table1[Quantity],Table1[Customer],$M$3,Table1[Date],$A248,Table1[Bill No.],$B248),IF($J248="PETROL",SUMIFS(Table14[Quantity],Table14[Customer],$M$3,Table14[Date],$A248,Table14[Bill No.],$B248),IF($J248="XtraGreen",SUMIFS(Table146[Quantity],Table146[Company],$M$3,Table146[Date],$A248,Table146[Bill No.],$B248),""))))</f>
        <v/>
      </c>
      <c r="D248" s="346" t="str">
        <f>IF($A248="","",IF($J248="DIESEL",AVERAGEIFS(Table1[RSP],Table1[Customer],$M$3,Table1[Date],$A248,Table1[Bill No.],$B248),IF($J248="PETROL",AVERAGEIFS(Table14[RSP],Table14[Customer],$M$3,Table14[Date],$A248,Table14[Bill No.],$B248),IF($J248="XtraGreen",AVERAGEIFS(Table146[RSP],Table146[Company],$M$3,Table146[Date],$A248,Table146[Bill No.],$B248),IFERROR($E248/$C248,"")))))</f>
        <v/>
      </c>
      <c r="E248" s="347" t="str">
        <f>IF($A248="","",IF($J248="DIESEL",SUMIFS(Table1[Amount],Table1[Customer],$M$3,Table1[Date],$A248,Table1[Bill No.],$B248),IF($J248="PETROL",SUMIFS(Table14[Amount],Table14[Customer],$M$3,Table14[Date],$A248,Table14[Bill No.],$B248),IF($J248="XtraGreen",SUMIFS(Table146[Amount],Table146[Company],$M$3,Table146[Date],$A248,Table146[Bill No.],$B248),SUMIFS('Other Sale'!$D:$D,'Other Sale'!$E:$E,$M$3,'Other Sale'!$C:$C,$J248,'Other Sale'!$A:$A,$A248)))))</f>
        <v/>
      </c>
      <c r="F248" s="347" t="str" cm="1">
        <f t="array" ref="F248">IF($A248="","",IF($J248="Payment",IFERROR(INDEX(_xlfn._xlws.FILTER(MasterPaid[Amount Paid],(MasterPaid[Customer]=$M$3)*(MasterPaid[Date]=$A248)),COUNTIFS($A$6:$A248,$A248,$J$6:$J248,"Payment")),0),0))</f>
        <v/>
      </c>
      <c r="G248" s="331"/>
      <c r="H248" s="427"/>
      <c r="I248" s="330" t="str">
        <f t="shared" si="12"/>
        <v/>
      </c>
      <c r="J248" s="344" t="str" cm="1">
        <f t="array" ref="J248">IFERROR(INDEX(_xlfn.ANCHORARRAY($P$6),ROW()-5,3),"")</f>
        <v/>
      </c>
      <c r="K248" s="432" t="str" cm="1">
        <f t="array" ref="K248">IF(OR($A248="",$J248&lt;&gt;"DIESEL"),"",_xlfn.LET(_xlpm.qty,N($C248),_xlpm.pos,$T$5:$T$54,_xlpm.alo,IF($U$5:$U$54="",0,$U$5:$U$54),_xlpm.usd,SUMIFS($C$6:$C247,$K$6:$K247,_xlpm.pos&amp;""),_xlpm.bal,_xlpm.alo-_xlpm.usd,IFERROR(INDEX(_xlfn._xlws.FILTER(_xlpm.pos,(_xlpm.pos&lt;&gt;"")*(_xlpm.qty&gt;0)*(_xlpm.bal&gt;=_xlpm.qty)),1),"")))</f>
        <v/>
      </c>
      <c r="L248" s="348"/>
    </row>
    <row r="249" spans="1:12" ht="23" x14ac:dyDescent="0.25">
      <c r="A249" s="217" t="str" cm="1">
        <f t="array" ref="A249">IFERROR(INDEX(_xlfn.ANCHORARRAY($P$6),ROW()-5,1),"")</f>
        <v/>
      </c>
      <c r="B249" s="344" t="str" cm="1">
        <f t="array" ref="B249">IFERROR(INDEX(_xlfn.ANCHORARRAY($P$6),ROW()-5,2),"")</f>
        <v/>
      </c>
      <c r="C249" s="345" t="str">
        <f>IF($A249="","",IF($J249="DIESEL",SUMIFS(Table1[Quantity],Table1[Customer],$M$3,Table1[Date],$A249,Table1[Bill No.],$B249),IF($J249="PETROL",SUMIFS(Table14[Quantity],Table14[Customer],$M$3,Table14[Date],$A249,Table14[Bill No.],$B249),IF($J249="XtraGreen",SUMIFS(Table146[Quantity],Table146[Company],$M$3,Table146[Date],$A249,Table146[Bill No.],$B249),""))))</f>
        <v/>
      </c>
      <c r="D249" s="346" t="str">
        <f>IF($A249="","",IF($J249="DIESEL",AVERAGEIFS(Table1[RSP],Table1[Customer],$M$3,Table1[Date],$A249,Table1[Bill No.],$B249),IF($J249="PETROL",AVERAGEIFS(Table14[RSP],Table14[Customer],$M$3,Table14[Date],$A249,Table14[Bill No.],$B249),IF($J249="XtraGreen",AVERAGEIFS(Table146[RSP],Table146[Company],$M$3,Table146[Date],$A249,Table146[Bill No.],$B249),IFERROR($E249/$C249,"")))))</f>
        <v/>
      </c>
      <c r="E249" s="347" t="str">
        <f>IF($A249="","",IF($J249="DIESEL",SUMIFS(Table1[Amount],Table1[Customer],$M$3,Table1[Date],$A249,Table1[Bill No.],$B249),IF($J249="PETROL",SUMIFS(Table14[Amount],Table14[Customer],$M$3,Table14[Date],$A249,Table14[Bill No.],$B249),IF($J249="XtraGreen",SUMIFS(Table146[Amount],Table146[Company],$M$3,Table146[Date],$A249,Table146[Bill No.],$B249),SUMIFS('Other Sale'!$D:$D,'Other Sale'!$E:$E,$M$3,'Other Sale'!$C:$C,$J249,'Other Sale'!$A:$A,$A249)))))</f>
        <v/>
      </c>
      <c r="F249" s="347" t="str" cm="1">
        <f t="array" ref="F249">IF($A249="","",IF($J249="Payment",IFERROR(INDEX(_xlfn._xlws.FILTER(MasterPaid[Amount Paid],(MasterPaid[Customer]=$M$3)*(MasterPaid[Date]=$A249)),COUNTIFS($A$6:$A249,$A249,$J$6:$J249,"Payment")),0),0))</f>
        <v/>
      </c>
      <c r="G249" s="331"/>
      <c r="H249" s="427"/>
      <c r="I249" s="330" t="str">
        <f t="shared" si="12"/>
        <v/>
      </c>
      <c r="J249" s="344" t="str" cm="1">
        <f t="array" ref="J249">IFERROR(INDEX(_xlfn.ANCHORARRAY($P$6),ROW()-5,3),"")</f>
        <v/>
      </c>
      <c r="K249" s="432" t="str" cm="1">
        <f t="array" ref="K249">IF(OR($A249="",$J249&lt;&gt;"DIESEL"),"",_xlfn.LET(_xlpm.qty,N($C249),_xlpm.pos,$T$5:$T$54,_xlpm.alo,IF($U$5:$U$54="",0,$U$5:$U$54),_xlpm.usd,SUMIFS($C$6:$C248,$K$6:$K248,_xlpm.pos&amp;""),_xlpm.bal,_xlpm.alo-_xlpm.usd,IFERROR(INDEX(_xlfn._xlws.FILTER(_xlpm.pos,(_xlpm.pos&lt;&gt;"")*(_xlpm.qty&gt;0)*(_xlpm.bal&gt;=_xlpm.qty)),1),"")))</f>
        <v/>
      </c>
      <c r="L249" s="348"/>
    </row>
    <row r="250" spans="1:12" ht="23" x14ac:dyDescent="0.25">
      <c r="A250" s="217" t="str" cm="1">
        <f t="array" ref="A250">IFERROR(INDEX(_xlfn.ANCHORARRAY($P$6),ROW()-5,1),"")</f>
        <v/>
      </c>
      <c r="B250" s="344" t="str" cm="1">
        <f t="array" ref="B250">IFERROR(INDEX(_xlfn.ANCHORARRAY($P$6),ROW()-5,2),"")</f>
        <v/>
      </c>
      <c r="C250" s="345" t="str">
        <f>IF($A250="","",IF($J250="DIESEL",SUMIFS(Table1[Quantity],Table1[Customer],$M$3,Table1[Date],$A250,Table1[Bill No.],$B250),IF($J250="PETROL",SUMIFS(Table14[Quantity],Table14[Customer],$M$3,Table14[Date],$A250,Table14[Bill No.],$B250),IF($J250="XtraGreen",SUMIFS(Table146[Quantity],Table146[Company],$M$3,Table146[Date],$A250,Table146[Bill No.],$B250),""))))</f>
        <v/>
      </c>
      <c r="D250" s="346" t="str">
        <f>IF($A250="","",IF($J250="DIESEL",AVERAGEIFS(Table1[RSP],Table1[Customer],$M$3,Table1[Date],$A250,Table1[Bill No.],$B250),IF($J250="PETROL",AVERAGEIFS(Table14[RSP],Table14[Customer],$M$3,Table14[Date],$A250,Table14[Bill No.],$B250),IF($J250="XtraGreen",AVERAGEIFS(Table146[RSP],Table146[Company],$M$3,Table146[Date],$A250,Table146[Bill No.],$B250),IFERROR($E250/$C250,"")))))</f>
        <v/>
      </c>
      <c r="E250" s="347" t="str">
        <f>IF($A250="","",IF($J250="DIESEL",SUMIFS(Table1[Amount],Table1[Customer],$M$3,Table1[Date],$A250,Table1[Bill No.],$B250),IF($J250="PETROL",SUMIFS(Table14[Amount],Table14[Customer],$M$3,Table14[Date],$A250,Table14[Bill No.],$B250),IF($J250="XtraGreen",SUMIFS(Table146[Amount],Table146[Company],$M$3,Table146[Date],$A250,Table146[Bill No.],$B250),SUMIFS('Other Sale'!$D:$D,'Other Sale'!$E:$E,$M$3,'Other Sale'!$C:$C,$J250,'Other Sale'!$A:$A,$A250)))))</f>
        <v/>
      </c>
      <c r="F250" s="347" t="str" cm="1">
        <f t="array" ref="F250">IF($A250="","",IF($J250="Payment",IFERROR(INDEX(_xlfn._xlws.FILTER(MasterPaid[Amount Paid],(MasterPaid[Customer]=$M$3)*(MasterPaid[Date]=$A250)),COUNTIFS($A$6:$A250,$A250,$J$6:$J250,"Payment")),0),0))</f>
        <v/>
      </c>
      <c r="G250" s="331"/>
      <c r="H250" s="427"/>
      <c r="I250" s="330" t="str">
        <f t="shared" si="12"/>
        <v/>
      </c>
      <c r="J250" s="344" t="str" cm="1">
        <f t="array" ref="J250">IFERROR(INDEX(_xlfn.ANCHORARRAY($P$6),ROW()-5,3),"")</f>
        <v/>
      </c>
      <c r="K250" s="432" t="str" cm="1">
        <f t="array" ref="K250">IF(OR($A250="",$J250&lt;&gt;"DIESEL"),"",_xlfn.LET(_xlpm.qty,N($C250),_xlpm.pos,$T$5:$T$54,_xlpm.alo,IF($U$5:$U$54="",0,$U$5:$U$54),_xlpm.usd,SUMIFS($C$6:$C249,$K$6:$K249,_xlpm.pos&amp;""),_xlpm.bal,_xlpm.alo-_xlpm.usd,IFERROR(INDEX(_xlfn._xlws.FILTER(_xlpm.pos,(_xlpm.pos&lt;&gt;"")*(_xlpm.qty&gt;0)*(_xlpm.bal&gt;=_xlpm.qty)),1),"")))</f>
        <v/>
      </c>
      <c r="L250" s="348"/>
    </row>
    <row r="251" spans="1:12" ht="23" x14ac:dyDescent="0.25">
      <c r="A251" s="217" t="str" cm="1">
        <f t="array" ref="A251">IFERROR(INDEX(_xlfn.ANCHORARRAY($P$6),ROW()-5,1),"")</f>
        <v/>
      </c>
      <c r="B251" s="344" t="str" cm="1">
        <f t="array" ref="B251">IFERROR(INDEX(_xlfn.ANCHORARRAY($P$6),ROW()-5,2),"")</f>
        <v/>
      </c>
      <c r="C251" s="345" t="str">
        <f>IF($A251="","",IF($J251="DIESEL",SUMIFS(Table1[Quantity],Table1[Customer],$M$3,Table1[Date],$A251,Table1[Bill No.],$B251),IF($J251="PETROL",SUMIFS(Table14[Quantity],Table14[Customer],$M$3,Table14[Date],$A251,Table14[Bill No.],$B251),IF($J251="XtraGreen",SUMIFS(Table146[Quantity],Table146[Company],$M$3,Table146[Date],$A251,Table146[Bill No.],$B251),""))))</f>
        <v/>
      </c>
      <c r="D251" s="346" t="str">
        <f>IF($A251="","",IF($J251="DIESEL",AVERAGEIFS(Table1[RSP],Table1[Customer],$M$3,Table1[Date],$A251,Table1[Bill No.],$B251),IF($J251="PETROL",AVERAGEIFS(Table14[RSP],Table14[Customer],$M$3,Table14[Date],$A251,Table14[Bill No.],$B251),IF($J251="XtraGreen",AVERAGEIFS(Table146[RSP],Table146[Company],$M$3,Table146[Date],$A251,Table146[Bill No.],$B251),IFERROR($E251/$C251,"")))))</f>
        <v/>
      </c>
      <c r="E251" s="347" t="str">
        <f>IF($A251="","",IF($J251="DIESEL",SUMIFS(Table1[Amount],Table1[Customer],$M$3,Table1[Date],$A251,Table1[Bill No.],$B251),IF($J251="PETROL",SUMIFS(Table14[Amount],Table14[Customer],$M$3,Table14[Date],$A251,Table14[Bill No.],$B251),IF($J251="XtraGreen",SUMIFS(Table146[Amount],Table146[Company],$M$3,Table146[Date],$A251,Table146[Bill No.],$B251),SUMIFS('Other Sale'!$D:$D,'Other Sale'!$E:$E,$M$3,'Other Sale'!$C:$C,$J251,'Other Sale'!$A:$A,$A251)))))</f>
        <v/>
      </c>
      <c r="F251" s="347" t="str" cm="1">
        <f t="array" ref="F251">IF($A251="","",IF($J251="Payment",IFERROR(INDEX(_xlfn._xlws.FILTER(MasterPaid[Amount Paid],(MasterPaid[Customer]=$M$3)*(MasterPaid[Date]=$A251)),COUNTIFS($A$6:$A251,$A251,$J$6:$J251,"Payment")),0),0))</f>
        <v/>
      </c>
      <c r="G251" s="331"/>
      <c r="H251" s="427"/>
      <c r="I251" s="330" t="str">
        <f t="shared" si="12"/>
        <v/>
      </c>
      <c r="J251" s="344" t="str" cm="1">
        <f t="array" ref="J251">IFERROR(INDEX(_xlfn.ANCHORARRAY($P$6),ROW()-5,3),"")</f>
        <v/>
      </c>
      <c r="K251" s="432" t="str" cm="1">
        <f t="array" ref="K251">IF(OR($A251="",$J251&lt;&gt;"DIESEL"),"",_xlfn.LET(_xlpm.qty,N($C251),_xlpm.pos,$T$5:$T$54,_xlpm.alo,IF($U$5:$U$54="",0,$U$5:$U$54),_xlpm.usd,SUMIFS($C$6:$C250,$K$6:$K250,_xlpm.pos&amp;""),_xlpm.bal,_xlpm.alo-_xlpm.usd,IFERROR(INDEX(_xlfn._xlws.FILTER(_xlpm.pos,(_xlpm.pos&lt;&gt;"")*(_xlpm.qty&gt;0)*(_xlpm.bal&gt;=_xlpm.qty)),1),"")))</f>
        <v/>
      </c>
      <c r="L251" s="348"/>
    </row>
    <row r="252" spans="1:12" ht="23" x14ac:dyDescent="0.25">
      <c r="A252" s="217" t="str" cm="1">
        <f t="array" ref="A252">IFERROR(INDEX(_xlfn.ANCHORARRAY($P$6),ROW()-5,1),"")</f>
        <v/>
      </c>
      <c r="B252" s="344" t="str" cm="1">
        <f t="array" ref="B252">IFERROR(INDEX(_xlfn.ANCHORARRAY($P$6),ROW()-5,2),"")</f>
        <v/>
      </c>
      <c r="C252" s="345" t="str">
        <f>IF($A252="","",IF($J252="DIESEL",SUMIFS(Table1[Quantity],Table1[Customer],$M$3,Table1[Date],$A252,Table1[Bill No.],$B252),IF($J252="PETROL",SUMIFS(Table14[Quantity],Table14[Customer],$M$3,Table14[Date],$A252,Table14[Bill No.],$B252),IF($J252="XtraGreen",SUMIFS(Table146[Quantity],Table146[Company],$M$3,Table146[Date],$A252,Table146[Bill No.],$B252),""))))</f>
        <v/>
      </c>
      <c r="D252" s="346" t="str">
        <f>IF($A252="","",IF($J252="DIESEL",AVERAGEIFS(Table1[RSP],Table1[Customer],$M$3,Table1[Date],$A252,Table1[Bill No.],$B252),IF($J252="PETROL",AVERAGEIFS(Table14[RSP],Table14[Customer],$M$3,Table14[Date],$A252,Table14[Bill No.],$B252),IF($J252="XtraGreen",AVERAGEIFS(Table146[RSP],Table146[Company],$M$3,Table146[Date],$A252,Table146[Bill No.],$B252),IFERROR($E252/$C252,"")))))</f>
        <v/>
      </c>
      <c r="E252" s="347" t="str">
        <f>IF($A252="","",IF($J252="DIESEL",SUMIFS(Table1[Amount],Table1[Customer],$M$3,Table1[Date],$A252,Table1[Bill No.],$B252),IF($J252="PETROL",SUMIFS(Table14[Amount],Table14[Customer],$M$3,Table14[Date],$A252,Table14[Bill No.],$B252),IF($J252="XtraGreen",SUMIFS(Table146[Amount],Table146[Company],$M$3,Table146[Date],$A252,Table146[Bill No.],$B252),SUMIFS('Other Sale'!$D:$D,'Other Sale'!$E:$E,$M$3,'Other Sale'!$C:$C,$J252,'Other Sale'!$A:$A,$A252)))))</f>
        <v/>
      </c>
      <c r="F252" s="347" t="str" cm="1">
        <f t="array" ref="F252">IF($A252="","",IF($J252="Payment",IFERROR(INDEX(_xlfn._xlws.FILTER(MasterPaid[Amount Paid],(MasterPaid[Customer]=$M$3)*(MasterPaid[Date]=$A252)),COUNTIFS($A$6:$A252,$A252,$J$6:$J252,"Payment")),0),0))</f>
        <v/>
      </c>
      <c r="G252" s="331"/>
      <c r="H252" s="427"/>
      <c r="I252" s="330" t="str">
        <f t="shared" si="12"/>
        <v/>
      </c>
      <c r="J252" s="344" t="str" cm="1">
        <f t="array" ref="J252">IFERROR(INDEX(_xlfn.ANCHORARRAY($P$6),ROW()-5,3),"")</f>
        <v/>
      </c>
      <c r="K252" s="432" t="str" cm="1">
        <f t="array" ref="K252">IF(OR($A252="",$J252&lt;&gt;"DIESEL"),"",_xlfn.LET(_xlpm.qty,N($C252),_xlpm.pos,$T$5:$T$54,_xlpm.alo,IF($U$5:$U$54="",0,$U$5:$U$54),_xlpm.usd,SUMIFS($C$6:$C251,$K$6:$K251,_xlpm.pos&amp;""),_xlpm.bal,_xlpm.alo-_xlpm.usd,IFERROR(INDEX(_xlfn._xlws.FILTER(_xlpm.pos,(_xlpm.pos&lt;&gt;"")*(_xlpm.qty&gt;0)*(_xlpm.bal&gt;=_xlpm.qty)),1),"")))</f>
        <v/>
      </c>
      <c r="L252" s="348"/>
    </row>
    <row r="253" spans="1:12" ht="23" x14ac:dyDescent="0.25">
      <c r="A253" s="217" t="str" cm="1">
        <f t="array" ref="A253">IFERROR(INDEX(_xlfn.ANCHORARRAY($P$6),ROW()-5,1),"")</f>
        <v/>
      </c>
      <c r="B253" s="344" t="str" cm="1">
        <f t="array" ref="B253">IFERROR(INDEX(_xlfn.ANCHORARRAY($P$6),ROW()-5,2),"")</f>
        <v/>
      </c>
      <c r="C253" s="345" t="str">
        <f>IF($A253="","",IF($J253="DIESEL",SUMIFS(Table1[Quantity],Table1[Customer],$M$3,Table1[Date],$A253,Table1[Bill No.],$B253),IF($J253="PETROL",SUMIFS(Table14[Quantity],Table14[Customer],$M$3,Table14[Date],$A253,Table14[Bill No.],$B253),IF($J253="XtraGreen",SUMIFS(Table146[Quantity],Table146[Company],$M$3,Table146[Date],$A253,Table146[Bill No.],$B253),""))))</f>
        <v/>
      </c>
      <c r="D253" s="346" t="str">
        <f>IF($A253="","",IF($J253="DIESEL",AVERAGEIFS(Table1[RSP],Table1[Customer],$M$3,Table1[Date],$A253,Table1[Bill No.],$B253),IF($J253="PETROL",AVERAGEIFS(Table14[RSP],Table14[Customer],$M$3,Table14[Date],$A253,Table14[Bill No.],$B253),IF($J253="XtraGreen",AVERAGEIFS(Table146[RSP],Table146[Company],$M$3,Table146[Date],$A253,Table146[Bill No.],$B253),IFERROR($E253/$C253,"")))))</f>
        <v/>
      </c>
      <c r="E253" s="347" t="str">
        <f>IF($A253="","",IF($J253="DIESEL",SUMIFS(Table1[Amount],Table1[Customer],$M$3,Table1[Date],$A253,Table1[Bill No.],$B253),IF($J253="PETROL",SUMIFS(Table14[Amount],Table14[Customer],$M$3,Table14[Date],$A253,Table14[Bill No.],$B253),IF($J253="XtraGreen",SUMIFS(Table146[Amount],Table146[Company],$M$3,Table146[Date],$A253,Table146[Bill No.],$B253),SUMIFS('Other Sale'!$D:$D,'Other Sale'!$E:$E,$M$3,'Other Sale'!$C:$C,$J253,'Other Sale'!$A:$A,$A253)))))</f>
        <v/>
      </c>
      <c r="F253" s="347" t="str" cm="1">
        <f t="array" ref="F253">IF($A253="","",IF($J253="Payment",IFERROR(INDEX(_xlfn._xlws.FILTER(MasterPaid[Amount Paid],(MasterPaid[Customer]=$M$3)*(MasterPaid[Date]=$A253)),COUNTIFS($A$6:$A253,$A253,$J$6:$J253,"Payment")),0),0))</f>
        <v/>
      </c>
      <c r="G253" s="331"/>
      <c r="H253" s="427"/>
      <c r="I253" s="330" t="str">
        <f t="shared" si="12"/>
        <v/>
      </c>
      <c r="J253" s="344" t="str" cm="1">
        <f t="array" ref="J253">IFERROR(INDEX(_xlfn.ANCHORARRAY($P$6),ROW()-5,3),"")</f>
        <v/>
      </c>
      <c r="K253" s="432" t="str" cm="1">
        <f t="array" ref="K253">IF(OR($A253="",$J253&lt;&gt;"DIESEL"),"",_xlfn.LET(_xlpm.qty,N($C253),_xlpm.pos,$T$5:$T$54,_xlpm.alo,IF($U$5:$U$54="",0,$U$5:$U$54),_xlpm.usd,SUMIFS($C$6:$C252,$K$6:$K252,_xlpm.pos&amp;""),_xlpm.bal,_xlpm.alo-_xlpm.usd,IFERROR(INDEX(_xlfn._xlws.FILTER(_xlpm.pos,(_xlpm.pos&lt;&gt;"")*(_xlpm.qty&gt;0)*(_xlpm.bal&gt;=_xlpm.qty)),1),"")))</f>
        <v/>
      </c>
      <c r="L253" s="348"/>
    </row>
    <row r="254" spans="1:12" ht="23" x14ac:dyDescent="0.25">
      <c r="A254" s="217" t="str" cm="1">
        <f t="array" ref="A254">IFERROR(INDEX(_xlfn.ANCHORARRAY($P$6),ROW()-5,1),"")</f>
        <v/>
      </c>
      <c r="B254" s="344" t="str" cm="1">
        <f t="array" ref="B254">IFERROR(INDEX(_xlfn.ANCHORARRAY($P$6),ROW()-5,2),"")</f>
        <v/>
      </c>
      <c r="C254" s="345" t="str">
        <f>IF($A254="","",IF($J254="DIESEL",SUMIFS(Table1[Quantity],Table1[Customer],$M$3,Table1[Date],$A254,Table1[Bill No.],$B254),IF($J254="PETROL",SUMIFS(Table14[Quantity],Table14[Customer],$M$3,Table14[Date],$A254,Table14[Bill No.],$B254),IF($J254="XtraGreen",SUMIFS(Table146[Quantity],Table146[Company],$M$3,Table146[Date],$A254,Table146[Bill No.],$B254),""))))</f>
        <v/>
      </c>
      <c r="D254" s="346" t="str">
        <f>IF($A254="","",IF($J254="DIESEL",AVERAGEIFS(Table1[RSP],Table1[Customer],$M$3,Table1[Date],$A254,Table1[Bill No.],$B254),IF($J254="PETROL",AVERAGEIFS(Table14[RSP],Table14[Customer],$M$3,Table14[Date],$A254,Table14[Bill No.],$B254),IF($J254="XtraGreen",AVERAGEIFS(Table146[RSP],Table146[Company],$M$3,Table146[Date],$A254,Table146[Bill No.],$B254),IFERROR($E254/$C254,"")))))</f>
        <v/>
      </c>
      <c r="E254" s="347" t="str">
        <f>IF($A254="","",IF($J254="DIESEL",SUMIFS(Table1[Amount],Table1[Customer],$M$3,Table1[Date],$A254,Table1[Bill No.],$B254),IF($J254="PETROL",SUMIFS(Table14[Amount],Table14[Customer],$M$3,Table14[Date],$A254,Table14[Bill No.],$B254),IF($J254="XtraGreen",SUMIFS(Table146[Amount],Table146[Company],$M$3,Table146[Date],$A254,Table146[Bill No.],$B254),SUMIFS('Other Sale'!$D:$D,'Other Sale'!$E:$E,$M$3,'Other Sale'!$C:$C,$J254,'Other Sale'!$A:$A,$A254)))))</f>
        <v/>
      </c>
      <c r="F254" s="347" t="str" cm="1">
        <f t="array" ref="F254">IF($A254="","",IF($J254="Payment",IFERROR(INDEX(_xlfn._xlws.FILTER(MasterPaid[Amount Paid],(MasterPaid[Customer]=$M$3)*(MasterPaid[Date]=$A254)),COUNTIFS($A$6:$A254,$A254,$J$6:$J254,"Payment")),0),0))</f>
        <v/>
      </c>
      <c r="G254" s="331"/>
      <c r="H254" s="427"/>
      <c r="I254" s="330" t="str">
        <f t="shared" si="12"/>
        <v/>
      </c>
      <c r="J254" s="344" t="str" cm="1">
        <f t="array" ref="J254">IFERROR(INDEX(_xlfn.ANCHORARRAY($P$6),ROW()-5,3),"")</f>
        <v/>
      </c>
      <c r="K254" s="432" t="str" cm="1">
        <f t="array" ref="K254">IF(OR($A254="",$J254&lt;&gt;"DIESEL"),"",_xlfn.LET(_xlpm.qty,N($C254),_xlpm.pos,$T$5:$T$54,_xlpm.alo,IF($U$5:$U$54="",0,$U$5:$U$54),_xlpm.usd,SUMIFS($C$6:$C253,$K$6:$K253,_xlpm.pos&amp;""),_xlpm.bal,_xlpm.alo-_xlpm.usd,IFERROR(INDEX(_xlfn._xlws.FILTER(_xlpm.pos,(_xlpm.pos&lt;&gt;"")*(_xlpm.qty&gt;0)*(_xlpm.bal&gt;=_xlpm.qty)),1),"")))</f>
        <v/>
      </c>
      <c r="L254" s="348"/>
    </row>
    <row r="255" spans="1:12" ht="23" x14ac:dyDescent="0.25">
      <c r="A255" s="217" t="str" cm="1">
        <f t="array" ref="A255">IFERROR(INDEX(_xlfn.ANCHORARRAY($P$6),ROW()-5,1),"")</f>
        <v/>
      </c>
      <c r="B255" s="344" t="str" cm="1">
        <f t="array" ref="B255">IFERROR(INDEX(_xlfn.ANCHORARRAY($P$6),ROW()-5,2),"")</f>
        <v/>
      </c>
      <c r="C255" s="345" t="str">
        <f>IF($A255="","",IF($J255="DIESEL",SUMIFS(Table1[Quantity],Table1[Customer],$M$3,Table1[Date],$A255,Table1[Bill No.],$B255),IF($J255="PETROL",SUMIFS(Table14[Quantity],Table14[Customer],$M$3,Table14[Date],$A255,Table14[Bill No.],$B255),IF($J255="XtraGreen",SUMIFS(Table146[Quantity],Table146[Company],$M$3,Table146[Date],$A255,Table146[Bill No.],$B255),""))))</f>
        <v/>
      </c>
      <c r="D255" s="346" t="str">
        <f>IF($A255="","",IF($J255="DIESEL",AVERAGEIFS(Table1[RSP],Table1[Customer],$M$3,Table1[Date],$A255,Table1[Bill No.],$B255),IF($J255="PETROL",AVERAGEIFS(Table14[RSP],Table14[Customer],$M$3,Table14[Date],$A255,Table14[Bill No.],$B255),IF($J255="XtraGreen",AVERAGEIFS(Table146[RSP],Table146[Company],$M$3,Table146[Date],$A255,Table146[Bill No.],$B255),IFERROR($E255/$C255,"")))))</f>
        <v/>
      </c>
      <c r="E255" s="347" t="str">
        <f>IF($A255="","",IF($J255="DIESEL",SUMIFS(Table1[Amount],Table1[Customer],$M$3,Table1[Date],$A255,Table1[Bill No.],$B255),IF($J255="PETROL",SUMIFS(Table14[Amount],Table14[Customer],$M$3,Table14[Date],$A255,Table14[Bill No.],$B255),IF($J255="XtraGreen",SUMIFS(Table146[Amount],Table146[Company],$M$3,Table146[Date],$A255,Table146[Bill No.],$B255),SUMIFS('Other Sale'!$D:$D,'Other Sale'!$E:$E,$M$3,'Other Sale'!$C:$C,$J255,'Other Sale'!$A:$A,$A255)))))</f>
        <v/>
      </c>
      <c r="F255" s="347" t="str" cm="1">
        <f t="array" ref="F255">IF($A255="","",IF($J255="Payment",IFERROR(INDEX(_xlfn._xlws.FILTER(MasterPaid[Amount Paid],(MasterPaid[Customer]=$M$3)*(MasterPaid[Date]=$A255)),COUNTIFS($A$6:$A255,$A255,$J$6:$J255,"Payment")),0),0))</f>
        <v/>
      </c>
      <c r="G255" s="331"/>
      <c r="H255" s="427"/>
      <c r="I255" s="330" t="str">
        <f t="shared" si="12"/>
        <v/>
      </c>
      <c r="J255" s="344" t="str" cm="1">
        <f t="array" ref="J255">IFERROR(INDEX(_xlfn.ANCHORARRAY($P$6),ROW()-5,3),"")</f>
        <v/>
      </c>
      <c r="K255" s="432" t="str" cm="1">
        <f t="array" ref="K255">IF(OR($A255="",$J255&lt;&gt;"DIESEL"),"",_xlfn.LET(_xlpm.qty,N($C255),_xlpm.pos,$T$5:$T$54,_xlpm.alo,IF($U$5:$U$54="",0,$U$5:$U$54),_xlpm.usd,SUMIFS($C$6:$C254,$K$6:$K254,_xlpm.pos&amp;""),_xlpm.bal,_xlpm.alo-_xlpm.usd,IFERROR(INDEX(_xlfn._xlws.FILTER(_xlpm.pos,(_xlpm.pos&lt;&gt;"")*(_xlpm.qty&gt;0)*(_xlpm.bal&gt;=_xlpm.qty)),1),"")))</f>
        <v/>
      </c>
      <c r="L255" s="348"/>
    </row>
    <row r="256" spans="1:12" ht="23" x14ac:dyDescent="0.25">
      <c r="A256" s="217" t="str" cm="1">
        <f t="array" ref="A256">IFERROR(INDEX(_xlfn.ANCHORARRAY($P$6),ROW()-5,1),"")</f>
        <v/>
      </c>
      <c r="B256" s="344" t="str" cm="1">
        <f t="array" ref="B256">IFERROR(INDEX(_xlfn.ANCHORARRAY($P$6),ROW()-5,2),"")</f>
        <v/>
      </c>
      <c r="C256" s="345" t="str">
        <f>IF($A256="","",IF($J256="DIESEL",SUMIFS(Table1[Quantity],Table1[Customer],$M$3,Table1[Date],$A256,Table1[Bill No.],$B256),IF($J256="PETROL",SUMIFS(Table14[Quantity],Table14[Customer],$M$3,Table14[Date],$A256,Table14[Bill No.],$B256),IF($J256="XtraGreen",SUMIFS(Table146[Quantity],Table146[Company],$M$3,Table146[Date],$A256,Table146[Bill No.],$B256),""))))</f>
        <v/>
      </c>
      <c r="D256" s="346" t="str">
        <f>IF($A256="","",IF($J256="DIESEL",AVERAGEIFS(Table1[RSP],Table1[Customer],$M$3,Table1[Date],$A256,Table1[Bill No.],$B256),IF($J256="PETROL",AVERAGEIFS(Table14[RSP],Table14[Customer],$M$3,Table14[Date],$A256,Table14[Bill No.],$B256),IF($J256="XtraGreen",AVERAGEIFS(Table146[RSP],Table146[Company],$M$3,Table146[Date],$A256,Table146[Bill No.],$B256),IFERROR($E256/$C256,"")))))</f>
        <v/>
      </c>
      <c r="E256" s="347" t="str">
        <f>IF($A256="","",IF($J256="DIESEL",SUMIFS(Table1[Amount],Table1[Customer],$M$3,Table1[Date],$A256,Table1[Bill No.],$B256),IF($J256="PETROL",SUMIFS(Table14[Amount],Table14[Customer],$M$3,Table14[Date],$A256,Table14[Bill No.],$B256),IF($J256="XtraGreen",SUMIFS(Table146[Amount],Table146[Company],$M$3,Table146[Date],$A256,Table146[Bill No.],$B256),SUMIFS('Other Sale'!$D:$D,'Other Sale'!$E:$E,$M$3,'Other Sale'!$C:$C,$J256,'Other Sale'!$A:$A,$A256)))))</f>
        <v/>
      </c>
      <c r="F256" s="347" t="str" cm="1">
        <f t="array" ref="F256">IF($A256="","",IF($J256="Payment",IFERROR(INDEX(_xlfn._xlws.FILTER(MasterPaid[Amount Paid],(MasterPaid[Customer]=$M$3)*(MasterPaid[Date]=$A256)),COUNTIFS($A$6:$A256,$A256,$J$6:$J256,"Payment")),0),0))</f>
        <v/>
      </c>
      <c r="G256" s="331"/>
      <c r="H256" s="427"/>
      <c r="I256" s="330" t="str">
        <f t="shared" si="12"/>
        <v/>
      </c>
      <c r="J256" s="344" t="str" cm="1">
        <f t="array" ref="J256">IFERROR(INDEX(_xlfn.ANCHORARRAY($P$6),ROW()-5,3),"")</f>
        <v/>
      </c>
      <c r="K256" s="432" t="str" cm="1">
        <f t="array" ref="K256">IF(OR($A256="",$J256&lt;&gt;"DIESEL"),"",_xlfn.LET(_xlpm.qty,N($C256),_xlpm.pos,$T$5:$T$54,_xlpm.alo,IF($U$5:$U$54="",0,$U$5:$U$54),_xlpm.usd,SUMIFS($C$6:$C255,$K$6:$K255,_xlpm.pos&amp;""),_xlpm.bal,_xlpm.alo-_xlpm.usd,IFERROR(INDEX(_xlfn._xlws.FILTER(_xlpm.pos,(_xlpm.pos&lt;&gt;"")*(_xlpm.qty&gt;0)*(_xlpm.bal&gt;=_xlpm.qty)),1),"")))</f>
        <v/>
      </c>
      <c r="L256" s="348"/>
    </row>
    <row r="257" spans="1:12" ht="23" x14ac:dyDescent="0.25">
      <c r="A257" s="217" t="str" cm="1">
        <f t="array" ref="A257">IFERROR(INDEX(_xlfn.ANCHORARRAY($P$6),ROW()-5,1),"")</f>
        <v/>
      </c>
      <c r="B257" s="344" t="str" cm="1">
        <f t="array" ref="B257">IFERROR(INDEX(_xlfn.ANCHORARRAY($P$6),ROW()-5,2),"")</f>
        <v/>
      </c>
      <c r="C257" s="345" t="str">
        <f>IF($A257="","",IF($J257="DIESEL",SUMIFS(Table1[Quantity],Table1[Customer],$M$3,Table1[Date],$A257,Table1[Bill No.],$B257),IF($J257="PETROL",SUMIFS(Table14[Quantity],Table14[Customer],$M$3,Table14[Date],$A257,Table14[Bill No.],$B257),IF($J257="XtraGreen",SUMIFS(Table146[Quantity],Table146[Company],$M$3,Table146[Date],$A257,Table146[Bill No.],$B257),""))))</f>
        <v/>
      </c>
      <c r="D257" s="346" t="str">
        <f>IF($A257="","",IF($J257="DIESEL",AVERAGEIFS(Table1[RSP],Table1[Customer],$M$3,Table1[Date],$A257,Table1[Bill No.],$B257),IF($J257="PETROL",AVERAGEIFS(Table14[RSP],Table14[Customer],$M$3,Table14[Date],$A257,Table14[Bill No.],$B257),IF($J257="XtraGreen",AVERAGEIFS(Table146[RSP],Table146[Company],$M$3,Table146[Date],$A257,Table146[Bill No.],$B257),IFERROR($E257/$C257,"")))))</f>
        <v/>
      </c>
      <c r="E257" s="347" t="str">
        <f>IF($A257="","",IF($J257="DIESEL",SUMIFS(Table1[Amount],Table1[Customer],$M$3,Table1[Date],$A257,Table1[Bill No.],$B257),IF($J257="PETROL",SUMIFS(Table14[Amount],Table14[Customer],$M$3,Table14[Date],$A257,Table14[Bill No.],$B257),IF($J257="XtraGreen",SUMIFS(Table146[Amount],Table146[Company],$M$3,Table146[Date],$A257,Table146[Bill No.],$B257),SUMIFS('Other Sale'!$D:$D,'Other Sale'!$E:$E,$M$3,'Other Sale'!$C:$C,$J257,'Other Sale'!$A:$A,$A257)))))</f>
        <v/>
      </c>
      <c r="F257" s="347" t="str" cm="1">
        <f t="array" ref="F257">IF($A257="","",IF($J257="Payment",IFERROR(INDEX(_xlfn._xlws.FILTER(MasterPaid[Amount Paid],(MasterPaid[Customer]=$M$3)*(MasterPaid[Date]=$A257)),COUNTIFS($A$6:$A257,$A257,$J$6:$J257,"Payment")),0),0))</f>
        <v/>
      </c>
      <c r="G257" s="331"/>
      <c r="H257" s="427"/>
      <c r="I257" s="330" t="str">
        <f t="shared" si="12"/>
        <v/>
      </c>
      <c r="J257" s="344" t="str" cm="1">
        <f t="array" ref="J257">IFERROR(INDEX(_xlfn.ANCHORARRAY($P$6),ROW()-5,3),"")</f>
        <v/>
      </c>
      <c r="K257" s="432" t="str" cm="1">
        <f t="array" ref="K257">IF(OR($A257="",$J257&lt;&gt;"DIESEL"),"",_xlfn.LET(_xlpm.qty,N($C257),_xlpm.pos,$T$5:$T$54,_xlpm.alo,IF($U$5:$U$54="",0,$U$5:$U$54),_xlpm.usd,SUMIFS($C$6:$C256,$K$6:$K256,_xlpm.pos&amp;""),_xlpm.bal,_xlpm.alo-_xlpm.usd,IFERROR(INDEX(_xlfn._xlws.FILTER(_xlpm.pos,(_xlpm.pos&lt;&gt;"")*(_xlpm.qty&gt;0)*(_xlpm.bal&gt;=_xlpm.qty)),1),"")))</f>
        <v/>
      </c>
      <c r="L257" s="348"/>
    </row>
    <row r="258" spans="1:12" ht="23" x14ac:dyDescent="0.25">
      <c r="A258" s="217" t="str" cm="1">
        <f t="array" ref="A258">IFERROR(INDEX(_xlfn.ANCHORARRAY($P$6),ROW()-5,1),"")</f>
        <v/>
      </c>
      <c r="B258" s="344" t="str" cm="1">
        <f t="array" ref="B258">IFERROR(INDEX(_xlfn.ANCHORARRAY($P$6),ROW()-5,2),"")</f>
        <v/>
      </c>
      <c r="C258" s="345" t="str">
        <f>IF($A258="","",IF($J258="DIESEL",SUMIFS(Table1[Quantity],Table1[Customer],$M$3,Table1[Date],$A258,Table1[Bill No.],$B258),IF($J258="PETROL",SUMIFS(Table14[Quantity],Table14[Customer],$M$3,Table14[Date],$A258,Table14[Bill No.],$B258),IF($J258="XtraGreen",SUMIFS(Table146[Quantity],Table146[Company],$M$3,Table146[Date],$A258,Table146[Bill No.],$B258),""))))</f>
        <v/>
      </c>
      <c r="D258" s="346" t="str">
        <f>IF($A258="","",IF($J258="DIESEL",AVERAGEIFS(Table1[RSP],Table1[Customer],$M$3,Table1[Date],$A258,Table1[Bill No.],$B258),IF($J258="PETROL",AVERAGEIFS(Table14[RSP],Table14[Customer],$M$3,Table14[Date],$A258,Table14[Bill No.],$B258),IF($J258="XtraGreen",AVERAGEIFS(Table146[RSP],Table146[Company],$M$3,Table146[Date],$A258,Table146[Bill No.],$B258),IFERROR($E258/$C258,"")))))</f>
        <v/>
      </c>
      <c r="E258" s="347" t="str">
        <f>IF($A258="","",IF($J258="DIESEL",SUMIFS(Table1[Amount],Table1[Customer],$M$3,Table1[Date],$A258,Table1[Bill No.],$B258),IF($J258="PETROL",SUMIFS(Table14[Amount],Table14[Customer],$M$3,Table14[Date],$A258,Table14[Bill No.],$B258),IF($J258="XtraGreen",SUMIFS(Table146[Amount],Table146[Company],$M$3,Table146[Date],$A258,Table146[Bill No.],$B258),SUMIFS('Other Sale'!$D:$D,'Other Sale'!$E:$E,$M$3,'Other Sale'!$C:$C,$J258,'Other Sale'!$A:$A,$A258)))))</f>
        <v/>
      </c>
      <c r="F258" s="347" t="str" cm="1">
        <f t="array" ref="F258">IF($A258="","",IF($J258="Payment",IFERROR(INDEX(_xlfn._xlws.FILTER(MasterPaid[Amount Paid],(MasterPaid[Customer]=$M$3)*(MasterPaid[Date]=$A258)),COUNTIFS($A$6:$A258,$A258,$J$6:$J258,"Payment")),0),0))</f>
        <v/>
      </c>
      <c r="G258" s="331"/>
      <c r="H258" s="427"/>
      <c r="I258" s="330" t="str">
        <f t="shared" si="12"/>
        <v/>
      </c>
      <c r="J258" s="344" t="str" cm="1">
        <f t="array" ref="J258">IFERROR(INDEX(_xlfn.ANCHORARRAY($P$6),ROW()-5,3),"")</f>
        <v/>
      </c>
      <c r="K258" s="432" t="str" cm="1">
        <f t="array" ref="K258">IF(OR($A258="",$J258&lt;&gt;"DIESEL"),"",_xlfn.LET(_xlpm.qty,N($C258),_xlpm.pos,$T$5:$T$54,_xlpm.alo,IF($U$5:$U$54="",0,$U$5:$U$54),_xlpm.usd,SUMIFS($C$6:$C257,$K$6:$K257,_xlpm.pos&amp;""),_xlpm.bal,_xlpm.alo-_xlpm.usd,IFERROR(INDEX(_xlfn._xlws.FILTER(_xlpm.pos,(_xlpm.pos&lt;&gt;"")*(_xlpm.qty&gt;0)*(_xlpm.bal&gt;=_xlpm.qty)),1),"")))</f>
        <v/>
      </c>
      <c r="L258" s="348"/>
    </row>
    <row r="259" spans="1:12" ht="23" x14ac:dyDescent="0.25">
      <c r="A259" s="217" t="str" cm="1">
        <f t="array" ref="A259">IFERROR(INDEX(_xlfn.ANCHORARRAY($P$6),ROW()-5,1),"")</f>
        <v/>
      </c>
      <c r="B259" s="344" t="str" cm="1">
        <f t="array" ref="B259">IFERROR(INDEX(_xlfn.ANCHORARRAY($P$6),ROW()-5,2),"")</f>
        <v/>
      </c>
      <c r="C259" s="345" t="str">
        <f>IF($A259="","",IF($J259="DIESEL",SUMIFS(Table1[Quantity],Table1[Customer],$M$3,Table1[Date],$A259,Table1[Bill No.],$B259),IF($J259="PETROL",SUMIFS(Table14[Quantity],Table14[Customer],$M$3,Table14[Date],$A259,Table14[Bill No.],$B259),IF($J259="XtraGreen",SUMIFS(Table146[Quantity],Table146[Company],$M$3,Table146[Date],$A259,Table146[Bill No.],$B259),""))))</f>
        <v/>
      </c>
      <c r="D259" s="346" t="str">
        <f>IF($A259="","",IF($J259="DIESEL",AVERAGEIFS(Table1[RSP],Table1[Customer],$M$3,Table1[Date],$A259,Table1[Bill No.],$B259),IF($J259="PETROL",AVERAGEIFS(Table14[RSP],Table14[Customer],$M$3,Table14[Date],$A259,Table14[Bill No.],$B259),IF($J259="XtraGreen",AVERAGEIFS(Table146[RSP],Table146[Company],$M$3,Table146[Date],$A259,Table146[Bill No.],$B259),IFERROR($E259/$C259,"")))))</f>
        <v/>
      </c>
      <c r="E259" s="347" t="str">
        <f>IF($A259="","",IF($J259="DIESEL",SUMIFS(Table1[Amount],Table1[Customer],$M$3,Table1[Date],$A259,Table1[Bill No.],$B259),IF($J259="PETROL",SUMIFS(Table14[Amount],Table14[Customer],$M$3,Table14[Date],$A259,Table14[Bill No.],$B259),IF($J259="XtraGreen",SUMIFS(Table146[Amount],Table146[Company],$M$3,Table146[Date],$A259,Table146[Bill No.],$B259),SUMIFS('Other Sale'!$D:$D,'Other Sale'!$E:$E,$M$3,'Other Sale'!$C:$C,$J259,'Other Sale'!$A:$A,$A259)))))</f>
        <v/>
      </c>
      <c r="F259" s="347" t="str" cm="1">
        <f t="array" ref="F259">IF($A259="","",IF($J259="Payment",IFERROR(INDEX(_xlfn._xlws.FILTER(MasterPaid[Amount Paid],(MasterPaid[Customer]=$M$3)*(MasterPaid[Date]=$A259)),COUNTIFS($A$6:$A259,$A259,$J$6:$J259,"Payment")),0),0))</f>
        <v/>
      </c>
      <c r="G259" s="331"/>
      <c r="H259" s="427"/>
      <c r="I259" s="330" t="str">
        <f t="shared" si="12"/>
        <v/>
      </c>
      <c r="J259" s="344" t="str" cm="1">
        <f t="array" ref="J259">IFERROR(INDEX(_xlfn.ANCHORARRAY($P$6),ROW()-5,3),"")</f>
        <v/>
      </c>
      <c r="K259" s="432" t="str" cm="1">
        <f t="array" ref="K259">IF(OR($A259="",$J259&lt;&gt;"DIESEL"),"",_xlfn.LET(_xlpm.qty,N($C259),_xlpm.pos,$T$5:$T$54,_xlpm.alo,IF($U$5:$U$54="",0,$U$5:$U$54),_xlpm.usd,SUMIFS($C$6:$C258,$K$6:$K258,_xlpm.pos&amp;""),_xlpm.bal,_xlpm.alo-_xlpm.usd,IFERROR(INDEX(_xlfn._xlws.FILTER(_xlpm.pos,(_xlpm.pos&lt;&gt;"")*(_xlpm.qty&gt;0)*(_xlpm.bal&gt;=_xlpm.qty)),1),"")))</f>
        <v/>
      </c>
      <c r="L259" s="348"/>
    </row>
    <row r="260" spans="1:12" ht="23" x14ac:dyDescent="0.25">
      <c r="A260" s="217" t="str" cm="1">
        <f t="array" ref="A260">IFERROR(INDEX(_xlfn.ANCHORARRAY($P$6),ROW()-5,1),"")</f>
        <v/>
      </c>
      <c r="B260" s="344" t="str" cm="1">
        <f t="array" ref="B260">IFERROR(INDEX(_xlfn.ANCHORARRAY($P$6),ROW()-5,2),"")</f>
        <v/>
      </c>
      <c r="C260" s="345" t="str">
        <f>IF($A260="","",IF($J260="DIESEL",SUMIFS(Table1[Quantity],Table1[Customer],$M$3,Table1[Date],$A260,Table1[Bill No.],$B260),IF($J260="PETROL",SUMIFS(Table14[Quantity],Table14[Customer],$M$3,Table14[Date],$A260,Table14[Bill No.],$B260),IF($J260="XtraGreen",SUMIFS(Table146[Quantity],Table146[Company],$M$3,Table146[Date],$A260,Table146[Bill No.],$B260),""))))</f>
        <v/>
      </c>
      <c r="D260" s="346" t="str">
        <f>IF($A260="","",IF($J260="DIESEL",AVERAGEIFS(Table1[RSP],Table1[Customer],$M$3,Table1[Date],$A260,Table1[Bill No.],$B260),IF($J260="PETROL",AVERAGEIFS(Table14[RSP],Table14[Customer],$M$3,Table14[Date],$A260,Table14[Bill No.],$B260),IF($J260="XtraGreen",AVERAGEIFS(Table146[RSP],Table146[Company],$M$3,Table146[Date],$A260,Table146[Bill No.],$B260),IFERROR($E260/$C260,"")))))</f>
        <v/>
      </c>
      <c r="E260" s="347" t="str">
        <f>IF($A260="","",IF($J260="DIESEL",SUMIFS(Table1[Amount],Table1[Customer],$M$3,Table1[Date],$A260,Table1[Bill No.],$B260),IF($J260="PETROL",SUMIFS(Table14[Amount],Table14[Customer],$M$3,Table14[Date],$A260,Table14[Bill No.],$B260),IF($J260="XtraGreen",SUMIFS(Table146[Amount],Table146[Company],$M$3,Table146[Date],$A260,Table146[Bill No.],$B260),SUMIFS('Other Sale'!$D:$D,'Other Sale'!$E:$E,$M$3,'Other Sale'!$C:$C,$J260,'Other Sale'!$A:$A,$A260)))))</f>
        <v/>
      </c>
      <c r="F260" s="347" t="str" cm="1">
        <f t="array" ref="F260">IF($A260="","",IF($J260="Payment",IFERROR(INDEX(_xlfn._xlws.FILTER(MasterPaid[Amount Paid],(MasterPaid[Customer]=$M$3)*(MasterPaid[Date]=$A260)),COUNTIFS($A$6:$A260,$A260,$J$6:$J260,"Payment")),0),0))</f>
        <v/>
      </c>
      <c r="G260" s="331"/>
      <c r="H260" s="427"/>
      <c r="I260" s="330" t="str">
        <f t="shared" si="12"/>
        <v/>
      </c>
      <c r="J260" s="344" t="str" cm="1">
        <f t="array" ref="J260">IFERROR(INDEX(_xlfn.ANCHORARRAY($P$6),ROW()-5,3),"")</f>
        <v/>
      </c>
      <c r="K260" s="432" t="str" cm="1">
        <f t="array" ref="K260">IF(OR($A260="",$J260&lt;&gt;"DIESEL"),"",_xlfn.LET(_xlpm.qty,N($C260),_xlpm.pos,$T$5:$T$54,_xlpm.alo,IF($U$5:$U$54="",0,$U$5:$U$54),_xlpm.usd,SUMIFS($C$6:$C259,$K$6:$K259,_xlpm.pos&amp;""),_xlpm.bal,_xlpm.alo-_xlpm.usd,IFERROR(INDEX(_xlfn._xlws.FILTER(_xlpm.pos,(_xlpm.pos&lt;&gt;"")*(_xlpm.qty&gt;0)*(_xlpm.bal&gt;=_xlpm.qty)),1),"")))</f>
        <v/>
      </c>
      <c r="L260" s="348"/>
    </row>
    <row r="261" spans="1:12" ht="23" x14ac:dyDescent="0.25">
      <c r="A261" s="217" t="str" cm="1">
        <f t="array" ref="A261">IFERROR(INDEX(_xlfn.ANCHORARRAY($P$6),ROW()-5,1),"")</f>
        <v/>
      </c>
      <c r="B261" s="344" t="str" cm="1">
        <f t="array" ref="B261">IFERROR(INDEX(_xlfn.ANCHORARRAY($P$6),ROW()-5,2),"")</f>
        <v/>
      </c>
      <c r="C261" s="345" t="str">
        <f>IF($A261="","",IF($J261="DIESEL",SUMIFS(Table1[Quantity],Table1[Customer],$M$3,Table1[Date],$A261,Table1[Bill No.],$B261),IF($J261="PETROL",SUMIFS(Table14[Quantity],Table14[Customer],$M$3,Table14[Date],$A261,Table14[Bill No.],$B261),IF($J261="XtraGreen",SUMIFS(Table146[Quantity],Table146[Company],$M$3,Table146[Date],$A261,Table146[Bill No.],$B261),""))))</f>
        <v/>
      </c>
      <c r="D261" s="346" t="str">
        <f>IF($A261="","",IF($J261="DIESEL",AVERAGEIFS(Table1[RSP],Table1[Customer],$M$3,Table1[Date],$A261,Table1[Bill No.],$B261),IF($J261="PETROL",AVERAGEIFS(Table14[RSP],Table14[Customer],$M$3,Table14[Date],$A261,Table14[Bill No.],$B261),IF($J261="XtraGreen",AVERAGEIFS(Table146[RSP],Table146[Company],$M$3,Table146[Date],$A261,Table146[Bill No.],$B261),IFERROR($E261/$C261,"")))))</f>
        <v/>
      </c>
      <c r="E261" s="347" t="str">
        <f>IF($A261="","",IF($J261="DIESEL",SUMIFS(Table1[Amount],Table1[Customer],$M$3,Table1[Date],$A261,Table1[Bill No.],$B261),IF($J261="PETROL",SUMIFS(Table14[Amount],Table14[Customer],$M$3,Table14[Date],$A261,Table14[Bill No.],$B261),IF($J261="XtraGreen",SUMIFS(Table146[Amount],Table146[Company],$M$3,Table146[Date],$A261,Table146[Bill No.],$B261),SUMIFS('Other Sale'!$D:$D,'Other Sale'!$E:$E,$M$3,'Other Sale'!$C:$C,$J261,'Other Sale'!$A:$A,$A261)))))</f>
        <v/>
      </c>
      <c r="F261" s="347" t="str" cm="1">
        <f t="array" ref="F261">IF($A261="","",IF($J261="Payment",IFERROR(INDEX(_xlfn._xlws.FILTER(MasterPaid[Amount Paid],(MasterPaid[Customer]=$M$3)*(MasterPaid[Date]=$A261)),COUNTIFS($A$6:$A261,$A261,$J$6:$J261,"Payment")),0),0))</f>
        <v/>
      </c>
      <c r="G261" s="331"/>
      <c r="H261" s="427"/>
      <c r="I261" s="330" t="str">
        <f t="shared" si="12"/>
        <v/>
      </c>
      <c r="J261" s="344" t="str" cm="1">
        <f t="array" ref="J261">IFERROR(INDEX(_xlfn.ANCHORARRAY($P$6),ROW()-5,3),"")</f>
        <v/>
      </c>
      <c r="K261" s="432" t="str" cm="1">
        <f t="array" ref="K261">IF(OR($A261="",$J261&lt;&gt;"DIESEL"),"",_xlfn.LET(_xlpm.qty,N($C261),_xlpm.pos,$T$5:$T$54,_xlpm.alo,IF($U$5:$U$54="",0,$U$5:$U$54),_xlpm.usd,SUMIFS($C$6:$C260,$K$6:$K260,_xlpm.pos&amp;""),_xlpm.bal,_xlpm.alo-_xlpm.usd,IFERROR(INDEX(_xlfn._xlws.FILTER(_xlpm.pos,(_xlpm.pos&lt;&gt;"")*(_xlpm.qty&gt;0)*(_xlpm.bal&gt;=_xlpm.qty)),1),"")))</f>
        <v/>
      </c>
      <c r="L261" s="348"/>
    </row>
    <row r="262" spans="1:12" ht="23" x14ac:dyDescent="0.25">
      <c r="A262" s="217" t="str" cm="1">
        <f t="array" ref="A262">IFERROR(INDEX(_xlfn.ANCHORARRAY($P$6),ROW()-5,1),"")</f>
        <v/>
      </c>
      <c r="B262" s="344" t="str" cm="1">
        <f t="array" ref="B262">IFERROR(INDEX(_xlfn.ANCHORARRAY($P$6),ROW()-5,2),"")</f>
        <v/>
      </c>
      <c r="C262" s="345" t="str">
        <f>IF($A262="","",IF($J262="DIESEL",SUMIFS(Table1[Quantity],Table1[Customer],$M$3,Table1[Date],$A262,Table1[Bill No.],$B262),IF($J262="PETROL",SUMIFS(Table14[Quantity],Table14[Customer],$M$3,Table14[Date],$A262,Table14[Bill No.],$B262),IF($J262="XtraGreen",SUMIFS(Table146[Quantity],Table146[Company],$M$3,Table146[Date],$A262,Table146[Bill No.],$B262),""))))</f>
        <v/>
      </c>
      <c r="D262" s="346" t="str">
        <f>IF($A262="","",IF($J262="DIESEL",AVERAGEIFS(Table1[RSP],Table1[Customer],$M$3,Table1[Date],$A262,Table1[Bill No.],$B262),IF($J262="PETROL",AVERAGEIFS(Table14[RSP],Table14[Customer],$M$3,Table14[Date],$A262,Table14[Bill No.],$B262),IF($J262="XtraGreen",AVERAGEIFS(Table146[RSP],Table146[Company],$M$3,Table146[Date],$A262,Table146[Bill No.],$B262),IFERROR($E262/$C262,"")))))</f>
        <v/>
      </c>
      <c r="E262" s="347" t="str">
        <f>IF($A262="","",IF($J262="DIESEL",SUMIFS(Table1[Amount],Table1[Customer],$M$3,Table1[Date],$A262,Table1[Bill No.],$B262),IF($J262="PETROL",SUMIFS(Table14[Amount],Table14[Customer],$M$3,Table14[Date],$A262,Table14[Bill No.],$B262),IF($J262="XtraGreen",SUMIFS(Table146[Amount],Table146[Company],$M$3,Table146[Date],$A262,Table146[Bill No.],$B262),SUMIFS('Other Sale'!$D:$D,'Other Sale'!$E:$E,$M$3,'Other Sale'!$C:$C,$J262,'Other Sale'!$A:$A,$A262)))))</f>
        <v/>
      </c>
      <c r="F262" s="347" t="str" cm="1">
        <f t="array" ref="F262">IF($A262="","",IF($J262="Payment",IFERROR(INDEX(_xlfn._xlws.FILTER(MasterPaid[Amount Paid],(MasterPaid[Customer]=$M$3)*(MasterPaid[Date]=$A262)),COUNTIFS($A$6:$A262,$A262,$J$6:$J262,"Payment")),0),0))</f>
        <v/>
      </c>
      <c r="G262" s="331"/>
      <c r="H262" s="427"/>
      <c r="I262" s="330" t="str">
        <f t="shared" si="12"/>
        <v/>
      </c>
      <c r="J262" s="344" t="str" cm="1">
        <f t="array" ref="J262">IFERROR(INDEX(_xlfn.ANCHORARRAY($P$6),ROW()-5,3),"")</f>
        <v/>
      </c>
      <c r="K262" s="432" t="str" cm="1">
        <f t="array" ref="K262">IF(OR($A262="",$J262&lt;&gt;"DIESEL"),"",_xlfn.LET(_xlpm.qty,N($C262),_xlpm.pos,$T$5:$T$54,_xlpm.alo,IF($U$5:$U$54="",0,$U$5:$U$54),_xlpm.usd,SUMIFS($C$6:$C261,$K$6:$K261,_xlpm.pos&amp;""),_xlpm.bal,_xlpm.alo-_xlpm.usd,IFERROR(INDEX(_xlfn._xlws.FILTER(_xlpm.pos,(_xlpm.pos&lt;&gt;"")*(_xlpm.qty&gt;0)*(_xlpm.bal&gt;=_xlpm.qty)),1),"")))</f>
        <v/>
      </c>
      <c r="L262" s="348"/>
    </row>
    <row r="263" spans="1:12" ht="23" x14ac:dyDescent="0.25">
      <c r="A263" s="217" t="str" cm="1">
        <f t="array" ref="A263">IFERROR(INDEX(_xlfn.ANCHORARRAY($P$6),ROW()-5,1),"")</f>
        <v/>
      </c>
      <c r="B263" s="344" t="str" cm="1">
        <f t="array" ref="B263">IFERROR(INDEX(_xlfn.ANCHORARRAY($P$6),ROW()-5,2),"")</f>
        <v/>
      </c>
      <c r="C263" s="345" t="str">
        <f>IF($A263="","",IF($J263="DIESEL",SUMIFS(Table1[Quantity],Table1[Customer],$M$3,Table1[Date],$A263,Table1[Bill No.],$B263),IF($J263="PETROL",SUMIFS(Table14[Quantity],Table14[Customer],$M$3,Table14[Date],$A263,Table14[Bill No.],$B263),IF($J263="XtraGreen",SUMIFS(Table146[Quantity],Table146[Company],$M$3,Table146[Date],$A263,Table146[Bill No.],$B263),""))))</f>
        <v/>
      </c>
      <c r="D263" s="346" t="str">
        <f>IF($A263="","",IF($J263="DIESEL",AVERAGEIFS(Table1[RSP],Table1[Customer],$M$3,Table1[Date],$A263,Table1[Bill No.],$B263),IF($J263="PETROL",AVERAGEIFS(Table14[RSP],Table14[Customer],$M$3,Table14[Date],$A263,Table14[Bill No.],$B263),IF($J263="XtraGreen",AVERAGEIFS(Table146[RSP],Table146[Company],$M$3,Table146[Date],$A263,Table146[Bill No.],$B263),IFERROR($E263/$C263,"")))))</f>
        <v/>
      </c>
      <c r="E263" s="347" t="str">
        <f>IF($A263="","",IF($J263="DIESEL",SUMIFS(Table1[Amount],Table1[Customer],$M$3,Table1[Date],$A263,Table1[Bill No.],$B263),IF($J263="PETROL",SUMIFS(Table14[Amount],Table14[Customer],$M$3,Table14[Date],$A263,Table14[Bill No.],$B263),IF($J263="XtraGreen",SUMIFS(Table146[Amount],Table146[Company],$M$3,Table146[Date],$A263,Table146[Bill No.],$B263),SUMIFS('Other Sale'!$D:$D,'Other Sale'!$E:$E,$M$3,'Other Sale'!$C:$C,$J263,'Other Sale'!$A:$A,$A263)))))</f>
        <v/>
      </c>
      <c r="F263" s="347" t="str" cm="1">
        <f t="array" ref="F263">IF($A263="","",IF($J263="Payment",IFERROR(INDEX(_xlfn._xlws.FILTER(MasterPaid[Amount Paid],(MasterPaid[Customer]=$M$3)*(MasterPaid[Date]=$A263)),COUNTIFS($A$6:$A263,$A263,$J$6:$J263,"Payment")),0),0))</f>
        <v/>
      </c>
      <c r="G263" s="331"/>
      <c r="H263" s="427"/>
      <c r="I263" s="330" t="str">
        <f t="shared" si="12"/>
        <v/>
      </c>
      <c r="J263" s="344" t="str" cm="1">
        <f t="array" ref="J263">IFERROR(INDEX(_xlfn.ANCHORARRAY($P$6),ROW()-5,3),"")</f>
        <v/>
      </c>
      <c r="K263" s="432" t="str" cm="1">
        <f t="array" ref="K263">IF(OR($A263="",$J263&lt;&gt;"DIESEL"),"",_xlfn.LET(_xlpm.qty,N($C263),_xlpm.pos,$T$5:$T$54,_xlpm.alo,IF($U$5:$U$54="",0,$U$5:$U$54),_xlpm.usd,SUMIFS($C$6:$C262,$K$6:$K262,_xlpm.pos&amp;""),_xlpm.bal,_xlpm.alo-_xlpm.usd,IFERROR(INDEX(_xlfn._xlws.FILTER(_xlpm.pos,(_xlpm.pos&lt;&gt;"")*(_xlpm.qty&gt;0)*(_xlpm.bal&gt;=_xlpm.qty)),1),"")))</f>
        <v/>
      </c>
      <c r="L263" s="348"/>
    </row>
    <row r="264" spans="1:12" ht="23" x14ac:dyDescent="0.25">
      <c r="A264" s="217" t="str" cm="1">
        <f t="array" ref="A264">IFERROR(INDEX(_xlfn.ANCHORARRAY($P$6),ROW()-5,1),"")</f>
        <v/>
      </c>
      <c r="B264" s="344" t="str" cm="1">
        <f t="array" ref="B264">IFERROR(INDEX(_xlfn.ANCHORARRAY($P$6),ROW()-5,2),"")</f>
        <v/>
      </c>
      <c r="C264" s="345" t="str">
        <f>IF($A264="","",IF($J264="DIESEL",SUMIFS(Table1[Quantity],Table1[Customer],$M$3,Table1[Date],$A264,Table1[Bill No.],$B264),IF($J264="PETROL",SUMIFS(Table14[Quantity],Table14[Customer],$M$3,Table14[Date],$A264,Table14[Bill No.],$B264),IF($J264="XtraGreen",SUMIFS(Table146[Quantity],Table146[Company],$M$3,Table146[Date],$A264,Table146[Bill No.],$B264),""))))</f>
        <v/>
      </c>
      <c r="D264" s="346" t="str">
        <f>IF($A264="","",IF($J264="DIESEL",AVERAGEIFS(Table1[RSP],Table1[Customer],$M$3,Table1[Date],$A264,Table1[Bill No.],$B264),IF($J264="PETROL",AVERAGEIFS(Table14[RSP],Table14[Customer],$M$3,Table14[Date],$A264,Table14[Bill No.],$B264),IF($J264="XtraGreen",AVERAGEIFS(Table146[RSP],Table146[Company],$M$3,Table146[Date],$A264,Table146[Bill No.],$B264),IFERROR($E264/$C264,"")))))</f>
        <v/>
      </c>
      <c r="E264" s="347" t="str">
        <f>IF($A264="","",IF($J264="DIESEL",SUMIFS(Table1[Amount],Table1[Customer],$M$3,Table1[Date],$A264,Table1[Bill No.],$B264),IF($J264="PETROL",SUMIFS(Table14[Amount],Table14[Customer],$M$3,Table14[Date],$A264,Table14[Bill No.],$B264),IF($J264="XtraGreen",SUMIFS(Table146[Amount],Table146[Company],$M$3,Table146[Date],$A264,Table146[Bill No.],$B264),SUMIFS('Other Sale'!$D:$D,'Other Sale'!$E:$E,$M$3,'Other Sale'!$C:$C,$J264,'Other Sale'!$A:$A,$A264)))))</f>
        <v/>
      </c>
      <c r="F264" s="347" t="str" cm="1">
        <f t="array" ref="F264">IF($A264="","",IF($J264="Payment",IFERROR(INDEX(_xlfn._xlws.FILTER(MasterPaid[Amount Paid],(MasterPaid[Customer]=$M$3)*(MasterPaid[Date]=$A264)),COUNTIFS($A$6:$A264,$A264,$J$6:$J264,"Payment")),0),0))</f>
        <v/>
      </c>
      <c r="G264" s="331"/>
      <c r="H264" s="427"/>
      <c r="I264" s="330" t="str">
        <f t="shared" ref="I264:I327" si="13">IF($A264="","",I263+N(E264)-N(F264)-N(G264)-N(H264))</f>
        <v/>
      </c>
      <c r="J264" s="344" t="str" cm="1">
        <f t="array" ref="J264">IFERROR(INDEX(_xlfn.ANCHORARRAY($P$6),ROW()-5,3),"")</f>
        <v/>
      </c>
      <c r="K264" s="432" t="str" cm="1">
        <f t="array" ref="K264">IF(OR($A264="",$J264&lt;&gt;"DIESEL"),"",_xlfn.LET(_xlpm.qty,N($C264),_xlpm.pos,$T$5:$T$54,_xlpm.alo,IF($U$5:$U$54="",0,$U$5:$U$54),_xlpm.usd,SUMIFS($C$6:$C263,$K$6:$K263,_xlpm.pos&amp;""),_xlpm.bal,_xlpm.alo-_xlpm.usd,IFERROR(INDEX(_xlfn._xlws.FILTER(_xlpm.pos,(_xlpm.pos&lt;&gt;"")*(_xlpm.qty&gt;0)*(_xlpm.bal&gt;=_xlpm.qty)),1),"")))</f>
        <v/>
      </c>
      <c r="L264" s="348"/>
    </row>
    <row r="265" spans="1:12" ht="23" x14ac:dyDescent="0.25">
      <c r="A265" s="217" t="str" cm="1">
        <f t="array" ref="A265">IFERROR(INDEX(_xlfn.ANCHORARRAY($P$6),ROW()-5,1),"")</f>
        <v/>
      </c>
      <c r="B265" s="344" t="str" cm="1">
        <f t="array" ref="B265">IFERROR(INDEX(_xlfn.ANCHORARRAY($P$6),ROW()-5,2),"")</f>
        <v/>
      </c>
      <c r="C265" s="345" t="str">
        <f>IF($A265="","",IF($J265="DIESEL",SUMIFS(Table1[Quantity],Table1[Customer],$M$3,Table1[Date],$A265,Table1[Bill No.],$B265),IF($J265="PETROL",SUMIFS(Table14[Quantity],Table14[Customer],$M$3,Table14[Date],$A265,Table14[Bill No.],$B265),IF($J265="XtraGreen",SUMIFS(Table146[Quantity],Table146[Company],$M$3,Table146[Date],$A265,Table146[Bill No.],$B265),""))))</f>
        <v/>
      </c>
      <c r="D265" s="346" t="str">
        <f>IF($A265="","",IF($J265="DIESEL",AVERAGEIFS(Table1[RSP],Table1[Customer],$M$3,Table1[Date],$A265,Table1[Bill No.],$B265),IF($J265="PETROL",AVERAGEIFS(Table14[RSP],Table14[Customer],$M$3,Table14[Date],$A265,Table14[Bill No.],$B265),IF($J265="XtraGreen",AVERAGEIFS(Table146[RSP],Table146[Company],$M$3,Table146[Date],$A265,Table146[Bill No.],$B265),IFERROR($E265/$C265,"")))))</f>
        <v/>
      </c>
      <c r="E265" s="347" t="str">
        <f>IF($A265="","",IF($J265="DIESEL",SUMIFS(Table1[Amount],Table1[Customer],$M$3,Table1[Date],$A265,Table1[Bill No.],$B265),IF($J265="PETROL",SUMIFS(Table14[Amount],Table14[Customer],$M$3,Table14[Date],$A265,Table14[Bill No.],$B265),IF($J265="XtraGreen",SUMIFS(Table146[Amount],Table146[Company],$M$3,Table146[Date],$A265,Table146[Bill No.],$B265),SUMIFS('Other Sale'!$D:$D,'Other Sale'!$E:$E,$M$3,'Other Sale'!$C:$C,$J265,'Other Sale'!$A:$A,$A265)))))</f>
        <v/>
      </c>
      <c r="F265" s="347" t="str" cm="1">
        <f t="array" ref="F265">IF($A265="","",IF($J265="Payment",IFERROR(INDEX(_xlfn._xlws.FILTER(MasterPaid[Amount Paid],(MasterPaid[Customer]=$M$3)*(MasterPaid[Date]=$A265)),COUNTIFS($A$6:$A265,$A265,$J$6:$J265,"Payment")),0),0))</f>
        <v/>
      </c>
      <c r="G265" s="331"/>
      <c r="H265" s="427"/>
      <c r="I265" s="330" t="str">
        <f t="shared" si="13"/>
        <v/>
      </c>
      <c r="J265" s="344" t="str" cm="1">
        <f t="array" ref="J265">IFERROR(INDEX(_xlfn.ANCHORARRAY($P$6),ROW()-5,3),"")</f>
        <v/>
      </c>
      <c r="K265" s="432" t="str" cm="1">
        <f t="array" ref="K265">IF(OR($A265="",$J265&lt;&gt;"DIESEL"),"",_xlfn.LET(_xlpm.qty,N($C265),_xlpm.pos,$T$5:$T$54,_xlpm.alo,IF($U$5:$U$54="",0,$U$5:$U$54),_xlpm.usd,SUMIFS($C$6:$C264,$K$6:$K264,_xlpm.pos&amp;""),_xlpm.bal,_xlpm.alo-_xlpm.usd,IFERROR(INDEX(_xlfn._xlws.FILTER(_xlpm.pos,(_xlpm.pos&lt;&gt;"")*(_xlpm.qty&gt;0)*(_xlpm.bal&gt;=_xlpm.qty)),1),"")))</f>
        <v/>
      </c>
      <c r="L265" s="348"/>
    </row>
    <row r="266" spans="1:12" ht="23" x14ac:dyDescent="0.25">
      <c r="A266" s="217" t="str" cm="1">
        <f t="array" ref="A266">IFERROR(INDEX(_xlfn.ANCHORARRAY($P$6),ROW()-5,1),"")</f>
        <v/>
      </c>
      <c r="B266" s="344" t="str" cm="1">
        <f t="array" ref="B266">IFERROR(INDEX(_xlfn.ANCHORARRAY($P$6),ROW()-5,2),"")</f>
        <v/>
      </c>
      <c r="C266" s="345" t="str">
        <f>IF($A266="","",IF($J266="DIESEL",SUMIFS(Table1[Quantity],Table1[Customer],$M$3,Table1[Date],$A266,Table1[Bill No.],$B266),IF($J266="PETROL",SUMIFS(Table14[Quantity],Table14[Customer],$M$3,Table14[Date],$A266,Table14[Bill No.],$B266),IF($J266="XtraGreen",SUMIFS(Table146[Quantity],Table146[Company],$M$3,Table146[Date],$A266,Table146[Bill No.],$B266),""))))</f>
        <v/>
      </c>
      <c r="D266" s="346" t="str">
        <f>IF($A266="","",IF($J266="DIESEL",AVERAGEIFS(Table1[RSP],Table1[Customer],$M$3,Table1[Date],$A266,Table1[Bill No.],$B266),IF($J266="PETROL",AVERAGEIFS(Table14[RSP],Table14[Customer],$M$3,Table14[Date],$A266,Table14[Bill No.],$B266),IF($J266="XtraGreen",AVERAGEIFS(Table146[RSP],Table146[Company],$M$3,Table146[Date],$A266,Table146[Bill No.],$B266),IFERROR($E266/$C266,"")))))</f>
        <v/>
      </c>
      <c r="E266" s="347" t="str">
        <f>IF($A266="","",IF($J266="DIESEL",SUMIFS(Table1[Amount],Table1[Customer],$M$3,Table1[Date],$A266,Table1[Bill No.],$B266),IF($J266="PETROL",SUMIFS(Table14[Amount],Table14[Customer],$M$3,Table14[Date],$A266,Table14[Bill No.],$B266),IF($J266="XtraGreen",SUMIFS(Table146[Amount],Table146[Company],$M$3,Table146[Date],$A266,Table146[Bill No.],$B266),SUMIFS('Other Sale'!$D:$D,'Other Sale'!$E:$E,$M$3,'Other Sale'!$C:$C,$J266,'Other Sale'!$A:$A,$A266)))))</f>
        <v/>
      </c>
      <c r="F266" s="347" t="str" cm="1">
        <f t="array" ref="F266">IF($A266="","",IF($J266="Payment",IFERROR(INDEX(_xlfn._xlws.FILTER(MasterPaid[Amount Paid],(MasterPaid[Customer]=$M$3)*(MasterPaid[Date]=$A266)),COUNTIFS($A$6:$A266,$A266,$J$6:$J266,"Payment")),0),0))</f>
        <v/>
      </c>
      <c r="G266" s="331"/>
      <c r="H266" s="427"/>
      <c r="I266" s="330" t="str">
        <f t="shared" si="13"/>
        <v/>
      </c>
      <c r="J266" s="344" t="str" cm="1">
        <f t="array" ref="J266">IFERROR(INDEX(_xlfn.ANCHORARRAY($P$6),ROW()-5,3),"")</f>
        <v/>
      </c>
      <c r="K266" s="432" t="str" cm="1">
        <f t="array" ref="K266">IF(OR($A266="",$J266&lt;&gt;"DIESEL"),"",_xlfn.LET(_xlpm.qty,N($C266),_xlpm.pos,$T$5:$T$54,_xlpm.alo,IF($U$5:$U$54="",0,$U$5:$U$54),_xlpm.usd,SUMIFS($C$6:$C265,$K$6:$K265,_xlpm.pos&amp;""),_xlpm.bal,_xlpm.alo-_xlpm.usd,IFERROR(INDEX(_xlfn._xlws.FILTER(_xlpm.pos,(_xlpm.pos&lt;&gt;"")*(_xlpm.qty&gt;0)*(_xlpm.bal&gt;=_xlpm.qty)),1),"")))</f>
        <v/>
      </c>
      <c r="L266" s="348"/>
    </row>
    <row r="267" spans="1:12" ht="23" x14ac:dyDescent="0.25">
      <c r="A267" s="217" t="str" cm="1">
        <f t="array" ref="A267">IFERROR(INDEX(_xlfn.ANCHORARRAY($P$6),ROW()-5,1),"")</f>
        <v/>
      </c>
      <c r="B267" s="344" t="str" cm="1">
        <f t="array" ref="B267">IFERROR(INDEX(_xlfn.ANCHORARRAY($P$6),ROW()-5,2),"")</f>
        <v/>
      </c>
      <c r="C267" s="345" t="str">
        <f>IF($A267="","",IF($J267="DIESEL",SUMIFS(Table1[Quantity],Table1[Customer],$M$3,Table1[Date],$A267,Table1[Bill No.],$B267),IF($J267="PETROL",SUMIFS(Table14[Quantity],Table14[Customer],$M$3,Table14[Date],$A267,Table14[Bill No.],$B267),IF($J267="XtraGreen",SUMIFS(Table146[Quantity],Table146[Company],$M$3,Table146[Date],$A267,Table146[Bill No.],$B267),""))))</f>
        <v/>
      </c>
      <c r="D267" s="346" t="str">
        <f>IF($A267="","",IF($J267="DIESEL",AVERAGEIFS(Table1[RSP],Table1[Customer],$M$3,Table1[Date],$A267,Table1[Bill No.],$B267),IF($J267="PETROL",AVERAGEIFS(Table14[RSP],Table14[Customer],$M$3,Table14[Date],$A267,Table14[Bill No.],$B267),IF($J267="XtraGreen",AVERAGEIFS(Table146[RSP],Table146[Company],$M$3,Table146[Date],$A267,Table146[Bill No.],$B267),IFERROR($E267/$C267,"")))))</f>
        <v/>
      </c>
      <c r="E267" s="347" t="str">
        <f>IF($A267="","",IF($J267="DIESEL",SUMIFS(Table1[Amount],Table1[Customer],$M$3,Table1[Date],$A267,Table1[Bill No.],$B267),IF($J267="PETROL",SUMIFS(Table14[Amount],Table14[Customer],$M$3,Table14[Date],$A267,Table14[Bill No.],$B267),IF($J267="XtraGreen",SUMIFS(Table146[Amount],Table146[Company],$M$3,Table146[Date],$A267,Table146[Bill No.],$B267),SUMIFS('Other Sale'!$D:$D,'Other Sale'!$E:$E,$M$3,'Other Sale'!$C:$C,$J267,'Other Sale'!$A:$A,$A267)))))</f>
        <v/>
      </c>
      <c r="F267" s="347" t="str" cm="1">
        <f t="array" ref="F267">IF($A267="","",IF($J267="Payment",IFERROR(INDEX(_xlfn._xlws.FILTER(MasterPaid[Amount Paid],(MasterPaid[Customer]=$M$3)*(MasterPaid[Date]=$A267)),COUNTIFS($A$6:$A267,$A267,$J$6:$J267,"Payment")),0),0))</f>
        <v/>
      </c>
      <c r="G267" s="331"/>
      <c r="H267" s="427"/>
      <c r="I267" s="330" t="str">
        <f t="shared" si="13"/>
        <v/>
      </c>
      <c r="J267" s="344" t="str" cm="1">
        <f t="array" ref="J267">IFERROR(INDEX(_xlfn.ANCHORARRAY($P$6),ROW()-5,3),"")</f>
        <v/>
      </c>
      <c r="K267" s="432" t="str" cm="1">
        <f t="array" ref="K267">IF(OR($A267="",$J267&lt;&gt;"DIESEL"),"",_xlfn.LET(_xlpm.qty,N($C267),_xlpm.pos,$T$5:$T$54,_xlpm.alo,IF($U$5:$U$54="",0,$U$5:$U$54),_xlpm.usd,SUMIFS($C$6:$C266,$K$6:$K266,_xlpm.pos&amp;""),_xlpm.bal,_xlpm.alo-_xlpm.usd,IFERROR(INDEX(_xlfn._xlws.FILTER(_xlpm.pos,(_xlpm.pos&lt;&gt;"")*(_xlpm.qty&gt;0)*(_xlpm.bal&gt;=_xlpm.qty)),1),"")))</f>
        <v/>
      </c>
      <c r="L267" s="348"/>
    </row>
    <row r="268" spans="1:12" ht="23" x14ac:dyDescent="0.25">
      <c r="A268" s="217" t="str" cm="1">
        <f t="array" ref="A268">IFERROR(INDEX(_xlfn.ANCHORARRAY($P$6),ROW()-5,1),"")</f>
        <v/>
      </c>
      <c r="B268" s="344" t="str" cm="1">
        <f t="array" ref="B268">IFERROR(INDEX(_xlfn.ANCHORARRAY($P$6),ROW()-5,2),"")</f>
        <v/>
      </c>
      <c r="C268" s="345" t="str">
        <f>IF($A268="","",IF($J268="DIESEL",SUMIFS(Table1[Quantity],Table1[Customer],$M$3,Table1[Date],$A268,Table1[Bill No.],$B268),IF($J268="PETROL",SUMIFS(Table14[Quantity],Table14[Customer],$M$3,Table14[Date],$A268,Table14[Bill No.],$B268),IF($J268="XtraGreen",SUMIFS(Table146[Quantity],Table146[Company],$M$3,Table146[Date],$A268,Table146[Bill No.],$B268),""))))</f>
        <v/>
      </c>
      <c r="D268" s="346" t="str">
        <f>IF($A268="","",IF($J268="DIESEL",AVERAGEIFS(Table1[RSP],Table1[Customer],$M$3,Table1[Date],$A268,Table1[Bill No.],$B268),IF($J268="PETROL",AVERAGEIFS(Table14[RSP],Table14[Customer],$M$3,Table14[Date],$A268,Table14[Bill No.],$B268),IF($J268="XtraGreen",AVERAGEIFS(Table146[RSP],Table146[Company],$M$3,Table146[Date],$A268,Table146[Bill No.],$B268),IFERROR($E268/$C268,"")))))</f>
        <v/>
      </c>
      <c r="E268" s="347" t="str">
        <f>IF($A268="","",IF($J268="DIESEL",SUMIFS(Table1[Amount],Table1[Customer],$M$3,Table1[Date],$A268,Table1[Bill No.],$B268),IF($J268="PETROL",SUMIFS(Table14[Amount],Table14[Customer],$M$3,Table14[Date],$A268,Table14[Bill No.],$B268),IF($J268="XtraGreen",SUMIFS(Table146[Amount],Table146[Company],$M$3,Table146[Date],$A268,Table146[Bill No.],$B268),SUMIFS('Other Sale'!$D:$D,'Other Sale'!$E:$E,$M$3,'Other Sale'!$C:$C,$J268,'Other Sale'!$A:$A,$A268)))))</f>
        <v/>
      </c>
      <c r="F268" s="347" t="str" cm="1">
        <f t="array" ref="F268">IF($A268="","",IF($J268="Payment",IFERROR(INDEX(_xlfn._xlws.FILTER(MasterPaid[Amount Paid],(MasterPaid[Customer]=$M$3)*(MasterPaid[Date]=$A268)),COUNTIFS($A$6:$A268,$A268,$J$6:$J268,"Payment")),0),0))</f>
        <v/>
      </c>
      <c r="G268" s="331"/>
      <c r="H268" s="427"/>
      <c r="I268" s="330" t="str">
        <f t="shared" si="13"/>
        <v/>
      </c>
      <c r="J268" s="344" t="str" cm="1">
        <f t="array" ref="J268">IFERROR(INDEX(_xlfn.ANCHORARRAY($P$6),ROW()-5,3),"")</f>
        <v/>
      </c>
      <c r="K268" s="432" t="str" cm="1">
        <f t="array" ref="K268">IF(OR($A268="",$J268&lt;&gt;"DIESEL"),"",_xlfn.LET(_xlpm.qty,N($C268),_xlpm.pos,$T$5:$T$54,_xlpm.alo,IF($U$5:$U$54="",0,$U$5:$U$54),_xlpm.usd,SUMIFS($C$6:$C267,$K$6:$K267,_xlpm.pos&amp;""),_xlpm.bal,_xlpm.alo-_xlpm.usd,IFERROR(INDEX(_xlfn._xlws.FILTER(_xlpm.pos,(_xlpm.pos&lt;&gt;"")*(_xlpm.qty&gt;0)*(_xlpm.bal&gt;=_xlpm.qty)),1),"")))</f>
        <v/>
      </c>
      <c r="L268" s="348"/>
    </row>
    <row r="269" spans="1:12" ht="23" x14ac:dyDescent="0.25">
      <c r="A269" s="217" t="str" cm="1">
        <f t="array" ref="A269">IFERROR(INDEX(_xlfn.ANCHORARRAY($P$6),ROW()-5,1),"")</f>
        <v/>
      </c>
      <c r="B269" s="344" t="str" cm="1">
        <f t="array" ref="B269">IFERROR(INDEX(_xlfn.ANCHORARRAY($P$6),ROW()-5,2),"")</f>
        <v/>
      </c>
      <c r="C269" s="345" t="str">
        <f>IF($A269="","",IF($J269="DIESEL",SUMIFS(Table1[Quantity],Table1[Customer],$M$3,Table1[Date],$A269,Table1[Bill No.],$B269),IF($J269="PETROL",SUMIFS(Table14[Quantity],Table14[Customer],$M$3,Table14[Date],$A269,Table14[Bill No.],$B269),IF($J269="XtraGreen",SUMIFS(Table146[Quantity],Table146[Company],$M$3,Table146[Date],$A269,Table146[Bill No.],$B269),""))))</f>
        <v/>
      </c>
      <c r="D269" s="346" t="str">
        <f>IF($A269="","",IF($J269="DIESEL",AVERAGEIFS(Table1[RSP],Table1[Customer],$M$3,Table1[Date],$A269,Table1[Bill No.],$B269),IF($J269="PETROL",AVERAGEIFS(Table14[RSP],Table14[Customer],$M$3,Table14[Date],$A269,Table14[Bill No.],$B269),IF($J269="XtraGreen",AVERAGEIFS(Table146[RSP],Table146[Company],$M$3,Table146[Date],$A269,Table146[Bill No.],$B269),IFERROR($E269/$C269,"")))))</f>
        <v/>
      </c>
      <c r="E269" s="347" t="str">
        <f>IF($A269="","",IF($J269="DIESEL",SUMIFS(Table1[Amount],Table1[Customer],$M$3,Table1[Date],$A269,Table1[Bill No.],$B269),IF($J269="PETROL",SUMIFS(Table14[Amount],Table14[Customer],$M$3,Table14[Date],$A269,Table14[Bill No.],$B269),IF($J269="XtraGreen",SUMIFS(Table146[Amount],Table146[Company],$M$3,Table146[Date],$A269,Table146[Bill No.],$B269),SUMIFS('Other Sale'!$D:$D,'Other Sale'!$E:$E,$M$3,'Other Sale'!$C:$C,$J269,'Other Sale'!$A:$A,$A269)))))</f>
        <v/>
      </c>
      <c r="F269" s="347" t="str" cm="1">
        <f t="array" ref="F269">IF($A269="","",IF($J269="Payment",IFERROR(INDEX(_xlfn._xlws.FILTER(MasterPaid[Amount Paid],(MasterPaid[Customer]=$M$3)*(MasterPaid[Date]=$A269)),COUNTIFS($A$6:$A269,$A269,$J$6:$J269,"Payment")),0),0))</f>
        <v/>
      </c>
      <c r="G269" s="331"/>
      <c r="H269" s="427"/>
      <c r="I269" s="330" t="str">
        <f t="shared" si="13"/>
        <v/>
      </c>
      <c r="J269" s="344" t="str" cm="1">
        <f t="array" ref="J269">IFERROR(INDEX(_xlfn.ANCHORARRAY($P$6),ROW()-5,3),"")</f>
        <v/>
      </c>
      <c r="K269" s="432" t="str" cm="1">
        <f t="array" ref="K269">IF(OR($A269="",$J269&lt;&gt;"DIESEL"),"",_xlfn.LET(_xlpm.qty,N($C269),_xlpm.pos,$T$5:$T$54,_xlpm.alo,IF($U$5:$U$54="",0,$U$5:$U$54),_xlpm.usd,SUMIFS($C$6:$C268,$K$6:$K268,_xlpm.pos&amp;""),_xlpm.bal,_xlpm.alo-_xlpm.usd,IFERROR(INDEX(_xlfn._xlws.FILTER(_xlpm.pos,(_xlpm.pos&lt;&gt;"")*(_xlpm.qty&gt;0)*(_xlpm.bal&gt;=_xlpm.qty)),1),"")))</f>
        <v/>
      </c>
      <c r="L269" s="348"/>
    </row>
    <row r="270" spans="1:12" ht="23" x14ac:dyDescent="0.25">
      <c r="A270" s="217" t="str" cm="1">
        <f t="array" ref="A270">IFERROR(INDEX(_xlfn.ANCHORARRAY($P$6),ROW()-5,1),"")</f>
        <v/>
      </c>
      <c r="B270" s="344" t="str" cm="1">
        <f t="array" ref="B270">IFERROR(INDEX(_xlfn.ANCHORARRAY($P$6),ROW()-5,2),"")</f>
        <v/>
      </c>
      <c r="C270" s="345" t="str">
        <f>IF($A270="","",IF($J270="DIESEL",SUMIFS(Table1[Quantity],Table1[Customer],$M$3,Table1[Date],$A270,Table1[Bill No.],$B270),IF($J270="PETROL",SUMIFS(Table14[Quantity],Table14[Customer],$M$3,Table14[Date],$A270,Table14[Bill No.],$B270),IF($J270="XtraGreen",SUMIFS(Table146[Quantity],Table146[Company],$M$3,Table146[Date],$A270,Table146[Bill No.],$B270),""))))</f>
        <v/>
      </c>
      <c r="D270" s="346" t="str">
        <f>IF($A270="","",IF($J270="DIESEL",AVERAGEIFS(Table1[RSP],Table1[Customer],$M$3,Table1[Date],$A270,Table1[Bill No.],$B270),IF($J270="PETROL",AVERAGEIFS(Table14[RSP],Table14[Customer],$M$3,Table14[Date],$A270,Table14[Bill No.],$B270),IF($J270="XtraGreen",AVERAGEIFS(Table146[RSP],Table146[Company],$M$3,Table146[Date],$A270,Table146[Bill No.],$B270),IFERROR($E270/$C270,"")))))</f>
        <v/>
      </c>
      <c r="E270" s="347" t="str">
        <f>IF($A270="","",IF($J270="DIESEL",SUMIFS(Table1[Amount],Table1[Customer],$M$3,Table1[Date],$A270,Table1[Bill No.],$B270),IF($J270="PETROL",SUMIFS(Table14[Amount],Table14[Customer],$M$3,Table14[Date],$A270,Table14[Bill No.],$B270),IF($J270="XtraGreen",SUMIFS(Table146[Amount],Table146[Company],$M$3,Table146[Date],$A270,Table146[Bill No.],$B270),SUMIFS('Other Sale'!$D:$D,'Other Sale'!$E:$E,$M$3,'Other Sale'!$C:$C,$J270,'Other Sale'!$A:$A,$A270)))))</f>
        <v/>
      </c>
      <c r="F270" s="347" t="str" cm="1">
        <f t="array" ref="F270">IF($A270="","",IF($J270="Payment",IFERROR(INDEX(_xlfn._xlws.FILTER(MasterPaid[Amount Paid],(MasterPaid[Customer]=$M$3)*(MasterPaid[Date]=$A270)),COUNTIFS($A$6:$A270,$A270,$J$6:$J270,"Payment")),0),0))</f>
        <v/>
      </c>
      <c r="G270" s="331"/>
      <c r="H270" s="427"/>
      <c r="I270" s="330" t="str">
        <f t="shared" si="13"/>
        <v/>
      </c>
      <c r="J270" s="344" t="str" cm="1">
        <f t="array" ref="J270">IFERROR(INDEX(_xlfn.ANCHORARRAY($P$6),ROW()-5,3),"")</f>
        <v/>
      </c>
      <c r="K270" s="432" t="str" cm="1">
        <f t="array" ref="K270">IF(OR($A270="",$J270&lt;&gt;"DIESEL"),"",_xlfn.LET(_xlpm.qty,N($C270),_xlpm.pos,$T$5:$T$54,_xlpm.alo,IF($U$5:$U$54="",0,$U$5:$U$54),_xlpm.usd,SUMIFS($C$6:$C269,$K$6:$K269,_xlpm.pos&amp;""),_xlpm.bal,_xlpm.alo-_xlpm.usd,IFERROR(INDEX(_xlfn._xlws.FILTER(_xlpm.pos,(_xlpm.pos&lt;&gt;"")*(_xlpm.qty&gt;0)*(_xlpm.bal&gt;=_xlpm.qty)),1),"")))</f>
        <v/>
      </c>
      <c r="L270" s="348"/>
    </row>
    <row r="271" spans="1:12" ht="23" x14ac:dyDescent="0.25">
      <c r="A271" s="217" t="str" cm="1">
        <f t="array" ref="A271">IFERROR(INDEX(_xlfn.ANCHORARRAY($P$6),ROW()-5,1),"")</f>
        <v/>
      </c>
      <c r="B271" s="344" t="str" cm="1">
        <f t="array" ref="B271">IFERROR(INDEX(_xlfn.ANCHORARRAY($P$6),ROW()-5,2),"")</f>
        <v/>
      </c>
      <c r="C271" s="345" t="str">
        <f>IF($A271="","",IF($J271="DIESEL",SUMIFS(Table1[Quantity],Table1[Customer],$M$3,Table1[Date],$A271,Table1[Bill No.],$B271),IF($J271="PETROL",SUMIFS(Table14[Quantity],Table14[Customer],$M$3,Table14[Date],$A271,Table14[Bill No.],$B271),IF($J271="XtraGreen",SUMIFS(Table146[Quantity],Table146[Company],$M$3,Table146[Date],$A271,Table146[Bill No.],$B271),""))))</f>
        <v/>
      </c>
      <c r="D271" s="346" t="str">
        <f>IF($A271="","",IF($J271="DIESEL",AVERAGEIFS(Table1[RSP],Table1[Customer],$M$3,Table1[Date],$A271,Table1[Bill No.],$B271),IF($J271="PETROL",AVERAGEIFS(Table14[RSP],Table14[Customer],$M$3,Table14[Date],$A271,Table14[Bill No.],$B271),IF($J271="XtraGreen",AVERAGEIFS(Table146[RSP],Table146[Company],$M$3,Table146[Date],$A271,Table146[Bill No.],$B271),IFERROR($E271/$C271,"")))))</f>
        <v/>
      </c>
      <c r="E271" s="347" t="str">
        <f>IF($A271="","",IF($J271="DIESEL",SUMIFS(Table1[Amount],Table1[Customer],$M$3,Table1[Date],$A271,Table1[Bill No.],$B271),IF($J271="PETROL",SUMIFS(Table14[Amount],Table14[Customer],$M$3,Table14[Date],$A271,Table14[Bill No.],$B271),IF($J271="XtraGreen",SUMIFS(Table146[Amount],Table146[Company],$M$3,Table146[Date],$A271,Table146[Bill No.],$B271),SUMIFS('Other Sale'!$D:$D,'Other Sale'!$E:$E,$M$3,'Other Sale'!$C:$C,$J271,'Other Sale'!$A:$A,$A271)))))</f>
        <v/>
      </c>
      <c r="F271" s="347" t="str" cm="1">
        <f t="array" ref="F271">IF($A271="","",IF($J271="Payment",IFERROR(INDEX(_xlfn._xlws.FILTER(MasterPaid[Amount Paid],(MasterPaid[Customer]=$M$3)*(MasterPaid[Date]=$A271)),COUNTIFS($A$6:$A271,$A271,$J$6:$J271,"Payment")),0),0))</f>
        <v/>
      </c>
      <c r="G271" s="331"/>
      <c r="H271" s="427"/>
      <c r="I271" s="330" t="str">
        <f t="shared" si="13"/>
        <v/>
      </c>
      <c r="J271" s="344" t="str" cm="1">
        <f t="array" ref="J271">IFERROR(INDEX(_xlfn.ANCHORARRAY($P$6),ROW()-5,3),"")</f>
        <v/>
      </c>
      <c r="K271" s="432" t="str" cm="1">
        <f t="array" ref="K271">IF(OR($A271="",$J271&lt;&gt;"DIESEL"),"",_xlfn.LET(_xlpm.qty,N($C271),_xlpm.pos,$T$5:$T$54,_xlpm.alo,IF($U$5:$U$54="",0,$U$5:$U$54),_xlpm.usd,SUMIFS($C$6:$C270,$K$6:$K270,_xlpm.pos&amp;""),_xlpm.bal,_xlpm.alo-_xlpm.usd,IFERROR(INDEX(_xlfn._xlws.FILTER(_xlpm.pos,(_xlpm.pos&lt;&gt;"")*(_xlpm.qty&gt;0)*(_xlpm.bal&gt;=_xlpm.qty)),1),"")))</f>
        <v/>
      </c>
      <c r="L271" s="348"/>
    </row>
    <row r="272" spans="1:12" ht="23" x14ac:dyDescent="0.25">
      <c r="A272" s="217" t="str" cm="1">
        <f t="array" ref="A272">IFERROR(INDEX(_xlfn.ANCHORARRAY($P$6),ROW()-5,1),"")</f>
        <v/>
      </c>
      <c r="B272" s="344" t="str" cm="1">
        <f t="array" ref="B272">IFERROR(INDEX(_xlfn.ANCHORARRAY($P$6),ROW()-5,2),"")</f>
        <v/>
      </c>
      <c r="C272" s="345" t="str">
        <f>IF($A272="","",IF($J272="DIESEL",SUMIFS(Table1[Quantity],Table1[Customer],$M$3,Table1[Date],$A272,Table1[Bill No.],$B272),IF($J272="PETROL",SUMIFS(Table14[Quantity],Table14[Customer],$M$3,Table14[Date],$A272,Table14[Bill No.],$B272),IF($J272="XtraGreen",SUMIFS(Table146[Quantity],Table146[Company],$M$3,Table146[Date],$A272,Table146[Bill No.],$B272),""))))</f>
        <v/>
      </c>
      <c r="D272" s="346" t="str">
        <f>IF($A272="","",IF($J272="DIESEL",AVERAGEIFS(Table1[RSP],Table1[Customer],$M$3,Table1[Date],$A272,Table1[Bill No.],$B272),IF($J272="PETROL",AVERAGEIFS(Table14[RSP],Table14[Customer],$M$3,Table14[Date],$A272,Table14[Bill No.],$B272),IF($J272="XtraGreen",AVERAGEIFS(Table146[RSP],Table146[Company],$M$3,Table146[Date],$A272,Table146[Bill No.],$B272),IFERROR($E272/$C272,"")))))</f>
        <v/>
      </c>
      <c r="E272" s="347" t="str">
        <f>IF($A272="","",IF($J272="DIESEL",SUMIFS(Table1[Amount],Table1[Customer],$M$3,Table1[Date],$A272,Table1[Bill No.],$B272),IF($J272="PETROL",SUMIFS(Table14[Amount],Table14[Customer],$M$3,Table14[Date],$A272,Table14[Bill No.],$B272),IF($J272="XtraGreen",SUMIFS(Table146[Amount],Table146[Company],$M$3,Table146[Date],$A272,Table146[Bill No.],$B272),SUMIFS('Other Sale'!$D:$D,'Other Sale'!$E:$E,$M$3,'Other Sale'!$C:$C,$J272,'Other Sale'!$A:$A,$A272)))))</f>
        <v/>
      </c>
      <c r="F272" s="347" t="str" cm="1">
        <f t="array" ref="F272">IF($A272="","",IF($J272="Payment",IFERROR(INDEX(_xlfn._xlws.FILTER(MasterPaid[Amount Paid],(MasterPaid[Customer]=$M$3)*(MasterPaid[Date]=$A272)),COUNTIFS($A$6:$A272,$A272,$J$6:$J272,"Payment")),0),0))</f>
        <v/>
      </c>
      <c r="G272" s="331"/>
      <c r="H272" s="427"/>
      <c r="I272" s="330" t="str">
        <f t="shared" si="13"/>
        <v/>
      </c>
      <c r="J272" s="344" t="str" cm="1">
        <f t="array" ref="J272">IFERROR(INDEX(_xlfn.ANCHORARRAY($P$6),ROW()-5,3),"")</f>
        <v/>
      </c>
      <c r="K272" s="432" t="str" cm="1">
        <f t="array" ref="K272">IF(OR($A272="",$J272&lt;&gt;"DIESEL"),"",_xlfn.LET(_xlpm.qty,N($C272),_xlpm.pos,$T$5:$T$54,_xlpm.alo,IF($U$5:$U$54="",0,$U$5:$U$54),_xlpm.usd,SUMIFS($C$6:$C271,$K$6:$K271,_xlpm.pos&amp;""),_xlpm.bal,_xlpm.alo-_xlpm.usd,IFERROR(INDEX(_xlfn._xlws.FILTER(_xlpm.pos,(_xlpm.pos&lt;&gt;"")*(_xlpm.qty&gt;0)*(_xlpm.bal&gt;=_xlpm.qty)),1),"")))</f>
        <v/>
      </c>
      <c r="L272" s="348"/>
    </row>
    <row r="273" spans="1:12" ht="23" x14ac:dyDescent="0.25">
      <c r="A273" s="217" t="str" cm="1">
        <f t="array" ref="A273">IFERROR(INDEX(_xlfn.ANCHORARRAY($P$6),ROW()-5,1),"")</f>
        <v/>
      </c>
      <c r="B273" s="344" t="str" cm="1">
        <f t="array" ref="B273">IFERROR(INDEX(_xlfn.ANCHORARRAY($P$6),ROW()-5,2),"")</f>
        <v/>
      </c>
      <c r="C273" s="345" t="str">
        <f>IF($A273="","",IF($J273="DIESEL",SUMIFS(Table1[Quantity],Table1[Customer],$M$3,Table1[Date],$A273,Table1[Bill No.],$B273),IF($J273="PETROL",SUMIFS(Table14[Quantity],Table14[Customer],$M$3,Table14[Date],$A273,Table14[Bill No.],$B273),IF($J273="XtraGreen",SUMIFS(Table146[Quantity],Table146[Company],$M$3,Table146[Date],$A273,Table146[Bill No.],$B273),""))))</f>
        <v/>
      </c>
      <c r="D273" s="346" t="str">
        <f>IF($A273="","",IF($J273="DIESEL",AVERAGEIFS(Table1[RSP],Table1[Customer],$M$3,Table1[Date],$A273,Table1[Bill No.],$B273),IF($J273="PETROL",AVERAGEIFS(Table14[RSP],Table14[Customer],$M$3,Table14[Date],$A273,Table14[Bill No.],$B273),IF($J273="XtraGreen",AVERAGEIFS(Table146[RSP],Table146[Company],$M$3,Table146[Date],$A273,Table146[Bill No.],$B273),IFERROR($E273/$C273,"")))))</f>
        <v/>
      </c>
      <c r="E273" s="347" t="str">
        <f>IF($A273="","",IF($J273="DIESEL",SUMIFS(Table1[Amount],Table1[Customer],$M$3,Table1[Date],$A273,Table1[Bill No.],$B273),IF($J273="PETROL",SUMIFS(Table14[Amount],Table14[Customer],$M$3,Table14[Date],$A273,Table14[Bill No.],$B273),IF($J273="XtraGreen",SUMIFS(Table146[Amount],Table146[Company],$M$3,Table146[Date],$A273,Table146[Bill No.],$B273),SUMIFS('Other Sale'!$D:$D,'Other Sale'!$E:$E,$M$3,'Other Sale'!$C:$C,$J273,'Other Sale'!$A:$A,$A273)))))</f>
        <v/>
      </c>
      <c r="F273" s="347" t="str" cm="1">
        <f t="array" ref="F273">IF($A273="","",IF($J273="Payment",IFERROR(INDEX(_xlfn._xlws.FILTER(MasterPaid[Amount Paid],(MasterPaid[Customer]=$M$3)*(MasterPaid[Date]=$A273)),COUNTIFS($A$6:$A273,$A273,$J$6:$J273,"Payment")),0),0))</f>
        <v/>
      </c>
      <c r="G273" s="331"/>
      <c r="H273" s="427"/>
      <c r="I273" s="330" t="str">
        <f t="shared" si="13"/>
        <v/>
      </c>
      <c r="J273" s="344" t="str" cm="1">
        <f t="array" ref="J273">IFERROR(INDEX(_xlfn.ANCHORARRAY($P$6),ROW()-5,3),"")</f>
        <v/>
      </c>
      <c r="K273" s="432" t="str" cm="1">
        <f t="array" ref="K273">IF(OR($A273="",$J273&lt;&gt;"DIESEL"),"",_xlfn.LET(_xlpm.qty,N($C273),_xlpm.pos,$T$5:$T$54,_xlpm.alo,IF($U$5:$U$54="",0,$U$5:$U$54),_xlpm.usd,SUMIFS($C$6:$C272,$K$6:$K272,_xlpm.pos&amp;""),_xlpm.bal,_xlpm.alo-_xlpm.usd,IFERROR(INDEX(_xlfn._xlws.FILTER(_xlpm.pos,(_xlpm.pos&lt;&gt;"")*(_xlpm.qty&gt;0)*(_xlpm.bal&gt;=_xlpm.qty)),1),"")))</f>
        <v/>
      </c>
      <c r="L273" s="348"/>
    </row>
    <row r="274" spans="1:12" ht="23" x14ac:dyDescent="0.25">
      <c r="A274" s="217" t="str" cm="1">
        <f t="array" ref="A274">IFERROR(INDEX(_xlfn.ANCHORARRAY($P$6),ROW()-5,1),"")</f>
        <v/>
      </c>
      <c r="B274" s="344" t="str" cm="1">
        <f t="array" ref="B274">IFERROR(INDEX(_xlfn.ANCHORARRAY($P$6),ROW()-5,2),"")</f>
        <v/>
      </c>
      <c r="C274" s="345" t="str">
        <f>IF($A274="","",IF($J274="DIESEL",SUMIFS(Table1[Quantity],Table1[Customer],$M$3,Table1[Date],$A274,Table1[Bill No.],$B274),IF($J274="PETROL",SUMIFS(Table14[Quantity],Table14[Customer],$M$3,Table14[Date],$A274,Table14[Bill No.],$B274),IF($J274="XtraGreen",SUMIFS(Table146[Quantity],Table146[Company],$M$3,Table146[Date],$A274,Table146[Bill No.],$B274),""))))</f>
        <v/>
      </c>
      <c r="D274" s="346" t="str">
        <f>IF($A274="","",IF($J274="DIESEL",AVERAGEIFS(Table1[RSP],Table1[Customer],$M$3,Table1[Date],$A274,Table1[Bill No.],$B274),IF($J274="PETROL",AVERAGEIFS(Table14[RSP],Table14[Customer],$M$3,Table14[Date],$A274,Table14[Bill No.],$B274),IF($J274="XtraGreen",AVERAGEIFS(Table146[RSP],Table146[Company],$M$3,Table146[Date],$A274,Table146[Bill No.],$B274),IFERROR($E274/$C274,"")))))</f>
        <v/>
      </c>
      <c r="E274" s="347" t="str">
        <f>IF($A274="","",IF($J274="DIESEL",SUMIFS(Table1[Amount],Table1[Customer],$M$3,Table1[Date],$A274,Table1[Bill No.],$B274),IF($J274="PETROL",SUMIFS(Table14[Amount],Table14[Customer],$M$3,Table14[Date],$A274,Table14[Bill No.],$B274),IF($J274="XtraGreen",SUMIFS(Table146[Amount],Table146[Company],$M$3,Table146[Date],$A274,Table146[Bill No.],$B274),SUMIFS('Other Sale'!$D:$D,'Other Sale'!$E:$E,$M$3,'Other Sale'!$C:$C,$J274,'Other Sale'!$A:$A,$A274)))))</f>
        <v/>
      </c>
      <c r="F274" s="347" t="str" cm="1">
        <f t="array" ref="F274">IF($A274="","",IF($J274="Payment",IFERROR(INDEX(_xlfn._xlws.FILTER(MasterPaid[Amount Paid],(MasterPaid[Customer]=$M$3)*(MasterPaid[Date]=$A274)),COUNTIFS($A$6:$A274,$A274,$J$6:$J274,"Payment")),0),0))</f>
        <v/>
      </c>
      <c r="G274" s="331"/>
      <c r="H274" s="427"/>
      <c r="I274" s="330" t="str">
        <f t="shared" si="13"/>
        <v/>
      </c>
      <c r="J274" s="344" t="str" cm="1">
        <f t="array" ref="J274">IFERROR(INDEX(_xlfn.ANCHORARRAY($P$6),ROW()-5,3),"")</f>
        <v/>
      </c>
      <c r="K274" s="432" t="str" cm="1">
        <f t="array" ref="K274">IF(OR($A274="",$J274&lt;&gt;"DIESEL"),"",_xlfn.LET(_xlpm.qty,N($C274),_xlpm.pos,$T$5:$T$54,_xlpm.alo,IF($U$5:$U$54="",0,$U$5:$U$54),_xlpm.usd,SUMIFS($C$6:$C273,$K$6:$K273,_xlpm.pos&amp;""),_xlpm.bal,_xlpm.alo-_xlpm.usd,IFERROR(INDEX(_xlfn._xlws.FILTER(_xlpm.pos,(_xlpm.pos&lt;&gt;"")*(_xlpm.qty&gt;0)*(_xlpm.bal&gt;=_xlpm.qty)),1),"")))</f>
        <v/>
      </c>
      <c r="L274" s="348"/>
    </row>
    <row r="275" spans="1:12" ht="23" x14ac:dyDescent="0.25">
      <c r="A275" s="217" t="str" cm="1">
        <f t="array" ref="A275">IFERROR(INDEX(_xlfn.ANCHORARRAY($P$6),ROW()-5,1),"")</f>
        <v/>
      </c>
      <c r="B275" s="344" t="str" cm="1">
        <f t="array" ref="B275">IFERROR(INDEX(_xlfn.ANCHORARRAY($P$6),ROW()-5,2),"")</f>
        <v/>
      </c>
      <c r="C275" s="345" t="str">
        <f>IF($A275="","",IF($J275="DIESEL",SUMIFS(Table1[Quantity],Table1[Customer],$M$3,Table1[Date],$A275,Table1[Bill No.],$B275),IF($J275="PETROL",SUMIFS(Table14[Quantity],Table14[Customer],$M$3,Table14[Date],$A275,Table14[Bill No.],$B275),IF($J275="XtraGreen",SUMIFS(Table146[Quantity],Table146[Company],$M$3,Table146[Date],$A275,Table146[Bill No.],$B275),""))))</f>
        <v/>
      </c>
      <c r="D275" s="346" t="str">
        <f>IF($A275="","",IF($J275="DIESEL",AVERAGEIFS(Table1[RSP],Table1[Customer],$M$3,Table1[Date],$A275,Table1[Bill No.],$B275),IF($J275="PETROL",AVERAGEIFS(Table14[RSP],Table14[Customer],$M$3,Table14[Date],$A275,Table14[Bill No.],$B275),IF($J275="XtraGreen",AVERAGEIFS(Table146[RSP],Table146[Company],$M$3,Table146[Date],$A275,Table146[Bill No.],$B275),IFERROR($E275/$C275,"")))))</f>
        <v/>
      </c>
      <c r="E275" s="347" t="str">
        <f>IF($A275="","",IF($J275="DIESEL",SUMIFS(Table1[Amount],Table1[Customer],$M$3,Table1[Date],$A275,Table1[Bill No.],$B275),IF($J275="PETROL",SUMIFS(Table14[Amount],Table14[Customer],$M$3,Table14[Date],$A275,Table14[Bill No.],$B275),IF($J275="XtraGreen",SUMIFS(Table146[Amount],Table146[Company],$M$3,Table146[Date],$A275,Table146[Bill No.],$B275),SUMIFS('Other Sale'!$D:$D,'Other Sale'!$E:$E,$M$3,'Other Sale'!$C:$C,$J275,'Other Sale'!$A:$A,$A275)))))</f>
        <v/>
      </c>
      <c r="F275" s="347" t="str" cm="1">
        <f t="array" ref="F275">IF($A275="","",IF($J275="Payment",IFERROR(INDEX(_xlfn._xlws.FILTER(MasterPaid[Amount Paid],(MasterPaid[Customer]=$M$3)*(MasterPaid[Date]=$A275)),COUNTIFS($A$6:$A275,$A275,$J$6:$J275,"Payment")),0),0))</f>
        <v/>
      </c>
      <c r="G275" s="331"/>
      <c r="H275" s="427"/>
      <c r="I275" s="330" t="str">
        <f t="shared" si="13"/>
        <v/>
      </c>
      <c r="J275" s="344" t="str" cm="1">
        <f t="array" ref="J275">IFERROR(INDEX(_xlfn.ANCHORARRAY($P$6),ROW()-5,3),"")</f>
        <v/>
      </c>
      <c r="K275" s="432" t="str" cm="1">
        <f t="array" ref="K275">IF(OR($A275="",$J275&lt;&gt;"DIESEL"),"",_xlfn.LET(_xlpm.qty,N($C275),_xlpm.pos,$T$5:$T$54,_xlpm.alo,IF($U$5:$U$54="",0,$U$5:$U$54),_xlpm.usd,SUMIFS($C$6:$C274,$K$6:$K274,_xlpm.pos&amp;""),_xlpm.bal,_xlpm.alo-_xlpm.usd,IFERROR(INDEX(_xlfn._xlws.FILTER(_xlpm.pos,(_xlpm.pos&lt;&gt;"")*(_xlpm.qty&gt;0)*(_xlpm.bal&gt;=_xlpm.qty)),1),"")))</f>
        <v/>
      </c>
      <c r="L275" s="348"/>
    </row>
    <row r="276" spans="1:12" ht="23" x14ac:dyDescent="0.25">
      <c r="A276" s="217" t="str" cm="1">
        <f t="array" ref="A276">IFERROR(INDEX(_xlfn.ANCHORARRAY($P$6),ROW()-5,1),"")</f>
        <v/>
      </c>
      <c r="B276" s="344" t="str" cm="1">
        <f t="array" ref="B276">IFERROR(INDEX(_xlfn.ANCHORARRAY($P$6),ROW()-5,2),"")</f>
        <v/>
      </c>
      <c r="C276" s="345" t="str">
        <f>IF($A276="","",IF($J276="DIESEL",SUMIFS(Table1[Quantity],Table1[Customer],$M$3,Table1[Date],$A276,Table1[Bill No.],$B276),IF($J276="PETROL",SUMIFS(Table14[Quantity],Table14[Customer],$M$3,Table14[Date],$A276,Table14[Bill No.],$B276),IF($J276="XtraGreen",SUMIFS(Table146[Quantity],Table146[Company],$M$3,Table146[Date],$A276,Table146[Bill No.],$B276),""))))</f>
        <v/>
      </c>
      <c r="D276" s="346" t="str">
        <f>IF($A276="","",IF($J276="DIESEL",AVERAGEIFS(Table1[RSP],Table1[Customer],$M$3,Table1[Date],$A276,Table1[Bill No.],$B276),IF($J276="PETROL",AVERAGEIFS(Table14[RSP],Table14[Customer],$M$3,Table14[Date],$A276,Table14[Bill No.],$B276),IF($J276="XtraGreen",AVERAGEIFS(Table146[RSP],Table146[Company],$M$3,Table146[Date],$A276,Table146[Bill No.],$B276),IFERROR($E276/$C276,"")))))</f>
        <v/>
      </c>
      <c r="E276" s="347" t="str">
        <f>IF($A276="","",IF($J276="DIESEL",SUMIFS(Table1[Amount],Table1[Customer],$M$3,Table1[Date],$A276,Table1[Bill No.],$B276),IF($J276="PETROL",SUMIFS(Table14[Amount],Table14[Customer],$M$3,Table14[Date],$A276,Table14[Bill No.],$B276),IF($J276="XtraGreen",SUMIFS(Table146[Amount],Table146[Company],$M$3,Table146[Date],$A276,Table146[Bill No.],$B276),SUMIFS('Other Sale'!$D:$D,'Other Sale'!$E:$E,$M$3,'Other Sale'!$C:$C,$J276,'Other Sale'!$A:$A,$A276)))))</f>
        <v/>
      </c>
      <c r="F276" s="347" t="str" cm="1">
        <f t="array" ref="F276">IF($A276="","",IF($J276="Payment",IFERROR(INDEX(_xlfn._xlws.FILTER(MasterPaid[Amount Paid],(MasterPaid[Customer]=$M$3)*(MasterPaid[Date]=$A276)),COUNTIFS($A$6:$A276,$A276,$J$6:$J276,"Payment")),0),0))</f>
        <v/>
      </c>
      <c r="G276" s="331"/>
      <c r="H276" s="427"/>
      <c r="I276" s="330" t="str">
        <f t="shared" si="13"/>
        <v/>
      </c>
      <c r="J276" s="344" t="str" cm="1">
        <f t="array" ref="J276">IFERROR(INDEX(_xlfn.ANCHORARRAY($P$6),ROW()-5,3),"")</f>
        <v/>
      </c>
      <c r="K276" s="432" t="str" cm="1">
        <f t="array" ref="K276">IF(OR($A276="",$J276&lt;&gt;"DIESEL"),"",_xlfn.LET(_xlpm.qty,N($C276),_xlpm.pos,$T$5:$T$54,_xlpm.alo,IF($U$5:$U$54="",0,$U$5:$U$54),_xlpm.usd,SUMIFS($C$6:$C275,$K$6:$K275,_xlpm.pos&amp;""),_xlpm.bal,_xlpm.alo-_xlpm.usd,IFERROR(INDEX(_xlfn._xlws.FILTER(_xlpm.pos,(_xlpm.pos&lt;&gt;"")*(_xlpm.qty&gt;0)*(_xlpm.bal&gt;=_xlpm.qty)),1),"")))</f>
        <v/>
      </c>
      <c r="L276" s="348"/>
    </row>
    <row r="277" spans="1:12" ht="23" x14ac:dyDescent="0.25">
      <c r="A277" s="217" t="str" cm="1">
        <f t="array" ref="A277">IFERROR(INDEX(_xlfn.ANCHORARRAY($P$6),ROW()-5,1),"")</f>
        <v/>
      </c>
      <c r="B277" s="344" t="str" cm="1">
        <f t="array" ref="B277">IFERROR(INDEX(_xlfn.ANCHORARRAY($P$6),ROW()-5,2),"")</f>
        <v/>
      </c>
      <c r="C277" s="345" t="str">
        <f>IF($A277="","",IF($J277="DIESEL",SUMIFS(Table1[Quantity],Table1[Customer],$M$3,Table1[Date],$A277,Table1[Bill No.],$B277),IF($J277="PETROL",SUMIFS(Table14[Quantity],Table14[Customer],$M$3,Table14[Date],$A277,Table14[Bill No.],$B277),IF($J277="XtraGreen",SUMIFS(Table146[Quantity],Table146[Company],$M$3,Table146[Date],$A277,Table146[Bill No.],$B277),""))))</f>
        <v/>
      </c>
      <c r="D277" s="346" t="str">
        <f>IF($A277="","",IF($J277="DIESEL",AVERAGEIFS(Table1[RSP],Table1[Customer],$M$3,Table1[Date],$A277,Table1[Bill No.],$B277),IF($J277="PETROL",AVERAGEIFS(Table14[RSP],Table14[Customer],$M$3,Table14[Date],$A277,Table14[Bill No.],$B277),IF($J277="XtraGreen",AVERAGEIFS(Table146[RSP],Table146[Company],$M$3,Table146[Date],$A277,Table146[Bill No.],$B277),IFERROR($E277/$C277,"")))))</f>
        <v/>
      </c>
      <c r="E277" s="347" t="str">
        <f>IF($A277="","",IF($J277="DIESEL",SUMIFS(Table1[Amount],Table1[Customer],$M$3,Table1[Date],$A277,Table1[Bill No.],$B277),IF($J277="PETROL",SUMIFS(Table14[Amount],Table14[Customer],$M$3,Table14[Date],$A277,Table14[Bill No.],$B277),IF($J277="XtraGreen",SUMIFS(Table146[Amount],Table146[Company],$M$3,Table146[Date],$A277,Table146[Bill No.],$B277),SUMIFS('Other Sale'!$D:$D,'Other Sale'!$E:$E,$M$3,'Other Sale'!$C:$C,$J277,'Other Sale'!$A:$A,$A277)))))</f>
        <v/>
      </c>
      <c r="F277" s="347" t="str" cm="1">
        <f t="array" ref="F277">IF($A277="","",IF($J277="Payment",IFERROR(INDEX(_xlfn._xlws.FILTER(MasterPaid[Amount Paid],(MasterPaid[Customer]=$M$3)*(MasterPaid[Date]=$A277)),COUNTIFS($A$6:$A277,$A277,$J$6:$J277,"Payment")),0),0))</f>
        <v/>
      </c>
      <c r="G277" s="331"/>
      <c r="H277" s="427"/>
      <c r="I277" s="330" t="str">
        <f t="shared" si="13"/>
        <v/>
      </c>
      <c r="J277" s="344" t="str" cm="1">
        <f t="array" ref="J277">IFERROR(INDEX(_xlfn.ANCHORARRAY($P$6),ROW()-5,3),"")</f>
        <v/>
      </c>
      <c r="K277" s="432" t="str" cm="1">
        <f t="array" ref="K277">IF(OR($A277="",$J277&lt;&gt;"DIESEL"),"",_xlfn.LET(_xlpm.qty,N($C277),_xlpm.pos,$T$5:$T$54,_xlpm.alo,IF($U$5:$U$54="",0,$U$5:$U$54),_xlpm.usd,SUMIFS($C$6:$C276,$K$6:$K276,_xlpm.pos&amp;""),_xlpm.bal,_xlpm.alo-_xlpm.usd,IFERROR(INDEX(_xlfn._xlws.FILTER(_xlpm.pos,(_xlpm.pos&lt;&gt;"")*(_xlpm.qty&gt;0)*(_xlpm.bal&gt;=_xlpm.qty)),1),"")))</f>
        <v/>
      </c>
      <c r="L277" s="348"/>
    </row>
    <row r="278" spans="1:12" ht="23" x14ac:dyDescent="0.25">
      <c r="A278" s="217" t="str" cm="1">
        <f t="array" ref="A278">IFERROR(INDEX(_xlfn.ANCHORARRAY($P$6),ROW()-5,1),"")</f>
        <v/>
      </c>
      <c r="B278" s="344" t="str" cm="1">
        <f t="array" ref="B278">IFERROR(INDEX(_xlfn.ANCHORARRAY($P$6),ROW()-5,2),"")</f>
        <v/>
      </c>
      <c r="C278" s="345" t="str">
        <f>IF($A278="","",IF($J278="DIESEL",SUMIFS(Table1[Quantity],Table1[Customer],$M$3,Table1[Date],$A278,Table1[Bill No.],$B278),IF($J278="PETROL",SUMIFS(Table14[Quantity],Table14[Customer],$M$3,Table14[Date],$A278,Table14[Bill No.],$B278),IF($J278="XtraGreen",SUMIFS(Table146[Quantity],Table146[Company],$M$3,Table146[Date],$A278,Table146[Bill No.],$B278),""))))</f>
        <v/>
      </c>
      <c r="D278" s="346" t="str">
        <f>IF($A278="","",IF($J278="DIESEL",AVERAGEIFS(Table1[RSP],Table1[Customer],$M$3,Table1[Date],$A278,Table1[Bill No.],$B278),IF($J278="PETROL",AVERAGEIFS(Table14[RSP],Table14[Customer],$M$3,Table14[Date],$A278,Table14[Bill No.],$B278),IF($J278="XtraGreen",AVERAGEIFS(Table146[RSP],Table146[Company],$M$3,Table146[Date],$A278,Table146[Bill No.],$B278),IFERROR($E278/$C278,"")))))</f>
        <v/>
      </c>
      <c r="E278" s="347" t="str">
        <f>IF($A278="","",IF($J278="DIESEL",SUMIFS(Table1[Amount],Table1[Customer],$M$3,Table1[Date],$A278,Table1[Bill No.],$B278),IF($J278="PETROL",SUMIFS(Table14[Amount],Table14[Customer],$M$3,Table14[Date],$A278,Table14[Bill No.],$B278),IF($J278="XtraGreen",SUMIFS(Table146[Amount],Table146[Company],$M$3,Table146[Date],$A278,Table146[Bill No.],$B278),SUMIFS('Other Sale'!$D:$D,'Other Sale'!$E:$E,$M$3,'Other Sale'!$C:$C,$J278,'Other Sale'!$A:$A,$A278)))))</f>
        <v/>
      </c>
      <c r="F278" s="347" t="str" cm="1">
        <f t="array" ref="F278">IF($A278="","",IF($J278="Payment",IFERROR(INDEX(_xlfn._xlws.FILTER(MasterPaid[Amount Paid],(MasterPaid[Customer]=$M$3)*(MasterPaid[Date]=$A278)),COUNTIFS($A$6:$A278,$A278,$J$6:$J278,"Payment")),0),0))</f>
        <v/>
      </c>
      <c r="G278" s="331"/>
      <c r="H278" s="427"/>
      <c r="I278" s="330" t="str">
        <f t="shared" si="13"/>
        <v/>
      </c>
      <c r="J278" s="344" t="str" cm="1">
        <f t="array" ref="J278">IFERROR(INDEX(_xlfn.ANCHORARRAY($P$6),ROW()-5,3),"")</f>
        <v/>
      </c>
      <c r="K278" s="432" t="str" cm="1">
        <f t="array" ref="K278">IF(OR($A278="",$J278&lt;&gt;"DIESEL"),"",_xlfn.LET(_xlpm.qty,N($C278),_xlpm.pos,$T$5:$T$54,_xlpm.alo,IF($U$5:$U$54="",0,$U$5:$U$54),_xlpm.usd,SUMIFS($C$6:$C277,$K$6:$K277,_xlpm.pos&amp;""),_xlpm.bal,_xlpm.alo-_xlpm.usd,IFERROR(INDEX(_xlfn._xlws.FILTER(_xlpm.pos,(_xlpm.pos&lt;&gt;"")*(_xlpm.qty&gt;0)*(_xlpm.bal&gt;=_xlpm.qty)),1),"")))</f>
        <v/>
      </c>
      <c r="L278" s="348"/>
    </row>
    <row r="279" spans="1:12" ht="23" x14ac:dyDescent="0.25">
      <c r="A279" s="217" t="str" cm="1">
        <f t="array" ref="A279">IFERROR(INDEX(_xlfn.ANCHORARRAY($P$6),ROW()-5,1),"")</f>
        <v/>
      </c>
      <c r="B279" s="344" t="str" cm="1">
        <f t="array" ref="B279">IFERROR(INDEX(_xlfn.ANCHORARRAY($P$6),ROW()-5,2),"")</f>
        <v/>
      </c>
      <c r="C279" s="345" t="str">
        <f>IF($A279="","",IF($J279="DIESEL",SUMIFS(Table1[Quantity],Table1[Customer],$M$3,Table1[Date],$A279,Table1[Bill No.],$B279),IF($J279="PETROL",SUMIFS(Table14[Quantity],Table14[Customer],$M$3,Table14[Date],$A279,Table14[Bill No.],$B279),IF($J279="XtraGreen",SUMIFS(Table146[Quantity],Table146[Company],$M$3,Table146[Date],$A279,Table146[Bill No.],$B279),""))))</f>
        <v/>
      </c>
      <c r="D279" s="346" t="str">
        <f>IF($A279="","",IF($J279="DIESEL",AVERAGEIFS(Table1[RSP],Table1[Customer],$M$3,Table1[Date],$A279,Table1[Bill No.],$B279),IF($J279="PETROL",AVERAGEIFS(Table14[RSP],Table14[Customer],$M$3,Table14[Date],$A279,Table14[Bill No.],$B279),IF($J279="XtraGreen",AVERAGEIFS(Table146[RSP],Table146[Company],$M$3,Table146[Date],$A279,Table146[Bill No.],$B279),IFERROR($E279/$C279,"")))))</f>
        <v/>
      </c>
      <c r="E279" s="347" t="str">
        <f>IF($A279="","",IF($J279="DIESEL",SUMIFS(Table1[Amount],Table1[Customer],$M$3,Table1[Date],$A279,Table1[Bill No.],$B279),IF($J279="PETROL",SUMIFS(Table14[Amount],Table14[Customer],$M$3,Table14[Date],$A279,Table14[Bill No.],$B279),IF($J279="XtraGreen",SUMIFS(Table146[Amount],Table146[Company],$M$3,Table146[Date],$A279,Table146[Bill No.],$B279),SUMIFS('Other Sale'!$D:$D,'Other Sale'!$E:$E,$M$3,'Other Sale'!$C:$C,$J279,'Other Sale'!$A:$A,$A279)))))</f>
        <v/>
      </c>
      <c r="F279" s="347" t="str" cm="1">
        <f t="array" ref="F279">IF($A279="","",IF($J279="Payment",IFERROR(INDEX(_xlfn._xlws.FILTER(MasterPaid[Amount Paid],(MasterPaid[Customer]=$M$3)*(MasterPaid[Date]=$A279)),COUNTIFS($A$6:$A279,$A279,$J$6:$J279,"Payment")),0),0))</f>
        <v/>
      </c>
      <c r="G279" s="331"/>
      <c r="H279" s="427"/>
      <c r="I279" s="330" t="str">
        <f t="shared" si="13"/>
        <v/>
      </c>
      <c r="J279" s="344" t="str" cm="1">
        <f t="array" ref="J279">IFERROR(INDEX(_xlfn.ANCHORARRAY($P$6),ROW()-5,3),"")</f>
        <v/>
      </c>
      <c r="K279" s="432" t="str" cm="1">
        <f t="array" ref="K279">IF(OR($A279="",$J279&lt;&gt;"DIESEL"),"",_xlfn.LET(_xlpm.qty,N($C279),_xlpm.pos,$T$5:$T$54,_xlpm.alo,IF($U$5:$U$54="",0,$U$5:$U$54),_xlpm.usd,SUMIFS($C$6:$C278,$K$6:$K278,_xlpm.pos&amp;""),_xlpm.bal,_xlpm.alo-_xlpm.usd,IFERROR(INDEX(_xlfn._xlws.FILTER(_xlpm.pos,(_xlpm.pos&lt;&gt;"")*(_xlpm.qty&gt;0)*(_xlpm.bal&gt;=_xlpm.qty)),1),"")))</f>
        <v/>
      </c>
      <c r="L279" s="348"/>
    </row>
    <row r="280" spans="1:12" ht="23" x14ac:dyDescent="0.25">
      <c r="A280" s="217" t="str" cm="1">
        <f t="array" ref="A280">IFERROR(INDEX(_xlfn.ANCHORARRAY($P$6),ROW()-5,1),"")</f>
        <v/>
      </c>
      <c r="B280" s="344" t="str" cm="1">
        <f t="array" ref="B280">IFERROR(INDEX(_xlfn.ANCHORARRAY($P$6),ROW()-5,2),"")</f>
        <v/>
      </c>
      <c r="C280" s="345" t="str">
        <f>IF($A280="","",IF($J280="DIESEL",SUMIFS(Table1[Quantity],Table1[Customer],$M$3,Table1[Date],$A280,Table1[Bill No.],$B280),IF($J280="PETROL",SUMIFS(Table14[Quantity],Table14[Customer],$M$3,Table14[Date],$A280,Table14[Bill No.],$B280),IF($J280="XtraGreen",SUMIFS(Table146[Quantity],Table146[Company],$M$3,Table146[Date],$A280,Table146[Bill No.],$B280),""))))</f>
        <v/>
      </c>
      <c r="D280" s="346" t="str">
        <f>IF($A280="","",IF($J280="DIESEL",AVERAGEIFS(Table1[RSP],Table1[Customer],$M$3,Table1[Date],$A280,Table1[Bill No.],$B280),IF($J280="PETROL",AVERAGEIFS(Table14[RSP],Table14[Customer],$M$3,Table14[Date],$A280,Table14[Bill No.],$B280),IF($J280="XtraGreen",AVERAGEIFS(Table146[RSP],Table146[Company],$M$3,Table146[Date],$A280,Table146[Bill No.],$B280),IFERROR($E280/$C280,"")))))</f>
        <v/>
      </c>
      <c r="E280" s="347" t="str">
        <f>IF($A280="","",IF($J280="DIESEL",SUMIFS(Table1[Amount],Table1[Customer],$M$3,Table1[Date],$A280,Table1[Bill No.],$B280),IF($J280="PETROL",SUMIFS(Table14[Amount],Table14[Customer],$M$3,Table14[Date],$A280,Table14[Bill No.],$B280),IF($J280="XtraGreen",SUMIFS(Table146[Amount],Table146[Company],$M$3,Table146[Date],$A280,Table146[Bill No.],$B280),SUMIFS('Other Sale'!$D:$D,'Other Sale'!$E:$E,$M$3,'Other Sale'!$C:$C,$J280,'Other Sale'!$A:$A,$A280)))))</f>
        <v/>
      </c>
      <c r="F280" s="347" t="str" cm="1">
        <f t="array" ref="F280">IF($A280="","",IF($J280="Payment",IFERROR(INDEX(_xlfn._xlws.FILTER(MasterPaid[Amount Paid],(MasterPaid[Customer]=$M$3)*(MasterPaid[Date]=$A280)),COUNTIFS($A$6:$A280,$A280,$J$6:$J280,"Payment")),0),0))</f>
        <v/>
      </c>
      <c r="G280" s="331"/>
      <c r="H280" s="427"/>
      <c r="I280" s="330" t="str">
        <f t="shared" si="13"/>
        <v/>
      </c>
      <c r="J280" s="344" t="str" cm="1">
        <f t="array" ref="J280">IFERROR(INDEX(_xlfn.ANCHORARRAY($P$6),ROW()-5,3),"")</f>
        <v/>
      </c>
      <c r="K280" s="432" t="str" cm="1">
        <f t="array" ref="K280">IF(OR($A280="",$J280&lt;&gt;"DIESEL"),"",_xlfn.LET(_xlpm.qty,N($C280),_xlpm.pos,$T$5:$T$54,_xlpm.alo,IF($U$5:$U$54="",0,$U$5:$U$54),_xlpm.usd,SUMIFS($C$6:$C279,$K$6:$K279,_xlpm.pos&amp;""),_xlpm.bal,_xlpm.alo-_xlpm.usd,IFERROR(INDEX(_xlfn._xlws.FILTER(_xlpm.pos,(_xlpm.pos&lt;&gt;"")*(_xlpm.qty&gt;0)*(_xlpm.bal&gt;=_xlpm.qty)),1),"")))</f>
        <v/>
      </c>
      <c r="L280" s="348"/>
    </row>
    <row r="281" spans="1:12" ht="23" x14ac:dyDescent="0.25">
      <c r="A281" s="217" t="str" cm="1">
        <f t="array" ref="A281">IFERROR(INDEX(_xlfn.ANCHORARRAY($P$6),ROW()-5,1),"")</f>
        <v/>
      </c>
      <c r="B281" s="344" t="str" cm="1">
        <f t="array" ref="B281">IFERROR(INDEX(_xlfn.ANCHORARRAY($P$6),ROW()-5,2),"")</f>
        <v/>
      </c>
      <c r="C281" s="345" t="str">
        <f>IF($A281="","",IF($J281="DIESEL",SUMIFS(Table1[Quantity],Table1[Customer],$M$3,Table1[Date],$A281,Table1[Bill No.],$B281),IF($J281="PETROL",SUMIFS(Table14[Quantity],Table14[Customer],$M$3,Table14[Date],$A281,Table14[Bill No.],$B281),IF($J281="XtraGreen",SUMIFS(Table146[Quantity],Table146[Company],$M$3,Table146[Date],$A281,Table146[Bill No.],$B281),""))))</f>
        <v/>
      </c>
      <c r="D281" s="346" t="str">
        <f>IF($A281="","",IF($J281="DIESEL",AVERAGEIFS(Table1[RSP],Table1[Customer],$M$3,Table1[Date],$A281,Table1[Bill No.],$B281),IF($J281="PETROL",AVERAGEIFS(Table14[RSP],Table14[Customer],$M$3,Table14[Date],$A281,Table14[Bill No.],$B281),IF($J281="XtraGreen",AVERAGEIFS(Table146[RSP],Table146[Company],$M$3,Table146[Date],$A281,Table146[Bill No.],$B281),IFERROR($E281/$C281,"")))))</f>
        <v/>
      </c>
      <c r="E281" s="347" t="str">
        <f>IF($A281="","",IF($J281="DIESEL",SUMIFS(Table1[Amount],Table1[Customer],$M$3,Table1[Date],$A281,Table1[Bill No.],$B281),IF($J281="PETROL",SUMIFS(Table14[Amount],Table14[Customer],$M$3,Table14[Date],$A281,Table14[Bill No.],$B281),IF($J281="XtraGreen",SUMIFS(Table146[Amount],Table146[Company],$M$3,Table146[Date],$A281,Table146[Bill No.],$B281),SUMIFS('Other Sale'!$D:$D,'Other Sale'!$E:$E,$M$3,'Other Sale'!$C:$C,$J281,'Other Sale'!$A:$A,$A281)))))</f>
        <v/>
      </c>
      <c r="F281" s="347" t="str" cm="1">
        <f t="array" ref="F281">IF($A281="","",IF($J281="Payment",IFERROR(INDEX(_xlfn._xlws.FILTER(MasterPaid[Amount Paid],(MasterPaid[Customer]=$M$3)*(MasterPaid[Date]=$A281)),COUNTIFS($A$6:$A281,$A281,$J$6:$J281,"Payment")),0),0))</f>
        <v/>
      </c>
      <c r="G281" s="331"/>
      <c r="H281" s="427"/>
      <c r="I281" s="330" t="str">
        <f t="shared" si="13"/>
        <v/>
      </c>
      <c r="J281" s="344" t="str" cm="1">
        <f t="array" ref="J281">IFERROR(INDEX(_xlfn.ANCHORARRAY($P$6),ROW()-5,3),"")</f>
        <v/>
      </c>
      <c r="K281" s="432" t="str" cm="1">
        <f t="array" ref="K281">IF(OR($A281="",$J281&lt;&gt;"DIESEL"),"",_xlfn.LET(_xlpm.qty,N($C281),_xlpm.pos,$T$5:$T$54,_xlpm.alo,IF($U$5:$U$54="",0,$U$5:$U$54),_xlpm.usd,SUMIFS($C$6:$C280,$K$6:$K280,_xlpm.pos&amp;""),_xlpm.bal,_xlpm.alo-_xlpm.usd,IFERROR(INDEX(_xlfn._xlws.FILTER(_xlpm.pos,(_xlpm.pos&lt;&gt;"")*(_xlpm.qty&gt;0)*(_xlpm.bal&gt;=_xlpm.qty)),1),"")))</f>
        <v/>
      </c>
      <c r="L281" s="348"/>
    </row>
    <row r="282" spans="1:12" ht="23" x14ac:dyDescent="0.25">
      <c r="A282" s="217" t="str" cm="1">
        <f t="array" ref="A282">IFERROR(INDEX(_xlfn.ANCHORARRAY($P$6),ROW()-5,1),"")</f>
        <v/>
      </c>
      <c r="B282" s="344" t="str" cm="1">
        <f t="array" ref="B282">IFERROR(INDEX(_xlfn.ANCHORARRAY($P$6),ROW()-5,2),"")</f>
        <v/>
      </c>
      <c r="C282" s="345" t="str">
        <f>IF($A282="","",IF($J282="DIESEL",SUMIFS(Table1[Quantity],Table1[Customer],$M$3,Table1[Date],$A282,Table1[Bill No.],$B282),IF($J282="PETROL",SUMIFS(Table14[Quantity],Table14[Customer],$M$3,Table14[Date],$A282,Table14[Bill No.],$B282),IF($J282="XtraGreen",SUMIFS(Table146[Quantity],Table146[Company],$M$3,Table146[Date],$A282,Table146[Bill No.],$B282),""))))</f>
        <v/>
      </c>
      <c r="D282" s="346" t="str">
        <f>IF($A282="","",IF($J282="DIESEL",AVERAGEIFS(Table1[RSP],Table1[Customer],$M$3,Table1[Date],$A282,Table1[Bill No.],$B282),IF($J282="PETROL",AVERAGEIFS(Table14[RSP],Table14[Customer],$M$3,Table14[Date],$A282,Table14[Bill No.],$B282),IF($J282="XtraGreen",AVERAGEIFS(Table146[RSP],Table146[Company],$M$3,Table146[Date],$A282,Table146[Bill No.],$B282),IFERROR($E282/$C282,"")))))</f>
        <v/>
      </c>
      <c r="E282" s="347" t="str">
        <f>IF($A282="","",IF($J282="DIESEL",SUMIFS(Table1[Amount],Table1[Customer],$M$3,Table1[Date],$A282,Table1[Bill No.],$B282),IF($J282="PETROL",SUMIFS(Table14[Amount],Table14[Customer],$M$3,Table14[Date],$A282,Table14[Bill No.],$B282),IF($J282="XtraGreen",SUMIFS(Table146[Amount],Table146[Company],$M$3,Table146[Date],$A282,Table146[Bill No.],$B282),SUMIFS('Other Sale'!$D:$D,'Other Sale'!$E:$E,$M$3,'Other Sale'!$C:$C,$J282,'Other Sale'!$A:$A,$A282)))))</f>
        <v/>
      </c>
      <c r="F282" s="347" t="str" cm="1">
        <f t="array" ref="F282">IF($A282="","",IF($J282="Payment",IFERROR(INDEX(_xlfn._xlws.FILTER(MasterPaid[Amount Paid],(MasterPaid[Customer]=$M$3)*(MasterPaid[Date]=$A282)),COUNTIFS($A$6:$A282,$A282,$J$6:$J282,"Payment")),0),0))</f>
        <v/>
      </c>
      <c r="G282" s="331"/>
      <c r="H282" s="427"/>
      <c r="I282" s="330" t="str">
        <f t="shared" si="13"/>
        <v/>
      </c>
      <c r="J282" s="344" t="str" cm="1">
        <f t="array" ref="J282">IFERROR(INDEX(_xlfn.ANCHORARRAY($P$6),ROW()-5,3),"")</f>
        <v/>
      </c>
      <c r="K282" s="432" t="str" cm="1">
        <f t="array" ref="K282">IF(OR($A282="",$J282&lt;&gt;"DIESEL"),"",_xlfn.LET(_xlpm.qty,N($C282),_xlpm.pos,$T$5:$T$54,_xlpm.alo,IF($U$5:$U$54="",0,$U$5:$U$54),_xlpm.usd,SUMIFS($C$6:$C281,$K$6:$K281,_xlpm.pos&amp;""),_xlpm.bal,_xlpm.alo-_xlpm.usd,IFERROR(INDEX(_xlfn._xlws.FILTER(_xlpm.pos,(_xlpm.pos&lt;&gt;"")*(_xlpm.qty&gt;0)*(_xlpm.bal&gt;=_xlpm.qty)),1),"")))</f>
        <v/>
      </c>
      <c r="L282" s="348"/>
    </row>
    <row r="283" spans="1:12" ht="23" x14ac:dyDescent="0.25">
      <c r="A283" s="217" t="str" cm="1">
        <f t="array" ref="A283">IFERROR(INDEX(_xlfn.ANCHORARRAY($P$6),ROW()-5,1),"")</f>
        <v/>
      </c>
      <c r="B283" s="344" t="str" cm="1">
        <f t="array" ref="B283">IFERROR(INDEX(_xlfn.ANCHORARRAY($P$6),ROW()-5,2),"")</f>
        <v/>
      </c>
      <c r="C283" s="345" t="str">
        <f>IF($A283="","",IF($J283="DIESEL",SUMIFS(Table1[Quantity],Table1[Customer],$M$3,Table1[Date],$A283,Table1[Bill No.],$B283),IF($J283="PETROL",SUMIFS(Table14[Quantity],Table14[Customer],$M$3,Table14[Date],$A283,Table14[Bill No.],$B283),IF($J283="XtraGreen",SUMIFS(Table146[Quantity],Table146[Company],$M$3,Table146[Date],$A283,Table146[Bill No.],$B283),""))))</f>
        <v/>
      </c>
      <c r="D283" s="346" t="str">
        <f>IF($A283="","",IF($J283="DIESEL",AVERAGEIFS(Table1[RSP],Table1[Customer],$M$3,Table1[Date],$A283,Table1[Bill No.],$B283),IF($J283="PETROL",AVERAGEIFS(Table14[RSP],Table14[Customer],$M$3,Table14[Date],$A283,Table14[Bill No.],$B283),IF($J283="XtraGreen",AVERAGEIFS(Table146[RSP],Table146[Company],$M$3,Table146[Date],$A283,Table146[Bill No.],$B283),IFERROR($E283/$C283,"")))))</f>
        <v/>
      </c>
      <c r="E283" s="347" t="str">
        <f>IF($A283="","",IF($J283="DIESEL",SUMIFS(Table1[Amount],Table1[Customer],$M$3,Table1[Date],$A283,Table1[Bill No.],$B283),IF($J283="PETROL",SUMIFS(Table14[Amount],Table14[Customer],$M$3,Table14[Date],$A283,Table14[Bill No.],$B283),IF($J283="XtraGreen",SUMIFS(Table146[Amount],Table146[Company],$M$3,Table146[Date],$A283,Table146[Bill No.],$B283),SUMIFS('Other Sale'!$D:$D,'Other Sale'!$E:$E,$M$3,'Other Sale'!$C:$C,$J283,'Other Sale'!$A:$A,$A283)))))</f>
        <v/>
      </c>
      <c r="F283" s="347" t="str" cm="1">
        <f t="array" ref="F283">IF($A283="","",IF($J283="Payment",IFERROR(INDEX(_xlfn._xlws.FILTER(MasterPaid[Amount Paid],(MasterPaid[Customer]=$M$3)*(MasterPaid[Date]=$A283)),COUNTIFS($A$6:$A283,$A283,$J$6:$J283,"Payment")),0),0))</f>
        <v/>
      </c>
      <c r="G283" s="331"/>
      <c r="H283" s="427"/>
      <c r="I283" s="330" t="str">
        <f t="shared" si="13"/>
        <v/>
      </c>
      <c r="J283" s="344" t="str" cm="1">
        <f t="array" ref="J283">IFERROR(INDEX(_xlfn.ANCHORARRAY($P$6),ROW()-5,3),"")</f>
        <v/>
      </c>
      <c r="K283" s="432" t="str" cm="1">
        <f t="array" ref="K283">IF(OR($A283="",$J283&lt;&gt;"DIESEL"),"",_xlfn.LET(_xlpm.qty,N($C283),_xlpm.pos,$T$5:$T$54,_xlpm.alo,IF($U$5:$U$54="",0,$U$5:$U$54),_xlpm.usd,SUMIFS($C$6:$C282,$K$6:$K282,_xlpm.pos&amp;""),_xlpm.bal,_xlpm.alo-_xlpm.usd,IFERROR(INDEX(_xlfn._xlws.FILTER(_xlpm.pos,(_xlpm.pos&lt;&gt;"")*(_xlpm.qty&gt;0)*(_xlpm.bal&gt;=_xlpm.qty)),1),"")))</f>
        <v/>
      </c>
      <c r="L283" s="348"/>
    </row>
    <row r="284" spans="1:12" ht="23" x14ac:dyDescent="0.25">
      <c r="A284" s="217" t="str" cm="1">
        <f t="array" ref="A284">IFERROR(INDEX(_xlfn.ANCHORARRAY($P$6),ROW()-5,1),"")</f>
        <v/>
      </c>
      <c r="B284" s="344" t="str" cm="1">
        <f t="array" ref="B284">IFERROR(INDEX(_xlfn.ANCHORARRAY($P$6),ROW()-5,2),"")</f>
        <v/>
      </c>
      <c r="C284" s="345" t="str">
        <f>IF($A284="","",IF($J284="DIESEL",SUMIFS(Table1[Quantity],Table1[Customer],$M$3,Table1[Date],$A284,Table1[Bill No.],$B284),IF($J284="PETROL",SUMIFS(Table14[Quantity],Table14[Customer],$M$3,Table14[Date],$A284,Table14[Bill No.],$B284),IF($J284="XtraGreen",SUMIFS(Table146[Quantity],Table146[Company],$M$3,Table146[Date],$A284,Table146[Bill No.],$B284),""))))</f>
        <v/>
      </c>
      <c r="D284" s="346" t="str">
        <f>IF($A284="","",IF($J284="DIESEL",AVERAGEIFS(Table1[RSP],Table1[Customer],$M$3,Table1[Date],$A284,Table1[Bill No.],$B284),IF($J284="PETROL",AVERAGEIFS(Table14[RSP],Table14[Customer],$M$3,Table14[Date],$A284,Table14[Bill No.],$B284),IF($J284="XtraGreen",AVERAGEIFS(Table146[RSP],Table146[Company],$M$3,Table146[Date],$A284,Table146[Bill No.],$B284),IFERROR($E284/$C284,"")))))</f>
        <v/>
      </c>
      <c r="E284" s="347" t="str">
        <f>IF($A284="","",IF($J284="DIESEL",SUMIFS(Table1[Amount],Table1[Customer],$M$3,Table1[Date],$A284,Table1[Bill No.],$B284),IF($J284="PETROL",SUMIFS(Table14[Amount],Table14[Customer],$M$3,Table14[Date],$A284,Table14[Bill No.],$B284),IF($J284="XtraGreen",SUMIFS(Table146[Amount],Table146[Company],$M$3,Table146[Date],$A284,Table146[Bill No.],$B284),SUMIFS('Other Sale'!$D:$D,'Other Sale'!$E:$E,$M$3,'Other Sale'!$C:$C,$J284,'Other Sale'!$A:$A,$A284)))))</f>
        <v/>
      </c>
      <c r="F284" s="347" t="str" cm="1">
        <f t="array" ref="F284">IF($A284="","",IF($J284="Payment",IFERROR(INDEX(_xlfn._xlws.FILTER(MasterPaid[Amount Paid],(MasterPaid[Customer]=$M$3)*(MasterPaid[Date]=$A284)),COUNTIFS($A$6:$A284,$A284,$J$6:$J284,"Payment")),0),0))</f>
        <v/>
      </c>
      <c r="G284" s="331"/>
      <c r="H284" s="427"/>
      <c r="I284" s="330" t="str">
        <f t="shared" si="13"/>
        <v/>
      </c>
      <c r="J284" s="344" t="str" cm="1">
        <f t="array" ref="J284">IFERROR(INDEX(_xlfn.ANCHORARRAY($P$6),ROW()-5,3),"")</f>
        <v/>
      </c>
      <c r="K284" s="432" t="str" cm="1">
        <f t="array" ref="K284">IF(OR($A284="",$J284&lt;&gt;"DIESEL"),"",_xlfn.LET(_xlpm.qty,N($C284),_xlpm.pos,$T$5:$T$54,_xlpm.alo,IF($U$5:$U$54="",0,$U$5:$U$54),_xlpm.usd,SUMIFS($C$6:$C283,$K$6:$K283,_xlpm.pos&amp;""),_xlpm.bal,_xlpm.alo-_xlpm.usd,IFERROR(INDEX(_xlfn._xlws.FILTER(_xlpm.pos,(_xlpm.pos&lt;&gt;"")*(_xlpm.qty&gt;0)*(_xlpm.bal&gt;=_xlpm.qty)),1),"")))</f>
        <v/>
      </c>
      <c r="L284" s="348"/>
    </row>
    <row r="285" spans="1:12" ht="23" x14ac:dyDescent="0.25">
      <c r="A285" s="217" t="str" cm="1">
        <f t="array" ref="A285">IFERROR(INDEX(_xlfn.ANCHORARRAY($P$6),ROW()-5,1),"")</f>
        <v/>
      </c>
      <c r="B285" s="344" t="str" cm="1">
        <f t="array" ref="B285">IFERROR(INDEX(_xlfn.ANCHORARRAY($P$6),ROW()-5,2),"")</f>
        <v/>
      </c>
      <c r="C285" s="345" t="str">
        <f>IF($A285="","",IF($J285="DIESEL",SUMIFS(Table1[Quantity],Table1[Customer],$M$3,Table1[Date],$A285,Table1[Bill No.],$B285),IF($J285="PETROL",SUMIFS(Table14[Quantity],Table14[Customer],$M$3,Table14[Date],$A285,Table14[Bill No.],$B285),IF($J285="XtraGreen",SUMIFS(Table146[Quantity],Table146[Company],$M$3,Table146[Date],$A285,Table146[Bill No.],$B285),""))))</f>
        <v/>
      </c>
      <c r="D285" s="346" t="str">
        <f>IF($A285="","",IF($J285="DIESEL",AVERAGEIFS(Table1[RSP],Table1[Customer],$M$3,Table1[Date],$A285,Table1[Bill No.],$B285),IF($J285="PETROL",AVERAGEIFS(Table14[RSP],Table14[Customer],$M$3,Table14[Date],$A285,Table14[Bill No.],$B285),IF($J285="XtraGreen",AVERAGEIFS(Table146[RSP],Table146[Company],$M$3,Table146[Date],$A285,Table146[Bill No.],$B285),IFERROR($E285/$C285,"")))))</f>
        <v/>
      </c>
      <c r="E285" s="347" t="str">
        <f>IF($A285="","",IF($J285="DIESEL",SUMIFS(Table1[Amount],Table1[Customer],$M$3,Table1[Date],$A285,Table1[Bill No.],$B285),IF($J285="PETROL",SUMIFS(Table14[Amount],Table14[Customer],$M$3,Table14[Date],$A285,Table14[Bill No.],$B285),IF($J285="XtraGreen",SUMIFS(Table146[Amount],Table146[Company],$M$3,Table146[Date],$A285,Table146[Bill No.],$B285),SUMIFS('Other Sale'!$D:$D,'Other Sale'!$E:$E,$M$3,'Other Sale'!$C:$C,$J285,'Other Sale'!$A:$A,$A285)))))</f>
        <v/>
      </c>
      <c r="F285" s="347" t="str" cm="1">
        <f t="array" ref="F285">IF($A285="","",IF($J285="Payment",IFERROR(INDEX(_xlfn._xlws.FILTER(MasterPaid[Amount Paid],(MasterPaid[Customer]=$M$3)*(MasterPaid[Date]=$A285)),COUNTIFS($A$6:$A285,$A285,$J$6:$J285,"Payment")),0),0))</f>
        <v/>
      </c>
      <c r="G285" s="331"/>
      <c r="H285" s="427"/>
      <c r="I285" s="330" t="str">
        <f t="shared" si="13"/>
        <v/>
      </c>
      <c r="J285" s="344" t="str" cm="1">
        <f t="array" ref="J285">IFERROR(INDEX(_xlfn.ANCHORARRAY($P$6),ROW()-5,3),"")</f>
        <v/>
      </c>
      <c r="K285" s="432" t="str" cm="1">
        <f t="array" ref="K285">IF(OR($A285="",$J285&lt;&gt;"DIESEL"),"",_xlfn.LET(_xlpm.qty,N($C285),_xlpm.pos,$T$5:$T$54,_xlpm.alo,IF($U$5:$U$54="",0,$U$5:$U$54),_xlpm.usd,SUMIFS($C$6:$C284,$K$6:$K284,_xlpm.pos&amp;""),_xlpm.bal,_xlpm.alo-_xlpm.usd,IFERROR(INDEX(_xlfn._xlws.FILTER(_xlpm.pos,(_xlpm.pos&lt;&gt;"")*(_xlpm.qty&gt;0)*(_xlpm.bal&gt;=_xlpm.qty)),1),"")))</f>
        <v/>
      </c>
      <c r="L285" s="348"/>
    </row>
    <row r="286" spans="1:12" ht="23" x14ac:dyDescent="0.25">
      <c r="A286" s="217" t="str" cm="1">
        <f t="array" ref="A286">IFERROR(INDEX(_xlfn.ANCHORARRAY($P$6),ROW()-5,1),"")</f>
        <v/>
      </c>
      <c r="B286" s="344" t="str" cm="1">
        <f t="array" ref="B286">IFERROR(INDEX(_xlfn.ANCHORARRAY($P$6),ROW()-5,2),"")</f>
        <v/>
      </c>
      <c r="C286" s="345" t="str">
        <f>IF($A286="","",IF($J286="DIESEL",SUMIFS(Table1[Quantity],Table1[Customer],$M$3,Table1[Date],$A286,Table1[Bill No.],$B286),IF($J286="PETROL",SUMIFS(Table14[Quantity],Table14[Customer],$M$3,Table14[Date],$A286,Table14[Bill No.],$B286),IF($J286="XtraGreen",SUMIFS(Table146[Quantity],Table146[Company],$M$3,Table146[Date],$A286,Table146[Bill No.],$B286),""))))</f>
        <v/>
      </c>
      <c r="D286" s="346" t="str">
        <f>IF($A286="","",IF($J286="DIESEL",AVERAGEIFS(Table1[RSP],Table1[Customer],$M$3,Table1[Date],$A286,Table1[Bill No.],$B286),IF($J286="PETROL",AVERAGEIFS(Table14[RSP],Table14[Customer],$M$3,Table14[Date],$A286,Table14[Bill No.],$B286),IF($J286="XtraGreen",AVERAGEIFS(Table146[RSP],Table146[Company],$M$3,Table146[Date],$A286,Table146[Bill No.],$B286),IFERROR($E286/$C286,"")))))</f>
        <v/>
      </c>
      <c r="E286" s="347" t="str">
        <f>IF($A286="","",IF($J286="DIESEL",SUMIFS(Table1[Amount],Table1[Customer],$M$3,Table1[Date],$A286,Table1[Bill No.],$B286),IF($J286="PETROL",SUMIFS(Table14[Amount],Table14[Customer],$M$3,Table14[Date],$A286,Table14[Bill No.],$B286),IF($J286="XtraGreen",SUMIFS(Table146[Amount],Table146[Company],$M$3,Table146[Date],$A286,Table146[Bill No.],$B286),SUMIFS('Other Sale'!$D:$D,'Other Sale'!$E:$E,$M$3,'Other Sale'!$C:$C,$J286,'Other Sale'!$A:$A,$A286)))))</f>
        <v/>
      </c>
      <c r="F286" s="347" t="str" cm="1">
        <f t="array" ref="F286">IF($A286="","",IF($J286="Payment",IFERROR(INDEX(_xlfn._xlws.FILTER(MasterPaid[Amount Paid],(MasterPaid[Customer]=$M$3)*(MasterPaid[Date]=$A286)),COUNTIFS($A$6:$A286,$A286,$J$6:$J286,"Payment")),0),0))</f>
        <v/>
      </c>
      <c r="G286" s="331"/>
      <c r="H286" s="427"/>
      <c r="I286" s="330" t="str">
        <f t="shared" si="13"/>
        <v/>
      </c>
      <c r="J286" s="344" t="str" cm="1">
        <f t="array" ref="J286">IFERROR(INDEX(_xlfn.ANCHORARRAY($P$6),ROW()-5,3),"")</f>
        <v/>
      </c>
      <c r="K286" s="432" t="str" cm="1">
        <f t="array" ref="K286">IF(OR($A286="",$J286&lt;&gt;"DIESEL"),"",_xlfn.LET(_xlpm.qty,N($C286),_xlpm.pos,$T$5:$T$54,_xlpm.alo,IF($U$5:$U$54="",0,$U$5:$U$54),_xlpm.usd,SUMIFS($C$6:$C285,$K$6:$K285,_xlpm.pos&amp;""),_xlpm.bal,_xlpm.alo-_xlpm.usd,IFERROR(INDEX(_xlfn._xlws.FILTER(_xlpm.pos,(_xlpm.pos&lt;&gt;"")*(_xlpm.qty&gt;0)*(_xlpm.bal&gt;=_xlpm.qty)),1),"")))</f>
        <v/>
      </c>
      <c r="L286" s="348"/>
    </row>
    <row r="287" spans="1:12" ht="23" x14ac:dyDescent="0.25">
      <c r="A287" s="217" t="str" cm="1">
        <f t="array" ref="A287">IFERROR(INDEX(_xlfn.ANCHORARRAY($P$6),ROW()-5,1),"")</f>
        <v/>
      </c>
      <c r="B287" s="344" t="str" cm="1">
        <f t="array" ref="B287">IFERROR(INDEX(_xlfn.ANCHORARRAY($P$6),ROW()-5,2),"")</f>
        <v/>
      </c>
      <c r="C287" s="345" t="str">
        <f>IF($A287="","",IF($J287="DIESEL",SUMIFS(Table1[Quantity],Table1[Customer],$M$3,Table1[Date],$A287,Table1[Bill No.],$B287),IF($J287="PETROL",SUMIFS(Table14[Quantity],Table14[Customer],$M$3,Table14[Date],$A287,Table14[Bill No.],$B287),IF($J287="XtraGreen",SUMIFS(Table146[Quantity],Table146[Company],$M$3,Table146[Date],$A287,Table146[Bill No.],$B287),""))))</f>
        <v/>
      </c>
      <c r="D287" s="346" t="str">
        <f>IF($A287="","",IF($J287="DIESEL",AVERAGEIFS(Table1[RSP],Table1[Customer],$M$3,Table1[Date],$A287,Table1[Bill No.],$B287),IF($J287="PETROL",AVERAGEIFS(Table14[RSP],Table14[Customer],$M$3,Table14[Date],$A287,Table14[Bill No.],$B287),IF($J287="XtraGreen",AVERAGEIFS(Table146[RSP],Table146[Company],$M$3,Table146[Date],$A287,Table146[Bill No.],$B287),IFERROR($E287/$C287,"")))))</f>
        <v/>
      </c>
      <c r="E287" s="347" t="str">
        <f>IF($A287="","",IF($J287="DIESEL",SUMIFS(Table1[Amount],Table1[Customer],$M$3,Table1[Date],$A287,Table1[Bill No.],$B287),IF($J287="PETROL",SUMIFS(Table14[Amount],Table14[Customer],$M$3,Table14[Date],$A287,Table14[Bill No.],$B287),IF($J287="XtraGreen",SUMIFS(Table146[Amount],Table146[Company],$M$3,Table146[Date],$A287,Table146[Bill No.],$B287),SUMIFS('Other Sale'!$D:$D,'Other Sale'!$E:$E,$M$3,'Other Sale'!$C:$C,$J287,'Other Sale'!$A:$A,$A287)))))</f>
        <v/>
      </c>
      <c r="F287" s="347" t="str" cm="1">
        <f t="array" ref="F287">IF($A287="","",IF($J287="Payment",IFERROR(INDEX(_xlfn._xlws.FILTER(MasterPaid[Amount Paid],(MasterPaid[Customer]=$M$3)*(MasterPaid[Date]=$A287)),COUNTIFS($A$6:$A287,$A287,$J$6:$J287,"Payment")),0),0))</f>
        <v/>
      </c>
      <c r="G287" s="331"/>
      <c r="H287" s="427"/>
      <c r="I287" s="330" t="str">
        <f t="shared" si="13"/>
        <v/>
      </c>
      <c r="J287" s="344" t="str" cm="1">
        <f t="array" ref="J287">IFERROR(INDEX(_xlfn.ANCHORARRAY($P$6),ROW()-5,3),"")</f>
        <v/>
      </c>
      <c r="K287" s="432" t="str" cm="1">
        <f t="array" ref="K287">IF(OR($A287="",$J287&lt;&gt;"DIESEL"),"",_xlfn.LET(_xlpm.qty,N($C287),_xlpm.pos,$T$5:$T$54,_xlpm.alo,IF($U$5:$U$54="",0,$U$5:$U$54),_xlpm.usd,SUMIFS($C$6:$C286,$K$6:$K286,_xlpm.pos&amp;""),_xlpm.bal,_xlpm.alo-_xlpm.usd,IFERROR(INDEX(_xlfn._xlws.FILTER(_xlpm.pos,(_xlpm.pos&lt;&gt;"")*(_xlpm.qty&gt;0)*(_xlpm.bal&gt;=_xlpm.qty)),1),"")))</f>
        <v/>
      </c>
      <c r="L287" s="348"/>
    </row>
    <row r="288" spans="1:12" ht="23" x14ac:dyDescent="0.25">
      <c r="A288" s="217" t="str" cm="1">
        <f t="array" ref="A288">IFERROR(INDEX(_xlfn.ANCHORARRAY($P$6),ROW()-5,1),"")</f>
        <v/>
      </c>
      <c r="B288" s="344" t="str" cm="1">
        <f t="array" ref="B288">IFERROR(INDEX(_xlfn.ANCHORARRAY($P$6),ROW()-5,2),"")</f>
        <v/>
      </c>
      <c r="C288" s="345" t="str">
        <f>IF($A288="","",IF($J288="DIESEL",SUMIFS(Table1[Quantity],Table1[Customer],$M$3,Table1[Date],$A288,Table1[Bill No.],$B288),IF($J288="PETROL",SUMIFS(Table14[Quantity],Table14[Customer],$M$3,Table14[Date],$A288,Table14[Bill No.],$B288),IF($J288="XtraGreen",SUMIFS(Table146[Quantity],Table146[Company],$M$3,Table146[Date],$A288,Table146[Bill No.],$B288),""))))</f>
        <v/>
      </c>
      <c r="D288" s="346" t="str">
        <f>IF($A288="","",IF($J288="DIESEL",AVERAGEIFS(Table1[RSP],Table1[Customer],$M$3,Table1[Date],$A288,Table1[Bill No.],$B288),IF($J288="PETROL",AVERAGEIFS(Table14[RSP],Table14[Customer],$M$3,Table14[Date],$A288,Table14[Bill No.],$B288),IF($J288="XtraGreen",AVERAGEIFS(Table146[RSP],Table146[Company],$M$3,Table146[Date],$A288,Table146[Bill No.],$B288),IFERROR($E288/$C288,"")))))</f>
        <v/>
      </c>
      <c r="E288" s="347" t="str">
        <f>IF($A288="","",IF($J288="DIESEL",SUMIFS(Table1[Amount],Table1[Customer],$M$3,Table1[Date],$A288,Table1[Bill No.],$B288),IF($J288="PETROL",SUMIFS(Table14[Amount],Table14[Customer],$M$3,Table14[Date],$A288,Table14[Bill No.],$B288),IF($J288="XtraGreen",SUMIFS(Table146[Amount],Table146[Company],$M$3,Table146[Date],$A288,Table146[Bill No.],$B288),SUMIFS('Other Sale'!$D:$D,'Other Sale'!$E:$E,$M$3,'Other Sale'!$C:$C,$J288,'Other Sale'!$A:$A,$A288)))))</f>
        <v/>
      </c>
      <c r="F288" s="347" t="str" cm="1">
        <f t="array" ref="F288">IF($A288="","",IF($J288="Payment",IFERROR(INDEX(_xlfn._xlws.FILTER(MasterPaid[Amount Paid],(MasterPaid[Customer]=$M$3)*(MasterPaid[Date]=$A288)),COUNTIFS($A$6:$A288,$A288,$J$6:$J288,"Payment")),0),0))</f>
        <v/>
      </c>
      <c r="G288" s="331"/>
      <c r="H288" s="427"/>
      <c r="I288" s="330" t="str">
        <f t="shared" si="13"/>
        <v/>
      </c>
      <c r="J288" s="344" t="str" cm="1">
        <f t="array" ref="J288">IFERROR(INDEX(_xlfn.ANCHORARRAY($P$6),ROW()-5,3),"")</f>
        <v/>
      </c>
      <c r="K288" s="432" t="str" cm="1">
        <f t="array" ref="K288">IF(OR($A288="",$J288&lt;&gt;"DIESEL"),"",_xlfn.LET(_xlpm.qty,N($C288),_xlpm.pos,$T$5:$T$54,_xlpm.alo,IF($U$5:$U$54="",0,$U$5:$U$54),_xlpm.usd,SUMIFS($C$6:$C287,$K$6:$K287,_xlpm.pos&amp;""),_xlpm.bal,_xlpm.alo-_xlpm.usd,IFERROR(INDEX(_xlfn._xlws.FILTER(_xlpm.pos,(_xlpm.pos&lt;&gt;"")*(_xlpm.qty&gt;0)*(_xlpm.bal&gt;=_xlpm.qty)),1),"")))</f>
        <v/>
      </c>
      <c r="L288" s="348"/>
    </row>
    <row r="289" spans="1:12" ht="23" x14ac:dyDescent="0.25">
      <c r="A289" s="217" t="str" cm="1">
        <f t="array" ref="A289">IFERROR(INDEX(_xlfn.ANCHORARRAY($P$6),ROW()-5,1),"")</f>
        <v/>
      </c>
      <c r="B289" s="344" t="str" cm="1">
        <f t="array" ref="B289">IFERROR(INDEX(_xlfn.ANCHORARRAY($P$6),ROW()-5,2),"")</f>
        <v/>
      </c>
      <c r="C289" s="345" t="str">
        <f>IF($A289="","",IF($J289="DIESEL",SUMIFS(Table1[Quantity],Table1[Customer],$M$3,Table1[Date],$A289,Table1[Bill No.],$B289),IF($J289="PETROL",SUMIFS(Table14[Quantity],Table14[Customer],$M$3,Table14[Date],$A289,Table14[Bill No.],$B289),IF($J289="XtraGreen",SUMIFS(Table146[Quantity],Table146[Company],$M$3,Table146[Date],$A289,Table146[Bill No.],$B289),""))))</f>
        <v/>
      </c>
      <c r="D289" s="346" t="str">
        <f>IF($A289="","",IF($J289="DIESEL",AVERAGEIFS(Table1[RSP],Table1[Customer],$M$3,Table1[Date],$A289,Table1[Bill No.],$B289),IF($J289="PETROL",AVERAGEIFS(Table14[RSP],Table14[Customer],$M$3,Table14[Date],$A289,Table14[Bill No.],$B289),IF($J289="XtraGreen",AVERAGEIFS(Table146[RSP],Table146[Company],$M$3,Table146[Date],$A289,Table146[Bill No.],$B289),IFERROR($E289/$C289,"")))))</f>
        <v/>
      </c>
      <c r="E289" s="347" t="str">
        <f>IF($A289="","",IF($J289="DIESEL",SUMIFS(Table1[Amount],Table1[Customer],$M$3,Table1[Date],$A289,Table1[Bill No.],$B289),IF($J289="PETROL",SUMIFS(Table14[Amount],Table14[Customer],$M$3,Table14[Date],$A289,Table14[Bill No.],$B289),IF($J289="XtraGreen",SUMIFS(Table146[Amount],Table146[Company],$M$3,Table146[Date],$A289,Table146[Bill No.],$B289),SUMIFS('Other Sale'!$D:$D,'Other Sale'!$E:$E,$M$3,'Other Sale'!$C:$C,$J289,'Other Sale'!$A:$A,$A289)))))</f>
        <v/>
      </c>
      <c r="F289" s="347" t="str" cm="1">
        <f t="array" ref="F289">IF($A289="","",IF($J289="Payment",IFERROR(INDEX(_xlfn._xlws.FILTER(MasterPaid[Amount Paid],(MasterPaid[Customer]=$M$3)*(MasterPaid[Date]=$A289)),COUNTIFS($A$6:$A289,$A289,$J$6:$J289,"Payment")),0),0))</f>
        <v/>
      </c>
      <c r="G289" s="331"/>
      <c r="H289" s="427"/>
      <c r="I289" s="330" t="str">
        <f t="shared" si="13"/>
        <v/>
      </c>
      <c r="J289" s="344" t="str" cm="1">
        <f t="array" ref="J289">IFERROR(INDEX(_xlfn.ANCHORARRAY($P$6),ROW()-5,3),"")</f>
        <v/>
      </c>
      <c r="K289" s="432" t="str" cm="1">
        <f t="array" ref="K289">IF(OR($A289="",$J289&lt;&gt;"DIESEL"),"",_xlfn.LET(_xlpm.qty,N($C289),_xlpm.pos,$T$5:$T$54,_xlpm.alo,IF($U$5:$U$54="",0,$U$5:$U$54),_xlpm.usd,SUMIFS($C$6:$C288,$K$6:$K288,_xlpm.pos&amp;""),_xlpm.bal,_xlpm.alo-_xlpm.usd,IFERROR(INDEX(_xlfn._xlws.FILTER(_xlpm.pos,(_xlpm.pos&lt;&gt;"")*(_xlpm.qty&gt;0)*(_xlpm.bal&gt;=_xlpm.qty)),1),"")))</f>
        <v/>
      </c>
      <c r="L289" s="348"/>
    </row>
    <row r="290" spans="1:12" ht="23" x14ac:dyDescent="0.25">
      <c r="A290" s="217" t="str" cm="1">
        <f t="array" ref="A290">IFERROR(INDEX(_xlfn.ANCHORARRAY($P$6),ROW()-5,1),"")</f>
        <v/>
      </c>
      <c r="B290" s="344" t="str" cm="1">
        <f t="array" ref="B290">IFERROR(INDEX(_xlfn.ANCHORARRAY($P$6),ROW()-5,2),"")</f>
        <v/>
      </c>
      <c r="C290" s="345" t="str">
        <f>IF($A290="","",IF($J290="DIESEL",SUMIFS(Table1[Quantity],Table1[Customer],$M$3,Table1[Date],$A290,Table1[Bill No.],$B290),IF($J290="PETROL",SUMIFS(Table14[Quantity],Table14[Customer],$M$3,Table14[Date],$A290,Table14[Bill No.],$B290),IF($J290="XtraGreen",SUMIFS(Table146[Quantity],Table146[Company],$M$3,Table146[Date],$A290,Table146[Bill No.],$B290),""))))</f>
        <v/>
      </c>
      <c r="D290" s="346" t="str">
        <f>IF($A290="","",IF($J290="DIESEL",AVERAGEIFS(Table1[RSP],Table1[Customer],$M$3,Table1[Date],$A290,Table1[Bill No.],$B290),IF($J290="PETROL",AVERAGEIFS(Table14[RSP],Table14[Customer],$M$3,Table14[Date],$A290,Table14[Bill No.],$B290),IF($J290="XtraGreen",AVERAGEIFS(Table146[RSP],Table146[Company],$M$3,Table146[Date],$A290,Table146[Bill No.],$B290),IFERROR($E290/$C290,"")))))</f>
        <v/>
      </c>
      <c r="E290" s="347" t="str">
        <f>IF($A290="","",IF($J290="DIESEL",SUMIFS(Table1[Amount],Table1[Customer],$M$3,Table1[Date],$A290,Table1[Bill No.],$B290),IF($J290="PETROL",SUMIFS(Table14[Amount],Table14[Customer],$M$3,Table14[Date],$A290,Table14[Bill No.],$B290),IF($J290="XtraGreen",SUMIFS(Table146[Amount],Table146[Company],$M$3,Table146[Date],$A290,Table146[Bill No.],$B290),SUMIFS('Other Sale'!$D:$D,'Other Sale'!$E:$E,$M$3,'Other Sale'!$C:$C,$J290,'Other Sale'!$A:$A,$A290)))))</f>
        <v/>
      </c>
      <c r="F290" s="347" t="str" cm="1">
        <f t="array" ref="F290">IF($A290="","",IF($J290="Payment",IFERROR(INDEX(_xlfn._xlws.FILTER(MasterPaid[Amount Paid],(MasterPaid[Customer]=$M$3)*(MasterPaid[Date]=$A290)),COUNTIFS($A$6:$A290,$A290,$J$6:$J290,"Payment")),0),0))</f>
        <v/>
      </c>
      <c r="G290" s="331"/>
      <c r="H290" s="427"/>
      <c r="I290" s="330" t="str">
        <f t="shared" si="13"/>
        <v/>
      </c>
      <c r="J290" s="344" t="str" cm="1">
        <f t="array" ref="J290">IFERROR(INDEX(_xlfn.ANCHORARRAY($P$6),ROW()-5,3),"")</f>
        <v/>
      </c>
      <c r="K290" s="432" t="str" cm="1">
        <f t="array" ref="K290">IF(OR($A290="",$J290&lt;&gt;"DIESEL"),"",_xlfn.LET(_xlpm.qty,N($C290),_xlpm.pos,$T$5:$T$54,_xlpm.alo,IF($U$5:$U$54="",0,$U$5:$U$54),_xlpm.usd,SUMIFS($C$6:$C289,$K$6:$K289,_xlpm.pos&amp;""),_xlpm.bal,_xlpm.alo-_xlpm.usd,IFERROR(INDEX(_xlfn._xlws.FILTER(_xlpm.pos,(_xlpm.pos&lt;&gt;"")*(_xlpm.qty&gt;0)*(_xlpm.bal&gt;=_xlpm.qty)),1),"")))</f>
        <v/>
      </c>
      <c r="L290" s="348"/>
    </row>
    <row r="291" spans="1:12" ht="23" x14ac:dyDescent="0.25">
      <c r="A291" s="217" t="str" cm="1">
        <f t="array" ref="A291">IFERROR(INDEX(_xlfn.ANCHORARRAY($P$6),ROW()-5,1),"")</f>
        <v/>
      </c>
      <c r="B291" s="344" t="str" cm="1">
        <f t="array" ref="B291">IFERROR(INDEX(_xlfn.ANCHORARRAY($P$6),ROW()-5,2),"")</f>
        <v/>
      </c>
      <c r="C291" s="345" t="str">
        <f>IF($A291="","",IF($J291="DIESEL",SUMIFS(Table1[Quantity],Table1[Customer],$M$3,Table1[Date],$A291,Table1[Bill No.],$B291),IF($J291="PETROL",SUMIFS(Table14[Quantity],Table14[Customer],$M$3,Table14[Date],$A291,Table14[Bill No.],$B291),IF($J291="XtraGreen",SUMIFS(Table146[Quantity],Table146[Company],$M$3,Table146[Date],$A291,Table146[Bill No.],$B291),""))))</f>
        <v/>
      </c>
      <c r="D291" s="346" t="str">
        <f>IF($A291="","",IF($J291="DIESEL",AVERAGEIFS(Table1[RSP],Table1[Customer],$M$3,Table1[Date],$A291,Table1[Bill No.],$B291),IF($J291="PETROL",AVERAGEIFS(Table14[RSP],Table14[Customer],$M$3,Table14[Date],$A291,Table14[Bill No.],$B291),IF($J291="XtraGreen",AVERAGEIFS(Table146[RSP],Table146[Company],$M$3,Table146[Date],$A291,Table146[Bill No.],$B291),IFERROR($E291/$C291,"")))))</f>
        <v/>
      </c>
      <c r="E291" s="347" t="str">
        <f>IF($A291="","",IF($J291="DIESEL",SUMIFS(Table1[Amount],Table1[Customer],$M$3,Table1[Date],$A291,Table1[Bill No.],$B291),IF($J291="PETROL",SUMIFS(Table14[Amount],Table14[Customer],$M$3,Table14[Date],$A291,Table14[Bill No.],$B291),IF($J291="XtraGreen",SUMIFS(Table146[Amount],Table146[Company],$M$3,Table146[Date],$A291,Table146[Bill No.],$B291),SUMIFS('Other Sale'!$D:$D,'Other Sale'!$E:$E,$M$3,'Other Sale'!$C:$C,$J291,'Other Sale'!$A:$A,$A291)))))</f>
        <v/>
      </c>
      <c r="F291" s="347" t="str" cm="1">
        <f t="array" ref="F291">IF($A291="","",IF($J291="Payment",IFERROR(INDEX(_xlfn._xlws.FILTER(MasterPaid[Amount Paid],(MasterPaid[Customer]=$M$3)*(MasterPaid[Date]=$A291)),COUNTIFS($A$6:$A291,$A291,$J$6:$J291,"Payment")),0),0))</f>
        <v/>
      </c>
      <c r="G291" s="331"/>
      <c r="H291" s="427"/>
      <c r="I291" s="330" t="str">
        <f t="shared" si="13"/>
        <v/>
      </c>
      <c r="J291" s="344" t="str" cm="1">
        <f t="array" ref="J291">IFERROR(INDEX(_xlfn.ANCHORARRAY($P$6),ROW()-5,3),"")</f>
        <v/>
      </c>
      <c r="K291" s="432" t="str" cm="1">
        <f t="array" ref="K291">IF(OR($A291="",$J291&lt;&gt;"DIESEL"),"",_xlfn.LET(_xlpm.qty,N($C291),_xlpm.pos,$T$5:$T$54,_xlpm.alo,IF($U$5:$U$54="",0,$U$5:$U$54),_xlpm.usd,SUMIFS($C$6:$C290,$K$6:$K290,_xlpm.pos&amp;""),_xlpm.bal,_xlpm.alo-_xlpm.usd,IFERROR(INDEX(_xlfn._xlws.FILTER(_xlpm.pos,(_xlpm.pos&lt;&gt;"")*(_xlpm.qty&gt;0)*(_xlpm.bal&gt;=_xlpm.qty)),1),"")))</f>
        <v/>
      </c>
      <c r="L291" s="348"/>
    </row>
    <row r="292" spans="1:12" ht="23" x14ac:dyDescent="0.25">
      <c r="A292" s="217" t="str" cm="1">
        <f t="array" ref="A292">IFERROR(INDEX(_xlfn.ANCHORARRAY($P$6),ROW()-5,1),"")</f>
        <v/>
      </c>
      <c r="B292" s="344" t="str" cm="1">
        <f t="array" ref="B292">IFERROR(INDEX(_xlfn.ANCHORARRAY($P$6),ROW()-5,2),"")</f>
        <v/>
      </c>
      <c r="C292" s="345" t="str">
        <f>IF($A292="","",IF($J292="DIESEL",SUMIFS(Table1[Quantity],Table1[Customer],$M$3,Table1[Date],$A292,Table1[Bill No.],$B292),IF($J292="PETROL",SUMIFS(Table14[Quantity],Table14[Customer],$M$3,Table14[Date],$A292,Table14[Bill No.],$B292),IF($J292="XtraGreen",SUMIFS(Table146[Quantity],Table146[Company],$M$3,Table146[Date],$A292,Table146[Bill No.],$B292),""))))</f>
        <v/>
      </c>
      <c r="D292" s="346" t="str">
        <f>IF($A292="","",IF($J292="DIESEL",AVERAGEIFS(Table1[RSP],Table1[Customer],$M$3,Table1[Date],$A292,Table1[Bill No.],$B292),IF($J292="PETROL",AVERAGEIFS(Table14[RSP],Table14[Customer],$M$3,Table14[Date],$A292,Table14[Bill No.],$B292),IF($J292="XtraGreen",AVERAGEIFS(Table146[RSP],Table146[Company],$M$3,Table146[Date],$A292,Table146[Bill No.],$B292),IFERROR($E292/$C292,"")))))</f>
        <v/>
      </c>
      <c r="E292" s="347" t="str">
        <f>IF($A292="","",IF($J292="DIESEL",SUMIFS(Table1[Amount],Table1[Customer],$M$3,Table1[Date],$A292,Table1[Bill No.],$B292),IF($J292="PETROL",SUMIFS(Table14[Amount],Table14[Customer],$M$3,Table14[Date],$A292,Table14[Bill No.],$B292),IF($J292="XtraGreen",SUMIFS(Table146[Amount],Table146[Company],$M$3,Table146[Date],$A292,Table146[Bill No.],$B292),SUMIFS('Other Sale'!$D:$D,'Other Sale'!$E:$E,$M$3,'Other Sale'!$C:$C,$J292,'Other Sale'!$A:$A,$A292)))))</f>
        <v/>
      </c>
      <c r="F292" s="347" t="str" cm="1">
        <f t="array" ref="F292">IF($A292="","",IF($J292="Payment",IFERROR(INDEX(_xlfn._xlws.FILTER(MasterPaid[Amount Paid],(MasterPaid[Customer]=$M$3)*(MasterPaid[Date]=$A292)),COUNTIFS($A$6:$A292,$A292,$J$6:$J292,"Payment")),0),0))</f>
        <v/>
      </c>
      <c r="G292" s="331"/>
      <c r="H292" s="427"/>
      <c r="I292" s="330" t="str">
        <f t="shared" si="13"/>
        <v/>
      </c>
      <c r="J292" s="344" t="str" cm="1">
        <f t="array" ref="J292">IFERROR(INDEX(_xlfn.ANCHORARRAY($P$6),ROW()-5,3),"")</f>
        <v/>
      </c>
      <c r="K292" s="432" t="str" cm="1">
        <f t="array" ref="K292">IF(OR($A292="",$J292&lt;&gt;"DIESEL"),"",_xlfn.LET(_xlpm.qty,N($C292),_xlpm.pos,$T$5:$T$54,_xlpm.alo,IF($U$5:$U$54="",0,$U$5:$U$54),_xlpm.usd,SUMIFS($C$6:$C291,$K$6:$K291,_xlpm.pos&amp;""),_xlpm.bal,_xlpm.alo-_xlpm.usd,IFERROR(INDEX(_xlfn._xlws.FILTER(_xlpm.pos,(_xlpm.pos&lt;&gt;"")*(_xlpm.qty&gt;0)*(_xlpm.bal&gt;=_xlpm.qty)),1),"")))</f>
        <v/>
      </c>
      <c r="L292" s="348"/>
    </row>
    <row r="293" spans="1:12" ht="23" x14ac:dyDescent="0.25">
      <c r="A293" s="217" t="str" cm="1">
        <f t="array" ref="A293">IFERROR(INDEX(_xlfn.ANCHORARRAY($P$6),ROW()-5,1),"")</f>
        <v/>
      </c>
      <c r="B293" s="344" t="str" cm="1">
        <f t="array" ref="B293">IFERROR(INDEX(_xlfn.ANCHORARRAY($P$6),ROW()-5,2),"")</f>
        <v/>
      </c>
      <c r="C293" s="345" t="str">
        <f>IF($A293="","",IF($J293="DIESEL",SUMIFS(Table1[Quantity],Table1[Customer],$M$3,Table1[Date],$A293,Table1[Bill No.],$B293),IF($J293="PETROL",SUMIFS(Table14[Quantity],Table14[Customer],$M$3,Table14[Date],$A293,Table14[Bill No.],$B293),IF($J293="XtraGreen",SUMIFS(Table146[Quantity],Table146[Company],$M$3,Table146[Date],$A293,Table146[Bill No.],$B293),""))))</f>
        <v/>
      </c>
      <c r="D293" s="346" t="str">
        <f>IF($A293="","",IF($J293="DIESEL",AVERAGEIFS(Table1[RSP],Table1[Customer],$M$3,Table1[Date],$A293,Table1[Bill No.],$B293),IF($J293="PETROL",AVERAGEIFS(Table14[RSP],Table14[Customer],$M$3,Table14[Date],$A293,Table14[Bill No.],$B293),IF($J293="XtraGreen",AVERAGEIFS(Table146[RSP],Table146[Company],$M$3,Table146[Date],$A293,Table146[Bill No.],$B293),IFERROR($E293/$C293,"")))))</f>
        <v/>
      </c>
      <c r="E293" s="347" t="str">
        <f>IF($A293="","",IF($J293="DIESEL",SUMIFS(Table1[Amount],Table1[Customer],$M$3,Table1[Date],$A293,Table1[Bill No.],$B293),IF($J293="PETROL",SUMIFS(Table14[Amount],Table14[Customer],$M$3,Table14[Date],$A293,Table14[Bill No.],$B293),IF($J293="XtraGreen",SUMIFS(Table146[Amount],Table146[Company],$M$3,Table146[Date],$A293,Table146[Bill No.],$B293),SUMIFS('Other Sale'!$D:$D,'Other Sale'!$E:$E,$M$3,'Other Sale'!$C:$C,$J293,'Other Sale'!$A:$A,$A293)))))</f>
        <v/>
      </c>
      <c r="F293" s="347" t="str" cm="1">
        <f t="array" ref="F293">IF($A293="","",IF($J293="Payment",IFERROR(INDEX(_xlfn._xlws.FILTER(MasterPaid[Amount Paid],(MasterPaid[Customer]=$M$3)*(MasterPaid[Date]=$A293)),COUNTIFS($A$6:$A293,$A293,$J$6:$J293,"Payment")),0),0))</f>
        <v/>
      </c>
      <c r="G293" s="331"/>
      <c r="H293" s="427"/>
      <c r="I293" s="330" t="str">
        <f t="shared" si="13"/>
        <v/>
      </c>
      <c r="J293" s="344" t="str" cm="1">
        <f t="array" ref="J293">IFERROR(INDEX(_xlfn.ANCHORARRAY($P$6),ROW()-5,3),"")</f>
        <v/>
      </c>
      <c r="K293" s="432" t="str" cm="1">
        <f t="array" ref="K293">IF(OR($A293="",$J293&lt;&gt;"DIESEL"),"",_xlfn.LET(_xlpm.qty,N($C293),_xlpm.pos,$T$5:$T$54,_xlpm.alo,IF($U$5:$U$54="",0,$U$5:$U$54),_xlpm.usd,SUMIFS($C$6:$C292,$K$6:$K292,_xlpm.pos&amp;""),_xlpm.bal,_xlpm.alo-_xlpm.usd,IFERROR(INDEX(_xlfn._xlws.FILTER(_xlpm.pos,(_xlpm.pos&lt;&gt;"")*(_xlpm.qty&gt;0)*(_xlpm.bal&gt;=_xlpm.qty)),1),"")))</f>
        <v/>
      </c>
      <c r="L293" s="348"/>
    </row>
    <row r="294" spans="1:12" ht="23" x14ac:dyDescent="0.25">
      <c r="A294" s="217" t="str" cm="1">
        <f t="array" ref="A294">IFERROR(INDEX(_xlfn.ANCHORARRAY($P$6),ROW()-5,1),"")</f>
        <v/>
      </c>
      <c r="B294" s="344" t="str" cm="1">
        <f t="array" ref="B294">IFERROR(INDEX(_xlfn.ANCHORARRAY($P$6),ROW()-5,2),"")</f>
        <v/>
      </c>
      <c r="C294" s="345" t="str">
        <f>IF($A294="","",IF($J294="DIESEL",SUMIFS(Table1[Quantity],Table1[Customer],$M$3,Table1[Date],$A294,Table1[Bill No.],$B294),IF($J294="PETROL",SUMIFS(Table14[Quantity],Table14[Customer],$M$3,Table14[Date],$A294,Table14[Bill No.],$B294),IF($J294="XtraGreen",SUMIFS(Table146[Quantity],Table146[Company],$M$3,Table146[Date],$A294,Table146[Bill No.],$B294),""))))</f>
        <v/>
      </c>
      <c r="D294" s="346" t="str">
        <f>IF($A294="","",IF($J294="DIESEL",AVERAGEIFS(Table1[RSP],Table1[Customer],$M$3,Table1[Date],$A294,Table1[Bill No.],$B294),IF($J294="PETROL",AVERAGEIFS(Table14[RSP],Table14[Customer],$M$3,Table14[Date],$A294,Table14[Bill No.],$B294),IF($J294="XtraGreen",AVERAGEIFS(Table146[RSP],Table146[Company],$M$3,Table146[Date],$A294,Table146[Bill No.],$B294),IFERROR($E294/$C294,"")))))</f>
        <v/>
      </c>
      <c r="E294" s="347" t="str">
        <f>IF($A294="","",IF($J294="DIESEL",SUMIFS(Table1[Amount],Table1[Customer],$M$3,Table1[Date],$A294,Table1[Bill No.],$B294),IF($J294="PETROL",SUMIFS(Table14[Amount],Table14[Customer],$M$3,Table14[Date],$A294,Table14[Bill No.],$B294),IF($J294="XtraGreen",SUMIFS(Table146[Amount],Table146[Company],$M$3,Table146[Date],$A294,Table146[Bill No.],$B294),SUMIFS('Other Sale'!$D:$D,'Other Sale'!$E:$E,$M$3,'Other Sale'!$C:$C,$J294,'Other Sale'!$A:$A,$A294)))))</f>
        <v/>
      </c>
      <c r="F294" s="347" t="str" cm="1">
        <f t="array" ref="F294">IF($A294="","",IF($J294="Payment",IFERROR(INDEX(_xlfn._xlws.FILTER(MasterPaid[Amount Paid],(MasterPaid[Customer]=$M$3)*(MasterPaid[Date]=$A294)),COUNTIFS($A$6:$A294,$A294,$J$6:$J294,"Payment")),0),0))</f>
        <v/>
      </c>
      <c r="G294" s="331"/>
      <c r="H294" s="427"/>
      <c r="I294" s="330" t="str">
        <f t="shared" si="13"/>
        <v/>
      </c>
      <c r="J294" s="344" t="str" cm="1">
        <f t="array" ref="J294">IFERROR(INDEX(_xlfn.ANCHORARRAY($P$6),ROW()-5,3),"")</f>
        <v/>
      </c>
      <c r="K294" s="432" t="str" cm="1">
        <f t="array" ref="K294">IF(OR($A294="",$J294&lt;&gt;"DIESEL"),"",_xlfn.LET(_xlpm.qty,N($C294),_xlpm.pos,$T$5:$T$54,_xlpm.alo,IF($U$5:$U$54="",0,$U$5:$U$54),_xlpm.usd,SUMIFS($C$6:$C293,$K$6:$K293,_xlpm.pos&amp;""),_xlpm.bal,_xlpm.alo-_xlpm.usd,IFERROR(INDEX(_xlfn._xlws.FILTER(_xlpm.pos,(_xlpm.pos&lt;&gt;"")*(_xlpm.qty&gt;0)*(_xlpm.bal&gt;=_xlpm.qty)),1),"")))</f>
        <v/>
      </c>
      <c r="L294" s="348"/>
    </row>
    <row r="295" spans="1:12" ht="23" x14ac:dyDescent="0.25">
      <c r="A295" s="217" t="str" cm="1">
        <f t="array" ref="A295">IFERROR(INDEX(_xlfn.ANCHORARRAY($P$6),ROW()-5,1),"")</f>
        <v/>
      </c>
      <c r="B295" s="344" t="str" cm="1">
        <f t="array" ref="B295">IFERROR(INDEX(_xlfn.ANCHORARRAY($P$6),ROW()-5,2),"")</f>
        <v/>
      </c>
      <c r="C295" s="345" t="str">
        <f>IF($A295="","",IF($J295="DIESEL",SUMIFS(Table1[Quantity],Table1[Customer],$M$3,Table1[Date],$A295,Table1[Bill No.],$B295),IF($J295="PETROL",SUMIFS(Table14[Quantity],Table14[Customer],$M$3,Table14[Date],$A295,Table14[Bill No.],$B295),IF($J295="XtraGreen",SUMIFS(Table146[Quantity],Table146[Company],$M$3,Table146[Date],$A295,Table146[Bill No.],$B295),""))))</f>
        <v/>
      </c>
      <c r="D295" s="346" t="str">
        <f>IF($A295="","",IF($J295="DIESEL",AVERAGEIFS(Table1[RSP],Table1[Customer],$M$3,Table1[Date],$A295,Table1[Bill No.],$B295),IF($J295="PETROL",AVERAGEIFS(Table14[RSP],Table14[Customer],$M$3,Table14[Date],$A295,Table14[Bill No.],$B295),IF($J295="XtraGreen",AVERAGEIFS(Table146[RSP],Table146[Company],$M$3,Table146[Date],$A295,Table146[Bill No.],$B295),IFERROR($E295/$C295,"")))))</f>
        <v/>
      </c>
      <c r="E295" s="347" t="str">
        <f>IF($A295="","",IF($J295="DIESEL",SUMIFS(Table1[Amount],Table1[Customer],$M$3,Table1[Date],$A295,Table1[Bill No.],$B295),IF($J295="PETROL",SUMIFS(Table14[Amount],Table14[Customer],$M$3,Table14[Date],$A295,Table14[Bill No.],$B295),IF($J295="XtraGreen",SUMIFS(Table146[Amount],Table146[Company],$M$3,Table146[Date],$A295,Table146[Bill No.],$B295),SUMIFS('Other Sale'!$D:$D,'Other Sale'!$E:$E,$M$3,'Other Sale'!$C:$C,$J295,'Other Sale'!$A:$A,$A295)))))</f>
        <v/>
      </c>
      <c r="F295" s="347" t="str" cm="1">
        <f t="array" ref="F295">IF($A295="","",IF($J295="Payment",IFERROR(INDEX(_xlfn._xlws.FILTER(MasterPaid[Amount Paid],(MasterPaid[Customer]=$M$3)*(MasterPaid[Date]=$A295)),COUNTIFS($A$6:$A295,$A295,$J$6:$J295,"Payment")),0),0))</f>
        <v/>
      </c>
      <c r="G295" s="331"/>
      <c r="H295" s="427"/>
      <c r="I295" s="330" t="str">
        <f t="shared" si="13"/>
        <v/>
      </c>
      <c r="J295" s="344" t="str" cm="1">
        <f t="array" ref="J295">IFERROR(INDEX(_xlfn.ANCHORARRAY($P$6),ROW()-5,3),"")</f>
        <v/>
      </c>
      <c r="K295" s="432" t="str" cm="1">
        <f t="array" ref="K295">IF(OR($A295="",$J295&lt;&gt;"DIESEL"),"",_xlfn.LET(_xlpm.qty,N($C295),_xlpm.pos,$T$5:$T$54,_xlpm.alo,IF($U$5:$U$54="",0,$U$5:$U$54),_xlpm.usd,SUMIFS($C$6:$C294,$K$6:$K294,_xlpm.pos&amp;""),_xlpm.bal,_xlpm.alo-_xlpm.usd,IFERROR(INDEX(_xlfn._xlws.FILTER(_xlpm.pos,(_xlpm.pos&lt;&gt;"")*(_xlpm.qty&gt;0)*(_xlpm.bal&gt;=_xlpm.qty)),1),"")))</f>
        <v/>
      </c>
      <c r="L295" s="348"/>
    </row>
    <row r="296" spans="1:12" ht="23" x14ac:dyDescent="0.25">
      <c r="A296" s="217" t="str" cm="1">
        <f t="array" ref="A296">IFERROR(INDEX(_xlfn.ANCHORARRAY($P$6),ROW()-5,1),"")</f>
        <v/>
      </c>
      <c r="B296" s="344" t="str" cm="1">
        <f t="array" ref="B296">IFERROR(INDEX(_xlfn.ANCHORARRAY($P$6),ROW()-5,2),"")</f>
        <v/>
      </c>
      <c r="C296" s="345" t="str">
        <f>IF($A296="","",IF($J296="DIESEL",SUMIFS(Table1[Quantity],Table1[Customer],$M$3,Table1[Date],$A296,Table1[Bill No.],$B296),IF($J296="PETROL",SUMIFS(Table14[Quantity],Table14[Customer],$M$3,Table14[Date],$A296,Table14[Bill No.],$B296),IF($J296="XtraGreen",SUMIFS(Table146[Quantity],Table146[Company],$M$3,Table146[Date],$A296,Table146[Bill No.],$B296),""))))</f>
        <v/>
      </c>
      <c r="D296" s="346" t="str">
        <f>IF($A296="","",IF($J296="DIESEL",AVERAGEIFS(Table1[RSP],Table1[Customer],$M$3,Table1[Date],$A296,Table1[Bill No.],$B296),IF($J296="PETROL",AVERAGEIFS(Table14[RSP],Table14[Customer],$M$3,Table14[Date],$A296,Table14[Bill No.],$B296),IF($J296="XtraGreen",AVERAGEIFS(Table146[RSP],Table146[Company],$M$3,Table146[Date],$A296,Table146[Bill No.],$B296),IFERROR($E296/$C296,"")))))</f>
        <v/>
      </c>
      <c r="E296" s="347" t="str">
        <f>IF($A296="","",IF($J296="DIESEL",SUMIFS(Table1[Amount],Table1[Customer],$M$3,Table1[Date],$A296,Table1[Bill No.],$B296),IF($J296="PETROL",SUMIFS(Table14[Amount],Table14[Customer],$M$3,Table14[Date],$A296,Table14[Bill No.],$B296),IF($J296="XtraGreen",SUMIFS(Table146[Amount],Table146[Company],$M$3,Table146[Date],$A296,Table146[Bill No.],$B296),SUMIFS('Other Sale'!$D:$D,'Other Sale'!$E:$E,$M$3,'Other Sale'!$C:$C,$J296,'Other Sale'!$A:$A,$A296)))))</f>
        <v/>
      </c>
      <c r="F296" s="347" t="str" cm="1">
        <f t="array" ref="F296">IF($A296="","",IF($J296="Payment",IFERROR(INDEX(_xlfn._xlws.FILTER(MasterPaid[Amount Paid],(MasterPaid[Customer]=$M$3)*(MasterPaid[Date]=$A296)),COUNTIFS($A$6:$A296,$A296,$J$6:$J296,"Payment")),0),0))</f>
        <v/>
      </c>
      <c r="G296" s="331"/>
      <c r="H296" s="427"/>
      <c r="I296" s="330" t="str">
        <f t="shared" si="13"/>
        <v/>
      </c>
      <c r="J296" s="344" t="str" cm="1">
        <f t="array" ref="J296">IFERROR(INDEX(_xlfn.ANCHORARRAY($P$6),ROW()-5,3),"")</f>
        <v/>
      </c>
      <c r="K296" s="432" t="str" cm="1">
        <f t="array" ref="K296">IF(OR($A296="",$J296&lt;&gt;"DIESEL"),"",_xlfn.LET(_xlpm.qty,N($C296),_xlpm.pos,$T$5:$T$54,_xlpm.alo,IF($U$5:$U$54="",0,$U$5:$U$54),_xlpm.usd,SUMIFS($C$6:$C295,$K$6:$K295,_xlpm.pos&amp;""),_xlpm.bal,_xlpm.alo-_xlpm.usd,IFERROR(INDEX(_xlfn._xlws.FILTER(_xlpm.pos,(_xlpm.pos&lt;&gt;"")*(_xlpm.qty&gt;0)*(_xlpm.bal&gt;=_xlpm.qty)),1),"")))</f>
        <v/>
      </c>
      <c r="L296" s="348"/>
    </row>
    <row r="297" spans="1:12" ht="23" x14ac:dyDescent="0.25">
      <c r="A297" s="217" t="str" cm="1">
        <f t="array" ref="A297">IFERROR(INDEX(_xlfn.ANCHORARRAY($P$6),ROW()-5,1),"")</f>
        <v/>
      </c>
      <c r="B297" s="344" t="str" cm="1">
        <f t="array" ref="B297">IFERROR(INDEX(_xlfn.ANCHORARRAY($P$6),ROW()-5,2),"")</f>
        <v/>
      </c>
      <c r="C297" s="345" t="str">
        <f>IF($A297="","",IF($J297="DIESEL",SUMIFS(Table1[Quantity],Table1[Customer],$M$3,Table1[Date],$A297,Table1[Bill No.],$B297),IF($J297="PETROL",SUMIFS(Table14[Quantity],Table14[Customer],$M$3,Table14[Date],$A297,Table14[Bill No.],$B297),IF($J297="XtraGreen",SUMIFS(Table146[Quantity],Table146[Company],$M$3,Table146[Date],$A297,Table146[Bill No.],$B297),""))))</f>
        <v/>
      </c>
      <c r="D297" s="346" t="str">
        <f>IF($A297="","",IF($J297="DIESEL",AVERAGEIFS(Table1[RSP],Table1[Customer],$M$3,Table1[Date],$A297,Table1[Bill No.],$B297),IF($J297="PETROL",AVERAGEIFS(Table14[RSP],Table14[Customer],$M$3,Table14[Date],$A297,Table14[Bill No.],$B297),IF($J297="XtraGreen",AVERAGEIFS(Table146[RSP],Table146[Company],$M$3,Table146[Date],$A297,Table146[Bill No.],$B297),IFERROR($E297/$C297,"")))))</f>
        <v/>
      </c>
      <c r="E297" s="347" t="str">
        <f>IF($A297="","",IF($J297="DIESEL",SUMIFS(Table1[Amount],Table1[Customer],$M$3,Table1[Date],$A297,Table1[Bill No.],$B297),IF($J297="PETROL",SUMIFS(Table14[Amount],Table14[Customer],$M$3,Table14[Date],$A297,Table14[Bill No.],$B297),IF($J297="XtraGreen",SUMIFS(Table146[Amount],Table146[Company],$M$3,Table146[Date],$A297,Table146[Bill No.],$B297),SUMIFS('Other Sale'!$D:$D,'Other Sale'!$E:$E,$M$3,'Other Sale'!$C:$C,$J297,'Other Sale'!$A:$A,$A297)))))</f>
        <v/>
      </c>
      <c r="F297" s="347" t="str" cm="1">
        <f t="array" ref="F297">IF($A297="","",IF($J297="Payment",IFERROR(INDEX(_xlfn._xlws.FILTER(MasterPaid[Amount Paid],(MasterPaid[Customer]=$M$3)*(MasterPaid[Date]=$A297)),COUNTIFS($A$6:$A297,$A297,$J$6:$J297,"Payment")),0),0))</f>
        <v/>
      </c>
      <c r="G297" s="331"/>
      <c r="H297" s="427"/>
      <c r="I297" s="330" t="str">
        <f t="shared" si="13"/>
        <v/>
      </c>
      <c r="J297" s="344" t="str" cm="1">
        <f t="array" ref="J297">IFERROR(INDEX(_xlfn.ANCHORARRAY($P$6),ROW()-5,3),"")</f>
        <v/>
      </c>
      <c r="K297" s="432" t="str" cm="1">
        <f t="array" ref="K297">IF(OR($A297="",$J297&lt;&gt;"DIESEL"),"",_xlfn.LET(_xlpm.qty,N($C297),_xlpm.pos,$T$5:$T$54,_xlpm.alo,IF($U$5:$U$54="",0,$U$5:$U$54),_xlpm.usd,SUMIFS($C$6:$C296,$K$6:$K296,_xlpm.pos&amp;""),_xlpm.bal,_xlpm.alo-_xlpm.usd,IFERROR(INDEX(_xlfn._xlws.FILTER(_xlpm.pos,(_xlpm.pos&lt;&gt;"")*(_xlpm.qty&gt;0)*(_xlpm.bal&gt;=_xlpm.qty)),1),"")))</f>
        <v/>
      </c>
      <c r="L297" s="348"/>
    </row>
    <row r="298" spans="1:12" ht="23" x14ac:dyDescent="0.25">
      <c r="A298" s="217" t="str" cm="1">
        <f t="array" ref="A298">IFERROR(INDEX(_xlfn.ANCHORARRAY($P$6),ROW()-5,1),"")</f>
        <v/>
      </c>
      <c r="B298" s="344" t="str" cm="1">
        <f t="array" ref="B298">IFERROR(INDEX(_xlfn.ANCHORARRAY($P$6),ROW()-5,2),"")</f>
        <v/>
      </c>
      <c r="C298" s="345" t="str">
        <f>IF($A298="","",IF($J298="DIESEL",SUMIFS(Table1[Quantity],Table1[Customer],$M$3,Table1[Date],$A298,Table1[Bill No.],$B298),IF($J298="PETROL",SUMIFS(Table14[Quantity],Table14[Customer],$M$3,Table14[Date],$A298,Table14[Bill No.],$B298),IF($J298="XtraGreen",SUMIFS(Table146[Quantity],Table146[Company],$M$3,Table146[Date],$A298,Table146[Bill No.],$B298),""))))</f>
        <v/>
      </c>
      <c r="D298" s="346" t="str">
        <f>IF($A298="","",IF($J298="DIESEL",AVERAGEIFS(Table1[RSP],Table1[Customer],$M$3,Table1[Date],$A298,Table1[Bill No.],$B298),IF($J298="PETROL",AVERAGEIFS(Table14[RSP],Table14[Customer],$M$3,Table14[Date],$A298,Table14[Bill No.],$B298),IF($J298="XtraGreen",AVERAGEIFS(Table146[RSP],Table146[Company],$M$3,Table146[Date],$A298,Table146[Bill No.],$B298),IFERROR($E298/$C298,"")))))</f>
        <v/>
      </c>
      <c r="E298" s="347" t="str">
        <f>IF($A298="","",IF($J298="DIESEL",SUMIFS(Table1[Amount],Table1[Customer],$M$3,Table1[Date],$A298,Table1[Bill No.],$B298),IF($J298="PETROL",SUMIFS(Table14[Amount],Table14[Customer],$M$3,Table14[Date],$A298,Table14[Bill No.],$B298),IF($J298="XtraGreen",SUMIFS(Table146[Amount],Table146[Company],$M$3,Table146[Date],$A298,Table146[Bill No.],$B298),SUMIFS('Other Sale'!$D:$D,'Other Sale'!$E:$E,$M$3,'Other Sale'!$C:$C,$J298,'Other Sale'!$A:$A,$A298)))))</f>
        <v/>
      </c>
      <c r="F298" s="347" t="str" cm="1">
        <f t="array" ref="F298">IF($A298="","",IF($J298="Payment",IFERROR(INDEX(_xlfn._xlws.FILTER(MasterPaid[Amount Paid],(MasterPaid[Customer]=$M$3)*(MasterPaid[Date]=$A298)),COUNTIFS($A$6:$A298,$A298,$J$6:$J298,"Payment")),0),0))</f>
        <v/>
      </c>
      <c r="G298" s="331"/>
      <c r="H298" s="427"/>
      <c r="I298" s="330" t="str">
        <f t="shared" si="13"/>
        <v/>
      </c>
      <c r="J298" s="344" t="str" cm="1">
        <f t="array" ref="J298">IFERROR(INDEX(_xlfn.ANCHORARRAY($P$6),ROW()-5,3),"")</f>
        <v/>
      </c>
      <c r="K298" s="432" t="str" cm="1">
        <f t="array" ref="K298">IF(OR($A298="",$J298&lt;&gt;"DIESEL"),"",_xlfn.LET(_xlpm.qty,N($C298),_xlpm.pos,$T$5:$T$54,_xlpm.alo,IF($U$5:$U$54="",0,$U$5:$U$54),_xlpm.usd,SUMIFS($C$6:$C297,$K$6:$K297,_xlpm.pos&amp;""),_xlpm.bal,_xlpm.alo-_xlpm.usd,IFERROR(INDEX(_xlfn._xlws.FILTER(_xlpm.pos,(_xlpm.pos&lt;&gt;"")*(_xlpm.qty&gt;0)*(_xlpm.bal&gt;=_xlpm.qty)),1),"")))</f>
        <v/>
      </c>
      <c r="L298" s="348"/>
    </row>
    <row r="299" spans="1:12" ht="23" x14ac:dyDescent="0.25">
      <c r="A299" s="217" t="str" cm="1">
        <f t="array" ref="A299">IFERROR(INDEX(_xlfn.ANCHORARRAY($P$6),ROW()-5,1),"")</f>
        <v/>
      </c>
      <c r="B299" s="344" t="str" cm="1">
        <f t="array" ref="B299">IFERROR(INDEX(_xlfn.ANCHORARRAY($P$6),ROW()-5,2),"")</f>
        <v/>
      </c>
      <c r="C299" s="345" t="str">
        <f>IF($A299="","",IF($J299="DIESEL",SUMIFS(Table1[Quantity],Table1[Customer],$M$3,Table1[Date],$A299,Table1[Bill No.],$B299),IF($J299="PETROL",SUMIFS(Table14[Quantity],Table14[Customer],$M$3,Table14[Date],$A299,Table14[Bill No.],$B299),IF($J299="XtraGreen",SUMIFS(Table146[Quantity],Table146[Company],$M$3,Table146[Date],$A299,Table146[Bill No.],$B299),""))))</f>
        <v/>
      </c>
      <c r="D299" s="346" t="str">
        <f>IF($A299="","",IF($J299="DIESEL",AVERAGEIFS(Table1[RSP],Table1[Customer],$M$3,Table1[Date],$A299,Table1[Bill No.],$B299),IF($J299="PETROL",AVERAGEIFS(Table14[RSP],Table14[Customer],$M$3,Table14[Date],$A299,Table14[Bill No.],$B299),IF($J299="XtraGreen",AVERAGEIFS(Table146[RSP],Table146[Company],$M$3,Table146[Date],$A299,Table146[Bill No.],$B299),IFERROR($E299/$C299,"")))))</f>
        <v/>
      </c>
      <c r="E299" s="347" t="str">
        <f>IF($A299="","",IF($J299="DIESEL",SUMIFS(Table1[Amount],Table1[Customer],$M$3,Table1[Date],$A299,Table1[Bill No.],$B299),IF($J299="PETROL",SUMIFS(Table14[Amount],Table14[Customer],$M$3,Table14[Date],$A299,Table14[Bill No.],$B299),IF($J299="XtraGreen",SUMIFS(Table146[Amount],Table146[Company],$M$3,Table146[Date],$A299,Table146[Bill No.],$B299),SUMIFS('Other Sale'!$D:$D,'Other Sale'!$E:$E,$M$3,'Other Sale'!$C:$C,$J299,'Other Sale'!$A:$A,$A299)))))</f>
        <v/>
      </c>
      <c r="F299" s="347" t="str" cm="1">
        <f t="array" ref="F299">IF($A299="","",IF($J299="Payment",IFERROR(INDEX(_xlfn._xlws.FILTER(MasterPaid[Amount Paid],(MasterPaid[Customer]=$M$3)*(MasterPaid[Date]=$A299)),COUNTIFS($A$6:$A299,$A299,$J$6:$J299,"Payment")),0),0))</f>
        <v/>
      </c>
      <c r="G299" s="331"/>
      <c r="H299" s="427"/>
      <c r="I299" s="330" t="str">
        <f t="shared" si="13"/>
        <v/>
      </c>
      <c r="J299" s="344" t="str" cm="1">
        <f t="array" ref="J299">IFERROR(INDEX(_xlfn.ANCHORARRAY($P$6),ROW()-5,3),"")</f>
        <v/>
      </c>
      <c r="K299" s="432" t="str" cm="1">
        <f t="array" ref="K299">IF(OR($A299="",$J299&lt;&gt;"DIESEL"),"",_xlfn.LET(_xlpm.qty,N($C299),_xlpm.pos,$T$5:$T$54,_xlpm.alo,IF($U$5:$U$54="",0,$U$5:$U$54),_xlpm.usd,SUMIFS($C$6:$C298,$K$6:$K298,_xlpm.pos&amp;""),_xlpm.bal,_xlpm.alo-_xlpm.usd,IFERROR(INDEX(_xlfn._xlws.FILTER(_xlpm.pos,(_xlpm.pos&lt;&gt;"")*(_xlpm.qty&gt;0)*(_xlpm.bal&gt;=_xlpm.qty)),1),"")))</f>
        <v/>
      </c>
      <c r="L299" s="348"/>
    </row>
    <row r="300" spans="1:12" ht="23" x14ac:dyDescent="0.25">
      <c r="A300" s="217" t="str" cm="1">
        <f t="array" ref="A300">IFERROR(INDEX(_xlfn.ANCHORARRAY($P$6),ROW()-5,1),"")</f>
        <v/>
      </c>
      <c r="B300" s="344" t="str" cm="1">
        <f t="array" ref="B300">IFERROR(INDEX(_xlfn.ANCHORARRAY($P$6),ROW()-5,2),"")</f>
        <v/>
      </c>
      <c r="C300" s="345" t="str">
        <f>IF($A300="","",IF($J300="DIESEL",SUMIFS(Table1[Quantity],Table1[Customer],$M$3,Table1[Date],$A300,Table1[Bill No.],$B300),IF($J300="PETROL",SUMIFS(Table14[Quantity],Table14[Customer],$M$3,Table14[Date],$A300,Table14[Bill No.],$B300),IF($J300="XtraGreen",SUMIFS(Table146[Quantity],Table146[Company],$M$3,Table146[Date],$A300,Table146[Bill No.],$B300),""))))</f>
        <v/>
      </c>
      <c r="D300" s="346" t="str">
        <f>IF($A300="","",IF($J300="DIESEL",AVERAGEIFS(Table1[RSP],Table1[Customer],$M$3,Table1[Date],$A300,Table1[Bill No.],$B300),IF($J300="PETROL",AVERAGEIFS(Table14[RSP],Table14[Customer],$M$3,Table14[Date],$A300,Table14[Bill No.],$B300),IF($J300="XtraGreen",AVERAGEIFS(Table146[RSP],Table146[Company],$M$3,Table146[Date],$A300,Table146[Bill No.],$B300),IFERROR($E300/$C300,"")))))</f>
        <v/>
      </c>
      <c r="E300" s="347" t="str">
        <f>IF($A300="","",IF($J300="DIESEL",SUMIFS(Table1[Amount],Table1[Customer],$M$3,Table1[Date],$A300,Table1[Bill No.],$B300),IF($J300="PETROL",SUMIFS(Table14[Amount],Table14[Customer],$M$3,Table14[Date],$A300,Table14[Bill No.],$B300),IF($J300="XtraGreen",SUMIFS(Table146[Amount],Table146[Company],$M$3,Table146[Date],$A300,Table146[Bill No.],$B300),SUMIFS('Other Sale'!$D:$D,'Other Sale'!$E:$E,$M$3,'Other Sale'!$C:$C,$J300,'Other Sale'!$A:$A,$A300)))))</f>
        <v/>
      </c>
      <c r="F300" s="347" t="str" cm="1">
        <f t="array" ref="F300">IF($A300="","",IF($J300="Payment",IFERROR(INDEX(_xlfn._xlws.FILTER(MasterPaid[Amount Paid],(MasterPaid[Customer]=$M$3)*(MasterPaid[Date]=$A300)),COUNTIFS($A$6:$A300,$A300,$J$6:$J300,"Payment")),0),0))</f>
        <v/>
      </c>
      <c r="G300" s="331"/>
      <c r="H300" s="427"/>
      <c r="I300" s="330" t="str">
        <f t="shared" si="13"/>
        <v/>
      </c>
      <c r="J300" s="344" t="str" cm="1">
        <f t="array" ref="J300">IFERROR(INDEX(_xlfn.ANCHORARRAY($P$6),ROW()-5,3),"")</f>
        <v/>
      </c>
      <c r="K300" s="432" t="str" cm="1">
        <f t="array" ref="K300">IF(OR($A300="",$J300&lt;&gt;"DIESEL"),"",_xlfn.LET(_xlpm.qty,N($C300),_xlpm.pos,$T$5:$T$54,_xlpm.alo,IF($U$5:$U$54="",0,$U$5:$U$54),_xlpm.usd,SUMIFS($C$6:$C299,$K$6:$K299,_xlpm.pos&amp;""),_xlpm.bal,_xlpm.alo-_xlpm.usd,IFERROR(INDEX(_xlfn._xlws.FILTER(_xlpm.pos,(_xlpm.pos&lt;&gt;"")*(_xlpm.qty&gt;0)*(_xlpm.bal&gt;=_xlpm.qty)),1),"")))</f>
        <v/>
      </c>
      <c r="L300" s="348"/>
    </row>
    <row r="301" spans="1:12" ht="23" x14ac:dyDescent="0.25">
      <c r="A301" s="217" t="str" cm="1">
        <f t="array" ref="A301">IFERROR(INDEX(_xlfn.ANCHORARRAY($P$6),ROW()-5,1),"")</f>
        <v/>
      </c>
      <c r="B301" s="344" t="str" cm="1">
        <f t="array" ref="B301">IFERROR(INDEX(_xlfn.ANCHORARRAY($P$6),ROW()-5,2),"")</f>
        <v/>
      </c>
      <c r="C301" s="345" t="str">
        <f>IF($A301="","",IF($J301="DIESEL",SUMIFS(Table1[Quantity],Table1[Customer],$M$3,Table1[Date],$A301,Table1[Bill No.],$B301),IF($J301="PETROL",SUMIFS(Table14[Quantity],Table14[Customer],$M$3,Table14[Date],$A301,Table14[Bill No.],$B301),IF($J301="XtraGreen",SUMIFS(Table146[Quantity],Table146[Company],$M$3,Table146[Date],$A301,Table146[Bill No.],$B301),""))))</f>
        <v/>
      </c>
      <c r="D301" s="346" t="str">
        <f>IF($A301="","",IF($J301="DIESEL",AVERAGEIFS(Table1[RSP],Table1[Customer],$M$3,Table1[Date],$A301,Table1[Bill No.],$B301),IF($J301="PETROL",AVERAGEIFS(Table14[RSP],Table14[Customer],$M$3,Table14[Date],$A301,Table14[Bill No.],$B301),IF($J301="XtraGreen",AVERAGEIFS(Table146[RSP],Table146[Company],$M$3,Table146[Date],$A301,Table146[Bill No.],$B301),IFERROR($E301/$C301,"")))))</f>
        <v/>
      </c>
      <c r="E301" s="347" t="str">
        <f>IF($A301="","",IF($J301="DIESEL",SUMIFS(Table1[Amount],Table1[Customer],$M$3,Table1[Date],$A301,Table1[Bill No.],$B301),IF($J301="PETROL",SUMIFS(Table14[Amount],Table14[Customer],$M$3,Table14[Date],$A301,Table14[Bill No.],$B301),IF($J301="XtraGreen",SUMIFS(Table146[Amount],Table146[Company],$M$3,Table146[Date],$A301,Table146[Bill No.],$B301),SUMIFS('Other Sale'!$D:$D,'Other Sale'!$E:$E,$M$3,'Other Sale'!$C:$C,$J301,'Other Sale'!$A:$A,$A301)))))</f>
        <v/>
      </c>
      <c r="F301" s="347" t="str" cm="1">
        <f t="array" ref="F301">IF($A301="","",IF($J301="Payment",IFERROR(INDEX(_xlfn._xlws.FILTER(MasterPaid[Amount Paid],(MasterPaid[Customer]=$M$3)*(MasterPaid[Date]=$A301)),COUNTIFS($A$6:$A301,$A301,$J$6:$J301,"Payment")),0),0))</f>
        <v/>
      </c>
      <c r="G301" s="331"/>
      <c r="H301" s="427"/>
      <c r="I301" s="330" t="str">
        <f t="shared" si="13"/>
        <v/>
      </c>
      <c r="J301" s="344" t="str" cm="1">
        <f t="array" ref="J301">IFERROR(INDEX(_xlfn.ANCHORARRAY($P$6),ROW()-5,3),"")</f>
        <v/>
      </c>
      <c r="K301" s="432" t="str" cm="1">
        <f t="array" ref="K301">IF(OR($A301="",$J301&lt;&gt;"DIESEL"),"",_xlfn.LET(_xlpm.qty,N($C301),_xlpm.pos,$T$5:$T$54,_xlpm.alo,IF($U$5:$U$54="",0,$U$5:$U$54),_xlpm.usd,SUMIFS($C$6:$C300,$K$6:$K300,_xlpm.pos&amp;""),_xlpm.bal,_xlpm.alo-_xlpm.usd,IFERROR(INDEX(_xlfn._xlws.FILTER(_xlpm.pos,(_xlpm.pos&lt;&gt;"")*(_xlpm.qty&gt;0)*(_xlpm.bal&gt;=_xlpm.qty)),1),"")))</f>
        <v/>
      </c>
      <c r="L301" s="348"/>
    </row>
    <row r="302" spans="1:12" ht="23" x14ac:dyDescent="0.25">
      <c r="A302" s="217" t="str" cm="1">
        <f t="array" ref="A302">IFERROR(INDEX(_xlfn.ANCHORARRAY($P$6),ROW()-5,1),"")</f>
        <v/>
      </c>
      <c r="B302" s="344" t="str" cm="1">
        <f t="array" ref="B302">IFERROR(INDEX(_xlfn.ANCHORARRAY($P$6),ROW()-5,2),"")</f>
        <v/>
      </c>
      <c r="C302" s="345" t="str">
        <f>IF($A302="","",IF($J302="DIESEL",SUMIFS(Table1[Quantity],Table1[Customer],$M$3,Table1[Date],$A302,Table1[Bill No.],$B302),IF($J302="PETROL",SUMIFS(Table14[Quantity],Table14[Customer],$M$3,Table14[Date],$A302,Table14[Bill No.],$B302),IF($J302="XtraGreen",SUMIFS(Table146[Quantity],Table146[Company],$M$3,Table146[Date],$A302,Table146[Bill No.],$B302),""))))</f>
        <v/>
      </c>
      <c r="D302" s="346" t="str">
        <f>IF($A302="","",IF($J302="DIESEL",AVERAGEIFS(Table1[RSP],Table1[Customer],$M$3,Table1[Date],$A302,Table1[Bill No.],$B302),IF($J302="PETROL",AVERAGEIFS(Table14[RSP],Table14[Customer],$M$3,Table14[Date],$A302,Table14[Bill No.],$B302),IF($J302="XtraGreen",AVERAGEIFS(Table146[RSP],Table146[Company],$M$3,Table146[Date],$A302,Table146[Bill No.],$B302),IFERROR($E302/$C302,"")))))</f>
        <v/>
      </c>
      <c r="E302" s="347" t="str">
        <f>IF($A302="","",IF($J302="DIESEL",SUMIFS(Table1[Amount],Table1[Customer],$M$3,Table1[Date],$A302,Table1[Bill No.],$B302),IF($J302="PETROL",SUMIFS(Table14[Amount],Table14[Customer],$M$3,Table14[Date],$A302,Table14[Bill No.],$B302),IF($J302="XtraGreen",SUMIFS(Table146[Amount],Table146[Company],$M$3,Table146[Date],$A302,Table146[Bill No.],$B302),SUMIFS('Other Sale'!$D:$D,'Other Sale'!$E:$E,$M$3,'Other Sale'!$C:$C,$J302,'Other Sale'!$A:$A,$A302)))))</f>
        <v/>
      </c>
      <c r="F302" s="347" t="str" cm="1">
        <f t="array" ref="F302">IF($A302="","",IF($J302="Payment",IFERROR(INDEX(_xlfn._xlws.FILTER(MasterPaid[Amount Paid],(MasterPaid[Customer]=$M$3)*(MasterPaid[Date]=$A302)),COUNTIFS($A$6:$A302,$A302,$J$6:$J302,"Payment")),0),0))</f>
        <v/>
      </c>
      <c r="G302" s="331"/>
      <c r="H302" s="427"/>
      <c r="I302" s="330" t="str">
        <f t="shared" si="13"/>
        <v/>
      </c>
      <c r="J302" s="344" t="str" cm="1">
        <f t="array" ref="J302">IFERROR(INDEX(_xlfn.ANCHORARRAY($P$6),ROW()-5,3),"")</f>
        <v/>
      </c>
      <c r="K302" s="432" t="str" cm="1">
        <f t="array" ref="K302">IF(OR($A302="",$J302&lt;&gt;"DIESEL"),"",_xlfn.LET(_xlpm.qty,N($C302),_xlpm.pos,$T$5:$T$54,_xlpm.alo,IF($U$5:$U$54="",0,$U$5:$U$54),_xlpm.usd,SUMIFS($C$6:$C301,$K$6:$K301,_xlpm.pos&amp;""),_xlpm.bal,_xlpm.alo-_xlpm.usd,IFERROR(INDEX(_xlfn._xlws.FILTER(_xlpm.pos,(_xlpm.pos&lt;&gt;"")*(_xlpm.qty&gt;0)*(_xlpm.bal&gt;=_xlpm.qty)),1),"")))</f>
        <v/>
      </c>
      <c r="L302" s="348"/>
    </row>
    <row r="303" spans="1:12" ht="23" x14ac:dyDescent="0.25">
      <c r="A303" s="217" t="str" cm="1">
        <f t="array" ref="A303">IFERROR(INDEX(_xlfn.ANCHORARRAY($P$6),ROW()-5,1),"")</f>
        <v/>
      </c>
      <c r="B303" s="344" t="str" cm="1">
        <f t="array" ref="B303">IFERROR(INDEX(_xlfn.ANCHORARRAY($P$6),ROW()-5,2),"")</f>
        <v/>
      </c>
      <c r="C303" s="345" t="str">
        <f>IF($A303="","",IF($J303="DIESEL",SUMIFS(Table1[Quantity],Table1[Customer],$M$3,Table1[Date],$A303,Table1[Bill No.],$B303),IF($J303="PETROL",SUMIFS(Table14[Quantity],Table14[Customer],$M$3,Table14[Date],$A303,Table14[Bill No.],$B303),IF($J303="XtraGreen",SUMIFS(Table146[Quantity],Table146[Company],$M$3,Table146[Date],$A303,Table146[Bill No.],$B303),""))))</f>
        <v/>
      </c>
      <c r="D303" s="346" t="str">
        <f>IF($A303="","",IF($J303="DIESEL",AVERAGEIFS(Table1[RSP],Table1[Customer],$M$3,Table1[Date],$A303,Table1[Bill No.],$B303),IF($J303="PETROL",AVERAGEIFS(Table14[RSP],Table14[Customer],$M$3,Table14[Date],$A303,Table14[Bill No.],$B303),IF($J303="XtraGreen",AVERAGEIFS(Table146[RSP],Table146[Company],$M$3,Table146[Date],$A303,Table146[Bill No.],$B303),IFERROR($E303/$C303,"")))))</f>
        <v/>
      </c>
      <c r="E303" s="347" t="str">
        <f>IF($A303="","",IF($J303="DIESEL",SUMIFS(Table1[Amount],Table1[Customer],$M$3,Table1[Date],$A303,Table1[Bill No.],$B303),IF($J303="PETROL",SUMIFS(Table14[Amount],Table14[Customer],$M$3,Table14[Date],$A303,Table14[Bill No.],$B303),IF($J303="XtraGreen",SUMIFS(Table146[Amount],Table146[Company],$M$3,Table146[Date],$A303,Table146[Bill No.],$B303),SUMIFS('Other Sale'!$D:$D,'Other Sale'!$E:$E,$M$3,'Other Sale'!$C:$C,$J303,'Other Sale'!$A:$A,$A303)))))</f>
        <v/>
      </c>
      <c r="F303" s="347" t="str" cm="1">
        <f t="array" ref="F303">IF($A303="","",IF($J303="Payment",IFERROR(INDEX(_xlfn._xlws.FILTER(MasterPaid[Amount Paid],(MasterPaid[Customer]=$M$3)*(MasterPaid[Date]=$A303)),COUNTIFS($A$6:$A303,$A303,$J$6:$J303,"Payment")),0),0))</f>
        <v/>
      </c>
      <c r="G303" s="331"/>
      <c r="H303" s="427"/>
      <c r="I303" s="330" t="str">
        <f t="shared" si="13"/>
        <v/>
      </c>
      <c r="J303" s="344" t="str" cm="1">
        <f t="array" ref="J303">IFERROR(INDEX(_xlfn.ANCHORARRAY($P$6),ROW()-5,3),"")</f>
        <v/>
      </c>
      <c r="K303" s="432" t="str" cm="1">
        <f t="array" ref="K303">IF(OR($A303="",$J303&lt;&gt;"DIESEL"),"",_xlfn.LET(_xlpm.qty,N($C303),_xlpm.pos,$T$5:$T$54,_xlpm.alo,IF($U$5:$U$54="",0,$U$5:$U$54),_xlpm.usd,SUMIFS($C$6:$C302,$K$6:$K302,_xlpm.pos&amp;""),_xlpm.bal,_xlpm.alo-_xlpm.usd,IFERROR(INDEX(_xlfn._xlws.FILTER(_xlpm.pos,(_xlpm.pos&lt;&gt;"")*(_xlpm.qty&gt;0)*(_xlpm.bal&gt;=_xlpm.qty)),1),"")))</f>
        <v/>
      </c>
      <c r="L303" s="348"/>
    </row>
    <row r="304" spans="1:12" ht="23" x14ac:dyDescent="0.25">
      <c r="A304" s="217" t="str" cm="1">
        <f t="array" ref="A304">IFERROR(INDEX(_xlfn.ANCHORARRAY($P$6),ROW()-5,1),"")</f>
        <v/>
      </c>
      <c r="B304" s="344" t="str" cm="1">
        <f t="array" ref="B304">IFERROR(INDEX(_xlfn.ANCHORARRAY($P$6),ROW()-5,2),"")</f>
        <v/>
      </c>
      <c r="C304" s="345" t="str">
        <f>IF($A304="","",IF($J304="DIESEL",SUMIFS(Table1[Quantity],Table1[Customer],$M$3,Table1[Date],$A304,Table1[Bill No.],$B304),IF($J304="PETROL",SUMIFS(Table14[Quantity],Table14[Customer],$M$3,Table14[Date],$A304,Table14[Bill No.],$B304),IF($J304="XtraGreen",SUMIFS(Table146[Quantity],Table146[Company],$M$3,Table146[Date],$A304,Table146[Bill No.],$B304),""))))</f>
        <v/>
      </c>
      <c r="D304" s="346" t="str">
        <f>IF($A304="","",IF($J304="DIESEL",AVERAGEIFS(Table1[RSP],Table1[Customer],$M$3,Table1[Date],$A304,Table1[Bill No.],$B304),IF($J304="PETROL",AVERAGEIFS(Table14[RSP],Table14[Customer],$M$3,Table14[Date],$A304,Table14[Bill No.],$B304),IF($J304="XtraGreen",AVERAGEIFS(Table146[RSP],Table146[Company],$M$3,Table146[Date],$A304,Table146[Bill No.],$B304),IFERROR($E304/$C304,"")))))</f>
        <v/>
      </c>
      <c r="E304" s="347" t="str">
        <f>IF($A304="","",IF($J304="DIESEL",SUMIFS(Table1[Amount],Table1[Customer],$M$3,Table1[Date],$A304,Table1[Bill No.],$B304),IF($J304="PETROL",SUMIFS(Table14[Amount],Table14[Customer],$M$3,Table14[Date],$A304,Table14[Bill No.],$B304),IF($J304="XtraGreen",SUMIFS(Table146[Amount],Table146[Company],$M$3,Table146[Date],$A304,Table146[Bill No.],$B304),SUMIFS('Other Sale'!$D:$D,'Other Sale'!$E:$E,$M$3,'Other Sale'!$C:$C,$J304,'Other Sale'!$A:$A,$A304)))))</f>
        <v/>
      </c>
      <c r="F304" s="347" t="str" cm="1">
        <f t="array" ref="F304">IF($A304="","",IF($J304="Payment",IFERROR(INDEX(_xlfn._xlws.FILTER(MasterPaid[Amount Paid],(MasterPaid[Customer]=$M$3)*(MasterPaid[Date]=$A304)),COUNTIFS($A$6:$A304,$A304,$J$6:$J304,"Payment")),0),0))</f>
        <v/>
      </c>
      <c r="G304" s="331"/>
      <c r="H304" s="427"/>
      <c r="I304" s="330" t="str">
        <f t="shared" si="13"/>
        <v/>
      </c>
      <c r="J304" s="344" t="str" cm="1">
        <f t="array" ref="J304">IFERROR(INDEX(_xlfn.ANCHORARRAY($P$6),ROW()-5,3),"")</f>
        <v/>
      </c>
      <c r="K304" s="432" t="str" cm="1">
        <f t="array" ref="K304">IF(OR($A304="",$J304&lt;&gt;"DIESEL"),"",_xlfn.LET(_xlpm.qty,N($C304),_xlpm.pos,$T$5:$T$54,_xlpm.alo,IF($U$5:$U$54="",0,$U$5:$U$54),_xlpm.usd,SUMIFS($C$6:$C303,$K$6:$K303,_xlpm.pos&amp;""),_xlpm.bal,_xlpm.alo-_xlpm.usd,IFERROR(INDEX(_xlfn._xlws.FILTER(_xlpm.pos,(_xlpm.pos&lt;&gt;"")*(_xlpm.qty&gt;0)*(_xlpm.bal&gt;=_xlpm.qty)),1),"")))</f>
        <v/>
      </c>
      <c r="L304" s="348"/>
    </row>
    <row r="305" spans="1:12" ht="23" x14ac:dyDescent="0.25">
      <c r="A305" s="217" t="str" cm="1">
        <f t="array" ref="A305">IFERROR(INDEX(_xlfn.ANCHORARRAY($P$6),ROW()-5,1),"")</f>
        <v/>
      </c>
      <c r="B305" s="344" t="str" cm="1">
        <f t="array" ref="B305">IFERROR(INDEX(_xlfn.ANCHORARRAY($P$6),ROW()-5,2),"")</f>
        <v/>
      </c>
      <c r="C305" s="345" t="str">
        <f>IF($A305="","",IF($J305="DIESEL",SUMIFS(Table1[Quantity],Table1[Customer],$M$3,Table1[Date],$A305,Table1[Bill No.],$B305),IF($J305="PETROL",SUMIFS(Table14[Quantity],Table14[Customer],$M$3,Table14[Date],$A305,Table14[Bill No.],$B305),IF($J305="XtraGreen",SUMIFS(Table146[Quantity],Table146[Company],$M$3,Table146[Date],$A305,Table146[Bill No.],$B305),""))))</f>
        <v/>
      </c>
      <c r="D305" s="346" t="str">
        <f>IF($A305="","",IF($J305="DIESEL",AVERAGEIFS(Table1[RSP],Table1[Customer],$M$3,Table1[Date],$A305,Table1[Bill No.],$B305),IF($J305="PETROL",AVERAGEIFS(Table14[RSP],Table14[Customer],$M$3,Table14[Date],$A305,Table14[Bill No.],$B305),IF($J305="XtraGreen",AVERAGEIFS(Table146[RSP],Table146[Company],$M$3,Table146[Date],$A305,Table146[Bill No.],$B305),IFERROR($E305/$C305,"")))))</f>
        <v/>
      </c>
      <c r="E305" s="347" t="str">
        <f>IF($A305="","",IF($J305="DIESEL",SUMIFS(Table1[Amount],Table1[Customer],$M$3,Table1[Date],$A305,Table1[Bill No.],$B305),IF($J305="PETROL",SUMIFS(Table14[Amount],Table14[Customer],$M$3,Table14[Date],$A305,Table14[Bill No.],$B305),IF($J305="XtraGreen",SUMIFS(Table146[Amount],Table146[Company],$M$3,Table146[Date],$A305,Table146[Bill No.],$B305),SUMIFS('Other Sale'!$D:$D,'Other Sale'!$E:$E,$M$3,'Other Sale'!$C:$C,$J305,'Other Sale'!$A:$A,$A305)))))</f>
        <v/>
      </c>
      <c r="F305" s="347" t="str" cm="1">
        <f t="array" ref="F305">IF($A305="","",IF($J305="Payment",IFERROR(INDEX(_xlfn._xlws.FILTER(MasterPaid[Amount Paid],(MasterPaid[Customer]=$M$3)*(MasterPaid[Date]=$A305)),COUNTIFS($A$6:$A305,$A305,$J$6:$J305,"Payment")),0),0))</f>
        <v/>
      </c>
      <c r="G305" s="331"/>
      <c r="H305" s="427"/>
      <c r="I305" s="330" t="str">
        <f t="shared" si="13"/>
        <v/>
      </c>
      <c r="J305" s="344" t="str" cm="1">
        <f t="array" ref="J305">IFERROR(INDEX(_xlfn.ANCHORARRAY($P$6),ROW()-5,3),"")</f>
        <v/>
      </c>
      <c r="K305" s="432" t="str" cm="1">
        <f t="array" ref="K305">IF(OR($A305="",$J305&lt;&gt;"DIESEL"),"",_xlfn.LET(_xlpm.qty,N($C305),_xlpm.pos,$T$5:$T$54,_xlpm.alo,IF($U$5:$U$54="",0,$U$5:$U$54),_xlpm.usd,SUMIFS($C$6:$C304,$K$6:$K304,_xlpm.pos&amp;""),_xlpm.bal,_xlpm.alo-_xlpm.usd,IFERROR(INDEX(_xlfn._xlws.FILTER(_xlpm.pos,(_xlpm.pos&lt;&gt;"")*(_xlpm.qty&gt;0)*(_xlpm.bal&gt;=_xlpm.qty)),1),"")))</f>
        <v/>
      </c>
      <c r="L305" s="348"/>
    </row>
    <row r="306" spans="1:12" ht="23" x14ac:dyDescent="0.25">
      <c r="A306" s="217" t="str" cm="1">
        <f t="array" ref="A306">IFERROR(INDEX(_xlfn.ANCHORARRAY($P$6),ROW()-5,1),"")</f>
        <v/>
      </c>
      <c r="B306" s="344" t="str" cm="1">
        <f t="array" ref="B306">IFERROR(INDEX(_xlfn.ANCHORARRAY($P$6),ROW()-5,2),"")</f>
        <v/>
      </c>
      <c r="C306" s="345" t="str">
        <f>IF($A306="","",IF($J306="DIESEL",SUMIFS(Table1[Quantity],Table1[Customer],$M$3,Table1[Date],$A306,Table1[Bill No.],$B306),IF($J306="PETROL",SUMIFS(Table14[Quantity],Table14[Customer],$M$3,Table14[Date],$A306,Table14[Bill No.],$B306),IF($J306="XtraGreen",SUMIFS(Table146[Quantity],Table146[Company],$M$3,Table146[Date],$A306,Table146[Bill No.],$B306),""))))</f>
        <v/>
      </c>
      <c r="D306" s="346" t="str">
        <f>IF($A306="","",IF($J306="DIESEL",AVERAGEIFS(Table1[RSP],Table1[Customer],$M$3,Table1[Date],$A306,Table1[Bill No.],$B306),IF($J306="PETROL",AVERAGEIFS(Table14[RSP],Table14[Customer],$M$3,Table14[Date],$A306,Table14[Bill No.],$B306),IF($J306="XtraGreen",AVERAGEIFS(Table146[RSP],Table146[Company],$M$3,Table146[Date],$A306,Table146[Bill No.],$B306),IFERROR($E306/$C306,"")))))</f>
        <v/>
      </c>
      <c r="E306" s="347" t="str">
        <f>IF($A306="","",IF($J306="DIESEL",SUMIFS(Table1[Amount],Table1[Customer],$M$3,Table1[Date],$A306,Table1[Bill No.],$B306),IF($J306="PETROL",SUMIFS(Table14[Amount],Table14[Customer],$M$3,Table14[Date],$A306,Table14[Bill No.],$B306),IF($J306="XtraGreen",SUMIFS(Table146[Amount],Table146[Company],$M$3,Table146[Date],$A306,Table146[Bill No.],$B306),SUMIFS('Other Sale'!$D:$D,'Other Sale'!$E:$E,$M$3,'Other Sale'!$C:$C,$J306,'Other Sale'!$A:$A,$A306)))))</f>
        <v/>
      </c>
      <c r="F306" s="347" t="str" cm="1">
        <f t="array" ref="F306">IF($A306="","",IF($J306="Payment",IFERROR(INDEX(_xlfn._xlws.FILTER(MasterPaid[Amount Paid],(MasterPaid[Customer]=$M$3)*(MasterPaid[Date]=$A306)),COUNTIFS($A$6:$A306,$A306,$J$6:$J306,"Payment")),0),0))</f>
        <v/>
      </c>
      <c r="G306" s="331"/>
      <c r="H306" s="427"/>
      <c r="I306" s="330" t="str">
        <f t="shared" si="13"/>
        <v/>
      </c>
      <c r="J306" s="344" t="str" cm="1">
        <f t="array" ref="J306">IFERROR(INDEX(_xlfn.ANCHORARRAY($P$6),ROW()-5,3),"")</f>
        <v/>
      </c>
      <c r="K306" s="432" t="str" cm="1">
        <f t="array" ref="K306">IF(OR($A306="",$J306&lt;&gt;"DIESEL"),"",_xlfn.LET(_xlpm.qty,N($C306),_xlpm.pos,$T$5:$T$54,_xlpm.alo,IF($U$5:$U$54="",0,$U$5:$U$54),_xlpm.usd,SUMIFS($C$6:$C305,$K$6:$K305,_xlpm.pos&amp;""),_xlpm.bal,_xlpm.alo-_xlpm.usd,IFERROR(INDEX(_xlfn._xlws.FILTER(_xlpm.pos,(_xlpm.pos&lt;&gt;"")*(_xlpm.qty&gt;0)*(_xlpm.bal&gt;=_xlpm.qty)),1),"")))</f>
        <v/>
      </c>
      <c r="L306" s="348"/>
    </row>
    <row r="307" spans="1:12" ht="23" x14ac:dyDescent="0.25">
      <c r="A307" s="217" t="str" cm="1">
        <f t="array" ref="A307">IFERROR(INDEX(_xlfn.ANCHORARRAY($P$6),ROW()-5,1),"")</f>
        <v/>
      </c>
      <c r="B307" s="344" t="str" cm="1">
        <f t="array" ref="B307">IFERROR(INDEX(_xlfn.ANCHORARRAY($P$6),ROW()-5,2),"")</f>
        <v/>
      </c>
      <c r="C307" s="345" t="str">
        <f>IF($A307="","",IF($J307="DIESEL",SUMIFS(Table1[Quantity],Table1[Customer],$M$3,Table1[Date],$A307,Table1[Bill No.],$B307),IF($J307="PETROL",SUMIFS(Table14[Quantity],Table14[Customer],$M$3,Table14[Date],$A307,Table14[Bill No.],$B307),IF($J307="XtraGreen",SUMIFS(Table146[Quantity],Table146[Company],$M$3,Table146[Date],$A307,Table146[Bill No.],$B307),""))))</f>
        <v/>
      </c>
      <c r="D307" s="346" t="str">
        <f>IF($A307="","",IF($J307="DIESEL",AVERAGEIFS(Table1[RSP],Table1[Customer],$M$3,Table1[Date],$A307,Table1[Bill No.],$B307),IF($J307="PETROL",AVERAGEIFS(Table14[RSP],Table14[Customer],$M$3,Table14[Date],$A307,Table14[Bill No.],$B307),IF($J307="XtraGreen",AVERAGEIFS(Table146[RSP],Table146[Company],$M$3,Table146[Date],$A307,Table146[Bill No.],$B307),IFERROR($E307/$C307,"")))))</f>
        <v/>
      </c>
      <c r="E307" s="347" t="str">
        <f>IF($A307="","",IF($J307="DIESEL",SUMIFS(Table1[Amount],Table1[Customer],$M$3,Table1[Date],$A307,Table1[Bill No.],$B307),IF($J307="PETROL",SUMIFS(Table14[Amount],Table14[Customer],$M$3,Table14[Date],$A307,Table14[Bill No.],$B307),IF($J307="XtraGreen",SUMIFS(Table146[Amount],Table146[Company],$M$3,Table146[Date],$A307,Table146[Bill No.],$B307),SUMIFS('Other Sale'!$D:$D,'Other Sale'!$E:$E,$M$3,'Other Sale'!$C:$C,$J307,'Other Sale'!$A:$A,$A307)))))</f>
        <v/>
      </c>
      <c r="F307" s="347" t="str" cm="1">
        <f t="array" ref="F307">IF($A307="","",IF($J307="Payment",IFERROR(INDEX(_xlfn._xlws.FILTER(MasterPaid[Amount Paid],(MasterPaid[Customer]=$M$3)*(MasterPaid[Date]=$A307)),COUNTIFS($A$6:$A307,$A307,$J$6:$J307,"Payment")),0),0))</f>
        <v/>
      </c>
      <c r="G307" s="331"/>
      <c r="H307" s="427"/>
      <c r="I307" s="330" t="str">
        <f t="shared" si="13"/>
        <v/>
      </c>
      <c r="J307" s="344" t="str" cm="1">
        <f t="array" ref="J307">IFERROR(INDEX(_xlfn.ANCHORARRAY($P$6),ROW()-5,3),"")</f>
        <v/>
      </c>
      <c r="K307" s="432" t="str" cm="1">
        <f t="array" ref="K307">IF(OR($A307="",$J307&lt;&gt;"DIESEL"),"",_xlfn.LET(_xlpm.qty,N($C307),_xlpm.pos,$T$5:$T$54,_xlpm.alo,IF($U$5:$U$54="",0,$U$5:$U$54),_xlpm.usd,SUMIFS($C$6:$C306,$K$6:$K306,_xlpm.pos&amp;""),_xlpm.bal,_xlpm.alo-_xlpm.usd,IFERROR(INDEX(_xlfn._xlws.FILTER(_xlpm.pos,(_xlpm.pos&lt;&gt;"")*(_xlpm.qty&gt;0)*(_xlpm.bal&gt;=_xlpm.qty)),1),"")))</f>
        <v/>
      </c>
      <c r="L307" s="348"/>
    </row>
    <row r="308" spans="1:12" ht="23" x14ac:dyDescent="0.25">
      <c r="A308" s="217" t="str" cm="1">
        <f t="array" ref="A308">IFERROR(INDEX(_xlfn.ANCHORARRAY($P$6),ROW()-5,1),"")</f>
        <v/>
      </c>
      <c r="B308" s="344" t="str" cm="1">
        <f t="array" ref="B308">IFERROR(INDEX(_xlfn.ANCHORARRAY($P$6),ROW()-5,2),"")</f>
        <v/>
      </c>
      <c r="C308" s="345" t="str">
        <f>IF($A308="","",IF($J308="DIESEL",SUMIFS(Table1[Quantity],Table1[Customer],$M$3,Table1[Date],$A308,Table1[Bill No.],$B308),IF($J308="PETROL",SUMIFS(Table14[Quantity],Table14[Customer],$M$3,Table14[Date],$A308,Table14[Bill No.],$B308),IF($J308="XtraGreen",SUMIFS(Table146[Quantity],Table146[Company],$M$3,Table146[Date],$A308,Table146[Bill No.],$B308),""))))</f>
        <v/>
      </c>
      <c r="D308" s="346" t="str">
        <f>IF($A308="","",IF($J308="DIESEL",AVERAGEIFS(Table1[RSP],Table1[Customer],$M$3,Table1[Date],$A308,Table1[Bill No.],$B308),IF($J308="PETROL",AVERAGEIFS(Table14[RSP],Table14[Customer],$M$3,Table14[Date],$A308,Table14[Bill No.],$B308),IF($J308="XtraGreen",AVERAGEIFS(Table146[RSP],Table146[Company],$M$3,Table146[Date],$A308,Table146[Bill No.],$B308),IFERROR($E308/$C308,"")))))</f>
        <v/>
      </c>
      <c r="E308" s="347" t="str">
        <f>IF($A308="","",IF($J308="DIESEL",SUMIFS(Table1[Amount],Table1[Customer],$M$3,Table1[Date],$A308,Table1[Bill No.],$B308),IF($J308="PETROL",SUMIFS(Table14[Amount],Table14[Customer],$M$3,Table14[Date],$A308,Table14[Bill No.],$B308),IF($J308="XtraGreen",SUMIFS(Table146[Amount],Table146[Company],$M$3,Table146[Date],$A308,Table146[Bill No.],$B308),SUMIFS('Other Sale'!$D:$D,'Other Sale'!$E:$E,$M$3,'Other Sale'!$C:$C,$J308,'Other Sale'!$A:$A,$A308)))))</f>
        <v/>
      </c>
      <c r="F308" s="347" t="str" cm="1">
        <f t="array" ref="F308">IF($A308="","",IF($J308="Payment",IFERROR(INDEX(_xlfn._xlws.FILTER(MasterPaid[Amount Paid],(MasterPaid[Customer]=$M$3)*(MasterPaid[Date]=$A308)),COUNTIFS($A$6:$A308,$A308,$J$6:$J308,"Payment")),0),0))</f>
        <v/>
      </c>
      <c r="G308" s="331"/>
      <c r="H308" s="427"/>
      <c r="I308" s="330" t="str">
        <f t="shared" si="13"/>
        <v/>
      </c>
      <c r="J308" s="344" t="str" cm="1">
        <f t="array" ref="J308">IFERROR(INDEX(_xlfn.ANCHORARRAY($P$6),ROW()-5,3),"")</f>
        <v/>
      </c>
      <c r="K308" s="432" t="str" cm="1">
        <f t="array" ref="K308">IF(OR($A308="",$J308&lt;&gt;"DIESEL"),"",_xlfn.LET(_xlpm.qty,N($C308),_xlpm.pos,$T$5:$T$54,_xlpm.alo,IF($U$5:$U$54="",0,$U$5:$U$54),_xlpm.usd,SUMIFS($C$6:$C307,$K$6:$K307,_xlpm.pos&amp;""),_xlpm.bal,_xlpm.alo-_xlpm.usd,IFERROR(INDEX(_xlfn._xlws.FILTER(_xlpm.pos,(_xlpm.pos&lt;&gt;"")*(_xlpm.qty&gt;0)*(_xlpm.bal&gt;=_xlpm.qty)),1),"")))</f>
        <v/>
      </c>
      <c r="L308" s="348"/>
    </row>
    <row r="309" spans="1:12" ht="23" x14ac:dyDescent="0.25">
      <c r="A309" s="217" t="str" cm="1">
        <f t="array" ref="A309">IFERROR(INDEX(_xlfn.ANCHORARRAY($P$6),ROW()-5,1),"")</f>
        <v/>
      </c>
      <c r="B309" s="344" t="str" cm="1">
        <f t="array" ref="B309">IFERROR(INDEX(_xlfn.ANCHORARRAY($P$6),ROW()-5,2),"")</f>
        <v/>
      </c>
      <c r="C309" s="345" t="str">
        <f>IF($A309="","",IF($J309="DIESEL",SUMIFS(Table1[Quantity],Table1[Customer],$M$3,Table1[Date],$A309,Table1[Bill No.],$B309),IF($J309="PETROL",SUMIFS(Table14[Quantity],Table14[Customer],$M$3,Table14[Date],$A309,Table14[Bill No.],$B309),IF($J309="XtraGreen",SUMIFS(Table146[Quantity],Table146[Company],$M$3,Table146[Date],$A309,Table146[Bill No.],$B309),""))))</f>
        <v/>
      </c>
      <c r="D309" s="346" t="str">
        <f>IF($A309="","",IF($J309="DIESEL",AVERAGEIFS(Table1[RSP],Table1[Customer],$M$3,Table1[Date],$A309,Table1[Bill No.],$B309),IF($J309="PETROL",AVERAGEIFS(Table14[RSP],Table14[Customer],$M$3,Table14[Date],$A309,Table14[Bill No.],$B309),IF($J309="XtraGreen",AVERAGEIFS(Table146[RSP],Table146[Company],$M$3,Table146[Date],$A309,Table146[Bill No.],$B309),IFERROR($E309/$C309,"")))))</f>
        <v/>
      </c>
      <c r="E309" s="347" t="str">
        <f>IF($A309="","",IF($J309="DIESEL",SUMIFS(Table1[Amount],Table1[Customer],$M$3,Table1[Date],$A309,Table1[Bill No.],$B309),IF($J309="PETROL",SUMIFS(Table14[Amount],Table14[Customer],$M$3,Table14[Date],$A309,Table14[Bill No.],$B309),IF($J309="XtraGreen",SUMIFS(Table146[Amount],Table146[Company],$M$3,Table146[Date],$A309,Table146[Bill No.],$B309),SUMIFS('Other Sale'!$D:$D,'Other Sale'!$E:$E,$M$3,'Other Sale'!$C:$C,$J309,'Other Sale'!$A:$A,$A309)))))</f>
        <v/>
      </c>
      <c r="F309" s="347" t="str" cm="1">
        <f t="array" ref="F309">IF($A309="","",IF($J309="Payment",IFERROR(INDEX(_xlfn._xlws.FILTER(MasterPaid[Amount Paid],(MasterPaid[Customer]=$M$3)*(MasterPaid[Date]=$A309)),COUNTIFS($A$6:$A309,$A309,$J$6:$J309,"Payment")),0),0))</f>
        <v/>
      </c>
      <c r="G309" s="331"/>
      <c r="H309" s="427"/>
      <c r="I309" s="330" t="str">
        <f t="shared" si="13"/>
        <v/>
      </c>
      <c r="J309" s="344" t="str" cm="1">
        <f t="array" ref="J309">IFERROR(INDEX(_xlfn.ANCHORARRAY($P$6),ROW()-5,3),"")</f>
        <v/>
      </c>
      <c r="K309" s="432" t="str" cm="1">
        <f t="array" ref="K309">IF(OR($A309="",$J309&lt;&gt;"DIESEL"),"",_xlfn.LET(_xlpm.qty,N($C309),_xlpm.pos,$T$5:$T$54,_xlpm.alo,IF($U$5:$U$54="",0,$U$5:$U$54),_xlpm.usd,SUMIFS($C$6:$C308,$K$6:$K308,_xlpm.pos&amp;""),_xlpm.bal,_xlpm.alo-_xlpm.usd,IFERROR(INDEX(_xlfn._xlws.FILTER(_xlpm.pos,(_xlpm.pos&lt;&gt;"")*(_xlpm.qty&gt;0)*(_xlpm.bal&gt;=_xlpm.qty)),1),"")))</f>
        <v/>
      </c>
      <c r="L309" s="348"/>
    </row>
    <row r="310" spans="1:12" ht="23" x14ac:dyDescent="0.25">
      <c r="A310" s="217" t="str" cm="1">
        <f t="array" ref="A310">IFERROR(INDEX(_xlfn.ANCHORARRAY($P$6),ROW()-5,1),"")</f>
        <v/>
      </c>
      <c r="B310" s="344" t="str" cm="1">
        <f t="array" ref="B310">IFERROR(INDEX(_xlfn.ANCHORARRAY($P$6),ROW()-5,2),"")</f>
        <v/>
      </c>
      <c r="C310" s="345" t="str">
        <f>IF($A310="","",IF($J310="DIESEL",SUMIFS(Table1[Quantity],Table1[Customer],$M$3,Table1[Date],$A310,Table1[Bill No.],$B310),IF($J310="PETROL",SUMIFS(Table14[Quantity],Table14[Customer],$M$3,Table14[Date],$A310,Table14[Bill No.],$B310),IF($J310="XtraGreen",SUMIFS(Table146[Quantity],Table146[Company],$M$3,Table146[Date],$A310,Table146[Bill No.],$B310),""))))</f>
        <v/>
      </c>
      <c r="D310" s="346" t="str">
        <f>IF($A310="","",IF($J310="DIESEL",AVERAGEIFS(Table1[RSP],Table1[Customer],$M$3,Table1[Date],$A310,Table1[Bill No.],$B310),IF($J310="PETROL",AVERAGEIFS(Table14[RSP],Table14[Customer],$M$3,Table14[Date],$A310,Table14[Bill No.],$B310),IF($J310="XtraGreen",AVERAGEIFS(Table146[RSP],Table146[Company],$M$3,Table146[Date],$A310,Table146[Bill No.],$B310),IFERROR($E310/$C310,"")))))</f>
        <v/>
      </c>
      <c r="E310" s="347" t="str">
        <f>IF($A310="","",IF($J310="DIESEL",SUMIFS(Table1[Amount],Table1[Customer],$M$3,Table1[Date],$A310,Table1[Bill No.],$B310),IF($J310="PETROL",SUMIFS(Table14[Amount],Table14[Customer],$M$3,Table14[Date],$A310,Table14[Bill No.],$B310),IF($J310="XtraGreen",SUMIFS(Table146[Amount],Table146[Company],$M$3,Table146[Date],$A310,Table146[Bill No.],$B310),SUMIFS('Other Sale'!$D:$D,'Other Sale'!$E:$E,$M$3,'Other Sale'!$C:$C,$J310,'Other Sale'!$A:$A,$A310)))))</f>
        <v/>
      </c>
      <c r="F310" s="347" t="str" cm="1">
        <f t="array" ref="F310">IF($A310="","",IF($J310="Payment",IFERROR(INDEX(_xlfn._xlws.FILTER(MasterPaid[Amount Paid],(MasterPaid[Customer]=$M$3)*(MasterPaid[Date]=$A310)),COUNTIFS($A$6:$A310,$A310,$J$6:$J310,"Payment")),0),0))</f>
        <v/>
      </c>
      <c r="G310" s="331"/>
      <c r="H310" s="427"/>
      <c r="I310" s="330" t="str">
        <f t="shared" si="13"/>
        <v/>
      </c>
      <c r="J310" s="344" t="str" cm="1">
        <f t="array" ref="J310">IFERROR(INDEX(_xlfn.ANCHORARRAY($P$6),ROW()-5,3),"")</f>
        <v/>
      </c>
      <c r="K310" s="432" t="str" cm="1">
        <f t="array" ref="K310">IF(OR($A310="",$J310&lt;&gt;"DIESEL"),"",_xlfn.LET(_xlpm.qty,N($C310),_xlpm.pos,$T$5:$T$54,_xlpm.alo,IF($U$5:$U$54="",0,$U$5:$U$54),_xlpm.usd,SUMIFS($C$6:$C309,$K$6:$K309,_xlpm.pos&amp;""),_xlpm.bal,_xlpm.alo-_xlpm.usd,IFERROR(INDEX(_xlfn._xlws.FILTER(_xlpm.pos,(_xlpm.pos&lt;&gt;"")*(_xlpm.qty&gt;0)*(_xlpm.bal&gt;=_xlpm.qty)),1),"")))</f>
        <v/>
      </c>
      <c r="L310" s="348"/>
    </row>
    <row r="311" spans="1:12" ht="23" x14ac:dyDescent="0.25">
      <c r="A311" s="217" t="str" cm="1">
        <f t="array" ref="A311">IFERROR(INDEX(_xlfn.ANCHORARRAY($P$6),ROW()-5,1),"")</f>
        <v/>
      </c>
      <c r="B311" s="344" t="str" cm="1">
        <f t="array" ref="B311">IFERROR(INDEX(_xlfn.ANCHORARRAY($P$6),ROW()-5,2),"")</f>
        <v/>
      </c>
      <c r="C311" s="345" t="str">
        <f>IF($A311="","",IF($J311="DIESEL",SUMIFS(Table1[Quantity],Table1[Customer],$M$3,Table1[Date],$A311,Table1[Bill No.],$B311),IF($J311="PETROL",SUMIFS(Table14[Quantity],Table14[Customer],$M$3,Table14[Date],$A311,Table14[Bill No.],$B311),IF($J311="XtraGreen",SUMIFS(Table146[Quantity],Table146[Company],$M$3,Table146[Date],$A311,Table146[Bill No.],$B311),""))))</f>
        <v/>
      </c>
      <c r="D311" s="346" t="str">
        <f>IF($A311="","",IF($J311="DIESEL",AVERAGEIFS(Table1[RSP],Table1[Customer],$M$3,Table1[Date],$A311,Table1[Bill No.],$B311),IF($J311="PETROL",AVERAGEIFS(Table14[RSP],Table14[Customer],$M$3,Table14[Date],$A311,Table14[Bill No.],$B311),IF($J311="XtraGreen",AVERAGEIFS(Table146[RSP],Table146[Company],$M$3,Table146[Date],$A311,Table146[Bill No.],$B311),IFERROR($E311/$C311,"")))))</f>
        <v/>
      </c>
      <c r="E311" s="347" t="str">
        <f>IF($A311="","",IF($J311="DIESEL",SUMIFS(Table1[Amount],Table1[Customer],$M$3,Table1[Date],$A311,Table1[Bill No.],$B311),IF($J311="PETROL",SUMIFS(Table14[Amount],Table14[Customer],$M$3,Table14[Date],$A311,Table14[Bill No.],$B311),IF($J311="XtraGreen",SUMIFS(Table146[Amount],Table146[Company],$M$3,Table146[Date],$A311,Table146[Bill No.],$B311),SUMIFS('Other Sale'!$D:$D,'Other Sale'!$E:$E,$M$3,'Other Sale'!$C:$C,$J311,'Other Sale'!$A:$A,$A311)))))</f>
        <v/>
      </c>
      <c r="F311" s="347" t="str" cm="1">
        <f t="array" ref="F311">IF($A311="","",IF($J311="Payment",IFERROR(INDEX(_xlfn._xlws.FILTER(MasterPaid[Amount Paid],(MasterPaid[Customer]=$M$3)*(MasterPaid[Date]=$A311)),COUNTIFS($A$6:$A311,$A311,$J$6:$J311,"Payment")),0),0))</f>
        <v/>
      </c>
      <c r="G311" s="331"/>
      <c r="H311" s="427"/>
      <c r="I311" s="330" t="str">
        <f t="shared" si="13"/>
        <v/>
      </c>
      <c r="J311" s="344" t="str" cm="1">
        <f t="array" ref="J311">IFERROR(INDEX(_xlfn.ANCHORARRAY($P$6),ROW()-5,3),"")</f>
        <v/>
      </c>
      <c r="K311" s="432" t="str" cm="1">
        <f t="array" ref="K311">IF(OR($A311="",$J311&lt;&gt;"DIESEL"),"",_xlfn.LET(_xlpm.qty,N($C311),_xlpm.pos,$T$5:$T$54,_xlpm.alo,IF($U$5:$U$54="",0,$U$5:$U$54),_xlpm.usd,SUMIFS($C$6:$C310,$K$6:$K310,_xlpm.pos&amp;""),_xlpm.bal,_xlpm.alo-_xlpm.usd,IFERROR(INDEX(_xlfn._xlws.FILTER(_xlpm.pos,(_xlpm.pos&lt;&gt;"")*(_xlpm.qty&gt;0)*(_xlpm.bal&gt;=_xlpm.qty)),1),"")))</f>
        <v/>
      </c>
      <c r="L311" s="348"/>
    </row>
    <row r="312" spans="1:12" ht="23" x14ac:dyDescent="0.25">
      <c r="A312" s="217" t="str" cm="1">
        <f t="array" ref="A312">IFERROR(INDEX(_xlfn.ANCHORARRAY($P$6),ROW()-5,1),"")</f>
        <v/>
      </c>
      <c r="B312" s="344" t="str" cm="1">
        <f t="array" ref="B312">IFERROR(INDEX(_xlfn.ANCHORARRAY($P$6),ROW()-5,2),"")</f>
        <v/>
      </c>
      <c r="C312" s="345" t="str">
        <f>IF($A312="","",IF($J312="DIESEL",SUMIFS(Table1[Quantity],Table1[Customer],$M$3,Table1[Date],$A312,Table1[Bill No.],$B312),IF($J312="PETROL",SUMIFS(Table14[Quantity],Table14[Customer],$M$3,Table14[Date],$A312,Table14[Bill No.],$B312),IF($J312="XtraGreen",SUMIFS(Table146[Quantity],Table146[Company],$M$3,Table146[Date],$A312,Table146[Bill No.],$B312),""))))</f>
        <v/>
      </c>
      <c r="D312" s="346" t="str">
        <f>IF($A312="","",IF($J312="DIESEL",AVERAGEIFS(Table1[RSP],Table1[Customer],$M$3,Table1[Date],$A312,Table1[Bill No.],$B312),IF($J312="PETROL",AVERAGEIFS(Table14[RSP],Table14[Customer],$M$3,Table14[Date],$A312,Table14[Bill No.],$B312),IF($J312="XtraGreen",AVERAGEIFS(Table146[RSP],Table146[Company],$M$3,Table146[Date],$A312,Table146[Bill No.],$B312),IFERROR($E312/$C312,"")))))</f>
        <v/>
      </c>
      <c r="E312" s="347" t="str">
        <f>IF($A312="","",IF($J312="DIESEL",SUMIFS(Table1[Amount],Table1[Customer],$M$3,Table1[Date],$A312,Table1[Bill No.],$B312),IF($J312="PETROL",SUMIFS(Table14[Amount],Table14[Customer],$M$3,Table14[Date],$A312,Table14[Bill No.],$B312),IF($J312="XtraGreen",SUMIFS(Table146[Amount],Table146[Company],$M$3,Table146[Date],$A312,Table146[Bill No.],$B312),SUMIFS('Other Sale'!$D:$D,'Other Sale'!$E:$E,$M$3,'Other Sale'!$C:$C,$J312,'Other Sale'!$A:$A,$A312)))))</f>
        <v/>
      </c>
      <c r="F312" s="347" t="str" cm="1">
        <f t="array" ref="F312">IF($A312="","",IF($J312="Payment",IFERROR(INDEX(_xlfn._xlws.FILTER(MasterPaid[Amount Paid],(MasterPaid[Customer]=$M$3)*(MasterPaid[Date]=$A312)),COUNTIFS($A$6:$A312,$A312,$J$6:$J312,"Payment")),0),0))</f>
        <v/>
      </c>
      <c r="G312" s="331"/>
      <c r="H312" s="427"/>
      <c r="I312" s="330" t="str">
        <f t="shared" si="13"/>
        <v/>
      </c>
      <c r="J312" s="344" t="str" cm="1">
        <f t="array" ref="J312">IFERROR(INDEX(_xlfn.ANCHORARRAY($P$6),ROW()-5,3),"")</f>
        <v/>
      </c>
      <c r="K312" s="432" t="str" cm="1">
        <f t="array" ref="K312">IF(OR($A312="",$J312&lt;&gt;"DIESEL"),"",_xlfn.LET(_xlpm.qty,N($C312),_xlpm.pos,$T$5:$T$54,_xlpm.alo,IF($U$5:$U$54="",0,$U$5:$U$54),_xlpm.usd,SUMIFS($C$6:$C311,$K$6:$K311,_xlpm.pos&amp;""),_xlpm.bal,_xlpm.alo-_xlpm.usd,IFERROR(INDEX(_xlfn._xlws.FILTER(_xlpm.pos,(_xlpm.pos&lt;&gt;"")*(_xlpm.qty&gt;0)*(_xlpm.bal&gt;=_xlpm.qty)),1),"")))</f>
        <v/>
      </c>
      <c r="L312" s="348"/>
    </row>
    <row r="313" spans="1:12" ht="23" x14ac:dyDescent="0.25">
      <c r="A313" s="217" t="str" cm="1">
        <f t="array" ref="A313">IFERROR(INDEX(_xlfn.ANCHORARRAY($P$6),ROW()-5,1),"")</f>
        <v/>
      </c>
      <c r="B313" s="344" t="str" cm="1">
        <f t="array" ref="B313">IFERROR(INDEX(_xlfn.ANCHORARRAY($P$6),ROW()-5,2),"")</f>
        <v/>
      </c>
      <c r="C313" s="345" t="str">
        <f>IF($A313="","",IF($J313="DIESEL",SUMIFS(Table1[Quantity],Table1[Customer],$M$3,Table1[Date],$A313,Table1[Bill No.],$B313),IF($J313="PETROL",SUMIFS(Table14[Quantity],Table14[Customer],$M$3,Table14[Date],$A313,Table14[Bill No.],$B313),IF($J313="XtraGreen",SUMIFS(Table146[Quantity],Table146[Company],$M$3,Table146[Date],$A313,Table146[Bill No.],$B313),""))))</f>
        <v/>
      </c>
      <c r="D313" s="346" t="str">
        <f>IF($A313="","",IF($J313="DIESEL",AVERAGEIFS(Table1[RSP],Table1[Customer],$M$3,Table1[Date],$A313,Table1[Bill No.],$B313),IF($J313="PETROL",AVERAGEIFS(Table14[RSP],Table14[Customer],$M$3,Table14[Date],$A313,Table14[Bill No.],$B313),IF($J313="XtraGreen",AVERAGEIFS(Table146[RSP],Table146[Company],$M$3,Table146[Date],$A313,Table146[Bill No.],$B313),IFERROR($E313/$C313,"")))))</f>
        <v/>
      </c>
      <c r="E313" s="347" t="str">
        <f>IF($A313="","",IF($J313="DIESEL",SUMIFS(Table1[Amount],Table1[Customer],$M$3,Table1[Date],$A313,Table1[Bill No.],$B313),IF($J313="PETROL",SUMIFS(Table14[Amount],Table14[Customer],$M$3,Table14[Date],$A313,Table14[Bill No.],$B313),IF($J313="XtraGreen",SUMIFS(Table146[Amount],Table146[Company],$M$3,Table146[Date],$A313,Table146[Bill No.],$B313),SUMIFS('Other Sale'!$D:$D,'Other Sale'!$E:$E,$M$3,'Other Sale'!$C:$C,$J313,'Other Sale'!$A:$A,$A313)))))</f>
        <v/>
      </c>
      <c r="F313" s="347" t="str" cm="1">
        <f t="array" ref="F313">IF($A313="","",IF($J313="Payment",IFERROR(INDEX(_xlfn._xlws.FILTER(MasterPaid[Amount Paid],(MasterPaid[Customer]=$M$3)*(MasterPaid[Date]=$A313)),COUNTIFS($A$6:$A313,$A313,$J$6:$J313,"Payment")),0),0))</f>
        <v/>
      </c>
      <c r="G313" s="331"/>
      <c r="H313" s="427"/>
      <c r="I313" s="330" t="str">
        <f t="shared" si="13"/>
        <v/>
      </c>
      <c r="J313" s="344" t="str" cm="1">
        <f t="array" ref="J313">IFERROR(INDEX(_xlfn.ANCHORARRAY($P$6),ROW()-5,3),"")</f>
        <v/>
      </c>
      <c r="K313" s="432" t="str" cm="1">
        <f t="array" ref="K313">IF(OR($A313="",$J313&lt;&gt;"DIESEL"),"",_xlfn.LET(_xlpm.qty,N($C313),_xlpm.pos,$T$5:$T$54,_xlpm.alo,IF($U$5:$U$54="",0,$U$5:$U$54),_xlpm.usd,SUMIFS($C$6:$C312,$K$6:$K312,_xlpm.pos&amp;""),_xlpm.bal,_xlpm.alo-_xlpm.usd,IFERROR(INDEX(_xlfn._xlws.FILTER(_xlpm.pos,(_xlpm.pos&lt;&gt;"")*(_xlpm.qty&gt;0)*(_xlpm.bal&gt;=_xlpm.qty)),1),"")))</f>
        <v/>
      </c>
      <c r="L313" s="348"/>
    </row>
    <row r="314" spans="1:12" ht="23" x14ac:dyDescent="0.25">
      <c r="A314" s="217" t="str" cm="1">
        <f t="array" ref="A314">IFERROR(INDEX(_xlfn.ANCHORARRAY($P$6),ROW()-5,1),"")</f>
        <v/>
      </c>
      <c r="B314" s="344" t="str" cm="1">
        <f t="array" ref="B314">IFERROR(INDEX(_xlfn.ANCHORARRAY($P$6),ROW()-5,2),"")</f>
        <v/>
      </c>
      <c r="C314" s="345" t="str">
        <f>IF($A314="","",IF($J314="DIESEL",SUMIFS(Table1[Quantity],Table1[Customer],$M$3,Table1[Date],$A314,Table1[Bill No.],$B314),IF($J314="PETROL",SUMIFS(Table14[Quantity],Table14[Customer],$M$3,Table14[Date],$A314,Table14[Bill No.],$B314),IF($J314="XtraGreen",SUMIFS(Table146[Quantity],Table146[Company],$M$3,Table146[Date],$A314,Table146[Bill No.],$B314),""))))</f>
        <v/>
      </c>
      <c r="D314" s="346" t="str">
        <f>IF($A314="","",IF($J314="DIESEL",AVERAGEIFS(Table1[RSP],Table1[Customer],$M$3,Table1[Date],$A314,Table1[Bill No.],$B314),IF($J314="PETROL",AVERAGEIFS(Table14[RSP],Table14[Customer],$M$3,Table14[Date],$A314,Table14[Bill No.],$B314),IF($J314="XtraGreen",AVERAGEIFS(Table146[RSP],Table146[Company],$M$3,Table146[Date],$A314,Table146[Bill No.],$B314),IFERROR($E314/$C314,"")))))</f>
        <v/>
      </c>
      <c r="E314" s="347" t="str">
        <f>IF($A314="","",IF($J314="DIESEL",SUMIFS(Table1[Amount],Table1[Customer],$M$3,Table1[Date],$A314,Table1[Bill No.],$B314),IF($J314="PETROL",SUMIFS(Table14[Amount],Table14[Customer],$M$3,Table14[Date],$A314,Table14[Bill No.],$B314),IF($J314="XtraGreen",SUMIFS(Table146[Amount],Table146[Company],$M$3,Table146[Date],$A314,Table146[Bill No.],$B314),SUMIFS('Other Sale'!$D:$D,'Other Sale'!$E:$E,$M$3,'Other Sale'!$C:$C,$J314,'Other Sale'!$A:$A,$A314)))))</f>
        <v/>
      </c>
      <c r="F314" s="347" t="str" cm="1">
        <f t="array" ref="F314">IF($A314="","",IF($J314="Payment",IFERROR(INDEX(_xlfn._xlws.FILTER(MasterPaid[Amount Paid],(MasterPaid[Customer]=$M$3)*(MasterPaid[Date]=$A314)),COUNTIFS($A$6:$A314,$A314,$J$6:$J314,"Payment")),0),0))</f>
        <v/>
      </c>
      <c r="G314" s="331"/>
      <c r="H314" s="427"/>
      <c r="I314" s="330" t="str">
        <f t="shared" si="13"/>
        <v/>
      </c>
      <c r="J314" s="344" t="str" cm="1">
        <f t="array" ref="J314">IFERROR(INDEX(_xlfn.ANCHORARRAY($P$6),ROW()-5,3),"")</f>
        <v/>
      </c>
      <c r="K314" s="432" t="str" cm="1">
        <f t="array" ref="K314">IF(OR($A314="",$J314&lt;&gt;"DIESEL"),"",_xlfn.LET(_xlpm.qty,N($C314),_xlpm.pos,$T$5:$T$54,_xlpm.alo,IF($U$5:$U$54="",0,$U$5:$U$54),_xlpm.usd,SUMIFS($C$6:$C313,$K$6:$K313,_xlpm.pos&amp;""),_xlpm.bal,_xlpm.alo-_xlpm.usd,IFERROR(INDEX(_xlfn._xlws.FILTER(_xlpm.pos,(_xlpm.pos&lt;&gt;"")*(_xlpm.qty&gt;0)*(_xlpm.bal&gt;=_xlpm.qty)),1),"")))</f>
        <v/>
      </c>
      <c r="L314" s="348"/>
    </row>
    <row r="315" spans="1:12" ht="23" x14ac:dyDescent="0.25">
      <c r="A315" s="217" t="str" cm="1">
        <f t="array" ref="A315">IFERROR(INDEX(_xlfn.ANCHORARRAY($P$6),ROW()-5,1),"")</f>
        <v/>
      </c>
      <c r="B315" s="344" t="str" cm="1">
        <f t="array" ref="B315">IFERROR(INDEX(_xlfn.ANCHORARRAY($P$6),ROW()-5,2),"")</f>
        <v/>
      </c>
      <c r="C315" s="345" t="str">
        <f>IF($A315="","",IF($J315="DIESEL",SUMIFS(Table1[Quantity],Table1[Customer],$M$3,Table1[Date],$A315,Table1[Bill No.],$B315),IF($J315="PETROL",SUMIFS(Table14[Quantity],Table14[Customer],$M$3,Table14[Date],$A315,Table14[Bill No.],$B315),IF($J315="XtraGreen",SUMIFS(Table146[Quantity],Table146[Company],$M$3,Table146[Date],$A315,Table146[Bill No.],$B315),""))))</f>
        <v/>
      </c>
      <c r="D315" s="346" t="str">
        <f>IF($A315="","",IF($J315="DIESEL",AVERAGEIFS(Table1[RSP],Table1[Customer],$M$3,Table1[Date],$A315,Table1[Bill No.],$B315),IF($J315="PETROL",AVERAGEIFS(Table14[RSP],Table14[Customer],$M$3,Table14[Date],$A315,Table14[Bill No.],$B315),IF($J315="XtraGreen",AVERAGEIFS(Table146[RSP],Table146[Company],$M$3,Table146[Date],$A315,Table146[Bill No.],$B315),IFERROR($E315/$C315,"")))))</f>
        <v/>
      </c>
      <c r="E315" s="347" t="str">
        <f>IF($A315="","",IF($J315="DIESEL",SUMIFS(Table1[Amount],Table1[Customer],$M$3,Table1[Date],$A315,Table1[Bill No.],$B315),IF($J315="PETROL",SUMIFS(Table14[Amount],Table14[Customer],$M$3,Table14[Date],$A315,Table14[Bill No.],$B315),IF($J315="XtraGreen",SUMIFS(Table146[Amount],Table146[Company],$M$3,Table146[Date],$A315,Table146[Bill No.],$B315),SUMIFS('Other Sale'!$D:$D,'Other Sale'!$E:$E,$M$3,'Other Sale'!$C:$C,$J315,'Other Sale'!$A:$A,$A315)))))</f>
        <v/>
      </c>
      <c r="F315" s="347" t="str" cm="1">
        <f t="array" ref="F315">IF($A315="","",IF($J315="Payment",IFERROR(INDEX(_xlfn._xlws.FILTER(MasterPaid[Amount Paid],(MasterPaid[Customer]=$M$3)*(MasterPaid[Date]=$A315)),COUNTIFS($A$6:$A315,$A315,$J$6:$J315,"Payment")),0),0))</f>
        <v/>
      </c>
      <c r="G315" s="331"/>
      <c r="H315" s="427"/>
      <c r="I315" s="330" t="str">
        <f t="shared" si="13"/>
        <v/>
      </c>
      <c r="J315" s="344" t="str" cm="1">
        <f t="array" ref="J315">IFERROR(INDEX(_xlfn.ANCHORARRAY($P$6),ROW()-5,3),"")</f>
        <v/>
      </c>
      <c r="K315" s="432" t="str" cm="1">
        <f t="array" ref="K315">IF(OR($A315="",$J315&lt;&gt;"DIESEL"),"",_xlfn.LET(_xlpm.qty,N($C315),_xlpm.pos,$T$5:$T$54,_xlpm.alo,IF($U$5:$U$54="",0,$U$5:$U$54),_xlpm.usd,SUMIFS($C$6:$C314,$K$6:$K314,_xlpm.pos&amp;""),_xlpm.bal,_xlpm.alo-_xlpm.usd,IFERROR(INDEX(_xlfn._xlws.FILTER(_xlpm.pos,(_xlpm.pos&lt;&gt;"")*(_xlpm.qty&gt;0)*(_xlpm.bal&gt;=_xlpm.qty)),1),"")))</f>
        <v/>
      </c>
      <c r="L315" s="348"/>
    </row>
    <row r="316" spans="1:12" ht="23" x14ac:dyDescent="0.25">
      <c r="A316" s="217" t="str" cm="1">
        <f t="array" ref="A316">IFERROR(INDEX(_xlfn.ANCHORARRAY($P$6),ROW()-5,1),"")</f>
        <v/>
      </c>
      <c r="B316" s="344" t="str" cm="1">
        <f t="array" ref="B316">IFERROR(INDEX(_xlfn.ANCHORARRAY($P$6),ROW()-5,2),"")</f>
        <v/>
      </c>
      <c r="C316" s="345" t="str">
        <f>IF($A316="","",IF($J316="DIESEL",SUMIFS(Table1[Quantity],Table1[Customer],$M$3,Table1[Date],$A316,Table1[Bill No.],$B316),IF($J316="PETROL",SUMIFS(Table14[Quantity],Table14[Customer],$M$3,Table14[Date],$A316,Table14[Bill No.],$B316),IF($J316="XtraGreen",SUMIFS(Table146[Quantity],Table146[Company],$M$3,Table146[Date],$A316,Table146[Bill No.],$B316),""))))</f>
        <v/>
      </c>
      <c r="D316" s="346" t="str">
        <f>IF($A316="","",IF($J316="DIESEL",AVERAGEIFS(Table1[RSP],Table1[Customer],$M$3,Table1[Date],$A316,Table1[Bill No.],$B316),IF($J316="PETROL",AVERAGEIFS(Table14[RSP],Table14[Customer],$M$3,Table14[Date],$A316,Table14[Bill No.],$B316),IF($J316="XtraGreen",AVERAGEIFS(Table146[RSP],Table146[Company],$M$3,Table146[Date],$A316,Table146[Bill No.],$B316),IFERROR($E316/$C316,"")))))</f>
        <v/>
      </c>
      <c r="E316" s="347" t="str">
        <f>IF($A316="","",IF($J316="DIESEL",SUMIFS(Table1[Amount],Table1[Customer],$M$3,Table1[Date],$A316,Table1[Bill No.],$B316),IF($J316="PETROL",SUMIFS(Table14[Amount],Table14[Customer],$M$3,Table14[Date],$A316,Table14[Bill No.],$B316),IF($J316="XtraGreen",SUMIFS(Table146[Amount],Table146[Company],$M$3,Table146[Date],$A316,Table146[Bill No.],$B316),SUMIFS('Other Sale'!$D:$D,'Other Sale'!$E:$E,$M$3,'Other Sale'!$C:$C,$J316,'Other Sale'!$A:$A,$A316)))))</f>
        <v/>
      </c>
      <c r="F316" s="347" t="str" cm="1">
        <f t="array" ref="F316">IF($A316="","",IF($J316="Payment",IFERROR(INDEX(_xlfn._xlws.FILTER(MasterPaid[Amount Paid],(MasterPaid[Customer]=$M$3)*(MasterPaid[Date]=$A316)),COUNTIFS($A$6:$A316,$A316,$J$6:$J316,"Payment")),0),0))</f>
        <v/>
      </c>
      <c r="G316" s="331"/>
      <c r="H316" s="427"/>
      <c r="I316" s="330" t="str">
        <f t="shared" si="13"/>
        <v/>
      </c>
      <c r="J316" s="344" t="str" cm="1">
        <f t="array" ref="J316">IFERROR(INDEX(_xlfn.ANCHORARRAY($P$6),ROW()-5,3),"")</f>
        <v/>
      </c>
      <c r="K316" s="432" t="str" cm="1">
        <f t="array" ref="K316">IF(OR($A316="",$J316&lt;&gt;"DIESEL"),"",_xlfn.LET(_xlpm.qty,N($C316),_xlpm.pos,$T$5:$T$54,_xlpm.alo,IF($U$5:$U$54="",0,$U$5:$U$54),_xlpm.usd,SUMIFS($C$6:$C315,$K$6:$K315,_xlpm.pos&amp;""),_xlpm.bal,_xlpm.alo-_xlpm.usd,IFERROR(INDEX(_xlfn._xlws.FILTER(_xlpm.pos,(_xlpm.pos&lt;&gt;"")*(_xlpm.qty&gt;0)*(_xlpm.bal&gt;=_xlpm.qty)),1),"")))</f>
        <v/>
      </c>
      <c r="L316" s="348"/>
    </row>
    <row r="317" spans="1:12" ht="23" x14ac:dyDescent="0.25">
      <c r="A317" s="217" t="str" cm="1">
        <f t="array" ref="A317">IFERROR(INDEX(_xlfn.ANCHORARRAY($P$6),ROW()-5,1),"")</f>
        <v/>
      </c>
      <c r="B317" s="344" t="str" cm="1">
        <f t="array" ref="B317">IFERROR(INDEX(_xlfn.ANCHORARRAY($P$6),ROW()-5,2),"")</f>
        <v/>
      </c>
      <c r="C317" s="345" t="str">
        <f>IF($A317="","",IF($J317="DIESEL",SUMIFS(Table1[Quantity],Table1[Customer],$M$3,Table1[Date],$A317,Table1[Bill No.],$B317),IF($J317="PETROL",SUMIFS(Table14[Quantity],Table14[Customer],$M$3,Table14[Date],$A317,Table14[Bill No.],$B317),IF($J317="XtraGreen",SUMIFS(Table146[Quantity],Table146[Company],$M$3,Table146[Date],$A317,Table146[Bill No.],$B317),""))))</f>
        <v/>
      </c>
      <c r="D317" s="346" t="str">
        <f>IF($A317="","",IF($J317="DIESEL",AVERAGEIFS(Table1[RSP],Table1[Customer],$M$3,Table1[Date],$A317,Table1[Bill No.],$B317),IF($J317="PETROL",AVERAGEIFS(Table14[RSP],Table14[Customer],$M$3,Table14[Date],$A317,Table14[Bill No.],$B317),IF($J317="XtraGreen",AVERAGEIFS(Table146[RSP],Table146[Company],$M$3,Table146[Date],$A317,Table146[Bill No.],$B317),IFERROR($E317/$C317,"")))))</f>
        <v/>
      </c>
      <c r="E317" s="347" t="str">
        <f>IF($A317="","",IF($J317="DIESEL",SUMIFS(Table1[Amount],Table1[Customer],$M$3,Table1[Date],$A317,Table1[Bill No.],$B317),IF($J317="PETROL",SUMIFS(Table14[Amount],Table14[Customer],$M$3,Table14[Date],$A317,Table14[Bill No.],$B317),IF($J317="XtraGreen",SUMIFS(Table146[Amount],Table146[Company],$M$3,Table146[Date],$A317,Table146[Bill No.],$B317),SUMIFS('Other Sale'!$D:$D,'Other Sale'!$E:$E,$M$3,'Other Sale'!$C:$C,$J317,'Other Sale'!$A:$A,$A317)))))</f>
        <v/>
      </c>
      <c r="F317" s="347" t="str" cm="1">
        <f t="array" ref="F317">IF($A317="","",IF($J317="Payment",IFERROR(INDEX(_xlfn._xlws.FILTER(MasterPaid[Amount Paid],(MasterPaid[Customer]=$M$3)*(MasterPaid[Date]=$A317)),COUNTIFS($A$6:$A317,$A317,$J$6:$J317,"Payment")),0),0))</f>
        <v/>
      </c>
      <c r="G317" s="331"/>
      <c r="H317" s="427"/>
      <c r="I317" s="330" t="str">
        <f t="shared" si="13"/>
        <v/>
      </c>
      <c r="J317" s="344" t="str" cm="1">
        <f t="array" ref="J317">IFERROR(INDEX(_xlfn.ANCHORARRAY($P$6),ROW()-5,3),"")</f>
        <v/>
      </c>
      <c r="K317" s="432" t="str" cm="1">
        <f t="array" ref="K317">IF(OR($A317="",$J317&lt;&gt;"DIESEL"),"",_xlfn.LET(_xlpm.qty,N($C317),_xlpm.pos,$T$5:$T$54,_xlpm.alo,IF($U$5:$U$54="",0,$U$5:$U$54),_xlpm.usd,SUMIFS($C$6:$C316,$K$6:$K316,_xlpm.pos&amp;""),_xlpm.bal,_xlpm.alo-_xlpm.usd,IFERROR(INDEX(_xlfn._xlws.FILTER(_xlpm.pos,(_xlpm.pos&lt;&gt;"")*(_xlpm.qty&gt;0)*(_xlpm.bal&gt;=_xlpm.qty)),1),"")))</f>
        <v/>
      </c>
      <c r="L317" s="348"/>
    </row>
    <row r="318" spans="1:12" ht="23" x14ac:dyDescent="0.25">
      <c r="A318" s="217" t="str" cm="1">
        <f t="array" ref="A318">IFERROR(INDEX(_xlfn.ANCHORARRAY($P$6),ROW()-5,1),"")</f>
        <v/>
      </c>
      <c r="B318" s="344" t="str" cm="1">
        <f t="array" ref="B318">IFERROR(INDEX(_xlfn.ANCHORARRAY($P$6),ROW()-5,2),"")</f>
        <v/>
      </c>
      <c r="C318" s="345" t="str">
        <f>IF($A318="","",IF($J318="DIESEL",SUMIFS(Table1[Quantity],Table1[Customer],$M$3,Table1[Date],$A318,Table1[Bill No.],$B318),IF($J318="PETROL",SUMIFS(Table14[Quantity],Table14[Customer],$M$3,Table14[Date],$A318,Table14[Bill No.],$B318),IF($J318="XtraGreen",SUMIFS(Table146[Quantity],Table146[Company],$M$3,Table146[Date],$A318,Table146[Bill No.],$B318),""))))</f>
        <v/>
      </c>
      <c r="D318" s="346" t="str">
        <f>IF($A318="","",IF($J318="DIESEL",AVERAGEIFS(Table1[RSP],Table1[Customer],$M$3,Table1[Date],$A318,Table1[Bill No.],$B318),IF($J318="PETROL",AVERAGEIFS(Table14[RSP],Table14[Customer],$M$3,Table14[Date],$A318,Table14[Bill No.],$B318),IF($J318="XtraGreen",AVERAGEIFS(Table146[RSP],Table146[Company],$M$3,Table146[Date],$A318,Table146[Bill No.],$B318),IFERROR($E318/$C318,"")))))</f>
        <v/>
      </c>
      <c r="E318" s="347" t="str">
        <f>IF($A318="","",IF($J318="DIESEL",SUMIFS(Table1[Amount],Table1[Customer],$M$3,Table1[Date],$A318,Table1[Bill No.],$B318),IF($J318="PETROL",SUMIFS(Table14[Amount],Table14[Customer],$M$3,Table14[Date],$A318,Table14[Bill No.],$B318),IF($J318="XtraGreen",SUMIFS(Table146[Amount],Table146[Company],$M$3,Table146[Date],$A318,Table146[Bill No.],$B318),SUMIFS('Other Sale'!$D:$D,'Other Sale'!$E:$E,$M$3,'Other Sale'!$C:$C,$J318,'Other Sale'!$A:$A,$A318)))))</f>
        <v/>
      </c>
      <c r="F318" s="347" t="str" cm="1">
        <f t="array" ref="F318">IF($A318="","",IF($J318="Payment",IFERROR(INDEX(_xlfn._xlws.FILTER(MasterPaid[Amount Paid],(MasterPaid[Customer]=$M$3)*(MasterPaid[Date]=$A318)),COUNTIFS($A$6:$A318,$A318,$J$6:$J318,"Payment")),0),0))</f>
        <v/>
      </c>
      <c r="G318" s="331"/>
      <c r="H318" s="427"/>
      <c r="I318" s="330" t="str">
        <f t="shared" si="13"/>
        <v/>
      </c>
      <c r="J318" s="344" t="str" cm="1">
        <f t="array" ref="J318">IFERROR(INDEX(_xlfn.ANCHORARRAY($P$6),ROW()-5,3),"")</f>
        <v/>
      </c>
      <c r="K318" s="432" t="str" cm="1">
        <f t="array" ref="K318">IF(OR($A318="",$J318&lt;&gt;"DIESEL"),"",_xlfn.LET(_xlpm.qty,N($C318),_xlpm.pos,$T$5:$T$54,_xlpm.alo,IF($U$5:$U$54="",0,$U$5:$U$54),_xlpm.usd,SUMIFS($C$6:$C317,$K$6:$K317,_xlpm.pos&amp;""),_xlpm.bal,_xlpm.alo-_xlpm.usd,IFERROR(INDEX(_xlfn._xlws.FILTER(_xlpm.pos,(_xlpm.pos&lt;&gt;"")*(_xlpm.qty&gt;0)*(_xlpm.bal&gt;=_xlpm.qty)),1),"")))</f>
        <v/>
      </c>
      <c r="L318" s="348"/>
    </row>
    <row r="319" spans="1:12" ht="23" x14ac:dyDescent="0.25">
      <c r="A319" s="217" t="str" cm="1">
        <f t="array" ref="A319">IFERROR(INDEX(_xlfn.ANCHORARRAY($P$6),ROW()-5,1),"")</f>
        <v/>
      </c>
      <c r="B319" s="344" t="str" cm="1">
        <f t="array" ref="B319">IFERROR(INDEX(_xlfn.ANCHORARRAY($P$6),ROW()-5,2),"")</f>
        <v/>
      </c>
      <c r="C319" s="345" t="str">
        <f>IF($A319="","",IF($J319="DIESEL",SUMIFS(Table1[Quantity],Table1[Customer],$M$3,Table1[Date],$A319,Table1[Bill No.],$B319),IF($J319="PETROL",SUMIFS(Table14[Quantity],Table14[Customer],$M$3,Table14[Date],$A319,Table14[Bill No.],$B319),IF($J319="XtraGreen",SUMIFS(Table146[Quantity],Table146[Company],$M$3,Table146[Date],$A319,Table146[Bill No.],$B319),""))))</f>
        <v/>
      </c>
      <c r="D319" s="346" t="str">
        <f>IF($A319="","",IF($J319="DIESEL",AVERAGEIFS(Table1[RSP],Table1[Customer],$M$3,Table1[Date],$A319,Table1[Bill No.],$B319),IF($J319="PETROL",AVERAGEIFS(Table14[RSP],Table14[Customer],$M$3,Table14[Date],$A319,Table14[Bill No.],$B319),IF($J319="XtraGreen",AVERAGEIFS(Table146[RSP],Table146[Company],$M$3,Table146[Date],$A319,Table146[Bill No.],$B319),IFERROR($E319/$C319,"")))))</f>
        <v/>
      </c>
      <c r="E319" s="347" t="str">
        <f>IF($A319="","",IF($J319="DIESEL",SUMIFS(Table1[Amount],Table1[Customer],$M$3,Table1[Date],$A319,Table1[Bill No.],$B319),IF($J319="PETROL",SUMIFS(Table14[Amount],Table14[Customer],$M$3,Table14[Date],$A319,Table14[Bill No.],$B319),IF($J319="XtraGreen",SUMIFS(Table146[Amount],Table146[Company],$M$3,Table146[Date],$A319,Table146[Bill No.],$B319),SUMIFS('Other Sale'!$D:$D,'Other Sale'!$E:$E,$M$3,'Other Sale'!$C:$C,$J319,'Other Sale'!$A:$A,$A319)))))</f>
        <v/>
      </c>
      <c r="F319" s="347" t="str" cm="1">
        <f t="array" ref="F319">IF($A319="","",IF($J319="Payment",IFERROR(INDEX(_xlfn._xlws.FILTER(MasterPaid[Amount Paid],(MasterPaid[Customer]=$M$3)*(MasterPaid[Date]=$A319)),COUNTIFS($A$6:$A319,$A319,$J$6:$J319,"Payment")),0),0))</f>
        <v/>
      </c>
      <c r="G319" s="331"/>
      <c r="H319" s="427"/>
      <c r="I319" s="330" t="str">
        <f t="shared" si="13"/>
        <v/>
      </c>
      <c r="J319" s="344" t="str" cm="1">
        <f t="array" ref="J319">IFERROR(INDEX(_xlfn.ANCHORARRAY($P$6),ROW()-5,3),"")</f>
        <v/>
      </c>
      <c r="K319" s="432" t="str" cm="1">
        <f t="array" ref="K319">IF(OR($A319="",$J319&lt;&gt;"DIESEL"),"",_xlfn.LET(_xlpm.qty,N($C319),_xlpm.pos,$T$5:$T$54,_xlpm.alo,IF($U$5:$U$54="",0,$U$5:$U$54),_xlpm.usd,SUMIFS($C$6:$C318,$K$6:$K318,_xlpm.pos&amp;""),_xlpm.bal,_xlpm.alo-_xlpm.usd,IFERROR(INDEX(_xlfn._xlws.FILTER(_xlpm.pos,(_xlpm.pos&lt;&gt;"")*(_xlpm.qty&gt;0)*(_xlpm.bal&gt;=_xlpm.qty)),1),"")))</f>
        <v/>
      </c>
      <c r="L319" s="348"/>
    </row>
    <row r="320" spans="1:12" ht="23" x14ac:dyDescent="0.25">
      <c r="A320" s="217" t="str" cm="1">
        <f t="array" ref="A320">IFERROR(INDEX(_xlfn.ANCHORARRAY($P$6),ROW()-5,1),"")</f>
        <v/>
      </c>
      <c r="B320" s="344" t="str" cm="1">
        <f t="array" ref="B320">IFERROR(INDEX(_xlfn.ANCHORARRAY($P$6),ROW()-5,2),"")</f>
        <v/>
      </c>
      <c r="C320" s="345" t="str">
        <f>IF($A320="","",IF($J320="DIESEL",SUMIFS(Table1[Quantity],Table1[Customer],$M$3,Table1[Date],$A320,Table1[Bill No.],$B320),IF($J320="PETROL",SUMIFS(Table14[Quantity],Table14[Customer],$M$3,Table14[Date],$A320,Table14[Bill No.],$B320),IF($J320="XtraGreen",SUMIFS(Table146[Quantity],Table146[Company],$M$3,Table146[Date],$A320,Table146[Bill No.],$B320),""))))</f>
        <v/>
      </c>
      <c r="D320" s="346" t="str">
        <f>IF($A320="","",IF($J320="DIESEL",AVERAGEIFS(Table1[RSP],Table1[Customer],$M$3,Table1[Date],$A320,Table1[Bill No.],$B320),IF($J320="PETROL",AVERAGEIFS(Table14[RSP],Table14[Customer],$M$3,Table14[Date],$A320,Table14[Bill No.],$B320),IF($J320="XtraGreen",AVERAGEIFS(Table146[RSP],Table146[Company],$M$3,Table146[Date],$A320,Table146[Bill No.],$B320),IFERROR($E320/$C320,"")))))</f>
        <v/>
      </c>
      <c r="E320" s="347" t="str">
        <f>IF($A320="","",IF($J320="DIESEL",SUMIFS(Table1[Amount],Table1[Customer],$M$3,Table1[Date],$A320,Table1[Bill No.],$B320),IF($J320="PETROL",SUMIFS(Table14[Amount],Table14[Customer],$M$3,Table14[Date],$A320,Table14[Bill No.],$B320),IF($J320="XtraGreen",SUMIFS(Table146[Amount],Table146[Company],$M$3,Table146[Date],$A320,Table146[Bill No.],$B320),SUMIFS('Other Sale'!$D:$D,'Other Sale'!$E:$E,$M$3,'Other Sale'!$C:$C,$J320,'Other Sale'!$A:$A,$A320)))))</f>
        <v/>
      </c>
      <c r="F320" s="347" t="str" cm="1">
        <f t="array" ref="F320">IF($A320="","",IF($J320="Payment",IFERROR(INDEX(_xlfn._xlws.FILTER(MasterPaid[Amount Paid],(MasterPaid[Customer]=$M$3)*(MasterPaid[Date]=$A320)),COUNTIFS($A$6:$A320,$A320,$J$6:$J320,"Payment")),0),0))</f>
        <v/>
      </c>
      <c r="G320" s="331"/>
      <c r="H320" s="427"/>
      <c r="I320" s="330" t="str">
        <f t="shared" si="13"/>
        <v/>
      </c>
      <c r="J320" s="344" t="str" cm="1">
        <f t="array" ref="J320">IFERROR(INDEX(_xlfn.ANCHORARRAY($P$6),ROW()-5,3),"")</f>
        <v/>
      </c>
      <c r="K320" s="432" t="str" cm="1">
        <f t="array" ref="K320">IF(OR($A320="",$J320&lt;&gt;"DIESEL"),"",_xlfn.LET(_xlpm.qty,N($C320),_xlpm.pos,$T$5:$T$54,_xlpm.alo,IF($U$5:$U$54="",0,$U$5:$U$54),_xlpm.usd,SUMIFS($C$6:$C319,$K$6:$K319,_xlpm.pos&amp;""),_xlpm.bal,_xlpm.alo-_xlpm.usd,IFERROR(INDEX(_xlfn._xlws.FILTER(_xlpm.pos,(_xlpm.pos&lt;&gt;"")*(_xlpm.qty&gt;0)*(_xlpm.bal&gt;=_xlpm.qty)),1),"")))</f>
        <v/>
      </c>
      <c r="L320" s="348"/>
    </row>
    <row r="321" spans="1:12" ht="23" x14ac:dyDescent="0.25">
      <c r="A321" s="217" t="str" cm="1">
        <f t="array" ref="A321">IFERROR(INDEX(_xlfn.ANCHORARRAY($P$6),ROW()-5,1),"")</f>
        <v/>
      </c>
      <c r="B321" s="344" t="str" cm="1">
        <f t="array" ref="B321">IFERROR(INDEX(_xlfn.ANCHORARRAY($P$6),ROW()-5,2),"")</f>
        <v/>
      </c>
      <c r="C321" s="345" t="str">
        <f>IF($A321="","",IF($J321="DIESEL",SUMIFS(Table1[Quantity],Table1[Customer],$M$3,Table1[Date],$A321,Table1[Bill No.],$B321),IF($J321="PETROL",SUMIFS(Table14[Quantity],Table14[Customer],$M$3,Table14[Date],$A321,Table14[Bill No.],$B321),IF($J321="XtraGreen",SUMIFS(Table146[Quantity],Table146[Company],$M$3,Table146[Date],$A321,Table146[Bill No.],$B321),""))))</f>
        <v/>
      </c>
      <c r="D321" s="346" t="str">
        <f>IF($A321="","",IF($J321="DIESEL",AVERAGEIFS(Table1[RSP],Table1[Customer],$M$3,Table1[Date],$A321,Table1[Bill No.],$B321),IF($J321="PETROL",AVERAGEIFS(Table14[RSP],Table14[Customer],$M$3,Table14[Date],$A321,Table14[Bill No.],$B321),IF($J321="XtraGreen",AVERAGEIFS(Table146[RSP],Table146[Company],$M$3,Table146[Date],$A321,Table146[Bill No.],$B321),IFERROR($E321/$C321,"")))))</f>
        <v/>
      </c>
      <c r="E321" s="347" t="str">
        <f>IF($A321="","",IF($J321="DIESEL",SUMIFS(Table1[Amount],Table1[Customer],$M$3,Table1[Date],$A321,Table1[Bill No.],$B321),IF($J321="PETROL",SUMIFS(Table14[Amount],Table14[Customer],$M$3,Table14[Date],$A321,Table14[Bill No.],$B321),IF($J321="XtraGreen",SUMIFS(Table146[Amount],Table146[Company],$M$3,Table146[Date],$A321,Table146[Bill No.],$B321),SUMIFS('Other Sale'!$D:$D,'Other Sale'!$E:$E,$M$3,'Other Sale'!$C:$C,$J321,'Other Sale'!$A:$A,$A321)))))</f>
        <v/>
      </c>
      <c r="F321" s="347" t="str" cm="1">
        <f t="array" ref="F321">IF($A321="","",IF($J321="Payment",IFERROR(INDEX(_xlfn._xlws.FILTER(MasterPaid[Amount Paid],(MasterPaid[Customer]=$M$3)*(MasterPaid[Date]=$A321)),COUNTIFS($A$6:$A321,$A321,$J$6:$J321,"Payment")),0),0))</f>
        <v/>
      </c>
      <c r="G321" s="331"/>
      <c r="H321" s="427"/>
      <c r="I321" s="330" t="str">
        <f t="shared" si="13"/>
        <v/>
      </c>
      <c r="J321" s="344" t="str" cm="1">
        <f t="array" ref="J321">IFERROR(INDEX(_xlfn.ANCHORARRAY($P$6),ROW()-5,3),"")</f>
        <v/>
      </c>
      <c r="K321" s="432" t="str" cm="1">
        <f t="array" ref="K321">IF(OR($A321="",$J321&lt;&gt;"DIESEL"),"",_xlfn.LET(_xlpm.qty,N($C321),_xlpm.pos,$T$5:$T$54,_xlpm.alo,IF($U$5:$U$54="",0,$U$5:$U$54),_xlpm.usd,SUMIFS($C$6:$C320,$K$6:$K320,_xlpm.pos&amp;""),_xlpm.bal,_xlpm.alo-_xlpm.usd,IFERROR(INDEX(_xlfn._xlws.FILTER(_xlpm.pos,(_xlpm.pos&lt;&gt;"")*(_xlpm.qty&gt;0)*(_xlpm.bal&gt;=_xlpm.qty)),1),"")))</f>
        <v/>
      </c>
      <c r="L321" s="348"/>
    </row>
    <row r="322" spans="1:12" ht="23" x14ac:dyDescent="0.25">
      <c r="A322" s="217" t="str" cm="1">
        <f t="array" ref="A322">IFERROR(INDEX(_xlfn.ANCHORARRAY($P$6),ROW()-5,1),"")</f>
        <v/>
      </c>
      <c r="B322" s="344" t="str" cm="1">
        <f t="array" ref="B322">IFERROR(INDEX(_xlfn.ANCHORARRAY($P$6),ROW()-5,2),"")</f>
        <v/>
      </c>
      <c r="C322" s="345" t="str">
        <f>IF($A322="","",IF($J322="DIESEL",SUMIFS(Table1[Quantity],Table1[Customer],$M$3,Table1[Date],$A322,Table1[Bill No.],$B322),IF($J322="PETROL",SUMIFS(Table14[Quantity],Table14[Customer],$M$3,Table14[Date],$A322,Table14[Bill No.],$B322),IF($J322="XtraGreen",SUMIFS(Table146[Quantity],Table146[Company],$M$3,Table146[Date],$A322,Table146[Bill No.],$B322),""))))</f>
        <v/>
      </c>
      <c r="D322" s="346" t="str">
        <f>IF($A322="","",IF($J322="DIESEL",AVERAGEIFS(Table1[RSP],Table1[Customer],$M$3,Table1[Date],$A322,Table1[Bill No.],$B322),IF($J322="PETROL",AVERAGEIFS(Table14[RSP],Table14[Customer],$M$3,Table14[Date],$A322,Table14[Bill No.],$B322),IF($J322="XtraGreen",AVERAGEIFS(Table146[RSP],Table146[Company],$M$3,Table146[Date],$A322,Table146[Bill No.],$B322),IFERROR($E322/$C322,"")))))</f>
        <v/>
      </c>
      <c r="E322" s="347" t="str">
        <f>IF($A322="","",IF($J322="DIESEL",SUMIFS(Table1[Amount],Table1[Customer],$M$3,Table1[Date],$A322,Table1[Bill No.],$B322),IF($J322="PETROL",SUMIFS(Table14[Amount],Table14[Customer],$M$3,Table14[Date],$A322,Table14[Bill No.],$B322),IF($J322="XtraGreen",SUMIFS(Table146[Amount],Table146[Company],$M$3,Table146[Date],$A322,Table146[Bill No.],$B322),SUMIFS('Other Sale'!$D:$D,'Other Sale'!$E:$E,$M$3,'Other Sale'!$C:$C,$J322,'Other Sale'!$A:$A,$A322)))))</f>
        <v/>
      </c>
      <c r="F322" s="347" t="str" cm="1">
        <f t="array" ref="F322">IF($A322="","",IF($J322="Payment",IFERROR(INDEX(_xlfn._xlws.FILTER(MasterPaid[Amount Paid],(MasterPaid[Customer]=$M$3)*(MasterPaid[Date]=$A322)),COUNTIFS($A$6:$A322,$A322,$J$6:$J322,"Payment")),0),0))</f>
        <v/>
      </c>
      <c r="G322" s="331"/>
      <c r="H322" s="427"/>
      <c r="I322" s="330" t="str">
        <f t="shared" si="13"/>
        <v/>
      </c>
      <c r="J322" s="344" t="str" cm="1">
        <f t="array" ref="J322">IFERROR(INDEX(_xlfn.ANCHORARRAY($P$6),ROW()-5,3),"")</f>
        <v/>
      </c>
      <c r="K322" s="432" t="str" cm="1">
        <f t="array" ref="K322">IF(OR($A322="",$J322&lt;&gt;"DIESEL"),"",_xlfn.LET(_xlpm.qty,N($C322),_xlpm.pos,$T$5:$T$54,_xlpm.alo,IF($U$5:$U$54="",0,$U$5:$U$54),_xlpm.usd,SUMIFS($C$6:$C321,$K$6:$K321,_xlpm.pos&amp;""),_xlpm.bal,_xlpm.alo-_xlpm.usd,IFERROR(INDEX(_xlfn._xlws.FILTER(_xlpm.pos,(_xlpm.pos&lt;&gt;"")*(_xlpm.qty&gt;0)*(_xlpm.bal&gt;=_xlpm.qty)),1),"")))</f>
        <v/>
      </c>
      <c r="L322" s="348"/>
    </row>
    <row r="323" spans="1:12" ht="23" x14ac:dyDescent="0.25">
      <c r="A323" s="217" t="str" cm="1">
        <f t="array" ref="A323">IFERROR(INDEX(_xlfn.ANCHORARRAY($P$6),ROW()-5,1),"")</f>
        <v/>
      </c>
      <c r="B323" s="344" t="str" cm="1">
        <f t="array" ref="B323">IFERROR(INDEX(_xlfn.ANCHORARRAY($P$6),ROW()-5,2),"")</f>
        <v/>
      </c>
      <c r="C323" s="345" t="str">
        <f>IF($A323="","",IF($J323="DIESEL",SUMIFS(Table1[Quantity],Table1[Customer],$M$3,Table1[Date],$A323,Table1[Bill No.],$B323),IF($J323="PETROL",SUMIFS(Table14[Quantity],Table14[Customer],$M$3,Table14[Date],$A323,Table14[Bill No.],$B323),IF($J323="XtraGreen",SUMIFS(Table146[Quantity],Table146[Company],$M$3,Table146[Date],$A323,Table146[Bill No.],$B323),""))))</f>
        <v/>
      </c>
      <c r="D323" s="346" t="str">
        <f>IF($A323="","",IF($J323="DIESEL",AVERAGEIFS(Table1[RSP],Table1[Customer],$M$3,Table1[Date],$A323,Table1[Bill No.],$B323),IF($J323="PETROL",AVERAGEIFS(Table14[RSP],Table14[Customer],$M$3,Table14[Date],$A323,Table14[Bill No.],$B323),IF($J323="XtraGreen",AVERAGEIFS(Table146[RSP],Table146[Company],$M$3,Table146[Date],$A323,Table146[Bill No.],$B323),IFERROR($E323/$C323,"")))))</f>
        <v/>
      </c>
      <c r="E323" s="347" t="str">
        <f>IF($A323="","",IF($J323="DIESEL",SUMIFS(Table1[Amount],Table1[Customer],$M$3,Table1[Date],$A323,Table1[Bill No.],$B323),IF($J323="PETROL",SUMIFS(Table14[Amount],Table14[Customer],$M$3,Table14[Date],$A323,Table14[Bill No.],$B323),IF($J323="XtraGreen",SUMIFS(Table146[Amount],Table146[Company],$M$3,Table146[Date],$A323,Table146[Bill No.],$B323),SUMIFS('Other Sale'!$D:$D,'Other Sale'!$E:$E,$M$3,'Other Sale'!$C:$C,$J323,'Other Sale'!$A:$A,$A323)))))</f>
        <v/>
      </c>
      <c r="F323" s="347" t="str" cm="1">
        <f t="array" ref="F323">IF($A323="","",IF($J323="Payment",IFERROR(INDEX(_xlfn._xlws.FILTER(MasterPaid[Amount Paid],(MasterPaid[Customer]=$M$3)*(MasterPaid[Date]=$A323)),COUNTIFS($A$6:$A323,$A323,$J$6:$J323,"Payment")),0),0))</f>
        <v/>
      </c>
      <c r="G323" s="331"/>
      <c r="H323" s="427"/>
      <c r="I323" s="330" t="str">
        <f t="shared" si="13"/>
        <v/>
      </c>
      <c r="J323" s="344" t="str" cm="1">
        <f t="array" ref="J323">IFERROR(INDEX(_xlfn.ANCHORARRAY($P$6),ROW()-5,3),"")</f>
        <v/>
      </c>
      <c r="K323" s="432" t="str" cm="1">
        <f t="array" ref="K323">IF(OR($A323="",$J323&lt;&gt;"DIESEL"),"",_xlfn.LET(_xlpm.qty,N($C323),_xlpm.pos,$T$5:$T$54,_xlpm.alo,IF($U$5:$U$54="",0,$U$5:$U$54),_xlpm.usd,SUMIFS($C$6:$C322,$K$6:$K322,_xlpm.pos&amp;""),_xlpm.bal,_xlpm.alo-_xlpm.usd,IFERROR(INDEX(_xlfn._xlws.FILTER(_xlpm.pos,(_xlpm.pos&lt;&gt;"")*(_xlpm.qty&gt;0)*(_xlpm.bal&gt;=_xlpm.qty)),1),"")))</f>
        <v/>
      </c>
      <c r="L323" s="348"/>
    </row>
    <row r="324" spans="1:12" ht="23" x14ac:dyDescent="0.25">
      <c r="A324" s="217" t="str" cm="1">
        <f t="array" ref="A324">IFERROR(INDEX(_xlfn.ANCHORARRAY($P$6),ROW()-5,1),"")</f>
        <v/>
      </c>
      <c r="B324" s="344" t="str" cm="1">
        <f t="array" ref="B324">IFERROR(INDEX(_xlfn.ANCHORARRAY($P$6),ROW()-5,2),"")</f>
        <v/>
      </c>
      <c r="C324" s="345" t="str">
        <f>IF($A324="","",IF($J324="DIESEL",SUMIFS(Table1[Quantity],Table1[Customer],$M$3,Table1[Date],$A324,Table1[Bill No.],$B324),IF($J324="PETROL",SUMIFS(Table14[Quantity],Table14[Customer],$M$3,Table14[Date],$A324,Table14[Bill No.],$B324),IF($J324="XtraGreen",SUMIFS(Table146[Quantity],Table146[Company],$M$3,Table146[Date],$A324,Table146[Bill No.],$B324),""))))</f>
        <v/>
      </c>
      <c r="D324" s="346" t="str">
        <f>IF($A324="","",IF($J324="DIESEL",AVERAGEIFS(Table1[RSP],Table1[Customer],$M$3,Table1[Date],$A324,Table1[Bill No.],$B324),IF($J324="PETROL",AVERAGEIFS(Table14[RSP],Table14[Customer],$M$3,Table14[Date],$A324,Table14[Bill No.],$B324),IF($J324="XtraGreen",AVERAGEIFS(Table146[RSP],Table146[Company],$M$3,Table146[Date],$A324,Table146[Bill No.],$B324),IFERROR($E324/$C324,"")))))</f>
        <v/>
      </c>
      <c r="E324" s="347" t="str">
        <f>IF($A324="","",IF($J324="DIESEL",SUMIFS(Table1[Amount],Table1[Customer],$M$3,Table1[Date],$A324,Table1[Bill No.],$B324),IF($J324="PETROL",SUMIFS(Table14[Amount],Table14[Customer],$M$3,Table14[Date],$A324,Table14[Bill No.],$B324),IF($J324="XtraGreen",SUMIFS(Table146[Amount],Table146[Company],$M$3,Table146[Date],$A324,Table146[Bill No.],$B324),SUMIFS('Other Sale'!$D:$D,'Other Sale'!$E:$E,$M$3,'Other Sale'!$C:$C,$J324,'Other Sale'!$A:$A,$A324)))))</f>
        <v/>
      </c>
      <c r="F324" s="347" t="str" cm="1">
        <f t="array" ref="F324">IF($A324="","",IF($J324="Payment",IFERROR(INDEX(_xlfn._xlws.FILTER(MasterPaid[Amount Paid],(MasterPaid[Customer]=$M$3)*(MasterPaid[Date]=$A324)),COUNTIFS($A$6:$A324,$A324,$J$6:$J324,"Payment")),0),0))</f>
        <v/>
      </c>
      <c r="G324" s="331"/>
      <c r="H324" s="427"/>
      <c r="I324" s="330" t="str">
        <f t="shared" si="13"/>
        <v/>
      </c>
      <c r="J324" s="344" t="str" cm="1">
        <f t="array" ref="J324">IFERROR(INDEX(_xlfn.ANCHORARRAY($P$6),ROW()-5,3),"")</f>
        <v/>
      </c>
      <c r="K324" s="432" t="str" cm="1">
        <f t="array" ref="K324">IF(OR($A324="",$J324&lt;&gt;"DIESEL"),"",_xlfn.LET(_xlpm.qty,N($C324),_xlpm.pos,$T$5:$T$54,_xlpm.alo,IF($U$5:$U$54="",0,$U$5:$U$54),_xlpm.usd,SUMIFS($C$6:$C323,$K$6:$K323,_xlpm.pos&amp;""),_xlpm.bal,_xlpm.alo-_xlpm.usd,IFERROR(INDEX(_xlfn._xlws.FILTER(_xlpm.pos,(_xlpm.pos&lt;&gt;"")*(_xlpm.qty&gt;0)*(_xlpm.bal&gt;=_xlpm.qty)),1),"")))</f>
        <v/>
      </c>
      <c r="L324" s="348"/>
    </row>
    <row r="325" spans="1:12" ht="23" x14ac:dyDescent="0.25">
      <c r="A325" s="217" t="str" cm="1">
        <f t="array" ref="A325">IFERROR(INDEX(_xlfn.ANCHORARRAY($P$6),ROW()-5,1),"")</f>
        <v/>
      </c>
      <c r="B325" s="344" t="str" cm="1">
        <f t="array" ref="B325">IFERROR(INDEX(_xlfn.ANCHORARRAY($P$6),ROW()-5,2),"")</f>
        <v/>
      </c>
      <c r="C325" s="345" t="str">
        <f>IF($A325="","",IF($J325="DIESEL",SUMIFS(Table1[Quantity],Table1[Customer],$M$3,Table1[Date],$A325,Table1[Bill No.],$B325),IF($J325="PETROL",SUMIFS(Table14[Quantity],Table14[Customer],$M$3,Table14[Date],$A325,Table14[Bill No.],$B325),IF($J325="XtraGreen",SUMIFS(Table146[Quantity],Table146[Company],$M$3,Table146[Date],$A325,Table146[Bill No.],$B325),""))))</f>
        <v/>
      </c>
      <c r="D325" s="346" t="str">
        <f>IF($A325="","",IF($J325="DIESEL",AVERAGEIFS(Table1[RSP],Table1[Customer],$M$3,Table1[Date],$A325,Table1[Bill No.],$B325),IF($J325="PETROL",AVERAGEIFS(Table14[RSP],Table14[Customer],$M$3,Table14[Date],$A325,Table14[Bill No.],$B325),IF($J325="XtraGreen",AVERAGEIFS(Table146[RSP],Table146[Company],$M$3,Table146[Date],$A325,Table146[Bill No.],$B325),IFERROR($E325/$C325,"")))))</f>
        <v/>
      </c>
      <c r="E325" s="347" t="str">
        <f>IF($A325="","",IF($J325="DIESEL",SUMIFS(Table1[Amount],Table1[Customer],$M$3,Table1[Date],$A325,Table1[Bill No.],$B325),IF($J325="PETROL",SUMIFS(Table14[Amount],Table14[Customer],$M$3,Table14[Date],$A325,Table14[Bill No.],$B325),IF($J325="XtraGreen",SUMIFS(Table146[Amount],Table146[Company],$M$3,Table146[Date],$A325,Table146[Bill No.],$B325),SUMIFS('Other Sale'!$D:$D,'Other Sale'!$E:$E,$M$3,'Other Sale'!$C:$C,$J325,'Other Sale'!$A:$A,$A325)))))</f>
        <v/>
      </c>
      <c r="F325" s="347" t="str" cm="1">
        <f t="array" ref="F325">IF($A325="","",IF($J325="Payment",IFERROR(INDEX(_xlfn._xlws.FILTER(MasterPaid[Amount Paid],(MasterPaid[Customer]=$M$3)*(MasterPaid[Date]=$A325)),COUNTIFS($A$6:$A325,$A325,$J$6:$J325,"Payment")),0),0))</f>
        <v/>
      </c>
      <c r="G325" s="331"/>
      <c r="H325" s="427"/>
      <c r="I325" s="330" t="str">
        <f t="shared" si="13"/>
        <v/>
      </c>
      <c r="J325" s="344" t="str" cm="1">
        <f t="array" ref="J325">IFERROR(INDEX(_xlfn.ANCHORARRAY($P$6),ROW()-5,3),"")</f>
        <v/>
      </c>
      <c r="K325" s="432" t="str" cm="1">
        <f t="array" ref="K325">IF(OR($A325="",$J325&lt;&gt;"DIESEL"),"",_xlfn.LET(_xlpm.qty,N($C325),_xlpm.pos,$T$5:$T$54,_xlpm.alo,IF($U$5:$U$54="",0,$U$5:$U$54),_xlpm.usd,SUMIFS($C$6:$C324,$K$6:$K324,_xlpm.pos&amp;""),_xlpm.bal,_xlpm.alo-_xlpm.usd,IFERROR(INDEX(_xlfn._xlws.FILTER(_xlpm.pos,(_xlpm.pos&lt;&gt;"")*(_xlpm.qty&gt;0)*(_xlpm.bal&gt;=_xlpm.qty)),1),"")))</f>
        <v/>
      </c>
      <c r="L325" s="348"/>
    </row>
    <row r="326" spans="1:12" ht="23" x14ac:dyDescent="0.25">
      <c r="A326" s="217" t="str" cm="1">
        <f t="array" ref="A326">IFERROR(INDEX(_xlfn.ANCHORARRAY($P$6),ROW()-5,1),"")</f>
        <v/>
      </c>
      <c r="B326" s="344" t="str" cm="1">
        <f t="array" ref="B326">IFERROR(INDEX(_xlfn.ANCHORARRAY($P$6),ROW()-5,2),"")</f>
        <v/>
      </c>
      <c r="C326" s="345" t="str">
        <f>IF($A326="","",IF($J326="DIESEL",SUMIFS(Table1[Quantity],Table1[Customer],$M$3,Table1[Date],$A326,Table1[Bill No.],$B326),IF($J326="PETROL",SUMIFS(Table14[Quantity],Table14[Customer],$M$3,Table14[Date],$A326,Table14[Bill No.],$B326),IF($J326="XtraGreen",SUMIFS(Table146[Quantity],Table146[Company],$M$3,Table146[Date],$A326,Table146[Bill No.],$B326),""))))</f>
        <v/>
      </c>
      <c r="D326" s="346" t="str">
        <f>IF($A326="","",IF($J326="DIESEL",AVERAGEIFS(Table1[RSP],Table1[Customer],$M$3,Table1[Date],$A326,Table1[Bill No.],$B326),IF($J326="PETROL",AVERAGEIFS(Table14[RSP],Table14[Customer],$M$3,Table14[Date],$A326,Table14[Bill No.],$B326),IF($J326="XtraGreen",AVERAGEIFS(Table146[RSP],Table146[Company],$M$3,Table146[Date],$A326,Table146[Bill No.],$B326),IFERROR($E326/$C326,"")))))</f>
        <v/>
      </c>
      <c r="E326" s="347" t="str">
        <f>IF($A326="","",IF($J326="DIESEL",SUMIFS(Table1[Amount],Table1[Customer],$M$3,Table1[Date],$A326,Table1[Bill No.],$B326),IF($J326="PETROL",SUMIFS(Table14[Amount],Table14[Customer],$M$3,Table14[Date],$A326,Table14[Bill No.],$B326),IF($J326="XtraGreen",SUMIFS(Table146[Amount],Table146[Company],$M$3,Table146[Date],$A326,Table146[Bill No.],$B326),SUMIFS('Other Sale'!$D:$D,'Other Sale'!$E:$E,$M$3,'Other Sale'!$C:$C,$J326,'Other Sale'!$A:$A,$A326)))))</f>
        <v/>
      </c>
      <c r="F326" s="347" t="str" cm="1">
        <f t="array" ref="F326">IF($A326="","",IF($J326="Payment",IFERROR(INDEX(_xlfn._xlws.FILTER(MasterPaid[Amount Paid],(MasterPaid[Customer]=$M$3)*(MasterPaid[Date]=$A326)),COUNTIFS($A$6:$A326,$A326,$J$6:$J326,"Payment")),0),0))</f>
        <v/>
      </c>
      <c r="G326" s="331"/>
      <c r="H326" s="427"/>
      <c r="I326" s="330" t="str">
        <f t="shared" si="13"/>
        <v/>
      </c>
      <c r="J326" s="344" t="str" cm="1">
        <f t="array" ref="J326">IFERROR(INDEX(_xlfn.ANCHORARRAY($P$6),ROW()-5,3),"")</f>
        <v/>
      </c>
      <c r="K326" s="432" t="str" cm="1">
        <f t="array" ref="K326">IF(OR($A326="",$J326&lt;&gt;"DIESEL"),"",_xlfn.LET(_xlpm.qty,N($C326),_xlpm.pos,$T$5:$T$54,_xlpm.alo,IF($U$5:$U$54="",0,$U$5:$U$54),_xlpm.usd,SUMIFS($C$6:$C325,$K$6:$K325,_xlpm.pos&amp;""),_xlpm.bal,_xlpm.alo-_xlpm.usd,IFERROR(INDEX(_xlfn._xlws.FILTER(_xlpm.pos,(_xlpm.pos&lt;&gt;"")*(_xlpm.qty&gt;0)*(_xlpm.bal&gt;=_xlpm.qty)),1),"")))</f>
        <v/>
      </c>
      <c r="L326" s="348"/>
    </row>
    <row r="327" spans="1:12" ht="23" x14ac:dyDescent="0.25">
      <c r="A327" s="217" t="str" cm="1">
        <f t="array" ref="A327">IFERROR(INDEX(_xlfn.ANCHORARRAY($P$6),ROW()-5,1),"")</f>
        <v/>
      </c>
      <c r="B327" s="344" t="str" cm="1">
        <f t="array" ref="B327">IFERROR(INDEX(_xlfn.ANCHORARRAY($P$6),ROW()-5,2),"")</f>
        <v/>
      </c>
      <c r="C327" s="345" t="str">
        <f>IF($A327="","",IF($J327="DIESEL",SUMIFS(Table1[Quantity],Table1[Customer],$M$3,Table1[Date],$A327,Table1[Bill No.],$B327),IF($J327="PETROL",SUMIFS(Table14[Quantity],Table14[Customer],$M$3,Table14[Date],$A327,Table14[Bill No.],$B327),IF($J327="XtraGreen",SUMIFS(Table146[Quantity],Table146[Company],$M$3,Table146[Date],$A327,Table146[Bill No.],$B327),""))))</f>
        <v/>
      </c>
      <c r="D327" s="346" t="str">
        <f>IF($A327="","",IF($J327="DIESEL",AVERAGEIFS(Table1[RSP],Table1[Customer],$M$3,Table1[Date],$A327,Table1[Bill No.],$B327),IF($J327="PETROL",AVERAGEIFS(Table14[RSP],Table14[Customer],$M$3,Table14[Date],$A327,Table14[Bill No.],$B327),IF($J327="XtraGreen",AVERAGEIFS(Table146[RSP],Table146[Company],$M$3,Table146[Date],$A327,Table146[Bill No.],$B327),IFERROR($E327/$C327,"")))))</f>
        <v/>
      </c>
      <c r="E327" s="347" t="str">
        <f>IF($A327="","",IF($J327="DIESEL",SUMIFS(Table1[Amount],Table1[Customer],$M$3,Table1[Date],$A327,Table1[Bill No.],$B327),IF($J327="PETROL",SUMIFS(Table14[Amount],Table14[Customer],$M$3,Table14[Date],$A327,Table14[Bill No.],$B327),IF($J327="XtraGreen",SUMIFS(Table146[Amount],Table146[Company],$M$3,Table146[Date],$A327,Table146[Bill No.],$B327),SUMIFS('Other Sale'!$D:$D,'Other Sale'!$E:$E,$M$3,'Other Sale'!$C:$C,$J327,'Other Sale'!$A:$A,$A327)))))</f>
        <v/>
      </c>
      <c r="F327" s="347" t="str" cm="1">
        <f t="array" ref="F327">IF($A327="","",IF($J327="Payment",IFERROR(INDEX(_xlfn._xlws.FILTER(MasterPaid[Amount Paid],(MasterPaid[Customer]=$M$3)*(MasterPaid[Date]=$A327)),COUNTIFS($A$6:$A327,$A327,$J$6:$J327,"Payment")),0),0))</f>
        <v/>
      </c>
      <c r="G327" s="331"/>
      <c r="H327" s="427"/>
      <c r="I327" s="330" t="str">
        <f t="shared" si="13"/>
        <v/>
      </c>
      <c r="J327" s="344" t="str" cm="1">
        <f t="array" ref="J327">IFERROR(INDEX(_xlfn.ANCHORARRAY($P$6),ROW()-5,3),"")</f>
        <v/>
      </c>
      <c r="K327" s="432" t="str" cm="1">
        <f t="array" ref="K327">IF(OR($A327="",$J327&lt;&gt;"DIESEL"),"",_xlfn.LET(_xlpm.qty,N($C327),_xlpm.pos,$T$5:$T$54,_xlpm.alo,IF($U$5:$U$54="",0,$U$5:$U$54),_xlpm.usd,SUMIFS($C$6:$C326,$K$6:$K326,_xlpm.pos&amp;""),_xlpm.bal,_xlpm.alo-_xlpm.usd,IFERROR(INDEX(_xlfn._xlws.FILTER(_xlpm.pos,(_xlpm.pos&lt;&gt;"")*(_xlpm.qty&gt;0)*(_xlpm.bal&gt;=_xlpm.qty)),1),"")))</f>
        <v/>
      </c>
      <c r="L327" s="348"/>
    </row>
    <row r="328" spans="1:12" ht="23" x14ac:dyDescent="0.25">
      <c r="A328" s="217" t="str" cm="1">
        <f t="array" ref="A328">IFERROR(INDEX(_xlfn.ANCHORARRAY($P$6),ROW()-5,1),"")</f>
        <v/>
      </c>
      <c r="B328" s="344" t="str" cm="1">
        <f t="array" ref="B328">IFERROR(INDEX(_xlfn.ANCHORARRAY($P$6),ROW()-5,2),"")</f>
        <v/>
      </c>
      <c r="C328" s="345" t="str">
        <f>IF($A328="","",IF($J328="DIESEL",SUMIFS(Table1[Quantity],Table1[Customer],$M$3,Table1[Date],$A328,Table1[Bill No.],$B328),IF($J328="PETROL",SUMIFS(Table14[Quantity],Table14[Customer],$M$3,Table14[Date],$A328,Table14[Bill No.],$B328),IF($J328="XtraGreen",SUMIFS(Table146[Quantity],Table146[Company],$M$3,Table146[Date],$A328,Table146[Bill No.],$B328),""))))</f>
        <v/>
      </c>
      <c r="D328" s="346" t="str">
        <f>IF($A328="","",IF($J328="DIESEL",AVERAGEIFS(Table1[RSP],Table1[Customer],$M$3,Table1[Date],$A328,Table1[Bill No.],$B328),IF($J328="PETROL",AVERAGEIFS(Table14[RSP],Table14[Customer],$M$3,Table14[Date],$A328,Table14[Bill No.],$B328),IF($J328="XtraGreen",AVERAGEIFS(Table146[RSP],Table146[Company],$M$3,Table146[Date],$A328,Table146[Bill No.],$B328),IFERROR($E328/$C328,"")))))</f>
        <v/>
      </c>
      <c r="E328" s="347" t="str">
        <f>IF($A328="","",IF($J328="DIESEL",SUMIFS(Table1[Amount],Table1[Customer],$M$3,Table1[Date],$A328,Table1[Bill No.],$B328),IF($J328="PETROL",SUMIFS(Table14[Amount],Table14[Customer],$M$3,Table14[Date],$A328,Table14[Bill No.],$B328),IF($J328="XtraGreen",SUMIFS(Table146[Amount],Table146[Company],$M$3,Table146[Date],$A328,Table146[Bill No.],$B328),SUMIFS('Other Sale'!$D:$D,'Other Sale'!$E:$E,$M$3,'Other Sale'!$C:$C,$J328,'Other Sale'!$A:$A,$A328)))))</f>
        <v/>
      </c>
      <c r="F328" s="347" t="str" cm="1">
        <f t="array" ref="F328">IF($A328="","",IF($J328="Payment",IFERROR(INDEX(_xlfn._xlws.FILTER(MasterPaid[Amount Paid],(MasterPaid[Customer]=$M$3)*(MasterPaid[Date]=$A328)),COUNTIFS($A$6:$A328,$A328,$J$6:$J328,"Payment")),0),0))</f>
        <v/>
      </c>
      <c r="G328" s="331"/>
      <c r="H328" s="427"/>
      <c r="I328" s="330" t="str">
        <f t="shared" ref="I328:I355" si="14">IF($A328="","",I327+N(E328)-N(F328)-N(G328)-N(H328))</f>
        <v/>
      </c>
      <c r="J328" s="344" t="str" cm="1">
        <f t="array" ref="J328">IFERROR(INDEX(_xlfn.ANCHORARRAY($P$6),ROW()-5,3),"")</f>
        <v/>
      </c>
      <c r="K328" s="432" t="str" cm="1">
        <f t="array" ref="K328">IF(OR($A328="",$J328&lt;&gt;"DIESEL"),"",_xlfn.LET(_xlpm.qty,N($C328),_xlpm.pos,$T$5:$T$54,_xlpm.alo,IF($U$5:$U$54="",0,$U$5:$U$54),_xlpm.usd,SUMIFS($C$6:$C327,$K$6:$K327,_xlpm.pos&amp;""),_xlpm.bal,_xlpm.alo-_xlpm.usd,IFERROR(INDEX(_xlfn._xlws.FILTER(_xlpm.pos,(_xlpm.pos&lt;&gt;"")*(_xlpm.qty&gt;0)*(_xlpm.bal&gt;=_xlpm.qty)),1),"")))</f>
        <v/>
      </c>
      <c r="L328" s="348"/>
    </row>
    <row r="329" spans="1:12" ht="23" x14ac:dyDescent="0.25">
      <c r="A329" s="217" t="str" cm="1">
        <f t="array" ref="A329">IFERROR(INDEX(_xlfn.ANCHORARRAY($P$6),ROW()-5,1),"")</f>
        <v/>
      </c>
      <c r="B329" s="344" t="str" cm="1">
        <f t="array" ref="B329">IFERROR(INDEX(_xlfn.ANCHORARRAY($P$6),ROW()-5,2),"")</f>
        <v/>
      </c>
      <c r="C329" s="345" t="str">
        <f>IF($A329="","",IF($J329="DIESEL",SUMIFS(Table1[Quantity],Table1[Customer],$M$3,Table1[Date],$A329,Table1[Bill No.],$B329),IF($J329="PETROL",SUMIFS(Table14[Quantity],Table14[Customer],$M$3,Table14[Date],$A329,Table14[Bill No.],$B329),IF($J329="XtraGreen",SUMIFS(Table146[Quantity],Table146[Company],$M$3,Table146[Date],$A329,Table146[Bill No.],$B329),""))))</f>
        <v/>
      </c>
      <c r="D329" s="346" t="str">
        <f>IF($A329="","",IF($J329="DIESEL",AVERAGEIFS(Table1[RSP],Table1[Customer],$M$3,Table1[Date],$A329,Table1[Bill No.],$B329),IF($J329="PETROL",AVERAGEIFS(Table14[RSP],Table14[Customer],$M$3,Table14[Date],$A329,Table14[Bill No.],$B329),IF($J329="XtraGreen",AVERAGEIFS(Table146[RSP],Table146[Company],$M$3,Table146[Date],$A329,Table146[Bill No.],$B329),IFERROR($E329/$C329,"")))))</f>
        <v/>
      </c>
      <c r="E329" s="347" t="str">
        <f>IF($A329="","",IF($J329="DIESEL",SUMIFS(Table1[Amount],Table1[Customer],$M$3,Table1[Date],$A329,Table1[Bill No.],$B329),IF($J329="PETROL",SUMIFS(Table14[Amount],Table14[Customer],$M$3,Table14[Date],$A329,Table14[Bill No.],$B329),IF($J329="XtraGreen",SUMIFS(Table146[Amount],Table146[Company],$M$3,Table146[Date],$A329,Table146[Bill No.],$B329),SUMIFS('Other Sale'!$D:$D,'Other Sale'!$E:$E,$M$3,'Other Sale'!$C:$C,$J329,'Other Sale'!$A:$A,$A329)))))</f>
        <v/>
      </c>
      <c r="F329" s="347" t="str" cm="1">
        <f t="array" ref="F329">IF($A329="","",IF($J329="Payment",IFERROR(INDEX(_xlfn._xlws.FILTER(MasterPaid[Amount Paid],(MasterPaid[Customer]=$M$3)*(MasterPaid[Date]=$A329)),COUNTIFS($A$6:$A329,$A329,$J$6:$J329,"Payment")),0),0))</f>
        <v/>
      </c>
      <c r="G329" s="331"/>
      <c r="H329" s="427"/>
      <c r="I329" s="330" t="str">
        <f t="shared" si="14"/>
        <v/>
      </c>
      <c r="J329" s="344" t="str" cm="1">
        <f t="array" ref="J329">IFERROR(INDEX(_xlfn.ANCHORARRAY($P$6),ROW()-5,3),"")</f>
        <v/>
      </c>
      <c r="K329" s="432" t="str" cm="1">
        <f t="array" ref="K329">IF(OR($A329="",$J329&lt;&gt;"DIESEL"),"",_xlfn.LET(_xlpm.qty,N($C329),_xlpm.pos,$T$5:$T$54,_xlpm.alo,IF($U$5:$U$54="",0,$U$5:$U$54),_xlpm.usd,SUMIFS($C$6:$C328,$K$6:$K328,_xlpm.pos&amp;""),_xlpm.bal,_xlpm.alo-_xlpm.usd,IFERROR(INDEX(_xlfn._xlws.FILTER(_xlpm.pos,(_xlpm.pos&lt;&gt;"")*(_xlpm.qty&gt;0)*(_xlpm.bal&gt;=_xlpm.qty)),1),"")))</f>
        <v/>
      </c>
      <c r="L329" s="348"/>
    </row>
    <row r="330" spans="1:12" ht="23" x14ac:dyDescent="0.25">
      <c r="A330" s="217" t="str" cm="1">
        <f t="array" ref="A330">IFERROR(INDEX(_xlfn.ANCHORARRAY($P$6),ROW()-5,1),"")</f>
        <v/>
      </c>
      <c r="B330" s="344" t="str" cm="1">
        <f t="array" ref="B330">IFERROR(INDEX(_xlfn.ANCHORARRAY($P$6),ROW()-5,2),"")</f>
        <v/>
      </c>
      <c r="C330" s="345" t="str">
        <f>IF($A330="","",IF($J330="DIESEL",SUMIFS(Table1[Quantity],Table1[Customer],$M$3,Table1[Date],$A330,Table1[Bill No.],$B330),IF($J330="PETROL",SUMIFS(Table14[Quantity],Table14[Customer],$M$3,Table14[Date],$A330,Table14[Bill No.],$B330),IF($J330="XtraGreen",SUMIFS(Table146[Quantity],Table146[Company],$M$3,Table146[Date],$A330,Table146[Bill No.],$B330),""))))</f>
        <v/>
      </c>
      <c r="D330" s="346" t="str">
        <f>IF($A330="","",IF($J330="DIESEL",AVERAGEIFS(Table1[RSP],Table1[Customer],$M$3,Table1[Date],$A330,Table1[Bill No.],$B330),IF($J330="PETROL",AVERAGEIFS(Table14[RSP],Table14[Customer],$M$3,Table14[Date],$A330,Table14[Bill No.],$B330),IF($J330="XtraGreen",AVERAGEIFS(Table146[RSP],Table146[Company],$M$3,Table146[Date],$A330,Table146[Bill No.],$B330),IFERROR($E330/$C330,"")))))</f>
        <v/>
      </c>
      <c r="E330" s="347" t="str">
        <f>IF($A330="","",IF($J330="DIESEL",SUMIFS(Table1[Amount],Table1[Customer],$M$3,Table1[Date],$A330,Table1[Bill No.],$B330),IF($J330="PETROL",SUMIFS(Table14[Amount],Table14[Customer],$M$3,Table14[Date],$A330,Table14[Bill No.],$B330),IF($J330="XtraGreen",SUMIFS(Table146[Amount],Table146[Company],$M$3,Table146[Date],$A330,Table146[Bill No.],$B330),SUMIFS('Other Sale'!$D:$D,'Other Sale'!$E:$E,$M$3,'Other Sale'!$C:$C,$J330,'Other Sale'!$A:$A,$A330)))))</f>
        <v/>
      </c>
      <c r="F330" s="347" t="str" cm="1">
        <f t="array" ref="F330">IF($A330="","",IF($J330="Payment",IFERROR(INDEX(_xlfn._xlws.FILTER(MasterPaid[Amount Paid],(MasterPaid[Customer]=$M$3)*(MasterPaid[Date]=$A330)),COUNTIFS($A$6:$A330,$A330,$J$6:$J330,"Payment")),0),0))</f>
        <v/>
      </c>
      <c r="G330" s="331"/>
      <c r="H330" s="427"/>
      <c r="I330" s="330" t="str">
        <f t="shared" si="14"/>
        <v/>
      </c>
      <c r="J330" s="344" t="str" cm="1">
        <f t="array" ref="J330">IFERROR(INDEX(_xlfn.ANCHORARRAY($P$6),ROW()-5,3),"")</f>
        <v/>
      </c>
      <c r="K330" s="432" t="str" cm="1">
        <f t="array" ref="K330">IF(OR($A330="",$J330&lt;&gt;"DIESEL"),"",_xlfn.LET(_xlpm.qty,N($C330),_xlpm.pos,$T$5:$T$54,_xlpm.alo,IF($U$5:$U$54="",0,$U$5:$U$54),_xlpm.usd,SUMIFS($C$6:$C329,$K$6:$K329,_xlpm.pos&amp;""),_xlpm.bal,_xlpm.alo-_xlpm.usd,IFERROR(INDEX(_xlfn._xlws.FILTER(_xlpm.pos,(_xlpm.pos&lt;&gt;"")*(_xlpm.qty&gt;0)*(_xlpm.bal&gt;=_xlpm.qty)),1),"")))</f>
        <v/>
      </c>
      <c r="L330" s="348"/>
    </row>
    <row r="331" spans="1:12" ht="23" x14ac:dyDescent="0.25">
      <c r="A331" s="217" t="str" cm="1">
        <f t="array" ref="A331">IFERROR(INDEX(_xlfn.ANCHORARRAY($P$6),ROW()-5,1),"")</f>
        <v/>
      </c>
      <c r="B331" s="344" t="str" cm="1">
        <f t="array" ref="B331">IFERROR(INDEX(_xlfn.ANCHORARRAY($P$6),ROW()-5,2),"")</f>
        <v/>
      </c>
      <c r="C331" s="345" t="str">
        <f>IF($A331="","",IF($J331="DIESEL",SUMIFS(Table1[Quantity],Table1[Customer],$M$3,Table1[Date],$A331,Table1[Bill No.],$B331),IF($J331="PETROL",SUMIFS(Table14[Quantity],Table14[Customer],$M$3,Table14[Date],$A331,Table14[Bill No.],$B331),IF($J331="XtraGreen",SUMIFS(Table146[Quantity],Table146[Company],$M$3,Table146[Date],$A331,Table146[Bill No.],$B331),""))))</f>
        <v/>
      </c>
      <c r="D331" s="346" t="str">
        <f>IF($A331="","",IF($J331="DIESEL",AVERAGEIFS(Table1[RSP],Table1[Customer],$M$3,Table1[Date],$A331,Table1[Bill No.],$B331),IF($J331="PETROL",AVERAGEIFS(Table14[RSP],Table14[Customer],$M$3,Table14[Date],$A331,Table14[Bill No.],$B331),IF($J331="XtraGreen",AVERAGEIFS(Table146[RSP],Table146[Company],$M$3,Table146[Date],$A331,Table146[Bill No.],$B331),IFERROR($E331/$C331,"")))))</f>
        <v/>
      </c>
      <c r="E331" s="347" t="str">
        <f>IF($A331="","",IF($J331="DIESEL",SUMIFS(Table1[Amount],Table1[Customer],$M$3,Table1[Date],$A331,Table1[Bill No.],$B331),IF($J331="PETROL",SUMIFS(Table14[Amount],Table14[Customer],$M$3,Table14[Date],$A331,Table14[Bill No.],$B331),IF($J331="XtraGreen",SUMIFS(Table146[Amount],Table146[Company],$M$3,Table146[Date],$A331,Table146[Bill No.],$B331),SUMIFS('Other Sale'!$D:$D,'Other Sale'!$E:$E,$M$3,'Other Sale'!$C:$C,$J331,'Other Sale'!$A:$A,$A331)))))</f>
        <v/>
      </c>
      <c r="F331" s="347" t="str" cm="1">
        <f t="array" ref="F331">IF($A331="","",IF($J331="Payment",IFERROR(INDEX(_xlfn._xlws.FILTER(MasterPaid[Amount Paid],(MasterPaid[Customer]=$M$3)*(MasterPaid[Date]=$A331)),COUNTIFS($A$6:$A331,$A331,$J$6:$J331,"Payment")),0),0))</f>
        <v/>
      </c>
      <c r="G331" s="331"/>
      <c r="H331" s="427"/>
      <c r="I331" s="330" t="str">
        <f t="shared" si="14"/>
        <v/>
      </c>
      <c r="J331" s="344" t="str" cm="1">
        <f t="array" ref="J331">IFERROR(INDEX(_xlfn.ANCHORARRAY($P$6),ROW()-5,3),"")</f>
        <v/>
      </c>
      <c r="K331" s="432" t="str" cm="1">
        <f t="array" ref="K331">IF(OR($A331="",$J331&lt;&gt;"DIESEL"),"",_xlfn.LET(_xlpm.qty,N($C331),_xlpm.pos,$T$5:$T$54,_xlpm.alo,IF($U$5:$U$54="",0,$U$5:$U$54),_xlpm.usd,SUMIFS($C$6:$C330,$K$6:$K330,_xlpm.pos&amp;""),_xlpm.bal,_xlpm.alo-_xlpm.usd,IFERROR(INDEX(_xlfn._xlws.FILTER(_xlpm.pos,(_xlpm.pos&lt;&gt;"")*(_xlpm.qty&gt;0)*(_xlpm.bal&gt;=_xlpm.qty)),1),"")))</f>
        <v/>
      </c>
      <c r="L331" s="348"/>
    </row>
    <row r="332" spans="1:12" ht="23" x14ac:dyDescent="0.25">
      <c r="A332" s="217" t="str" cm="1">
        <f t="array" ref="A332">IFERROR(INDEX(_xlfn.ANCHORARRAY($P$6),ROW()-5,1),"")</f>
        <v/>
      </c>
      <c r="B332" s="344" t="str" cm="1">
        <f t="array" ref="B332">IFERROR(INDEX(_xlfn.ANCHORARRAY($P$6),ROW()-5,2),"")</f>
        <v/>
      </c>
      <c r="C332" s="345" t="str">
        <f>IF($A332="","",IF($J332="DIESEL",SUMIFS(Table1[Quantity],Table1[Customer],$M$3,Table1[Date],$A332,Table1[Bill No.],$B332),IF($J332="PETROL",SUMIFS(Table14[Quantity],Table14[Customer],$M$3,Table14[Date],$A332,Table14[Bill No.],$B332),IF($J332="XtraGreen",SUMIFS(Table146[Quantity],Table146[Company],$M$3,Table146[Date],$A332,Table146[Bill No.],$B332),""))))</f>
        <v/>
      </c>
      <c r="D332" s="346" t="str">
        <f>IF($A332="","",IF($J332="DIESEL",AVERAGEIFS(Table1[RSP],Table1[Customer],$M$3,Table1[Date],$A332,Table1[Bill No.],$B332),IF($J332="PETROL",AVERAGEIFS(Table14[RSP],Table14[Customer],$M$3,Table14[Date],$A332,Table14[Bill No.],$B332),IF($J332="XtraGreen",AVERAGEIFS(Table146[RSP],Table146[Company],$M$3,Table146[Date],$A332,Table146[Bill No.],$B332),IFERROR($E332/$C332,"")))))</f>
        <v/>
      </c>
      <c r="E332" s="347" t="str">
        <f>IF($A332="","",IF($J332="DIESEL",SUMIFS(Table1[Amount],Table1[Customer],$M$3,Table1[Date],$A332,Table1[Bill No.],$B332),IF($J332="PETROL",SUMIFS(Table14[Amount],Table14[Customer],$M$3,Table14[Date],$A332,Table14[Bill No.],$B332),IF($J332="XtraGreen",SUMIFS(Table146[Amount],Table146[Company],$M$3,Table146[Date],$A332,Table146[Bill No.],$B332),SUMIFS('Other Sale'!$D:$D,'Other Sale'!$E:$E,$M$3,'Other Sale'!$C:$C,$J332,'Other Sale'!$A:$A,$A332)))))</f>
        <v/>
      </c>
      <c r="F332" s="347" t="str" cm="1">
        <f t="array" ref="F332">IF($A332="","",IF($J332="Payment",IFERROR(INDEX(_xlfn._xlws.FILTER(MasterPaid[Amount Paid],(MasterPaid[Customer]=$M$3)*(MasterPaid[Date]=$A332)),COUNTIFS($A$6:$A332,$A332,$J$6:$J332,"Payment")),0),0))</f>
        <v/>
      </c>
      <c r="G332" s="331"/>
      <c r="H332" s="427"/>
      <c r="I332" s="330" t="str">
        <f t="shared" si="14"/>
        <v/>
      </c>
      <c r="J332" s="344" t="str" cm="1">
        <f t="array" ref="J332">IFERROR(INDEX(_xlfn.ANCHORARRAY($P$6),ROW()-5,3),"")</f>
        <v/>
      </c>
      <c r="K332" s="432" t="str" cm="1">
        <f t="array" ref="K332">IF(OR($A332="",$J332&lt;&gt;"DIESEL"),"",_xlfn.LET(_xlpm.qty,N($C332),_xlpm.pos,$T$5:$T$54,_xlpm.alo,IF($U$5:$U$54="",0,$U$5:$U$54),_xlpm.usd,SUMIFS($C$6:$C331,$K$6:$K331,_xlpm.pos&amp;""),_xlpm.bal,_xlpm.alo-_xlpm.usd,IFERROR(INDEX(_xlfn._xlws.FILTER(_xlpm.pos,(_xlpm.pos&lt;&gt;"")*(_xlpm.qty&gt;0)*(_xlpm.bal&gt;=_xlpm.qty)),1),"")))</f>
        <v/>
      </c>
      <c r="L332" s="348"/>
    </row>
    <row r="333" spans="1:12" ht="23" x14ac:dyDescent="0.25">
      <c r="A333" s="217" t="str" cm="1">
        <f t="array" ref="A333">IFERROR(INDEX(_xlfn.ANCHORARRAY($P$6),ROW()-5,1),"")</f>
        <v/>
      </c>
      <c r="B333" s="344" t="str" cm="1">
        <f t="array" ref="B333">IFERROR(INDEX(_xlfn.ANCHORARRAY($P$6),ROW()-5,2),"")</f>
        <v/>
      </c>
      <c r="C333" s="345" t="str">
        <f>IF($A333="","",IF($J333="DIESEL",SUMIFS(Table1[Quantity],Table1[Customer],$M$3,Table1[Date],$A333,Table1[Bill No.],$B333),IF($J333="PETROL",SUMIFS(Table14[Quantity],Table14[Customer],$M$3,Table14[Date],$A333,Table14[Bill No.],$B333),IF($J333="XtraGreen",SUMIFS(Table146[Quantity],Table146[Company],$M$3,Table146[Date],$A333,Table146[Bill No.],$B333),""))))</f>
        <v/>
      </c>
      <c r="D333" s="346" t="str">
        <f>IF($A333="","",IF($J333="DIESEL",AVERAGEIFS(Table1[RSP],Table1[Customer],$M$3,Table1[Date],$A333,Table1[Bill No.],$B333),IF($J333="PETROL",AVERAGEIFS(Table14[RSP],Table14[Customer],$M$3,Table14[Date],$A333,Table14[Bill No.],$B333),IF($J333="XtraGreen",AVERAGEIFS(Table146[RSP],Table146[Company],$M$3,Table146[Date],$A333,Table146[Bill No.],$B333),IFERROR($E333/$C333,"")))))</f>
        <v/>
      </c>
      <c r="E333" s="347" t="str">
        <f>IF($A333="","",IF($J333="DIESEL",SUMIFS(Table1[Amount],Table1[Customer],$M$3,Table1[Date],$A333,Table1[Bill No.],$B333),IF($J333="PETROL",SUMIFS(Table14[Amount],Table14[Customer],$M$3,Table14[Date],$A333,Table14[Bill No.],$B333),IF($J333="XtraGreen",SUMIFS(Table146[Amount],Table146[Company],$M$3,Table146[Date],$A333,Table146[Bill No.],$B333),SUMIFS('Other Sale'!$D:$D,'Other Sale'!$E:$E,$M$3,'Other Sale'!$C:$C,$J333,'Other Sale'!$A:$A,$A333)))))</f>
        <v/>
      </c>
      <c r="F333" s="347" t="str" cm="1">
        <f t="array" ref="F333">IF($A333="","",IF($J333="Payment",IFERROR(INDEX(_xlfn._xlws.FILTER(MasterPaid[Amount Paid],(MasterPaid[Customer]=$M$3)*(MasterPaid[Date]=$A333)),COUNTIFS($A$6:$A333,$A333,$J$6:$J333,"Payment")),0),0))</f>
        <v/>
      </c>
      <c r="G333" s="331"/>
      <c r="H333" s="427"/>
      <c r="I333" s="330" t="str">
        <f t="shared" si="14"/>
        <v/>
      </c>
      <c r="J333" s="344" t="str" cm="1">
        <f t="array" ref="J333">IFERROR(INDEX(_xlfn.ANCHORARRAY($P$6),ROW()-5,3),"")</f>
        <v/>
      </c>
      <c r="K333" s="432" t="str" cm="1">
        <f t="array" ref="K333">IF(OR($A333="",$J333&lt;&gt;"DIESEL"),"",_xlfn.LET(_xlpm.qty,N($C333),_xlpm.pos,$T$5:$T$54,_xlpm.alo,IF($U$5:$U$54="",0,$U$5:$U$54),_xlpm.usd,SUMIFS($C$6:$C332,$K$6:$K332,_xlpm.pos&amp;""),_xlpm.bal,_xlpm.alo-_xlpm.usd,IFERROR(INDEX(_xlfn._xlws.FILTER(_xlpm.pos,(_xlpm.pos&lt;&gt;"")*(_xlpm.qty&gt;0)*(_xlpm.bal&gt;=_xlpm.qty)),1),"")))</f>
        <v/>
      </c>
      <c r="L333" s="348"/>
    </row>
    <row r="334" spans="1:12" ht="23" x14ac:dyDescent="0.25">
      <c r="A334" s="217" t="str" cm="1">
        <f t="array" ref="A334">IFERROR(INDEX(_xlfn.ANCHORARRAY($P$6),ROW()-5,1),"")</f>
        <v/>
      </c>
      <c r="B334" s="344" t="str" cm="1">
        <f t="array" ref="B334">IFERROR(INDEX(_xlfn.ANCHORARRAY($P$6),ROW()-5,2),"")</f>
        <v/>
      </c>
      <c r="C334" s="345" t="str">
        <f>IF($A334="","",IF($J334="DIESEL",SUMIFS(Table1[Quantity],Table1[Customer],$M$3,Table1[Date],$A334,Table1[Bill No.],$B334),IF($J334="PETROL",SUMIFS(Table14[Quantity],Table14[Customer],$M$3,Table14[Date],$A334,Table14[Bill No.],$B334),IF($J334="XtraGreen",SUMIFS(Table146[Quantity],Table146[Company],$M$3,Table146[Date],$A334,Table146[Bill No.],$B334),""))))</f>
        <v/>
      </c>
      <c r="D334" s="346" t="str">
        <f>IF($A334="","",IF($J334="DIESEL",AVERAGEIFS(Table1[RSP],Table1[Customer],$M$3,Table1[Date],$A334,Table1[Bill No.],$B334),IF($J334="PETROL",AVERAGEIFS(Table14[RSP],Table14[Customer],$M$3,Table14[Date],$A334,Table14[Bill No.],$B334),IF($J334="XtraGreen",AVERAGEIFS(Table146[RSP],Table146[Company],$M$3,Table146[Date],$A334,Table146[Bill No.],$B334),IFERROR($E334/$C334,"")))))</f>
        <v/>
      </c>
      <c r="E334" s="347" t="str">
        <f>IF($A334="","",IF($J334="DIESEL",SUMIFS(Table1[Amount],Table1[Customer],$M$3,Table1[Date],$A334,Table1[Bill No.],$B334),IF($J334="PETROL",SUMIFS(Table14[Amount],Table14[Customer],$M$3,Table14[Date],$A334,Table14[Bill No.],$B334),IF($J334="XtraGreen",SUMIFS(Table146[Amount],Table146[Company],$M$3,Table146[Date],$A334,Table146[Bill No.],$B334),SUMIFS('Other Sale'!$D:$D,'Other Sale'!$E:$E,$M$3,'Other Sale'!$C:$C,$J334,'Other Sale'!$A:$A,$A334)))))</f>
        <v/>
      </c>
      <c r="F334" s="347" t="str" cm="1">
        <f t="array" ref="F334">IF($A334="","",IF($J334="Payment",IFERROR(INDEX(_xlfn._xlws.FILTER(MasterPaid[Amount Paid],(MasterPaid[Customer]=$M$3)*(MasterPaid[Date]=$A334)),COUNTIFS($A$6:$A334,$A334,$J$6:$J334,"Payment")),0),0))</f>
        <v/>
      </c>
      <c r="G334" s="331"/>
      <c r="H334" s="427"/>
      <c r="I334" s="330" t="str">
        <f t="shared" si="14"/>
        <v/>
      </c>
      <c r="J334" s="344" t="str" cm="1">
        <f t="array" ref="J334">IFERROR(INDEX(_xlfn.ANCHORARRAY($P$6),ROW()-5,3),"")</f>
        <v/>
      </c>
      <c r="K334" s="432" t="str" cm="1">
        <f t="array" ref="K334">IF(OR($A334="",$J334&lt;&gt;"DIESEL"),"",_xlfn.LET(_xlpm.qty,N($C334),_xlpm.pos,$T$5:$T$54,_xlpm.alo,IF($U$5:$U$54="",0,$U$5:$U$54),_xlpm.usd,SUMIFS($C$6:$C333,$K$6:$K333,_xlpm.pos&amp;""),_xlpm.bal,_xlpm.alo-_xlpm.usd,IFERROR(INDEX(_xlfn._xlws.FILTER(_xlpm.pos,(_xlpm.pos&lt;&gt;"")*(_xlpm.qty&gt;0)*(_xlpm.bal&gt;=_xlpm.qty)),1),"")))</f>
        <v/>
      </c>
      <c r="L334" s="348"/>
    </row>
    <row r="335" spans="1:12" ht="23" x14ac:dyDescent="0.25">
      <c r="A335" s="217" t="str" cm="1">
        <f t="array" ref="A335">IFERROR(INDEX(_xlfn.ANCHORARRAY($P$6),ROW()-5,1),"")</f>
        <v/>
      </c>
      <c r="B335" s="344" t="str" cm="1">
        <f t="array" ref="B335">IFERROR(INDEX(_xlfn.ANCHORARRAY($P$6),ROW()-5,2),"")</f>
        <v/>
      </c>
      <c r="C335" s="345" t="str">
        <f>IF($A335="","",IF($J335="DIESEL",SUMIFS(Table1[Quantity],Table1[Customer],$M$3,Table1[Date],$A335,Table1[Bill No.],$B335),IF($J335="PETROL",SUMIFS(Table14[Quantity],Table14[Customer],$M$3,Table14[Date],$A335,Table14[Bill No.],$B335),IF($J335="XtraGreen",SUMIFS(Table146[Quantity],Table146[Company],$M$3,Table146[Date],$A335,Table146[Bill No.],$B335),""))))</f>
        <v/>
      </c>
      <c r="D335" s="346" t="str">
        <f>IF($A335="","",IF($J335="DIESEL",AVERAGEIFS(Table1[RSP],Table1[Customer],$M$3,Table1[Date],$A335,Table1[Bill No.],$B335),IF($J335="PETROL",AVERAGEIFS(Table14[RSP],Table14[Customer],$M$3,Table14[Date],$A335,Table14[Bill No.],$B335),IF($J335="XtraGreen",AVERAGEIFS(Table146[RSP],Table146[Company],$M$3,Table146[Date],$A335,Table146[Bill No.],$B335),IFERROR($E335/$C335,"")))))</f>
        <v/>
      </c>
      <c r="E335" s="347" t="str">
        <f>IF($A335="","",IF($J335="DIESEL",SUMIFS(Table1[Amount],Table1[Customer],$M$3,Table1[Date],$A335,Table1[Bill No.],$B335),IF($J335="PETROL",SUMIFS(Table14[Amount],Table14[Customer],$M$3,Table14[Date],$A335,Table14[Bill No.],$B335),IF($J335="XtraGreen",SUMIFS(Table146[Amount],Table146[Company],$M$3,Table146[Date],$A335,Table146[Bill No.],$B335),SUMIFS('Other Sale'!$D:$D,'Other Sale'!$E:$E,$M$3,'Other Sale'!$C:$C,$J335,'Other Sale'!$A:$A,$A335)))))</f>
        <v/>
      </c>
      <c r="F335" s="347" t="str" cm="1">
        <f t="array" ref="F335">IF($A335="","",IF($J335="Payment",IFERROR(INDEX(_xlfn._xlws.FILTER(MasterPaid[Amount Paid],(MasterPaid[Customer]=$M$3)*(MasterPaid[Date]=$A335)),COUNTIFS($A$6:$A335,$A335,$J$6:$J335,"Payment")),0),0))</f>
        <v/>
      </c>
      <c r="G335" s="331"/>
      <c r="H335" s="427"/>
      <c r="I335" s="330" t="str">
        <f t="shared" si="14"/>
        <v/>
      </c>
      <c r="J335" s="344" t="str" cm="1">
        <f t="array" ref="J335">IFERROR(INDEX(_xlfn.ANCHORARRAY($P$6),ROW()-5,3),"")</f>
        <v/>
      </c>
      <c r="K335" s="432" t="str" cm="1">
        <f t="array" ref="K335">IF(OR($A335="",$J335&lt;&gt;"DIESEL"),"",_xlfn.LET(_xlpm.qty,N($C335),_xlpm.pos,$T$5:$T$54,_xlpm.alo,IF($U$5:$U$54="",0,$U$5:$U$54),_xlpm.usd,SUMIFS($C$6:$C334,$K$6:$K334,_xlpm.pos&amp;""),_xlpm.bal,_xlpm.alo-_xlpm.usd,IFERROR(INDEX(_xlfn._xlws.FILTER(_xlpm.pos,(_xlpm.pos&lt;&gt;"")*(_xlpm.qty&gt;0)*(_xlpm.bal&gt;=_xlpm.qty)),1),"")))</f>
        <v/>
      </c>
      <c r="L335" s="348"/>
    </row>
    <row r="336" spans="1:12" ht="23" x14ac:dyDescent="0.25">
      <c r="A336" s="217" t="str" cm="1">
        <f t="array" ref="A336">IFERROR(INDEX(_xlfn.ANCHORARRAY($P$6),ROW()-5,1),"")</f>
        <v/>
      </c>
      <c r="B336" s="344" t="str" cm="1">
        <f t="array" ref="B336">IFERROR(INDEX(_xlfn.ANCHORARRAY($P$6),ROW()-5,2),"")</f>
        <v/>
      </c>
      <c r="C336" s="345" t="str">
        <f>IF($A336="","",IF($J336="DIESEL",SUMIFS(Table1[Quantity],Table1[Customer],$M$3,Table1[Date],$A336,Table1[Bill No.],$B336),IF($J336="PETROL",SUMIFS(Table14[Quantity],Table14[Customer],$M$3,Table14[Date],$A336,Table14[Bill No.],$B336),IF($J336="XtraGreen",SUMIFS(Table146[Quantity],Table146[Company],$M$3,Table146[Date],$A336,Table146[Bill No.],$B336),""))))</f>
        <v/>
      </c>
      <c r="D336" s="346" t="str">
        <f>IF($A336="","",IF($J336="DIESEL",AVERAGEIFS(Table1[RSP],Table1[Customer],$M$3,Table1[Date],$A336,Table1[Bill No.],$B336),IF($J336="PETROL",AVERAGEIFS(Table14[RSP],Table14[Customer],$M$3,Table14[Date],$A336,Table14[Bill No.],$B336),IF($J336="XtraGreen",AVERAGEIFS(Table146[RSP],Table146[Company],$M$3,Table146[Date],$A336,Table146[Bill No.],$B336),IFERROR($E336/$C336,"")))))</f>
        <v/>
      </c>
      <c r="E336" s="347" t="str">
        <f>IF($A336="","",IF($J336="DIESEL",SUMIFS(Table1[Amount],Table1[Customer],$M$3,Table1[Date],$A336,Table1[Bill No.],$B336),IF($J336="PETROL",SUMIFS(Table14[Amount],Table14[Customer],$M$3,Table14[Date],$A336,Table14[Bill No.],$B336),IF($J336="XtraGreen",SUMIFS(Table146[Amount],Table146[Company],$M$3,Table146[Date],$A336,Table146[Bill No.],$B336),SUMIFS('Other Sale'!$D:$D,'Other Sale'!$E:$E,$M$3,'Other Sale'!$C:$C,$J336,'Other Sale'!$A:$A,$A336)))))</f>
        <v/>
      </c>
      <c r="F336" s="347" t="str" cm="1">
        <f t="array" ref="F336">IF($A336="","",IF($J336="Payment",IFERROR(INDEX(_xlfn._xlws.FILTER(MasterPaid[Amount Paid],(MasterPaid[Customer]=$M$3)*(MasterPaid[Date]=$A336)),COUNTIFS($A$6:$A336,$A336,$J$6:$J336,"Payment")),0),0))</f>
        <v/>
      </c>
      <c r="G336" s="331"/>
      <c r="H336" s="427"/>
      <c r="I336" s="330" t="str">
        <f t="shared" si="14"/>
        <v/>
      </c>
      <c r="J336" s="344" t="str" cm="1">
        <f t="array" ref="J336">IFERROR(INDEX(_xlfn.ANCHORARRAY($P$6),ROW()-5,3),"")</f>
        <v/>
      </c>
      <c r="K336" s="432" t="str" cm="1">
        <f t="array" ref="K336">IF(OR($A336="",$J336&lt;&gt;"DIESEL"),"",_xlfn.LET(_xlpm.qty,N($C336),_xlpm.pos,$T$5:$T$54,_xlpm.alo,IF($U$5:$U$54="",0,$U$5:$U$54),_xlpm.usd,SUMIFS($C$6:$C335,$K$6:$K335,_xlpm.pos&amp;""),_xlpm.bal,_xlpm.alo-_xlpm.usd,IFERROR(INDEX(_xlfn._xlws.FILTER(_xlpm.pos,(_xlpm.pos&lt;&gt;"")*(_xlpm.qty&gt;0)*(_xlpm.bal&gt;=_xlpm.qty)),1),"")))</f>
        <v/>
      </c>
      <c r="L336" s="348"/>
    </row>
    <row r="337" spans="1:12" ht="23" x14ac:dyDescent="0.25">
      <c r="A337" s="217" t="str" cm="1">
        <f t="array" ref="A337">IFERROR(INDEX(_xlfn.ANCHORARRAY($P$6),ROW()-5,1),"")</f>
        <v/>
      </c>
      <c r="B337" s="344" t="str" cm="1">
        <f t="array" ref="B337">IFERROR(INDEX(_xlfn.ANCHORARRAY($P$6),ROW()-5,2),"")</f>
        <v/>
      </c>
      <c r="C337" s="345" t="str">
        <f>IF($A337="","",IF($J337="DIESEL",SUMIFS(Table1[Quantity],Table1[Customer],$M$3,Table1[Date],$A337,Table1[Bill No.],$B337),IF($J337="PETROL",SUMIFS(Table14[Quantity],Table14[Customer],$M$3,Table14[Date],$A337,Table14[Bill No.],$B337),IF($J337="XtraGreen",SUMIFS(Table146[Quantity],Table146[Company],$M$3,Table146[Date],$A337,Table146[Bill No.],$B337),""))))</f>
        <v/>
      </c>
      <c r="D337" s="346" t="str">
        <f>IF($A337="","",IF($J337="DIESEL",AVERAGEIFS(Table1[RSP],Table1[Customer],$M$3,Table1[Date],$A337,Table1[Bill No.],$B337),IF($J337="PETROL",AVERAGEIFS(Table14[RSP],Table14[Customer],$M$3,Table14[Date],$A337,Table14[Bill No.],$B337),IF($J337="XtraGreen",AVERAGEIFS(Table146[RSP],Table146[Company],$M$3,Table146[Date],$A337,Table146[Bill No.],$B337),IFERROR($E337/$C337,"")))))</f>
        <v/>
      </c>
      <c r="E337" s="347" t="str">
        <f>IF($A337="","",IF($J337="DIESEL",SUMIFS(Table1[Amount],Table1[Customer],$M$3,Table1[Date],$A337,Table1[Bill No.],$B337),IF($J337="PETROL",SUMIFS(Table14[Amount],Table14[Customer],$M$3,Table14[Date],$A337,Table14[Bill No.],$B337),IF($J337="XtraGreen",SUMIFS(Table146[Amount],Table146[Company],$M$3,Table146[Date],$A337,Table146[Bill No.],$B337),SUMIFS('Other Sale'!$D:$D,'Other Sale'!$E:$E,$M$3,'Other Sale'!$C:$C,$J337,'Other Sale'!$A:$A,$A337)))))</f>
        <v/>
      </c>
      <c r="F337" s="347" t="str" cm="1">
        <f t="array" ref="F337">IF($A337="","",IF($J337="Payment",IFERROR(INDEX(_xlfn._xlws.FILTER(MasterPaid[Amount Paid],(MasterPaid[Customer]=$M$3)*(MasterPaid[Date]=$A337)),COUNTIFS($A$6:$A337,$A337,$J$6:$J337,"Payment")),0),0))</f>
        <v/>
      </c>
      <c r="G337" s="331"/>
      <c r="H337" s="427"/>
      <c r="I337" s="330" t="str">
        <f t="shared" si="14"/>
        <v/>
      </c>
      <c r="J337" s="344" t="str" cm="1">
        <f t="array" ref="J337">IFERROR(INDEX(_xlfn.ANCHORARRAY($P$6),ROW()-5,3),"")</f>
        <v/>
      </c>
      <c r="K337" s="432" t="str" cm="1">
        <f t="array" ref="K337">IF(OR($A337="",$J337&lt;&gt;"DIESEL"),"",_xlfn.LET(_xlpm.qty,N($C337),_xlpm.pos,$T$5:$T$54,_xlpm.alo,IF($U$5:$U$54="",0,$U$5:$U$54),_xlpm.usd,SUMIFS($C$6:$C336,$K$6:$K336,_xlpm.pos&amp;""),_xlpm.bal,_xlpm.alo-_xlpm.usd,IFERROR(INDEX(_xlfn._xlws.FILTER(_xlpm.pos,(_xlpm.pos&lt;&gt;"")*(_xlpm.qty&gt;0)*(_xlpm.bal&gt;=_xlpm.qty)),1),"")))</f>
        <v/>
      </c>
      <c r="L337" s="348"/>
    </row>
    <row r="338" spans="1:12" ht="23" x14ac:dyDescent="0.25">
      <c r="A338" s="217" t="str" cm="1">
        <f t="array" ref="A338">IFERROR(INDEX(_xlfn.ANCHORARRAY($P$6),ROW()-5,1),"")</f>
        <v/>
      </c>
      <c r="B338" s="344" t="str" cm="1">
        <f t="array" ref="B338">IFERROR(INDEX(_xlfn.ANCHORARRAY($P$6),ROW()-5,2),"")</f>
        <v/>
      </c>
      <c r="C338" s="345" t="str">
        <f>IF($A338="","",IF($J338="DIESEL",SUMIFS(Table1[Quantity],Table1[Customer],$M$3,Table1[Date],$A338,Table1[Bill No.],$B338),IF($J338="PETROL",SUMIFS(Table14[Quantity],Table14[Customer],$M$3,Table14[Date],$A338,Table14[Bill No.],$B338),IF($J338="XtraGreen",SUMIFS(Table146[Quantity],Table146[Company],$M$3,Table146[Date],$A338,Table146[Bill No.],$B338),""))))</f>
        <v/>
      </c>
      <c r="D338" s="346" t="str">
        <f>IF($A338="","",IF($J338="DIESEL",AVERAGEIFS(Table1[RSP],Table1[Customer],$M$3,Table1[Date],$A338,Table1[Bill No.],$B338),IF($J338="PETROL",AVERAGEIFS(Table14[RSP],Table14[Customer],$M$3,Table14[Date],$A338,Table14[Bill No.],$B338),IF($J338="XtraGreen",AVERAGEIFS(Table146[RSP],Table146[Company],$M$3,Table146[Date],$A338,Table146[Bill No.],$B338),IFERROR($E338/$C338,"")))))</f>
        <v/>
      </c>
      <c r="E338" s="347" t="str">
        <f>IF($A338="","",IF($J338="DIESEL",SUMIFS(Table1[Amount],Table1[Customer],$M$3,Table1[Date],$A338,Table1[Bill No.],$B338),IF($J338="PETROL",SUMIFS(Table14[Amount],Table14[Customer],$M$3,Table14[Date],$A338,Table14[Bill No.],$B338),IF($J338="XtraGreen",SUMIFS(Table146[Amount],Table146[Company],$M$3,Table146[Date],$A338,Table146[Bill No.],$B338),SUMIFS('Other Sale'!$D:$D,'Other Sale'!$E:$E,$M$3,'Other Sale'!$C:$C,$J338,'Other Sale'!$A:$A,$A338)))))</f>
        <v/>
      </c>
      <c r="F338" s="347" t="str" cm="1">
        <f t="array" ref="F338">IF($A338="","",IF($J338="Payment",IFERROR(INDEX(_xlfn._xlws.FILTER(MasterPaid[Amount Paid],(MasterPaid[Customer]=$M$3)*(MasterPaid[Date]=$A338)),COUNTIFS($A$6:$A338,$A338,$J$6:$J338,"Payment")),0),0))</f>
        <v/>
      </c>
      <c r="G338" s="331"/>
      <c r="H338" s="427"/>
      <c r="I338" s="330" t="str">
        <f t="shared" si="14"/>
        <v/>
      </c>
      <c r="J338" s="344" t="str" cm="1">
        <f t="array" ref="J338">IFERROR(INDEX(_xlfn.ANCHORARRAY($P$6),ROW()-5,3),"")</f>
        <v/>
      </c>
      <c r="K338" s="432" t="str" cm="1">
        <f t="array" ref="K338">IF(OR($A338="",$J338&lt;&gt;"DIESEL"),"",_xlfn.LET(_xlpm.qty,N($C338),_xlpm.pos,$T$5:$T$54,_xlpm.alo,IF($U$5:$U$54="",0,$U$5:$U$54),_xlpm.usd,SUMIFS($C$6:$C337,$K$6:$K337,_xlpm.pos&amp;""),_xlpm.bal,_xlpm.alo-_xlpm.usd,IFERROR(INDEX(_xlfn._xlws.FILTER(_xlpm.pos,(_xlpm.pos&lt;&gt;"")*(_xlpm.qty&gt;0)*(_xlpm.bal&gt;=_xlpm.qty)),1),"")))</f>
        <v/>
      </c>
      <c r="L338" s="348"/>
    </row>
    <row r="339" spans="1:12" ht="23" x14ac:dyDescent="0.25">
      <c r="A339" s="217" t="str" cm="1">
        <f t="array" ref="A339">IFERROR(INDEX(_xlfn.ANCHORARRAY($P$6),ROW()-5,1),"")</f>
        <v/>
      </c>
      <c r="B339" s="344" t="str" cm="1">
        <f t="array" ref="B339">IFERROR(INDEX(_xlfn.ANCHORARRAY($P$6),ROW()-5,2),"")</f>
        <v/>
      </c>
      <c r="C339" s="345" t="str">
        <f>IF($A339="","",IF($J339="DIESEL",SUMIFS(Table1[Quantity],Table1[Customer],$M$3,Table1[Date],$A339,Table1[Bill No.],$B339),IF($J339="PETROL",SUMIFS(Table14[Quantity],Table14[Customer],$M$3,Table14[Date],$A339,Table14[Bill No.],$B339),IF($J339="XtraGreen",SUMIFS(Table146[Quantity],Table146[Company],$M$3,Table146[Date],$A339,Table146[Bill No.],$B339),""))))</f>
        <v/>
      </c>
      <c r="D339" s="346" t="str">
        <f>IF($A339="","",IF($J339="DIESEL",AVERAGEIFS(Table1[RSP],Table1[Customer],$M$3,Table1[Date],$A339,Table1[Bill No.],$B339),IF($J339="PETROL",AVERAGEIFS(Table14[RSP],Table14[Customer],$M$3,Table14[Date],$A339,Table14[Bill No.],$B339),IF($J339="XtraGreen",AVERAGEIFS(Table146[RSP],Table146[Company],$M$3,Table146[Date],$A339,Table146[Bill No.],$B339),IFERROR($E339/$C339,"")))))</f>
        <v/>
      </c>
      <c r="E339" s="347" t="str">
        <f>IF($A339="","",IF($J339="DIESEL",SUMIFS(Table1[Amount],Table1[Customer],$M$3,Table1[Date],$A339,Table1[Bill No.],$B339),IF($J339="PETROL",SUMIFS(Table14[Amount],Table14[Customer],$M$3,Table14[Date],$A339,Table14[Bill No.],$B339),IF($J339="XtraGreen",SUMIFS(Table146[Amount],Table146[Company],$M$3,Table146[Date],$A339,Table146[Bill No.],$B339),SUMIFS('Other Sale'!$D:$D,'Other Sale'!$E:$E,$M$3,'Other Sale'!$C:$C,$J339,'Other Sale'!$A:$A,$A339)))))</f>
        <v/>
      </c>
      <c r="F339" s="347" t="str" cm="1">
        <f t="array" ref="F339">IF($A339="","",IF($J339="Payment",IFERROR(INDEX(_xlfn._xlws.FILTER(MasterPaid[Amount Paid],(MasterPaid[Customer]=$M$3)*(MasterPaid[Date]=$A339)),COUNTIFS($A$6:$A339,$A339,$J$6:$J339,"Payment")),0),0))</f>
        <v/>
      </c>
      <c r="G339" s="331"/>
      <c r="H339" s="427"/>
      <c r="I339" s="330" t="str">
        <f t="shared" si="14"/>
        <v/>
      </c>
      <c r="J339" s="344" t="str" cm="1">
        <f t="array" ref="J339">IFERROR(INDEX(_xlfn.ANCHORARRAY($P$6),ROW()-5,3),"")</f>
        <v/>
      </c>
      <c r="K339" s="432" t="str" cm="1">
        <f t="array" ref="K339">IF(OR($A339="",$J339&lt;&gt;"DIESEL"),"",_xlfn.LET(_xlpm.qty,N($C339),_xlpm.pos,$T$5:$T$54,_xlpm.alo,IF($U$5:$U$54="",0,$U$5:$U$54),_xlpm.usd,SUMIFS($C$6:$C338,$K$6:$K338,_xlpm.pos&amp;""),_xlpm.bal,_xlpm.alo-_xlpm.usd,IFERROR(INDEX(_xlfn._xlws.FILTER(_xlpm.pos,(_xlpm.pos&lt;&gt;"")*(_xlpm.qty&gt;0)*(_xlpm.bal&gt;=_xlpm.qty)),1),"")))</f>
        <v/>
      </c>
      <c r="L339" s="348"/>
    </row>
    <row r="340" spans="1:12" ht="23" x14ac:dyDescent="0.25">
      <c r="A340" s="217" t="str" cm="1">
        <f t="array" ref="A340">IFERROR(INDEX(_xlfn.ANCHORARRAY($P$6),ROW()-5,1),"")</f>
        <v/>
      </c>
      <c r="B340" s="344" t="str" cm="1">
        <f t="array" ref="B340">IFERROR(INDEX(_xlfn.ANCHORARRAY($P$6),ROW()-5,2),"")</f>
        <v/>
      </c>
      <c r="C340" s="345" t="str">
        <f>IF($A340="","",IF($J340="DIESEL",SUMIFS(Table1[Quantity],Table1[Customer],$M$3,Table1[Date],$A340,Table1[Bill No.],$B340),IF($J340="PETROL",SUMIFS(Table14[Quantity],Table14[Customer],$M$3,Table14[Date],$A340,Table14[Bill No.],$B340),IF($J340="XtraGreen",SUMIFS(Table146[Quantity],Table146[Company],$M$3,Table146[Date],$A340,Table146[Bill No.],$B340),""))))</f>
        <v/>
      </c>
      <c r="D340" s="346" t="str">
        <f>IF($A340="","",IF($J340="DIESEL",AVERAGEIFS(Table1[RSP],Table1[Customer],$M$3,Table1[Date],$A340,Table1[Bill No.],$B340),IF($J340="PETROL",AVERAGEIFS(Table14[RSP],Table14[Customer],$M$3,Table14[Date],$A340,Table14[Bill No.],$B340),IF($J340="XtraGreen",AVERAGEIFS(Table146[RSP],Table146[Company],$M$3,Table146[Date],$A340,Table146[Bill No.],$B340),IFERROR($E340/$C340,"")))))</f>
        <v/>
      </c>
      <c r="E340" s="347" t="str">
        <f>IF($A340="","",IF($J340="DIESEL",SUMIFS(Table1[Amount],Table1[Customer],$M$3,Table1[Date],$A340,Table1[Bill No.],$B340),IF($J340="PETROL",SUMIFS(Table14[Amount],Table14[Customer],$M$3,Table14[Date],$A340,Table14[Bill No.],$B340),IF($J340="XtraGreen",SUMIFS(Table146[Amount],Table146[Company],$M$3,Table146[Date],$A340,Table146[Bill No.],$B340),SUMIFS('Other Sale'!$D:$D,'Other Sale'!$E:$E,$M$3,'Other Sale'!$C:$C,$J340,'Other Sale'!$A:$A,$A340)))))</f>
        <v/>
      </c>
      <c r="F340" s="347" t="str" cm="1">
        <f t="array" ref="F340">IF($A340="","",IF($J340="Payment",IFERROR(INDEX(_xlfn._xlws.FILTER(MasterPaid[Amount Paid],(MasterPaid[Customer]=$M$3)*(MasterPaid[Date]=$A340)),COUNTIFS($A$6:$A340,$A340,$J$6:$J340,"Payment")),0),0))</f>
        <v/>
      </c>
      <c r="G340" s="331"/>
      <c r="H340" s="427"/>
      <c r="I340" s="330" t="str">
        <f t="shared" si="14"/>
        <v/>
      </c>
      <c r="J340" s="344" t="str" cm="1">
        <f t="array" ref="J340">IFERROR(INDEX(_xlfn.ANCHORARRAY($P$6),ROW()-5,3),"")</f>
        <v/>
      </c>
      <c r="K340" s="432" t="str" cm="1">
        <f t="array" ref="K340">IF(OR($A340="",$J340&lt;&gt;"DIESEL"),"",_xlfn.LET(_xlpm.qty,N($C340),_xlpm.pos,$T$5:$T$54,_xlpm.alo,IF($U$5:$U$54="",0,$U$5:$U$54),_xlpm.usd,SUMIFS($C$6:$C339,$K$6:$K339,_xlpm.pos&amp;""),_xlpm.bal,_xlpm.alo-_xlpm.usd,IFERROR(INDEX(_xlfn._xlws.FILTER(_xlpm.pos,(_xlpm.pos&lt;&gt;"")*(_xlpm.qty&gt;0)*(_xlpm.bal&gt;=_xlpm.qty)),1),"")))</f>
        <v/>
      </c>
      <c r="L340" s="348"/>
    </row>
    <row r="341" spans="1:12" ht="23" x14ac:dyDescent="0.25">
      <c r="A341" s="217" t="str" cm="1">
        <f t="array" ref="A341">IFERROR(INDEX(_xlfn.ANCHORARRAY($P$6),ROW()-5,1),"")</f>
        <v/>
      </c>
      <c r="B341" s="344" t="str" cm="1">
        <f t="array" ref="B341">IFERROR(INDEX(_xlfn.ANCHORARRAY($P$6),ROW()-5,2),"")</f>
        <v/>
      </c>
      <c r="C341" s="345" t="str">
        <f>IF($A341="","",IF($J341="DIESEL",SUMIFS(Table1[Quantity],Table1[Customer],$M$3,Table1[Date],$A341,Table1[Bill No.],$B341),IF($J341="PETROL",SUMIFS(Table14[Quantity],Table14[Customer],$M$3,Table14[Date],$A341,Table14[Bill No.],$B341),IF($J341="XtraGreen",SUMIFS(Table146[Quantity],Table146[Company],$M$3,Table146[Date],$A341,Table146[Bill No.],$B341),""))))</f>
        <v/>
      </c>
      <c r="D341" s="346" t="str">
        <f>IF($A341="","",IF($J341="DIESEL",AVERAGEIFS(Table1[RSP],Table1[Customer],$M$3,Table1[Date],$A341,Table1[Bill No.],$B341),IF($J341="PETROL",AVERAGEIFS(Table14[RSP],Table14[Customer],$M$3,Table14[Date],$A341,Table14[Bill No.],$B341),IF($J341="XtraGreen",AVERAGEIFS(Table146[RSP],Table146[Company],$M$3,Table146[Date],$A341,Table146[Bill No.],$B341),IFERROR($E341/$C341,"")))))</f>
        <v/>
      </c>
      <c r="E341" s="347" t="str">
        <f>IF($A341="","",IF($J341="DIESEL",SUMIFS(Table1[Amount],Table1[Customer],$M$3,Table1[Date],$A341,Table1[Bill No.],$B341),IF($J341="PETROL",SUMIFS(Table14[Amount],Table14[Customer],$M$3,Table14[Date],$A341,Table14[Bill No.],$B341),IF($J341="XtraGreen",SUMIFS(Table146[Amount],Table146[Company],$M$3,Table146[Date],$A341,Table146[Bill No.],$B341),SUMIFS('Other Sale'!$D:$D,'Other Sale'!$E:$E,$M$3,'Other Sale'!$C:$C,$J341,'Other Sale'!$A:$A,$A341)))))</f>
        <v/>
      </c>
      <c r="F341" s="347" t="str" cm="1">
        <f t="array" ref="F341">IF($A341="","",IF($J341="Payment",IFERROR(INDEX(_xlfn._xlws.FILTER(MasterPaid[Amount Paid],(MasterPaid[Customer]=$M$3)*(MasterPaid[Date]=$A341)),COUNTIFS($A$6:$A341,$A341,$J$6:$J341,"Payment")),0),0))</f>
        <v/>
      </c>
      <c r="G341" s="331"/>
      <c r="H341" s="427"/>
      <c r="I341" s="330" t="str">
        <f t="shared" si="14"/>
        <v/>
      </c>
      <c r="J341" s="344" t="str" cm="1">
        <f t="array" ref="J341">IFERROR(INDEX(_xlfn.ANCHORARRAY($P$6),ROW()-5,3),"")</f>
        <v/>
      </c>
      <c r="K341" s="432" t="str" cm="1">
        <f t="array" ref="K341">IF(OR($A341="",$J341&lt;&gt;"DIESEL"),"",_xlfn.LET(_xlpm.qty,N($C341),_xlpm.pos,$T$5:$T$54,_xlpm.alo,IF($U$5:$U$54="",0,$U$5:$U$54),_xlpm.usd,SUMIFS($C$6:$C340,$K$6:$K340,_xlpm.pos&amp;""),_xlpm.bal,_xlpm.alo-_xlpm.usd,IFERROR(INDEX(_xlfn._xlws.FILTER(_xlpm.pos,(_xlpm.pos&lt;&gt;"")*(_xlpm.qty&gt;0)*(_xlpm.bal&gt;=_xlpm.qty)),1),"")))</f>
        <v/>
      </c>
      <c r="L341" s="348"/>
    </row>
    <row r="342" spans="1:12" ht="23" x14ac:dyDescent="0.25">
      <c r="A342" s="217" t="str" cm="1">
        <f t="array" ref="A342">IFERROR(INDEX(_xlfn.ANCHORARRAY($P$6),ROW()-5,1),"")</f>
        <v/>
      </c>
      <c r="B342" s="344" t="str" cm="1">
        <f t="array" ref="B342">IFERROR(INDEX(_xlfn.ANCHORARRAY($P$6),ROW()-5,2),"")</f>
        <v/>
      </c>
      <c r="C342" s="345" t="str">
        <f>IF($A342="","",IF($J342="DIESEL",SUMIFS(Table1[Quantity],Table1[Customer],$M$3,Table1[Date],$A342,Table1[Bill No.],$B342),IF($J342="PETROL",SUMIFS(Table14[Quantity],Table14[Customer],$M$3,Table14[Date],$A342,Table14[Bill No.],$B342),IF($J342="XtraGreen",SUMIFS(Table146[Quantity],Table146[Company],$M$3,Table146[Date],$A342,Table146[Bill No.],$B342),""))))</f>
        <v/>
      </c>
      <c r="D342" s="346" t="str">
        <f>IF($A342="","",IF($J342="DIESEL",AVERAGEIFS(Table1[RSP],Table1[Customer],$M$3,Table1[Date],$A342,Table1[Bill No.],$B342),IF($J342="PETROL",AVERAGEIFS(Table14[RSP],Table14[Customer],$M$3,Table14[Date],$A342,Table14[Bill No.],$B342),IF($J342="XtraGreen",AVERAGEIFS(Table146[RSP],Table146[Company],$M$3,Table146[Date],$A342,Table146[Bill No.],$B342),IFERROR($E342/$C342,"")))))</f>
        <v/>
      </c>
      <c r="E342" s="347" t="str">
        <f>IF($A342="","",IF($J342="DIESEL",SUMIFS(Table1[Amount],Table1[Customer],$M$3,Table1[Date],$A342,Table1[Bill No.],$B342),IF($J342="PETROL",SUMIFS(Table14[Amount],Table14[Customer],$M$3,Table14[Date],$A342,Table14[Bill No.],$B342),IF($J342="XtraGreen",SUMIFS(Table146[Amount],Table146[Company],$M$3,Table146[Date],$A342,Table146[Bill No.],$B342),SUMIFS('Other Sale'!$D:$D,'Other Sale'!$E:$E,$M$3,'Other Sale'!$C:$C,$J342,'Other Sale'!$A:$A,$A342)))))</f>
        <v/>
      </c>
      <c r="F342" s="347" t="str" cm="1">
        <f t="array" ref="F342">IF($A342="","",IF($J342="Payment",IFERROR(INDEX(_xlfn._xlws.FILTER(MasterPaid[Amount Paid],(MasterPaid[Customer]=$M$3)*(MasterPaid[Date]=$A342)),COUNTIFS($A$6:$A342,$A342,$J$6:$J342,"Payment")),0),0))</f>
        <v/>
      </c>
      <c r="G342" s="331"/>
      <c r="H342" s="427"/>
      <c r="I342" s="330" t="str">
        <f t="shared" si="14"/>
        <v/>
      </c>
      <c r="J342" s="344" t="str" cm="1">
        <f t="array" ref="J342">IFERROR(INDEX(_xlfn.ANCHORARRAY($P$6),ROW()-5,3),"")</f>
        <v/>
      </c>
      <c r="K342" s="432" t="str" cm="1">
        <f t="array" ref="K342">IF(OR($A342="",$J342&lt;&gt;"DIESEL"),"",_xlfn.LET(_xlpm.qty,N($C342),_xlpm.pos,$T$5:$T$54,_xlpm.alo,IF($U$5:$U$54="",0,$U$5:$U$54),_xlpm.usd,SUMIFS($C$6:$C341,$K$6:$K341,_xlpm.pos&amp;""),_xlpm.bal,_xlpm.alo-_xlpm.usd,IFERROR(INDEX(_xlfn._xlws.FILTER(_xlpm.pos,(_xlpm.pos&lt;&gt;"")*(_xlpm.qty&gt;0)*(_xlpm.bal&gt;=_xlpm.qty)),1),"")))</f>
        <v/>
      </c>
      <c r="L342" s="348"/>
    </row>
    <row r="343" spans="1:12" ht="23" x14ac:dyDescent="0.25">
      <c r="A343" s="217" t="str" cm="1">
        <f t="array" ref="A343">IFERROR(INDEX(_xlfn.ANCHORARRAY($P$6),ROW()-5,1),"")</f>
        <v/>
      </c>
      <c r="B343" s="344" t="str" cm="1">
        <f t="array" ref="B343">IFERROR(INDEX(_xlfn.ANCHORARRAY($P$6),ROW()-5,2),"")</f>
        <v/>
      </c>
      <c r="C343" s="345" t="str">
        <f>IF($A343="","",IF($J343="DIESEL",SUMIFS(Table1[Quantity],Table1[Customer],$M$3,Table1[Date],$A343,Table1[Bill No.],$B343),IF($J343="PETROL",SUMIFS(Table14[Quantity],Table14[Customer],$M$3,Table14[Date],$A343,Table14[Bill No.],$B343),IF($J343="XtraGreen",SUMIFS(Table146[Quantity],Table146[Company],$M$3,Table146[Date],$A343,Table146[Bill No.],$B343),""))))</f>
        <v/>
      </c>
      <c r="D343" s="346" t="str">
        <f>IF($A343="","",IF($J343="DIESEL",AVERAGEIFS(Table1[RSP],Table1[Customer],$M$3,Table1[Date],$A343,Table1[Bill No.],$B343),IF($J343="PETROL",AVERAGEIFS(Table14[RSP],Table14[Customer],$M$3,Table14[Date],$A343,Table14[Bill No.],$B343),IF($J343="XtraGreen",AVERAGEIFS(Table146[RSP],Table146[Company],$M$3,Table146[Date],$A343,Table146[Bill No.],$B343),IFERROR($E343/$C343,"")))))</f>
        <v/>
      </c>
      <c r="E343" s="347" t="str">
        <f>IF($A343="","",IF($J343="DIESEL",SUMIFS(Table1[Amount],Table1[Customer],$M$3,Table1[Date],$A343,Table1[Bill No.],$B343),IF($J343="PETROL",SUMIFS(Table14[Amount],Table14[Customer],$M$3,Table14[Date],$A343,Table14[Bill No.],$B343),IF($J343="XtraGreen",SUMIFS(Table146[Amount],Table146[Company],$M$3,Table146[Date],$A343,Table146[Bill No.],$B343),SUMIFS('Other Sale'!$D:$D,'Other Sale'!$E:$E,$M$3,'Other Sale'!$C:$C,$J343,'Other Sale'!$A:$A,$A343)))))</f>
        <v/>
      </c>
      <c r="F343" s="347" t="str" cm="1">
        <f t="array" ref="F343">IF($A343="","",IF($J343="Payment",IFERROR(INDEX(_xlfn._xlws.FILTER(MasterPaid[Amount Paid],(MasterPaid[Customer]=$M$3)*(MasterPaid[Date]=$A343)),COUNTIFS($A$6:$A343,$A343,$J$6:$J343,"Payment")),0),0))</f>
        <v/>
      </c>
      <c r="G343" s="331"/>
      <c r="H343" s="427"/>
      <c r="I343" s="330" t="str">
        <f t="shared" si="14"/>
        <v/>
      </c>
      <c r="J343" s="344" t="str" cm="1">
        <f t="array" ref="J343">IFERROR(INDEX(_xlfn.ANCHORARRAY($P$6),ROW()-5,3),"")</f>
        <v/>
      </c>
      <c r="K343" s="432" t="str" cm="1">
        <f t="array" ref="K343">IF(OR($A343="",$J343&lt;&gt;"DIESEL"),"",_xlfn.LET(_xlpm.qty,N($C343),_xlpm.pos,$T$5:$T$54,_xlpm.alo,IF($U$5:$U$54="",0,$U$5:$U$54),_xlpm.usd,SUMIFS($C$6:$C342,$K$6:$K342,_xlpm.pos&amp;""),_xlpm.bal,_xlpm.alo-_xlpm.usd,IFERROR(INDEX(_xlfn._xlws.FILTER(_xlpm.pos,(_xlpm.pos&lt;&gt;"")*(_xlpm.qty&gt;0)*(_xlpm.bal&gt;=_xlpm.qty)),1),"")))</f>
        <v/>
      </c>
      <c r="L343" s="348"/>
    </row>
    <row r="344" spans="1:12" ht="23" x14ac:dyDescent="0.25">
      <c r="A344" s="217" t="str" cm="1">
        <f t="array" ref="A344">IFERROR(INDEX(_xlfn.ANCHORARRAY($P$6),ROW()-5,1),"")</f>
        <v/>
      </c>
      <c r="B344" s="344" t="str" cm="1">
        <f t="array" ref="B344">IFERROR(INDEX(_xlfn.ANCHORARRAY($P$6),ROW()-5,2),"")</f>
        <v/>
      </c>
      <c r="C344" s="345" t="str">
        <f>IF($A344="","",IF($J344="DIESEL",SUMIFS(Table1[Quantity],Table1[Customer],$M$3,Table1[Date],$A344,Table1[Bill No.],$B344),IF($J344="PETROL",SUMIFS(Table14[Quantity],Table14[Customer],$M$3,Table14[Date],$A344,Table14[Bill No.],$B344),IF($J344="XtraGreen",SUMIFS(Table146[Quantity],Table146[Company],$M$3,Table146[Date],$A344,Table146[Bill No.],$B344),""))))</f>
        <v/>
      </c>
      <c r="D344" s="346" t="str">
        <f>IF($A344="","",IF($J344="DIESEL",AVERAGEIFS(Table1[RSP],Table1[Customer],$M$3,Table1[Date],$A344,Table1[Bill No.],$B344),IF($J344="PETROL",AVERAGEIFS(Table14[RSP],Table14[Customer],$M$3,Table14[Date],$A344,Table14[Bill No.],$B344),IF($J344="XtraGreen",AVERAGEIFS(Table146[RSP],Table146[Company],$M$3,Table146[Date],$A344,Table146[Bill No.],$B344),IFERROR($E344/$C344,"")))))</f>
        <v/>
      </c>
      <c r="E344" s="347" t="str">
        <f>IF($A344="","",IF($J344="DIESEL",SUMIFS(Table1[Amount],Table1[Customer],$M$3,Table1[Date],$A344,Table1[Bill No.],$B344),IF($J344="PETROL",SUMIFS(Table14[Amount],Table14[Customer],$M$3,Table14[Date],$A344,Table14[Bill No.],$B344),IF($J344="XtraGreen",SUMIFS(Table146[Amount],Table146[Company],$M$3,Table146[Date],$A344,Table146[Bill No.],$B344),SUMIFS('Other Sale'!$D:$D,'Other Sale'!$E:$E,$M$3,'Other Sale'!$C:$C,$J344,'Other Sale'!$A:$A,$A344)))))</f>
        <v/>
      </c>
      <c r="F344" s="347" t="str" cm="1">
        <f t="array" ref="F344">IF($A344="","",IF($J344="Payment",IFERROR(INDEX(_xlfn._xlws.FILTER(MasterPaid[Amount Paid],(MasterPaid[Customer]=$M$3)*(MasterPaid[Date]=$A344)),COUNTIFS($A$6:$A344,$A344,$J$6:$J344,"Payment")),0),0))</f>
        <v/>
      </c>
      <c r="G344" s="331"/>
      <c r="H344" s="427"/>
      <c r="I344" s="330" t="str">
        <f t="shared" si="14"/>
        <v/>
      </c>
      <c r="J344" s="344" t="str" cm="1">
        <f t="array" ref="J344">IFERROR(INDEX(_xlfn.ANCHORARRAY($P$6),ROW()-5,3),"")</f>
        <v/>
      </c>
      <c r="K344" s="432" t="str" cm="1">
        <f t="array" ref="K344">IF(OR($A344="",$J344&lt;&gt;"DIESEL"),"",_xlfn.LET(_xlpm.qty,N($C344),_xlpm.pos,$T$5:$T$54,_xlpm.alo,IF($U$5:$U$54="",0,$U$5:$U$54),_xlpm.usd,SUMIFS($C$6:$C343,$K$6:$K343,_xlpm.pos&amp;""),_xlpm.bal,_xlpm.alo-_xlpm.usd,IFERROR(INDEX(_xlfn._xlws.FILTER(_xlpm.pos,(_xlpm.pos&lt;&gt;"")*(_xlpm.qty&gt;0)*(_xlpm.bal&gt;=_xlpm.qty)),1),"")))</f>
        <v/>
      </c>
      <c r="L344" s="348"/>
    </row>
    <row r="345" spans="1:12" ht="23" x14ac:dyDescent="0.25">
      <c r="A345" s="217" t="str" cm="1">
        <f t="array" ref="A345">IFERROR(INDEX(_xlfn.ANCHORARRAY($P$6),ROW()-5,1),"")</f>
        <v/>
      </c>
      <c r="B345" s="344" t="str" cm="1">
        <f t="array" ref="B345">IFERROR(INDEX(_xlfn.ANCHORARRAY($P$6),ROW()-5,2),"")</f>
        <v/>
      </c>
      <c r="C345" s="345" t="str">
        <f>IF($A345="","",IF($J345="DIESEL",SUMIFS(Table1[Quantity],Table1[Customer],$M$3,Table1[Date],$A345,Table1[Bill No.],$B345),IF($J345="PETROL",SUMIFS(Table14[Quantity],Table14[Customer],$M$3,Table14[Date],$A345,Table14[Bill No.],$B345),IF($J345="XtraGreen",SUMIFS(Table146[Quantity],Table146[Company],$M$3,Table146[Date],$A345,Table146[Bill No.],$B345),""))))</f>
        <v/>
      </c>
      <c r="D345" s="346" t="str">
        <f>IF($A345="","",IF($J345="DIESEL",AVERAGEIFS(Table1[RSP],Table1[Customer],$M$3,Table1[Date],$A345,Table1[Bill No.],$B345),IF($J345="PETROL",AVERAGEIFS(Table14[RSP],Table14[Customer],$M$3,Table14[Date],$A345,Table14[Bill No.],$B345),IF($J345="XtraGreen",AVERAGEIFS(Table146[RSP],Table146[Company],$M$3,Table146[Date],$A345,Table146[Bill No.],$B345),IFERROR($E345/$C345,"")))))</f>
        <v/>
      </c>
      <c r="E345" s="347" t="str">
        <f>IF($A345="","",IF($J345="DIESEL",SUMIFS(Table1[Amount],Table1[Customer],$M$3,Table1[Date],$A345,Table1[Bill No.],$B345),IF($J345="PETROL",SUMIFS(Table14[Amount],Table14[Customer],$M$3,Table14[Date],$A345,Table14[Bill No.],$B345),IF($J345="XtraGreen",SUMIFS(Table146[Amount],Table146[Company],$M$3,Table146[Date],$A345,Table146[Bill No.],$B345),SUMIFS('Other Sale'!$D:$D,'Other Sale'!$E:$E,$M$3,'Other Sale'!$C:$C,$J345,'Other Sale'!$A:$A,$A345)))))</f>
        <v/>
      </c>
      <c r="F345" s="347" t="str" cm="1">
        <f t="array" ref="F345">IF($A345="","",IF($J345="Payment",IFERROR(INDEX(_xlfn._xlws.FILTER(MasterPaid[Amount Paid],(MasterPaid[Customer]=$M$3)*(MasterPaid[Date]=$A345)),COUNTIFS($A$6:$A345,$A345,$J$6:$J345,"Payment")),0),0))</f>
        <v/>
      </c>
      <c r="G345" s="331"/>
      <c r="H345" s="427"/>
      <c r="I345" s="330" t="str">
        <f t="shared" si="14"/>
        <v/>
      </c>
      <c r="J345" s="344" t="str" cm="1">
        <f t="array" ref="J345">IFERROR(INDEX(_xlfn.ANCHORARRAY($P$6),ROW()-5,3),"")</f>
        <v/>
      </c>
      <c r="K345" s="432" t="str" cm="1">
        <f t="array" ref="K345">IF(OR($A345="",$J345&lt;&gt;"DIESEL"),"",_xlfn.LET(_xlpm.qty,N($C345),_xlpm.pos,$T$5:$T$54,_xlpm.alo,IF($U$5:$U$54="",0,$U$5:$U$54),_xlpm.usd,SUMIFS($C$6:$C344,$K$6:$K344,_xlpm.pos&amp;""),_xlpm.bal,_xlpm.alo-_xlpm.usd,IFERROR(INDEX(_xlfn._xlws.FILTER(_xlpm.pos,(_xlpm.pos&lt;&gt;"")*(_xlpm.qty&gt;0)*(_xlpm.bal&gt;=_xlpm.qty)),1),"")))</f>
        <v/>
      </c>
      <c r="L345" s="348"/>
    </row>
    <row r="346" spans="1:12" ht="23" x14ac:dyDescent="0.25">
      <c r="A346" s="217" t="str" cm="1">
        <f t="array" ref="A346">IFERROR(INDEX(_xlfn.ANCHORARRAY($P$6),ROW()-5,1),"")</f>
        <v/>
      </c>
      <c r="B346" s="344" t="str" cm="1">
        <f t="array" ref="B346">IFERROR(INDEX(_xlfn.ANCHORARRAY($P$6),ROW()-5,2),"")</f>
        <v/>
      </c>
      <c r="C346" s="345" t="str">
        <f>IF($A346="","",IF($J346="DIESEL",SUMIFS(Table1[Quantity],Table1[Customer],$M$3,Table1[Date],$A346,Table1[Bill No.],$B346),IF($J346="PETROL",SUMIFS(Table14[Quantity],Table14[Customer],$M$3,Table14[Date],$A346,Table14[Bill No.],$B346),IF($J346="XtraGreen",SUMIFS(Table146[Quantity],Table146[Company],$M$3,Table146[Date],$A346,Table146[Bill No.],$B346),""))))</f>
        <v/>
      </c>
      <c r="D346" s="346" t="str">
        <f>IF($A346="","",IF($J346="DIESEL",AVERAGEIFS(Table1[RSP],Table1[Customer],$M$3,Table1[Date],$A346,Table1[Bill No.],$B346),IF($J346="PETROL",AVERAGEIFS(Table14[RSP],Table14[Customer],$M$3,Table14[Date],$A346,Table14[Bill No.],$B346),IF($J346="XtraGreen",AVERAGEIFS(Table146[RSP],Table146[Company],$M$3,Table146[Date],$A346,Table146[Bill No.],$B346),IFERROR($E346/$C346,"")))))</f>
        <v/>
      </c>
      <c r="E346" s="347" t="str">
        <f>IF($A346="","",IF($J346="DIESEL",SUMIFS(Table1[Amount],Table1[Customer],$M$3,Table1[Date],$A346,Table1[Bill No.],$B346),IF($J346="PETROL",SUMIFS(Table14[Amount],Table14[Customer],$M$3,Table14[Date],$A346,Table14[Bill No.],$B346),IF($J346="XtraGreen",SUMIFS(Table146[Amount],Table146[Company],$M$3,Table146[Date],$A346,Table146[Bill No.],$B346),SUMIFS('Other Sale'!$D:$D,'Other Sale'!$E:$E,$M$3,'Other Sale'!$C:$C,$J346,'Other Sale'!$A:$A,$A346)))))</f>
        <v/>
      </c>
      <c r="F346" s="347" t="str" cm="1">
        <f t="array" ref="F346">IF($A346="","",IF($J346="Payment",IFERROR(INDEX(_xlfn._xlws.FILTER(MasterPaid[Amount Paid],(MasterPaid[Customer]=$M$3)*(MasterPaid[Date]=$A346)),COUNTIFS($A$6:$A346,$A346,$J$6:$J346,"Payment")),0),0))</f>
        <v/>
      </c>
      <c r="G346" s="331"/>
      <c r="H346" s="427"/>
      <c r="I346" s="330" t="str">
        <f t="shared" si="14"/>
        <v/>
      </c>
      <c r="J346" s="344" t="str" cm="1">
        <f t="array" ref="J346">IFERROR(INDEX(_xlfn.ANCHORARRAY($P$6),ROW()-5,3),"")</f>
        <v/>
      </c>
      <c r="K346" s="432" t="str" cm="1">
        <f t="array" ref="K346">IF(OR($A346="",$J346&lt;&gt;"DIESEL"),"",_xlfn.LET(_xlpm.qty,N($C346),_xlpm.pos,$T$5:$T$54,_xlpm.alo,IF($U$5:$U$54="",0,$U$5:$U$54),_xlpm.usd,SUMIFS($C$6:$C345,$K$6:$K345,_xlpm.pos&amp;""),_xlpm.bal,_xlpm.alo-_xlpm.usd,IFERROR(INDEX(_xlfn._xlws.FILTER(_xlpm.pos,(_xlpm.pos&lt;&gt;"")*(_xlpm.qty&gt;0)*(_xlpm.bal&gt;=_xlpm.qty)),1),"")))</f>
        <v/>
      </c>
      <c r="L346" s="348"/>
    </row>
    <row r="347" spans="1:12" ht="23" x14ac:dyDescent="0.25">
      <c r="A347" s="217" t="str" cm="1">
        <f t="array" ref="A347">IFERROR(INDEX(_xlfn.ANCHORARRAY($P$6),ROW()-5,1),"")</f>
        <v/>
      </c>
      <c r="B347" s="344" t="str" cm="1">
        <f t="array" ref="B347">IFERROR(INDEX(_xlfn.ANCHORARRAY($P$6),ROW()-5,2),"")</f>
        <v/>
      </c>
      <c r="C347" s="345" t="str">
        <f>IF($A347="","",IF($J347="DIESEL",SUMIFS(Table1[Quantity],Table1[Customer],$M$3,Table1[Date],$A347,Table1[Bill No.],$B347),IF($J347="PETROL",SUMIFS(Table14[Quantity],Table14[Customer],$M$3,Table14[Date],$A347,Table14[Bill No.],$B347),IF($J347="XtraGreen",SUMIFS(Table146[Quantity],Table146[Company],$M$3,Table146[Date],$A347,Table146[Bill No.],$B347),""))))</f>
        <v/>
      </c>
      <c r="D347" s="346" t="str">
        <f>IF($A347="","",IF($J347="DIESEL",AVERAGEIFS(Table1[RSP],Table1[Customer],$M$3,Table1[Date],$A347,Table1[Bill No.],$B347),IF($J347="PETROL",AVERAGEIFS(Table14[RSP],Table14[Customer],$M$3,Table14[Date],$A347,Table14[Bill No.],$B347),IF($J347="XtraGreen",AVERAGEIFS(Table146[RSP],Table146[Company],$M$3,Table146[Date],$A347,Table146[Bill No.],$B347),IFERROR($E347/$C347,"")))))</f>
        <v/>
      </c>
      <c r="E347" s="347" t="str">
        <f>IF($A347="","",IF($J347="DIESEL",SUMIFS(Table1[Amount],Table1[Customer],$M$3,Table1[Date],$A347,Table1[Bill No.],$B347),IF($J347="PETROL",SUMIFS(Table14[Amount],Table14[Customer],$M$3,Table14[Date],$A347,Table14[Bill No.],$B347),IF($J347="XtraGreen",SUMIFS(Table146[Amount],Table146[Company],$M$3,Table146[Date],$A347,Table146[Bill No.],$B347),SUMIFS('Other Sale'!$D:$D,'Other Sale'!$E:$E,$M$3,'Other Sale'!$C:$C,$J347,'Other Sale'!$A:$A,$A347)))))</f>
        <v/>
      </c>
      <c r="F347" s="347" t="str" cm="1">
        <f t="array" ref="F347">IF($A347="","",IF($J347="Payment",IFERROR(INDEX(_xlfn._xlws.FILTER(MasterPaid[Amount Paid],(MasterPaid[Customer]=$M$3)*(MasterPaid[Date]=$A347)),COUNTIFS($A$6:$A347,$A347,$J$6:$J347,"Payment")),0),0))</f>
        <v/>
      </c>
      <c r="G347" s="331"/>
      <c r="H347" s="427"/>
      <c r="I347" s="330" t="str">
        <f t="shared" si="14"/>
        <v/>
      </c>
      <c r="J347" s="344" t="str" cm="1">
        <f t="array" ref="J347">IFERROR(INDEX(_xlfn.ANCHORARRAY($P$6),ROW()-5,3),"")</f>
        <v/>
      </c>
      <c r="K347" s="432" t="str" cm="1">
        <f t="array" ref="K347">IF(OR($A347="",$J347&lt;&gt;"DIESEL"),"",_xlfn.LET(_xlpm.qty,N($C347),_xlpm.pos,$T$5:$T$54,_xlpm.alo,IF($U$5:$U$54="",0,$U$5:$U$54),_xlpm.usd,SUMIFS($C$6:$C346,$K$6:$K346,_xlpm.pos&amp;""),_xlpm.bal,_xlpm.alo-_xlpm.usd,IFERROR(INDEX(_xlfn._xlws.FILTER(_xlpm.pos,(_xlpm.pos&lt;&gt;"")*(_xlpm.qty&gt;0)*(_xlpm.bal&gt;=_xlpm.qty)),1),"")))</f>
        <v/>
      </c>
      <c r="L347" s="348"/>
    </row>
    <row r="348" spans="1:12" ht="23" x14ac:dyDescent="0.25">
      <c r="A348" s="217" t="str" cm="1">
        <f t="array" ref="A348">IFERROR(INDEX(_xlfn.ANCHORARRAY($P$6),ROW()-5,1),"")</f>
        <v/>
      </c>
      <c r="B348" s="344" t="str" cm="1">
        <f t="array" ref="B348">IFERROR(INDEX(_xlfn.ANCHORARRAY($P$6),ROW()-5,2),"")</f>
        <v/>
      </c>
      <c r="C348" s="345" t="str">
        <f>IF($A348="","",IF($J348="DIESEL",SUMIFS(Table1[Quantity],Table1[Customer],$M$3,Table1[Date],$A348,Table1[Bill No.],$B348),IF($J348="PETROL",SUMIFS(Table14[Quantity],Table14[Customer],$M$3,Table14[Date],$A348,Table14[Bill No.],$B348),IF($J348="XtraGreen",SUMIFS(Table146[Quantity],Table146[Company],$M$3,Table146[Date],$A348,Table146[Bill No.],$B348),""))))</f>
        <v/>
      </c>
      <c r="D348" s="346" t="str">
        <f>IF($A348="","",IF($J348="DIESEL",AVERAGEIFS(Table1[RSP],Table1[Customer],$M$3,Table1[Date],$A348,Table1[Bill No.],$B348),IF($J348="PETROL",AVERAGEIFS(Table14[RSP],Table14[Customer],$M$3,Table14[Date],$A348,Table14[Bill No.],$B348),IF($J348="XtraGreen",AVERAGEIFS(Table146[RSP],Table146[Company],$M$3,Table146[Date],$A348,Table146[Bill No.],$B348),IFERROR($E348/$C348,"")))))</f>
        <v/>
      </c>
      <c r="E348" s="347" t="str">
        <f>IF($A348="","",IF($J348="DIESEL",SUMIFS(Table1[Amount],Table1[Customer],$M$3,Table1[Date],$A348,Table1[Bill No.],$B348),IF($J348="PETROL",SUMIFS(Table14[Amount],Table14[Customer],$M$3,Table14[Date],$A348,Table14[Bill No.],$B348),IF($J348="XtraGreen",SUMIFS(Table146[Amount],Table146[Company],$M$3,Table146[Date],$A348,Table146[Bill No.],$B348),SUMIFS('Other Sale'!$D:$D,'Other Sale'!$E:$E,$M$3,'Other Sale'!$C:$C,$J348,'Other Sale'!$A:$A,$A348)))))</f>
        <v/>
      </c>
      <c r="F348" s="347" t="str" cm="1">
        <f t="array" ref="F348">IF($A348="","",IF($J348="Payment",IFERROR(INDEX(_xlfn._xlws.FILTER(MasterPaid[Amount Paid],(MasterPaid[Customer]=$M$3)*(MasterPaid[Date]=$A348)),COUNTIFS($A$6:$A348,$A348,$J$6:$J348,"Payment")),0),0))</f>
        <v/>
      </c>
      <c r="G348" s="331"/>
      <c r="H348" s="427"/>
      <c r="I348" s="330" t="str">
        <f t="shared" si="14"/>
        <v/>
      </c>
      <c r="J348" s="344" t="str" cm="1">
        <f t="array" ref="J348">IFERROR(INDEX(_xlfn.ANCHORARRAY($P$6),ROW()-5,3),"")</f>
        <v/>
      </c>
      <c r="K348" s="432" t="str" cm="1">
        <f t="array" ref="K348">IF(OR($A348="",$J348&lt;&gt;"DIESEL"),"",_xlfn.LET(_xlpm.qty,N($C348),_xlpm.pos,$T$5:$T$54,_xlpm.alo,IF($U$5:$U$54="",0,$U$5:$U$54),_xlpm.usd,SUMIFS($C$6:$C347,$K$6:$K347,_xlpm.pos&amp;""),_xlpm.bal,_xlpm.alo-_xlpm.usd,IFERROR(INDEX(_xlfn._xlws.FILTER(_xlpm.pos,(_xlpm.pos&lt;&gt;"")*(_xlpm.qty&gt;0)*(_xlpm.bal&gt;=_xlpm.qty)),1),"")))</f>
        <v/>
      </c>
      <c r="L348" s="348"/>
    </row>
    <row r="349" spans="1:12" ht="23" x14ac:dyDescent="0.25">
      <c r="A349" s="217" t="str" cm="1">
        <f t="array" ref="A349">IFERROR(INDEX(_xlfn.ANCHORARRAY($P$6),ROW()-5,1),"")</f>
        <v/>
      </c>
      <c r="B349" s="344" t="str" cm="1">
        <f t="array" ref="B349">IFERROR(INDEX(_xlfn.ANCHORARRAY($P$6),ROW()-5,2),"")</f>
        <v/>
      </c>
      <c r="C349" s="345" t="str">
        <f>IF($A349="","",IF($J349="DIESEL",SUMIFS(Table1[Quantity],Table1[Customer],$M$3,Table1[Date],$A349,Table1[Bill No.],$B349),IF($J349="PETROL",SUMIFS(Table14[Quantity],Table14[Customer],$M$3,Table14[Date],$A349,Table14[Bill No.],$B349),IF($J349="XtraGreen",SUMIFS(Table146[Quantity],Table146[Company],$M$3,Table146[Date],$A349,Table146[Bill No.],$B349),""))))</f>
        <v/>
      </c>
      <c r="D349" s="346" t="str">
        <f>IF($A349="","",IF($J349="DIESEL",AVERAGEIFS(Table1[RSP],Table1[Customer],$M$3,Table1[Date],$A349,Table1[Bill No.],$B349),IF($J349="PETROL",AVERAGEIFS(Table14[RSP],Table14[Customer],$M$3,Table14[Date],$A349,Table14[Bill No.],$B349),IF($J349="XtraGreen",AVERAGEIFS(Table146[RSP],Table146[Company],$M$3,Table146[Date],$A349,Table146[Bill No.],$B349),IFERROR($E349/$C349,"")))))</f>
        <v/>
      </c>
      <c r="E349" s="347" t="str">
        <f>IF($A349="","",IF($J349="DIESEL",SUMIFS(Table1[Amount],Table1[Customer],$M$3,Table1[Date],$A349,Table1[Bill No.],$B349),IF($J349="PETROL",SUMIFS(Table14[Amount],Table14[Customer],$M$3,Table14[Date],$A349,Table14[Bill No.],$B349),IF($J349="XtraGreen",SUMIFS(Table146[Amount],Table146[Company],$M$3,Table146[Date],$A349,Table146[Bill No.],$B349),SUMIFS('Other Sale'!$D:$D,'Other Sale'!$E:$E,$M$3,'Other Sale'!$C:$C,$J349,'Other Sale'!$A:$A,$A349)))))</f>
        <v/>
      </c>
      <c r="F349" s="347" t="str" cm="1">
        <f t="array" ref="F349">IF($A349="","",IF($J349="Payment",IFERROR(INDEX(_xlfn._xlws.FILTER(MasterPaid[Amount Paid],(MasterPaid[Customer]=$M$3)*(MasterPaid[Date]=$A349)),COUNTIFS($A$6:$A349,$A349,$J$6:$J349,"Payment")),0),0))</f>
        <v/>
      </c>
      <c r="G349" s="331"/>
      <c r="H349" s="427"/>
      <c r="I349" s="330" t="str">
        <f t="shared" si="14"/>
        <v/>
      </c>
      <c r="J349" s="344" t="str" cm="1">
        <f t="array" ref="J349">IFERROR(INDEX(_xlfn.ANCHORARRAY($P$6),ROW()-5,3),"")</f>
        <v/>
      </c>
      <c r="K349" s="432" t="str" cm="1">
        <f t="array" ref="K349">IF(OR($A349="",$J349&lt;&gt;"DIESEL"),"",_xlfn.LET(_xlpm.qty,N($C349),_xlpm.pos,$T$5:$T$54,_xlpm.alo,IF($U$5:$U$54="",0,$U$5:$U$54),_xlpm.usd,SUMIFS($C$6:$C348,$K$6:$K348,_xlpm.pos&amp;""),_xlpm.bal,_xlpm.alo-_xlpm.usd,IFERROR(INDEX(_xlfn._xlws.FILTER(_xlpm.pos,(_xlpm.pos&lt;&gt;"")*(_xlpm.qty&gt;0)*(_xlpm.bal&gt;=_xlpm.qty)),1),"")))</f>
        <v/>
      </c>
      <c r="L349" s="348"/>
    </row>
    <row r="350" spans="1:12" ht="23" x14ac:dyDescent="0.25">
      <c r="A350" s="217" t="str" cm="1">
        <f t="array" ref="A350">IFERROR(INDEX(_xlfn.ANCHORARRAY($P$6),ROW()-5,1),"")</f>
        <v/>
      </c>
      <c r="B350" s="344" t="str" cm="1">
        <f t="array" ref="B350">IFERROR(INDEX(_xlfn.ANCHORARRAY($P$6),ROW()-5,2),"")</f>
        <v/>
      </c>
      <c r="C350" s="345" t="str">
        <f>IF($A350="","",IF($J350="DIESEL",SUMIFS(Table1[Quantity],Table1[Customer],$M$3,Table1[Date],$A350,Table1[Bill No.],$B350),IF($J350="PETROL",SUMIFS(Table14[Quantity],Table14[Customer],$M$3,Table14[Date],$A350,Table14[Bill No.],$B350),IF($J350="XtraGreen",SUMIFS(Table146[Quantity],Table146[Company],$M$3,Table146[Date],$A350,Table146[Bill No.],$B350),""))))</f>
        <v/>
      </c>
      <c r="D350" s="346" t="str">
        <f>IF($A350="","",IF($J350="DIESEL",AVERAGEIFS(Table1[RSP],Table1[Customer],$M$3,Table1[Date],$A350,Table1[Bill No.],$B350),IF($J350="PETROL",AVERAGEIFS(Table14[RSP],Table14[Customer],$M$3,Table14[Date],$A350,Table14[Bill No.],$B350),IF($J350="XtraGreen",AVERAGEIFS(Table146[RSP],Table146[Company],$M$3,Table146[Date],$A350,Table146[Bill No.],$B350),IFERROR($E350/$C350,"")))))</f>
        <v/>
      </c>
      <c r="E350" s="347" t="str">
        <f>IF($A350="","",IF($J350="DIESEL",SUMIFS(Table1[Amount],Table1[Customer],$M$3,Table1[Date],$A350,Table1[Bill No.],$B350),IF($J350="PETROL",SUMIFS(Table14[Amount],Table14[Customer],$M$3,Table14[Date],$A350,Table14[Bill No.],$B350),IF($J350="XtraGreen",SUMIFS(Table146[Amount],Table146[Company],$M$3,Table146[Date],$A350,Table146[Bill No.],$B350),SUMIFS('Other Sale'!$D:$D,'Other Sale'!$E:$E,$M$3,'Other Sale'!$C:$C,$J350,'Other Sale'!$A:$A,$A350)))))</f>
        <v/>
      </c>
      <c r="F350" s="347" t="str" cm="1">
        <f t="array" ref="F350">IF($A350="","",IF($J350="Payment",IFERROR(INDEX(_xlfn._xlws.FILTER(MasterPaid[Amount Paid],(MasterPaid[Customer]=$M$3)*(MasterPaid[Date]=$A350)),COUNTIFS($A$6:$A350,$A350,$J$6:$J350,"Payment")),0),0))</f>
        <v/>
      </c>
      <c r="G350" s="331"/>
      <c r="H350" s="427"/>
      <c r="I350" s="330" t="str">
        <f t="shared" si="14"/>
        <v/>
      </c>
      <c r="J350" s="344" t="str" cm="1">
        <f t="array" ref="J350">IFERROR(INDEX(_xlfn.ANCHORARRAY($P$6),ROW()-5,3),"")</f>
        <v/>
      </c>
      <c r="K350" s="432" t="str" cm="1">
        <f t="array" ref="K350">IF(OR($A350="",$J350&lt;&gt;"DIESEL"),"",_xlfn.LET(_xlpm.qty,N($C350),_xlpm.pos,$T$5:$T$54,_xlpm.alo,IF($U$5:$U$54="",0,$U$5:$U$54),_xlpm.usd,SUMIFS($C$6:$C349,$K$6:$K349,_xlpm.pos&amp;""),_xlpm.bal,_xlpm.alo-_xlpm.usd,IFERROR(INDEX(_xlfn._xlws.FILTER(_xlpm.pos,(_xlpm.pos&lt;&gt;"")*(_xlpm.qty&gt;0)*(_xlpm.bal&gt;=_xlpm.qty)),1),"")))</f>
        <v/>
      </c>
      <c r="L350" s="348"/>
    </row>
    <row r="351" spans="1:12" ht="23" x14ac:dyDescent="0.25">
      <c r="A351" s="217" t="str" cm="1">
        <f t="array" ref="A351">IFERROR(INDEX(_xlfn.ANCHORARRAY($P$6),ROW()-5,1),"")</f>
        <v/>
      </c>
      <c r="B351" s="344" t="str" cm="1">
        <f t="array" ref="B351">IFERROR(INDEX(_xlfn.ANCHORARRAY($P$6),ROW()-5,2),"")</f>
        <v/>
      </c>
      <c r="C351" s="345" t="str">
        <f>IF($A351="","",IF($J351="DIESEL",SUMIFS(Table1[Quantity],Table1[Customer],$M$3,Table1[Date],$A351,Table1[Bill No.],$B351),IF($J351="PETROL",SUMIFS(Table14[Quantity],Table14[Customer],$M$3,Table14[Date],$A351,Table14[Bill No.],$B351),IF($J351="XtraGreen",SUMIFS(Table146[Quantity],Table146[Company],$M$3,Table146[Date],$A351,Table146[Bill No.],$B351),""))))</f>
        <v/>
      </c>
      <c r="D351" s="346" t="str">
        <f>IF($A351="","",IF($J351="DIESEL",AVERAGEIFS(Table1[RSP],Table1[Customer],$M$3,Table1[Date],$A351,Table1[Bill No.],$B351),IF($J351="PETROL",AVERAGEIFS(Table14[RSP],Table14[Customer],$M$3,Table14[Date],$A351,Table14[Bill No.],$B351),IF($J351="XtraGreen",AVERAGEIFS(Table146[RSP],Table146[Company],$M$3,Table146[Date],$A351,Table146[Bill No.],$B351),IFERROR($E351/$C351,"")))))</f>
        <v/>
      </c>
      <c r="E351" s="347" t="str">
        <f>IF($A351="","",IF($J351="DIESEL",SUMIFS(Table1[Amount],Table1[Customer],$M$3,Table1[Date],$A351,Table1[Bill No.],$B351),IF($J351="PETROL",SUMIFS(Table14[Amount],Table14[Customer],$M$3,Table14[Date],$A351,Table14[Bill No.],$B351),IF($J351="XtraGreen",SUMIFS(Table146[Amount],Table146[Company],$M$3,Table146[Date],$A351,Table146[Bill No.],$B351),SUMIFS('Other Sale'!$D:$D,'Other Sale'!$E:$E,$M$3,'Other Sale'!$C:$C,$J351,'Other Sale'!$A:$A,$A351)))))</f>
        <v/>
      </c>
      <c r="F351" s="347" t="str" cm="1">
        <f t="array" ref="F351">IF($A351="","",IF($J351="Payment",IFERROR(INDEX(_xlfn._xlws.FILTER(MasterPaid[Amount Paid],(MasterPaid[Customer]=$M$3)*(MasterPaid[Date]=$A351)),COUNTIFS($A$6:$A351,$A351,$J$6:$J351,"Payment")),0),0))</f>
        <v/>
      </c>
      <c r="G351" s="331"/>
      <c r="H351" s="427"/>
      <c r="I351" s="330" t="str">
        <f t="shared" si="14"/>
        <v/>
      </c>
      <c r="J351" s="344" t="str" cm="1">
        <f t="array" ref="J351">IFERROR(INDEX(_xlfn.ANCHORARRAY($P$6),ROW()-5,3),"")</f>
        <v/>
      </c>
      <c r="K351" s="432" t="str" cm="1">
        <f t="array" ref="K351">IF(OR($A351="",$J351&lt;&gt;"DIESEL"),"",_xlfn.LET(_xlpm.qty,N($C351),_xlpm.pos,$T$5:$T$54,_xlpm.alo,IF($U$5:$U$54="",0,$U$5:$U$54),_xlpm.usd,SUMIFS($C$6:$C350,$K$6:$K350,_xlpm.pos&amp;""),_xlpm.bal,_xlpm.alo-_xlpm.usd,IFERROR(INDEX(_xlfn._xlws.FILTER(_xlpm.pos,(_xlpm.pos&lt;&gt;"")*(_xlpm.qty&gt;0)*(_xlpm.bal&gt;=_xlpm.qty)),1),"")))</f>
        <v/>
      </c>
      <c r="L351" s="348"/>
    </row>
    <row r="352" spans="1:12" ht="23" x14ac:dyDescent="0.25">
      <c r="A352" s="217" t="str" cm="1">
        <f t="array" ref="A352">IFERROR(INDEX(_xlfn.ANCHORARRAY($P$6),ROW()-5,1),"")</f>
        <v/>
      </c>
      <c r="B352" s="344" t="str" cm="1">
        <f t="array" ref="B352">IFERROR(INDEX(_xlfn.ANCHORARRAY($P$6),ROW()-5,2),"")</f>
        <v/>
      </c>
      <c r="C352" s="345" t="str">
        <f>IF($A352="","",IF($J352="DIESEL",SUMIFS(Table1[Quantity],Table1[Customer],$M$3,Table1[Date],$A352,Table1[Bill No.],$B352),IF($J352="PETROL",SUMIFS(Table14[Quantity],Table14[Customer],$M$3,Table14[Date],$A352,Table14[Bill No.],$B352),IF($J352="XtraGreen",SUMIFS(Table146[Quantity],Table146[Company],$M$3,Table146[Date],$A352,Table146[Bill No.],$B352),""))))</f>
        <v/>
      </c>
      <c r="D352" s="346" t="str">
        <f>IF($A352="","",IF($J352="DIESEL",AVERAGEIFS(Table1[RSP],Table1[Customer],$M$3,Table1[Date],$A352,Table1[Bill No.],$B352),IF($J352="PETROL",AVERAGEIFS(Table14[RSP],Table14[Customer],$M$3,Table14[Date],$A352,Table14[Bill No.],$B352),IF($J352="XtraGreen",AVERAGEIFS(Table146[RSP],Table146[Company],$M$3,Table146[Date],$A352,Table146[Bill No.],$B352),IFERROR($E352/$C352,"")))))</f>
        <v/>
      </c>
      <c r="E352" s="347" t="str">
        <f>IF($A352="","",IF($J352="DIESEL",SUMIFS(Table1[Amount],Table1[Customer],$M$3,Table1[Date],$A352,Table1[Bill No.],$B352),IF($J352="PETROL",SUMIFS(Table14[Amount],Table14[Customer],$M$3,Table14[Date],$A352,Table14[Bill No.],$B352),IF($J352="XtraGreen",SUMIFS(Table146[Amount],Table146[Company],$M$3,Table146[Date],$A352,Table146[Bill No.],$B352),SUMIFS('Other Sale'!$D:$D,'Other Sale'!$E:$E,$M$3,'Other Sale'!$C:$C,$J352,'Other Sale'!$A:$A,$A352)))))</f>
        <v/>
      </c>
      <c r="F352" s="347" t="str" cm="1">
        <f t="array" ref="F352">IF($A352="","",IF($J352="Payment",IFERROR(INDEX(_xlfn._xlws.FILTER(MasterPaid[Amount Paid],(MasterPaid[Customer]=$M$3)*(MasterPaid[Date]=$A352)),COUNTIFS($A$6:$A352,$A352,$J$6:$J352,"Payment")),0),0))</f>
        <v/>
      </c>
      <c r="G352" s="331"/>
      <c r="H352" s="427"/>
      <c r="I352" s="330" t="str">
        <f t="shared" si="14"/>
        <v/>
      </c>
      <c r="J352" s="344" t="str" cm="1">
        <f t="array" ref="J352">IFERROR(INDEX(_xlfn.ANCHORARRAY($P$6),ROW()-5,3),"")</f>
        <v/>
      </c>
      <c r="K352" s="432" t="str" cm="1">
        <f t="array" ref="K352">IF(OR($A352="",$J352&lt;&gt;"DIESEL"),"",_xlfn.LET(_xlpm.qty,N($C352),_xlpm.pos,$T$5:$T$54,_xlpm.alo,IF($U$5:$U$54="",0,$U$5:$U$54),_xlpm.usd,SUMIFS($C$6:$C351,$K$6:$K351,_xlpm.pos&amp;""),_xlpm.bal,_xlpm.alo-_xlpm.usd,IFERROR(INDEX(_xlfn._xlws.FILTER(_xlpm.pos,(_xlpm.pos&lt;&gt;"")*(_xlpm.qty&gt;0)*(_xlpm.bal&gt;=_xlpm.qty)),1),"")))</f>
        <v/>
      </c>
      <c r="L352" s="348"/>
    </row>
    <row r="353" spans="1:12" ht="23" x14ac:dyDescent="0.25">
      <c r="A353" s="217" t="str" cm="1">
        <f t="array" ref="A353">IFERROR(INDEX(_xlfn.ANCHORARRAY($P$6),ROW()-5,1),"")</f>
        <v/>
      </c>
      <c r="B353" s="344" t="str" cm="1">
        <f t="array" ref="B353">IFERROR(INDEX(_xlfn.ANCHORARRAY($P$6),ROW()-5,2),"")</f>
        <v/>
      </c>
      <c r="C353" s="345" t="str">
        <f>IF($A353="","",IF($J353="DIESEL",SUMIFS(Table1[Quantity],Table1[Customer],$M$3,Table1[Date],$A353,Table1[Bill No.],$B353),IF($J353="PETROL",SUMIFS(Table14[Quantity],Table14[Customer],$M$3,Table14[Date],$A353,Table14[Bill No.],$B353),IF($J353="XtraGreen",SUMIFS(Table146[Quantity],Table146[Company],$M$3,Table146[Date],$A353,Table146[Bill No.],$B353),""))))</f>
        <v/>
      </c>
      <c r="D353" s="346" t="str">
        <f>IF($A353="","",IF($J353="DIESEL",AVERAGEIFS(Table1[RSP],Table1[Customer],$M$3,Table1[Date],$A353,Table1[Bill No.],$B353),IF($J353="PETROL",AVERAGEIFS(Table14[RSP],Table14[Customer],$M$3,Table14[Date],$A353,Table14[Bill No.],$B353),IF($J353="XtraGreen",AVERAGEIFS(Table146[RSP],Table146[Company],$M$3,Table146[Date],$A353,Table146[Bill No.],$B353),IFERROR($E353/$C353,"")))))</f>
        <v/>
      </c>
      <c r="E353" s="347" t="str">
        <f>IF($A353="","",IF($J353="DIESEL",SUMIFS(Table1[Amount],Table1[Customer],$M$3,Table1[Date],$A353,Table1[Bill No.],$B353),IF($J353="PETROL",SUMIFS(Table14[Amount],Table14[Customer],$M$3,Table14[Date],$A353,Table14[Bill No.],$B353),IF($J353="XtraGreen",SUMIFS(Table146[Amount],Table146[Company],$M$3,Table146[Date],$A353,Table146[Bill No.],$B353),SUMIFS('Other Sale'!$D:$D,'Other Sale'!$E:$E,$M$3,'Other Sale'!$C:$C,$J353,'Other Sale'!$A:$A,$A353)))))</f>
        <v/>
      </c>
      <c r="F353" s="347" t="str" cm="1">
        <f t="array" ref="F353">IF($A353="","",IF($J353="Payment",IFERROR(INDEX(_xlfn._xlws.FILTER(MasterPaid[Amount Paid],(MasterPaid[Customer]=$M$3)*(MasterPaid[Date]=$A353)),COUNTIFS($A$6:$A353,$A353,$J$6:$J353,"Payment")),0),0))</f>
        <v/>
      </c>
      <c r="G353" s="331"/>
      <c r="H353" s="427"/>
      <c r="I353" s="330" t="str">
        <f t="shared" si="14"/>
        <v/>
      </c>
      <c r="J353" s="344" t="str" cm="1">
        <f t="array" ref="J353">IFERROR(INDEX(_xlfn.ANCHORARRAY($P$6),ROW()-5,3),"")</f>
        <v/>
      </c>
      <c r="K353" s="432" t="str" cm="1">
        <f t="array" ref="K353">IF(OR($A353="",$J353&lt;&gt;"DIESEL"),"",_xlfn.LET(_xlpm.qty,N($C353),_xlpm.pos,$T$5:$T$54,_xlpm.alo,IF($U$5:$U$54="",0,$U$5:$U$54),_xlpm.usd,SUMIFS($C$6:$C352,$K$6:$K352,_xlpm.pos&amp;""),_xlpm.bal,_xlpm.alo-_xlpm.usd,IFERROR(INDEX(_xlfn._xlws.FILTER(_xlpm.pos,(_xlpm.pos&lt;&gt;"")*(_xlpm.qty&gt;0)*(_xlpm.bal&gt;=_xlpm.qty)),1),"")))</f>
        <v/>
      </c>
      <c r="L353" s="348"/>
    </row>
    <row r="354" spans="1:12" ht="23" x14ac:dyDescent="0.25">
      <c r="A354" s="217" t="str" cm="1">
        <f t="array" ref="A354">IFERROR(INDEX(_xlfn.ANCHORARRAY($P$6),ROW()-5,1),"")</f>
        <v/>
      </c>
      <c r="B354" s="344" t="str" cm="1">
        <f t="array" ref="B354">IFERROR(INDEX(_xlfn.ANCHORARRAY($P$6),ROW()-5,2),"")</f>
        <v/>
      </c>
      <c r="C354" s="345" t="str">
        <f>IF($A354="","",IF($J354="DIESEL",SUMIFS(Table1[Quantity],Table1[Customer],$M$3,Table1[Date],$A354,Table1[Bill No.],$B354),IF($J354="PETROL",SUMIFS(Table14[Quantity],Table14[Customer],$M$3,Table14[Date],$A354,Table14[Bill No.],$B354),IF($J354="XtraGreen",SUMIFS(Table146[Quantity],Table146[Company],$M$3,Table146[Date],$A354,Table146[Bill No.],$B354),""))))</f>
        <v/>
      </c>
      <c r="D354" s="346" t="str">
        <f>IF($A354="","",IF($J354="DIESEL",AVERAGEIFS(Table1[RSP],Table1[Customer],$M$3,Table1[Date],$A354,Table1[Bill No.],$B354),IF($J354="PETROL",AVERAGEIFS(Table14[RSP],Table14[Customer],$M$3,Table14[Date],$A354,Table14[Bill No.],$B354),IF($J354="XtraGreen",AVERAGEIFS(Table146[RSP],Table146[Company],$M$3,Table146[Date],$A354,Table146[Bill No.],$B354),IFERROR($E354/$C354,"")))))</f>
        <v/>
      </c>
      <c r="E354" s="347" t="str">
        <f>IF($A354="","",IF($J354="DIESEL",SUMIFS(Table1[Amount],Table1[Customer],$M$3,Table1[Date],$A354,Table1[Bill No.],$B354),IF($J354="PETROL",SUMIFS(Table14[Amount],Table14[Customer],$M$3,Table14[Date],$A354,Table14[Bill No.],$B354),IF($J354="XtraGreen",SUMIFS(Table146[Amount],Table146[Company],$M$3,Table146[Date],$A354,Table146[Bill No.],$B354),SUMIFS('Other Sale'!$D:$D,'Other Sale'!$E:$E,$M$3,'Other Sale'!$C:$C,$J354,'Other Sale'!$A:$A,$A354)))))</f>
        <v/>
      </c>
      <c r="F354" s="347" t="str" cm="1">
        <f t="array" ref="F354">IF($A354="","",IF($J354="Payment",IFERROR(INDEX(_xlfn._xlws.FILTER(MasterPaid[Amount Paid],(MasterPaid[Customer]=$M$3)*(MasterPaid[Date]=$A354)),COUNTIFS($A$6:$A354,$A354,$J$6:$J354,"Payment")),0),0))</f>
        <v/>
      </c>
      <c r="G354" s="331"/>
      <c r="H354" s="427"/>
      <c r="I354" s="330" t="str">
        <f t="shared" si="14"/>
        <v/>
      </c>
      <c r="J354" s="344" t="str" cm="1">
        <f t="array" ref="J354">IFERROR(INDEX(_xlfn.ANCHORARRAY($P$6),ROW()-5,3),"")</f>
        <v/>
      </c>
      <c r="K354" s="432" t="str" cm="1">
        <f t="array" ref="K354">IF(OR($A354="",$J354&lt;&gt;"DIESEL"),"",_xlfn.LET(_xlpm.qty,N($C354),_xlpm.pos,$T$5:$T$54,_xlpm.alo,IF($U$5:$U$54="",0,$U$5:$U$54),_xlpm.usd,SUMIFS($C$6:$C353,$K$6:$K353,_xlpm.pos&amp;""),_xlpm.bal,_xlpm.alo-_xlpm.usd,IFERROR(INDEX(_xlfn._xlws.FILTER(_xlpm.pos,(_xlpm.pos&lt;&gt;"")*(_xlpm.qty&gt;0)*(_xlpm.bal&gt;=_xlpm.qty)),1),"")))</f>
        <v/>
      </c>
      <c r="L354" s="348"/>
    </row>
    <row r="355" spans="1:12" ht="23" x14ac:dyDescent="0.25">
      <c r="A355" s="217" t="str" cm="1">
        <f t="array" ref="A355">IFERROR(INDEX(_xlfn.ANCHORARRAY($P$6),ROW()-5,1),"")</f>
        <v/>
      </c>
      <c r="B355" s="344" t="str" cm="1">
        <f t="array" ref="B355">IFERROR(INDEX(_xlfn.ANCHORARRAY($P$6),ROW()-5,2),"")</f>
        <v/>
      </c>
      <c r="C355" s="345" t="str">
        <f>IF($A355="","",IF($J355="DIESEL",SUMIFS(Table1[Quantity],Table1[Customer],$M$3,Table1[Date],$A355,Table1[Bill No.],$B355),IF($J355="PETROL",SUMIFS(Table14[Quantity],Table14[Customer],$M$3,Table14[Date],$A355,Table14[Bill No.],$B355),IF($J355="XtraGreen",SUMIFS(Table146[Quantity],Table146[Company],$M$3,Table146[Date],$A355,Table146[Bill No.],$B355),""))))</f>
        <v/>
      </c>
      <c r="D355" s="346" t="str">
        <f>IF($A355="","",IF($J355="DIESEL",AVERAGEIFS(Table1[RSP],Table1[Customer],$M$3,Table1[Date],$A355,Table1[Bill No.],$B355),IF($J355="PETROL",AVERAGEIFS(Table14[RSP],Table14[Customer],$M$3,Table14[Date],$A355,Table14[Bill No.],$B355),IF($J355="XtraGreen",AVERAGEIFS(Table146[RSP],Table146[Company],$M$3,Table146[Date],$A355,Table146[Bill No.],$B355),IFERROR($E355/$C355,"")))))</f>
        <v/>
      </c>
      <c r="E355" s="347" t="str">
        <f>IF($A355="","",IF($J355="DIESEL",SUMIFS(Table1[Amount],Table1[Customer],$M$3,Table1[Date],$A355,Table1[Bill No.],$B355),IF($J355="PETROL",SUMIFS(Table14[Amount],Table14[Customer],$M$3,Table14[Date],$A355,Table14[Bill No.],$B355),IF($J355="XtraGreen",SUMIFS(Table146[Amount],Table146[Company],$M$3,Table146[Date],$A355,Table146[Bill No.],$B355),SUMIFS('Other Sale'!$D:$D,'Other Sale'!$E:$E,$M$3,'Other Sale'!$C:$C,$J355,'Other Sale'!$A:$A,$A355)))))</f>
        <v/>
      </c>
      <c r="F355" s="347" t="str" cm="1">
        <f t="array" ref="F355">IF($A355="","",IF($J355="Payment",IFERROR(INDEX(_xlfn._xlws.FILTER(MasterPaid[Amount Paid],(MasterPaid[Customer]=$M$3)*(MasterPaid[Date]=$A355)),COUNTIFS($A$6:$A355,$A355,$J$6:$J355,"Payment")),0),0))</f>
        <v/>
      </c>
      <c r="G355" s="331"/>
      <c r="H355" s="427"/>
      <c r="I355" s="330" t="str">
        <f t="shared" si="14"/>
        <v/>
      </c>
      <c r="J355" s="344" t="str" cm="1">
        <f t="array" ref="J355">IFERROR(INDEX(_xlfn.ANCHORARRAY($P$6),ROW()-5,3),"")</f>
        <v/>
      </c>
      <c r="K355" s="432" t="str" cm="1">
        <f t="array" ref="K355">IF(OR($A355="",$J355&lt;&gt;"DIESEL"),"",_xlfn.LET(_xlpm.qty,N($C355),_xlpm.pos,$T$5:$T$54,_xlpm.alo,IF($U$5:$U$54="",0,$U$5:$U$54),_xlpm.usd,SUMIFS($C$6:$C354,$K$6:$K354,_xlpm.pos&amp;""),_xlpm.bal,_xlpm.alo-_xlpm.usd,IFERROR(INDEX(_xlfn._xlws.FILTER(_xlpm.pos,(_xlpm.pos&lt;&gt;"")*(_xlpm.qty&gt;0)*(_xlpm.bal&gt;=_xlpm.qty)),1),"")))</f>
        <v/>
      </c>
      <c r="L355" s="348"/>
    </row>
  </sheetData>
  <sheetProtection sheet="1" objects="1" scenarios="1"/>
  <mergeCells count="1">
    <mergeCell ref="A1:L1"/>
  </mergeCells>
  <conditionalFormatting sqref="A1:AH4 A46:AH355 A6:J45 L16:AH45 L6:S15 A5:S5 V5:AH15">
    <cfRule type="cellIs" dxfId="1925" priority="4" operator="lessThan">
      <formula>0</formula>
    </cfRule>
  </conditionalFormatting>
  <conditionalFormatting sqref="B6:F355">
    <cfRule type="expression" dxfId="1924" priority="5">
      <formula>$J6="PETROL"</formula>
    </cfRule>
  </conditionalFormatting>
  <conditionalFormatting sqref="H6:H355">
    <cfRule type="expression" dxfId="1923" priority="6">
      <formula>$J6="PETROL"</formula>
    </cfRule>
  </conditionalFormatting>
  <conditionalFormatting sqref="J46:L355 J6:J45 L6:L45">
    <cfRule type="expression" dxfId="1922" priority="7">
      <formula>$J6="PETROL"</formula>
    </cfRule>
  </conditionalFormatting>
  <conditionalFormatting sqref="K6:K45">
    <cfRule type="cellIs" dxfId="1921" priority="2" operator="lessThan">
      <formula>0</formula>
    </cfRule>
  </conditionalFormatting>
  <conditionalFormatting sqref="K6:K45">
    <cfRule type="expression" dxfId="1920" priority="3">
      <formula>$J6="PETROL"</formula>
    </cfRule>
  </conditionalFormatting>
  <conditionalFormatting sqref="T5:U15">
    <cfRule type="cellIs" dxfId="1919" priority="1" operator="lessThan">
      <formula>0</formula>
    </cfRule>
  </conditionalFormatting>
  <hyperlinks>
    <hyperlink ref="M1" location="Index!A1" display="→ Index" xr:uid="{D626CDBB-B464-3042-A709-5C17B859DD17}"/>
  </hyperlinks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7DF9-C868-C745-909B-41C958879C6D}">
  <sheetPr codeName="Sheet42"/>
  <dimension ref="A1:AJ355"/>
  <sheetViews>
    <sheetView workbookViewId="0">
      <selection activeCell="U6" sqref="U6"/>
    </sheetView>
  </sheetViews>
  <sheetFormatPr baseColWidth="10" defaultColWidth="10.83203125" defaultRowHeight="16" outlineLevelCol="1" x14ac:dyDescent="0.2"/>
  <cols>
    <col min="1" max="1" width="10.5" bestFit="1" customWidth="1"/>
    <col min="2" max="2" width="9.6640625" bestFit="1" customWidth="1"/>
    <col min="3" max="3" width="10" bestFit="1" customWidth="1"/>
    <col min="4" max="4" width="8.5" bestFit="1" customWidth="1"/>
    <col min="5" max="6" width="11.83203125" bestFit="1" customWidth="1"/>
    <col min="7" max="7" width="9.1640625" customWidth="1"/>
    <col min="8" max="8" width="11.33203125" bestFit="1" customWidth="1"/>
    <col min="9" max="9" width="13.6640625" bestFit="1" customWidth="1"/>
    <col min="10" max="10" width="10.5" bestFit="1" customWidth="1"/>
    <col min="11" max="11" width="16.83203125" customWidth="1"/>
    <col min="12" max="13" width="11.5" bestFit="1" customWidth="1"/>
    <col min="15" max="15" width="12.5" customWidth="1"/>
    <col min="20" max="20" width="11.6640625" customWidth="1"/>
    <col min="21" max="21" width="12.5" customWidth="1"/>
    <col min="22" max="22" width="3" customWidth="1"/>
    <col min="23" max="23" width="11.6640625" customWidth="1"/>
    <col min="24" max="27" width="12.5" customWidth="1"/>
    <col min="29" max="34" width="0" hidden="1" customWidth="1" outlineLevel="1"/>
    <col min="35" max="35" width="10.83203125" collapsed="1"/>
  </cols>
  <sheetData>
    <row r="1" spans="1:36" ht="36" customHeight="1" x14ac:dyDescent="0.2">
      <c r="A1" s="499" t="s">
        <v>2052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  <c r="N1" s="325" t="s">
        <v>2033</v>
      </c>
      <c r="O1" s="277"/>
      <c r="T1" s="157" t="s">
        <v>2164</v>
      </c>
      <c r="AJ1" s="309" t="s">
        <v>2636</v>
      </c>
    </row>
    <row r="2" spans="1:36" ht="7" customHeight="1" thickBot="1" x14ac:dyDescent="0.25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277"/>
      <c r="N2" s="325" t="s">
        <v>2034</v>
      </c>
      <c r="O2" s="342">
        <f>SUM(E6:E85)</f>
        <v>490240</v>
      </c>
      <c r="T2" s="306" t="s">
        <v>2750</v>
      </c>
    </row>
    <row r="3" spans="1:36" x14ac:dyDescent="0.2">
      <c r="A3" s="277"/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307" t="s">
        <v>2027</v>
      </c>
      <c r="M3" s="308" t="s">
        <v>919</v>
      </c>
      <c r="N3" s="325" t="s">
        <v>2035</v>
      </c>
      <c r="O3" s="342">
        <f>SUM(F6:F85)</f>
        <v>489749</v>
      </c>
      <c r="T3" s="309" t="s">
        <v>2165</v>
      </c>
      <c r="W3" s="309" t="s">
        <v>2167</v>
      </c>
    </row>
    <row r="4" spans="1:36" ht="15.75" thickBot="1" x14ac:dyDescent="0.25">
      <c r="A4" s="277"/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310" t="s">
        <v>2028</v>
      </c>
      <c r="M4" s="339">
        <v>0</v>
      </c>
      <c r="N4" s="325" t="s">
        <v>2036</v>
      </c>
      <c r="O4" s="342">
        <f>SUM(G6:G85)</f>
        <v>491</v>
      </c>
      <c r="T4" s="311" t="s">
        <v>2163</v>
      </c>
      <c r="U4" s="311" t="s">
        <v>2166</v>
      </c>
      <c r="W4" s="311" t="s">
        <v>2163</v>
      </c>
      <c r="X4" s="311" t="s">
        <v>2166</v>
      </c>
      <c r="Y4" s="311" t="s">
        <v>2168</v>
      </c>
      <c r="Z4" s="311" t="s">
        <v>2169</v>
      </c>
      <c r="AA4" s="311" t="s">
        <v>2170</v>
      </c>
      <c r="AJ4" s="407" t="s">
        <v>2637</v>
      </c>
    </row>
    <row r="5" spans="1:36" ht="21" x14ac:dyDescent="0.25">
      <c r="A5" s="326" t="s">
        <v>6</v>
      </c>
      <c r="B5" s="326" t="s">
        <v>0</v>
      </c>
      <c r="C5" s="326" t="s">
        <v>1179</v>
      </c>
      <c r="D5" s="326" t="s">
        <v>1180</v>
      </c>
      <c r="E5" s="326" t="s">
        <v>4</v>
      </c>
      <c r="F5" s="326" t="s">
        <v>1181</v>
      </c>
      <c r="G5" s="326" t="s">
        <v>2030</v>
      </c>
      <c r="H5" s="326" t="s">
        <v>2031</v>
      </c>
      <c r="I5" s="326" t="s">
        <v>1182</v>
      </c>
      <c r="J5" s="326" t="s">
        <v>1183</v>
      </c>
      <c r="K5" s="327" t="s">
        <v>2163</v>
      </c>
      <c r="L5" s="327" t="s">
        <v>2032</v>
      </c>
      <c r="M5" s="224">
        <f>DATE(2026,4,1)</f>
        <v>46113</v>
      </c>
      <c r="N5" s="325" t="s">
        <v>2037</v>
      </c>
      <c r="O5" s="342">
        <f>SUM(H6:H85)</f>
        <v>0</v>
      </c>
      <c r="P5" t="s">
        <v>2066</v>
      </c>
      <c r="T5" s="431" t="s">
        <v>2171</v>
      </c>
      <c r="U5" s="350">
        <v>5000</v>
      </c>
      <c r="W5" s="316" t="str">
        <f>IFERROR(INDEX($AC$5:$AC$54,MATCH(ROW()-4,$AH$5:$AH$54,0)),"")</f>
        <v>7663000165</v>
      </c>
      <c r="X5" s="273">
        <f>IF($W5="","",INDEX($AD$5:$AD$54,MATCH(ROW()-4,$AH$5:$AH$54,0)))</f>
        <v>5000</v>
      </c>
      <c r="Y5" s="273">
        <f>IF($W5="","",INDEX($AE$5:$AE$54,MATCH(ROW()-4,$AH$5:$AH$54,0)))</f>
        <v>5000</v>
      </c>
      <c r="Z5" s="273">
        <f>IF($W5="","",INDEX($AF$5:$AF$54,MATCH(ROW()-4,$AH$5:$AH$54,0)))</f>
        <v>0</v>
      </c>
      <c r="AA5" s="316" t="str">
        <f>IF($W5="","",IF($Z5&gt;0,"Pending","Completed"))</f>
        <v>Completed</v>
      </c>
      <c r="AC5" t="str" cm="1">
        <f t="array" ref="AC5">IF(INDEX($T$5:$T$54,ROW()-4)="","",INDEX($T$5:$T$54,ROW()-4))</f>
        <v>7663000165</v>
      </c>
      <c r="AD5">
        <f>IF($AC5="","",N(INDEX($U$5:$U$54,ROW()-4)))</f>
        <v>5000</v>
      </c>
      <c r="AE5">
        <f>IF($AC5="","",SUMIFS($C$6:$C$85,$K$6:$K$85,$AC5))</f>
        <v>5000</v>
      </c>
      <c r="AF5">
        <f>IF($AC5="","",$AD5-$AE5)</f>
        <v>0</v>
      </c>
      <c r="AG5">
        <f>IF($AC5="",0,IF($AF5&gt;0,1,0))</f>
        <v>0</v>
      </c>
      <c r="AH5" cm="1">
        <f t="array" ref="AH5">IF($AC5="","",IF($AG5=1,SUMPRODUCT(($AG$5:$AG$54=1)*($AC$5:$AC$54&gt;$AC5))+1,SUM($AG$5:$AG$54)+SUMPRODUCT(($AG$5:$AG$54=0)*($AC$5:$AC$54&lt;&gt;"")*($AC$5:$AC$54&gt;$AC5))+1))</f>
        <v>1</v>
      </c>
      <c r="AJ5" s="1" t="str" cm="1">
        <f t="array" ref="AJ5">IFERROR(_xlfn._xlws.FILTER($W$5:$W$54,($W$5:$W$54&lt;&gt;"")*($AA$5:$AA$54="Pending")),"")</f>
        <v/>
      </c>
    </row>
    <row r="6" spans="1:36" ht="21" x14ac:dyDescent="0.25">
      <c r="A6" s="226" cm="1">
        <f t="array" ref="A6">IFERROR(INDEX(_xlfn.ANCHORARRAY($P$6),ROW()-5,1),"")</f>
        <v>46157</v>
      </c>
      <c r="B6" s="328" t="str" cm="1">
        <f t="array" ref="B6">IFERROR(INDEX(_xlfn.ANCHORARRAY($P$6),ROW()-5,2),"")</f>
        <v>528</v>
      </c>
      <c r="C6" s="227">
        <f>IF($A6="","",IF($J6="DIESEL",SUMIFS(Table1[Quantity],Table1[Customer],$M$3,Table1[Date],$A6,Table1[Bill No.],$B6),IF($J6="PETROL",SUMIFS(Table14[Quantity],Table14[Customer],$M$3,Table14[Date],$A6,Table14[Bill No.],$B6),IF($J6="XtraGreen",SUMIFS(Table146[Quantity],Table146[Company],$M$3,Table146[Date],$A6,Table146[Bill No.],$B6),""))))</f>
        <v>2000</v>
      </c>
      <c r="D6" s="228">
        <f>IF($A6="","",IF($J6="DIESEL",AVERAGEIFS(Table1[RSP],Table1[Customer],$M$3,Table1[Date],$A6,Table1[Bill No.],$B6),IF($J6="PETROL",AVERAGEIFS(Table14[RSP],Table14[Customer],$M$3,Table14[Date],$A6,Table14[Bill No.],$B6),IF($J6="XtraGreen",AVERAGEIFS(Table146[RSP],Table146[Company],$M$3,Table146[Date],$A6,Table146[Bill No.],$B6),IFERROR($E6/$C6,"")))))</f>
        <v>95.93</v>
      </c>
      <c r="E6" s="338">
        <f>IF($A6="","",IF($J6="DIESEL",SUMIFS(Table1[Amount],Table1[Customer],$M$3,Table1[Date],$A6,Table1[Bill No.],$B6),IF($J6="PETROL",SUMIFS(Table14[Amount],Table14[Customer],$M$3,Table14[Date],$A6,Table14[Bill No.],$B6),IF($J6="XtraGreen",SUMIFS(Table146[Amount],Table146[Company],$M$3,Table146[Date],$A6,Table146[Bill No.],$B6),SUMIFS('Other Sale'!$D:$D,'Other Sale'!$E:$E,$M$3,'Other Sale'!$C:$C,$J6,'Other Sale'!$A:$A,$A6)))))</f>
        <v>191860</v>
      </c>
      <c r="F6" s="338" cm="1">
        <f t="array" ref="F6">IF($A6="","",IF($J6="Payment",IFERROR(INDEX(_xlfn._xlws.FILTER(MasterPaid[Amount Paid],(MasterPaid[Customer]=$M$3)*(MasterPaid[Date]=$A6)),COUNTIFS($A$6:$A6,$A6,$J$6:$J6,"Payment")),0),0))</f>
        <v>0</v>
      </c>
      <c r="G6" s="343"/>
      <c r="H6" s="343"/>
      <c r="I6" s="338">
        <f>IF($A6="","",$M$4+N(E6)-N(F6)-N(G6)-N(H6))</f>
        <v>191860</v>
      </c>
      <c r="J6" s="292" t="str" cm="1">
        <f t="array" ref="J6">IFERROR(INDEX(_xlfn.ANCHORARRAY($P$6),ROW()-5,3),"")</f>
        <v>DIESEL</v>
      </c>
      <c r="K6" s="274" t="s">
        <v>2171</v>
      </c>
      <c r="L6" s="329"/>
      <c r="M6" s="277"/>
      <c r="N6" s="325" t="s">
        <v>2038</v>
      </c>
      <c r="O6" s="342">
        <f>M4+O2-O3-O4-O5</f>
        <v>0</v>
      </c>
      <c r="P6" cm="1">
        <f t="array" ref="P6:R11">_xlfn.LET(_xlpm.cut,$M$5,_xlpm.hd,'HSD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M$3)*(_xlpm.hd&gt;=_xlpm.cut)),_xlfn.HSTACK("x","x","x")),_xlpm.mF,IFERROR(_xlfn._xlws.FILTER(_xlfn.HSTACK(_xlpm.md,_xlpm.mb,IF(_xlpm.md&lt;&gt;"","PETROL","")),(_xlpm.mc=$M$3)*(_xlpm.md&gt;=_xlpm.cut)),_xlfn.HSTACK("x","x","x")),_xlpm.xF,IFERROR(_xlfn._xlws.FILTER(_xlfn.HSTACK(_xlpm.xd,_xlpm.xb,IF(_xlpm.xd&lt;&gt;"","XtraGreen","")),(_xlpm.xc=$M$3)*(_xlpm.xd&gt;=_xlpm.cut)),_xlfn.HSTACK("x","x","x")),_xlpm.pF,IFERROR(_xlfn._xlws.FILTER(_xlfn.HSTACK(_xlpm.pd,IF(_xlpm.pd&lt;&gt;"","",""),IF(_xlpm.pd&lt;&gt;"","Payment","")),(_xlpm.pc=$M$3)*(_xlpm.pd&gt;=_xlpm.cut)),_xlfn.HSTACK("x","x","x")),_xlpm.oF,IFERROR(_xlfn._xlws.FILTER(_xlfn.HSTACK(_xlpm.od,IF(_xlpm.od&lt;&gt;"","",""),_xlpm.op),(_xlpm.oc=$M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46157</v>
      </c>
      <c r="Q6" t="str">
        <v>528</v>
      </c>
      <c r="R6" t="str">
        <v>DIESEL</v>
      </c>
      <c r="T6" s="316"/>
      <c r="U6" s="350"/>
      <c r="W6" s="316" t="str">
        <f t="shared" ref="W6:W54" si="0">IFERROR(INDEX($AC$5:$AC$54,MATCH(ROW()-4,$AH$5:$AH$54,0)),"")</f>
        <v/>
      </c>
      <c r="X6" s="273" t="str">
        <f t="shared" ref="X6:X54" si="1">IF($W6="","",INDEX($AD$5:$AD$54,MATCH(ROW()-4,$AH$5:$AH$54,0)))</f>
        <v/>
      </c>
      <c r="Y6" s="273" t="str">
        <f t="shared" ref="Y6:Y54" si="2">IF($W6="","",INDEX($AE$5:$AE$54,MATCH(ROW()-4,$AH$5:$AH$54,0)))</f>
        <v/>
      </c>
      <c r="Z6" s="273" t="str">
        <f t="shared" ref="Z6:Z54" si="3">IF($W6="","",INDEX($AF$5:$AF$54,MATCH(ROW()-4,$AH$5:$AH$54,0)))</f>
        <v/>
      </c>
      <c r="AA6" s="316" t="str">
        <f t="shared" ref="AA6:AA54" si="4">IF($W6="","",IF($Z6&gt;0,"Pending","Completed"))</f>
        <v/>
      </c>
      <c r="AC6" t="str" cm="1">
        <f t="array" ref="AC6">IF(INDEX($T$5:$T$54,ROW()-4)="","",INDEX($T$5:$T$54,ROW()-4))</f>
        <v/>
      </c>
      <c r="AD6" t="str">
        <f t="shared" ref="AD6:AD54" si="5">IF($AC6="","",N(INDEX($U$5:$U$54,ROW()-4)))</f>
        <v/>
      </c>
      <c r="AE6" t="str">
        <f t="shared" ref="AE6:AE54" si="6">IF($AC6="","",SUMIFS($C$6:$C$85,$K$6:$K$85,$AC6))</f>
        <v/>
      </c>
      <c r="AF6" t="str">
        <f t="shared" ref="AF6:AF54" si="7">IF($AC6="","",$AD6-$AE6)</f>
        <v/>
      </c>
      <c r="AG6">
        <f t="shared" ref="AG6:AG54" si="8">IF($AC6="",0,IF($AF6&gt;0,1,0))</f>
        <v>0</v>
      </c>
      <c r="AH6" t="str" cm="1">
        <f t="array" ref="AH6">IF($AC6="","",IF($AG6=1,SUMPRODUCT(($AG$5:$AG$54=1)*($AC$5:$AC$54&gt;$AC6))+1,SUM($AG$5:$AG$54)+SUMPRODUCT(($AG$5:$AG$54=0)*($AC$5:$AC$54&lt;&gt;"")*($AC$5:$AC$54&gt;$AC6))+1))</f>
        <v/>
      </c>
    </row>
    <row r="7" spans="1:36" ht="21" x14ac:dyDescent="0.25">
      <c r="A7" s="226" cm="1">
        <f t="array" ref="A7">IFERROR(INDEX(_xlfn.ANCHORARRAY($P$6),ROW()-5,1),"")</f>
        <v>46160</v>
      </c>
      <c r="B7" s="328" t="str" cm="1">
        <f t="array" ref="B7">IFERROR(INDEX(_xlfn.ANCHORARRAY($P$6),ROW()-5,2),"")</f>
        <v/>
      </c>
      <c r="C7" s="227" t="str">
        <f>IF($A7="","",IF($J7="DIESEL",SUMIFS(Table1[Quantity],Table1[Customer],$M$3,Table1[Date],$A7,Table1[Bill No.],$B7),IF($J7="PETROL",SUMIFS(Table14[Quantity],Table14[Customer],$M$3,Table14[Date],$A7,Table14[Bill No.],$B7),IF($J7="XtraGreen",SUMIFS(Table146[Quantity],Table146[Company],$M$3,Table146[Date],$A7,Table146[Bill No.],$B7),""))))</f>
        <v/>
      </c>
      <c r="D7" s="228" t="str">
        <f>IF($A7="","",IF($J7="DIESEL",AVERAGEIFS(Table1[RSP],Table1[Customer],$M$3,Table1[Date],$A7,Table1[Bill No.],$B7),IF($J7="PETROL",AVERAGEIFS(Table14[RSP],Table14[Customer],$M$3,Table14[Date],$A7,Table14[Bill No.],$B7),IF($J7="XtraGreen",AVERAGEIFS(Table146[RSP],Table146[Company],$M$3,Table146[Date],$A7,Table146[Bill No.],$B7),IFERROR($E7/$C7,"")))))</f>
        <v/>
      </c>
      <c r="E7" s="338">
        <f>IF($A7="","",IF($J7="DIESEL",SUMIFS(Table1[Amount],Table1[Customer],$M$3,Table1[Date],$A7,Table1[Bill No.],$B7),IF($J7="PETROL",SUMIFS(Table14[Amount],Table14[Customer],$M$3,Table14[Date],$A7,Table14[Bill No.],$B7),IF($J7="XtraGreen",SUMIFS(Table146[Amount],Table146[Company],$M$3,Table146[Date],$A7,Table146[Bill No.],$B7),SUMIFS('Other Sale'!$D:$D,'Other Sale'!$E:$E,$M$3,'Other Sale'!$C:$C,$J7,'Other Sale'!$A:$A,$A7)))))</f>
        <v>0</v>
      </c>
      <c r="F7" s="338" cm="1">
        <f t="array" ref="F7">IF($A7="","",IF($J7="Payment",IFERROR(INDEX(_xlfn._xlws.FILTER(MasterPaid[Amount Paid],(MasterPaid[Customer]=$M$3)*(MasterPaid[Date]=$A7)),COUNTIFS($A$6:$A7,$A7,$J$6:$J7,"Payment")),0),0))</f>
        <v>191668</v>
      </c>
      <c r="G7" s="343">
        <v>192</v>
      </c>
      <c r="H7" s="343"/>
      <c r="I7" s="338">
        <f>IF($A7="","",I6+N(E7)-N(F7)-N(G7)-N(H7))</f>
        <v>0</v>
      </c>
      <c r="J7" s="292" t="str" cm="1">
        <f t="array" ref="J7">IFERROR(INDEX(_xlfn.ANCHORARRAY($P$6),ROW()-5,3),"")</f>
        <v>Payment</v>
      </c>
      <c r="K7" s="274"/>
      <c r="L7" s="329"/>
      <c r="M7" s="277"/>
      <c r="N7" s="277"/>
      <c r="O7" s="277"/>
      <c r="P7">
        <v>46160</v>
      </c>
      <c r="Q7" t="str">
        <v/>
      </c>
      <c r="R7" t="str">
        <v>Payment</v>
      </c>
      <c r="T7" s="316"/>
      <c r="U7" s="350"/>
      <c r="W7" s="316" t="str">
        <f t="shared" si="0"/>
        <v/>
      </c>
      <c r="X7" s="273" t="str">
        <f t="shared" si="1"/>
        <v/>
      </c>
      <c r="Y7" s="273" t="str">
        <f t="shared" si="2"/>
        <v/>
      </c>
      <c r="Z7" s="273" t="str">
        <f t="shared" si="3"/>
        <v/>
      </c>
      <c r="AA7" s="316" t="str">
        <f t="shared" si="4"/>
        <v/>
      </c>
      <c r="AC7" t="str" cm="1">
        <f t="array" ref="AC7">IF(INDEX($T$5:$T$54,ROW()-4)="","",INDEX($T$5:$T$54,ROW()-4))</f>
        <v/>
      </c>
      <c r="AD7" t="str">
        <f t="shared" si="5"/>
        <v/>
      </c>
      <c r="AE7" t="str">
        <f t="shared" si="6"/>
        <v/>
      </c>
      <c r="AF7" t="str">
        <f t="shared" si="7"/>
        <v/>
      </c>
      <c r="AG7">
        <f t="shared" si="8"/>
        <v>0</v>
      </c>
      <c r="AH7" t="str" cm="1">
        <f t="array" ref="AH7">IF($AC7="","",IF($AG7=1,SUMPRODUCT(($AG$5:$AG$54=1)*($AC$5:$AC$54&gt;$AC7))+1,SUM($AG$5:$AG$54)+SUMPRODUCT(($AG$5:$AG$54=0)*($AC$5:$AC$54&lt;&gt;"")*($AC$5:$AC$54&gt;$AC7))+1))</f>
        <v/>
      </c>
    </row>
    <row r="8" spans="1:36" ht="21" x14ac:dyDescent="0.25">
      <c r="A8" s="226" cm="1">
        <f t="array" ref="A8">IFERROR(INDEX(_xlfn.ANCHORARRAY($P$6),ROW()-5,1),"")</f>
        <v>46163</v>
      </c>
      <c r="B8" s="328" t="str" cm="1">
        <f t="array" ref="B8">IFERROR(INDEX(_xlfn.ANCHORARRAY($P$6),ROW()-5,2),"")</f>
        <v>581</v>
      </c>
      <c r="C8" s="227">
        <f>IF($A8="","",IF($J8="DIESEL",SUMIFS(Table1[Quantity],Table1[Customer],$M$3,Table1[Date],$A8,Table1[Bill No.],$B8),IF($J8="PETROL",SUMIFS(Table14[Quantity],Table14[Customer],$M$3,Table14[Date],$A8,Table14[Bill No.],$B8),IF($J8="XtraGreen",SUMIFS(Table146[Quantity],Table146[Company],$M$3,Table146[Date],$A8,Table146[Bill No.],$B8),""))))</f>
        <v>1000</v>
      </c>
      <c r="D8" s="228">
        <f>IF($A8="","",IF($J8="DIESEL",AVERAGEIFS(Table1[RSP],Table1[Customer],$M$3,Table1[Date],$A8,Table1[Bill No.],$B8),IF($J8="PETROL",AVERAGEIFS(Table14[RSP],Table14[Customer],$M$3,Table14[Date],$A8,Table14[Bill No.],$B8),IF($J8="XtraGreen",AVERAGEIFS(Table146[RSP],Table146[Company],$M$3,Table146[Date],$A8,Table146[Bill No.],$B8),IFERROR($E8/$C8,"")))))</f>
        <v>96.9</v>
      </c>
      <c r="E8" s="338">
        <f>IF($A8="","",IF($J8="DIESEL",SUMIFS(Table1[Amount],Table1[Customer],$M$3,Table1[Date],$A8,Table1[Bill No.],$B8),IF($J8="PETROL",SUMIFS(Table14[Amount],Table14[Customer],$M$3,Table14[Date],$A8,Table14[Bill No.],$B8),IF($J8="XtraGreen",SUMIFS(Table146[Amount],Table146[Company],$M$3,Table146[Date],$A8,Table146[Bill No.],$B8),SUMIFS('Other Sale'!$D:$D,'Other Sale'!$E:$E,$M$3,'Other Sale'!$C:$C,$J8,'Other Sale'!$A:$A,$A8)))))</f>
        <v>96900</v>
      </c>
      <c r="F8" s="338" cm="1">
        <f t="array" ref="F8">IF($A8="","",IF($J8="Payment",IFERROR(INDEX(_xlfn._xlws.FILTER(MasterPaid[Amount Paid],(MasterPaid[Customer]=$M$3)*(MasterPaid[Date]=$A8)),COUNTIFS($A$6:$A8,$A8,$J$6:$J8,"Payment")),0),0))</f>
        <v>0</v>
      </c>
      <c r="G8" s="343"/>
      <c r="H8" s="343"/>
      <c r="I8" s="338">
        <f t="shared" ref="I8:I71" si="9">IF($A8="","",I7+N(E8)-N(F8)-N(G8)-N(H8))</f>
        <v>96900</v>
      </c>
      <c r="J8" s="292" t="str" cm="1">
        <f t="array" ref="J8">IFERROR(INDEX(_xlfn.ANCHORARRAY($P$6),ROW()-5,3),"")</f>
        <v>DIESEL</v>
      </c>
      <c r="K8" s="274" t="s">
        <v>2171</v>
      </c>
      <c r="L8" s="329"/>
      <c r="M8" s="277"/>
      <c r="N8" s="277"/>
      <c r="O8" s="277"/>
      <c r="P8">
        <v>46163</v>
      </c>
      <c r="Q8" t="str">
        <v>581</v>
      </c>
      <c r="R8" t="str">
        <v>DIESEL</v>
      </c>
      <c r="T8" s="316"/>
      <c r="U8" s="350"/>
      <c r="W8" s="316" t="str">
        <f t="shared" si="0"/>
        <v/>
      </c>
      <c r="X8" s="273" t="str">
        <f t="shared" si="1"/>
        <v/>
      </c>
      <c r="Y8" s="273" t="str">
        <f t="shared" si="2"/>
        <v/>
      </c>
      <c r="Z8" s="273" t="str">
        <f t="shared" si="3"/>
        <v/>
      </c>
      <c r="AA8" s="316" t="str">
        <f t="shared" si="4"/>
        <v/>
      </c>
      <c r="AC8" t="str" cm="1">
        <f t="array" ref="AC8">IF(INDEX($T$5:$T$54,ROW()-4)="","",INDEX($T$5:$T$54,ROW()-4))</f>
        <v/>
      </c>
      <c r="AD8" t="str">
        <f t="shared" si="5"/>
        <v/>
      </c>
      <c r="AE8" t="str">
        <f t="shared" si="6"/>
        <v/>
      </c>
      <c r="AF8" t="str">
        <f t="shared" si="7"/>
        <v/>
      </c>
      <c r="AG8">
        <f t="shared" si="8"/>
        <v>0</v>
      </c>
      <c r="AH8" t="str" cm="1">
        <f t="array" ref="AH8">IF($AC8="","",IF($AG8=1,SUMPRODUCT(($AG$5:$AG$54=1)*($AC$5:$AC$54&gt;$AC8))+1,SUM($AG$5:$AG$54)+SUMPRODUCT(($AG$5:$AG$54=0)*($AC$5:$AC$54&lt;&gt;"")*($AC$5:$AC$54&gt;$AC8))+1))</f>
        <v/>
      </c>
    </row>
    <row r="9" spans="1:36" ht="21" x14ac:dyDescent="0.25">
      <c r="A9" s="226" cm="1">
        <f t="array" ref="A9">IFERROR(INDEX(_xlfn.ANCHORARRAY($P$6),ROW()-5,1),"")</f>
        <v>46164</v>
      </c>
      <c r="B9" s="328" t="str" cm="1">
        <f t="array" ref="B9">IFERROR(INDEX(_xlfn.ANCHORARRAY($P$6),ROW()-5,2),"")</f>
        <v/>
      </c>
      <c r="C9" s="227" t="str">
        <f>IF($A9="","",IF($J9="DIESEL",SUMIFS(Table1[Quantity],Table1[Customer],$M$3,Table1[Date],$A9,Table1[Bill No.],$B9),IF($J9="PETROL",SUMIFS(Table14[Quantity],Table14[Customer],$M$3,Table14[Date],$A9,Table14[Bill No.],$B9),IF($J9="XtraGreen",SUMIFS(Table146[Quantity],Table146[Company],$M$3,Table146[Date],$A9,Table146[Bill No.],$B9),""))))</f>
        <v/>
      </c>
      <c r="D9" s="228" t="str">
        <f>IF($A9="","",IF($J9="DIESEL",AVERAGEIFS(Table1[RSP],Table1[Customer],$M$3,Table1[Date],$A9,Table1[Bill No.],$B9),IF($J9="PETROL",AVERAGEIFS(Table14[RSP],Table14[Customer],$M$3,Table14[Date],$A9,Table14[Bill No.],$B9),IF($J9="XtraGreen",AVERAGEIFS(Table146[RSP],Table146[Company],$M$3,Table146[Date],$A9,Table146[Bill No.],$B9),IFERROR($E9/$C9,"")))))</f>
        <v/>
      </c>
      <c r="E9" s="338">
        <f>IF($A9="","",IF($J9="DIESEL",SUMIFS(Table1[Amount],Table1[Customer],$M$3,Table1[Date],$A9,Table1[Bill No.],$B9),IF($J9="PETROL",SUMIFS(Table14[Amount],Table14[Customer],$M$3,Table14[Date],$A9,Table14[Bill No.],$B9),IF($J9="XtraGreen",SUMIFS(Table146[Amount],Table146[Company],$M$3,Table146[Date],$A9,Table146[Bill No.],$B9),SUMIFS('Other Sale'!$D:$D,'Other Sale'!$E:$E,$M$3,'Other Sale'!$C:$C,$J9,'Other Sale'!$A:$A,$A9)))))</f>
        <v>0</v>
      </c>
      <c r="F9" s="338" cm="1">
        <f t="array" ref="F9">IF($A9="","",IF($J9="Payment",IFERROR(INDEX(_xlfn._xlws.FILTER(MasterPaid[Amount Paid],(MasterPaid[Customer]=$M$3)*(MasterPaid[Date]=$A9)),COUNTIFS($A$6:$A9,$A9,$J$6:$J9,"Payment")),0),0))</f>
        <v>96803</v>
      </c>
      <c r="G9" s="343">
        <v>97</v>
      </c>
      <c r="H9" s="343"/>
      <c r="I9" s="338">
        <f t="shared" si="9"/>
        <v>0</v>
      </c>
      <c r="J9" s="292" t="str" cm="1">
        <f t="array" ref="J9">IFERROR(INDEX(_xlfn.ANCHORARRAY($P$6),ROW()-5,3),"")</f>
        <v>Payment</v>
      </c>
      <c r="K9" s="274"/>
      <c r="L9" s="329"/>
      <c r="M9" s="277"/>
      <c r="N9" s="277"/>
      <c r="O9" s="277"/>
      <c r="P9">
        <v>46164</v>
      </c>
      <c r="Q9" t="str">
        <v/>
      </c>
      <c r="R9" t="str">
        <v>Payment</v>
      </c>
      <c r="T9" s="316"/>
      <c r="U9" s="350"/>
      <c r="W9" s="316" t="str">
        <f t="shared" si="0"/>
        <v/>
      </c>
      <c r="X9" s="273" t="str">
        <f t="shared" si="1"/>
        <v/>
      </c>
      <c r="Y9" s="273" t="str">
        <f t="shared" si="2"/>
        <v/>
      </c>
      <c r="Z9" s="273" t="str">
        <f t="shared" si="3"/>
        <v/>
      </c>
      <c r="AA9" s="316" t="str">
        <f t="shared" si="4"/>
        <v/>
      </c>
      <c r="AC9" t="str" cm="1">
        <f t="array" ref="AC9">IF(INDEX($T$5:$T$54,ROW()-4)="","",INDEX($T$5:$T$54,ROW()-4))</f>
        <v/>
      </c>
      <c r="AD9" t="str">
        <f t="shared" si="5"/>
        <v/>
      </c>
      <c r="AE9" t="str">
        <f t="shared" si="6"/>
        <v/>
      </c>
      <c r="AF9" t="str">
        <f t="shared" si="7"/>
        <v/>
      </c>
      <c r="AG9">
        <f t="shared" si="8"/>
        <v>0</v>
      </c>
      <c r="AH9" t="str" cm="1">
        <f t="array" ref="AH9">IF($AC9="","",IF($AG9=1,SUMPRODUCT(($AG$5:$AG$54=1)*($AC$5:$AC$54&gt;$AC9))+1,SUM($AG$5:$AG$54)+SUMPRODUCT(($AG$5:$AG$54=0)*($AC$5:$AC$54&lt;&gt;"")*($AC$5:$AC$54&gt;$AC9))+1))</f>
        <v/>
      </c>
    </row>
    <row r="10" spans="1:36" ht="21" x14ac:dyDescent="0.25">
      <c r="A10" s="226" cm="1">
        <f t="array" ref="A10">IFERROR(INDEX(_xlfn.ANCHORARRAY($P$6),ROW()-5,1),"")</f>
        <v>46174</v>
      </c>
      <c r="B10" s="328" t="str" cm="1">
        <f t="array" ref="B10">IFERROR(INDEX(_xlfn.ANCHORARRAY($P$6),ROW()-5,2),"")</f>
        <v/>
      </c>
      <c r="C10" s="227" t="str">
        <f>IF($A10="","",IF($J10="DIESEL",SUMIFS(Table1[Quantity],Table1[Customer],$M$3,Table1[Date],$A10,Table1[Bill No.],$B10),IF($J10="PETROL",SUMIFS(Table14[Quantity],Table14[Customer],$M$3,Table14[Date],$A10,Table14[Bill No.],$B10),IF($J10="XtraGreen",SUMIFS(Table146[Quantity],Table146[Company],$M$3,Table146[Date],$A10,Table146[Bill No.],$B10),""))))</f>
        <v/>
      </c>
      <c r="D10" s="228" t="str">
        <f>IF($A10="","",IF($J10="DIESEL",AVERAGEIFS(Table1[RSP],Table1[Customer],$M$3,Table1[Date],$A10,Table1[Bill No.],$B10),IF($J10="PETROL",AVERAGEIFS(Table14[RSP],Table14[Customer],$M$3,Table14[Date],$A10,Table14[Bill No.],$B10),IF($J10="XtraGreen",AVERAGEIFS(Table146[RSP],Table146[Company],$M$3,Table146[Date],$A10,Table146[Bill No.],$B10),IFERROR($E10/$C10,"")))))</f>
        <v/>
      </c>
      <c r="E10" s="338">
        <f>IF($A10="","",IF($J10="DIESEL",SUMIFS(Table1[Amount],Table1[Customer],$M$3,Table1[Date],$A10,Table1[Bill No.],$B10),IF($J10="PETROL",SUMIFS(Table14[Amount],Table14[Customer],$M$3,Table14[Date],$A10,Table14[Bill No.],$B10),IF($J10="XtraGreen",SUMIFS(Table146[Amount],Table146[Company],$M$3,Table146[Date],$A10,Table146[Bill No.],$B10),SUMIFS('Other Sale'!$D:$D,'Other Sale'!$E:$E,$M$3,'Other Sale'!$C:$C,$J10,'Other Sale'!$A:$A,$A10)))))</f>
        <v>0</v>
      </c>
      <c r="F10" s="338" cm="1">
        <f t="array" ref="F10">IF($A10="","",IF($J10="Payment",IFERROR(INDEX(_xlfn._xlws.FILTER(MasterPaid[Amount Paid],(MasterPaid[Customer]=$M$3)*(MasterPaid[Date]=$A10)),COUNTIFS($A$6:$A10,$A10,$J$6:$J10,"Payment")),0),0))</f>
        <v>201278</v>
      </c>
      <c r="G10" s="343">
        <v>202</v>
      </c>
      <c r="H10" s="343"/>
      <c r="I10" s="338">
        <f t="shared" si="9"/>
        <v>-201480</v>
      </c>
      <c r="J10" s="292" t="str" cm="1">
        <f t="array" ref="J10">IFERROR(INDEX(_xlfn.ANCHORARRAY($P$6),ROW()-5,3),"")</f>
        <v>Payment</v>
      </c>
      <c r="K10" s="274"/>
      <c r="L10" s="329"/>
      <c r="M10" s="277"/>
      <c r="N10" s="277"/>
      <c r="O10" s="277"/>
      <c r="P10">
        <v>46174</v>
      </c>
      <c r="Q10" t="str">
        <v/>
      </c>
      <c r="R10" t="str">
        <v>Payment</v>
      </c>
      <c r="T10" s="316"/>
      <c r="U10" s="350"/>
      <c r="W10" s="316" t="str">
        <f t="shared" si="0"/>
        <v/>
      </c>
      <c r="X10" s="273" t="str">
        <f t="shared" si="1"/>
        <v/>
      </c>
      <c r="Y10" s="273" t="str">
        <f t="shared" si="2"/>
        <v/>
      </c>
      <c r="Z10" s="273" t="str">
        <f t="shared" si="3"/>
        <v/>
      </c>
      <c r="AA10" s="316" t="str">
        <f t="shared" si="4"/>
        <v/>
      </c>
      <c r="AC10" t="str" cm="1">
        <f t="array" ref="AC10">IF(INDEX($T$5:$T$54,ROW()-4)="","",INDEX($T$5:$T$54,ROW()-4))</f>
        <v/>
      </c>
      <c r="AD10" t="str">
        <f t="shared" si="5"/>
        <v/>
      </c>
      <c r="AE10" t="str">
        <f t="shared" si="6"/>
        <v/>
      </c>
      <c r="AF10" t="str">
        <f t="shared" si="7"/>
        <v/>
      </c>
      <c r="AG10">
        <f t="shared" si="8"/>
        <v>0</v>
      </c>
      <c r="AH10" t="str" cm="1">
        <f t="array" ref="AH10">IF($AC10="","",IF($AG10=1,SUMPRODUCT(($AG$5:$AG$54=1)*($AC$5:$AC$54&gt;$AC10))+1,SUM($AG$5:$AG$54)+SUMPRODUCT(($AG$5:$AG$54=0)*($AC$5:$AC$54&lt;&gt;"")*($AC$5:$AC$54&gt;$AC10))+1))</f>
        <v/>
      </c>
    </row>
    <row r="11" spans="1:36" ht="21" x14ac:dyDescent="0.25">
      <c r="A11" s="226" cm="1">
        <f t="array" ref="A11">IFERROR(INDEX(_xlfn.ANCHORARRAY($P$6),ROW()-5,1),"")</f>
        <v>46177</v>
      </c>
      <c r="B11" s="328" t="str" cm="1">
        <f t="array" ref="B11">IFERROR(INDEX(_xlfn.ANCHORARRAY($P$6),ROW()-5,2),"")</f>
        <v>732</v>
      </c>
      <c r="C11" s="227">
        <f>IF($A11="","",IF($J11="DIESEL",SUMIFS(Table1[Quantity],Table1[Customer],$M$3,Table1[Date],$A11,Table1[Bill No.],$B11),IF($J11="PETROL",SUMIFS(Table14[Quantity],Table14[Customer],$M$3,Table14[Date],$A11,Table14[Bill No.],$B11),IF($J11="XtraGreen",SUMIFS(Table146[Quantity],Table146[Company],$M$3,Table146[Date],$A11,Table146[Bill No.],$B11),""))))</f>
        <v>2000</v>
      </c>
      <c r="D11" s="228">
        <f>IF($A11="","",IF($J11="DIESEL",AVERAGEIFS(Table1[RSP],Table1[Customer],$M$3,Table1[Date],$A11,Table1[Bill No.],$B11),IF($J11="PETROL",AVERAGEIFS(Table14[RSP],Table14[Customer],$M$3,Table14[Date],$A11,Table14[Bill No.],$B11),IF($J11="XtraGreen",AVERAGEIFS(Table146[RSP],Table146[Company],$M$3,Table146[Date],$A11,Table146[Bill No.],$B11),IFERROR($E11/$C11,"")))))</f>
        <v>100.74</v>
      </c>
      <c r="E11" s="338">
        <f>IF($A11="","",IF($J11="DIESEL",SUMIFS(Table1[Amount],Table1[Customer],$M$3,Table1[Date],$A11,Table1[Bill No.],$B11),IF($J11="PETROL",SUMIFS(Table14[Amount],Table14[Customer],$M$3,Table14[Date],$A11,Table14[Bill No.],$B11),IF($J11="XtraGreen",SUMIFS(Table146[Amount],Table146[Company],$M$3,Table146[Date],$A11,Table146[Bill No.],$B11),SUMIFS('Other Sale'!$D:$D,'Other Sale'!$E:$E,$M$3,'Other Sale'!$C:$C,$J11,'Other Sale'!$A:$A,$A11)))))</f>
        <v>201480</v>
      </c>
      <c r="F11" s="338" cm="1">
        <f t="array" ref="F11">IF($A11="","",IF($J11="Payment",IFERROR(INDEX(_xlfn._xlws.FILTER(MasterPaid[Amount Paid],(MasterPaid[Customer]=$M$3)*(MasterPaid[Date]=$A11)),COUNTIFS($A$6:$A11,$A11,$J$6:$J11,"Payment")),0),0))</f>
        <v>0</v>
      </c>
      <c r="G11" s="343"/>
      <c r="H11" s="343"/>
      <c r="I11" s="338">
        <f t="shared" si="9"/>
        <v>0</v>
      </c>
      <c r="J11" s="292" t="str" cm="1">
        <f t="array" ref="J11">IFERROR(INDEX(_xlfn.ANCHORARRAY($P$6),ROW()-5,3),"")</f>
        <v>DIESEL</v>
      </c>
      <c r="K11" s="274" t="s">
        <v>2171</v>
      </c>
      <c r="L11" s="329"/>
      <c r="M11" s="277"/>
      <c r="N11" s="277"/>
      <c r="O11" s="277"/>
      <c r="P11">
        <v>46177</v>
      </c>
      <c r="Q11" t="str">
        <v>732</v>
      </c>
      <c r="R11" t="str">
        <v>DIESEL</v>
      </c>
      <c r="T11" s="316"/>
      <c r="U11" s="350"/>
      <c r="W11" s="316" t="str">
        <f t="shared" si="0"/>
        <v/>
      </c>
      <c r="X11" s="273" t="str">
        <f t="shared" si="1"/>
        <v/>
      </c>
      <c r="Y11" s="273" t="str">
        <f t="shared" si="2"/>
        <v/>
      </c>
      <c r="Z11" s="273" t="str">
        <f t="shared" si="3"/>
        <v/>
      </c>
      <c r="AA11" s="316" t="str">
        <f t="shared" si="4"/>
        <v/>
      </c>
      <c r="AC11" t="str" cm="1">
        <f t="array" ref="AC11">IF(INDEX($T$5:$T$54,ROW()-4)="","",INDEX($T$5:$T$54,ROW()-4))</f>
        <v/>
      </c>
      <c r="AD11" t="str">
        <f t="shared" si="5"/>
        <v/>
      </c>
      <c r="AE11" t="str">
        <f t="shared" si="6"/>
        <v/>
      </c>
      <c r="AF11" t="str">
        <f t="shared" si="7"/>
        <v/>
      </c>
      <c r="AG11">
        <f t="shared" si="8"/>
        <v>0</v>
      </c>
      <c r="AH11" t="str" cm="1">
        <f t="array" ref="AH11">IF($AC11="","",IF($AG11=1,SUMPRODUCT(($AG$5:$AG$54=1)*($AC$5:$AC$54&gt;$AC11))+1,SUM($AG$5:$AG$54)+SUMPRODUCT(($AG$5:$AG$54=0)*($AC$5:$AC$54&lt;&gt;"")*($AC$5:$AC$54&gt;$AC11))+1))</f>
        <v/>
      </c>
    </row>
    <row r="12" spans="1:36" ht="21" x14ac:dyDescent="0.25">
      <c r="A12" s="226" t="str" cm="1">
        <f t="array" ref="A12">IFERROR(INDEX(_xlfn.ANCHORARRAY($P$6),ROW()-5,1),"")</f>
        <v/>
      </c>
      <c r="B12" s="328" t="str" cm="1">
        <f t="array" ref="B12">IFERROR(INDEX(_xlfn.ANCHORARRAY($P$6),ROW()-5,2),"")</f>
        <v/>
      </c>
      <c r="C12" s="227" t="str">
        <f>IF($A12="","",IF($J12="DIESEL",SUMIFS(Table1[Quantity],Table1[Customer],$M$3,Table1[Date],$A12,Table1[Bill No.],$B12),IF($J12="PETROL",SUMIFS(Table14[Quantity],Table14[Customer],$M$3,Table14[Date],$A12,Table14[Bill No.],$B12),IF($J12="XtraGreen",SUMIFS(Table146[Quantity],Table146[Company],$M$3,Table146[Date],$A12,Table146[Bill No.],$B12),""))))</f>
        <v/>
      </c>
      <c r="D12" s="228" t="str">
        <f>IF($A12="","",IF($J12="DIESEL",AVERAGEIFS(Table1[RSP],Table1[Customer],$M$3,Table1[Date],$A12,Table1[Bill No.],$B12),IF($J12="PETROL",AVERAGEIFS(Table14[RSP],Table14[Customer],$M$3,Table14[Date],$A12,Table14[Bill No.],$B12),IF($J12="XtraGreen",AVERAGEIFS(Table146[RSP],Table146[Company],$M$3,Table146[Date],$A12,Table146[Bill No.],$B12),IFERROR($E12/$C12,"")))))</f>
        <v/>
      </c>
      <c r="E12" s="338" t="str">
        <f>IF($A12="","",IF($J12="DIESEL",SUMIFS(Table1[Amount],Table1[Customer],$M$3,Table1[Date],$A12,Table1[Bill No.],$B12),IF($J12="PETROL",SUMIFS(Table14[Amount],Table14[Customer],$M$3,Table14[Date],$A12,Table14[Bill No.],$B12),IF($J12="XtraGreen",SUMIFS(Table146[Amount],Table146[Company],$M$3,Table146[Date],$A12,Table146[Bill No.],$B12),SUMIFS('Other Sale'!$D:$D,'Other Sale'!$E:$E,$M$3,'Other Sale'!$C:$C,$J12,'Other Sale'!$A:$A,$A12)))))</f>
        <v/>
      </c>
      <c r="F12" s="338" t="str" cm="1">
        <f t="array" ref="F12">IF($A12="","",IF($J12="Payment",IFERROR(INDEX(_xlfn._xlws.FILTER(MasterPaid[Amount Paid],(MasterPaid[Customer]=$M$3)*(MasterPaid[Date]=$A12)),COUNTIFS($A$6:$A12,$A12,$J$6:$J12,"Payment")),0),0))</f>
        <v/>
      </c>
      <c r="G12" s="343"/>
      <c r="H12" s="343"/>
      <c r="I12" s="338" t="str">
        <f t="shared" si="9"/>
        <v/>
      </c>
      <c r="J12" s="292" t="str" cm="1">
        <f t="array" ref="J12">IFERROR(INDEX(_xlfn.ANCHORARRAY($P$6),ROW()-5,3),"")</f>
        <v/>
      </c>
      <c r="K12" s="433" t="str" cm="1">
        <f t="array" ref="K12">IF(OR($A12="",$J12&lt;&gt;"DIESEL"),"",_xlfn.LET(_xlpm.qty,N($C12),_xlpm.pos,$T$5:$T$54,_xlpm.alo,IF($U$5:$U$54="",0,$U$5:$U$54),_xlpm.usd,SUMIFS($C$6:$C11,$K$6:$K11,_xlpm.pos&amp;""),_xlpm.bal,_xlpm.alo-_xlpm.usd,IFERROR(INDEX(_xlfn._xlws.FILTER(_xlpm.pos,(_xlpm.pos&lt;&gt;"")*(_xlpm.qty&gt;0)*(_xlpm.bal&gt;=_xlpm.qty)),1),"")))</f>
        <v/>
      </c>
      <c r="L12" s="329"/>
      <c r="M12" s="277"/>
      <c r="N12" s="277"/>
      <c r="O12" s="277"/>
      <c r="T12" s="316"/>
      <c r="U12" s="350"/>
      <c r="W12" s="316" t="str">
        <f t="shared" si="0"/>
        <v/>
      </c>
      <c r="X12" s="273" t="str">
        <f t="shared" si="1"/>
        <v/>
      </c>
      <c r="Y12" s="273" t="str">
        <f t="shared" si="2"/>
        <v/>
      </c>
      <c r="Z12" s="273" t="str">
        <f t="shared" si="3"/>
        <v/>
      </c>
      <c r="AA12" s="316" t="str">
        <f t="shared" si="4"/>
        <v/>
      </c>
      <c r="AC12" t="str" cm="1">
        <f t="array" ref="AC12">IF(INDEX($T$5:$T$54,ROW()-4)="","",INDEX($T$5:$T$54,ROW()-4))</f>
        <v/>
      </c>
      <c r="AD12" t="str">
        <f t="shared" si="5"/>
        <v/>
      </c>
      <c r="AE12" t="str">
        <f t="shared" si="6"/>
        <v/>
      </c>
      <c r="AF12" t="str">
        <f t="shared" si="7"/>
        <v/>
      </c>
      <c r="AG12">
        <f t="shared" si="8"/>
        <v>0</v>
      </c>
      <c r="AH12" t="str" cm="1">
        <f t="array" ref="AH12">IF($AC12="","",IF($AG12=1,SUMPRODUCT(($AG$5:$AG$54=1)*($AC$5:$AC$54&gt;$AC12))+1,SUM($AG$5:$AG$54)+SUMPRODUCT(($AG$5:$AG$54=0)*($AC$5:$AC$54&lt;&gt;"")*($AC$5:$AC$54&gt;$AC12))+1))</f>
        <v/>
      </c>
    </row>
    <row r="13" spans="1:36" ht="21" x14ac:dyDescent="0.25">
      <c r="A13" s="226" t="str" cm="1">
        <f t="array" ref="A13">IFERROR(INDEX(_xlfn.ANCHORARRAY($P$6),ROW()-5,1),"")</f>
        <v/>
      </c>
      <c r="B13" s="328" t="str" cm="1">
        <f t="array" ref="B13">IFERROR(INDEX(_xlfn.ANCHORARRAY($P$6),ROW()-5,2),"")</f>
        <v/>
      </c>
      <c r="C13" s="227" t="str">
        <f>IF($A13="","",IF($J13="DIESEL",SUMIFS(Table1[Quantity],Table1[Customer],$M$3,Table1[Date],$A13,Table1[Bill No.],$B13),IF($J13="PETROL",SUMIFS(Table14[Quantity],Table14[Customer],$M$3,Table14[Date],$A13,Table14[Bill No.],$B13),IF($J13="XtraGreen",SUMIFS(Table146[Quantity],Table146[Company],$M$3,Table146[Date],$A13,Table146[Bill No.],$B13),""))))</f>
        <v/>
      </c>
      <c r="D13" s="228" t="str">
        <f>IF($A13="","",IF($J13="DIESEL",AVERAGEIFS(Table1[RSP],Table1[Customer],$M$3,Table1[Date],$A13,Table1[Bill No.],$B13),IF($J13="PETROL",AVERAGEIFS(Table14[RSP],Table14[Customer],$M$3,Table14[Date],$A13,Table14[Bill No.],$B13),IF($J13="XtraGreen",AVERAGEIFS(Table146[RSP],Table146[Company],$M$3,Table146[Date],$A13,Table146[Bill No.],$B13),IFERROR($E13/$C13,"")))))</f>
        <v/>
      </c>
      <c r="E13" s="338" t="str">
        <f>IF($A13="","",IF($J13="DIESEL",SUMIFS(Table1[Amount],Table1[Customer],$M$3,Table1[Date],$A13,Table1[Bill No.],$B13),IF($J13="PETROL",SUMIFS(Table14[Amount],Table14[Customer],$M$3,Table14[Date],$A13,Table14[Bill No.],$B13),IF($J13="XtraGreen",SUMIFS(Table146[Amount],Table146[Company],$M$3,Table146[Date],$A13,Table146[Bill No.],$B13),SUMIFS('Other Sale'!$D:$D,'Other Sale'!$E:$E,$M$3,'Other Sale'!$C:$C,$J13,'Other Sale'!$A:$A,$A13)))))</f>
        <v/>
      </c>
      <c r="F13" s="338" t="str" cm="1">
        <f t="array" ref="F13">IF($A13="","",IF($J13="Payment",IFERROR(INDEX(_xlfn._xlws.FILTER(MasterPaid[Amount Paid],(MasterPaid[Customer]=$M$3)*(MasterPaid[Date]=$A13)),COUNTIFS($A$6:$A13,$A13,$J$6:$J13,"Payment")),0),0))</f>
        <v/>
      </c>
      <c r="G13" s="343"/>
      <c r="H13" s="343"/>
      <c r="I13" s="338" t="str">
        <f t="shared" si="9"/>
        <v/>
      </c>
      <c r="J13" s="292" t="str" cm="1">
        <f t="array" ref="J13">IFERROR(INDEX(_xlfn.ANCHORARRAY($P$6),ROW()-5,3),"")</f>
        <v/>
      </c>
      <c r="K13" s="433" t="str" cm="1">
        <f t="array" ref="K13">IF(OR($A13="",$J13&lt;&gt;"DIESEL"),"",_xlfn.LET(_xlpm.qty,N($C13),_xlpm.pos,$T$5:$T$54,_xlpm.alo,IF($U$5:$U$54="",0,$U$5:$U$54),_xlpm.usd,SUMIFS($C$6:$C12,$K$6:$K12,_xlpm.pos&amp;""),_xlpm.bal,_xlpm.alo-_xlpm.usd,IFERROR(INDEX(_xlfn._xlws.FILTER(_xlpm.pos,(_xlpm.pos&lt;&gt;"")*(_xlpm.qty&gt;0)*(_xlpm.bal&gt;=_xlpm.qty)),1),"")))</f>
        <v/>
      </c>
      <c r="L13" s="329"/>
      <c r="M13" s="277"/>
      <c r="N13" s="277"/>
      <c r="O13" s="277"/>
      <c r="T13" s="316"/>
      <c r="U13" s="350"/>
      <c r="W13" s="316" t="str">
        <f t="shared" si="0"/>
        <v/>
      </c>
      <c r="X13" s="273" t="str">
        <f t="shared" si="1"/>
        <v/>
      </c>
      <c r="Y13" s="273" t="str">
        <f t="shared" si="2"/>
        <v/>
      </c>
      <c r="Z13" s="273" t="str">
        <f t="shared" si="3"/>
        <v/>
      </c>
      <c r="AA13" s="316" t="str">
        <f t="shared" si="4"/>
        <v/>
      </c>
      <c r="AC13" t="str" cm="1">
        <f t="array" ref="AC13">IF(INDEX($T$5:$T$54,ROW()-4)="","",INDEX($T$5:$T$54,ROW()-4))</f>
        <v/>
      </c>
      <c r="AD13" t="str">
        <f t="shared" si="5"/>
        <v/>
      </c>
      <c r="AE13" t="str">
        <f t="shared" si="6"/>
        <v/>
      </c>
      <c r="AF13" t="str">
        <f t="shared" si="7"/>
        <v/>
      </c>
      <c r="AG13">
        <f t="shared" si="8"/>
        <v>0</v>
      </c>
      <c r="AH13" t="str" cm="1">
        <f t="array" ref="AH13">IF($AC13="","",IF($AG13=1,SUMPRODUCT(($AG$5:$AG$54=1)*($AC$5:$AC$54&gt;$AC13))+1,SUM($AG$5:$AG$54)+SUMPRODUCT(($AG$5:$AG$54=0)*($AC$5:$AC$54&lt;&gt;"")*($AC$5:$AC$54&gt;$AC13))+1))</f>
        <v/>
      </c>
    </row>
    <row r="14" spans="1:36" ht="21" x14ac:dyDescent="0.25">
      <c r="A14" s="226" t="str" cm="1">
        <f t="array" ref="A14">IFERROR(INDEX(_xlfn.ANCHORARRAY($P$6),ROW()-5,1),"")</f>
        <v/>
      </c>
      <c r="B14" s="328" t="str" cm="1">
        <f t="array" ref="B14">IFERROR(INDEX(_xlfn.ANCHORARRAY($P$6),ROW()-5,2),"")</f>
        <v/>
      </c>
      <c r="C14" s="227" t="str">
        <f>IF($A14="","",IF($J14="DIESEL",SUMIFS(Table1[Quantity],Table1[Customer],$M$3,Table1[Date],$A14,Table1[Bill No.],$B14),IF($J14="PETROL",SUMIFS(Table14[Quantity],Table14[Customer],$M$3,Table14[Date],$A14,Table14[Bill No.],$B14),IF($J14="XtraGreen",SUMIFS(Table146[Quantity],Table146[Company],$M$3,Table146[Date],$A14,Table146[Bill No.],$B14),""))))</f>
        <v/>
      </c>
      <c r="D14" s="228" t="str">
        <f>IF($A14="","",IF($J14="DIESEL",AVERAGEIFS(Table1[RSP],Table1[Customer],$M$3,Table1[Date],$A14,Table1[Bill No.],$B14),IF($J14="PETROL",AVERAGEIFS(Table14[RSP],Table14[Customer],$M$3,Table14[Date],$A14,Table14[Bill No.],$B14),IF($J14="XtraGreen",AVERAGEIFS(Table146[RSP],Table146[Company],$M$3,Table146[Date],$A14,Table146[Bill No.],$B14),IFERROR($E14/$C14,"")))))</f>
        <v/>
      </c>
      <c r="E14" s="338" t="str">
        <f>IF($A14="","",IF($J14="DIESEL",SUMIFS(Table1[Amount],Table1[Customer],$M$3,Table1[Date],$A14,Table1[Bill No.],$B14),IF($J14="PETROL",SUMIFS(Table14[Amount],Table14[Customer],$M$3,Table14[Date],$A14,Table14[Bill No.],$B14),IF($J14="XtraGreen",SUMIFS(Table146[Amount],Table146[Company],$M$3,Table146[Date],$A14,Table146[Bill No.],$B14),SUMIFS('Other Sale'!$D:$D,'Other Sale'!$E:$E,$M$3,'Other Sale'!$C:$C,$J14,'Other Sale'!$A:$A,$A14)))))</f>
        <v/>
      </c>
      <c r="F14" s="338" t="str" cm="1">
        <f t="array" ref="F14">IF($A14="","",IF($J14="Payment",IFERROR(INDEX(_xlfn._xlws.FILTER(MasterPaid[Amount Paid],(MasterPaid[Customer]=$M$3)*(MasterPaid[Date]=$A14)),COUNTIFS($A$6:$A14,$A14,$J$6:$J14,"Payment")),0),0))</f>
        <v/>
      </c>
      <c r="G14" s="343"/>
      <c r="H14" s="343"/>
      <c r="I14" s="338" t="str">
        <f t="shared" si="9"/>
        <v/>
      </c>
      <c r="J14" s="292" t="str" cm="1">
        <f t="array" ref="J14">IFERROR(INDEX(_xlfn.ANCHORARRAY($P$6),ROW()-5,3),"")</f>
        <v/>
      </c>
      <c r="K14" s="433" t="str" cm="1">
        <f t="array" ref="K14">IF(OR($A14="",$J14&lt;&gt;"DIESEL"),"",_xlfn.LET(_xlpm.qty,N($C14),_xlpm.pos,$T$5:$T$54,_xlpm.alo,IF($U$5:$U$54="",0,$U$5:$U$54),_xlpm.usd,SUMIFS($C$6:$C13,$K$6:$K13,_xlpm.pos&amp;""),_xlpm.bal,_xlpm.alo-_xlpm.usd,IFERROR(INDEX(_xlfn._xlws.FILTER(_xlpm.pos,(_xlpm.pos&lt;&gt;"")*(_xlpm.qty&gt;0)*(_xlpm.bal&gt;=_xlpm.qty)),1),"")))</f>
        <v/>
      </c>
      <c r="L14" s="329"/>
      <c r="M14" s="277"/>
      <c r="N14" s="277"/>
      <c r="O14" s="277"/>
      <c r="T14" s="316"/>
      <c r="U14" s="350"/>
      <c r="W14" s="316" t="str">
        <f t="shared" si="0"/>
        <v/>
      </c>
      <c r="X14" s="273" t="str">
        <f t="shared" si="1"/>
        <v/>
      </c>
      <c r="Y14" s="273" t="str">
        <f t="shared" si="2"/>
        <v/>
      </c>
      <c r="Z14" s="273" t="str">
        <f t="shared" si="3"/>
        <v/>
      </c>
      <c r="AA14" s="316" t="str">
        <f t="shared" si="4"/>
        <v/>
      </c>
      <c r="AC14" t="str" cm="1">
        <f t="array" ref="AC14">IF(INDEX($T$5:$T$54,ROW()-4)="","",INDEX($T$5:$T$54,ROW()-4))</f>
        <v/>
      </c>
      <c r="AD14" t="str">
        <f t="shared" si="5"/>
        <v/>
      </c>
      <c r="AE14" t="str">
        <f t="shared" si="6"/>
        <v/>
      </c>
      <c r="AF14" t="str">
        <f t="shared" si="7"/>
        <v/>
      </c>
      <c r="AG14">
        <f t="shared" si="8"/>
        <v>0</v>
      </c>
      <c r="AH14" t="str" cm="1">
        <f t="array" ref="AH14">IF($AC14="","",IF($AG14=1,SUMPRODUCT(($AG$5:$AG$54=1)*($AC$5:$AC$54&gt;$AC14))+1,SUM($AG$5:$AG$54)+SUMPRODUCT(($AG$5:$AG$54=0)*($AC$5:$AC$54&lt;&gt;"")*($AC$5:$AC$54&gt;$AC14))+1))</f>
        <v/>
      </c>
    </row>
    <row r="15" spans="1:36" ht="21" x14ac:dyDescent="0.25">
      <c r="A15" s="226" t="str" cm="1">
        <f t="array" ref="A15">IFERROR(INDEX(_xlfn.ANCHORARRAY($P$6),ROW()-5,1),"")</f>
        <v/>
      </c>
      <c r="B15" s="328" t="str" cm="1">
        <f t="array" ref="B15">IFERROR(INDEX(_xlfn.ANCHORARRAY($P$6),ROW()-5,2),"")</f>
        <v/>
      </c>
      <c r="C15" s="227" t="str">
        <f>IF($A15="","",IF($J15="DIESEL",SUMIFS(Table1[Quantity],Table1[Customer],$M$3,Table1[Date],$A15,Table1[Bill No.],$B15),IF($J15="PETROL",SUMIFS(Table14[Quantity],Table14[Customer],$M$3,Table14[Date],$A15,Table14[Bill No.],$B15),IF($J15="XtraGreen",SUMIFS(Table146[Quantity],Table146[Company],$M$3,Table146[Date],$A15,Table146[Bill No.],$B15),""))))</f>
        <v/>
      </c>
      <c r="D15" s="228" t="str">
        <f>IF($A15="","",IF($J15="DIESEL",AVERAGEIFS(Table1[RSP],Table1[Customer],$M$3,Table1[Date],$A15,Table1[Bill No.],$B15),IF($J15="PETROL",AVERAGEIFS(Table14[RSP],Table14[Customer],$M$3,Table14[Date],$A15,Table14[Bill No.],$B15),IF($J15="XtraGreen",AVERAGEIFS(Table146[RSP],Table146[Company],$M$3,Table146[Date],$A15,Table146[Bill No.],$B15),IFERROR($E15/$C15,"")))))</f>
        <v/>
      </c>
      <c r="E15" s="338" t="str">
        <f>IF($A15="","",IF($J15="DIESEL",SUMIFS(Table1[Amount],Table1[Customer],$M$3,Table1[Date],$A15,Table1[Bill No.],$B15),IF($J15="PETROL",SUMIFS(Table14[Amount],Table14[Customer],$M$3,Table14[Date],$A15,Table14[Bill No.],$B15),IF($J15="XtraGreen",SUMIFS(Table146[Amount],Table146[Company],$M$3,Table146[Date],$A15,Table146[Bill No.],$B15),SUMIFS('Other Sale'!$D:$D,'Other Sale'!$E:$E,$M$3,'Other Sale'!$C:$C,$J15,'Other Sale'!$A:$A,$A15)))))</f>
        <v/>
      </c>
      <c r="F15" s="338" t="str" cm="1">
        <f t="array" ref="F15">IF($A15="","",IF($J15="Payment",IFERROR(INDEX(_xlfn._xlws.FILTER(MasterPaid[Amount Paid],(MasterPaid[Customer]=$M$3)*(MasterPaid[Date]=$A15)),COUNTIFS($A$6:$A15,$A15,$J$6:$J15,"Payment")),0),0))</f>
        <v/>
      </c>
      <c r="G15" s="343"/>
      <c r="H15" s="343"/>
      <c r="I15" s="338" t="str">
        <f t="shared" si="9"/>
        <v/>
      </c>
      <c r="J15" s="292" t="str" cm="1">
        <f t="array" ref="J15">IFERROR(INDEX(_xlfn.ANCHORARRAY($P$6),ROW()-5,3),"")</f>
        <v/>
      </c>
      <c r="K15" s="433" t="str" cm="1">
        <f t="array" ref="K15">IF(OR($A15="",$J15&lt;&gt;"DIESEL"),"",_xlfn.LET(_xlpm.qty,N($C15),_xlpm.pos,$T$5:$T$54,_xlpm.alo,IF($U$5:$U$54="",0,$U$5:$U$54),_xlpm.usd,SUMIFS($C$6:$C14,$K$6:$K14,_xlpm.pos&amp;""),_xlpm.bal,_xlpm.alo-_xlpm.usd,IFERROR(INDEX(_xlfn._xlws.FILTER(_xlpm.pos,(_xlpm.pos&lt;&gt;"")*(_xlpm.qty&gt;0)*(_xlpm.bal&gt;=_xlpm.qty)),1),"")))</f>
        <v/>
      </c>
      <c r="L15" s="329"/>
      <c r="M15" s="277"/>
      <c r="N15" s="277"/>
      <c r="O15" s="277"/>
      <c r="T15" s="316"/>
      <c r="U15" s="350"/>
      <c r="W15" s="316" t="str">
        <f t="shared" si="0"/>
        <v/>
      </c>
      <c r="X15" s="273" t="str">
        <f t="shared" si="1"/>
        <v/>
      </c>
      <c r="Y15" s="273" t="str">
        <f t="shared" si="2"/>
        <v/>
      </c>
      <c r="Z15" s="273" t="str">
        <f t="shared" si="3"/>
        <v/>
      </c>
      <c r="AA15" s="316" t="str">
        <f t="shared" si="4"/>
        <v/>
      </c>
      <c r="AC15" t="str" cm="1">
        <f t="array" ref="AC15">IF(INDEX($T$5:$T$54,ROW()-4)="","",INDEX($T$5:$T$54,ROW()-4))</f>
        <v/>
      </c>
      <c r="AD15" t="str">
        <f t="shared" si="5"/>
        <v/>
      </c>
      <c r="AE15" t="str">
        <f t="shared" si="6"/>
        <v/>
      </c>
      <c r="AF15" t="str">
        <f t="shared" si="7"/>
        <v/>
      </c>
      <c r="AG15">
        <f t="shared" si="8"/>
        <v>0</v>
      </c>
      <c r="AH15" t="str" cm="1">
        <f t="array" ref="AH15">IF($AC15="","",IF($AG15=1,SUMPRODUCT(($AG$5:$AG$54=1)*($AC$5:$AC$54&gt;$AC15))+1,SUM($AG$5:$AG$54)+SUMPRODUCT(($AG$5:$AG$54=0)*($AC$5:$AC$54&lt;&gt;"")*($AC$5:$AC$54&gt;$AC15))+1))</f>
        <v/>
      </c>
    </row>
    <row r="16" spans="1:36" ht="21" x14ac:dyDescent="0.25">
      <c r="A16" s="226" t="str" cm="1">
        <f t="array" ref="A16">IFERROR(INDEX(_xlfn.ANCHORARRAY($P$6),ROW()-5,1),"")</f>
        <v/>
      </c>
      <c r="B16" s="328" t="str" cm="1">
        <f t="array" ref="B16">IFERROR(INDEX(_xlfn.ANCHORARRAY($P$6),ROW()-5,2),"")</f>
        <v/>
      </c>
      <c r="C16" s="227" t="str">
        <f>IF($A16="","",IF($J16="DIESEL",SUMIFS(Table1[Quantity],Table1[Customer],$M$3,Table1[Date],$A16,Table1[Bill No.],$B16),IF($J16="PETROL",SUMIFS(Table14[Quantity],Table14[Customer],$M$3,Table14[Date],$A16,Table14[Bill No.],$B16),IF($J16="XtraGreen",SUMIFS(Table146[Quantity],Table146[Company],$M$3,Table146[Date],$A16,Table146[Bill No.],$B16),""))))</f>
        <v/>
      </c>
      <c r="D16" s="228" t="str">
        <f>IF($A16="","",IF($J16="DIESEL",AVERAGEIFS(Table1[RSP],Table1[Customer],$M$3,Table1[Date],$A16,Table1[Bill No.],$B16),IF($J16="PETROL",AVERAGEIFS(Table14[RSP],Table14[Customer],$M$3,Table14[Date],$A16,Table14[Bill No.],$B16),IF($J16="XtraGreen",AVERAGEIFS(Table146[RSP],Table146[Company],$M$3,Table146[Date],$A16,Table146[Bill No.],$B16),IFERROR($E16/$C16,"")))))</f>
        <v/>
      </c>
      <c r="E16" s="338" t="str">
        <f>IF($A16="","",IF($J16="DIESEL",SUMIFS(Table1[Amount],Table1[Customer],$M$3,Table1[Date],$A16,Table1[Bill No.],$B16),IF($J16="PETROL",SUMIFS(Table14[Amount],Table14[Customer],$M$3,Table14[Date],$A16,Table14[Bill No.],$B16),IF($J16="XtraGreen",SUMIFS(Table146[Amount],Table146[Company],$M$3,Table146[Date],$A16,Table146[Bill No.],$B16),SUMIFS('Other Sale'!$D:$D,'Other Sale'!$E:$E,$M$3,'Other Sale'!$C:$C,$J16,'Other Sale'!$A:$A,$A16)))))</f>
        <v/>
      </c>
      <c r="F16" s="338" t="str" cm="1">
        <f t="array" ref="F16">IF($A16="","",IF($J16="Payment",IFERROR(INDEX(_xlfn._xlws.FILTER(MasterPaid[Amount Paid],(MasterPaid[Customer]=$M$3)*(MasterPaid[Date]=$A16)),COUNTIFS($A$6:$A16,$A16,$J$6:$J16,"Payment")),0),0))</f>
        <v/>
      </c>
      <c r="G16" s="343"/>
      <c r="H16" s="343"/>
      <c r="I16" s="338" t="str">
        <f t="shared" si="9"/>
        <v/>
      </c>
      <c r="J16" s="292" t="str" cm="1">
        <f t="array" ref="J16">IFERROR(INDEX(_xlfn.ANCHORARRAY($P$6),ROW()-5,3),"")</f>
        <v/>
      </c>
      <c r="K16" s="433" t="str" cm="1">
        <f t="array" ref="K16">IF(OR($A16="",$J16&lt;&gt;"DIESEL"),"",_xlfn.LET(_xlpm.qty,N($C16),_xlpm.pos,$T$5:$T$54,_xlpm.alo,IF($U$5:$U$54="",0,$U$5:$U$54),_xlpm.usd,SUMIFS($C$6:$C15,$K$6:$K15,_xlpm.pos&amp;""),_xlpm.bal,_xlpm.alo-_xlpm.usd,IFERROR(INDEX(_xlfn._xlws.FILTER(_xlpm.pos,(_xlpm.pos&lt;&gt;"")*(_xlpm.qty&gt;0)*(_xlpm.bal&gt;=_xlpm.qty)),1),"")))</f>
        <v/>
      </c>
      <c r="L16" s="329"/>
      <c r="M16" s="277"/>
      <c r="N16" s="277"/>
      <c r="O16" s="277"/>
      <c r="T16" s="316"/>
      <c r="U16" s="350"/>
      <c r="W16" s="316" t="str">
        <f t="shared" si="0"/>
        <v/>
      </c>
      <c r="X16" s="273" t="str">
        <f t="shared" si="1"/>
        <v/>
      </c>
      <c r="Y16" s="273" t="str">
        <f t="shared" si="2"/>
        <v/>
      </c>
      <c r="Z16" s="273" t="str">
        <f t="shared" si="3"/>
        <v/>
      </c>
      <c r="AA16" s="316" t="str">
        <f t="shared" si="4"/>
        <v/>
      </c>
      <c r="AC16" t="str" cm="1">
        <f t="array" ref="AC16">IF(INDEX($T$5:$T$54,ROW()-4)="","",INDEX($T$5:$T$54,ROW()-4))</f>
        <v/>
      </c>
      <c r="AD16" t="str">
        <f t="shared" si="5"/>
        <v/>
      </c>
      <c r="AE16" t="str">
        <f t="shared" si="6"/>
        <v/>
      </c>
      <c r="AF16" t="str">
        <f t="shared" si="7"/>
        <v/>
      </c>
      <c r="AG16">
        <f t="shared" si="8"/>
        <v>0</v>
      </c>
      <c r="AH16" t="str" cm="1">
        <f t="array" ref="AH16">IF($AC16="","",IF($AG16=1,SUMPRODUCT(($AG$5:$AG$54=1)*($AC$5:$AC$54&gt;$AC16))+1,SUM($AG$5:$AG$54)+SUMPRODUCT(($AG$5:$AG$54=0)*($AC$5:$AC$54&lt;&gt;"")*($AC$5:$AC$54&gt;$AC16))+1))</f>
        <v/>
      </c>
    </row>
    <row r="17" spans="1:34" ht="21" x14ac:dyDescent="0.25">
      <c r="A17" s="226" t="str" cm="1">
        <f t="array" ref="A17">IFERROR(INDEX(_xlfn.ANCHORARRAY($P$6),ROW()-5,1),"")</f>
        <v/>
      </c>
      <c r="B17" s="328" t="str" cm="1">
        <f t="array" ref="B17">IFERROR(INDEX(_xlfn.ANCHORARRAY($P$6),ROW()-5,2),"")</f>
        <v/>
      </c>
      <c r="C17" s="227" t="str">
        <f>IF($A17="","",IF($J17="DIESEL",SUMIFS(Table1[Quantity],Table1[Customer],$M$3,Table1[Date],$A17,Table1[Bill No.],$B17),IF($J17="PETROL",SUMIFS(Table14[Quantity],Table14[Customer],$M$3,Table14[Date],$A17,Table14[Bill No.],$B17),IF($J17="XtraGreen",SUMIFS(Table146[Quantity],Table146[Company],$M$3,Table146[Date],$A17,Table146[Bill No.],$B17),""))))</f>
        <v/>
      </c>
      <c r="D17" s="228" t="str">
        <f>IF($A17="","",IF($J17="DIESEL",AVERAGEIFS(Table1[RSP],Table1[Customer],$M$3,Table1[Date],$A17,Table1[Bill No.],$B17),IF($J17="PETROL",AVERAGEIFS(Table14[RSP],Table14[Customer],$M$3,Table14[Date],$A17,Table14[Bill No.],$B17),IF($J17="XtraGreen",AVERAGEIFS(Table146[RSP],Table146[Company],$M$3,Table146[Date],$A17,Table146[Bill No.],$B17),IFERROR($E17/$C17,"")))))</f>
        <v/>
      </c>
      <c r="E17" s="338" t="str">
        <f>IF($A17="","",IF($J17="DIESEL",SUMIFS(Table1[Amount],Table1[Customer],$M$3,Table1[Date],$A17,Table1[Bill No.],$B17),IF($J17="PETROL",SUMIFS(Table14[Amount],Table14[Customer],$M$3,Table14[Date],$A17,Table14[Bill No.],$B17),IF($J17="XtraGreen",SUMIFS(Table146[Amount],Table146[Company],$M$3,Table146[Date],$A17,Table146[Bill No.],$B17),SUMIFS('Other Sale'!$D:$D,'Other Sale'!$E:$E,$M$3,'Other Sale'!$C:$C,$J17,'Other Sale'!$A:$A,$A17)))))</f>
        <v/>
      </c>
      <c r="F17" s="338" t="str" cm="1">
        <f t="array" ref="F17">IF($A17="","",IF($J17="Payment",IFERROR(INDEX(_xlfn._xlws.FILTER(MasterPaid[Amount Paid],(MasterPaid[Customer]=$M$3)*(MasterPaid[Date]=$A17)),COUNTIFS($A$6:$A17,$A17,$J$6:$J17,"Payment")),0),0))</f>
        <v/>
      </c>
      <c r="G17" s="343"/>
      <c r="H17" s="343"/>
      <c r="I17" s="338" t="str">
        <f t="shared" si="9"/>
        <v/>
      </c>
      <c r="J17" s="292" t="str" cm="1">
        <f t="array" ref="J17">IFERROR(INDEX(_xlfn.ANCHORARRAY($P$6),ROW()-5,3),"")</f>
        <v/>
      </c>
      <c r="K17" s="433" t="str" cm="1">
        <f t="array" ref="K17">IF(OR($A17="",$J17&lt;&gt;"DIESEL"),"",_xlfn.LET(_xlpm.qty,N($C17),_xlpm.pos,$T$5:$T$54,_xlpm.alo,IF($U$5:$U$54="",0,$U$5:$U$54),_xlpm.usd,SUMIFS($C$6:$C16,$K$6:$K16,_xlpm.pos&amp;""),_xlpm.bal,_xlpm.alo-_xlpm.usd,IFERROR(INDEX(_xlfn._xlws.FILTER(_xlpm.pos,(_xlpm.pos&lt;&gt;"")*(_xlpm.qty&gt;0)*(_xlpm.bal&gt;=_xlpm.qty)),1),"")))</f>
        <v/>
      </c>
      <c r="L17" s="329"/>
      <c r="M17" s="277"/>
      <c r="N17" s="277"/>
      <c r="O17" s="277"/>
      <c r="T17" s="316"/>
      <c r="U17" s="350"/>
      <c r="W17" s="316" t="str">
        <f t="shared" si="0"/>
        <v/>
      </c>
      <c r="X17" s="273" t="str">
        <f t="shared" si="1"/>
        <v/>
      </c>
      <c r="Y17" s="273" t="str">
        <f t="shared" si="2"/>
        <v/>
      </c>
      <c r="Z17" s="273" t="str">
        <f t="shared" si="3"/>
        <v/>
      </c>
      <c r="AA17" s="316" t="str">
        <f t="shared" si="4"/>
        <v/>
      </c>
      <c r="AC17" t="str" cm="1">
        <f t="array" ref="AC17">IF(INDEX($T$5:$T$54,ROW()-4)="","",INDEX($T$5:$T$54,ROW()-4))</f>
        <v/>
      </c>
      <c r="AD17" t="str">
        <f t="shared" si="5"/>
        <v/>
      </c>
      <c r="AE17" t="str">
        <f t="shared" si="6"/>
        <v/>
      </c>
      <c r="AF17" t="str">
        <f t="shared" si="7"/>
        <v/>
      </c>
      <c r="AG17">
        <f t="shared" si="8"/>
        <v>0</v>
      </c>
      <c r="AH17" t="str" cm="1">
        <f t="array" ref="AH17">IF($AC17="","",IF($AG17=1,SUMPRODUCT(($AG$5:$AG$54=1)*($AC$5:$AC$54&gt;$AC17))+1,SUM($AG$5:$AG$54)+SUMPRODUCT(($AG$5:$AG$54=0)*($AC$5:$AC$54&lt;&gt;"")*($AC$5:$AC$54&gt;$AC17))+1))</f>
        <v/>
      </c>
    </row>
    <row r="18" spans="1:34" ht="21" x14ac:dyDescent="0.25">
      <c r="A18" s="226" t="str" cm="1">
        <f t="array" ref="A18">IFERROR(INDEX(_xlfn.ANCHORARRAY($P$6),ROW()-5,1),"")</f>
        <v/>
      </c>
      <c r="B18" s="328" t="str" cm="1">
        <f t="array" ref="B18">IFERROR(INDEX(_xlfn.ANCHORARRAY($P$6),ROW()-5,2),"")</f>
        <v/>
      </c>
      <c r="C18" s="227" t="str">
        <f>IF($A18="","",IF($J18="DIESEL",SUMIFS(Table1[Quantity],Table1[Customer],$M$3,Table1[Date],$A18,Table1[Bill No.],$B18),IF($J18="PETROL",SUMIFS(Table14[Quantity],Table14[Customer],$M$3,Table14[Date],$A18,Table14[Bill No.],$B18),IF($J18="XtraGreen",SUMIFS(Table146[Quantity],Table146[Company],$M$3,Table146[Date],$A18,Table146[Bill No.],$B18),""))))</f>
        <v/>
      </c>
      <c r="D18" s="228" t="str">
        <f>IF($A18="","",IF($J18="DIESEL",AVERAGEIFS(Table1[RSP],Table1[Customer],$M$3,Table1[Date],$A18,Table1[Bill No.],$B18),IF($J18="PETROL",AVERAGEIFS(Table14[RSP],Table14[Customer],$M$3,Table14[Date],$A18,Table14[Bill No.],$B18),IF($J18="XtraGreen",AVERAGEIFS(Table146[RSP],Table146[Company],$M$3,Table146[Date],$A18,Table146[Bill No.],$B18),IFERROR($E18/$C18,"")))))</f>
        <v/>
      </c>
      <c r="E18" s="338" t="str">
        <f>IF($A18="","",IF($J18="DIESEL",SUMIFS(Table1[Amount],Table1[Customer],$M$3,Table1[Date],$A18,Table1[Bill No.],$B18),IF($J18="PETROL",SUMIFS(Table14[Amount],Table14[Customer],$M$3,Table14[Date],$A18,Table14[Bill No.],$B18),IF($J18="XtraGreen",SUMIFS(Table146[Amount],Table146[Company],$M$3,Table146[Date],$A18,Table146[Bill No.],$B18),SUMIFS('Other Sale'!$D:$D,'Other Sale'!$E:$E,$M$3,'Other Sale'!$C:$C,$J18,'Other Sale'!$A:$A,$A18)))))</f>
        <v/>
      </c>
      <c r="F18" s="338" t="str" cm="1">
        <f t="array" ref="F18">IF($A18="","",IF($J18="Payment",IFERROR(INDEX(_xlfn._xlws.FILTER(MasterPaid[Amount Paid],(MasterPaid[Customer]=$M$3)*(MasterPaid[Date]=$A18)),COUNTIFS($A$6:$A18,$A18,$J$6:$J18,"Payment")),0),0))</f>
        <v/>
      </c>
      <c r="G18" s="343"/>
      <c r="H18" s="343"/>
      <c r="I18" s="338" t="str">
        <f t="shared" si="9"/>
        <v/>
      </c>
      <c r="J18" s="292" t="str" cm="1">
        <f t="array" ref="J18">IFERROR(INDEX(_xlfn.ANCHORARRAY($P$6),ROW()-5,3),"")</f>
        <v/>
      </c>
      <c r="K18" s="433" t="str" cm="1">
        <f t="array" ref="K18">IF(OR($A18="",$J18&lt;&gt;"DIESEL"),"",_xlfn.LET(_xlpm.qty,N($C18),_xlpm.pos,$T$5:$T$54,_xlpm.alo,IF($U$5:$U$54="",0,$U$5:$U$54),_xlpm.usd,SUMIFS($C$6:$C17,$K$6:$K17,_xlpm.pos&amp;""),_xlpm.bal,_xlpm.alo-_xlpm.usd,IFERROR(INDEX(_xlfn._xlws.FILTER(_xlpm.pos,(_xlpm.pos&lt;&gt;"")*(_xlpm.qty&gt;0)*(_xlpm.bal&gt;=_xlpm.qty)),1),"")))</f>
        <v/>
      </c>
      <c r="L18" s="329"/>
      <c r="M18" s="277"/>
      <c r="N18" s="277"/>
      <c r="O18" s="277"/>
      <c r="T18" s="316"/>
      <c r="U18" s="350"/>
      <c r="W18" s="316" t="str">
        <f t="shared" si="0"/>
        <v/>
      </c>
      <c r="X18" s="273" t="str">
        <f t="shared" si="1"/>
        <v/>
      </c>
      <c r="Y18" s="273" t="str">
        <f t="shared" si="2"/>
        <v/>
      </c>
      <c r="Z18" s="273" t="str">
        <f t="shared" si="3"/>
        <v/>
      </c>
      <c r="AA18" s="316" t="str">
        <f t="shared" si="4"/>
        <v/>
      </c>
      <c r="AC18" t="str" cm="1">
        <f t="array" ref="AC18">IF(INDEX($T$5:$T$54,ROW()-4)="","",INDEX($T$5:$T$54,ROW()-4))</f>
        <v/>
      </c>
      <c r="AD18" t="str">
        <f t="shared" si="5"/>
        <v/>
      </c>
      <c r="AE18" t="str">
        <f t="shared" si="6"/>
        <v/>
      </c>
      <c r="AF18" t="str">
        <f t="shared" si="7"/>
        <v/>
      </c>
      <c r="AG18">
        <f t="shared" si="8"/>
        <v>0</v>
      </c>
      <c r="AH18" t="str" cm="1">
        <f t="array" ref="AH18">IF($AC18="","",IF($AG18=1,SUMPRODUCT(($AG$5:$AG$54=1)*($AC$5:$AC$54&gt;$AC18))+1,SUM($AG$5:$AG$54)+SUMPRODUCT(($AG$5:$AG$54=0)*($AC$5:$AC$54&lt;&gt;"")*($AC$5:$AC$54&gt;$AC18))+1))</f>
        <v/>
      </c>
    </row>
    <row r="19" spans="1:34" ht="21" x14ac:dyDescent="0.25">
      <c r="A19" s="226" t="str" cm="1">
        <f t="array" ref="A19">IFERROR(INDEX(_xlfn.ANCHORARRAY($P$6),ROW()-5,1),"")</f>
        <v/>
      </c>
      <c r="B19" s="328" t="str" cm="1">
        <f t="array" ref="B19">IFERROR(INDEX(_xlfn.ANCHORARRAY($P$6),ROW()-5,2),"")</f>
        <v/>
      </c>
      <c r="C19" s="227" t="str">
        <f>IF($A19="","",IF($J19="DIESEL",SUMIFS(Table1[Quantity],Table1[Customer],$M$3,Table1[Date],$A19,Table1[Bill No.],$B19),IF($J19="PETROL",SUMIFS(Table14[Quantity],Table14[Customer],$M$3,Table14[Date],$A19,Table14[Bill No.],$B19),IF($J19="XtraGreen",SUMIFS(Table146[Quantity],Table146[Company],$M$3,Table146[Date],$A19,Table146[Bill No.],$B19),""))))</f>
        <v/>
      </c>
      <c r="D19" s="228" t="str">
        <f>IF($A19="","",IF($J19="DIESEL",AVERAGEIFS(Table1[RSP],Table1[Customer],$M$3,Table1[Date],$A19,Table1[Bill No.],$B19),IF($J19="PETROL",AVERAGEIFS(Table14[RSP],Table14[Customer],$M$3,Table14[Date],$A19,Table14[Bill No.],$B19),IF($J19="XtraGreen",AVERAGEIFS(Table146[RSP],Table146[Company],$M$3,Table146[Date],$A19,Table146[Bill No.],$B19),IFERROR($E19/$C19,"")))))</f>
        <v/>
      </c>
      <c r="E19" s="338" t="str">
        <f>IF($A19="","",IF($J19="DIESEL",SUMIFS(Table1[Amount],Table1[Customer],$M$3,Table1[Date],$A19,Table1[Bill No.],$B19),IF($J19="PETROL",SUMIFS(Table14[Amount],Table14[Customer],$M$3,Table14[Date],$A19,Table14[Bill No.],$B19),IF($J19="XtraGreen",SUMIFS(Table146[Amount],Table146[Company],$M$3,Table146[Date],$A19,Table146[Bill No.],$B19),SUMIFS('Other Sale'!$D:$D,'Other Sale'!$E:$E,$M$3,'Other Sale'!$C:$C,$J19,'Other Sale'!$A:$A,$A19)))))</f>
        <v/>
      </c>
      <c r="F19" s="338" t="str" cm="1">
        <f t="array" ref="F19">IF($A19="","",IF($J19="Payment",IFERROR(INDEX(_xlfn._xlws.FILTER(MasterPaid[Amount Paid],(MasterPaid[Customer]=$M$3)*(MasterPaid[Date]=$A19)),COUNTIFS($A$6:$A19,$A19,$J$6:$J19,"Payment")),0),0))</f>
        <v/>
      </c>
      <c r="G19" s="343"/>
      <c r="H19" s="343"/>
      <c r="I19" s="338" t="str">
        <f t="shared" si="9"/>
        <v/>
      </c>
      <c r="J19" s="292" t="str" cm="1">
        <f t="array" ref="J19">IFERROR(INDEX(_xlfn.ANCHORARRAY($P$6),ROW()-5,3),"")</f>
        <v/>
      </c>
      <c r="K19" s="433" t="str" cm="1">
        <f t="array" ref="K19">IF(OR($A19="",$J19&lt;&gt;"DIESEL"),"",_xlfn.LET(_xlpm.qty,N($C19),_xlpm.pos,$T$5:$T$54,_xlpm.alo,IF($U$5:$U$54="",0,$U$5:$U$54),_xlpm.usd,SUMIFS($C$6:$C18,$K$6:$K18,_xlpm.pos&amp;""),_xlpm.bal,_xlpm.alo-_xlpm.usd,IFERROR(INDEX(_xlfn._xlws.FILTER(_xlpm.pos,(_xlpm.pos&lt;&gt;"")*(_xlpm.qty&gt;0)*(_xlpm.bal&gt;=_xlpm.qty)),1),"")))</f>
        <v/>
      </c>
      <c r="L19" s="329"/>
      <c r="M19" s="277"/>
      <c r="N19" s="277"/>
      <c r="O19" s="277"/>
      <c r="T19" s="316"/>
      <c r="U19" s="350"/>
      <c r="W19" s="316" t="str">
        <f t="shared" si="0"/>
        <v/>
      </c>
      <c r="X19" s="273" t="str">
        <f t="shared" si="1"/>
        <v/>
      </c>
      <c r="Y19" s="273" t="str">
        <f t="shared" si="2"/>
        <v/>
      </c>
      <c r="Z19" s="273" t="str">
        <f t="shared" si="3"/>
        <v/>
      </c>
      <c r="AA19" s="316" t="str">
        <f t="shared" si="4"/>
        <v/>
      </c>
      <c r="AC19" t="str" cm="1">
        <f t="array" ref="AC19">IF(INDEX($T$5:$T$54,ROW()-4)="","",INDEX($T$5:$T$54,ROW()-4))</f>
        <v/>
      </c>
      <c r="AD19" t="str">
        <f t="shared" si="5"/>
        <v/>
      </c>
      <c r="AE19" t="str">
        <f t="shared" si="6"/>
        <v/>
      </c>
      <c r="AF19" t="str">
        <f t="shared" si="7"/>
        <v/>
      </c>
      <c r="AG19">
        <f t="shared" si="8"/>
        <v>0</v>
      </c>
      <c r="AH19" t="str" cm="1">
        <f t="array" ref="AH19">IF($AC19="","",IF($AG19=1,SUMPRODUCT(($AG$5:$AG$54=1)*($AC$5:$AC$54&gt;$AC19))+1,SUM($AG$5:$AG$54)+SUMPRODUCT(($AG$5:$AG$54=0)*($AC$5:$AC$54&lt;&gt;"")*($AC$5:$AC$54&gt;$AC19))+1))</f>
        <v/>
      </c>
    </row>
    <row r="20" spans="1:34" ht="21" x14ac:dyDescent="0.25">
      <c r="A20" s="226" t="str" cm="1">
        <f t="array" ref="A20">IFERROR(INDEX(_xlfn.ANCHORARRAY($P$6),ROW()-5,1),"")</f>
        <v/>
      </c>
      <c r="B20" s="328" t="str" cm="1">
        <f t="array" ref="B20">IFERROR(INDEX(_xlfn.ANCHORARRAY($P$6),ROW()-5,2),"")</f>
        <v/>
      </c>
      <c r="C20" s="227" t="str">
        <f>IF($A20="","",IF($J20="DIESEL",SUMIFS(Table1[Quantity],Table1[Customer],$M$3,Table1[Date],$A20,Table1[Bill No.],$B20),IF($J20="PETROL",SUMIFS(Table14[Quantity],Table14[Customer],$M$3,Table14[Date],$A20,Table14[Bill No.],$B20),IF($J20="XtraGreen",SUMIFS(Table146[Quantity],Table146[Company],$M$3,Table146[Date],$A20,Table146[Bill No.],$B20),""))))</f>
        <v/>
      </c>
      <c r="D20" s="228" t="str">
        <f>IF($A20="","",IF($J20="DIESEL",AVERAGEIFS(Table1[RSP],Table1[Customer],$M$3,Table1[Date],$A20,Table1[Bill No.],$B20),IF($J20="PETROL",AVERAGEIFS(Table14[RSP],Table14[Customer],$M$3,Table14[Date],$A20,Table14[Bill No.],$B20),IF($J20="XtraGreen",AVERAGEIFS(Table146[RSP],Table146[Company],$M$3,Table146[Date],$A20,Table146[Bill No.],$B20),IFERROR($E20/$C20,"")))))</f>
        <v/>
      </c>
      <c r="E20" s="338" t="str">
        <f>IF($A20="","",IF($J20="DIESEL",SUMIFS(Table1[Amount],Table1[Customer],$M$3,Table1[Date],$A20,Table1[Bill No.],$B20),IF($J20="PETROL",SUMIFS(Table14[Amount],Table14[Customer],$M$3,Table14[Date],$A20,Table14[Bill No.],$B20),IF($J20="XtraGreen",SUMIFS(Table146[Amount],Table146[Company],$M$3,Table146[Date],$A20,Table146[Bill No.],$B20),SUMIFS('Other Sale'!$D:$D,'Other Sale'!$E:$E,$M$3,'Other Sale'!$C:$C,$J20,'Other Sale'!$A:$A,$A20)))))</f>
        <v/>
      </c>
      <c r="F20" s="338" t="str" cm="1">
        <f t="array" ref="F20">IF($A20="","",IF($J20="Payment",IFERROR(INDEX(_xlfn._xlws.FILTER(MasterPaid[Amount Paid],(MasterPaid[Customer]=$M$3)*(MasterPaid[Date]=$A20)),COUNTIFS($A$6:$A20,$A20,$J$6:$J20,"Payment")),0),0))</f>
        <v/>
      </c>
      <c r="G20" s="343"/>
      <c r="H20" s="343"/>
      <c r="I20" s="338" t="str">
        <f t="shared" si="9"/>
        <v/>
      </c>
      <c r="J20" s="292" t="str" cm="1">
        <f t="array" ref="J20">IFERROR(INDEX(_xlfn.ANCHORARRAY($P$6),ROW()-5,3),"")</f>
        <v/>
      </c>
      <c r="K20" s="433" t="str" cm="1">
        <f t="array" ref="K20">IF(OR($A20="",$J20&lt;&gt;"DIESEL"),"",_xlfn.LET(_xlpm.qty,N($C20),_xlpm.pos,$T$5:$T$54,_xlpm.alo,IF($U$5:$U$54="",0,$U$5:$U$54),_xlpm.usd,SUMIFS($C$6:$C19,$K$6:$K19,_xlpm.pos&amp;""),_xlpm.bal,_xlpm.alo-_xlpm.usd,IFERROR(INDEX(_xlfn._xlws.FILTER(_xlpm.pos,(_xlpm.pos&lt;&gt;"")*(_xlpm.qty&gt;0)*(_xlpm.bal&gt;=_xlpm.qty)),1),"")))</f>
        <v/>
      </c>
      <c r="L20" s="329"/>
      <c r="M20" s="277"/>
      <c r="N20" s="277"/>
      <c r="O20" s="277"/>
      <c r="T20" s="316"/>
      <c r="U20" s="350"/>
      <c r="W20" s="316" t="str">
        <f t="shared" si="0"/>
        <v/>
      </c>
      <c r="X20" s="273" t="str">
        <f t="shared" si="1"/>
        <v/>
      </c>
      <c r="Y20" s="273" t="str">
        <f t="shared" si="2"/>
        <v/>
      </c>
      <c r="Z20" s="273" t="str">
        <f t="shared" si="3"/>
        <v/>
      </c>
      <c r="AA20" s="316" t="str">
        <f t="shared" si="4"/>
        <v/>
      </c>
      <c r="AC20" t="str" cm="1">
        <f t="array" ref="AC20">IF(INDEX($T$5:$T$54,ROW()-4)="","",INDEX($T$5:$T$54,ROW()-4))</f>
        <v/>
      </c>
      <c r="AD20" t="str">
        <f t="shared" si="5"/>
        <v/>
      </c>
      <c r="AE20" t="str">
        <f t="shared" si="6"/>
        <v/>
      </c>
      <c r="AF20" t="str">
        <f t="shared" si="7"/>
        <v/>
      </c>
      <c r="AG20">
        <f t="shared" si="8"/>
        <v>0</v>
      </c>
      <c r="AH20" t="str" cm="1">
        <f t="array" ref="AH20">IF($AC20="","",IF($AG20=1,SUMPRODUCT(($AG$5:$AG$54=1)*($AC$5:$AC$54&gt;$AC20))+1,SUM($AG$5:$AG$54)+SUMPRODUCT(($AG$5:$AG$54=0)*($AC$5:$AC$54&lt;&gt;"")*($AC$5:$AC$54&gt;$AC20))+1))</f>
        <v/>
      </c>
    </row>
    <row r="21" spans="1:34" ht="21" x14ac:dyDescent="0.25">
      <c r="A21" s="226" t="str" cm="1">
        <f t="array" ref="A21">IFERROR(INDEX(_xlfn.ANCHORARRAY($P$6),ROW()-5,1),"")</f>
        <v/>
      </c>
      <c r="B21" s="328" t="str" cm="1">
        <f t="array" ref="B21">IFERROR(INDEX(_xlfn.ANCHORARRAY($P$6),ROW()-5,2),"")</f>
        <v/>
      </c>
      <c r="C21" s="227" t="str">
        <f>IF($A21="","",IF($J21="DIESEL",SUMIFS(Table1[Quantity],Table1[Customer],$M$3,Table1[Date],$A21,Table1[Bill No.],$B21),IF($J21="PETROL",SUMIFS(Table14[Quantity],Table14[Customer],$M$3,Table14[Date],$A21,Table14[Bill No.],$B21),IF($J21="XtraGreen",SUMIFS(Table146[Quantity],Table146[Company],$M$3,Table146[Date],$A21,Table146[Bill No.],$B21),""))))</f>
        <v/>
      </c>
      <c r="D21" s="228" t="str">
        <f>IF($A21="","",IF($J21="DIESEL",AVERAGEIFS(Table1[RSP],Table1[Customer],$M$3,Table1[Date],$A21,Table1[Bill No.],$B21),IF($J21="PETROL",AVERAGEIFS(Table14[RSP],Table14[Customer],$M$3,Table14[Date],$A21,Table14[Bill No.],$B21),IF($J21="XtraGreen",AVERAGEIFS(Table146[RSP],Table146[Company],$M$3,Table146[Date],$A21,Table146[Bill No.],$B21),IFERROR($E21/$C21,"")))))</f>
        <v/>
      </c>
      <c r="E21" s="338" t="str">
        <f>IF($A21="","",IF($J21="DIESEL",SUMIFS(Table1[Amount],Table1[Customer],$M$3,Table1[Date],$A21,Table1[Bill No.],$B21),IF($J21="PETROL",SUMIFS(Table14[Amount],Table14[Customer],$M$3,Table14[Date],$A21,Table14[Bill No.],$B21),IF($J21="XtraGreen",SUMIFS(Table146[Amount],Table146[Company],$M$3,Table146[Date],$A21,Table146[Bill No.],$B21),SUMIFS('Other Sale'!$D:$D,'Other Sale'!$E:$E,$M$3,'Other Sale'!$C:$C,$J21,'Other Sale'!$A:$A,$A21)))))</f>
        <v/>
      </c>
      <c r="F21" s="338" t="str" cm="1">
        <f t="array" ref="F21">IF($A21="","",IF($J21="Payment",IFERROR(INDEX(_xlfn._xlws.FILTER(MasterPaid[Amount Paid],(MasterPaid[Customer]=$M$3)*(MasterPaid[Date]=$A21)),COUNTIFS($A$6:$A21,$A21,$J$6:$J21,"Payment")),0),0))</f>
        <v/>
      </c>
      <c r="G21" s="343"/>
      <c r="H21" s="343"/>
      <c r="I21" s="338" t="str">
        <f t="shared" si="9"/>
        <v/>
      </c>
      <c r="J21" s="292" t="str" cm="1">
        <f t="array" ref="J21">IFERROR(INDEX(_xlfn.ANCHORARRAY($P$6),ROW()-5,3),"")</f>
        <v/>
      </c>
      <c r="K21" s="433" t="str" cm="1">
        <f t="array" ref="K21">IF(OR($A21="",$J21&lt;&gt;"DIESEL"),"",_xlfn.LET(_xlpm.qty,N($C21),_xlpm.pos,$T$5:$T$54,_xlpm.alo,IF($U$5:$U$54="",0,$U$5:$U$54),_xlpm.usd,SUMIFS($C$6:$C20,$K$6:$K20,_xlpm.pos&amp;""),_xlpm.bal,_xlpm.alo-_xlpm.usd,IFERROR(INDEX(_xlfn._xlws.FILTER(_xlpm.pos,(_xlpm.pos&lt;&gt;"")*(_xlpm.qty&gt;0)*(_xlpm.bal&gt;=_xlpm.qty)),1),"")))</f>
        <v/>
      </c>
      <c r="L21" s="329"/>
      <c r="M21" s="277"/>
      <c r="N21" s="277"/>
      <c r="O21" s="277"/>
      <c r="T21" s="316"/>
      <c r="U21" s="350"/>
      <c r="W21" s="316" t="str">
        <f t="shared" si="0"/>
        <v/>
      </c>
      <c r="X21" s="273" t="str">
        <f t="shared" si="1"/>
        <v/>
      </c>
      <c r="Y21" s="273" t="str">
        <f t="shared" si="2"/>
        <v/>
      </c>
      <c r="Z21" s="273" t="str">
        <f t="shared" si="3"/>
        <v/>
      </c>
      <c r="AA21" s="316" t="str">
        <f t="shared" si="4"/>
        <v/>
      </c>
      <c r="AC21" t="str" cm="1">
        <f t="array" ref="AC21">IF(INDEX($T$5:$T$54,ROW()-4)="","",INDEX($T$5:$T$54,ROW()-4))</f>
        <v/>
      </c>
      <c r="AD21" t="str">
        <f t="shared" si="5"/>
        <v/>
      </c>
      <c r="AE21" t="str">
        <f t="shared" si="6"/>
        <v/>
      </c>
      <c r="AF21" t="str">
        <f t="shared" si="7"/>
        <v/>
      </c>
      <c r="AG21">
        <f t="shared" si="8"/>
        <v>0</v>
      </c>
      <c r="AH21" t="str" cm="1">
        <f t="array" ref="AH21">IF($AC21="","",IF($AG21=1,SUMPRODUCT(($AG$5:$AG$54=1)*($AC$5:$AC$54&gt;$AC21))+1,SUM($AG$5:$AG$54)+SUMPRODUCT(($AG$5:$AG$54=0)*($AC$5:$AC$54&lt;&gt;"")*($AC$5:$AC$54&gt;$AC21))+1))</f>
        <v/>
      </c>
    </row>
    <row r="22" spans="1:34" ht="21" x14ac:dyDescent="0.25">
      <c r="A22" s="226" t="str" cm="1">
        <f t="array" ref="A22">IFERROR(INDEX(_xlfn.ANCHORARRAY($P$6),ROW()-5,1),"")</f>
        <v/>
      </c>
      <c r="B22" s="328" t="str" cm="1">
        <f t="array" ref="B22">IFERROR(INDEX(_xlfn.ANCHORARRAY($P$6),ROW()-5,2),"")</f>
        <v/>
      </c>
      <c r="C22" s="227" t="str">
        <f>IF($A22="","",IF($J22="DIESEL",SUMIFS(Table1[Quantity],Table1[Customer],$M$3,Table1[Date],$A22,Table1[Bill No.],$B22),IF($J22="PETROL",SUMIFS(Table14[Quantity],Table14[Customer],$M$3,Table14[Date],$A22,Table14[Bill No.],$B22),IF($J22="XtraGreen",SUMIFS(Table146[Quantity],Table146[Company],$M$3,Table146[Date],$A22,Table146[Bill No.],$B22),""))))</f>
        <v/>
      </c>
      <c r="D22" s="228" t="str">
        <f>IF($A22="","",IF($J22="DIESEL",AVERAGEIFS(Table1[RSP],Table1[Customer],$M$3,Table1[Date],$A22,Table1[Bill No.],$B22),IF($J22="PETROL",AVERAGEIFS(Table14[RSP],Table14[Customer],$M$3,Table14[Date],$A22,Table14[Bill No.],$B22),IF($J22="XtraGreen",AVERAGEIFS(Table146[RSP],Table146[Company],$M$3,Table146[Date],$A22,Table146[Bill No.],$B22),IFERROR($E22/$C22,"")))))</f>
        <v/>
      </c>
      <c r="E22" s="338" t="str">
        <f>IF($A22="","",IF($J22="DIESEL",SUMIFS(Table1[Amount],Table1[Customer],$M$3,Table1[Date],$A22,Table1[Bill No.],$B22),IF($J22="PETROL",SUMIFS(Table14[Amount],Table14[Customer],$M$3,Table14[Date],$A22,Table14[Bill No.],$B22),IF($J22="XtraGreen",SUMIFS(Table146[Amount],Table146[Company],$M$3,Table146[Date],$A22,Table146[Bill No.],$B22),SUMIFS('Other Sale'!$D:$D,'Other Sale'!$E:$E,$M$3,'Other Sale'!$C:$C,$J22,'Other Sale'!$A:$A,$A22)))))</f>
        <v/>
      </c>
      <c r="F22" s="338" t="str" cm="1">
        <f t="array" ref="F22">IF($A22="","",IF($J22="Payment",IFERROR(INDEX(_xlfn._xlws.FILTER(MasterPaid[Amount Paid],(MasterPaid[Customer]=$M$3)*(MasterPaid[Date]=$A22)),COUNTIFS($A$6:$A22,$A22,$J$6:$J22,"Payment")),0),0))</f>
        <v/>
      </c>
      <c r="G22" s="343"/>
      <c r="H22" s="343"/>
      <c r="I22" s="338" t="str">
        <f t="shared" si="9"/>
        <v/>
      </c>
      <c r="J22" s="292" t="str" cm="1">
        <f t="array" ref="J22">IFERROR(INDEX(_xlfn.ANCHORARRAY($P$6),ROW()-5,3),"")</f>
        <v/>
      </c>
      <c r="K22" s="433" t="str" cm="1">
        <f t="array" ref="K22">IF(OR($A22="",$J22&lt;&gt;"DIESEL"),"",_xlfn.LET(_xlpm.qty,N($C22),_xlpm.pos,$T$5:$T$54,_xlpm.alo,IF($U$5:$U$54="",0,$U$5:$U$54),_xlpm.usd,SUMIFS($C$6:$C21,$K$6:$K21,_xlpm.pos&amp;""),_xlpm.bal,_xlpm.alo-_xlpm.usd,IFERROR(INDEX(_xlfn._xlws.FILTER(_xlpm.pos,(_xlpm.pos&lt;&gt;"")*(_xlpm.qty&gt;0)*(_xlpm.bal&gt;=_xlpm.qty)),1),"")))</f>
        <v/>
      </c>
      <c r="L22" s="329"/>
      <c r="M22" s="277"/>
      <c r="N22" s="277"/>
      <c r="O22" s="277"/>
      <c r="T22" s="316"/>
      <c r="U22" s="350"/>
      <c r="W22" s="316" t="str">
        <f t="shared" si="0"/>
        <v/>
      </c>
      <c r="X22" s="273" t="str">
        <f t="shared" si="1"/>
        <v/>
      </c>
      <c r="Y22" s="273" t="str">
        <f t="shared" si="2"/>
        <v/>
      </c>
      <c r="Z22" s="273" t="str">
        <f t="shared" si="3"/>
        <v/>
      </c>
      <c r="AA22" s="316" t="str">
        <f t="shared" si="4"/>
        <v/>
      </c>
      <c r="AC22" t="str" cm="1">
        <f t="array" ref="AC22">IF(INDEX($T$5:$T$54,ROW()-4)="","",INDEX($T$5:$T$54,ROW()-4))</f>
        <v/>
      </c>
      <c r="AD22" t="str">
        <f t="shared" si="5"/>
        <v/>
      </c>
      <c r="AE22" t="str">
        <f t="shared" si="6"/>
        <v/>
      </c>
      <c r="AF22" t="str">
        <f t="shared" si="7"/>
        <v/>
      </c>
      <c r="AG22">
        <f t="shared" si="8"/>
        <v>0</v>
      </c>
      <c r="AH22" t="str" cm="1">
        <f t="array" ref="AH22">IF($AC22="","",IF($AG22=1,SUMPRODUCT(($AG$5:$AG$54=1)*($AC$5:$AC$54&gt;$AC22))+1,SUM($AG$5:$AG$54)+SUMPRODUCT(($AG$5:$AG$54=0)*($AC$5:$AC$54&lt;&gt;"")*($AC$5:$AC$54&gt;$AC22))+1))</f>
        <v/>
      </c>
    </row>
    <row r="23" spans="1:34" ht="21" x14ac:dyDescent="0.25">
      <c r="A23" s="226" t="str" cm="1">
        <f t="array" ref="A23">IFERROR(INDEX(_xlfn.ANCHORARRAY($P$6),ROW()-5,1),"")</f>
        <v/>
      </c>
      <c r="B23" s="328" t="str" cm="1">
        <f t="array" ref="B23">IFERROR(INDEX(_xlfn.ANCHORARRAY($P$6),ROW()-5,2),"")</f>
        <v/>
      </c>
      <c r="C23" s="227" t="str">
        <f>IF($A23="","",IF($J23="DIESEL",SUMIFS(Table1[Quantity],Table1[Customer],$M$3,Table1[Date],$A23,Table1[Bill No.],$B23),IF($J23="PETROL",SUMIFS(Table14[Quantity],Table14[Customer],$M$3,Table14[Date],$A23,Table14[Bill No.],$B23),IF($J23="XtraGreen",SUMIFS(Table146[Quantity],Table146[Company],$M$3,Table146[Date],$A23,Table146[Bill No.],$B23),""))))</f>
        <v/>
      </c>
      <c r="D23" s="228" t="str">
        <f>IF($A23="","",IF($J23="DIESEL",AVERAGEIFS(Table1[RSP],Table1[Customer],$M$3,Table1[Date],$A23,Table1[Bill No.],$B23),IF($J23="PETROL",AVERAGEIFS(Table14[RSP],Table14[Customer],$M$3,Table14[Date],$A23,Table14[Bill No.],$B23),IF($J23="XtraGreen",AVERAGEIFS(Table146[RSP],Table146[Company],$M$3,Table146[Date],$A23,Table146[Bill No.],$B23),IFERROR($E23/$C23,"")))))</f>
        <v/>
      </c>
      <c r="E23" s="338" t="str">
        <f>IF($A23="","",IF($J23="DIESEL",SUMIFS(Table1[Amount],Table1[Customer],$M$3,Table1[Date],$A23,Table1[Bill No.],$B23),IF($J23="PETROL",SUMIFS(Table14[Amount],Table14[Customer],$M$3,Table14[Date],$A23,Table14[Bill No.],$B23),IF($J23="XtraGreen",SUMIFS(Table146[Amount],Table146[Company],$M$3,Table146[Date],$A23,Table146[Bill No.],$B23),SUMIFS('Other Sale'!$D:$D,'Other Sale'!$E:$E,$M$3,'Other Sale'!$C:$C,$J23,'Other Sale'!$A:$A,$A23)))))</f>
        <v/>
      </c>
      <c r="F23" s="338" t="str" cm="1">
        <f t="array" ref="F23">IF($A23="","",IF($J23="Payment",IFERROR(INDEX(_xlfn._xlws.FILTER(MasterPaid[Amount Paid],(MasterPaid[Customer]=$M$3)*(MasterPaid[Date]=$A23)),COUNTIFS($A$6:$A23,$A23,$J$6:$J23,"Payment")),0),0))</f>
        <v/>
      </c>
      <c r="G23" s="343"/>
      <c r="H23" s="343"/>
      <c r="I23" s="338" t="str">
        <f t="shared" si="9"/>
        <v/>
      </c>
      <c r="J23" s="292" t="str" cm="1">
        <f t="array" ref="J23">IFERROR(INDEX(_xlfn.ANCHORARRAY($P$6),ROW()-5,3),"")</f>
        <v/>
      </c>
      <c r="K23" s="433" t="str" cm="1">
        <f t="array" ref="K23">IF(OR($A23="",$J23&lt;&gt;"DIESEL"),"",_xlfn.LET(_xlpm.qty,N($C23),_xlpm.pos,$T$5:$T$54,_xlpm.alo,IF($U$5:$U$54="",0,$U$5:$U$54),_xlpm.usd,SUMIFS($C$6:$C22,$K$6:$K22,_xlpm.pos&amp;""),_xlpm.bal,_xlpm.alo-_xlpm.usd,IFERROR(INDEX(_xlfn._xlws.FILTER(_xlpm.pos,(_xlpm.pos&lt;&gt;"")*(_xlpm.qty&gt;0)*(_xlpm.bal&gt;=_xlpm.qty)),1),"")))</f>
        <v/>
      </c>
      <c r="L23" s="329"/>
      <c r="M23" s="277"/>
      <c r="N23" s="277"/>
      <c r="O23" s="277"/>
      <c r="T23" s="316"/>
      <c r="U23" s="350"/>
      <c r="W23" s="316" t="str">
        <f t="shared" si="0"/>
        <v/>
      </c>
      <c r="X23" s="273" t="str">
        <f t="shared" si="1"/>
        <v/>
      </c>
      <c r="Y23" s="273" t="str">
        <f t="shared" si="2"/>
        <v/>
      </c>
      <c r="Z23" s="273" t="str">
        <f t="shared" si="3"/>
        <v/>
      </c>
      <c r="AA23" s="316" t="str">
        <f t="shared" si="4"/>
        <v/>
      </c>
      <c r="AC23" t="str" cm="1">
        <f t="array" ref="AC23">IF(INDEX($T$5:$T$54,ROW()-4)="","",INDEX($T$5:$T$54,ROW()-4))</f>
        <v/>
      </c>
      <c r="AD23" t="str">
        <f t="shared" si="5"/>
        <v/>
      </c>
      <c r="AE23" t="str">
        <f t="shared" si="6"/>
        <v/>
      </c>
      <c r="AF23" t="str">
        <f t="shared" si="7"/>
        <v/>
      </c>
      <c r="AG23">
        <f t="shared" si="8"/>
        <v>0</v>
      </c>
      <c r="AH23" t="str" cm="1">
        <f t="array" ref="AH23">IF($AC23="","",IF($AG23=1,SUMPRODUCT(($AG$5:$AG$54=1)*($AC$5:$AC$54&gt;$AC23))+1,SUM($AG$5:$AG$54)+SUMPRODUCT(($AG$5:$AG$54=0)*($AC$5:$AC$54&lt;&gt;"")*($AC$5:$AC$54&gt;$AC23))+1))</f>
        <v/>
      </c>
    </row>
    <row r="24" spans="1:34" ht="21" x14ac:dyDescent="0.25">
      <c r="A24" s="226" t="str" cm="1">
        <f t="array" ref="A24">IFERROR(INDEX(_xlfn.ANCHORARRAY($P$6),ROW()-5,1),"")</f>
        <v/>
      </c>
      <c r="B24" s="328" t="str" cm="1">
        <f t="array" ref="B24">IFERROR(INDEX(_xlfn.ANCHORARRAY($P$6),ROW()-5,2),"")</f>
        <v/>
      </c>
      <c r="C24" s="227" t="str">
        <f>IF($A24="","",IF($J24="DIESEL",SUMIFS(Table1[Quantity],Table1[Customer],$M$3,Table1[Date],$A24,Table1[Bill No.],$B24),IF($J24="PETROL",SUMIFS(Table14[Quantity],Table14[Customer],$M$3,Table14[Date],$A24,Table14[Bill No.],$B24),IF($J24="XtraGreen",SUMIFS(Table146[Quantity],Table146[Company],$M$3,Table146[Date],$A24,Table146[Bill No.],$B24),""))))</f>
        <v/>
      </c>
      <c r="D24" s="228" t="str">
        <f>IF($A24="","",IF($J24="DIESEL",AVERAGEIFS(Table1[RSP],Table1[Customer],$M$3,Table1[Date],$A24,Table1[Bill No.],$B24),IF($J24="PETROL",AVERAGEIFS(Table14[RSP],Table14[Customer],$M$3,Table14[Date],$A24,Table14[Bill No.],$B24),IF($J24="XtraGreen",AVERAGEIFS(Table146[RSP],Table146[Company],$M$3,Table146[Date],$A24,Table146[Bill No.],$B24),IFERROR($E24/$C24,"")))))</f>
        <v/>
      </c>
      <c r="E24" s="338" t="str">
        <f>IF($A24="","",IF($J24="DIESEL",SUMIFS(Table1[Amount],Table1[Customer],$M$3,Table1[Date],$A24,Table1[Bill No.],$B24),IF($J24="PETROL",SUMIFS(Table14[Amount],Table14[Customer],$M$3,Table14[Date],$A24,Table14[Bill No.],$B24),IF($J24="XtraGreen",SUMIFS(Table146[Amount],Table146[Company],$M$3,Table146[Date],$A24,Table146[Bill No.],$B24),SUMIFS('Other Sale'!$D:$D,'Other Sale'!$E:$E,$M$3,'Other Sale'!$C:$C,$J24,'Other Sale'!$A:$A,$A24)))))</f>
        <v/>
      </c>
      <c r="F24" s="338" t="str" cm="1">
        <f t="array" ref="F24">IF($A24="","",IF($J24="Payment",IFERROR(INDEX(_xlfn._xlws.FILTER(MasterPaid[Amount Paid],(MasterPaid[Customer]=$M$3)*(MasterPaid[Date]=$A24)),COUNTIFS($A$6:$A24,$A24,$J$6:$J24,"Payment")),0),0))</f>
        <v/>
      </c>
      <c r="G24" s="343"/>
      <c r="H24" s="343"/>
      <c r="I24" s="338" t="str">
        <f t="shared" si="9"/>
        <v/>
      </c>
      <c r="J24" s="292" t="str" cm="1">
        <f t="array" ref="J24">IFERROR(INDEX(_xlfn.ANCHORARRAY($P$6),ROW()-5,3),"")</f>
        <v/>
      </c>
      <c r="K24" s="433" t="str" cm="1">
        <f t="array" ref="K24">IF(OR($A24="",$J24&lt;&gt;"DIESEL"),"",_xlfn.LET(_xlpm.qty,N($C24),_xlpm.pos,$T$5:$T$54,_xlpm.alo,IF($U$5:$U$54="",0,$U$5:$U$54),_xlpm.usd,SUMIFS($C$6:$C23,$K$6:$K23,_xlpm.pos&amp;""),_xlpm.bal,_xlpm.alo-_xlpm.usd,IFERROR(INDEX(_xlfn._xlws.FILTER(_xlpm.pos,(_xlpm.pos&lt;&gt;"")*(_xlpm.qty&gt;0)*(_xlpm.bal&gt;=_xlpm.qty)),1),"")))</f>
        <v/>
      </c>
      <c r="L24" s="329"/>
      <c r="M24" s="277"/>
      <c r="N24" s="277"/>
      <c r="O24" s="277"/>
      <c r="T24" s="316"/>
      <c r="U24" s="350"/>
      <c r="W24" s="316" t="str">
        <f t="shared" si="0"/>
        <v/>
      </c>
      <c r="X24" s="273" t="str">
        <f t="shared" si="1"/>
        <v/>
      </c>
      <c r="Y24" s="273" t="str">
        <f t="shared" si="2"/>
        <v/>
      </c>
      <c r="Z24" s="273" t="str">
        <f t="shared" si="3"/>
        <v/>
      </c>
      <c r="AA24" s="316" t="str">
        <f t="shared" si="4"/>
        <v/>
      </c>
      <c r="AC24" t="str" cm="1">
        <f t="array" ref="AC24">IF(INDEX($T$5:$T$54,ROW()-4)="","",INDEX($T$5:$T$54,ROW()-4))</f>
        <v/>
      </c>
      <c r="AD24" t="str">
        <f t="shared" si="5"/>
        <v/>
      </c>
      <c r="AE24" t="str">
        <f t="shared" si="6"/>
        <v/>
      </c>
      <c r="AF24" t="str">
        <f t="shared" si="7"/>
        <v/>
      </c>
      <c r="AG24">
        <f t="shared" si="8"/>
        <v>0</v>
      </c>
      <c r="AH24" t="str" cm="1">
        <f t="array" ref="AH24">IF($AC24="","",IF($AG24=1,SUMPRODUCT(($AG$5:$AG$54=1)*($AC$5:$AC$54&gt;$AC24))+1,SUM($AG$5:$AG$54)+SUMPRODUCT(($AG$5:$AG$54=0)*($AC$5:$AC$54&lt;&gt;"")*($AC$5:$AC$54&gt;$AC24))+1))</f>
        <v/>
      </c>
    </row>
    <row r="25" spans="1:34" ht="21" x14ac:dyDescent="0.25">
      <c r="A25" s="226" t="str" cm="1">
        <f t="array" ref="A25">IFERROR(INDEX(_xlfn.ANCHORARRAY($P$6),ROW()-5,1),"")</f>
        <v/>
      </c>
      <c r="B25" s="328" t="str" cm="1">
        <f t="array" ref="B25">IFERROR(INDEX(_xlfn.ANCHORARRAY($P$6),ROW()-5,2),"")</f>
        <v/>
      </c>
      <c r="C25" s="227" t="str">
        <f>IF($A25="","",IF($J25="DIESEL",SUMIFS(Table1[Quantity],Table1[Customer],$M$3,Table1[Date],$A25,Table1[Bill No.],$B25),IF($J25="PETROL",SUMIFS(Table14[Quantity],Table14[Customer],$M$3,Table14[Date],$A25,Table14[Bill No.],$B25),IF($J25="XtraGreen",SUMIFS(Table146[Quantity],Table146[Company],$M$3,Table146[Date],$A25,Table146[Bill No.],$B25),""))))</f>
        <v/>
      </c>
      <c r="D25" s="228" t="str">
        <f>IF($A25="","",IF($J25="DIESEL",AVERAGEIFS(Table1[RSP],Table1[Customer],$M$3,Table1[Date],$A25,Table1[Bill No.],$B25),IF($J25="PETROL",AVERAGEIFS(Table14[RSP],Table14[Customer],$M$3,Table14[Date],$A25,Table14[Bill No.],$B25),IF($J25="XtraGreen",AVERAGEIFS(Table146[RSP],Table146[Company],$M$3,Table146[Date],$A25,Table146[Bill No.],$B25),IFERROR($E25/$C25,"")))))</f>
        <v/>
      </c>
      <c r="E25" s="338" t="str">
        <f>IF($A25="","",IF($J25="DIESEL",SUMIFS(Table1[Amount],Table1[Customer],$M$3,Table1[Date],$A25,Table1[Bill No.],$B25),IF($J25="PETROL",SUMIFS(Table14[Amount],Table14[Customer],$M$3,Table14[Date],$A25,Table14[Bill No.],$B25),IF($J25="XtraGreen",SUMIFS(Table146[Amount],Table146[Company],$M$3,Table146[Date],$A25,Table146[Bill No.],$B25),SUMIFS('Other Sale'!$D:$D,'Other Sale'!$E:$E,$M$3,'Other Sale'!$C:$C,$J25,'Other Sale'!$A:$A,$A25)))))</f>
        <v/>
      </c>
      <c r="F25" s="338" t="str" cm="1">
        <f t="array" ref="F25">IF($A25="","",IF($J25="Payment",IFERROR(INDEX(_xlfn._xlws.FILTER(MasterPaid[Amount Paid],(MasterPaid[Customer]=$M$3)*(MasterPaid[Date]=$A25)),COUNTIFS($A$6:$A25,$A25,$J$6:$J25,"Payment")),0),0))</f>
        <v/>
      </c>
      <c r="G25" s="343"/>
      <c r="H25" s="343"/>
      <c r="I25" s="338" t="str">
        <f t="shared" si="9"/>
        <v/>
      </c>
      <c r="J25" s="292" t="str" cm="1">
        <f t="array" ref="J25">IFERROR(INDEX(_xlfn.ANCHORARRAY($P$6),ROW()-5,3),"")</f>
        <v/>
      </c>
      <c r="K25" s="433" t="str" cm="1">
        <f t="array" ref="K25">IF(OR($A25="",$J25&lt;&gt;"DIESEL"),"",_xlfn.LET(_xlpm.qty,N($C25),_xlpm.pos,$T$5:$T$54,_xlpm.alo,IF($U$5:$U$54="",0,$U$5:$U$54),_xlpm.usd,SUMIFS($C$6:$C24,$K$6:$K24,_xlpm.pos&amp;""),_xlpm.bal,_xlpm.alo-_xlpm.usd,IFERROR(INDEX(_xlfn._xlws.FILTER(_xlpm.pos,(_xlpm.pos&lt;&gt;"")*(_xlpm.qty&gt;0)*(_xlpm.bal&gt;=_xlpm.qty)),1),"")))</f>
        <v/>
      </c>
      <c r="L25" s="329"/>
      <c r="M25" s="277"/>
      <c r="N25" s="277"/>
      <c r="O25" s="277"/>
      <c r="T25" s="316"/>
      <c r="U25" s="350"/>
      <c r="W25" s="316" t="str">
        <f t="shared" si="0"/>
        <v/>
      </c>
      <c r="X25" s="273" t="str">
        <f t="shared" si="1"/>
        <v/>
      </c>
      <c r="Y25" s="273" t="str">
        <f t="shared" si="2"/>
        <v/>
      </c>
      <c r="Z25" s="273" t="str">
        <f t="shared" si="3"/>
        <v/>
      </c>
      <c r="AA25" s="316" t="str">
        <f t="shared" si="4"/>
        <v/>
      </c>
      <c r="AC25" t="str" cm="1">
        <f t="array" ref="AC25">IF(INDEX($T$5:$T$54,ROW()-4)="","",INDEX($T$5:$T$54,ROW()-4))</f>
        <v/>
      </c>
      <c r="AD25" t="str">
        <f t="shared" si="5"/>
        <v/>
      </c>
      <c r="AE25" t="str">
        <f t="shared" si="6"/>
        <v/>
      </c>
      <c r="AF25" t="str">
        <f t="shared" si="7"/>
        <v/>
      </c>
      <c r="AG25">
        <f t="shared" si="8"/>
        <v>0</v>
      </c>
      <c r="AH25" t="str" cm="1">
        <f t="array" ref="AH25">IF($AC25="","",IF($AG25=1,SUMPRODUCT(($AG$5:$AG$54=1)*($AC$5:$AC$54&gt;$AC25))+1,SUM($AG$5:$AG$54)+SUMPRODUCT(($AG$5:$AG$54=0)*($AC$5:$AC$54&lt;&gt;"")*($AC$5:$AC$54&gt;$AC25))+1))</f>
        <v/>
      </c>
    </row>
    <row r="26" spans="1:34" ht="21" x14ac:dyDescent="0.25">
      <c r="A26" s="226" t="str" cm="1">
        <f t="array" ref="A26">IFERROR(INDEX(_xlfn.ANCHORARRAY($P$6),ROW()-5,1),"")</f>
        <v/>
      </c>
      <c r="B26" s="328" t="str" cm="1">
        <f t="array" ref="B26">IFERROR(INDEX(_xlfn.ANCHORARRAY($P$6),ROW()-5,2),"")</f>
        <v/>
      </c>
      <c r="C26" s="227" t="str">
        <f>IF($A26="","",IF($J26="DIESEL",SUMIFS(Table1[Quantity],Table1[Customer],$M$3,Table1[Date],$A26,Table1[Bill No.],$B26),IF($J26="PETROL",SUMIFS(Table14[Quantity],Table14[Customer],$M$3,Table14[Date],$A26,Table14[Bill No.],$B26),IF($J26="XtraGreen",SUMIFS(Table146[Quantity],Table146[Company],$M$3,Table146[Date],$A26,Table146[Bill No.],$B26),""))))</f>
        <v/>
      </c>
      <c r="D26" s="228" t="str">
        <f>IF($A26="","",IF($J26="DIESEL",AVERAGEIFS(Table1[RSP],Table1[Customer],$M$3,Table1[Date],$A26,Table1[Bill No.],$B26),IF($J26="PETROL",AVERAGEIFS(Table14[RSP],Table14[Customer],$M$3,Table14[Date],$A26,Table14[Bill No.],$B26),IF($J26="XtraGreen",AVERAGEIFS(Table146[RSP],Table146[Company],$M$3,Table146[Date],$A26,Table146[Bill No.],$B26),IFERROR($E26/$C26,"")))))</f>
        <v/>
      </c>
      <c r="E26" s="338" t="str">
        <f>IF($A26="","",IF($J26="DIESEL",SUMIFS(Table1[Amount],Table1[Customer],$M$3,Table1[Date],$A26,Table1[Bill No.],$B26),IF($J26="PETROL",SUMIFS(Table14[Amount],Table14[Customer],$M$3,Table14[Date],$A26,Table14[Bill No.],$B26),IF($J26="XtraGreen",SUMIFS(Table146[Amount],Table146[Company],$M$3,Table146[Date],$A26,Table146[Bill No.],$B26),SUMIFS('Other Sale'!$D:$D,'Other Sale'!$E:$E,$M$3,'Other Sale'!$C:$C,$J26,'Other Sale'!$A:$A,$A26)))))</f>
        <v/>
      </c>
      <c r="F26" s="338" t="str" cm="1">
        <f t="array" ref="F26">IF($A26="","",IF($J26="Payment",IFERROR(INDEX(_xlfn._xlws.FILTER(MasterPaid[Amount Paid],(MasterPaid[Customer]=$M$3)*(MasterPaid[Date]=$A26)),COUNTIFS($A$6:$A26,$A26,$J$6:$J26,"Payment")),0),0))</f>
        <v/>
      </c>
      <c r="G26" s="343"/>
      <c r="H26" s="343"/>
      <c r="I26" s="338" t="str">
        <f t="shared" si="9"/>
        <v/>
      </c>
      <c r="J26" s="292" t="str" cm="1">
        <f t="array" ref="J26">IFERROR(INDEX(_xlfn.ANCHORARRAY($P$6),ROW()-5,3),"")</f>
        <v/>
      </c>
      <c r="K26" s="433" t="str" cm="1">
        <f t="array" ref="K26">IF(OR($A26="",$J26&lt;&gt;"DIESEL"),"",_xlfn.LET(_xlpm.qty,N($C26),_xlpm.pos,$T$5:$T$54,_xlpm.alo,IF($U$5:$U$54="",0,$U$5:$U$54),_xlpm.usd,SUMIFS($C$6:$C25,$K$6:$K25,_xlpm.pos&amp;""),_xlpm.bal,_xlpm.alo-_xlpm.usd,IFERROR(INDEX(_xlfn._xlws.FILTER(_xlpm.pos,(_xlpm.pos&lt;&gt;"")*(_xlpm.qty&gt;0)*(_xlpm.bal&gt;=_xlpm.qty)),1),"")))</f>
        <v/>
      </c>
      <c r="L26" s="329"/>
      <c r="M26" s="277"/>
      <c r="N26" s="277"/>
      <c r="O26" s="277"/>
      <c r="T26" s="316"/>
      <c r="U26" s="350"/>
      <c r="W26" s="316" t="str">
        <f t="shared" si="0"/>
        <v/>
      </c>
      <c r="X26" s="273" t="str">
        <f t="shared" si="1"/>
        <v/>
      </c>
      <c r="Y26" s="273" t="str">
        <f t="shared" si="2"/>
        <v/>
      </c>
      <c r="Z26" s="273" t="str">
        <f t="shared" si="3"/>
        <v/>
      </c>
      <c r="AA26" s="316" t="str">
        <f t="shared" si="4"/>
        <v/>
      </c>
      <c r="AC26" t="str" cm="1">
        <f t="array" ref="AC26">IF(INDEX($T$5:$T$54,ROW()-4)="","",INDEX($T$5:$T$54,ROW()-4))</f>
        <v/>
      </c>
      <c r="AD26" t="str">
        <f t="shared" si="5"/>
        <v/>
      </c>
      <c r="AE26" t="str">
        <f t="shared" si="6"/>
        <v/>
      </c>
      <c r="AF26" t="str">
        <f t="shared" si="7"/>
        <v/>
      </c>
      <c r="AG26">
        <f t="shared" si="8"/>
        <v>0</v>
      </c>
      <c r="AH26" t="str" cm="1">
        <f t="array" ref="AH26">IF($AC26="","",IF($AG26=1,SUMPRODUCT(($AG$5:$AG$54=1)*($AC$5:$AC$54&gt;$AC26))+1,SUM($AG$5:$AG$54)+SUMPRODUCT(($AG$5:$AG$54=0)*($AC$5:$AC$54&lt;&gt;"")*($AC$5:$AC$54&gt;$AC26))+1))</f>
        <v/>
      </c>
    </row>
    <row r="27" spans="1:34" ht="21" x14ac:dyDescent="0.25">
      <c r="A27" s="226" t="str" cm="1">
        <f t="array" ref="A27">IFERROR(INDEX(_xlfn.ANCHORARRAY($P$6),ROW()-5,1),"")</f>
        <v/>
      </c>
      <c r="B27" s="328" t="str" cm="1">
        <f t="array" ref="B27">IFERROR(INDEX(_xlfn.ANCHORARRAY($P$6),ROW()-5,2),"")</f>
        <v/>
      </c>
      <c r="C27" s="227" t="str">
        <f>IF($A27="","",IF($J27="DIESEL",SUMIFS(Table1[Quantity],Table1[Customer],$M$3,Table1[Date],$A27,Table1[Bill No.],$B27),IF($J27="PETROL",SUMIFS(Table14[Quantity],Table14[Customer],$M$3,Table14[Date],$A27,Table14[Bill No.],$B27),IF($J27="XtraGreen",SUMIFS(Table146[Quantity],Table146[Company],$M$3,Table146[Date],$A27,Table146[Bill No.],$B27),""))))</f>
        <v/>
      </c>
      <c r="D27" s="228" t="str">
        <f>IF($A27="","",IF($J27="DIESEL",AVERAGEIFS(Table1[RSP],Table1[Customer],$M$3,Table1[Date],$A27,Table1[Bill No.],$B27),IF($J27="PETROL",AVERAGEIFS(Table14[RSP],Table14[Customer],$M$3,Table14[Date],$A27,Table14[Bill No.],$B27),IF($J27="XtraGreen",AVERAGEIFS(Table146[RSP],Table146[Company],$M$3,Table146[Date],$A27,Table146[Bill No.],$B27),IFERROR($E27/$C27,"")))))</f>
        <v/>
      </c>
      <c r="E27" s="338" t="str">
        <f>IF($A27="","",IF($J27="DIESEL",SUMIFS(Table1[Amount],Table1[Customer],$M$3,Table1[Date],$A27,Table1[Bill No.],$B27),IF($J27="PETROL",SUMIFS(Table14[Amount],Table14[Customer],$M$3,Table14[Date],$A27,Table14[Bill No.],$B27),IF($J27="XtraGreen",SUMIFS(Table146[Amount],Table146[Company],$M$3,Table146[Date],$A27,Table146[Bill No.],$B27),SUMIFS('Other Sale'!$D:$D,'Other Sale'!$E:$E,$M$3,'Other Sale'!$C:$C,$J27,'Other Sale'!$A:$A,$A27)))))</f>
        <v/>
      </c>
      <c r="F27" s="338" t="str" cm="1">
        <f t="array" ref="F27">IF($A27="","",IF($J27="Payment",IFERROR(INDEX(_xlfn._xlws.FILTER(MasterPaid[Amount Paid],(MasterPaid[Customer]=$M$3)*(MasterPaid[Date]=$A27)),COUNTIFS($A$6:$A27,$A27,$J$6:$J27,"Payment")),0),0))</f>
        <v/>
      </c>
      <c r="G27" s="343"/>
      <c r="H27" s="343"/>
      <c r="I27" s="338" t="str">
        <f t="shared" si="9"/>
        <v/>
      </c>
      <c r="J27" s="292" t="str" cm="1">
        <f t="array" ref="J27">IFERROR(INDEX(_xlfn.ANCHORARRAY($P$6),ROW()-5,3),"")</f>
        <v/>
      </c>
      <c r="K27" s="433" t="str" cm="1">
        <f t="array" ref="K27">IF(OR($A27="",$J27&lt;&gt;"DIESEL"),"",_xlfn.LET(_xlpm.qty,N($C27),_xlpm.pos,$T$5:$T$54,_xlpm.alo,IF($U$5:$U$54="",0,$U$5:$U$54),_xlpm.usd,SUMIFS($C$6:$C26,$K$6:$K26,_xlpm.pos&amp;""),_xlpm.bal,_xlpm.alo-_xlpm.usd,IFERROR(INDEX(_xlfn._xlws.FILTER(_xlpm.pos,(_xlpm.pos&lt;&gt;"")*(_xlpm.qty&gt;0)*(_xlpm.bal&gt;=_xlpm.qty)),1),"")))</f>
        <v/>
      </c>
      <c r="L27" s="329"/>
      <c r="M27" s="277"/>
      <c r="N27" s="277"/>
      <c r="O27" s="277"/>
      <c r="T27" s="316"/>
      <c r="U27" s="350"/>
      <c r="W27" s="316" t="str">
        <f t="shared" si="0"/>
        <v/>
      </c>
      <c r="X27" s="273" t="str">
        <f t="shared" si="1"/>
        <v/>
      </c>
      <c r="Y27" s="273" t="str">
        <f t="shared" si="2"/>
        <v/>
      </c>
      <c r="Z27" s="273" t="str">
        <f t="shared" si="3"/>
        <v/>
      </c>
      <c r="AA27" s="316" t="str">
        <f t="shared" si="4"/>
        <v/>
      </c>
      <c r="AC27" t="str" cm="1">
        <f t="array" ref="AC27">IF(INDEX($T$5:$T$54,ROW()-4)="","",INDEX($T$5:$T$54,ROW()-4))</f>
        <v/>
      </c>
      <c r="AD27" t="str">
        <f t="shared" si="5"/>
        <v/>
      </c>
      <c r="AE27" t="str">
        <f t="shared" si="6"/>
        <v/>
      </c>
      <c r="AF27" t="str">
        <f t="shared" si="7"/>
        <v/>
      </c>
      <c r="AG27">
        <f t="shared" si="8"/>
        <v>0</v>
      </c>
      <c r="AH27" t="str" cm="1">
        <f t="array" ref="AH27">IF($AC27="","",IF($AG27=1,SUMPRODUCT(($AG$5:$AG$54=1)*($AC$5:$AC$54&gt;$AC27))+1,SUM($AG$5:$AG$54)+SUMPRODUCT(($AG$5:$AG$54=0)*($AC$5:$AC$54&lt;&gt;"")*($AC$5:$AC$54&gt;$AC27))+1))</f>
        <v/>
      </c>
    </row>
    <row r="28" spans="1:34" ht="21" x14ac:dyDescent="0.25">
      <c r="A28" s="226" t="str" cm="1">
        <f t="array" ref="A28">IFERROR(INDEX(_xlfn.ANCHORARRAY($P$6),ROW()-5,1),"")</f>
        <v/>
      </c>
      <c r="B28" s="328" t="str" cm="1">
        <f t="array" ref="B28">IFERROR(INDEX(_xlfn.ANCHORARRAY($P$6),ROW()-5,2),"")</f>
        <v/>
      </c>
      <c r="C28" s="227" t="str">
        <f>IF($A28="","",IF($J28="DIESEL",SUMIFS(Table1[Quantity],Table1[Customer],$M$3,Table1[Date],$A28,Table1[Bill No.],$B28),IF($J28="PETROL",SUMIFS(Table14[Quantity],Table14[Customer],$M$3,Table14[Date],$A28,Table14[Bill No.],$B28),IF($J28="XtraGreen",SUMIFS(Table146[Quantity],Table146[Company],$M$3,Table146[Date],$A28,Table146[Bill No.],$B28),""))))</f>
        <v/>
      </c>
      <c r="D28" s="228" t="str">
        <f>IF($A28="","",IF($J28="DIESEL",AVERAGEIFS(Table1[RSP],Table1[Customer],$M$3,Table1[Date],$A28,Table1[Bill No.],$B28),IF($J28="PETROL",AVERAGEIFS(Table14[RSP],Table14[Customer],$M$3,Table14[Date],$A28,Table14[Bill No.],$B28),IF($J28="XtraGreen",AVERAGEIFS(Table146[RSP],Table146[Company],$M$3,Table146[Date],$A28,Table146[Bill No.],$B28),IFERROR($E28/$C28,"")))))</f>
        <v/>
      </c>
      <c r="E28" s="338" t="str">
        <f>IF($A28="","",IF($J28="DIESEL",SUMIFS(Table1[Amount],Table1[Customer],$M$3,Table1[Date],$A28,Table1[Bill No.],$B28),IF($J28="PETROL",SUMIFS(Table14[Amount],Table14[Customer],$M$3,Table14[Date],$A28,Table14[Bill No.],$B28),IF($J28="XtraGreen",SUMIFS(Table146[Amount],Table146[Company],$M$3,Table146[Date],$A28,Table146[Bill No.],$B28),SUMIFS('Other Sale'!$D:$D,'Other Sale'!$E:$E,$M$3,'Other Sale'!$C:$C,$J28,'Other Sale'!$A:$A,$A28)))))</f>
        <v/>
      </c>
      <c r="F28" s="338" t="str" cm="1">
        <f t="array" ref="F28">IF($A28="","",IF($J28="Payment",IFERROR(INDEX(_xlfn._xlws.FILTER(MasterPaid[Amount Paid],(MasterPaid[Customer]=$M$3)*(MasterPaid[Date]=$A28)),COUNTIFS($A$6:$A28,$A28,$J$6:$J28,"Payment")),0),0))</f>
        <v/>
      </c>
      <c r="G28" s="343"/>
      <c r="H28" s="343"/>
      <c r="I28" s="338" t="str">
        <f t="shared" si="9"/>
        <v/>
      </c>
      <c r="J28" s="292" t="str" cm="1">
        <f t="array" ref="J28">IFERROR(INDEX(_xlfn.ANCHORARRAY($P$6),ROW()-5,3),"")</f>
        <v/>
      </c>
      <c r="K28" s="433" t="str" cm="1">
        <f t="array" ref="K28">IF(OR($A28="",$J28&lt;&gt;"DIESEL"),"",_xlfn.LET(_xlpm.qty,N($C28),_xlpm.pos,$T$5:$T$54,_xlpm.alo,IF($U$5:$U$54="",0,$U$5:$U$54),_xlpm.usd,SUMIFS($C$6:$C27,$K$6:$K27,_xlpm.pos&amp;""),_xlpm.bal,_xlpm.alo-_xlpm.usd,IFERROR(INDEX(_xlfn._xlws.FILTER(_xlpm.pos,(_xlpm.pos&lt;&gt;"")*(_xlpm.qty&gt;0)*(_xlpm.bal&gt;=_xlpm.qty)),1),"")))</f>
        <v/>
      </c>
      <c r="L28" s="329"/>
      <c r="M28" s="277"/>
      <c r="N28" s="277"/>
      <c r="O28" s="277"/>
      <c r="T28" s="316"/>
      <c r="U28" s="350"/>
      <c r="W28" s="316" t="str">
        <f t="shared" si="0"/>
        <v/>
      </c>
      <c r="X28" s="273" t="str">
        <f t="shared" si="1"/>
        <v/>
      </c>
      <c r="Y28" s="273" t="str">
        <f t="shared" si="2"/>
        <v/>
      </c>
      <c r="Z28" s="273" t="str">
        <f t="shared" si="3"/>
        <v/>
      </c>
      <c r="AA28" s="316" t="str">
        <f t="shared" si="4"/>
        <v/>
      </c>
      <c r="AC28" t="str" cm="1">
        <f t="array" ref="AC28">IF(INDEX($T$5:$T$54,ROW()-4)="","",INDEX($T$5:$T$54,ROW()-4))</f>
        <v/>
      </c>
      <c r="AD28" t="str">
        <f t="shared" si="5"/>
        <v/>
      </c>
      <c r="AE28" t="str">
        <f t="shared" si="6"/>
        <v/>
      </c>
      <c r="AF28" t="str">
        <f t="shared" si="7"/>
        <v/>
      </c>
      <c r="AG28">
        <f t="shared" si="8"/>
        <v>0</v>
      </c>
      <c r="AH28" t="str" cm="1">
        <f t="array" ref="AH28">IF($AC28="","",IF($AG28=1,SUMPRODUCT(($AG$5:$AG$54=1)*($AC$5:$AC$54&gt;$AC28))+1,SUM($AG$5:$AG$54)+SUMPRODUCT(($AG$5:$AG$54=0)*($AC$5:$AC$54&lt;&gt;"")*($AC$5:$AC$54&gt;$AC28))+1))</f>
        <v/>
      </c>
    </row>
    <row r="29" spans="1:34" ht="21" x14ac:dyDescent="0.25">
      <c r="A29" s="226" t="str" cm="1">
        <f t="array" ref="A29">IFERROR(INDEX(_xlfn.ANCHORARRAY($P$6),ROW()-5,1),"")</f>
        <v/>
      </c>
      <c r="B29" s="328" t="str" cm="1">
        <f t="array" ref="B29">IFERROR(INDEX(_xlfn.ANCHORARRAY($P$6),ROW()-5,2),"")</f>
        <v/>
      </c>
      <c r="C29" s="227" t="str">
        <f>IF($A29="","",IF($J29="DIESEL",SUMIFS(Table1[Quantity],Table1[Customer],$M$3,Table1[Date],$A29,Table1[Bill No.],$B29),IF($J29="PETROL",SUMIFS(Table14[Quantity],Table14[Customer],$M$3,Table14[Date],$A29,Table14[Bill No.],$B29),IF($J29="XtraGreen",SUMIFS(Table146[Quantity],Table146[Company],$M$3,Table146[Date],$A29,Table146[Bill No.],$B29),""))))</f>
        <v/>
      </c>
      <c r="D29" s="228" t="str">
        <f>IF($A29="","",IF($J29="DIESEL",AVERAGEIFS(Table1[RSP],Table1[Customer],$M$3,Table1[Date],$A29,Table1[Bill No.],$B29),IF($J29="PETROL",AVERAGEIFS(Table14[RSP],Table14[Customer],$M$3,Table14[Date],$A29,Table14[Bill No.],$B29),IF($J29="XtraGreen",AVERAGEIFS(Table146[RSP],Table146[Company],$M$3,Table146[Date],$A29,Table146[Bill No.],$B29),IFERROR($E29/$C29,"")))))</f>
        <v/>
      </c>
      <c r="E29" s="338" t="str">
        <f>IF($A29="","",IF($J29="DIESEL",SUMIFS(Table1[Amount],Table1[Customer],$M$3,Table1[Date],$A29,Table1[Bill No.],$B29),IF($J29="PETROL",SUMIFS(Table14[Amount],Table14[Customer],$M$3,Table14[Date],$A29,Table14[Bill No.],$B29),IF($J29="XtraGreen",SUMIFS(Table146[Amount],Table146[Company],$M$3,Table146[Date],$A29,Table146[Bill No.],$B29),SUMIFS('Other Sale'!$D:$D,'Other Sale'!$E:$E,$M$3,'Other Sale'!$C:$C,$J29,'Other Sale'!$A:$A,$A29)))))</f>
        <v/>
      </c>
      <c r="F29" s="338" t="str" cm="1">
        <f t="array" ref="F29">IF($A29="","",IF($J29="Payment",IFERROR(INDEX(_xlfn._xlws.FILTER(MasterPaid[Amount Paid],(MasterPaid[Customer]=$M$3)*(MasterPaid[Date]=$A29)),COUNTIFS($A$6:$A29,$A29,$J$6:$J29,"Payment")),0),0))</f>
        <v/>
      </c>
      <c r="G29" s="343"/>
      <c r="H29" s="343"/>
      <c r="I29" s="338" t="str">
        <f t="shared" si="9"/>
        <v/>
      </c>
      <c r="J29" s="292" t="str" cm="1">
        <f t="array" ref="J29">IFERROR(INDEX(_xlfn.ANCHORARRAY($P$6),ROW()-5,3),"")</f>
        <v/>
      </c>
      <c r="K29" s="433" t="str" cm="1">
        <f t="array" ref="K29">IF(OR($A29="",$J29&lt;&gt;"DIESEL"),"",_xlfn.LET(_xlpm.qty,N($C29),_xlpm.pos,$T$5:$T$54,_xlpm.alo,IF($U$5:$U$54="",0,$U$5:$U$54),_xlpm.usd,SUMIFS($C$6:$C28,$K$6:$K28,_xlpm.pos&amp;""),_xlpm.bal,_xlpm.alo-_xlpm.usd,IFERROR(INDEX(_xlfn._xlws.FILTER(_xlpm.pos,(_xlpm.pos&lt;&gt;"")*(_xlpm.qty&gt;0)*(_xlpm.bal&gt;=_xlpm.qty)),1),"")))</f>
        <v/>
      </c>
      <c r="L29" s="329"/>
      <c r="M29" s="277"/>
      <c r="N29" s="277"/>
      <c r="O29" s="277"/>
      <c r="T29" s="316"/>
      <c r="U29" s="350"/>
      <c r="W29" s="316" t="str">
        <f t="shared" si="0"/>
        <v/>
      </c>
      <c r="X29" s="273" t="str">
        <f t="shared" si="1"/>
        <v/>
      </c>
      <c r="Y29" s="273" t="str">
        <f t="shared" si="2"/>
        <v/>
      </c>
      <c r="Z29" s="273" t="str">
        <f t="shared" si="3"/>
        <v/>
      </c>
      <c r="AA29" s="316" t="str">
        <f t="shared" si="4"/>
        <v/>
      </c>
      <c r="AC29" t="str" cm="1">
        <f t="array" ref="AC29">IF(INDEX($T$5:$T$54,ROW()-4)="","",INDEX($T$5:$T$54,ROW()-4))</f>
        <v/>
      </c>
      <c r="AD29" t="str">
        <f t="shared" si="5"/>
        <v/>
      </c>
      <c r="AE29" t="str">
        <f t="shared" si="6"/>
        <v/>
      </c>
      <c r="AF29" t="str">
        <f t="shared" si="7"/>
        <v/>
      </c>
      <c r="AG29">
        <f t="shared" si="8"/>
        <v>0</v>
      </c>
      <c r="AH29" t="str" cm="1">
        <f t="array" ref="AH29">IF($AC29="","",IF($AG29=1,SUMPRODUCT(($AG$5:$AG$54=1)*($AC$5:$AC$54&gt;$AC29))+1,SUM($AG$5:$AG$54)+SUMPRODUCT(($AG$5:$AG$54=0)*($AC$5:$AC$54&lt;&gt;"")*($AC$5:$AC$54&gt;$AC29))+1))</f>
        <v/>
      </c>
    </row>
    <row r="30" spans="1:34" ht="21" x14ac:dyDescent="0.25">
      <c r="A30" s="226" t="str" cm="1">
        <f t="array" ref="A30">IFERROR(INDEX(_xlfn.ANCHORARRAY($P$6),ROW()-5,1),"")</f>
        <v/>
      </c>
      <c r="B30" s="328" t="str" cm="1">
        <f t="array" ref="B30">IFERROR(INDEX(_xlfn.ANCHORARRAY($P$6),ROW()-5,2),"")</f>
        <v/>
      </c>
      <c r="C30" s="227" t="str">
        <f>IF($A30="","",IF($J30="DIESEL",SUMIFS(Table1[Quantity],Table1[Customer],$M$3,Table1[Date],$A30,Table1[Bill No.],$B30),IF($J30="PETROL",SUMIFS(Table14[Quantity],Table14[Customer],$M$3,Table14[Date],$A30,Table14[Bill No.],$B30),IF($J30="XtraGreen",SUMIFS(Table146[Quantity],Table146[Company],$M$3,Table146[Date],$A30,Table146[Bill No.],$B30),""))))</f>
        <v/>
      </c>
      <c r="D30" s="228" t="str">
        <f>IF($A30="","",IF($J30="DIESEL",AVERAGEIFS(Table1[RSP],Table1[Customer],$M$3,Table1[Date],$A30,Table1[Bill No.],$B30),IF($J30="PETROL",AVERAGEIFS(Table14[RSP],Table14[Customer],$M$3,Table14[Date],$A30,Table14[Bill No.],$B30),IF($J30="XtraGreen",AVERAGEIFS(Table146[RSP],Table146[Company],$M$3,Table146[Date],$A30,Table146[Bill No.],$B30),IFERROR($E30/$C30,"")))))</f>
        <v/>
      </c>
      <c r="E30" s="338" t="str">
        <f>IF($A30="","",IF($J30="DIESEL",SUMIFS(Table1[Amount],Table1[Customer],$M$3,Table1[Date],$A30,Table1[Bill No.],$B30),IF($J30="PETROL",SUMIFS(Table14[Amount],Table14[Customer],$M$3,Table14[Date],$A30,Table14[Bill No.],$B30),IF($J30="XtraGreen",SUMIFS(Table146[Amount],Table146[Company],$M$3,Table146[Date],$A30,Table146[Bill No.],$B30),SUMIFS('Other Sale'!$D:$D,'Other Sale'!$E:$E,$M$3,'Other Sale'!$C:$C,$J30,'Other Sale'!$A:$A,$A30)))))</f>
        <v/>
      </c>
      <c r="F30" s="338" t="str" cm="1">
        <f t="array" ref="F30">IF($A30="","",IF($J30="Payment",IFERROR(INDEX(_xlfn._xlws.FILTER(MasterPaid[Amount Paid],(MasterPaid[Customer]=$M$3)*(MasterPaid[Date]=$A30)),COUNTIFS($A$6:$A30,$A30,$J$6:$J30,"Payment")),0),0))</f>
        <v/>
      </c>
      <c r="G30" s="343"/>
      <c r="H30" s="343"/>
      <c r="I30" s="338" t="str">
        <f t="shared" si="9"/>
        <v/>
      </c>
      <c r="J30" s="292" t="str" cm="1">
        <f t="array" ref="J30">IFERROR(INDEX(_xlfn.ANCHORARRAY($P$6),ROW()-5,3),"")</f>
        <v/>
      </c>
      <c r="K30" s="433" t="str" cm="1">
        <f t="array" ref="K30">IF(OR($A30="",$J30&lt;&gt;"DIESEL"),"",_xlfn.LET(_xlpm.qty,N($C30),_xlpm.pos,$T$5:$T$54,_xlpm.alo,IF($U$5:$U$54="",0,$U$5:$U$54),_xlpm.usd,SUMIFS($C$6:$C29,$K$6:$K29,_xlpm.pos&amp;""),_xlpm.bal,_xlpm.alo-_xlpm.usd,IFERROR(INDEX(_xlfn._xlws.FILTER(_xlpm.pos,(_xlpm.pos&lt;&gt;"")*(_xlpm.qty&gt;0)*(_xlpm.bal&gt;=_xlpm.qty)),1),"")))</f>
        <v/>
      </c>
      <c r="L30" s="329"/>
      <c r="M30" s="277"/>
      <c r="N30" s="277"/>
      <c r="O30" s="277"/>
      <c r="T30" s="316"/>
      <c r="U30" s="350"/>
      <c r="W30" s="316" t="str">
        <f t="shared" si="0"/>
        <v/>
      </c>
      <c r="X30" s="273" t="str">
        <f t="shared" si="1"/>
        <v/>
      </c>
      <c r="Y30" s="273" t="str">
        <f t="shared" si="2"/>
        <v/>
      </c>
      <c r="Z30" s="273" t="str">
        <f t="shared" si="3"/>
        <v/>
      </c>
      <c r="AA30" s="316" t="str">
        <f t="shared" si="4"/>
        <v/>
      </c>
      <c r="AC30" t="str" cm="1">
        <f t="array" ref="AC30">IF(INDEX($T$5:$T$54,ROW()-4)="","",INDEX($T$5:$T$54,ROW()-4))</f>
        <v/>
      </c>
      <c r="AD30" t="str">
        <f t="shared" si="5"/>
        <v/>
      </c>
      <c r="AE30" t="str">
        <f t="shared" si="6"/>
        <v/>
      </c>
      <c r="AF30" t="str">
        <f t="shared" si="7"/>
        <v/>
      </c>
      <c r="AG30">
        <f t="shared" si="8"/>
        <v>0</v>
      </c>
      <c r="AH30" t="str" cm="1">
        <f t="array" ref="AH30">IF($AC30="","",IF($AG30=1,SUMPRODUCT(($AG$5:$AG$54=1)*($AC$5:$AC$54&gt;$AC30))+1,SUM($AG$5:$AG$54)+SUMPRODUCT(($AG$5:$AG$54=0)*($AC$5:$AC$54&lt;&gt;"")*($AC$5:$AC$54&gt;$AC30))+1))</f>
        <v/>
      </c>
    </row>
    <row r="31" spans="1:34" ht="21" x14ac:dyDescent="0.25">
      <c r="A31" s="226" t="str" cm="1">
        <f t="array" ref="A31">IFERROR(INDEX(_xlfn.ANCHORARRAY($P$6),ROW()-5,1),"")</f>
        <v/>
      </c>
      <c r="B31" s="328" t="str" cm="1">
        <f t="array" ref="B31">IFERROR(INDEX(_xlfn.ANCHORARRAY($P$6),ROW()-5,2),"")</f>
        <v/>
      </c>
      <c r="C31" s="227" t="str">
        <f>IF($A31="","",IF($J31="DIESEL",SUMIFS(Table1[Quantity],Table1[Customer],$M$3,Table1[Date],$A31,Table1[Bill No.],$B31),IF($J31="PETROL",SUMIFS(Table14[Quantity],Table14[Customer],$M$3,Table14[Date],$A31,Table14[Bill No.],$B31),IF($J31="XtraGreen",SUMIFS(Table146[Quantity],Table146[Company],$M$3,Table146[Date],$A31,Table146[Bill No.],$B31),""))))</f>
        <v/>
      </c>
      <c r="D31" s="228" t="str">
        <f>IF($A31="","",IF($J31="DIESEL",AVERAGEIFS(Table1[RSP],Table1[Customer],$M$3,Table1[Date],$A31,Table1[Bill No.],$B31),IF($J31="PETROL",AVERAGEIFS(Table14[RSP],Table14[Customer],$M$3,Table14[Date],$A31,Table14[Bill No.],$B31),IF($J31="XtraGreen",AVERAGEIFS(Table146[RSP],Table146[Company],$M$3,Table146[Date],$A31,Table146[Bill No.],$B31),IFERROR($E31/$C31,"")))))</f>
        <v/>
      </c>
      <c r="E31" s="338" t="str">
        <f>IF($A31="","",IF($J31="DIESEL",SUMIFS(Table1[Amount],Table1[Customer],$M$3,Table1[Date],$A31,Table1[Bill No.],$B31),IF($J31="PETROL",SUMIFS(Table14[Amount],Table14[Customer],$M$3,Table14[Date],$A31,Table14[Bill No.],$B31),IF($J31="XtraGreen",SUMIFS(Table146[Amount],Table146[Company],$M$3,Table146[Date],$A31,Table146[Bill No.],$B31),SUMIFS('Other Sale'!$D:$D,'Other Sale'!$E:$E,$M$3,'Other Sale'!$C:$C,$J31,'Other Sale'!$A:$A,$A31)))))</f>
        <v/>
      </c>
      <c r="F31" s="338" t="str" cm="1">
        <f t="array" ref="F31">IF($A31="","",IF($J31="Payment",IFERROR(INDEX(_xlfn._xlws.FILTER(MasterPaid[Amount Paid],(MasterPaid[Customer]=$M$3)*(MasterPaid[Date]=$A31)),COUNTIFS($A$6:$A31,$A31,$J$6:$J31,"Payment")),0),0))</f>
        <v/>
      </c>
      <c r="G31" s="343"/>
      <c r="H31" s="343"/>
      <c r="I31" s="338" t="str">
        <f t="shared" si="9"/>
        <v/>
      </c>
      <c r="J31" s="292" t="str" cm="1">
        <f t="array" ref="J31">IFERROR(INDEX(_xlfn.ANCHORARRAY($P$6),ROW()-5,3),"")</f>
        <v/>
      </c>
      <c r="K31" s="433" t="str" cm="1">
        <f t="array" ref="K31">IF(OR($A31="",$J31&lt;&gt;"DIESEL"),"",_xlfn.LET(_xlpm.qty,N($C31),_xlpm.pos,$T$5:$T$54,_xlpm.alo,IF($U$5:$U$54="",0,$U$5:$U$54),_xlpm.usd,SUMIFS($C$6:$C30,$K$6:$K30,_xlpm.pos&amp;""),_xlpm.bal,_xlpm.alo-_xlpm.usd,IFERROR(INDEX(_xlfn._xlws.FILTER(_xlpm.pos,(_xlpm.pos&lt;&gt;"")*(_xlpm.qty&gt;0)*(_xlpm.bal&gt;=_xlpm.qty)),1),"")))</f>
        <v/>
      </c>
      <c r="L31" s="329"/>
      <c r="M31" s="277"/>
      <c r="N31" s="277"/>
      <c r="O31" s="277"/>
      <c r="T31" s="316"/>
      <c r="U31" s="350"/>
      <c r="W31" s="316" t="str">
        <f t="shared" si="0"/>
        <v/>
      </c>
      <c r="X31" s="273" t="str">
        <f t="shared" si="1"/>
        <v/>
      </c>
      <c r="Y31" s="273" t="str">
        <f t="shared" si="2"/>
        <v/>
      </c>
      <c r="Z31" s="273" t="str">
        <f t="shared" si="3"/>
        <v/>
      </c>
      <c r="AA31" s="316" t="str">
        <f t="shared" si="4"/>
        <v/>
      </c>
      <c r="AC31" t="str" cm="1">
        <f t="array" ref="AC31">IF(INDEX($T$5:$T$54,ROW()-4)="","",INDEX($T$5:$T$54,ROW()-4))</f>
        <v/>
      </c>
      <c r="AD31" t="str">
        <f t="shared" si="5"/>
        <v/>
      </c>
      <c r="AE31" t="str">
        <f t="shared" si="6"/>
        <v/>
      </c>
      <c r="AF31" t="str">
        <f t="shared" si="7"/>
        <v/>
      </c>
      <c r="AG31">
        <f t="shared" si="8"/>
        <v>0</v>
      </c>
      <c r="AH31" t="str" cm="1">
        <f t="array" ref="AH31">IF($AC31="","",IF($AG31=1,SUMPRODUCT(($AG$5:$AG$54=1)*($AC$5:$AC$54&gt;$AC31))+1,SUM($AG$5:$AG$54)+SUMPRODUCT(($AG$5:$AG$54=0)*($AC$5:$AC$54&lt;&gt;"")*($AC$5:$AC$54&gt;$AC31))+1))</f>
        <v/>
      </c>
    </row>
    <row r="32" spans="1:34" ht="20" x14ac:dyDescent="0.2">
      <c r="A32" s="226" t="str" cm="1">
        <f t="array" ref="A32">IFERROR(INDEX(_xlfn.ANCHORARRAY($P$6),ROW()-5,1),"")</f>
        <v/>
      </c>
      <c r="B32" s="328" t="str" cm="1">
        <f t="array" ref="B32">IFERROR(INDEX(_xlfn.ANCHORARRAY($P$6),ROW()-5,2),"")</f>
        <v/>
      </c>
      <c r="C32" s="227" t="str">
        <f>IF($A32="","",IF($J32="DIESEL",SUMIFS(Table1[Quantity],Table1[Customer],$M$3,Table1[Date],$A32,Table1[Bill No.],$B32),IF($J32="PETROL",SUMIFS(Table14[Quantity],Table14[Customer],$M$3,Table14[Date],$A32,Table14[Bill No.],$B32),IF($J32="XtraGreen",SUMIFS(Table146[Quantity],Table146[Company],$M$3,Table146[Date],$A32,Table146[Bill No.],$B32),""))))</f>
        <v/>
      </c>
      <c r="D32" s="228" t="str">
        <f>IF($A32="","",IF($J32="DIESEL",AVERAGEIFS(Table1[RSP],Table1[Customer],$M$3,Table1[Date],$A32,Table1[Bill No.],$B32),IF($J32="PETROL",AVERAGEIFS(Table14[RSP],Table14[Customer],$M$3,Table14[Date],$A32,Table14[Bill No.],$B32),IF($J32="XtraGreen",AVERAGEIFS(Table146[RSP],Table146[Company],$M$3,Table146[Date],$A32,Table146[Bill No.],$B32),IFERROR($E32/$C32,"")))))</f>
        <v/>
      </c>
      <c r="E32" s="338" t="str">
        <f>IF($A32="","",IF($J32="DIESEL",SUMIFS(Table1[Amount],Table1[Customer],$M$3,Table1[Date],$A32,Table1[Bill No.],$B32),IF($J32="PETROL",SUMIFS(Table14[Amount],Table14[Customer],$M$3,Table14[Date],$A32,Table14[Bill No.],$B32),IF($J32="XtraGreen",SUMIFS(Table146[Amount],Table146[Company],$M$3,Table146[Date],$A32,Table146[Bill No.],$B32),SUMIFS('Other Sale'!$D:$D,'Other Sale'!$E:$E,$M$3,'Other Sale'!$C:$C,$J32,'Other Sale'!$A:$A,$A32)))))</f>
        <v/>
      </c>
      <c r="F32" s="338" t="str" cm="1">
        <f t="array" ref="F32">IF($A32="","",IF($J32="Payment",IFERROR(INDEX(_xlfn._xlws.FILTER(MasterPaid[Amount Paid],(MasterPaid[Customer]=$M$3)*(MasterPaid[Date]=$A32)),COUNTIFS($A$6:$A32,$A32,$J$6:$J32,"Payment")),0),0))</f>
        <v/>
      </c>
      <c r="G32" s="343"/>
      <c r="H32" s="343"/>
      <c r="I32" s="338" t="str">
        <f t="shared" si="9"/>
        <v/>
      </c>
      <c r="J32" s="292" t="str" cm="1">
        <f t="array" ref="J32">IFERROR(INDEX(_xlfn.ANCHORARRAY($P$6),ROW()-5,3),"")</f>
        <v/>
      </c>
      <c r="K32" s="433" t="str" cm="1">
        <f t="array" ref="K32">IF(OR($A32="",$J32&lt;&gt;"DIESEL"),"",_xlfn.LET(_xlpm.qty,N($C32),_xlpm.pos,$T$5:$T$54,_xlpm.alo,IF($U$5:$U$54="",0,$U$5:$U$54),_xlpm.usd,SUMIFS($C$6:$C31,$K$6:$K31,_xlpm.pos&amp;""),_xlpm.bal,_xlpm.alo-_xlpm.usd,IFERROR(INDEX(_xlfn._xlws.FILTER(_xlpm.pos,(_xlpm.pos&lt;&gt;"")*(_xlpm.qty&gt;0)*(_xlpm.bal&gt;=_xlpm.qty)),1),"")))</f>
        <v/>
      </c>
      <c r="L32" s="329"/>
      <c r="M32" s="277"/>
      <c r="N32" s="277"/>
      <c r="O32" s="277"/>
      <c r="T32" s="316"/>
      <c r="U32" s="350"/>
      <c r="W32" s="316" t="str">
        <f t="shared" si="0"/>
        <v/>
      </c>
      <c r="X32" s="273" t="str">
        <f t="shared" si="1"/>
        <v/>
      </c>
      <c r="Y32" s="273" t="str">
        <f t="shared" si="2"/>
        <v/>
      </c>
      <c r="Z32" s="273" t="str">
        <f t="shared" si="3"/>
        <v/>
      </c>
      <c r="AA32" s="316" t="str">
        <f t="shared" si="4"/>
        <v/>
      </c>
      <c r="AC32" t="str" cm="1">
        <f t="array" ref="AC32">IF(INDEX($T$5:$T$54,ROW()-4)="","",INDEX($T$5:$T$54,ROW()-4))</f>
        <v/>
      </c>
      <c r="AD32" t="str">
        <f t="shared" si="5"/>
        <v/>
      </c>
      <c r="AE32" t="str">
        <f t="shared" si="6"/>
        <v/>
      </c>
      <c r="AF32" t="str">
        <f t="shared" si="7"/>
        <v/>
      </c>
      <c r="AG32">
        <f t="shared" si="8"/>
        <v>0</v>
      </c>
      <c r="AH32" t="str" cm="1">
        <f t="array" ref="AH32">IF($AC32="","",IF($AG32=1,SUMPRODUCT(($AG$5:$AG$54=1)*($AC$5:$AC$54&gt;$AC32))+1,SUM($AG$5:$AG$54)+SUMPRODUCT(($AG$5:$AG$54=0)*($AC$5:$AC$54&lt;&gt;"")*($AC$5:$AC$54&gt;$AC32))+1))</f>
        <v/>
      </c>
    </row>
    <row r="33" spans="1:34" ht="20" x14ac:dyDescent="0.2">
      <c r="A33" s="226" t="str" cm="1">
        <f t="array" ref="A33">IFERROR(INDEX(_xlfn.ANCHORARRAY($P$6),ROW()-5,1),"")</f>
        <v/>
      </c>
      <c r="B33" s="328" t="str" cm="1">
        <f t="array" ref="B33">IFERROR(INDEX(_xlfn.ANCHORARRAY($P$6),ROW()-5,2),"")</f>
        <v/>
      </c>
      <c r="C33" s="227" t="str">
        <f>IF($A33="","",IF($J33="DIESEL",SUMIFS(Table1[Quantity],Table1[Customer],$M$3,Table1[Date],$A33,Table1[Bill No.],$B33),IF($J33="PETROL",SUMIFS(Table14[Quantity],Table14[Customer],$M$3,Table14[Date],$A33,Table14[Bill No.],$B33),IF($J33="XtraGreen",SUMIFS(Table146[Quantity],Table146[Company],$M$3,Table146[Date],$A33,Table146[Bill No.],$B33),""))))</f>
        <v/>
      </c>
      <c r="D33" s="228" t="str">
        <f>IF($A33="","",IF($J33="DIESEL",AVERAGEIFS(Table1[RSP],Table1[Customer],$M$3,Table1[Date],$A33,Table1[Bill No.],$B33),IF($J33="PETROL",AVERAGEIFS(Table14[RSP],Table14[Customer],$M$3,Table14[Date],$A33,Table14[Bill No.],$B33),IF($J33="XtraGreen",AVERAGEIFS(Table146[RSP],Table146[Company],$M$3,Table146[Date],$A33,Table146[Bill No.],$B33),IFERROR($E33/$C33,"")))))</f>
        <v/>
      </c>
      <c r="E33" s="338" t="str">
        <f>IF($A33="","",IF($J33="DIESEL",SUMIFS(Table1[Amount],Table1[Customer],$M$3,Table1[Date],$A33,Table1[Bill No.],$B33),IF($J33="PETROL",SUMIFS(Table14[Amount],Table14[Customer],$M$3,Table14[Date],$A33,Table14[Bill No.],$B33),IF($J33="XtraGreen",SUMIFS(Table146[Amount],Table146[Company],$M$3,Table146[Date],$A33,Table146[Bill No.],$B33),SUMIFS('Other Sale'!$D:$D,'Other Sale'!$E:$E,$M$3,'Other Sale'!$C:$C,$J33,'Other Sale'!$A:$A,$A33)))))</f>
        <v/>
      </c>
      <c r="F33" s="338" t="str" cm="1">
        <f t="array" ref="F33">IF($A33="","",IF($J33="Payment",IFERROR(INDEX(_xlfn._xlws.FILTER(MasterPaid[Amount Paid],(MasterPaid[Customer]=$M$3)*(MasterPaid[Date]=$A33)),COUNTIFS($A$6:$A33,$A33,$J$6:$J33,"Payment")),0),0))</f>
        <v/>
      </c>
      <c r="G33" s="343"/>
      <c r="H33" s="343"/>
      <c r="I33" s="338" t="str">
        <f t="shared" si="9"/>
        <v/>
      </c>
      <c r="J33" s="292" t="str" cm="1">
        <f t="array" ref="J33">IFERROR(INDEX(_xlfn.ANCHORARRAY($P$6),ROW()-5,3),"")</f>
        <v/>
      </c>
      <c r="K33" s="433" t="str" cm="1">
        <f t="array" ref="K33">IF(OR($A33="",$J33&lt;&gt;"DIESEL"),"",_xlfn.LET(_xlpm.qty,N($C33),_xlpm.pos,$T$5:$T$54,_xlpm.alo,IF($U$5:$U$54="",0,$U$5:$U$54),_xlpm.usd,SUMIFS($C$6:$C32,$K$6:$K32,_xlpm.pos&amp;""),_xlpm.bal,_xlpm.alo-_xlpm.usd,IFERROR(INDEX(_xlfn._xlws.FILTER(_xlpm.pos,(_xlpm.pos&lt;&gt;"")*(_xlpm.qty&gt;0)*(_xlpm.bal&gt;=_xlpm.qty)),1),"")))</f>
        <v/>
      </c>
      <c r="L33" s="329"/>
      <c r="M33" s="277"/>
      <c r="N33" s="277"/>
      <c r="O33" s="277"/>
      <c r="T33" s="316"/>
      <c r="U33" s="350"/>
      <c r="W33" s="316" t="str">
        <f t="shared" si="0"/>
        <v/>
      </c>
      <c r="X33" s="273" t="str">
        <f t="shared" si="1"/>
        <v/>
      </c>
      <c r="Y33" s="273" t="str">
        <f t="shared" si="2"/>
        <v/>
      </c>
      <c r="Z33" s="273" t="str">
        <f t="shared" si="3"/>
        <v/>
      </c>
      <c r="AA33" s="316" t="str">
        <f t="shared" si="4"/>
        <v/>
      </c>
      <c r="AC33" t="str" cm="1">
        <f t="array" ref="AC33">IF(INDEX($T$5:$T$54,ROW()-4)="","",INDEX($T$5:$T$54,ROW()-4))</f>
        <v/>
      </c>
      <c r="AD33" t="str">
        <f t="shared" si="5"/>
        <v/>
      </c>
      <c r="AE33" t="str">
        <f t="shared" si="6"/>
        <v/>
      </c>
      <c r="AF33" t="str">
        <f t="shared" si="7"/>
        <v/>
      </c>
      <c r="AG33">
        <f t="shared" si="8"/>
        <v>0</v>
      </c>
      <c r="AH33" t="str" cm="1">
        <f t="array" ref="AH33">IF($AC33="","",IF($AG33=1,SUMPRODUCT(($AG$5:$AG$54=1)*($AC$5:$AC$54&gt;$AC33))+1,SUM($AG$5:$AG$54)+SUMPRODUCT(($AG$5:$AG$54=0)*($AC$5:$AC$54&lt;&gt;"")*($AC$5:$AC$54&gt;$AC33))+1))</f>
        <v/>
      </c>
    </row>
    <row r="34" spans="1:34" ht="20" x14ac:dyDescent="0.2">
      <c r="A34" s="226" t="str" cm="1">
        <f t="array" ref="A34">IFERROR(INDEX(_xlfn.ANCHORARRAY($P$6),ROW()-5,1),"")</f>
        <v/>
      </c>
      <c r="B34" s="328" t="str" cm="1">
        <f t="array" ref="B34">IFERROR(INDEX(_xlfn.ANCHORARRAY($P$6),ROW()-5,2),"")</f>
        <v/>
      </c>
      <c r="C34" s="227" t="str">
        <f>IF($A34="","",IF($J34="DIESEL",SUMIFS(Table1[Quantity],Table1[Customer],$M$3,Table1[Date],$A34,Table1[Bill No.],$B34),IF($J34="PETROL",SUMIFS(Table14[Quantity],Table14[Customer],$M$3,Table14[Date],$A34,Table14[Bill No.],$B34),IF($J34="XtraGreen",SUMIFS(Table146[Quantity],Table146[Company],$M$3,Table146[Date],$A34,Table146[Bill No.],$B34),""))))</f>
        <v/>
      </c>
      <c r="D34" s="228" t="str">
        <f>IF($A34="","",IF($J34="DIESEL",AVERAGEIFS(Table1[RSP],Table1[Customer],$M$3,Table1[Date],$A34,Table1[Bill No.],$B34),IF($J34="PETROL",AVERAGEIFS(Table14[RSP],Table14[Customer],$M$3,Table14[Date],$A34,Table14[Bill No.],$B34),IF($J34="XtraGreen",AVERAGEIFS(Table146[RSP],Table146[Company],$M$3,Table146[Date],$A34,Table146[Bill No.],$B34),IFERROR($E34/$C34,"")))))</f>
        <v/>
      </c>
      <c r="E34" s="338" t="str">
        <f>IF($A34="","",IF($J34="DIESEL",SUMIFS(Table1[Amount],Table1[Customer],$M$3,Table1[Date],$A34,Table1[Bill No.],$B34),IF($J34="PETROL",SUMIFS(Table14[Amount],Table14[Customer],$M$3,Table14[Date],$A34,Table14[Bill No.],$B34),IF($J34="XtraGreen",SUMIFS(Table146[Amount],Table146[Company],$M$3,Table146[Date],$A34,Table146[Bill No.],$B34),SUMIFS('Other Sale'!$D:$D,'Other Sale'!$E:$E,$M$3,'Other Sale'!$C:$C,$J34,'Other Sale'!$A:$A,$A34)))))</f>
        <v/>
      </c>
      <c r="F34" s="338" t="str" cm="1">
        <f t="array" ref="F34">IF($A34="","",IF($J34="Payment",IFERROR(INDEX(_xlfn._xlws.FILTER(MasterPaid[Amount Paid],(MasterPaid[Customer]=$M$3)*(MasterPaid[Date]=$A34)),COUNTIFS($A$6:$A34,$A34,$J$6:$J34,"Payment")),0),0))</f>
        <v/>
      </c>
      <c r="G34" s="343"/>
      <c r="H34" s="343"/>
      <c r="I34" s="338" t="str">
        <f t="shared" si="9"/>
        <v/>
      </c>
      <c r="J34" s="292" t="str" cm="1">
        <f t="array" ref="J34">IFERROR(INDEX(_xlfn.ANCHORARRAY($P$6),ROW()-5,3),"")</f>
        <v/>
      </c>
      <c r="K34" s="433" t="str" cm="1">
        <f t="array" ref="K34">IF(OR($A34="",$J34&lt;&gt;"DIESEL"),"",_xlfn.LET(_xlpm.qty,N($C34),_xlpm.pos,$T$5:$T$54,_xlpm.alo,IF($U$5:$U$54="",0,$U$5:$U$54),_xlpm.usd,SUMIFS($C$6:$C33,$K$6:$K33,_xlpm.pos&amp;""),_xlpm.bal,_xlpm.alo-_xlpm.usd,IFERROR(INDEX(_xlfn._xlws.FILTER(_xlpm.pos,(_xlpm.pos&lt;&gt;"")*(_xlpm.qty&gt;0)*(_xlpm.bal&gt;=_xlpm.qty)),1),"")))</f>
        <v/>
      </c>
      <c r="L34" s="329"/>
      <c r="M34" s="277"/>
      <c r="N34" s="277"/>
      <c r="O34" s="277"/>
      <c r="T34" s="316"/>
      <c r="U34" s="350"/>
      <c r="W34" s="316" t="str">
        <f t="shared" si="0"/>
        <v/>
      </c>
      <c r="X34" s="273" t="str">
        <f t="shared" si="1"/>
        <v/>
      </c>
      <c r="Y34" s="273" t="str">
        <f t="shared" si="2"/>
        <v/>
      </c>
      <c r="Z34" s="273" t="str">
        <f t="shared" si="3"/>
        <v/>
      </c>
      <c r="AA34" s="316" t="str">
        <f t="shared" si="4"/>
        <v/>
      </c>
      <c r="AC34" t="str" cm="1">
        <f t="array" ref="AC34">IF(INDEX($T$5:$T$54,ROW()-4)="","",INDEX($T$5:$T$54,ROW()-4))</f>
        <v/>
      </c>
      <c r="AD34" t="str">
        <f t="shared" si="5"/>
        <v/>
      </c>
      <c r="AE34" t="str">
        <f t="shared" si="6"/>
        <v/>
      </c>
      <c r="AF34" t="str">
        <f t="shared" si="7"/>
        <v/>
      </c>
      <c r="AG34">
        <f t="shared" si="8"/>
        <v>0</v>
      </c>
      <c r="AH34" t="str" cm="1">
        <f t="array" ref="AH34">IF($AC34="","",IF($AG34=1,SUMPRODUCT(($AG$5:$AG$54=1)*($AC$5:$AC$54&gt;$AC34))+1,SUM($AG$5:$AG$54)+SUMPRODUCT(($AG$5:$AG$54=0)*($AC$5:$AC$54&lt;&gt;"")*($AC$5:$AC$54&gt;$AC34))+1))</f>
        <v/>
      </c>
    </row>
    <row r="35" spans="1:34" ht="20" x14ac:dyDescent="0.2">
      <c r="A35" s="226" t="str" cm="1">
        <f t="array" ref="A35">IFERROR(INDEX(_xlfn.ANCHORARRAY($P$6),ROW()-5,1),"")</f>
        <v/>
      </c>
      <c r="B35" s="328" t="str" cm="1">
        <f t="array" ref="B35">IFERROR(INDEX(_xlfn.ANCHORARRAY($P$6),ROW()-5,2),"")</f>
        <v/>
      </c>
      <c r="C35" s="227" t="str">
        <f>IF($A35="","",IF($J35="DIESEL",SUMIFS(Table1[Quantity],Table1[Customer],$M$3,Table1[Date],$A35,Table1[Bill No.],$B35),IF($J35="PETROL",SUMIFS(Table14[Quantity],Table14[Customer],$M$3,Table14[Date],$A35,Table14[Bill No.],$B35),IF($J35="XtraGreen",SUMIFS(Table146[Quantity],Table146[Company],$M$3,Table146[Date],$A35,Table146[Bill No.],$B35),""))))</f>
        <v/>
      </c>
      <c r="D35" s="228" t="str">
        <f>IF($A35="","",IF($J35="DIESEL",AVERAGEIFS(Table1[RSP],Table1[Customer],$M$3,Table1[Date],$A35,Table1[Bill No.],$B35),IF($J35="PETROL",AVERAGEIFS(Table14[RSP],Table14[Customer],$M$3,Table14[Date],$A35,Table14[Bill No.],$B35),IF($J35="XtraGreen",AVERAGEIFS(Table146[RSP],Table146[Company],$M$3,Table146[Date],$A35,Table146[Bill No.],$B35),IFERROR($E35/$C35,"")))))</f>
        <v/>
      </c>
      <c r="E35" s="338" t="str">
        <f>IF($A35="","",IF($J35="DIESEL",SUMIFS(Table1[Amount],Table1[Customer],$M$3,Table1[Date],$A35,Table1[Bill No.],$B35),IF($J35="PETROL",SUMIFS(Table14[Amount],Table14[Customer],$M$3,Table14[Date],$A35,Table14[Bill No.],$B35),IF($J35="XtraGreen",SUMIFS(Table146[Amount],Table146[Company],$M$3,Table146[Date],$A35,Table146[Bill No.],$B35),SUMIFS('Other Sale'!$D:$D,'Other Sale'!$E:$E,$M$3,'Other Sale'!$C:$C,$J35,'Other Sale'!$A:$A,$A35)))))</f>
        <v/>
      </c>
      <c r="F35" s="338" t="str" cm="1">
        <f t="array" ref="F35">IF($A35="","",IF($J35="Payment",IFERROR(INDEX(_xlfn._xlws.FILTER(MasterPaid[Amount Paid],(MasterPaid[Customer]=$M$3)*(MasterPaid[Date]=$A35)),COUNTIFS($A$6:$A35,$A35,$J$6:$J35,"Payment")),0),0))</f>
        <v/>
      </c>
      <c r="G35" s="343"/>
      <c r="H35" s="343"/>
      <c r="I35" s="338" t="str">
        <f t="shared" si="9"/>
        <v/>
      </c>
      <c r="J35" s="292" t="str" cm="1">
        <f t="array" ref="J35">IFERROR(INDEX(_xlfn.ANCHORARRAY($P$6),ROW()-5,3),"")</f>
        <v/>
      </c>
      <c r="K35" s="433" t="str" cm="1">
        <f t="array" ref="K35">IF(OR($A35="",$J35&lt;&gt;"DIESEL"),"",_xlfn.LET(_xlpm.qty,N($C35),_xlpm.pos,$T$5:$T$54,_xlpm.alo,IF($U$5:$U$54="",0,$U$5:$U$54),_xlpm.usd,SUMIFS($C$6:$C34,$K$6:$K34,_xlpm.pos&amp;""),_xlpm.bal,_xlpm.alo-_xlpm.usd,IFERROR(INDEX(_xlfn._xlws.FILTER(_xlpm.pos,(_xlpm.pos&lt;&gt;"")*(_xlpm.qty&gt;0)*(_xlpm.bal&gt;=_xlpm.qty)),1),"")))</f>
        <v/>
      </c>
      <c r="L35" s="329"/>
      <c r="M35" s="277"/>
      <c r="N35" s="277"/>
      <c r="O35" s="277"/>
      <c r="T35" s="316"/>
      <c r="U35" s="350"/>
      <c r="W35" s="316" t="str">
        <f t="shared" si="0"/>
        <v/>
      </c>
      <c r="X35" s="273" t="str">
        <f t="shared" si="1"/>
        <v/>
      </c>
      <c r="Y35" s="273" t="str">
        <f t="shared" si="2"/>
        <v/>
      </c>
      <c r="Z35" s="273" t="str">
        <f t="shared" si="3"/>
        <v/>
      </c>
      <c r="AA35" s="316" t="str">
        <f t="shared" si="4"/>
        <v/>
      </c>
      <c r="AC35" t="str" cm="1">
        <f t="array" ref="AC35">IF(INDEX($T$5:$T$54,ROW()-4)="","",INDEX($T$5:$T$54,ROW()-4))</f>
        <v/>
      </c>
      <c r="AD35" t="str">
        <f t="shared" si="5"/>
        <v/>
      </c>
      <c r="AE35" t="str">
        <f t="shared" si="6"/>
        <v/>
      </c>
      <c r="AF35" t="str">
        <f t="shared" si="7"/>
        <v/>
      </c>
      <c r="AG35">
        <f t="shared" si="8"/>
        <v>0</v>
      </c>
      <c r="AH35" t="str" cm="1">
        <f t="array" ref="AH35">IF($AC35="","",IF($AG35=1,SUMPRODUCT(($AG$5:$AG$54=1)*($AC$5:$AC$54&gt;$AC35))+1,SUM($AG$5:$AG$54)+SUMPRODUCT(($AG$5:$AG$54=0)*($AC$5:$AC$54&lt;&gt;"")*($AC$5:$AC$54&gt;$AC35))+1))</f>
        <v/>
      </c>
    </row>
    <row r="36" spans="1:34" ht="20" x14ac:dyDescent="0.2">
      <c r="A36" s="226" t="str" cm="1">
        <f t="array" ref="A36">IFERROR(INDEX(_xlfn.ANCHORARRAY($P$6),ROW()-5,1),"")</f>
        <v/>
      </c>
      <c r="B36" s="328" t="str" cm="1">
        <f t="array" ref="B36">IFERROR(INDEX(_xlfn.ANCHORARRAY($P$6),ROW()-5,2),"")</f>
        <v/>
      </c>
      <c r="C36" s="227" t="str">
        <f>IF($A36="","",IF($J36="DIESEL",SUMIFS(Table1[Quantity],Table1[Customer],$M$3,Table1[Date],$A36,Table1[Bill No.],$B36),IF($J36="PETROL",SUMIFS(Table14[Quantity],Table14[Customer],$M$3,Table14[Date],$A36,Table14[Bill No.],$B36),IF($J36="XtraGreen",SUMIFS(Table146[Quantity],Table146[Company],$M$3,Table146[Date],$A36,Table146[Bill No.],$B36),""))))</f>
        <v/>
      </c>
      <c r="D36" s="228" t="str">
        <f>IF($A36="","",IF($J36="DIESEL",AVERAGEIFS(Table1[RSP],Table1[Customer],$M$3,Table1[Date],$A36,Table1[Bill No.],$B36),IF($J36="PETROL",AVERAGEIFS(Table14[RSP],Table14[Customer],$M$3,Table14[Date],$A36,Table14[Bill No.],$B36),IF($J36="XtraGreen",AVERAGEIFS(Table146[RSP],Table146[Company],$M$3,Table146[Date],$A36,Table146[Bill No.],$B36),IFERROR($E36/$C36,"")))))</f>
        <v/>
      </c>
      <c r="E36" s="338" t="str">
        <f>IF($A36="","",IF($J36="DIESEL",SUMIFS(Table1[Amount],Table1[Customer],$M$3,Table1[Date],$A36,Table1[Bill No.],$B36),IF($J36="PETROL",SUMIFS(Table14[Amount],Table14[Customer],$M$3,Table14[Date],$A36,Table14[Bill No.],$B36),IF($J36="XtraGreen",SUMIFS(Table146[Amount],Table146[Company],$M$3,Table146[Date],$A36,Table146[Bill No.],$B36),SUMIFS('Other Sale'!$D:$D,'Other Sale'!$E:$E,$M$3,'Other Sale'!$C:$C,$J36,'Other Sale'!$A:$A,$A36)))))</f>
        <v/>
      </c>
      <c r="F36" s="338" t="str" cm="1">
        <f t="array" ref="F36">IF($A36="","",IF($J36="Payment",IFERROR(INDEX(_xlfn._xlws.FILTER(MasterPaid[Amount Paid],(MasterPaid[Customer]=$M$3)*(MasterPaid[Date]=$A36)),COUNTIFS($A$6:$A36,$A36,$J$6:$J36,"Payment")),0),0))</f>
        <v/>
      </c>
      <c r="G36" s="343"/>
      <c r="H36" s="343"/>
      <c r="I36" s="338" t="str">
        <f t="shared" si="9"/>
        <v/>
      </c>
      <c r="J36" s="292" t="str" cm="1">
        <f t="array" ref="J36">IFERROR(INDEX(_xlfn.ANCHORARRAY($P$6),ROW()-5,3),"")</f>
        <v/>
      </c>
      <c r="K36" s="433" t="str" cm="1">
        <f t="array" ref="K36">IF(OR($A36="",$J36&lt;&gt;"DIESEL"),"",_xlfn.LET(_xlpm.qty,N($C36),_xlpm.pos,$T$5:$T$54,_xlpm.alo,IF($U$5:$U$54="",0,$U$5:$U$54),_xlpm.usd,SUMIFS($C$6:$C35,$K$6:$K35,_xlpm.pos&amp;""),_xlpm.bal,_xlpm.alo-_xlpm.usd,IFERROR(INDEX(_xlfn._xlws.FILTER(_xlpm.pos,(_xlpm.pos&lt;&gt;"")*(_xlpm.qty&gt;0)*(_xlpm.bal&gt;=_xlpm.qty)),1),"")))</f>
        <v/>
      </c>
      <c r="L36" s="329"/>
      <c r="M36" s="277"/>
      <c r="N36" s="277"/>
      <c r="O36" s="277"/>
      <c r="T36" s="316"/>
      <c r="U36" s="350"/>
      <c r="W36" s="316" t="str">
        <f t="shared" si="0"/>
        <v/>
      </c>
      <c r="X36" s="273" t="str">
        <f t="shared" si="1"/>
        <v/>
      </c>
      <c r="Y36" s="273" t="str">
        <f t="shared" si="2"/>
        <v/>
      </c>
      <c r="Z36" s="273" t="str">
        <f t="shared" si="3"/>
        <v/>
      </c>
      <c r="AA36" s="316" t="str">
        <f t="shared" si="4"/>
        <v/>
      </c>
      <c r="AC36" t="str" cm="1">
        <f t="array" ref="AC36">IF(INDEX($T$5:$T$54,ROW()-4)="","",INDEX($T$5:$T$54,ROW()-4))</f>
        <v/>
      </c>
      <c r="AD36" t="str">
        <f t="shared" si="5"/>
        <v/>
      </c>
      <c r="AE36" t="str">
        <f t="shared" si="6"/>
        <v/>
      </c>
      <c r="AF36" t="str">
        <f t="shared" si="7"/>
        <v/>
      </c>
      <c r="AG36">
        <f t="shared" si="8"/>
        <v>0</v>
      </c>
      <c r="AH36" t="str" cm="1">
        <f t="array" ref="AH36">IF($AC36="","",IF($AG36=1,SUMPRODUCT(($AG$5:$AG$54=1)*($AC$5:$AC$54&gt;$AC36))+1,SUM($AG$5:$AG$54)+SUMPRODUCT(($AG$5:$AG$54=0)*($AC$5:$AC$54&lt;&gt;"")*($AC$5:$AC$54&gt;$AC36))+1))</f>
        <v/>
      </c>
    </row>
    <row r="37" spans="1:34" ht="20" x14ac:dyDescent="0.2">
      <c r="A37" s="226" t="str" cm="1">
        <f t="array" ref="A37">IFERROR(INDEX(_xlfn.ANCHORARRAY($P$6),ROW()-5,1),"")</f>
        <v/>
      </c>
      <c r="B37" s="328" t="str" cm="1">
        <f t="array" ref="B37">IFERROR(INDEX(_xlfn.ANCHORARRAY($P$6),ROW()-5,2),"")</f>
        <v/>
      </c>
      <c r="C37" s="227" t="str">
        <f>IF($A37="","",IF($J37="DIESEL",SUMIFS(Table1[Quantity],Table1[Customer],$M$3,Table1[Date],$A37,Table1[Bill No.],$B37),IF($J37="PETROL",SUMIFS(Table14[Quantity],Table14[Customer],$M$3,Table14[Date],$A37,Table14[Bill No.],$B37),IF($J37="XtraGreen",SUMIFS(Table146[Quantity],Table146[Company],$M$3,Table146[Date],$A37,Table146[Bill No.],$B37),""))))</f>
        <v/>
      </c>
      <c r="D37" s="228" t="str">
        <f>IF($A37="","",IF($J37="DIESEL",AVERAGEIFS(Table1[RSP],Table1[Customer],$M$3,Table1[Date],$A37,Table1[Bill No.],$B37),IF($J37="PETROL",AVERAGEIFS(Table14[RSP],Table14[Customer],$M$3,Table14[Date],$A37,Table14[Bill No.],$B37),IF($J37="XtraGreen",AVERAGEIFS(Table146[RSP],Table146[Company],$M$3,Table146[Date],$A37,Table146[Bill No.],$B37),IFERROR($E37/$C37,"")))))</f>
        <v/>
      </c>
      <c r="E37" s="338" t="str">
        <f>IF($A37="","",IF($J37="DIESEL",SUMIFS(Table1[Amount],Table1[Customer],$M$3,Table1[Date],$A37,Table1[Bill No.],$B37),IF($J37="PETROL",SUMIFS(Table14[Amount],Table14[Customer],$M$3,Table14[Date],$A37,Table14[Bill No.],$B37),IF($J37="XtraGreen",SUMIFS(Table146[Amount],Table146[Company],$M$3,Table146[Date],$A37,Table146[Bill No.],$B37),SUMIFS('Other Sale'!$D:$D,'Other Sale'!$E:$E,$M$3,'Other Sale'!$C:$C,$J37,'Other Sale'!$A:$A,$A37)))))</f>
        <v/>
      </c>
      <c r="F37" s="338" t="str" cm="1">
        <f t="array" ref="F37">IF($A37="","",IF($J37="Payment",IFERROR(INDEX(_xlfn._xlws.FILTER(MasterPaid[Amount Paid],(MasterPaid[Customer]=$M$3)*(MasterPaid[Date]=$A37)),COUNTIFS($A$6:$A37,$A37,$J$6:$J37,"Payment")),0),0))</f>
        <v/>
      </c>
      <c r="G37" s="343"/>
      <c r="H37" s="343"/>
      <c r="I37" s="338" t="str">
        <f t="shared" si="9"/>
        <v/>
      </c>
      <c r="J37" s="292" t="str" cm="1">
        <f t="array" ref="J37">IFERROR(INDEX(_xlfn.ANCHORARRAY($P$6),ROW()-5,3),"")</f>
        <v/>
      </c>
      <c r="K37" s="433" t="str" cm="1">
        <f t="array" ref="K37">IF(OR($A37="",$J37&lt;&gt;"DIESEL"),"",_xlfn.LET(_xlpm.qty,N($C37),_xlpm.pos,$T$5:$T$54,_xlpm.alo,IF($U$5:$U$54="",0,$U$5:$U$54),_xlpm.usd,SUMIFS($C$6:$C36,$K$6:$K36,_xlpm.pos&amp;""),_xlpm.bal,_xlpm.alo-_xlpm.usd,IFERROR(INDEX(_xlfn._xlws.FILTER(_xlpm.pos,(_xlpm.pos&lt;&gt;"")*(_xlpm.qty&gt;0)*(_xlpm.bal&gt;=_xlpm.qty)),1),"")))</f>
        <v/>
      </c>
      <c r="L37" s="329"/>
      <c r="M37" s="277"/>
      <c r="N37" s="277"/>
      <c r="O37" s="277"/>
      <c r="T37" s="316"/>
      <c r="U37" s="350"/>
      <c r="W37" s="316" t="str">
        <f t="shared" si="0"/>
        <v/>
      </c>
      <c r="X37" s="273" t="str">
        <f t="shared" si="1"/>
        <v/>
      </c>
      <c r="Y37" s="273" t="str">
        <f t="shared" si="2"/>
        <v/>
      </c>
      <c r="Z37" s="273" t="str">
        <f t="shared" si="3"/>
        <v/>
      </c>
      <c r="AA37" s="316" t="str">
        <f t="shared" si="4"/>
        <v/>
      </c>
      <c r="AC37" t="str" cm="1">
        <f t="array" ref="AC37">IF(INDEX($T$5:$T$54,ROW()-4)="","",INDEX($T$5:$T$54,ROW()-4))</f>
        <v/>
      </c>
      <c r="AD37" t="str">
        <f t="shared" si="5"/>
        <v/>
      </c>
      <c r="AE37" t="str">
        <f t="shared" si="6"/>
        <v/>
      </c>
      <c r="AF37" t="str">
        <f t="shared" si="7"/>
        <v/>
      </c>
      <c r="AG37">
        <f t="shared" si="8"/>
        <v>0</v>
      </c>
      <c r="AH37" t="str" cm="1">
        <f t="array" ref="AH37">IF($AC37="","",IF($AG37=1,SUMPRODUCT(($AG$5:$AG$54=1)*($AC$5:$AC$54&gt;$AC37))+1,SUM($AG$5:$AG$54)+SUMPRODUCT(($AG$5:$AG$54=0)*($AC$5:$AC$54&lt;&gt;"")*($AC$5:$AC$54&gt;$AC37))+1))</f>
        <v/>
      </c>
    </row>
    <row r="38" spans="1:34" ht="20" x14ac:dyDescent="0.2">
      <c r="A38" s="226" t="str" cm="1">
        <f t="array" ref="A38">IFERROR(INDEX(_xlfn.ANCHORARRAY($P$6),ROW()-5,1),"")</f>
        <v/>
      </c>
      <c r="B38" s="328" t="str" cm="1">
        <f t="array" ref="B38">IFERROR(INDEX(_xlfn.ANCHORARRAY($P$6),ROW()-5,2),"")</f>
        <v/>
      </c>
      <c r="C38" s="227" t="str">
        <f>IF($A38="","",IF($J38="DIESEL",SUMIFS(Table1[Quantity],Table1[Customer],$M$3,Table1[Date],$A38,Table1[Bill No.],$B38),IF($J38="PETROL",SUMIFS(Table14[Quantity],Table14[Customer],$M$3,Table14[Date],$A38,Table14[Bill No.],$B38),IF($J38="XtraGreen",SUMIFS(Table146[Quantity],Table146[Company],$M$3,Table146[Date],$A38,Table146[Bill No.],$B38),""))))</f>
        <v/>
      </c>
      <c r="D38" s="228" t="str">
        <f>IF($A38="","",IF($J38="DIESEL",AVERAGEIFS(Table1[RSP],Table1[Customer],$M$3,Table1[Date],$A38,Table1[Bill No.],$B38),IF($J38="PETROL",AVERAGEIFS(Table14[RSP],Table14[Customer],$M$3,Table14[Date],$A38,Table14[Bill No.],$B38),IF($J38="XtraGreen",AVERAGEIFS(Table146[RSP],Table146[Company],$M$3,Table146[Date],$A38,Table146[Bill No.],$B38),IFERROR($E38/$C38,"")))))</f>
        <v/>
      </c>
      <c r="E38" s="338" t="str">
        <f>IF($A38="","",IF($J38="DIESEL",SUMIFS(Table1[Amount],Table1[Customer],$M$3,Table1[Date],$A38,Table1[Bill No.],$B38),IF($J38="PETROL",SUMIFS(Table14[Amount],Table14[Customer],$M$3,Table14[Date],$A38,Table14[Bill No.],$B38),IF($J38="XtraGreen",SUMIFS(Table146[Amount],Table146[Company],$M$3,Table146[Date],$A38,Table146[Bill No.],$B38),SUMIFS('Other Sale'!$D:$D,'Other Sale'!$E:$E,$M$3,'Other Sale'!$C:$C,$J38,'Other Sale'!$A:$A,$A38)))))</f>
        <v/>
      </c>
      <c r="F38" s="338" t="str" cm="1">
        <f t="array" ref="F38">IF($A38="","",IF($J38="Payment",IFERROR(INDEX(_xlfn._xlws.FILTER(MasterPaid[Amount Paid],(MasterPaid[Customer]=$M$3)*(MasterPaid[Date]=$A38)),COUNTIFS($A$6:$A38,$A38,$J$6:$J38,"Payment")),0),0))</f>
        <v/>
      </c>
      <c r="G38" s="343"/>
      <c r="H38" s="343"/>
      <c r="I38" s="338" t="str">
        <f t="shared" si="9"/>
        <v/>
      </c>
      <c r="J38" s="292" t="str" cm="1">
        <f t="array" ref="J38">IFERROR(INDEX(_xlfn.ANCHORARRAY($P$6),ROW()-5,3),"")</f>
        <v/>
      </c>
      <c r="K38" s="433" t="str" cm="1">
        <f t="array" ref="K38">IF(OR($A38="",$J38&lt;&gt;"DIESEL"),"",_xlfn.LET(_xlpm.qty,N($C38),_xlpm.pos,$T$5:$T$54,_xlpm.alo,IF($U$5:$U$54="",0,$U$5:$U$54),_xlpm.usd,SUMIFS($C$6:$C37,$K$6:$K37,_xlpm.pos&amp;""),_xlpm.bal,_xlpm.alo-_xlpm.usd,IFERROR(INDEX(_xlfn._xlws.FILTER(_xlpm.pos,(_xlpm.pos&lt;&gt;"")*(_xlpm.qty&gt;0)*(_xlpm.bal&gt;=_xlpm.qty)),1),"")))</f>
        <v/>
      </c>
      <c r="L38" s="329"/>
      <c r="M38" s="277"/>
      <c r="N38" s="277"/>
      <c r="O38" s="277"/>
      <c r="T38" s="316"/>
      <c r="U38" s="350"/>
      <c r="W38" s="316" t="str">
        <f t="shared" si="0"/>
        <v/>
      </c>
      <c r="X38" s="273" t="str">
        <f t="shared" si="1"/>
        <v/>
      </c>
      <c r="Y38" s="273" t="str">
        <f t="shared" si="2"/>
        <v/>
      </c>
      <c r="Z38" s="273" t="str">
        <f t="shared" si="3"/>
        <v/>
      </c>
      <c r="AA38" s="316" t="str">
        <f t="shared" si="4"/>
        <v/>
      </c>
      <c r="AC38" t="str" cm="1">
        <f t="array" ref="AC38">IF(INDEX($T$5:$T$54,ROW()-4)="","",INDEX($T$5:$T$54,ROW()-4))</f>
        <v/>
      </c>
      <c r="AD38" t="str">
        <f t="shared" si="5"/>
        <v/>
      </c>
      <c r="AE38" t="str">
        <f t="shared" si="6"/>
        <v/>
      </c>
      <c r="AF38" t="str">
        <f t="shared" si="7"/>
        <v/>
      </c>
      <c r="AG38">
        <f t="shared" si="8"/>
        <v>0</v>
      </c>
      <c r="AH38" t="str" cm="1">
        <f t="array" ref="AH38">IF($AC38="","",IF($AG38=1,SUMPRODUCT(($AG$5:$AG$54=1)*($AC$5:$AC$54&gt;$AC38))+1,SUM($AG$5:$AG$54)+SUMPRODUCT(($AG$5:$AG$54=0)*($AC$5:$AC$54&lt;&gt;"")*($AC$5:$AC$54&gt;$AC38))+1))</f>
        <v/>
      </c>
    </row>
    <row r="39" spans="1:34" ht="20" x14ac:dyDescent="0.2">
      <c r="A39" s="226" t="str" cm="1">
        <f t="array" ref="A39">IFERROR(INDEX(_xlfn.ANCHORARRAY($P$6),ROW()-5,1),"")</f>
        <v/>
      </c>
      <c r="B39" s="328" t="str" cm="1">
        <f t="array" ref="B39">IFERROR(INDEX(_xlfn.ANCHORARRAY($P$6),ROW()-5,2),"")</f>
        <v/>
      </c>
      <c r="C39" s="227" t="str">
        <f>IF($A39="","",IF($J39="DIESEL",SUMIFS(Table1[Quantity],Table1[Customer],$M$3,Table1[Date],$A39,Table1[Bill No.],$B39),IF($J39="PETROL",SUMIFS(Table14[Quantity],Table14[Customer],$M$3,Table14[Date],$A39,Table14[Bill No.],$B39),IF($J39="XtraGreen",SUMIFS(Table146[Quantity],Table146[Company],$M$3,Table146[Date],$A39,Table146[Bill No.],$B39),""))))</f>
        <v/>
      </c>
      <c r="D39" s="228" t="str">
        <f>IF($A39="","",IF($J39="DIESEL",AVERAGEIFS(Table1[RSP],Table1[Customer],$M$3,Table1[Date],$A39,Table1[Bill No.],$B39),IF($J39="PETROL",AVERAGEIFS(Table14[RSP],Table14[Customer],$M$3,Table14[Date],$A39,Table14[Bill No.],$B39),IF($J39="XtraGreen",AVERAGEIFS(Table146[RSP],Table146[Company],$M$3,Table146[Date],$A39,Table146[Bill No.],$B39),IFERROR($E39/$C39,"")))))</f>
        <v/>
      </c>
      <c r="E39" s="338" t="str">
        <f>IF($A39="","",IF($J39="DIESEL",SUMIFS(Table1[Amount],Table1[Customer],$M$3,Table1[Date],$A39,Table1[Bill No.],$B39),IF($J39="PETROL",SUMIFS(Table14[Amount],Table14[Customer],$M$3,Table14[Date],$A39,Table14[Bill No.],$B39),IF($J39="XtraGreen",SUMIFS(Table146[Amount],Table146[Company],$M$3,Table146[Date],$A39,Table146[Bill No.],$B39),SUMIFS('Other Sale'!$D:$D,'Other Sale'!$E:$E,$M$3,'Other Sale'!$C:$C,$J39,'Other Sale'!$A:$A,$A39)))))</f>
        <v/>
      </c>
      <c r="F39" s="338" t="str" cm="1">
        <f t="array" ref="F39">IF($A39="","",IF($J39="Payment",IFERROR(INDEX(_xlfn._xlws.FILTER(MasterPaid[Amount Paid],(MasterPaid[Customer]=$M$3)*(MasterPaid[Date]=$A39)),COUNTIFS($A$6:$A39,$A39,$J$6:$J39,"Payment")),0),0))</f>
        <v/>
      </c>
      <c r="G39" s="343"/>
      <c r="H39" s="343"/>
      <c r="I39" s="338" t="str">
        <f t="shared" si="9"/>
        <v/>
      </c>
      <c r="J39" s="292" t="str" cm="1">
        <f t="array" ref="J39">IFERROR(INDEX(_xlfn.ANCHORARRAY($P$6),ROW()-5,3),"")</f>
        <v/>
      </c>
      <c r="K39" s="433" t="str" cm="1">
        <f t="array" ref="K39">IF(OR($A39="",$J39&lt;&gt;"DIESEL"),"",_xlfn.LET(_xlpm.qty,N($C39),_xlpm.pos,$T$5:$T$54,_xlpm.alo,IF($U$5:$U$54="",0,$U$5:$U$54),_xlpm.usd,SUMIFS($C$6:$C38,$K$6:$K38,_xlpm.pos&amp;""),_xlpm.bal,_xlpm.alo-_xlpm.usd,IFERROR(INDEX(_xlfn._xlws.FILTER(_xlpm.pos,(_xlpm.pos&lt;&gt;"")*(_xlpm.qty&gt;0)*(_xlpm.bal&gt;=_xlpm.qty)),1),"")))</f>
        <v/>
      </c>
      <c r="L39" s="329"/>
      <c r="M39" s="277"/>
      <c r="N39" s="277"/>
      <c r="O39" s="277"/>
      <c r="T39" s="316"/>
      <c r="U39" s="350"/>
      <c r="W39" s="316" t="str">
        <f t="shared" si="0"/>
        <v/>
      </c>
      <c r="X39" s="273" t="str">
        <f t="shared" si="1"/>
        <v/>
      </c>
      <c r="Y39" s="273" t="str">
        <f t="shared" si="2"/>
        <v/>
      </c>
      <c r="Z39" s="273" t="str">
        <f t="shared" si="3"/>
        <v/>
      </c>
      <c r="AA39" s="316" t="str">
        <f t="shared" si="4"/>
        <v/>
      </c>
      <c r="AC39" t="str" cm="1">
        <f t="array" ref="AC39">IF(INDEX($T$5:$T$54,ROW()-4)="","",INDEX($T$5:$T$54,ROW()-4))</f>
        <v/>
      </c>
      <c r="AD39" t="str">
        <f t="shared" si="5"/>
        <v/>
      </c>
      <c r="AE39" t="str">
        <f t="shared" si="6"/>
        <v/>
      </c>
      <c r="AF39" t="str">
        <f t="shared" si="7"/>
        <v/>
      </c>
      <c r="AG39">
        <f t="shared" si="8"/>
        <v>0</v>
      </c>
      <c r="AH39" t="str" cm="1">
        <f t="array" ref="AH39">IF($AC39="","",IF($AG39=1,SUMPRODUCT(($AG$5:$AG$54=1)*($AC$5:$AC$54&gt;$AC39))+1,SUM($AG$5:$AG$54)+SUMPRODUCT(($AG$5:$AG$54=0)*($AC$5:$AC$54&lt;&gt;"")*($AC$5:$AC$54&gt;$AC39))+1))</f>
        <v/>
      </c>
    </row>
    <row r="40" spans="1:34" ht="20" x14ac:dyDescent="0.2">
      <c r="A40" s="226" t="str" cm="1">
        <f t="array" ref="A40">IFERROR(INDEX(_xlfn.ANCHORARRAY($P$6),ROW()-5,1),"")</f>
        <v/>
      </c>
      <c r="B40" s="328" t="str" cm="1">
        <f t="array" ref="B40">IFERROR(INDEX(_xlfn.ANCHORARRAY($P$6),ROW()-5,2),"")</f>
        <v/>
      </c>
      <c r="C40" s="227" t="str">
        <f>IF($A40="","",IF($J40="DIESEL",SUMIFS(Table1[Quantity],Table1[Customer],$M$3,Table1[Date],$A40,Table1[Bill No.],$B40),IF($J40="PETROL",SUMIFS(Table14[Quantity],Table14[Customer],$M$3,Table14[Date],$A40,Table14[Bill No.],$B40),IF($J40="XtraGreen",SUMIFS(Table146[Quantity],Table146[Company],$M$3,Table146[Date],$A40,Table146[Bill No.],$B40),""))))</f>
        <v/>
      </c>
      <c r="D40" s="228" t="str">
        <f>IF($A40="","",IF($J40="DIESEL",AVERAGEIFS(Table1[RSP],Table1[Customer],$M$3,Table1[Date],$A40,Table1[Bill No.],$B40),IF($J40="PETROL",AVERAGEIFS(Table14[RSP],Table14[Customer],$M$3,Table14[Date],$A40,Table14[Bill No.],$B40),IF($J40="XtraGreen",AVERAGEIFS(Table146[RSP],Table146[Company],$M$3,Table146[Date],$A40,Table146[Bill No.],$B40),IFERROR($E40/$C40,"")))))</f>
        <v/>
      </c>
      <c r="E40" s="338" t="str">
        <f>IF($A40="","",IF($J40="DIESEL",SUMIFS(Table1[Amount],Table1[Customer],$M$3,Table1[Date],$A40,Table1[Bill No.],$B40),IF($J40="PETROL",SUMIFS(Table14[Amount],Table14[Customer],$M$3,Table14[Date],$A40,Table14[Bill No.],$B40),IF($J40="XtraGreen",SUMIFS(Table146[Amount],Table146[Company],$M$3,Table146[Date],$A40,Table146[Bill No.],$B40),SUMIFS('Other Sale'!$D:$D,'Other Sale'!$E:$E,$M$3,'Other Sale'!$C:$C,$J40,'Other Sale'!$A:$A,$A40)))))</f>
        <v/>
      </c>
      <c r="F40" s="338" t="str" cm="1">
        <f t="array" ref="F40">IF($A40="","",IF($J40="Payment",IFERROR(INDEX(_xlfn._xlws.FILTER(MasterPaid[Amount Paid],(MasterPaid[Customer]=$M$3)*(MasterPaid[Date]=$A40)),COUNTIFS($A$6:$A40,$A40,$J$6:$J40,"Payment")),0),0))</f>
        <v/>
      </c>
      <c r="G40" s="343"/>
      <c r="H40" s="343"/>
      <c r="I40" s="338" t="str">
        <f t="shared" si="9"/>
        <v/>
      </c>
      <c r="J40" s="292" t="str" cm="1">
        <f t="array" ref="J40">IFERROR(INDEX(_xlfn.ANCHORARRAY($P$6),ROW()-5,3),"")</f>
        <v/>
      </c>
      <c r="K40" s="433" t="str" cm="1">
        <f t="array" ref="K40">IF(OR($A40="",$J40&lt;&gt;"DIESEL"),"",_xlfn.LET(_xlpm.qty,N($C40),_xlpm.pos,$T$5:$T$54,_xlpm.alo,IF($U$5:$U$54="",0,$U$5:$U$54),_xlpm.usd,SUMIFS($C$6:$C39,$K$6:$K39,_xlpm.pos&amp;""),_xlpm.bal,_xlpm.alo-_xlpm.usd,IFERROR(INDEX(_xlfn._xlws.FILTER(_xlpm.pos,(_xlpm.pos&lt;&gt;"")*(_xlpm.qty&gt;0)*(_xlpm.bal&gt;=_xlpm.qty)),1),"")))</f>
        <v/>
      </c>
      <c r="L40" s="329"/>
      <c r="M40" s="277"/>
      <c r="N40" s="277"/>
      <c r="O40" s="277"/>
      <c r="T40" s="316"/>
      <c r="U40" s="350"/>
      <c r="W40" s="316" t="str">
        <f t="shared" si="0"/>
        <v/>
      </c>
      <c r="X40" s="273" t="str">
        <f t="shared" si="1"/>
        <v/>
      </c>
      <c r="Y40" s="273" t="str">
        <f t="shared" si="2"/>
        <v/>
      </c>
      <c r="Z40" s="273" t="str">
        <f t="shared" si="3"/>
        <v/>
      </c>
      <c r="AA40" s="316" t="str">
        <f t="shared" si="4"/>
        <v/>
      </c>
      <c r="AC40" t="str" cm="1">
        <f t="array" ref="AC40">IF(INDEX($T$5:$T$54,ROW()-4)="","",INDEX($T$5:$T$54,ROW()-4))</f>
        <v/>
      </c>
      <c r="AD40" t="str">
        <f t="shared" si="5"/>
        <v/>
      </c>
      <c r="AE40" t="str">
        <f t="shared" si="6"/>
        <v/>
      </c>
      <c r="AF40" t="str">
        <f t="shared" si="7"/>
        <v/>
      </c>
      <c r="AG40">
        <f t="shared" si="8"/>
        <v>0</v>
      </c>
      <c r="AH40" t="str" cm="1">
        <f t="array" ref="AH40">IF($AC40="","",IF($AG40=1,SUMPRODUCT(($AG$5:$AG$54=1)*($AC$5:$AC$54&gt;$AC40))+1,SUM($AG$5:$AG$54)+SUMPRODUCT(($AG$5:$AG$54=0)*($AC$5:$AC$54&lt;&gt;"")*($AC$5:$AC$54&gt;$AC40))+1))</f>
        <v/>
      </c>
    </row>
    <row r="41" spans="1:34" ht="20" x14ac:dyDescent="0.2">
      <c r="A41" s="226" t="str" cm="1">
        <f t="array" ref="A41">IFERROR(INDEX(_xlfn.ANCHORARRAY($P$6),ROW()-5,1),"")</f>
        <v/>
      </c>
      <c r="B41" s="328" t="str" cm="1">
        <f t="array" ref="B41">IFERROR(INDEX(_xlfn.ANCHORARRAY($P$6),ROW()-5,2),"")</f>
        <v/>
      </c>
      <c r="C41" s="227" t="str">
        <f>IF($A41="","",IF($J41="DIESEL",SUMIFS(Table1[Quantity],Table1[Customer],$M$3,Table1[Date],$A41,Table1[Bill No.],$B41),IF($J41="PETROL",SUMIFS(Table14[Quantity],Table14[Customer],$M$3,Table14[Date],$A41,Table14[Bill No.],$B41),IF($J41="XtraGreen",SUMIFS(Table146[Quantity],Table146[Company],$M$3,Table146[Date],$A41,Table146[Bill No.],$B41),""))))</f>
        <v/>
      </c>
      <c r="D41" s="228" t="str">
        <f>IF($A41="","",IF($J41="DIESEL",AVERAGEIFS(Table1[RSP],Table1[Customer],$M$3,Table1[Date],$A41,Table1[Bill No.],$B41),IF($J41="PETROL",AVERAGEIFS(Table14[RSP],Table14[Customer],$M$3,Table14[Date],$A41,Table14[Bill No.],$B41),IF($J41="XtraGreen",AVERAGEIFS(Table146[RSP],Table146[Company],$M$3,Table146[Date],$A41,Table146[Bill No.],$B41),IFERROR($E41/$C41,"")))))</f>
        <v/>
      </c>
      <c r="E41" s="338" t="str">
        <f>IF($A41="","",IF($J41="DIESEL",SUMIFS(Table1[Amount],Table1[Customer],$M$3,Table1[Date],$A41,Table1[Bill No.],$B41),IF($J41="PETROL",SUMIFS(Table14[Amount],Table14[Customer],$M$3,Table14[Date],$A41,Table14[Bill No.],$B41),IF($J41="XtraGreen",SUMIFS(Table146[Amount],Table146[Company],$M$3,Table146[Date],$A41,Table146[Bill No.],$B41),SUMIFS('Other Sale'!$D:$D,'Other Sale'!$E:$E,$M$3,'Other Sale'!$C:$C,$J41,'Other Sale'!$A:$A,$A41)))))</f>
        <v/>
      </c>
      <c r="F41" s="338" t="str" cm="1">
        <f t="array" ref="F41">IF($A41="","",IF($J41="Payment",IFERROR(INDEX(_xlfn._xlws.FILTER(MasterPaid[Amount Paid],(MasterPaid[Customer]=$M$3)*(MasterPaid[Date]=$A41)),COUNTIFS($A$6:$A41,$A41,$J$6:$J41,"Payment")),0),0))</f>
        <v/>
      </c>
      <c r="G41" s="343"/>
      <c r="H41" s="343"/>
      <c r="I41" s="338" t="str">
        <f t="shared" si="9"/>
        <v/>
      </c>
      <c r="J41" s="292" t="str" cm="1">
        <f t="array" ref="J41">IFERROR(INDEX(_xlfn.ANCHORARRAY($P$6),ROW()-5,3),"")</f>
        <v/>
      </c>
      <c r="K41" s="433" t="str" cm="1">
        <f t="array" ref="K41">IF(OR($A41="",$J41&lt;&gt;"DIESEL"),"",_xlfn.LET(_xlpm.qty,N($C41),_xlpm.pos,$T$5:$T$54,_xlpm.alo,IF($U$5:$U$54="",0,$U$5:$U$54),_xlpm.usd,SUMIFS($C$6:$C40,$K$6:$K40,_xlpm.pos&amp;""),_xlpm.bal,_xlpm.alo-_xlpm.usd,IFERROR(INDEX(_xlfn._xlws.FILTER(_xlpm.pos,(_xlpm.pos&lt;&gt;"")*(_xlpm.qty&gt;0)*(_xlpm.bal&gt;=_xlpm.qty)),1),"")))</f>
        <v/>
      </c>
      <c r="L41" s="329"/>
      <c r="M41" s="277"/>
      <c r="N41" s="277"/>
      <c r="O41" s="277"/>
      <c r="T41" s="316"/>
      <c r="U41" s="350"/>
      <c r="W41" s="316" t="str">
        <f t="shared" si="0"/>
        <v/>
      </c>
      <c r="X41" s="273" t="str">
        <f t="shared" si="1"/>
        <v/>
      </c>
      <c r="Y41" s="273" t="str">
        <f t="shared" si="2"/>
        <v/>
      </c>
      <c r="Z41" s="273" t="str">
        <f t="shared" si="3"/>
        <v/>
      </c>
      <c r="AA41" s="316" t="str">
        <f t="shared" si="4"/>
        <v/>
      </c>
      <c r="AC41" t="str" cm="1">
        <f t="array" ref="AC41">IF(INDEX($T$5:$T$54,ROW()-4)="","",INDEX($T$5:$T$54,ROW()-4))</f>
        <v/>
      </c>
      <c r="AD41" t="str">
        <f t="shared" si="5"/>
        <v/>
      </c>
      <c r="AE41" t="str">
        <f t="shared" si="6"/>
        <v/>
      </c>
      <c r="AF41" t="str">
        <f t="shared" si="7"/>
        <v/>
      </c>
      <c r="AG41">
        <f t="shared" si="8"/>
        <v>0</v>
      </c>
      <c r="AH41" t="str" cm="1">
        <f t="array" ref="AH41">IF($AC41="","",IF($AG41=1,SUMPRODUCT(($AG$5:$AG$54=1)*($AC$5:$AC$54&gt;$AC41))+1,SUM($AG$5:$AG$54)+SUMPRODUCT(($AG$5:$AG$54=0)*($AC$5:$AC$54&lt;&gt;"")*($AC$5:$AC$54&gt;$AC41))+1))</f>
        <v/>
      </c>
    </row>
    <row r="42" spans="1:34" ht="20" x14ac:dyDescent="0.2">
      <c r="A42" s="226" t="str" cm="1">
        <f t="array" ref="A42">IFERROR(INDEX(_xlfn.ANCHORARRAY($P$6),ROW()-5,1),"")</f>
        <v/>
      </c>
      <c r="B42" s="328" t="str" cm="1">
        <f t="array" ref="B42">IFERROR(INDEX(_xlfn.ANCHORARRAY($P$6),ROW()-5,2),"")</f>
        <v/>
      </c>
      <c r="C42" s="227" t="str">
        <f>IF($A42="","",IF($J42="DIESEL",SUMIFS(Table1[Quantity],Table1[Customer],$M$3,Table1[Date],$A42,Table1[Bill No.],$B42),IF($J42="PETROL",SUMIFS(Table14[Quantity],Table14[Customer],$M$3,Table14[Date],$A42,Table14[Bill No.],$B42),IF($J42="XtraGreen",SUMIFS(Table146[Quantity],Table146[Company],$M$3,Table146[Date],$A42,Table146[Bill No.],$B42),""))))</f>
        <v/>
      </c>
      <c r="D42" s="228" t="str">
        <f>IF($A42="","",IF($J42="DIESEL",AVERAGEIFS(Table1[RSP],Table1[Customer],$M$3,Table1[Date],$A42,Table1[Bill No.],$B42),IF($J42="PETROL",AVERAGEIFS(Table14[RSP],Table14[Customer],$M$3,Table14[Date],$A42,Table14[Bill No.],$B42),IF($J42="XtraGreen",AVERAGEIFS(Table146[RSP],Table146[Company],$M$3,Table146[Date],$A42,Table146[Bill No.],$B42),IFERROR($E42/$C42,"")))))</f>
        <v/>
      </c>
      <c r="E42" s="338" t="str">
        <f>IF($A42="","",IF($J42="DIESEL",SUMIFS(Table1[Amount],Table1[Customer],$M$3,Table1[Date],$A42,Table1[Bill No.],$B42),IF($J42="PETROL",SUMIFS(Table14[Amount],Table14[Customer],$M$3,Table14[Date],$A42,Table14[Bill No.],$B42),IF($J42="XtraGreen",SUMIFS(Table146[Amount],Table146[Company],$M$3,Table146[Date],$A42,Table146[Bill No.],$B42),SUMIFS('Other Sale'!$D:$D,'Other Sale'!$E:$E,$M$3,'Other Sale'!$C:$C,$J42,'Other Sale'!$A:$A,$A42)))))</f>
        <v/>
      </c>
      <c r="F42" s="338" t="str" cm="1">
        <f t="array" ref="F42">IF($A42="","",IF($J42="Payment",IFERROR(INDEX(_xlfn._xlws.FILTER(MasterPaid[Amount Paid],(MasterPaid[Customer]=$M$3)*(MasterPaid[Date]=$A42)),COUNTIFS($A$6:$A42,$A42,$J$6:$J42,"Payment")),0),0))</f>
        <v/>
      </c>
      <c r="G42" s="343"/>
      <c r="H42" s="343"/>
      <c r="I42" s="338" t="str">
        <f t="shared" si="9"/>
        <v/>
      </c>
      <c r="J42" s="292" t="str" cm="1">
        <f t="array" ref="J42">IFERROR(INDEX(_xlfn.ANCHORARRAY($P$6),ROW()-5,3),"")</f>
        <v/>
      </c>
      <c r="K42" s="433" t="str" cm="1">
        <f t="array" ref="K42">IF(OR($A42="",$J42&lt;&gt;"DIESEL"),"",_xlfn.LET(_xlpm.qty,N($C42),_xlpm.pos,$T$5:$T$54,_xlpm.alo,IF($U$5:$U$54="",0,$U$5:$U$54),_xlpm.usd,SUMIFS($C$6:$C41,$K$6:$K41,_xlpm.pos&amp;""),_xlpm.bal,_xlpm.alo-_xlpm.usd,IFERROR(INDEX(_xlfn._xlws.FILTER(_xlpm.pos,(_xlpm.pos&lt;&gt;"")*(_xlpm.qty&gt;0)*(_xlpm.bal&gt;=_xlpm.qty)),1),"")))</f>
        <v/>
      </c>
      <c r="L42" s="329"/>
      <c r="M42" s="277"/>
      <c r="N42" s="277"/>
      <c r="O42" s="277"/>
      <c r="T42" s="316"/>
      <c r="U42" s="350"/>
      <c r="W42" s="316" t="str">
        <f t="shared" si="0"/>
        <v/>
      </c>
      <c r="X42" s="273" t="str">
        <f t="shared" si="1"/>
        <v/>
      </c>
      <c r="Y42" s="273" t="str">
        <f t="shared" si="2"/>
        <v/>
      </c>
      <c r="Z42" s="273" t="str">
        <f t="shared" si="3"/>
        <v/>
      </c>
      <c r="AA42" s="316" t="str">
        <f t="shared" si="4"/>
        <v/>
      </c>
      <c r="AC42" t="str" cm="1">
        <f t="array" ref="AC42">IF(INDEX($T$5:$T$54,ROW()-4)="","",INDEX($T$5:$T$54,ROW()-4))</f>
        <v/>
      </c>
      <c r="AD42" t="str">
        <f t="shared" si="5"/>
        <v/>
      </c>
      <c r="AE42" t="str">
        <f t="shared" si="6"/>
        <v/>
      </c>
      <c r="AF42" t="str">
        <f t="shared" si="7"/>
        <v/>
      </c>
      <c r="AG42">
        <f t="shared" si="8"/>
        <v>0</v>
      </c>
      <c r="AH42" t="str" cm="1">
        <f t="array" ref="AH42">IF($AC42="","",IF($AG42=1,SUMPRODUCT(($AG$5:$AG$54=1)*($AC$5:$AC$54&gt;$AC42))+1,SUM($AG$5:$AG$54)+SUMPRODUCT(($AG$5:$AG$54=0)*($AC$5:$AC$54&lt;&gt;"")*($AC$5:$AC$54&gt;$AC42))+1))</f>
        <v/>
      </c>
    </row>
    <row r="43" spans="1:34" ht="20" x14ac:dyDescent="0.2">
      <c r="A43" s="226" t="str" cm="1">
        <f t="array" ref="A43">IFERROR(INDEX(_xlfn.ANCHORARRAY($P$6),ROW()-5,1),"")</f>
        <v/>
      </c>
      <c r="B43" s="328" t="str" cm="1">
        <f t="array" ref="B43">IFERROR(INDEX(_xlfn.ANCHORARRAY($P$6),ROW()-5,2),"")</f>
        <v/>
      </c>
      <c r="C43" s="227" t="str">
        <f>IF($A43="","",IF($J43="DIESEL",SUMIFS(Table1[Quantity],Table1[Customer],$M$3,Table1[Date],$A43,Table1[Bill No.],$B43),IF($J43="PETROL",SUMIFS(Table14[Quantity],Table14[Customer],$M$3,Table14[Date],$A43,Table14[Bill No.],$B43),IF($J43="XtraGreen",SUMIFS(Table146[Quantity],Table146[Company],$M$3,Table146[Date],$A43,Table146[Bill No.],$B43),""))))</f>
        <v/>
      </c>
      <c r="D43" s="228" t="str">
        <f>IF($A43="","",IF($J43="DIESEL",AVERAGEIFS(Table1[RSP],Table1[Customer],$M$3,Table1[Date],$A43,Table1[Bill No.],$B43),IF($J43="PETROL",AVERAGEIFS(Table14[RSP],Table14[Customer],$M$3,Table14[Date],$A43,Table14[Bill No.],$B43),IF($J43="XtraGreen",AVERAGEIFS(Table146[RSP],Table146[Company],$M$3,Table146[Date],$A43,Table146[Bill No.],$B43),IFERROR($E43/$C43,"")))))</f>
        <v/>
      </c>
      <c r="E43" s="338" t="str">
        <f>IF($A43="","",IF($J43="DIESEL",SUMIFS(Table1[Amount],Table1[Customer],$M$3,Table1[Date],$A43,Table1[Bill No.],$B43),IF($J43="PETROL",SUMIFS(Table14[Amount],Table14[Customer],$M$3,Table14[Date],$A43,Table14[Bill No.],$B43),IF($J43="XtraGreen",SUMIFS(Table146[Amount],Table146[Company],$M$3,Table146[Date],$A43,Table146[Bill No.],$B43),SUMIFS('Other Sale'!$D:$D,'Other Sale'!$E:$E,$M$3,'Other Sale'!$C:$C,$J43,'Other Sale'!$A:$A,$A43)))))</f>
        <v/>
      </c>
      <c r="F43" s="338" t="str" cm="1">
        <f t="array" ref="F43">IF($A43="","",IF($J43="Payment",IFERROR(INDEX(_xlfn._xlws.FILTER(MasterPaid[Amount Paid],(MasterPaid[Customer]=$M$3)*(MasterPaid[Date]=$A43)),COUNTIFS($A$6:$A43,$A43,$J$6:$J43,"Payment")),0),0))</f>
        <v/>
      </c>
      <c r="G43" s="343"/>
      <c r="H43" s="343"/>
      <c r="I43" s="338" t="str">
        <f t="shared" si="9"/>
        <v/>
      </c>
      <c r="J43" s="292" t="str" cm="1">
        <f t="array" ref="J43">IFERROR(INDEX(_xlfn.ANCHORARRAY($P$6),ROW()-5,3),"")</f>
        <v/>
      </c>
      <c r="K43" s="433" t="str" cm="1">
        <f t="array" ref="K43">IF(OR($A43="",$J43&lt;&gt;"DIESEL"),"",_xlfn.LET(_xlpm.qty,N($C43),_xlpm.pos,$T$5:$T$54,_xlpm.alo,IF($U$5:$U$54="",0,$U$5:$U$54),_xlpm.usd,SUMIFS($C$6:$C42,$K$6:$K42,_xlpm.pos&amp;""),_xlpm.bal,_xlpm.alo-_xlpm.usd,IFERROR(INDEX(_xlfn._xlws.FILTER(_xlpm.pos,(_xlpm.pos&lt;&gt;"")*(_xlpm.qty&gt;0)*(_xlpm.bal&gt;=_xlpm.qty)),1),"")))</f>
        <v/>
      </c>
      <c r="L43" s="329"/>
      <c r="M43" s="277"/>
      <c r="N43" s="277"/>
      <c r="O43" s="277"/>
      <c r="T43" s="316"/>
      <c r="U43" s="350"/>
      <c r="W43" s="316" t="str">
        <f t="shared" si="0"/>
        <v/>
      </c>
      <c r="X43" s="273" t="str">
        <f t="shared" si="1"/>
        <v/>
      </c>
      <c r="Y43" s="273" t="str">
        <f t="shared" si="2"/>
        <v/>
      </c>
      <c r="Z43" s="273" t="str">
        <f t="shared" si="3"/>
        <v/>
      </c>
      <c r="AA43" s="316" t="str">
        <f t="shared" si="4"/>
        <v/>
      </c>
      <c r="AC43" t="str" cm="1">
        <f t="array" ref="AC43">IF(INDEX($T$5:$T$54,ROW()-4)="","",INDEX($T$5:$T$54,ROW()-4))</f>
        <v/>
      </c>
      <c r="AD43" t="str">
        <f t="shared" si="5"/>
        <v/>
      </c>
      <c r="AE43" t="str">
        <f t="shared" si="6"/>
        <v/>
      </c>
      <c r="AF43" t="str">
        <f t="shared" si="7"/>
        <v/>
      </c>
      <c r="AG43">
        <f t="shared" si="8"/>
        <v>0</v>
      </c>
      <c r="AH43" t="str" cm="1">
        <f t="array" ref="AH43">IF($AC43="","",IF($AG43=1,SUMPRODUCT(($AG$5:$AG$54=1)*($AC$5:$AC$54&gt;$AC43))+1,SUM($AG$5:$AG$54)+SUMPRODUCT(($AG$5:$AG$54=0)*($AC$5:$AC$54&lt;&gt;"")*($AC$5:$AC$54&gt;$AC43))+1))</f>
        <v/>
      </c>
    </row>
    <row r="44" spans="1:34" ht="20" x14ac:dyDescent="0.2">
      <c r="A44" s="226" t="str" cm="1">
        <f t="array" ref="A44">IFERROR(INDEX(_xlfn.ANCHORARRAY($P$6),ROW()-5,1),"")</f>
        <v/>
      </c>
      <c r="B44" s="328" t="str" cm="1">
        <f t="array" ref="B44">IFERROR(INDEX(_xlfn.ANCHORARRAY($P$6),ROW()-5,2),"")</f>
        <v/>
      </c>
      <c r="C44" s="227" t="str">
        <f>IF($A44="","",IF($J44="DIESEL",SUMIFS(Table1[Quantity],Table1[Customer],$M$3,Table1[Date],$A44,Table1[Bill No.],$B44),IF($J44="PETROL",SUMIFS(Table14[Quantity],Table14[Customer],$M$3,Table14[Date],$A44,Table14[Bill No.],$B44),IF($J44="XtraGreen",SUMIFS(Table146[Quantity],Table146[Company],$M$3,Table146[Date],$A44,Table146[Bill No.],$B44),""))))</f>
        <v/>
      </c>
      <c r="D44" s="228" t="str">
        <f>IF($A44="","",IF($J44="DIESEL",AVERAGEIFS(Table1[RSP],Table1[Customer],$M$3,Table1[Date],$A44,Table1[Bill No.],$B44),IF($J44="PETROL",AVERAGEIFS(Table14[RSP],Table14[Customer],$M$3,Table14[Date],$A44,Table14[Bill No.],$B44),IF($J44="XtraGreen",AVERAGEIFS(Table146[RSP],Table146[Company],$M$3,Table146[Date],$A44,Table146[Bill No.],$B44),IFERROR($E44/$C44,"")))))</f>
        <v/>
      </c>
      <c r="E44" s="338" t="str">
        <f>IF($A44="","",IF($J44="DIESEL",SUMIFS(Table1[Amount],Table1[Customer],$M$3,Table1[Date],$A44,Table1[Bill No.],$B44),IF($J44="PETROL",SUMIFS(Table14[Amount],Table14[Customer],$M$3,Table14[Date],$A44,Table14[Bill No.],$B44),IF($J44="XtraGreen",SUMIFS(Table146[Amount],Table146[Company],$M$3,Table146[Date],$A44,Table146[Bill No.],$B44),SUMIFS('Other Sale'!$D:$D,'Other Sale'!$E:$E,$M$3,'Other Sale'!$C:$C,$J44,'Other Sale'!$A:$A,$A44)))))</f>
        <v/>
      </c>
      <c r="F44" s="338" t="str" cm="1">
        <f t="array" ref="F44">IF($A44="","",IF($J44="Payment",IFERROR(INDEX(_xlfn._xlws.FILTER(MasterPaid[Amount Paid],(MasterPaid[Customer]=$M$3)*(MasterPaid[Date]=$A44)),COUNTIFS($A$6:$A44,$A44,$J$6:$J44,"Payment")),0),0))</f>
        <v/>
      </c>
      <c r="G44" s="343"/>
      <c r="H44" s="343"/>
      <c r="I44" s="338" t="str">
        <f t="shared" si="9"/>
        <v/>
      </c>
      <c r="J44" s="292" t="str" cm="1">
        <f t="array" ref="J44">IFERROR(INDEX(_xlfn.ANCHORARRAY($P$6),ROW()-5,3),"")</f>
        <v/>
      </c>
      <c r="K44" s="433" t="str" cm="1">
        <f t="array" ref="K44">IF(OR($A44="",$J44&lt;&gt;"DIESEL"),"",_xlfn.LET(_xlpm.qty,N($C44),_xlpm.pos,$T$5:$T$54,_xlpm.alo,IF($U$5:$U$54="",0,$U$5:$U$54),_xlpm.usd,SUMIFS($C$6:$C43,$K$6:$K43,_xlpm.pos&amp;""),_xlpm.bal,_xlpm.alo-_xlpm.usd,IFERROR(INDEX(_xlfn._xlws.FILTER(_xlpm.pos,(_xlpm.pos&lt;&gt;"")*(_xlpm.qty&gt;0)*(_xlpm.bal&gt;=_xlpm.qty)),1),"")))</f>
        <v/>
      </c>
      <c r="L44" s="329"/>
      <c r="M44" s="277"/>
      <c r="N44" s="277"/>
      <c r="O44" s="277"/>
      <c r="T44" s="316"/>
      <c r="U44" s="350"/>
      <c r="W44" s="316" t="str">
        <f t="shared" si="0"/>
        <v/>
      </c>
      <c r="X44" s="273" t="str">
        <f t="shared" si="1"/>
        <v/>
      </c>
      <c r="Y44" s="273" t="str">
        <f t="shared" si="2"/>
        <v/>
      </c>
      <c r="Z44" s="273" t="str">
        <f t="shared" si="3"/>
        <v/>
      </c>
      <c r="AA44" s="316" t="str">
        <f t="shared" si="4"/>
        <v/>
      </c>
      <c r="AC44" t="str" cm="1">
        <f t="array" ref="AC44">IF(INDEX($T$5:$T$54,ROW()-4)="","",INDEX($T$5:$T$54,ROW()-4))</f>
        <v/>
      </c>
      <c r="AD44" t="str">
        <f t="shared" si="5"/>
        <v/>
      </c>
      <c r="AE44" t="str">
        <f t="shared" si="6"/>
        <v/>
      </c>
      <c r="AF44" t="str">
        <f t="shared" si="7"/>
        <v/>
      </c>
      <c r="AG44">
        <f t="shared" si="8"/>
        <v>0</v>
      </c>
      <c r="AH44" t="str" cm="1">
        <f t="array" ref="AH44">IF($AC44="","",IF($AG44=1,SUMPRODUCT(($AG$5:$AG$54=1)*($AC$5:$AC$54&gt;$AC44))+1,SUM($AG$5:$AG$54)+SUMPRODUCT(($AG$5:$AG$54=0)*($AC$5:$AC$54&lt;&gt;"")*($AC$5:$AC$54&gt;$AC44))+1))</f>
        <v/>
      </c>
    </row>
    <row r="45" spans="1:34" ht="20" x14ac:dyDescent="0.2">
      <c r="A45" s="226" t="str" cm="1">
        <f t="array" ref="A45">IFERROR(INDEX(_xlfn.ANCHORARRAY($P$6),ROW()-5,1),"")</f>
        <v/>
      </c>
      <c r="B45" s="328" t="str" cm="1">
        <f t="array" ref="B45">IFERROR(INDEX(_xlfn.ANCHORARRAY($P$6),ROW()-5,2),"")</f>
        <v/>
      </c>
      <c r="C45" s="227" t="str">
        <f>IF($A45="","",IF($J45="DIESEL",SUMIFS(Table1[Quantity],Table1[Customer],$M$3,Table1[Date],$A45,Table1[Bill No.],$B45),IF($J45="PETROL",SUMIFS(Table14[Quantity],Table14[Customer],$M$3,Table14[Date],$A45,Table14[Bill No.],$B45),IF($J45="XtraGreen",SUMIFS(Table146[Quantity],Table146[Company],$M$3,Table146[Date],$A45,Table146[Bill No.],$B45),""))))</f>
        <v/>
      </c>
      <c r="D45" s="228" t="str">
        <f>IF($A45="","",IF($J45="DIESEL",AVERAGEIFS(Table1[RSP],Table1[Customer],$M$3,Table1[Date],$A45,Table1[Bill No.],$B45),IF($J45="PETROL",AVERAGEIFS(Table14[RSP],Table14[Customer],$M$3,Table14[Date],$A45,Table14[Bill No.],$B45),IF($J45="XtraGreen",AVERAGEIFS(Table146[RSP],Table146[Company],$M$3,Table146[Date],$A45,Table146[Bill No.],$B45),IFERROR($E45/$C45,"")))))</f>
        <v/>
      </c>
      <c r="E45" s="338" t="str">
        <f>IF($A45="","",IF($J45="DIESEL",SUMIFS(Table1[Amount],Table1[Customer],$M$3,Table1[Date],$A45,Table1[Bill No.],$B45),IF($J45="PETROL",SUMIFS(Table14[Amount],Table14[Customer],$M$3,Table14[Date],$A45,Table14[Bill No.],$B45),IF($J45="XtraGreen",SUMIFS(Table146[Amount],Table146[Company],$M$3,Table146[Date],$A45,Table146[Bill No.],$B45),SUMIFS('Other Sale'!$D:$D,'Other Sale'!$E:$E,$M$3,'Other Sale'!$C:$C,$J45,'Other Sale'!$A:$A,$A45)))))</f>
        <v/>
      </c>
      <c r="F45" s="338" t="str" cm="1">
        <f t="array" ref="F45">IF($A45="","",IF($J45="Payment",IFERROR(INDEX(_xlfn._xlws.FILTER(MasterPaid[Amount Paid],(MasterPaid[Customer]=$M$3)*(MasterPaid[Date]=$A45)),COUNTIFS($A$6:$A45,$A45,$J$6:$J45,"Payment")),0),0))</f>
        <v/>
      </c>
      <c r="G45" s="343"/>
      <c r="H45" s="343"/>
      <c r="I45" s="338" t="str">
        <f t="shared" si="9"/>
        <v/>
      </c>
      <c r="J45" s="292" t="str" cm="1">
        <f t="array" ref="J45">IFERROR(INDEX(_xlfn.ANCHORARRAY($P$6),ROW()-5,3),"")</f>
        <v/>
      </c>
      <c r="K45" s="433" t="str" cm="1">
        <f t="array" ref="K45">IF(OR($A45="",$J45&lt;&gt;"DIESEL"),"",_xlfn.LET(_xlpm.qty,N($C45),_xlpm.pos,$T$5:$T$54,_xlpm.alo,IF($U$5:$U$54="",0,$U$5:$U$54),_xlpm.usd,SUMIFS($C$6:$C44,$K$6:$K44,_xlpm.pos&amp;""),_xlpm.bal,_xlpm.alo-_xlpm.usd,IFERROR(INDEX(_xlfn._xlws.FILTER(_xlpm.pos,(_xlpm.pos&lt;&gt;"")*(_xlpm.qty&gt;0)*(_xlpm.bal&gt;=_xlpm.qty)),1),"")))</f>
        <v/>
      </c>
      <c r="L45" s="329"/>
      <c r="M45" s="277"/>
      <c r="N45" s="277"/>
      <c r="O45" s="277"/>
      <c r="T45" s="316"/>
      <c r="U45" s="350"/>
      <c r="W45" s="316" t="str">
        <f t="shared" si="0"/>
        <v/>
      </c>
      <c r="X45" s="273" t="str">
        <f t="shared" si="1"/>
        <v/>
      </c>
      <c r="Y45" s="273" t="str">
        <f t="shared" si="2"/>
        <v/>
      </c>
      <c r="Z45" s="273" t="str">
        <f t="shared" si="3"/>
        <v/>
      </c>
      <c r="AA45" s="316" t="str">
        <f t="shared" si="4"/>
        <v/>
      </c>
      <c r="AC45" t="str" cm="1">
        <f t="array" ref="AC45">IF(INDEX($T$5:$T$54,ROW()-4)="","",INDEX($T$5:$T$54,ROW()-4))</f>
        <v/>
      </c>
      <c r="AD45" t="str">
        <f t="shared" si="5"/>
        <v/>
      </c>
      <c r="AE45" t="str">
        <f t="shared" si="6"/>
        <v/>
      </c>
      <c r="AF45" t="str">
        <f t="shared" si="7"/>
        <v/>
      </c>
      <c r="AG45">
        <f t="shared" si="8"/>
        <v>0</v>
      </c>
      <c r="AH45" t="str" cm="1">
        <f t="array" ref="AH45">IF($AC45="","",IF($AG45=1,SUMPRODUCT(($AG$5:$AG$54=1)*($AC$5:$AC$54&gt;$AC45))+1,SUM($AG$5:$AG$54)+SUMPRODUCT(($AG$5:$AG$54=0)*($AC$5:$AC$54&lt;&gt;"")*($AC$5:$AC$54&gt;$AC45))+1))</f>
        <v/>
      </c>
    </row>
    <row r="46" spans="1:34" ht="20" x14ac:dyDescent="0.2">
      <c r="A46" s="226" t="str" cm="1">
        <f t="array" ref="A46">IFERROR(INDEX(_xlfn.ANCHORARRAY($P$6),ROW()-5,1),"")</f>
        <v/>
      </c>
      <c r="B46" s="328" t="str" cm="1">
        <f t="array" ref="B46">IFERROR(INDEX(_xlfn.ANCHORARRAY($P$6),ROW()-5,2),"")</f>
        <v/>
      </c>
      <c r="C46" s="227" t="str">
        <f>IF($A46="","",IF($J46="DIESEL",SUMIFS(Table1[Quantity],Table1[Customer],$M$3,Table1[Date],$A46,Table1[Bill No.],$B46),IF($J46="PETROL",SUMIFS(Table14[Quantity],Table14[Customer],$M$3,Table14[Date],$A46,Table14[Bill No.],$B46),IF($J46="XtraGreen",SUMIFS(Table146[Quantity],Table146[Company],$M$3,Table146[Date],$A46,Table146[Bill No.],$B46),""))))</f>
        <v/>
      </c>
      <c r="D46" s="228" t="str">
        <f>IF($A46="","",IF($J46="DIESEL",AVERAGEIFS(Table1[RSP],Table1[Customer],$M$3,Table1[Date],$A46,Table1[Bill No.],$B46),IF($J46="PETROL",AVERAGEIFS(Table14[RSP],Table14[Customer],$M$3,Table14[Date],$A46,Table14[Bill No.],$B46),IF($J46="XtraGreen",AVERAGEIFS(Table146[RSP],Table146[Company],$M$3,Table146[Date],$A46,Table146[Bill No.],$B46),IFERROR($E46/$C46,"")))))</f>
        <v/>
      </c>
      <c r="E46" s="338" t="str">
        <f>IF($A46="","",IF($J46="DIESEL",SUMIFS(Table1[Amount],Table1[Customer],$M$3,Table1[Date],$A46,Table1[Bill No.],$B46),IF($J46="PETROL",SUMIFS(Table14[Amount],Table14[Customer],$M$3,Table14[Date],$A46,Table14[Bill No.],$B46),IF($J46="XtraGreen",SUMIFS(Table146[Amount],Table146[Company],$M$3,Table146[Date],$A46,Table146[Bill No.],$B46),SUMIFS('Other Sale'!$D:$D,'Other Sale'!$E:$E,$M$3,'Other Sale'!$C:$C,$J46,'Other Sale'!$A:$A,$A46)))))</f>
        <v/>
      </c>
      <c r="F46" s="338" t="str" cm="1">
        <f t="array" ref="F46">IF($A46="","",IF($J46="Payment",IFERROR(INDEX(_xlfn._xlws.FILTER(MasterPaid[Amount Paid],(MasterPaid[Customer]=$M$3)*(MasterPaid[Date]=$A46)),COUNTIFS($A$6:$A46,$A46,$J$6:$J46,"Payment")),0),0))</f>
        <v/>
      </c>
      <c r="G46" s="343"/>
      <c r="H46" s="343"/>
      <c r="I46" s="338" t="str">
        <f t="shared" si="9"/>
        <v/>
      </c>
      <c r="J46" s="292" t="str" cm="1">
        <f t="array" ref="J46">IFERROR(INDEX(_xlfn.ANCHORARRAY($P$6),ROW()-5,3),"")</f>
        <v/>
      </c>
      <c r="K46" s="433" t="str" cm="1">
        <f t="array" ref="K46">IF(OR($A46="",$J46&lt;&gt;"DIESEL"),"",_xlfn.LET(_xlpm.qty,N($C46),_xlpm.pos,$T$5:$T$54,_xlpm.alo,IF($U$5:$U$54="",0,$U$5:$U$54),_xlpm.usd,SUMIFS($C$6:$C45,$K$6:$K45,_xlpm.pos&amp;""),_xlpm.bal,_xlpm.alo-_xlpm.usd,IFERROR(INDEX(_xlfn._xlws.FILTER(_xlpm.pos,(_xlpm.pos&lt;&gt;"")*(_xlpm.qty&gt;0)*(_xlpm.bal&gt;=_xlpm.qty)),1),"")))</f>
        <v/>
      </c>
      <c r="L46" s="329"/>
      <c r="M46" s="277"/>
      <c r="N46" s="277"/>
      <c r="O46" s="277"/>
      <c r="T46" s="316"/>
      <c r="U46" s="350"/>
      <c r="W46" s="316" t="str">
        <f t="shared" si="0"/>
        <v/>
      </c>
      <c r="X46" s="273" t="str">
        <f t="shared" si="1"/>
        <v/>
      </c>
      <c r="Y46" s="273" t="str">
        <f t="shared" si="2"/>
        <v/>
      </c>
      <c r="Z46" s="273" t="str">
        <f t="shared" si="3"/>
        <v/>
      </c>
      <c r="AA46" s="316" t="str">
        <f t="shared" si="4"/>
        <v/>
      </c>
      <c r="AC46" t="str" cm="1">
        <f t="array" ref="AC46">IF(INDEX($T$5:$T$54,ROW()-4)="","",INDEX($T$5:$T$54,ROW()-4))</f>
        <v/>
      </c>
      <c r="AD46" t="str">
        <f t="shared" si="5"/>
        <v/>
      </c>
      <c r="AE46" t="str">
        <f t="shared" si="6"/>
        <v/>
      </c>
      <c r="AF46" t="str">
        <f t="shared" si="7"/>
        <v/>
      </c>
      <c r="AG46">
        <f t="shared" si="8"/>
        <v>0</v>
      </c>
      <c r="AH46" t="str" cm="1">
        <f t="array" ref="AH46">IF($AC46="","",IF($AG46=1,SUMPRODUCT(($AG$5:$AG$54=1)*($AC$5:$AC$54&gt;$AC46))+1,SUM($AG$5:$AG$54)+SUMPRODUCT(($AG$5:$AG$54=0)*($AC$5:$AC$54&lt;&gt;"")*($AC$5:$AC$54&gt;$AC46))+1))</f>
        <v/>
      </c>
    </row>
    <row r="47" spans="1:34" ht="20" x14ac:dyDescent="0.2">
      <c r="A47" s="226" t="str" cm="1">
        <f t="array" ref="A47">IFERROR(INDEX(_xlfn.ANCHORARRAY($P$6),ROW()-5,1),"")</f>
        <v/>
      </c>
      <c r="B47" s="328" t="str" cm="1">
        <f t="array" ref="B47">IFERROR(INDEX(_xlfn.ANCHORARRAY($P$6),ROW()-5,2),"")</f>
        <v/>
      </c>
      <c r="C47" s="227" t="str">
        <f>IF($A47="","",IF($J47="DIESEL",SUMIFS(Table1[Quantity],Table1[Customer],$M$3,Table1[Date],$A47,Table1[Bill No.],$B47),IF($J47="PETROL",SUMIFS(Table14[Quantity],Table14[Customer],$M$3,Table14[Date],$A47,Table14[Bill No.],$B47),IF($J47="XtraGreen",SUMIFS(Table146[Quantity],Table146[Company],$M$3,Table146[Date],$A47,Table146[Bill No.],$B47),""))))</f>
        <v/>
      </c>
      <c r="D47" s="228" t="str">
        <f>IF($A47="","",IF($J47="DIESEL",AVERAGEIFS(Table1[RSP],Table1[Customer],$M$3,Table1[Date],$A47,Table1[Bill No.],$B47),IF($J47="PETROL",AVERAGEIFS(Table14[RSP],Table14[Customer],$M$3,Table14[Date],$A47,Table14[Bill No.],$B47),IF($J47="XtraGreen",AVERAGEIFS(Table146[RSP],Table146[Company],$M$3,Table146[Date],$A47,Table146[Bill No.],$B47),IFERROR($E47/$C47,"")))))</f>
        <v/>
      </c>
      <c r="E47" s="338" t="str">
        <f>IF($A47="","",IF($J47="DIESEL",SUMIFS(Table1[Amount],Table1[Customer],$M$3,Table1[Date],$A47,Table1[Bill No.],$B47),IF($J47="PETROL",SUMIFS(Table14[Amount],Table14[Customer],$M$3,Table14[Date],$A47,Table14[Bill No.],$B47),IF($J47="XtraGreen",SUMIFS(Table146[Amount],Table146[Company],$M$3,Table146[Date],$A47,Table146[Bill No.],$B47),SUMIFS('Other Sale'!$D:$D,'Other Sale'!$E:$E,$M$3,'Other Sale'!$C:$C,$J47,'Other Sale'!$A:$A,$A47)))))</f>
        <v/>
      </c>
      <c r="F47" s="338" t="str" cm="1">
        <f t="array" ref="F47">IF($A47="","",IF($J47="Payment",IFERROR(INDEX(_xlfn._xlws.FILTER(MasterPaid[Amount Paid],(MasterPaid[Customer]=$M$3)*(MasterPaid[Date]=$A47)),COUNTIFS($A$6:$A47,$A47,$J$6:$J47,"Payment")),0),0))</f>
        <v/>
      </c>
      <c r="G47" s="343"/>
      <c r="H47" s="343"/>
      <c r="I47" s="338" t="str">
        <f t="shared" si="9"/>
        <v/>
      </c>
      <c r="J47" s="292" t="str" cm="1">
        <f t="array" ref="J47">IFERROR(INDEX(_xlfn.ANCHORARRAY($P$6),ROW()-5,3),"")</f>
        <v/>
      </c>
      <c r="K47" s="433" t="str" cm="1">
        <f t="array" ref="K47">IF(OR($A47="",$J47&lt;&gt;"DIESEL"),"",_xlfn.LET(_xlpm.qty,N($C47),_xlpm.pos,$T$5:$T$54,_xlpm.alo,IF($U$5:$U$54="",0,$U$5:$U$54),_xlpm.usd,SUMIFS($C$6:$C46,$K$6:$K46,_xlpm.pos&amp;""),_xlpm.bal,_xlpm.alo-_xlpm.usd,IFERROR(INDEX(_xlfn._xlws.FILTER(_xlpm.pos,(_xlpm.pos&lt;&gt;"")*(_xlpm.qty&gt;0)*(_xlpm.bal&gt;=_xlpm.qty)),1),"")))</f>
        <v/>
      </c>
      <c r="L47" s="329"/>
      <c r="M47" s="277"/>
      <c r="N47" s="277"/>
      <c r="O47" s="277"/>
      <c r="T47" s="316"/>
      <c r="U47" s="350"/>
      <c r="W47" s="316" t="str">
        <f t="shared" si="0"/>
        <v/>
      </c>
      <c r="X47" s="273" t="str">
        <f t="shared" si="1"/>
        <v/>
      </c>
      <c r="Y47" s="273" t="str">
        <f t="shared" si="2"/>
        <v/>
      </c>
      <c r="Z47" s="273" t="str">
        <f t="shared" si="3"/>
        <v/>
      </c>
      <c r="AA47" s="316" t="str">
        <f t="shared" si="4"/>
        <v/>
      </c>
      <c r="AC47" t="str" cm="1">
        <f t="array" ref="AC47">IF(INDEX($T$5:$T$54,ROW()-4)="","",INDEX($T$5:$T$54,ROW()-4))</f>
        <v/>
      </c>
      <c r="AD47" t="str">
        <f t="shared" si="5"/>
        <v/>
      </c>
      <c r="AE47" t="str">
        <f t="shared" si="6"/>
        <v/>
      </c>
      <c r="AF47" t="str">
        <f t="shared" si="7"/>
        <v/>
      </c>
      <c r="AG47">
        <f t="shared" si="8"/>
        <v>0</v>
      </c>
      <c r="AH47" t="str" cm="1">
        <f t="array" ref="AH47">IF($AC47="","",IF($AG47=1,SUMPRODUCT(($AG$5:$AG$54=1)*($AC$5:$AC$54&gt;$AC47))+1,SUM($AG$5:$AG$54)+SUMPRODUCT(($AG$5:$AG$54=0)*($AC$5:$AC$54&lt;&gt;"")*($AC$5:$AC$54&gt;$AC47))+1))</f>
        <v/>
      </c>
    </row>
    <row r="48" spans="1:34" ht="20" x14ac:dyDescent="0.2">
      <c r="A48" s="226" t="str" cm="1">
        <f t="array" ref="A48">IFERROR(INDEX(_xlfn.ANCHORARRAY($P$6),ROW()-5,1),"")</f>
        <v/>
      </c>
      <c r="B48" s="328" t="str" cm="1">
        <f t="array" ref="B48">IFERROR(INDEX(_xlfn.ANCHORARRAY($P$6),ROW()-5,2),"")</f>
        <v/>
      </c>
      <c r="C48" s="227" t="str">
        <f>IF($A48="","",IF($J48="DIESEL",SUMIFS(Table1[Quantity],Table1[Customer],$M$3,Table1[Date],$A48,Table1[Bill No.],$B48),IF($J48="PETROL",SUMIFS(Table14[Quantity],Table14[Customer],$M$3,Table14[Date],$A48,Table14[Bill No.],$B48),IF($J48="XtraGreen",SUMIFS(Table146[Quantity],Table146[Company],$M$3,Table146[Date],$A48,Table146[Bill No.],$B48),""))))</f>
        <v/>
      </c>
      <c r="D48" s="228" t="str">
        <f>IF($A48="","",IF($J48="DIESEL",AVERAGEIFS(Table1[RSP],Table1[Customer],$M$3,Table1[Date],$A48,Table1[Bill No.],$B48),IF($J48="PETROL",AVERAGEIFS(Table14[RSP],Table14[Customer],$M$3,Table14[Date],$A48,Table14[Bill No.],$B48),IF($J48="XtraGreen",AVERAGEIFS(Table146[RSP],Table146[Company],$M$3,Table146[Date],$A48,Table146[Bill No.],$B48),IFERROR($E48/$C48,"")))))</f>
        <v/>
      </c>
      <c r="E48" s="338" t="str">
        <f>IF($A48="","",IF($J48="DIESEL",SUMIFS(Table1[Amount],Table1[Customer],$M$3,Table1[Date],$A48,Table1[Bill No.],$B48),IF($J48="PETROL",SUMIFS(Table14[Amount],Table14[Customer],$M$3,Table14[Date],$A48,Table14[Bill No.],$B48),IF($J48="XtraGreen",SUMIFS(Table146[Amount],Table146[Company],$M$3,Table146[Date],$A48,Table146[Bill No.],$B48),SUMIFS('Other Sale'!$D:$D,'Other Sale'!$E:$E,$M$3,'Other Sale'!$C:$C,$J48,'Other Sale'!$A:$A,$A48)))))</f>
        <v/>
      </c>
      <c r="F48" s="338" t="str" cm="1">
        <f t="array" ref="F48">IF($A48="","",IF($J48="Payment",IFERROR(INDEX(_xlfn._xlws.FILTER(MasterPaid[Amount Paid],(MasterPaid[Customer]=$M$3)*(MasterPaid[Date]=$A48)),COUNTIFS($A$6:$A48,$A48,$J$6:$J48,"Payment")),0),0))</f>
        <v/>
      </c>
      <c r="G48" s="343"/>
      <c r="H48" s="343"/>
      <c r="I48" s="338" t="str">
        <f t="shared" si="9"/>
        <v/>
      </c>
      <c r="J48" s="292" t="str" cm="1">
        <f t="array" ref="J48">IFERROR(INDEX(_xlfn.ANCHORARRAY($P$6),ROW()-5,3),"")</f>
        <v/>
      </c>
      <c r="K48" s="433" t="str" cm="1">
        <f t="array" ref="K48">IF(OR($A48="",$J48&lt;&gt;"DIESEL"),"",_xlfn.LET(_xlpm.qty,N($C48),_xlpm.pos,$T$5:$T$54,_xlpm.alo,IF($U$5:$U$54="",0,$U$5:$U$54),_xlpm.usd,SUMIFS($C$6:$C47,$K$6:$K47,_xlpm.pos&amp;""),_xlpm.bal,_xlpm.alo-_xlpm.usd,IFERROR(INDEX(_xlfn._xlws.FILTER(_xlpm.pos,(_xlpm.pos&lt;&gt;"")*(_xlpm.qty&gt;0)*(_xlpm.bal&gt;=_xlpm.qty)),1),"")))</f>
        <v/>
      </c>
      <c r="L48" s="329"/>
      <c r="M48" s="277"/>
      <c r="N48" s="277"/>
      <c r="O48" s="277"/>
      <c r="T48" s="316"/>
      <c r="U48" s="350"/>
      <c r="W48" s="316" t="str">
        <f t="shared" si="0"/>
        <v/>
      </c>
      <c r="X48" s="273" t="str">
        <f t="shared" si="1"/>
        <v/>
      </c>
      <c r="Y48" s="273" t="str">
        <f t="shared" si="2"/>
        <v/>
      </c>
      <c r="Z48" s="273" t="str">
        <f t="shared" si="3"/>
        <v/>
      </c>
      <c r="AA48" s="316" t="str">
        <f t="shared" si="4"/>
        <v/>
      </c>
      <c r="AC48" t="str" cm="1">
        <f t="array" ref="AC48">IF(INDEX($T$5:$T$54,ROW()-4)="","",INDEX($T$5:$T$54,ROW()-4))</f>
        <v/>
      </c>
      <c r="AD48" t="str">
        <f t="shared" si="5"/>
        <v/>
      </c>
      <c r="AE48" t="str">
        <f t="shared" si="6"/>
        <v/>
      </c>
      <c r="AF48" t="str">
        <f t="shared" si="7"/>
        <v/>
      </c>
      <c r="AG48">
        <f t="shared" si="8"/>
        <v>0</v>
      </c>
      <c r="AH48" t="str" cm="1">
        <f t="array" ref="AH48">IF($AC48="","",IF($AG48=1,SUMPRODUCT(($AG$5:$AG$54=1)*($AC$5:$AC$54&gt;$AC48))+1,SUM($AG$5:$AG$54)+SUMPRODUCT(($AG$5:$AG$54=0)*($AC$5:$AC$54&lt;&gt;"")*($AC$5:$AC$54&gt;$AC48))+1))</f>
        <v/>
      </c>
    </row>
    <row r="49" spans="1:34" ht="20" x14ac:dyDescent="0.2">
      <c r="A49" s="226" t="str" cm="1">
        <f t="array" ref="A49">IFERROR(INDEX(_xlfn.ANCHORARRAY($P$6),ROW()-5,1),"")</f>
        <v/>
      </c>
      <c r="B49" s="328" t="str" cm="1">
        <f t="array" ref="B49">IFERROR(INDEX(_xlfn.ANCHORARRAY($P$6),ROW()-5,2),"")</f>
        <v/>
      </c>
      <c r="C49" s="227" t="str">
        <f>IF($A49="","",IF($J49="DIESEL",SUMIFS(Table1[Quantity],Table1[Customer],$M$3,Table1[Date],$A49,Table1[Bill No.],$B49),IF($J49="PETROL",SUMIFS(Table14[Quantity],Table14[Customer],$M$3,Table14[Date],$A49,Table14[Bill No.],$B49),IF($J49="XtraGreen",SUMIFS(Table146[Quantity],Table146[Company],$M$3,Table146[Date],$A49,Table146[Bill No.],$B49),""))))</f>
        <v/>
      </c>
      <c r="D49" s="228" t="str">
        <f>IF($A49="","",IF($J49="DIESEL",AVERAGEIFS(Table1[RSP],Table1[Customer],$M$3,Table1[Date],$A49,Table1[Bill No.],$B49),IF($J49="PETROL",AVERAGEIFS(Table14[RSP],Table14[Customer],$M$3,Table14[Date],$A49,Table14[Bill No.],$B49),IF($J49="XtraGreen",AVERAGEIFS(Table146[RSP],Table146[Company],$M$3,Table146[Date],$A49,Table146[Bill No.],$B49),IFERROR($E49/$C49,"")))))</f>
        <v/>
      </c>
      <c r="E49" s="338" t="str">
        <f>IF($A49="","",IF($J49="DIESEL",SUMIFS(Table1[Amount],Table1[Customer],$M$3,Table1[Date],$A49,Table1[Bill No.],$B49),IF($J49="PETROL",SUMIFS(Table14[Amount],Table14[Customer],$M$3,Table14[Date],$A49,Table14[Bill No.],$B49),IF($J49="XtraGreen",SUMIFS(Table146[Amount],Table146[Company],$M$3,Table146[Date],$A49,Table146[Bill No.],$B49),SUMIFS('Other Sale'!$D:$D,'Other Sale'!$E:$E,$M$3,'Other Sale'!$C:$C,$J49,'Other Sale'!$A:$A,$A49)))))</f>
        <v/>
      </c>
      <c r="F49" s="338" t="str" cm="1">
        <f t="array" ref="F49">IF($A49="","",IF($J49="Payment",IFERROR(INDEX(_xlfn._xlws.FILTER(MasterPaid[Amount Paid],(MasterPaid[Customer]=$M$3)*(MasterPaid[Date]=$A49)),COUNTIFS($A$6:$A49,$A49,$J$6:$J49,"Payment")),0),0))</f>
        <v/>
      </c>
      <c r="G49" s="343"/>
      <c r="H49" s="343"/>
      <c r="I49" s="338" t="str">
        <f t="shared" si="9"/>
        <v/>
      </c>
      <c r="J49" s="292" t="str" cm="1">
        <f t="array" ref="J49">IFERROR(INDEX(_xlfn.ANCHORARRAY($P$6),ROW()-5,3),"")</f>
        <v/>
      </c>
      <c r="K49" s="433" t="str" cm="1">
        <f t="array" ref="K49">IF(OR($A49="",$J49&lt;&gt;"DIESEL"),"",_xlfn.LET(_xlpm.qty,N($C49),_xlpm.pos,$T$5:$T$54,_xlpm.alo,IF($U$5:$U$54="",0,$U$5:$U$54),_xlpm.usd,SUMIFS($C$6:$C48,$K$6:$K48,_xlpm.pos&amp;""),_xlpm.bal,_xlpm.alo-_xlpm.usd,IFERROR(INDEX(_xlfn._xlws.FILTER(_xlpm.pos,(_xlpm.pos&lt;&gt;"")*(_xlpm.qty&gt;0)*(_xlpm.bal&gt;=_xlpm.qty)),1),"")))</f>
        <v/>
      </c>
      <c r="L49" s="329"/>
      <c r="M49" s="277"/>
      <c r="N49" s="277"/>
      <c r="O49" s="277"/>
      <c r="T49" s="316"/>
      <c r="U49" s="350"/>
      <c r="W49" s="316" t="str">
        <f t="shared" si="0"/>
        <v/>
      </c>
      <c r="X49" s="273" t="str">
        <f t="shared" si="1"/>
        <v/>
      </c>
      <c r="Y49" s="273" t="str">
        <f t="shared" si="2"/>
        <v/>
      </c>
      <c r="Z49" s="273" t="str">
        <f t="shared" si="3"/>
        <v/>
      </c>
      <c r="AA49" s="316" t="str">
        <f t="shared" si="4"/>
        <v/>
      </c>
      <c r="AC49" t="str" cm="1">
        <f t="array" ref="AC49">IF(INDEX($T$5:$T$54,ROW()-4)="","",INDEX($T$5:$T$54,ROW()-4))</f>
        <v/>
      </c>
      <c r="AD49" t="str">
        <f t="shared" si="5"/>
        <v/>
      </c>
      <c r="AE49" t="str">
        <f t="shared" si="6"/>
        <v/>
      </c>
      <c r="AF49" t="str">
        <f t="shared" si="7"/>
        <v/>
      </c>
      <c r="AG49">
        <f t="shared" si="8"/>
        <v>0</v>
      </c>
      <c r="AH49" t="str" cm="1">
        <f t="array" ref="AH49">IF($AC49="","",IF($AG49=1,SUMPRODUCT(($AG$5:$AG$54=1)*($AC$5:$AC$54&gt;$AC49))+1,SUM($AG$5:$AG$54)+SUMPRODUCT(($AG$5:$AG$54=0)*($AC$5:$AC$54&lt;&gt;"")*($AC$5:$AC$54&gt;$AC49))+1))</f>
        <v/>
      </c>
    </row>
    <row r="50" spans="1:34" ht="20" x14ac:dyDescent="0.2">
      <c r="A50" s="226" t="str" cm="1">
        <f t="array" ref="A50">IFERROR(INDEX(_xlfn.ANCHORARRAY($P$6),ROW()-5,1),"")</f>
        <v/>
      </c>
      <c r="B50" s="328" t="str" cm="1">
        <f t="array" ref="B50">IFERROR(INDEX(_xlfn.ANCHORARRAY($P$6),ROW()-5,2),"")</f>
        <v/>
      </c>
      <c r="C50" s="227" t="str">
        <f>IF($A50="","",IF($J50="DIESEL",SUMIFS(Table1[Quantity],Table1[Customer],$M$3,Table1[Date],$A50,Table1[Bill No.],$B50),IF($J50="PETROL",SUMIFS(Table14[Quantity],Table14[Customer],$M$3,Table14[Date],$A50,Table14[Bill No.],$B50),IF($J50="XtraGreen",SUMIFS(Table146[Quantity],Table146[Company],$M$3,Table146[Date],$A50,Table146[Bill No.],$B50),""))))</f>
        <v/>
      </c>
      <c r="D50" s="228" t="str">
        <f>IF($A50="","",IF($J50="DIESEL",AVERAGEIFS(Table1[RSP],Table1[Customer],$M$3,Table1[Date],$A50,Table1[Bill No.],$B50),IF($J50="PETROL",AVERAGEIFS(Table14[RSP],Table14[Customer],$M$3,Table14[Date],$A50,Table14[Bill No.],$B50),IF($J50="XtraGreen",AVERAGEIFS(Table146[RSP],Table146[Company],$M$3,Table146[Date],$A50,Table146[Bill No.],$B50),IFERROR($E50/$C50,"")))))</f>
        <v/>
      </c>
      <c r="E50" s="338" t="str">
        <f>IF($A50="","",IF($J50="DIESEL",SUMIFS(Table1[Amount],Table1[Customer],$M$3,Table1[Date],$A50,Table1[Bill No.],$B50),IF($J50="PETROL",SUMIFS(Table14[Amount],Table14[Customer],$M$3,Table14[Date],$A50,Table14[Bill No.],$B50),IF($J50="XtraGreen",SUMIFS(Table146[Amount],Table146[Company],$M$3,Table146[Date],$A50,Table146[Bill No.],$B50),SUMIFS('Other Sale'!$D:$D,'Other Sale'!$E:$E,$M$3,'Other Sale'!$C:$C,$J50,'Other Sale'!$A:$A,$A50)))))</f>
        <v/>
      </c>
      <c r="F50" s="338" t="str" cm="1">
        <f t="array" ref="F50">IF($A50="","",IF($J50="Payment",IFERROR(INDEX(_xlfn._xlws.FILTER(MasterPaid[Amount Paid],(MasterPaid[Customer]=$M$3)*(MasterPaid[Date]=$A50)),COUNTIFS($A$6:$A50,$A50,$J$6:$J50,"Payment")),0),0))</f>
        <v/>
      </c>
      <c r="G50" s="343"/>
      <c r="H50" s="343"/>
      <c r="I50" s="338" t="str">
        <f t="shared" si="9"/>
        <v/>
      </c>
      <c r="J50" s="292" t="str" cm="1">
        <f t="array" ref="J50">IFERROR(INDEX(_xlfn.ANCHORARRAY($P$6),ROW()-5,3),"")</f>
        <v/>
      </c>
      <c r="K50" s="433" t="str" cm="1">
        <f t="array" ref="K50">IF(OR($A50="",$J50&lt;&gt;"DIESEL"),"",_xlfn.LET(_xlpm.qty,N($C50),_xlpm.pos,$T$5:$T$54,_xlpm.alo,IF($U$5:$U$54="",0,$U$5:$U$54),_xlpm.usd,SUMIFS($C$6:$C49,$K$6:$K49,_xlpm.pos&amp;""),_xlpm.bal,_xlpm.alo-_xlpm.usd,IFERROR(INDEX(_xlfn._xlws.FILTER(_xlpm.pos,(_xlpm.pos&lt;&gt;"")*(_xlpm.qty&gt;0)*(_xlpm.bal&gt;=_xlpm.qty)),1),"")))</f>
        <v/>
      </c>
      <c r="L50" s="329"/>
      <c r="M50" s="277"/>
      <c r="N50" s="277"/>
      <c r="O50" s="277"/>
      <c r="T50" s="316"/>
      <c r="U50" s="350"/>
      <c r="W50" s="316" t="str">
        <f t="shared" si="0"/>
        <v/>
      </c>
      <c r="X50" s="273" t="str">
        <f t="shared" si="1"/>
        <v/>
      </c>
      <c r="Y50" s="273" t="str">
        <f t="shared" si="2"/>
        <v/>
      </c>
      <c r="Z50" s="273" t="str">
        <f t="shared" si="3"/>
        <v/>
      </c>
      <c r="AA50" s="316" t="str">
        <f t="shared" si="4"/>
        <v/>
      </c>
      <c r="AC50" t="str" cm="1">
        <f t="array" ref="AC50">IF(INDEX($T$5:$T$54,ROW()-4)="","",INDEX($T$5:$T$54,ROW()-4))</f>
        <v/>
      </c>
      <c r="AD50" t="str">
        <f t="shared" si="5"/>
        <v/>
      </c>
      <c r="AE50" t="str">
        <f t="shared" si="6"/>
        <v/>
      </c>
      <c r="AF50" t="str">
        <f t="shared" si="7"/>
        <v/>
      </c>
      <c r="AG50">
        <f t="shared" si="8"/>
        <v>0</v>
      </c>
      <c r="AH50" t="str" cm="1">
        <f t="array" ref="AH50">IF($AC50="","",IF($AG50=1,SUMPRODUCT(($AG$5:$AG$54=1)*($AC$5:$AC$54&gt;$AC50))+1,SUM($AG$5:$AG$54)+SUMPRODUCT(($AG$5:$AG$54=0)*($AC$5:$AC$54&lt;&gt;"")*($AC$5:$AC$54&gt;$AC50))+1))</f>
        <v/>
      </c>
    </row>
    <row r="51" spans="1:34" ht="20" x14ac:dyDescent="0.2">
      <c r="A51" s="226" t="str" cm="1">
        <f t="array" ref="A51">IFERROR(INDEX(_xlfn.ANCHORARRAY($P$6),ROW()-5,1),"")</f>
        <v/>
      </c>
      <c r="B51" s="328" t="str" cm="1">
        <f t="array" ref="B51">IFERROR(INDEX(_xlfn.ANCHORARRAY($P$6),ROW()-5,2),"")</f>
        <v/>
      </c>
      <c r="C51" s="227" t="str">
        <f>IF($A51="","",IF($J51="DIESEL",SUMIFS(Table1[Quantity],Table1[Customer],$M$3,Table1[Date],$A51,Table1[Bill No.],$B51),IF($J51="PETROL",SUMIFS(Table14[Quantity],Table14[Customer],$M$3,Table14[Date],$A51,Table14[Bill No.],$B51),IF($J51="XtraGreen",SUMIFS(Table146[Quantity],Table146[Company],$M$3,Table146[Date],$A51,Table146[Bill No.],$B51),""))))</f>
        <v/>
      </c>
      <c r="D51" s="228" t="str">
        <f>IF($A51="","",IF($J51="DIESEL",AVERAGEIFS(Table1[RSP],Table1[Customer],$M$3,Table1[Date],$A51,Table1[Bill No.],$B51),IF($J51="PETROL",AVERAGEIFS(Table14[RSP],Table14[Customer],$M$3,Table14[Date],$A51,Table14[Bill No.],$B51),IF($J51="XtraGreen",AVERAGEIFS(Table146[RSP],Table146[Company],$M$3,Table146[Date],$A51,Table146[Bill No.],$B51),IFERROR($E51/$C51,"")))))</f>
        <v/>
      </c>
      <c r="E51" s="338" t="str">
        <f>IF($A51="","",IF($J51="DIESEL",SUMIFS(Table1[Amount],Table1[Customer],$M$3,Table1[Date],$A51,Table1[Bill No.],$B51),IF($J51="PETROL",SUMIFS(Table14[Amount],Table14[Customer],$M$3,Table14[Date],$A51,Table14[Bill No.],$B51),IF($J51="XtraGreen",SUMIFS(Table146[Amount],Table146[Company],$M$3,Table146[Date],$A51,Table146[Bill No.],$B51),SUMIFS('Other Sale'!$D:$D,'Other Sale'!$E:$E,$M$3,'Other Sale'!$C:$C,$J51,'Other Sale'!$A:$A,$A51)))))</f>
        <v/>
      </c>
      <c r="F51" s="338" t="str" cm="1">
        <f t="array" ref="F51">IF($A51="","",IF($J51="Payment",IFERROR(INDEX(_xlfn._xlws.FILTER(MasterPaid[Amount Paid],(MasterPaid[Customer]=$M$3)*(MasterPaid[Date]=$A51)),COUNTIFS($A$6:$A51,$A51,$J$6:$J51,"Payment")),0),0))</f>
        <v/>
      </c>
      <c r="G51" s="343"/>
      <c r="H51" s="343"/>
      <c r="I51" s="338" t="str">
        <f t="shared" si="9"/>
        <v/>
      </c>
      <c r="J51" s="292" t="str" cm="1">
        <f t="array" ref="J51">IFERROR(INDEX(_xlfn.ANCHORARRAY($P$6),ROW()-5,3),"")</f>
        <v/>
      </c>
      <c r="K51" s="433" t="str" cm="1">
        <f t="array" ref="K51">IF(OR($A51="",$J51&lt;&gt;"DIESEL"),"",_xlfn.LET(_xlpm.qty,N($C51),_xlpm.pos,$T$5:$T$54,_xlpm.alo,IF($U$5:$U$54="",0,$U$5:$U$54),_xlpm.usd,SUMIFS($C$6:$C50,$K$6:$K50,_xlpm.pos&amp;""),_xlpm.bal,_xlpm.alo-_xlpm.usd,IFERROR(INDEX(_xlfn._xlws.FILTER(_xlpm.pos,(_xlpm.pos&lt;&gt;"")*(_xlpm.qty&gt;0)*(_xlpm.bal&gt;=_xlpm.qty)),1),"")))</f>
        <v/>
      </c>
      <c r="L51" s="329"/>
      <c r="M51" s="277"/>
      <c r="N51" s="277"/>
      <c r="O51" s="277"/>
      <c r="T51" s="316"/>
      <c r="U51" s="350"/>
      <c r="W51" s="316" t="str">
        <f t="shared" si="0"/>
        <v/>
      </c>
      <c r="X51" s="273" t="str">
        <f t="shared" si="1"/>
        <v/>
      </c>
      <c r="Y51" s="273" t="str">
        <f t="shared" si="2"/>
        <v/>
      </c>
      <c r="Z51" s="273" t="str">
        <f t="shared" si="3"/>
        <v/>
      </c>
      <c r="AA51" s="316" t="str">
        <f t="shared" si="4"/>
        <v/>
      </c>
      <c r="AC51" t="str" cm="1">
        <f t="array" ref="AC51">IF(INDEX($T$5:$T$54,ROW()-4)="","",INDEX($T$5:$T$54,ROW()-4))</f>
        <v/>
      </c>
      <c r="AD51" t="str">
        <f t="shared" si="5"/>
        <v/>
      </c>
      <c r="AE51" t="str">
        <f t="shared" si="6"/>
        <v/>
      </c>
      <c r="AF51" t="str">
        <f t="shared" si="7"/>
        <v/>
      </c>
      <c r="AG51">
        <f t="shared" si="8"/>
        <v>0</v>
      </c>
      <c r="AH51" t="str" cm="1">
        <f t="array" ref="AH51">IF($AC51="","",IF($AG51=1,SUMPRODUCT(($AG$5:$AG$54=1)*($AC$5:$AC$54&gt;$AC51))+1,SUM($AG$5:$AG$54)+SUMPRODUCT(($AG$5:$AG$54=0)*($AC$5:$AC$54&lt;&gt;"")*($AC$5:$AC$54&gt;$AC51))+1))</f>
        <v/>
      </c>
    </row>
    <row r="52" spans="1:34" ht="20" x14ac:dyDescent="0.2">
      <c r="A52" s="226" t="str" cm="1">
        <f t="array" ref="A52">IFERROR(INDEX(_xlfn.ANCHORARRAY($P$6),ROW()-5,1),"")</f>
        <v/>
      </c>
      <c r="B52" s="328" t="str" cm="1">
        <f t="array" ref="B52">IFERROR(INDEX(_xlfn.ANCHORARRAY($P$6),ROW()-5,2),"")</f>
        <v/>
      </c>
      <c r="C52" s="227" t="str">
        <f>IF($A52="","",IF($J52="DIESEL",SUMIFS(Table1[Quantity],Table1[Customer],$M$3,Table1[Date],$A52,Table1[Bill No.],$B52),IF($J52="PETROL",SUMIFS(Table14[Quantity],Table14[Customer],$M$3,Table14[Date],$A52,Table14[Bill No.],$B52),IF($J52="XtraGreen",SUMIFS(Table146[Quantity],Table146[Company],$M$3,Table146[Date],$A52,Table146[Bill No.],$B52),""))))</f>
        <v/>
      </c>
      <c r="D52" s="228" t="str">
        <f>IF($A52="","",IF($J52="DIESEL",AVERAGEIFS(Table1[RSP],Table1[Customer],$M$3,Table1[Date],$A52,Table1[Bill No.],$B52),IF($J52="PETROL",AVERAGEIFS(Table14[RSP],Table14[Customer],$M$3,Table14[Date],$A52,Table14[Bill No.],$B52),IF($J52="XtraGreen",AVERAGEIFS(Table146[RSP],Table146[Company],$M$3,Table146[Date],$A52,Table146[Bill No.],$B52),IFERROR($E52/$C52,"")))))</f>
        <v/>
      </c>
      <c r="E52" s="338" t="str">
        <f>IF($A52="","",IF($J52="DIESEL",SUMIFS(Table1[Amount],Table1[Customer],$M$3,Table1[Date],$A52,Table1[Bill No.],$B52),IF($J52="PETROL",SUMIFS(Table14[Amount],Table14[Customer],$M$3,Table14[Date],$A52,Table14[Bill No.],$B52),IF($J52="XtraGreen",SUMIFS(Table146[Amount],Table146[Company],$M$3,Table146[Date],$A52,Table146[Bill No.],$B52),SUMIFS('Other Sale'!$D:$D,'Other Sale'!$E:$E,$M$3,'Other Sale'!$C:$C,$J52,'Other Sale'!$A:$A,$A52)))))</f>
        <v/>
      </c>
      <c r="F52" s="338" t="str" cm="1">
        <f t="array" ref="F52">IF($A52="","",IF($J52="Payment",IFERROR(INDEX(_xlfn._xlws.FILTER(MasterPaid[Amount Paid],(MasterPaid[Customer]=$M$3)*(MasterPaid[Date]=$A52)),COUNTIFS($A$6:$A52,$A52,$J$6:$J52,"Payment")),0),0))</f>
        <v/>
      </c>
      <c r="G52" s="343"/>
      <c r="H52" s="343"/>
      <c r="I52" s="338" t="str">
        <f t="shared" si="9"/>
        <v/>
      </c>
      <c r="J52" s="292" t="str" cm="1">
        <f t="array" ref="J52">IFERROR(INDEX(_xlfn.ANCHORARRAY($P$6),ROW()-5,3),"")</f>
        <v/>
      </c>
      <c r="K52" s="433" t="str" cm="1">
        <f t="array" ref="K52">IF(OR($A52="",$J52&lt;&gt;"DIESEL"),"",_xlfn.LET(_xlpm.qty,N($C52),_xlpm.pos,$T$5:$T$54,_xlpm.alo,IF($U$5:$U$54="",0,$U$5:$U$54),_xlpm.usd,SUMIFS($C$6:$C51,$K$6:$K51,_xlpm.pos&amp;""),_xlpm.bal,_xlpm.alo-_xlpm.usd,IFERROR(INDEX(_xlfn._xlws.FILTER(_xlpm.pos,(_xlpm.pos&lt;&gt;"")*(_xlpm.qty&gt;0)*(_xlpm.bal&gt;=_xlpm.qty)),1),"")))</f>
        <v/>
      </c>
      <c r="L52" s="329"/>
      <c r="M52" s="277"/>
      <c r="N52" s="277"/>
      <c r="O52" s="277"/>
      <c r="T52" s="316"/>
      <c r="U52" s="350"/>
      <c r="W52" s="316" t="str">
        <f t="shared" si="0"/>
        <v/>
      </c>
      <c r="X52" s="273" t="str">
        <f t="shared" si="1"/>
        <v/>
      </c>
      <c r="Y52" s="273" t="str">
        <f t="shared" si="2"/>
        <v/>
      </c>
      <c r="Z52" s="273" t="str">
        <f t="shared" si="3"/>
        <v/>
      </c>
      <c r="AA52" s="316" t="str">
        <f t="shared" si="4"/>
        <v/>
      </c>
      <c r="AC52" t="str" cm="1">
        <f t="array" ref="AC52">IF(INDEX($T$5:$T$54,ROW()-4)="","",INDEX($T$5:$T$54,ROW()-4))</f>
        <v/>
      </c>
      <c r="AD52" t="str">
        <f t="shared" si="5"/>
        <v/>
      </c>
      <c r="AE52" t="str">
        <f t="shared" si="6"/>
        <v/>
      </c>
      <c r="AF52" t="str">
        <f t="shared" si="7"/>
        <v/>
      </c>
      <c r="AG52">
        <f t="shared" si="8"/>
        <v>0</v>
      </c>
      <c r="AH52" t="str" cm="1">
        <f t="array" ref="AH52">IF($AC52="","",IF($AG52=1,SUMPRODUCT(($AG$5:$AG$54=1)*($AC$5:$AC$54&gt;$AC52))+1,SUM($AG$5:$AG$54)+SUMPRODUCT(($AG$5:$AG$54=0)*($AC$5:$AC$54&lt;&gt;"")*($AC$5:$AC$54&gt;$AC52))+1))</f>
        <v/>
      </c>
    </row>
    <row r="53" spans="1:34" ht="20" x14ac:dyDescent="0.2">
      <c r="A53" s="226" t="str" cm="1">
        <f t="array" ref="A53">IFERROR(INDEX(_xlfn.ANCHORARRAY($P$6),ROW()-5,1),"")</f>
        <v/>
      </c>
      <c r="B53" s="328" t="str" cm="1">
        <f t="array" ref="B53">IFERROR(INDEX(_xlfn.ANCHORARRAY($P$6),ROW()-5,2),"")</f>
        <v/>
      </c>
      <c r="C53" s="227" t="str">
        <f>IF($A53="","",IF($J53="DIESEL",SUMIFS(Table1[Quantity],Table1[Customer],$M$3,Table1[Date],$A53,Table1[Bill No.],$B53),IF($J53="PETROL",SUMIFS(Table14[Quantity],Table14[Customer],$M$3,Table14[Date],$A53,Table14[Bill No.],$B53),IF($J53="XtraGreen",SUMIFS(Table146[Quantity],Table146[Company],$M$3,Table146[Date],$A53,Table146[Bill No.],$B53),""))))</f>
        <v/>
      </c>
      <c r="D53" s="228" t="str">
        <f>IF($A53="","",IF($J53="DIESEL",AVERAGEIFS(Table1[RSP],Table1[Customer],$M$3,Table1[Date],$A53,Table1[Bill No.],$B53),IF($J53="PETROL",AVERAGEIFS(Table14[RSP],Table14[Customer],$M$3,Table14[Date],$A53,Table14[Bill No.],$B53),IF($J53="XtraGreen",AVERAGEIFS(Table146[RSP],Table146[Company],$M$3,Table146[Date],$A53,Table146[Bill No.],$B53),IFERROR($E53/$C53,"")))))</f>
        <v/>
      </c>
      <c r="E53" s="338" t="str">
        <f>IF($A53="","",IF($J53="DIESEL",SUMIFS(Table1[Amount],Table1[Customer],$M$3,Table1[Date],$A53,Table1[Bill No.],$B53),IF($J53="PETROL",SUMIFS(Table14[Amount],Table14[Customer],$M$3,Table14[Date],$A53,Table14[Bill No.],$B53),IF($J53="XtraGreen",SUMIFS(Table146[Amount],Table146[Company],$M$3,Table146[Date],$A53,Table146[Bill No.],$B53),SUMIFS('Other Sale'!$D:$D,'Other Sale'!$E:$E,$M$3,'Other Sale'!$C:$C,$J53,'Other Sale'!$A:$A,$A53)))))</f>
        <v/>
      </c>
      <c r="F53" s="338" t="str" cm="1">
        <f t="array" ref="F53">IF($A53="","",IF($J53="Payment",IFERROR(INDEX(_xlfn._xlws.FILTER(MasterPaid[Amount Paid],(MasterPaid[Customer]=$M$3)*(MasterPaid[Date]=$A53)),COUNTIFS($A$6:$A53,$A53,$J$6:$J53,"Payment")),0),0))</f>
        <v/>
      </c>
      <c r="G53" s="343"/>
      <c r="H53" s="343"/>
      <c r="I53" s="338" t="str">
        <f t="shared" si="9"/>
        <v/>
      </c>
      <c r="J53" s="292" t="str" cm="1">
        <f t="array" ref="J53">IFERROR(INDEX(_xlfn.ANCHORARRAY($P$6),ROW()-5,3),"")</f>
        <v/>
      </c>
      <c r="K53" s="433" t="str" cm="1">
        <f t="array" ref="K53">IF(OR($A53="",$J53&lt;&gt;"DIESEL"),"",_xlfn.LET(_xlpm.qty,N($C53),_xlpm.pos,$T$5:$T$54,_xlpm.alo,IF($U$5:$U$54="",0,$U$5:$U$54),_xlpm.usd,SUMIFS($C$6:$C52,$K$6:$K52,_xlpm.pos&amp;""),_xlpm.bal,_xlpm.alo-_xlpm.usd,IFERROR(INDEX(_xlfn._xlws.FILTER(_xlpm.pos,(_xlpm.pos&lt;&gt;"")*(_xlpm.qty&gt;0)*(_xlpm.bal&gt;=_xlpm.qty)),1),"")))</f>
        <v/>
      </c>
      <c r="L53" s="329"/>
      <c r="M53" s="277"/>
      <c r="N53" s="277"/>
      <c r="O53" s="277"/>
      <c r="T53" s="316"/>
      <c r="U53" s="350"/>
      <c r="W53" s="316" t="str">
        <f t="shared" si="0"/>
        <v/>
      </c>
      <c r="X53" s="273" t="str">
        <f t="shared" si="1"/>
        <v/>
      </c>
      <c r="Y53" s="273" t="str">
        <f t="shared" si="2"/>
        <v/>
      </c>
      <c r="Z53" s="273" t="str">
        <f t="shared" si="3"/>
        <v/>
      </c>
      <c r="AA53" s="316" t="str">
        <f t="shared" si="4"/>
        <v/>
      </c>
      <c r="AC53" t="str" cm="1">
        <f t="array" ref="AC53">IF(INDEX($T$5:$T$54,ROW()-4)="","",INDEX($T$5:$T$54,ROW()-4))</f>
        <v/>
      </c>
      <c r="AD53" t="str">
        <f t="shared" si="5"/>
        <v/>
      </c>
      <c r="AE53" t="str">
        <f t="shared" si="6"/>
        <v/>
      </c>
      <c r="AF53" t="str">
        <f t="shared" si="7"/>
        <v/>
      </c>
      <c r="AG53">
        <f t="shared" si="8"/>
        <v>0</v>
      </c>
      <c r="AH53" t="str" cm="1">
        <f t="array" ref="AH53">IF($AC53="","",IF($AG53=1,SUMPRODUCT(($AG$5:$AG$54=1)*($AC$5:$AC$54&gt;$AC53))+1,SUM($AG$5:$AG$54)+SUMPRODUCT(($AG$5:$AG$54=0)*($AC$5:$AC$54&lt;&gt;"")*($AC$5:$AC$54&gt;$AC53))+1))</f>
        <v/>
      </c>
    </row>
    <row r="54" spans="1:34" ht="20" x14ac:dyDescent="0.2">
      <c r="A54" s="226" t="str" cm="1">
        <f t="array" ref="A54">IFERROR(INDEX(_xlfn.ANCHORARRAY($P$6),ROW()-5,1),"")</f>
        <v/>
      </c>
      <c r="B54" s="328" t="str" cm="1">
        <f t="array" ref="B54">IFERROR(INDEX(_xlfn.ANCHORARRAY($P$6),ROW()-5,2),"")</f>
        <v/>
      </c>
      <c r="C54" s="227" t="str">
        <f>IF($A54="","",IF($J54="DIESEL",SUMIFS(Table1[Quantity],Table1[Customer],$M$3,Table1[Date],$A54,Table1[Bill No.],$B54),IF($J54="PETROL",SUMIFS(Table14[Quantity],Table14[Customer],$M$3,Table14[Date],$A54,Table14[Bill No.],$B54),IF($J54="XtraGreen",SUMIFS(Table146[Quantity],Table146[Company],$M$3,Table146[Date],$A54,Table146[Bill No.],$B54),""))))</f>
        <v/>
      </c>
      <c r="D54" s="228" t="str">
        <f>IF($A54="","",IF($J54="DIESEL",AVERAGEIFS(Table1[RSP],Table1[Customer],$M$3,Table1[Date],$A54,Table1[Bill No.],$B54),IF($J54="PETROL",AVERAGEIFS(Table14[RSP],Table14[Customer],$M$3,Table14[Date],$A54,Table14[Bill No.],$B54),IF($J54="XtraGreen",AVERAGEIFS(Table146[RSP],Table146[Company],$M$3,Table146[Date],$A54,Table146[Bill No.],$B54),IFERROR($E54/$C54,"")))))</f>
        <v/>
      </c>
      <c r="E54" s="338" t="str">
        <f>IF($A54="","",IF($J54="DIESEL",SUMIFS(Table1[Amount],Table1[Customer],$M$3,Table1[Date],$A54,Table1[Bill No.],$B54),IF($J54="PETROL",SUMIFS(Table14[Amount],Table14[Customer],$M$3,Table14[Date],$A54,Table14[Bill No.],$B54),IF($J54="XtraGreen",SUMIFS(Table146[Amount],Table146[Company],$M$3,Table146[Date],$A54,Table146[Bill No.],$B54),SUMIFS('Other Sale'!$D:$D,'Other Sale'!$E:$E,$M$3,'Other Sale'!$C:$C,$J54,'Other Sale'!$A:$A,$A54)))))</f>
        <v/>
      </c>
      <c r="F54" s="338" t="str" cm="1">
        <f t="array" ref="F54">IF($A54="","",IF($J54="Payment",IFERROR(INDEX(_xlfn._xlws.FILTER(MasterPaid[Amount Paid],(MasterPaid[Customer]=$M$3)*(MasterPaid[Date]=$A54)),COUNTIFS($A$6:$A54,$A54,$J$6:$J54,"Payment")),0),0))</f>
        <v/>
      </c>
      <c r="G54" s="343"/>
      <c r="H54" s="343"/>
      <c r="I54" s="338" t="str">
        <f t="shared" si="9"/>
        <v/>
      </c>
      <c r="J54" s="292" t="str" cm="1">
        <f t="array" ref="J54">IFERROR(INDEX(_xlfn.ANCHORARRAY($P$6),ROW()-5,3),"")</f>
        <v/>
      </c>
      <c r="K54" s="433" t="str" cm="1">
        <f t="array" ref="K54">IF(OR($A54="",$J54&lt;&gt;"DIESEL"),"",_xlfn.LET(_xlpm.qty,N($C54),_xlpm.pos,$T$5:$T$54,_xlpm.alo,IF($U$5:$U$54="",0,$U$5:$U$54),_xlpm.usd,SUMIFS($C$6:$C53,$K$6:$K53,_xlpm.pos&amp;""),_xlpm.bal,_xlpm.alo-_xlpm.usd,IFERROR(INDEX(_xlfn._xlws.FILTER(_xlpm.pos,(_xlpm.pos&lt;&gt;"")*(_xlpm.qty&gt;0)*(_xlpm.bal&gt;=_xlpm.qty)),1),"")))</f>
        <v/>
      </c>
      <c r="L54" s="329"/>
      <c r="M54" s="277"/>
      <c r="N54" s="277"/>
      <c r="O54" s="277"/>
      <c r="T54" s="316"/>
      <c r="U54" s="350"/>
      <c r="W54" s="316" t="str">
        <f t="shared" si="0"/>
        <v/>
      </c>
      <c r="X54" s="273" t="str">
        <f t="shared" si="1"/>
        <v/>
      </c>
      <c r="Y54" s="273" t="str">
        <f t="shared" si="2"/>
        <v/>
      </c>
      <c r="Z54" s="273" t="str">
        <f t="shared" si="3"/>
        <v/>
      </c>
      <c r="AA54" s="316" t="str">
        <f t="shared" si="4"/>
        <v/>
      </c>
      <c r="AC54" t="str" cm="1">
        <f t="array" ref="AC54">IF(INDEX($T$5:$T$54,ROW()-4)="","",INDEX($T$5:$T$54,ROW()-4))</f>
        <v/>
      </c>
      <c r="AD54" t="str">
        <f t="shared" si="5"/>
        <v/>
      </c>
      <c r="AE54" t="str">
        <f t="shared" si="6"/>
        <v/>
      </c>
      <c r="AF54" t="str">
        <f t="shared" si="7"/>
        <v/>
      </c>
      <c r="AG54">
        <f t="shared" si="8"/>
        <v>0</v>
      </c>
      <c r="AH54" t="str" cm="1">
        <f t="array" ref="AH54">IF($AC54="","",IF($AG54=1,SUMPRODUCT(($AG$5:$AG$54=1)*($AC$5:$AC$54&gt;$AC54))+1,SUM($AG$5:$AG$54)+SUMPRODUCT(($AG$5:$AG$54=0)*($AC$5:$AC$54&lt;&gt;"")*($AC$5:$AC$54&gt;$AC54))+1))</f>
        <v/>
      </c>
    </row>
    <row r="55" spans="1:34" ht="20" x14ac:dyDescent="0.2">
      <c r="A55" s="226" t="str" cm="1">
        <f t="array" ref="A55">IFERROR(INDEX(_xlfn.ANCHORARRAY($P$6),ROW()-5,1),"")</f>
        <v/>
      </c>
      <c r="B55" s="328" t="str" cm="1">
        <f t="array" ref="B55">IFERROR(INDEX(_xlfn.ANCHORARRAY($P$6),ROW()-5,2),"")</f>
        <v/>
      </c>
      <c r="C55" s="227" t="str">
        <f>IF($A55="","",IF($J55="DIESEL",SUMIFS(Table1[Quantity],Table1[Customer],$M$3,Table1[Date],$A55,Table1[Bill No.],$B55),IF($J55="PETROL",SUMIFS(Table14[Quantity],Table14[Customer],$M$3,Table14[Date],$A55,Table14[Bill No.],$B55),IF($J55="XtraGreen",SUMIFS(Table146[Quantity],Table146[Company],$M$3,Table146[Date],$A55,Table146[Bill No.],$B55),""))))</f>
        <v/>
      </c>
      <c r="D55" s="228" t="str">
        <f>IF($A55="","",IF($J55="DIESEL",AVERAGEIFS(Table1[RSP],Table1[Customer],$M$3,Table1[Date],$A55,Table1[Bill No.],$B55),IF($J55="PETROL",AVERAGEIFS(Table14[RSP],Table14[Customer],$M$3,Table14[Date],$A55,Table14[Bill No.],$B55),IF($J55="XtraGreen",AVERAGEIFS(Table146[RSP],Table146[Company],$M$3,Table146[Date],$A55,Table146[Bill No.],$B55),IFERROR($E55/$C55,"")))))</f>
        <v/>
      </c>
      <c r="E55" s="338" t="str">
        <f>IF($A55="","",IF($J55="DIESEL",SUMIFS(Table1[Amount],Table1[Customer],$M$3,Table1[Date],$A55,Table1[Bill No.],$B55),IF($J55="PETROL",SUMIFS(Table14[Amount],Table14[Customer],$M$3,Table14[Date],$A55,Table14[Bill No.],$B55),IF($J55="XtraGreen",SUMIFS(Table146[Amount],Table146[Company],$M$3,Table146[Date],$A55,Table146[Bill No.],$B55),SUMIFS('Other Sale'!$D:$D,'Other Sale'!$E:$E,$M$3,'Other Sale'!$C:$C,$J55,'Other Sale'!$A:$A,$A55)))))</f>
        <v/>
      </c>
      <c r="F55" s="338" t="str" cm="1">
        <f t="array" ref="F55">IF($A55="","",IF($J55="Payment",IFERROR(INDEX(_xlfn._xlws.FILTER(MasterPaid[Amount Paid],(MasterPaid[Customer]=$M$3)*(MasterPaid[Date]=$A55)),COUNTIFS($A$6:$A55,$A55,$J$6:$J55,"Payment")),0),0))</f>
        <v/>
      </c>
      <c r="G55" s="343"/>
      <c r="H55" s="343"/>
      <c r="I55" s="338" t="str">
        <f t="shared" si="9"/>
        <v/>
      </c>
      <c r="J55" s="292" t="str" cm="1">
        <f t="array" ref="J55">IFERROR(INDEX(_xlfn.ANCHORARRAY($P$6),ROW()-5,3),"")</f>
        <v/>
      </c>
      <c r="K55" s="433" t="str" cm="1">
        <f t="array" ref="K55">IF(OR($A55="",$J55&lt;&gt;"DIESEL"),"",_xlfn.LET(_xlpm.qty,N($C55),_xlpm.pos,$T$5:$T$54,_xlpm.alo,IF($U$5:$U$54="",0,$U$5:$U$54),_xlpm.usd,SUMIFS($C$6:$C54,$K$6:$K54,_xlpm.pos&amp;""),_xlpm.bal,_xlpm.alo-_xlpm.usd,IFERROR(INDEX(_xlfn._xlws.FILTER(_xlpm.pos,(_xlpm.pos&lt;&gt;"")*(_xlpm.qty&gt;0)*(_xlpm.bal&gt;=_xlpm.qty)),1),"")))</f>
        <v/>
      </c>
      <c r="L55" s="329"/>
      <c r="M55" s="277"/>
      <c r="N55" s="277"/>
      <c r="O55" s="277"/>
    </row>
    <row r="56" spans="1:34" ht="20" x14ac:dyDescent="0.2">
      <c r="A56" s="226" t="str" cm="1">
        <f t="array" ref="A56">IFERROR(INDEX(_xlfn.ANCHORARRAY($P$6),ROW()-5,1),"")</f>
        <v/>
      </c>
      <c r="B56" s="328" t="str" cm="1">
        <f t="array" ref="B56">IFERROR(INDEX(_xlfn.ANCHORARRAY($P$6),ROW()-5,2),"")</f>
        <v/>
      </c>
      <c r="C56" s="227" t="str">
        <f>IF($A56="","",IF($J56="DIESEL",SUMIFS(Table1[Quantity],Table1[Customer],$M$3,Table1[Date],$A56,Table1[Bill No.],$B56),IF($J56="PETROL",SUMIFS(Table14[Quantity],Table14[Customer],$M$3,Table14[Date],$A56,Table14[Bill No.],$B56),IF($J56="XtraGreen",SUMIFS(Table146[Quantity],Table146[Company],$M$3,Table146[Date],$A56,Table146[Bill No.],$B56),""))))</f>
        <v/>
      </c>
      <c r="D56" s="228" t="str">
        <f>IF($A56="","",IF($J56="DIESEL",AVERAGEIFS(Table1[RSP],Table1[Customer],$M$3,Table1[Date],$A56,Table1[Bill No.],$B56),IF($J56="PETROL",AVERAGEIFS(Table14[RSP],Table14[Customer],$M$3,Table14[Date],$A56,Table14[Bill No.],$B56),IF($J56="XtraGreen",AVERAGEIFS(Table146[RSP],Table146[Company],$M$3,Table146[Date],$A56,Table146[Bill No.],$B56),IFERROR($E56/$C56,"")))))</f>
        <v/>
      </c>
      <c r="E56" s="338" t="str">
        <f>IF($A56="","",IF($J56="DIESEL",SUMIFS(Table1[Amount],Table1[Customer],$M$3,Table1[Date],$A56,Table1[Bill No.],$B56),IF($J56="PETROL",SUMIFS(Table14[Amount],Table14[Customer],$M$3,Table14[Date],$A56,Table14[Bill No.],$B56),IF($J56="XtraGreen",SUMIFS(Table146[Amount],Table146[Company],$M$3,Table146[Date],$A56,Table146[Bill No.],$B56),SUMIFS('Other Sale'!$D:$D,'Other Sale'!$E:$E,$M$3,'Other Sale'!$C:$C,$J56,'Other Sale'!$A:$A,$A56)))))</f>
        <v/>
      </c>
      <c r="F56" s="338" t="str" cm="1">
        <f t="array" ref="F56">IF($A56="","",IF($J56="Payment",IFERROR(INDEX(_xlfn._xlws.FILTER(MasterPaid[Amount Paid],(MasterPaid[Customer]=$M$3)*(MasterPaid[Date]=$A56)),COUNTIFS($A$6:$A56,$A56,$J$6:$J56,"Payment")),0),0))</f>
        <v/>
      </c>
      <c r="G56" s="343"/>
      <c r="H56" s="343"/>
      <c r="I56" s="338" t="str">
        <f t="shared" si="9"/>
        <v/>
      </c>
      <c r="J56" s="292" t="str" cm="1">
        <f t="array" ref="J56">IFERROR(INDEX(_xlfn.ANCHORARRAY($P$6),ROW()-5,3),"")</f>
        <v/>
      </c>
      <c r="K56" s="433" t="str" cm="1">
        <f t="array" ref="K56">IF(OR($A56="",$J56&lt;&gt;"DIESEL"),"",_xlfn.LET(_xlpm.qty,N($C56),_xlpm.pos,$T$5:$T$54,_xlpm.alo,IF($U$5:$U$54="",0,$U$5:$U$54),_xlpm.usd,SUMIFS($C$6:$C55,$K$6:$K55,_xlpm.pos&amp;""),_xlpm.bal,_xlpm.alo-_xlpm.usd,IFERROR(INDEX(_xlfn._xlws.FILTER(_xlpm.pos,(_xlpm.pos&lt;&gt;"")*(_xlpm.qty&gt;0)*(_xlpm.bal&gt;=_xlpm.qty)),1),"")))</f>
        <v/>
      </c>
      <c r="L56" s="329"/>
      <c r="M56" s="277"/>
      <c r="N56" s="277"/>
      <c r="O56" s="277"/>
    </row>
    <row r="57" spans="1:34" ht="20" x14ac:dyDescent="0.2">
      <c r="A57" s="226" t="str" cm="1">
        <f t="array" ref="A57">IFERROR(INDEX(_xlfn.ANCHORARRAY($P$6),ROW()-5,1),"")</f>
        <v/>
      </c>
      <c r="B57" s="328" t="str" cm="1">
        <f t="array" ref="B57">IFERROR(INDEX(_xlfn.ANCHORARRAY($P$6),ROW()-5,2),"")</f>
        <v/>
      </c>
      <c r="C57" s="227" t="str">
        <f>IF($A57="","",IF($J57="DIESEL",SUMIFS(Table1[Quantity],Table1[Customer],$M$3,Table1[Date],$A57,Table1[Bill No.],$B57),IF($J57="PETROL",SUMIFS(Table14[Quantity],Table14[Customer],$M$3,Table14[Date],$A57,Table14[Bill No.],$B57),IF($J57="XtraGreen",SUMIFS(Table146[Quantity],Table146[Company],$M$3,Table146[Date],$A57,Table146[Bill No.],$B57),""))))</f>
        <v/>
      </c>
      <c r="D57" s="228" t="str">
        <f>IF($A57="","",IF($J57="DIESEL",AVERAGEIFS(Table1[RSP],Table1[Customer],$M$3,Table1[Date],$A57,Table1[Bill No.],$B57),IF($J57="PETROL",AVERAGEIFS(Table14[RSP],Table14[Customer],$M$3,Table14[Date],$A57,Table14[Bill No.],$B57),IF($J57="XtraGreen",AVERAGEIFS(Table146[RSP],Table146[Company],$M$3,Table146[Date],$A57,Table146[Bill No.],$B57),IFERROR($E57/$C57,"")))))</f>
        <v/>
      </c>
      <c r="E57" s="338" t="str">
        <f>IF($A57="","",IF($J57="DIESEL",SUMIFS(Table1[Amount],Table1[Customer],$M$3,Table1[Date],$A57,Table1[Bill No.],$B57),IF($J57="PETROL",SUMIFS(Table14[Amount],Table14[Customer],$M$3,Table14[Date],$A57,Table14[Bill No.],$B57),IF($J57="XtraGreen",SUMIFS(Table146[Amount],Table146[Company],$M$3,Table146[Date],$A57,Table146[Bill No.],$B57),SUMIFS('Other Sale'!$D:$D,'Other Sale'!$E:$E,$M$3,'Other Sale'!$C:$C,$J57,'Other Sale'!$A:$A,$A57)))))</f>
        <v/>
      </c>
      <c r="F57" s="338" t="str" cm="1">
        <f t="array" ref="F57">IF($A57="","",IF($J57="Payment",IFERROR(INDEX(_xlfn._xlws.FILTER(MasterPaid[Amount Paid],(MasterPaid[Customer]=$M$3)*(MasterPaid[Date]=$A57)),COUNTIFS($A$6:$A57,$A57,$J$6:$J57,"Payment")),0),0))</f>
        <v/>
      </c>
      <c r="G57" s="343"/>
      <c r="H57" s="343"/>
      <c r="I57" s="338" t="str">
        <f t="shared" si="9"/>
        <v/>
      </c>
      <c r="J57" s="292" t="str" cm="1">
        <f t="array" ref="J57">IFERROR(INDEX(_xlfn.ANCHORARRAY($P$6),ROW()-5,3),"")</f>
        <v/>
      </c>
      <c r="K57" s="433" t="str" cm="1">
        <f t="array" ref="K57">IF(OR($A57="",$J57&lt;&gt;"DIESEL"),"",_xlfn.LET(_xlpm.qty,N($C57),_xlpm.pos,$T$5:$T$54,_xlpm.alo,IF($U$5:$U$54="",0,$U$5:$U$54),_xlpm.usd,SUMIFS($C$6:$C56,$K$6:$K56,_xlpm.pos&amp;""),_xlpm.bal,_xlpm.alo-_xlpm.usd,IFERROR(INDEX(_xlfn._xlws.FILTER(_xlpm.pos,(_xlpm.pos&lt;&gt;"")*(_xlpm.qty&gt;0)*(_xlpm.bal&gt;=_xlpm.qty)),1),"")))</f>
        <v/>
      </c>
      <c r="L57" s="329"/>
      <c r="M57" s="277"/>
      <c r="N57" s="277"/>
      <c r="O57" s="277"/>
    </row>
    <row r="58" spans="1:34" ht="20" x14ac:dyDescent="0.2">
      <c r="A58" s="226" t="str" cm="1">
        <f t="array" ref="A58">IFERROR(INDEX(_xlfn.ANCHORARRAY($P$6),ROW()-5,1),"")</f>
        <v/>
      </c>
      <c r="B58" s="328" t="str" cm="1">
        <f t="array" ref="B58">IFERROR(INDEX(_xlfn.ANCHORARRAY($P$6),ROW()-5,2),"")</f>
        <v/>
      </c>
      <c r="C58" s="227" t="str">
        <f>IF($A58="","",IF($J58="DIESEL",SUMIFS(Table1[Quantity],Table1[Customer],$M$3,Table1[Date],$A58,Table1[Bill No.],$B58),IF($J58="PETROL",SUMIFS(Table14[Quantity],Table14[Customer],$M$3,Table14[Date],$A58,Table14[Bill No.],$B58),IF($J58="XtraGreen",SUMIFS(Table146[Quantity],Table146[Company],$M$3,Table146[Date],$A58,Table146[Bill No.],$B58),""))))</f>
        <v/>
      </c>
      <c r="D58" s="228" t="str">
        <f>IF($A58="","",IF($J58="DIESEL",AVERAGEIFS(Table1[RSP],Table1[Customer],$M$3,Table1[Date],$A58,Table1[Bill No.],$B58),IF($J58="PETROL",AVERAGEIFS(Table14[RSP],Table14[Customer],$M$3,Table14[Date],$A58,Table14[Bill No.],$B58),IF($J58="XtraGreen",AVERAGEIFS(Table146[RSP],Table146[Company],$M$3,Table146[Date],$A58,Table146[Bill No.],$B58),IFERROR($E58/$C58,"")))))</f>
        <v/>
      </c>
      <c r="E58" s="338" t="str">
        <f>IF($A58="","",IF($J58="DIESEL",SUMIFS(Table1[Amount],Table1[Customer],$M$3,Table1[Date],$A58,Table1[Bill No.],$B58),IF($J58="PETROL",SUMIFS(Table14[Amount],Table14[Customer],$M$3,Table14[Date],$A58,Table14[Bill No.],$B58),IF($J58="XtraGreen",SUMIFS(Table146[Amount],Table146[Company],$M$3,Table146[Date],$A58,Table146[Bill No.],$B58),SUMIFS('Other Sale'!$D:$D,'Other Sale'!$E:$E,$M$3,'Other Sale'!$C:$C,$J58,'Other Sale'!$A:$A,$A58)))))</f>
        <v/>
      </c>
      <c r="F58" s="338" t="str" cm="1">
        <f t="array" ref="F58">IF($A58="","",IF($J58="Payment",IFERROR(INDEX(_xlfn._xlws.FILTER(MasterPaid[Amount Paid],(MasterPaid[Customer]=$M$3)*(MasterPaid[Date]=$A58)),COUNTIFS($A$6:$A58,$A58,$J$6:$J58,"Payment")),0),0))</f>
        <v/>
      </c>
      <c r="G58" s="343"/>
      <c r="H58" s="343"/>
      <c r="I58" s="338" t="str">
        <f t="shared" si="9"/>
        <v/>
      </c>
      <c r="J58" s="292" t="str" cm="1">
        <f t="array" ref="J58">IFERROR(INDEX(_xlfn.ANCHORARRAY($P$6),ROW()-5,3),"")</f>
        <v/>
      </c>
      <c r="K58" s="433" t="str" cm="1">
        <f t="array" ref="K58">IF(OR($A58="",$J58&lt;&gt;"DIESEL"),"",_xlfn.LET(_xlpm.qty,N($C58),_xlpm.pos,$T$5:$T$54,_xlpm.alo,IF($U$5:$U$54="",0,$U$5:$U$54),_xlpm.usd,SUMIFS($C$6:$C57,$K$6:$K57,_xlpm.pos&amp;""),_xlpm.bal,_xlpm.alo-_xlpm.usd,IFERROR(INDEX(_xlfn._xlws.FILTER(_xlpm.pos,(_xlpm.pos&lt;&gt;"")*(_xlpm.qty&gt;0)*(_xlpm.bal&gt;=_xlpm.qty)),1),"")))</f>
        <v/>
      </c>
      <c r="L58" s="329"/>
      <c r="M58" s="277"/>
      <c r="N58" s="277"/>
      <c r="O58" s="277"/>
    </row>
    <row r="59" spans="1:34" ht="20" x14ac:dyDescent="0.2">
      <c r="A59" s="226" t="str" cm="1">
        <f t="array" ref="A59">IFERROR(INDEX(_xlfn.ANCHORARRAY($P$6),ROW()-5,1),"")</f>
        <v/>
      </c>
      <c r="B59" s="328" t="str" cm="1">
        <f t="array" ref="B59">IFERROR(INDEX(_xlfn.ANCHORARRAY($P$6),ROW()-5,2),"")</f>
        <v/>
      </c>
      <c r="C59" s="227" t="str">
        <f>IF($A59="","",IF($J59="DIESEL",SUMIFS(Table1[Quantity],Table1[Customer],$M$3,Table1[Date],$A59,Table1[Bill No.],$B59),IF($J59="PETROL",SUMIFS(Table14[Quantity],Table14[Customer],$M$3,Table14[Date],$A59,Table14[Bill No.],$B59),IF($J59="XtraGreen",SUMIFS(Table146[Quantity],Table146[Company],$M$3,Table146[Date],$A59,Table146[Bill No.],$B59),""))))</f>
        <v/>
      </c>
      <c r="D59" s="228" t="str">
        <f>IF($A59="","",IF($J59="DIESEL",AVERAGEIFS(Table1[RSP],Table1[Customer],$M$3,Table1[Date],$A59,Table1[Bill No.],$B59),IF($J59="PETROL",AVERAGEIFS(Table14[RSP],Table14[Customer],$M$3,Table14[Date],$A59,Table14[Bill No.],$B59),IF($J59="XtraGreen",AVERAGEIFS(Table146[RSP],Table146[Company],$M$3,Table146[Date],$A59,Table146[Bill No.],$B59),IFERROR($E59/$C59,"")))))</f>
        <v/>
      </c>
      <c r="E59" s="338" t="str">
        <f>IF($A59="","",IF($J59="DIESEL",SUMIFS(Table1[Amount],Table1[Customer],$M$3,Table1[Date],$A59,Table1[Bill No.],$B59),IF($J59="PETROL",SUMIFS(Table14[Amount],Table14[Customer],$M$3,Table14[Date],$A59,Table14[Bill No.],$B59),IF($J59="XtraGreen",SUMIFS(Table146[Amount],Table146[Company],$M$3,Table146[Date],$A59,Table146[Bill No.],$B59),SUMIFS('Other Sale'!$D:$D,'Other Sale'!$E:$E,$M$3,'Other Sale'!$C:$C,$J59,'Other Sale'!$A:$A,$A59)))))</f>
        <v/>
      </c>
      <c r="F59" s="338" t="str" cm="1">
        <f t="array" ref="F59">IF($A59="","",IF($J59="Payment",IFERROR(INDEX(_xlfn._xlws.FILTER(MasterPaid[Amount Paid],(MasterPaid[Customer]=$M$3)*(MasterPaid[Date]=$A59)),COUNTIFS($A$6:$A59,$A59,$J$6:$J59,"Payment")),0),0))</f>
        <v/>
      </c>
      <c r="G59" s="343"/>
      <c r="H59" s="343"/>
      <c r="I59" s="338" t="str">
        <f t="shared" si="9"/>
        <v/>
      </c>
      <c r="J59" s="292" t="str" cm="1">
        <f t="array" ref="J59">IFERROR(INDEX(_xlfn.ANCHORARRAY($P$6),ROW()-5,3),"")</f>
        <v/>
      </c>
      <c r="K59" s="433" t="str" cm="1">
        <f t="array" ref="K59">IF(OR($A59="",$J59&lt;&gt;"DIESEL"),"",_xlfn.LET(_xlpm.qty,N($C59),_xlpm.pos,$T$5:$T$54,_xlpm.alo,IF($U$5:$U$54="",0,$U$5:$U$54),_xlpm.usd,SUMIFS($C$6:$C58,$K$6:$K58,_xlpm.pos&amp;""),_xlpm.bal,_xlpm.alo-_xlpm.usd,IFERROR(INDEX(_xlfn._xlws.FILTER(_xlpm.pos,(_xlpm.pos&lt;&gt;"")*(_xlpm.qty&gt;0)*(_xlpm.bal&gt;=_xlpm.qty)),1),"")))</f>
        <v/>
      </c>
      <c r="L59" s="329"/>
      <c r="M59" s="277"/>
      <c r="N59" s="277"/>
      <c r="O59" s="277"/>
    </row>
    <row r="60" spans="1:34" ht="20" x14ac:dyDescent="0.2">
      <c r="A60" s="226" t="str" cm="1">
        <f t="array" ref="A60">IFERROR(INDEX(_xlfn.ANCHORARRAY($P$6),ROW()-5,1),"")</f>
        <v/>
      </c>
      <c r="B60" s="328" t="str" cm="1">
        <f t="array" ref="B60">IFERROR(INDEX(_xlfn.ANCHORARRAY($P$6),ROW()-5,2),"")</f>
        <v/>
      </c>
      <c r="C60" s="227" t="str">
        <f>IF($A60="","",IF($J60="DIESEL",SUMIFS(Table1[Quantity],Table1[Customer],$M$3,Table1[Date],$A60,Table1[Bill No.],$B60),IF($J60="PETROL",SUMIFS(Table14[Quantity],Table14[Customer],$M$3,Table14[Date],$A60,Table14[Bill No.],$B60),IF($J60="XtraGreen",SUMIFS(Table146[Quantity],Table146[Company],$M$3,Table146[Date],$A60,Table146[Bill No.],$B60),""))))</f>
        <v/>
      </c>
      <c r="D60" s="228" t="str">
        <f>IF($A60="","",IF($J60="DIESEL",AVERAGEIFS(Table1[RSP],Table1[Customer],$M$3,Table1[Date],$A60,Table1[Bill No.],$B60),IF($J60="PETROL",AVERAGEIFS(Table14[RSP],Table14[Customer],$M$3,Table14[Date],$A60,Table14[Bill No.],$B60),IF($J60="XtraGreen",AVERAGEIFS(Table146[RSP],Table146[Company],$M$3,Table146[Date],$A60,Table146[Bill No.],$B60),IFERROR($E60/$C60,"")))))</f>
        <v/>
      </c>
      <c r="E60" s="338" t="str">
        <f>IF($A60="","",IF($J60="DIESEL",SUMIFS(Table1[Amount],Table1[Customer],$M$3,Table1[Date],$A60,Table1[Bill No.],$B60),IF($J60="PETROL",SUMIFS(Table14[Amount],Table14[Customer],$M$3,Table14[Date],$A60,Table14[Bill No.],$B60),IF($J60="XtraGreen",SUMIFS(Table146[Amount],Table146[Company],$M$3,Table146[Date],$A60,Table146[Bill No.],$B60),SUMIFS('Other Sale'!$D:$D,'Other Sale'!$E:$E,$M$3,'Other Sale'!$C:$C,$J60,'Other Sale'!$A:$A,$A60)))))</f>
        <v/>
      </c>
      <c r="F60" s="338" t="str" cm="1">
        <f t="array" ref="F60">IF($A60="","",IF($J60="Payment",IFERROR(INDEX(_xlfn._xlws.FILTER(MasterPaid[Amount Paid],(MasterPaid[Customer]=$M$3)*(MasterPaid[Date]=$A60)),COUNTIFS($A$6:$A60,$A60,$J$6:$J60,"Payment")),0),0))</f>
        <v/>
      </c>
      <c r="G60" s="343"/>
      <c r="H60" s="343"/>
      <c r="I60" s="338" t="str">
        <f t="shared" si="9"/>
        <v/>
      </c>
      <c r="J60" s="292" t="str" cm="1">
        <f t="array" ref="J60">IFERROR(INDEX(_xlfn.ANCHORARRAY($P$6),ROW()-5,3),"")</f>
        <v/>
      </c>
      <c r="K60" s="433" t="str" cm="1">
        <f t="array" ref="K60">IF(OR($A60="",$J60&lt;&gt;"DIESEL"),"",_xlfn.LET(_xlpm.qty,N($C60),_xlpm.pos,$T$5:$T$54,_xlpm.alo,IF($U$5:$U$54="",0,$U$5:$U$54),_xlpm.usd,SUMIFS($C$6:$C59,$K$6:$K59,_xlpm.pos&amp;""),_xlpm.bal,_xlpm.alo-_xlpm.usd,IFERROR(INDEX(_xlfn._xlws.FILTER(_xlpm.pos,(_xlpm.pos&lt;&gt;"")*(_xlpm.qty&gt;0)*(_xlpm.bal&gt;=_xlpm.qty)),1),"")))</f>
        <v/>
      </c>
      <c r="L60" s="329"/>
      <c r="M60" s="277"/>
      <c r="N60" s="277"/>
      <c r="O60" s="277"/>
    </row>
    <row r="61" spans="1:34" ht="20" x14ac:dyDescent="0.2">
      <c r="A61" s="226" t="str" cm="1">
        <f t="array" ref="A61">IFERROR(INDEX(_xlfn.ANCHORARRAY($P$6),ROW()-5,1),"")</f>
        <v/>
      </c>
      <c r="B61" s="328" t="str" cm="1">
        <f t="array" ref="B61">IFERROR(INDEX(_xlfn.ANCHORARRAY($P$6),ROW()-5,2),"")</f>
        <v/>
      </c>
      <c r="C61" s="227" t="str">
        <f>IF($A61="","",IF($J61="DIESEL",SUMIFS(Table1[Quantity],Table1[Customer],$M$3,Table1[Date],$A61,Table1[Bill No.],$B61),IF($J61="PETROL",SUMIFS(Table14[Quantity],Table14[Customer],$M$3,Table14[Date],$A61,Table14[Bill No.],$B61),IF($J61="XtraGreen",SUMIFS(Table146[Quantity],Table146[Company],$M$3,Table146[Date],$A61,Table146[Bill No.],$B61),""))))</f>
        <v/>
      </c>
      <c r="D61" s="228" t="str">
        <f>IF($A61="","",IF($J61="DIESEL",AVERAGEIFS(Table1[RSP],Table1[Customer],$M$3,Table1[Date],$A61,Table1[Bill No.],$B61),IF($J61="PETROL",AVERAGEIFS(Table14[RSP],Table14[Customer],$M$3,Table14[Date],$A61,Table14[Bill No.],$B61),IF($J61="XtraGreen",AVERAGEIFS(Table146[RSP],Table146[Company],$M$3,Table146[Date],$A61,Table146[Bill No.],$B61),IFERROR($E61/$C61,"")))))</f>
        <v/>
      </c>
      <c r="E61" s="338" t="str">
        <f>IF($A61="","",IF($J61="DIESEL",SUMIFS(Table1[Amount],Table1[Customer],$M$3,Table1[Date],$A61,Table1[Bill No.],$B61),IF($J61="PETROL",SUMIFS(Table14[Amount],Table14[Customer],$M$3,Table14[Date],$A61,Table14[Bill No.],$B61),IF($J61="XtraGreen",SUMIFS(Table146[Amount],Table146[Company],$M$3,Table146[Date],$A61,Table146[Bill No.],$B61),SUMIFS('Other Sale'!$D:$D,'Other Sale'!$E:$E,$M$3,'Other Sale'!$C:$C,$J61,'Other Sale'!$A:$A,$A61)))))</f>
        <v/>
      </c>
      <c r="F61" s="338" t="str" cm="1">
        <f t="array" ref="F61">IF($A61="","",IF($J61="Payment",IFERROR(INDEX(_xlfn._xlws.FILTER(MasterPaid[Amount Paid],(MasterPaid[Customer]=$M$3)*(MasterPaid[Date]=$A61)),COUNTIFS($A$6:$A61,$A61,$J$6:$J61,"Payment")),0),0))</f>
        <v/>
      </c>
      <c r="G61" s="343"/>
      <c r="H61" s="343"/>
      <c r="I61" s="338" t="str">
        <f t="shared" si="9"/>
        <v/>
      </c>
      <c r="J61" s="292" t="str" cm="1">
        <f t="array" ref="J61">IFERROR(INDEX(_xlfn.ANCHORARRAY($P$6),ROW()-5,3),"")</f>
        <v/>
      </c>
      <c r="K61" s="433" t="str" cm="1">
        <f t="array" ref="K61">IF(OR($A61="",$J61&lt;&gt;"DIESEL"),"",_xlfn.LET(_xlpm.qty,N($C61),_xlpm.pos,$T$5:$T$54,_xlpm.alo,IF($U$5:$U$54="",0,$U$5:$U$54),_xlpm.usd,SUMIFS($C$6:$C60,$K$6:$K60,_xlpm.pos&amp;""),_xlpm.bal,_xlpm.alo-_xlpm.usd,IFERROR(INDEX(_xlfn._xlws.FILTER(_xlpm.pos,(_xlpm.pos&lt;&gt;"")*(_xlpm.qty&gt;0)*(_xlpm.bal&gt;=_xlpm.qty)),1),"")))</f>
        <v/>
      </c>
      <c r="L61" s="329"/>
      <c r="M61" s="277"/>
      <c r="N61" s="277"/>
      <c r="O61" s="277"/>
    </row>
    <row r="62" spans="1:34" ht="20" x14ac:dyDescent="0.2">
      <c r="A62" s="226" t="str" cm="1">
        <f t="array" ref="A62">IFERROR(INDEX(_xlfn.ANCHORARRAY($P$6),ROW()-5,1),"")</f>
        <v/>
      </c>
      <c r="B62" s="328" t="str" cm="1">
        <f t="array" ref="B62">IFERROR(INDEX(_xlfn.ANCHORARRAY($P$6),ROW()-5,2),"")</f>
        <v/>
      </c>
      <c r="C62" s="227" t="str">
        <f>IF($A62="","",IF($J62="DIESEL",SUMIFS(Table1[Quantity],Table1[Customer],$M$3,Table1[Date],$A62,Table1[Bill No.],$B62),IF($J62="PETROL",SUMIFS(Table14[Quantity],Table14[Customer],$M$3,Table14[Date],$A62,Table14[Bill No.],$B62),IF($J62="XtraGreen",SUMIFS(Table146[Quantity],Table146[Company],$M$3,Table146[Date],$A62,Table146[Bill No.],$B62),""))))</f>
        <v/>
      </c>
      <c r="D62" s="228" t="str">
        <f>IF($A62="","",IF($J62="DIESEL",AVERAGEIFS(Table1[RSP],Table1[Customer],$M$3,Table1[Date],$A62,Table1[Bill No.],$B62),IF($J62="PETROL",AVERAGEIFS(Table14[RSP],Table14[Customer],$M$3,Table14[Date],$A62,Table14[Bill No.],$B62),IF($J62="XtraGreen",AVERAGEIFS(Table146[RSP],Table146[Company],$M$3,Table146[Date],$A62,Table146[Bill No.],$B62),IFERROR($E62/$C62,"")))))</f>
        <v/>
      </c>
      <c r="E62" s="338" t="str">
        <f>IF($A62="","",IF($J62="DIESEL",SUMIFS(Table1[Amount],Table1[Customer],$M$3,Table1[Date],$A62,Table1[Bill No.],$B62),IF($J62="PETROL",SUMIFS(Table14[Amount],Table14[Customer],$M$3,Table14[Date],$A62,Table14[Bill No.],$B62),IF($J62="XtraGreen",SUMIFS(Table146[Amount],Table146[Company],$M$3,Table146[Date],$A62,Table146[Bill No.],$B62),SUMIFS('Other Sale'!$D:$D,'Other Sale'!$E:$E,$M$3,'Other Sale'!$C:$C,$J62,'Other Sale'!$A:$A,$A62)))))</f>
        <v/>
      </c>
      <c r="F62" s="338" t="str" cm="1">
        <f t="array" ref="F62">IF($A62="","",IF($J62="Payment",IFERROR(INDEX(_xlfn._xlws.FILTER(MasterPaid[Amount Paid],(MasterPaid[Customer]=$M$3)*(MasterPaid[Date]=$A62)),COUNTIFS($A$6:$A62,$A62,$J$6:$J62,"Payment")),0),0))</f>
        <v/>
      </c>
      <c r="G62" s="343"/>
      <c r="H62" s="343"/>
      <c r="I62" s="338" t="str">
        <f t="shared" si="9"/>
        <v/>
      </c>
      <c r="J62" s="292" t="str" cm="1">
        <f t="array" ref="J62">IFERROR(INDEX(_xlfn.ANCHORARRAY($P$6),ROW()-5,3),"")</f>
        <v/>
      </c>
      <c r="K62" s="433" t="str" cm="1">
        <f t="array" ref="K62">IF(OR($A62="",$J62&lt;&gt;"DIESEL"),"",_xlfn.LET(_xlpm.qty,N($C62),_xlpm.pos,$T$5:$T$54,_xlpm.alo,IF($U$5:$U$54="",0,$U$5:$U$54),_xlpm.usd,SUMIFS($C$6:$C61,$K$6:$K61,_xlpm.pos&amp;""),_xlpm.bal,_xlpm.alo-_xlpm.usd,IFERROR(INDEX(_xlfn._xlws.FILTER(_xlpm.pos,(_xlpm.pos&lt;&gt;"")*(_xlpm.qty&gt;0)*(_xlpm.bal&gt;=_xlpm.qty)),1),"")))</f>
        <v/>
      </c>
      <c r="L62" s="329"/>
      <c r="M62" s="277"/>
      <c r="N62" s="277"/>
      <c r="O62" s="277"/>
    </row>
    <row r="63" spans="1:34" ht="20" x14ac:dyDescent="0.2">
      <c r="A63" s="226" t="str" cm="1">
        <f t="array" ref="A63">IFERROR(INDEX(_xlfn.ANCHORARRAY($P$6),ROW()-5,1),"")</f>
        <v/>
      </c>
      <c r="B63" s="328" t="str" cm="1">
        <f t="array" ref="B63">IFERROR(INDEX(_xlfn.ANCHORARRAY($P$6),ROW()-5,2),"")</f>
        <v/>
      </c>
      <c r="C63" s="227" t="str">
        <f>IF($A63="","",IF($J63="DIESEL",SUMIFS(Table1[Quantity],Table1[Customer],$M$3,Table1[Date],$A63,Table1[Bill No.],$B63),IF($J63="PETROL",SUMIFS(Table14[Quantity],Table14[Customer],$M$3,Table14[Date],$A63,Table14[Bill No.],$B63),IF($J63="XtraGreen",SUMIFS(Table146[Quantity],Table146[Company],$M$3,Table146[Date],$A63,Table146[Bill No.],$B63),""))))</f>
        <v/>
      </c>
      <c r="D63" s="228" t="str">
        <f>IF($A63="","",IF($J63="DIESEL",AVERAGEIFS(Table1[RSP],Table1[Customer],$M$3,Table1[Date],$A63,Table1[Bill No.],$B63),IF($J63="PETROL",AVERAGEIFS(Table14[RSP],Table14[Customer],$M$3,Table14[Date],$A63,Table14[Bill No.],$B63),IF($J63="XtraGreen",AVERAGEIFS(Table146[RSP],Table146[Company],$M$3,Table146[Date],$A63,Table146[Bill No.],$B63),IFERROR($E63/$C63,"")))))</f>
        <v/>
      </c>
      <c r="E63" s="338" t="str">
        <f>IF($A63="","",IF($J63="DIESEL",SUMIFS(Table1[Amount],Table1[Customer],$M$3,Table1[Date],$A63,Table1[Bill No.],$B63),IF($J63="PETROL",SUMIFS(Table14[Amount],Table14[Customer],$M$3,Table14[Date],$A63,Table14[Bill No.],$B63),IF($J63="XtraGreen",SUMIFS(Table146[Amount],Table146[Company],$M$3,Table146[Date],$A63,Table146[Bill No.],$B63),SUMIFS('Other Sale'!$D:$D,'Other Sale'!$E:$E,$M$3,'Other Sale'!$C:$C,$J63,'Other Sale'!$A:$A,$A63)))))</f>
        <v/>
      </c>
      <c r="F63" s="338" t="str" cm="1">
        <f t="array" ref="F63">IF($A63="","",IF($J63="Payment",IFERROR(INDEX(_xlfn._xlws.FILTER(MasterPaid[Amount Paid],(MasterPaid[Customer]=$M$3)*(MasterPaid[Date]=$A63)),COUNTIFS($A$6:$A63,$A63,$J$6:$J63,"Payment")),0),0))</f>
        <v/>
      </c>
      <c r="G63" s="343"/>
      <c r="H63" s="343"/>
      <c r="I63" s="338" t="str">
        <f t="shared" si="9"/>
        <v/>
      </c>
      <c r="J63" s="292" t="str" cm="1">
        <f t="array" ref="J63">IFERROR(INDEX(_xlfn.ANCHORARRAY($P$6),ROW()-5,3),"")</f>
        <v/>
      </c>
      <c r="K63" s="433" t="str" cm="1">
        <f t="array" ref="K63">IF(OR($A63="",$J63&lt;&gt;"DIESEL"),"",_xlfn.LET(_xlpm.qty,N($C63),_xlpm.pos,$T$5:$T$54,_xlpm.alo,IF($U$5:$U$54="",0,$U$5:$U$54),_xlpm.usd,SUMIFS($C$6:$C62,$K$6:$K62,_xlpm.pos&amp;""),_xlpm.bal,_xlpm.alo-_xlpm.usd,IFERROR(INDEX(_xlfn._xlws.FILTER(_xlpm.pos,(_xlpm.pos&lt;&gt;"")*(_xlpm.qty&gt;0)*(_xlpm.bal&gt;=_xlpm.qty)),1),"")))</f>
        <v/>
      </c>
      <c r="L63" s="329"/>
      <c r="M63" s="277"/>
      <c r="N63" s="277"/>
      <c r="O63" s="277"/>
    </row>
    <row r="64" spans="1:34" ht="20" x14ac:dyDescent="0.2">
      <c r="A64" s="226" t="str" cm="1">
        <f t="array" ref="A64">IFERROR(INDEX(_xlfn.ANCHORARRAY($P$6),ROW()-5,1),"")</f>
        <v/>
      </c>
      <c r="B64" s="328" t="str" cm="1">
        <f t="array" ref="B64">IFERROR(INDEX(_xlfn.ANCHORARRAY($P$6),ROW()-5,2),"")</f>
        <v/>
      </c>
      <c r="C64" s="227" t="str">
        <f>IF($A64="","",IF($J64="DIESEL",SUMIFS(Table1[Quantity],Table1[Customer],$M$3,Table1[Date],$A64,Table1[Bill No.],$B64),IF($J64="PETROL",SUMIFS(Table14[Quantity],Table14[Customer],$M$3,Table14[Date],$A64,Table14[Bill No.],$B64),IF($J64="XtraGreen",SUMIFS(Table146[Quantity],Table146[Company],$M$3,Table146[Date],$A64,Table146[Bill No.],$B64),""))))</f>
        <v/>
      </c>
      <c r="D64" s="228" t="str">
        <f>IF($A64="","",IF($J64="DIESEL",AVERAGEIFS(Table1[RSP],Table1[Customer],$M$3,Table1[Date],$A64,Table1[Bill No.],$B64),IF($J64="PETROL",AVERAGEIFS(Table14[RSP],Table14[Customer],$M$3,Table14[Date],$A64,Table14[Bill No.],$B64),IF($J64="XtraGreen",AVERAGEIFS(Table146[RSP],Table146[Company],$M$3,Table146[Date],$A64,Table146[Bill No.],$B64),IFERROR($E64/$C64,"")))))</f>
        <v/>
      </c>
      <c r="E64" s="338" t="str">
        <f>IF($A64="","",IF($J64="DIESEL",SUMIFS(Table1[Amount],Table1[Customer],$M$3,Table1[Date],$A64,Table1[Bill No.],$B64),IF($J64="PETROL",SUMIFS(Table14[Amount],Table14[Customer],$M$3,Table14[Date],$A64,Table14[Bill No.],$B64),IF($J64="XtraGreen",SUMIFS(Table146[Amount],Table146[Company],$M$3,Table146[Date],$A64,Table146[Bill No.],$B64),SUMIFS('Other Sale'!$D:$D,'Other Sale'!$E:$E,$M$3,'Other Sale'!$C:$C,$J64,'Other Sale'!$A:$A,$A64)))))</f>
        <v/>
      </c>
      <c r="F64" s="338" t="str" cm="1">
        <f t="array" ref="F64">IF($A64="","",IF($J64="Payment",IFERROR(INDEX(_xlfn._xlws.FILTER(MasterPaid[Amount Paid],(MasterPaid[Customer]=$M$3)*(MasterPaid[Date]=$A64)),COUNTIFS($A$6:$A64,$A64,$J$6:$J64,"Payment")),0),0))</f>
        <v/>
      </c>
      <c r="G64" s="343"/>
      <c r="H64" s="343"/>
      <c r="I64" s="338" t="str">
        <f t="shared" si="9"/>
        <v/>
      </c>
      <c r="J64" s="292" t="str" cm="1">
        <f t="array" ref="J64">IFERROR(INDEX(_xlfn.ANCHORARRAY($P$6),ROW()-5,3),"")</f>
        <v/>
      </c>
      <c r="K64" s="433" t="str" cm="1">
        <f t="array" ref="K64">IF(OR($A64="",$J64&lt;&gt;"DIESEL"),"",_xlfn.LET(_xlpm.qty,N($C64),_xlpm.pos,$T$5:$T$54,_xlpm.alo,IF($U$5:$U$54="",0,$U$5:$U$54),_xlpm.usd,SUMIFS($C$6:$C63,$K$6:$K63,_xlpm.pos&amp;""),_xlpm.bal,_xlpm.alo-_xlpm.usd,IFERROR(INDEX(_xlfn._xlws.FILTER(_xlpm.pos,(_xlpm.pos&lt;&gt;"")*(_xlpm.qty&gt;0)*(_xlpm.bal&gt;=_xlpm.qty)),1),"")))</f>
        <v/>
      </c>
      <c r="L64" s="329"/>
      <c r="M64" s="277"/>
      <c r="N64" s="277"/>
      <c r="O64" s="277"/>
    </row>
    <row r="65" spans="1:15" ht="20" x14ac:dyDescent="0.2">
      <c r="A65" s="226" t="str" cm="1">
        <f t="array" ref="A65">IFERROR(INDEX(_xlfn.ANCHORARRAY($P$6),ROW()-5,1),"")</f>
        <v/>
      </c>
      <c r="B65" s="328" t="str" cm="1">
        <f t="array" ref="B65">IFERROR(INDEX(_xlfn.ANCHORARRAY($P$6),ROW()-5,2),"")</f>
        <v/>
      </c>
      <c r="C65" s="227" t="str">
        <f>IF($A65="","",IF($J65="DIESEL",SUMIFS(Table1[Quantity],Table1[Customer],$M$3,Table1[Date],$A65,Table1[Bill No.],$B65),IF($J65="PETROL",SUMIFS(Table14[Quantity],Table14[Customer],$M$3,Table14[Date],$A65,Table14[Bill No.],$B65),IF($J65="XtraGreen",SUMIFS(Table146[Quantity],Table146[Company],$M$3,Table146[Date],$A65,Table146[Bill No.],$B65),""))))</f>
        <v/>
      </c>
      <c r="D65" s="228" t="str">
        <f>IF($A65="","",IF($J65="DIESEL",AVERAGEIFS(Table1[RSP],Table1[Customer],$M$3,Table1[Date],$A65,Table1[Bill No.],$B65),IF($J65="PETROL",AVERAGEIFS(Table14[RSP],Table14[Customer],$M$3,Table14[Date],$A65,Table14[Bill No.],$B65),IF($J65="XtraGreen",AVERAGEIFS(Table146[RSP],Table146[Company],$M$3,Table146[Date],$A65,Table146[Bill No.],$B65),IFERROR($E65/$C65,"")))))</f>
        <v/>
      </c>
      <c r="E65" s="338" t="str">
        <f>IF($A65="","",IF($J65="DIESEL",SUMIFS(Table1[Amount],Table1[Customer],$M$3,Table1[Date],$A65,Table1[Bill No.],$B65),IF($J65="PETROL",SUMIFS(Table14[Amount],Table14[Customer],$M$3,Table14[Date],$A65,Table14[Bill No.],$B65),IF($J65="XtraGreen",SUMIFS(Table146[Amount],Table146[Company],$M$3,Table146[Date],$A65,Table146[Bill No.],$B65),SUMIFS('Other Sale'!$D:$D,'Other Sale'!$E:$E,$M$3,'Other Sale'!$C:$C,$J65,'Other Sale'!$A:$A,$A65)))))</f>
        <v/>
      </c>
      <c r="F65" s="338" t="str" cm="1">
        <f t="array" ref="F65">IF($A65="","",IF($J65="Payment",IFERROR(INDEX(_xlfn._xlws.FILTER(MasterPaid[Amount Paid],(MasterPaid[Customer]=$M$3)*(MasterPaid[Date]=$A65)),COUNTIFS($A$6:$A65,$A65,$J$6:$J65,"Payment")),0),0))</f>
        <v/>
      </c>
      <c r="G65" s="343"/>
      <c r="H65" s="343"/>
      <c r="I65" s="338" t="str">
        <f t="shared" si="9"/>
        <v/>
      </c>
      <c r="J65" s="292" t="str" cm="1">
        <f t="array" ref="J65">IFERROR(INDEX(_xlfn.ANCHORARRAY($P$6),ROW()-5,3),"")</f>
        <v/>
      </c>
      <c r="K65" s="433" t="str" cm="1">
        <f t="array" ref="K65">IF(OR($A65="",$J65&lt;&gt;"DIESEL"),"",_xlfn.LET(_xlpm.qty,N($C65),_xlpm.pos,$T$5:$T$54,_xlpm.alo,IF($U$5:$U$54="",0,$U$5:$U$54),_xlpm.usd,SUMIFS($C$6:$C64,$K$6:$K64,_xlpm.pos&amp;""),_xlpm.bal,_xlpm.alo-_xlpm.usd,IFERROR(INDEX(_xlfn._xlws.FILTER(_xlpm.pos,(_xlpm.pos&lt;&gt;"")*(_xlpm.qty&gt;0)*(_xlpm.bal&gt;=_xlpm.qty)),1),"")))</f>
        <v/>
      </c>
      <c r="L65" s="329"/>
      <c r="M65" s="277"/>
      <c r="N65" s="277"/>
      <c r="O65" s="277"/>
    </row>
    <row r="66" spans="1:15" ht="20" x14ac:dyDescent="0.2">
      <c r="A66" s="226" t="str" cm="1">
        <f t="array" ref="A66">IFERROR(INDEX(_xlfn.ANCHORARRAY($P$6),ROW()-5,1),"")</f>
        <v/>
      </c>
      <c r="B66" s="328" t="str" cm="1">
        <f t="array" ref="B66">IFERROR(INDEX(_xlfn.ANCHORARRAY($P$6),ROW()-5,2),"")</f>
        <v/>
      </c>
      <c r="C66" s="227" t="str">
        <f>IF($A66="","",IF($J66="DIESEL",SUMIFS(Table1[Quantity],Table1[Customer],$M$3,Table1[Date],$A66,Table1[Bill No.],$B66),IF($J66="PETROL",SUMIFS(Table14[Quantity],Table14[Customer],$M$3,Table14[Date],$A66,Table14[Bill No.],$B66),IF($J66="XtraGreen",SUMIFS(Table146[Quantity],Table146[Company],$M$3,Table146[Date],$A66,Table146[Bill No.],$B66),""))))</f>
        <v/>
      </c>
      <c r="D66" s="228" t="str">
        <f>IF($A66="","",IF($J66="DIESEL",AVERAGEIFS(Table1[RSP],Table1[Customer],$M$3,Table1[Date],$A66,Table1[Bill No.],$B66),IF($J66="PETROL",AVERAGEIFS(Table14[RSP],Table14[Customer],$M$3,Table14[Date],$A66,Table14[Bill No.],$B66),IF($J66="XtraGreen",AVERAGEIFS(Table146[RSP],Table146[Company],$M$3,Table146[Date],$A66,Table146[Bill No.],$B66),IFERROR($E66/$C66,"")))))</f>
        <v/>
      </c>
      <c r="E66" s="338" t="str">
        <f>IF($A66="","",IF($J66="DIESEL",SUMIFS(Table1[Amount],Table1[Customer],$M$3,Table1[Date],$A66,Table1[Bill No.],$B66),IF($J66="PETROL",SUMIFS(Table14[Amount],Table14[Customer],$M$3,Table14[Date],$A66,Table14[Bill No.],$B66),IF($J66="XtraGreen",SUMIFS(Table146[Amount],Table146[Company],$M$3,Table146[Date],$A66,Table146[Bill No.],$B66),SUMIFS('Other Sale'!$D:$D,'Other Sale'!$E:$E,$M$3,'Other Sale'!$C:$C,$J66,'Other Sale'!$A:$A,$A66)))))</f>
        <v/>
      </c>
      <c r="F66" s="338" t="str" cm="1">
        <f t="array" ref="F66">IF($A66="","",IF($J66="Payment",IFERROR(INDEX(_xlfn._xlws.FILTER(MasterPaid[Amount Paid],(MasterPaid[Customer]=$M$3)*(MasterPaid[Date]=$A66)),COUNTIFS($A$6:$A66,$A66,$J$6:$J66,"Payment")),0),0))</f>
        <v/>
      </c>
      <c r="G66" s="343"/>
      <c r="H66" s="343"/>
      <c r="I66" s="338" t="str">
        <f t="shared" si="9"/>
        <v/>
      </c>
      <c r="J66" s="292" t="str" cm="1">
        <f t="array" ref="J66">IFERROR(INDEX(_xlfn.ANCHORARRAY($P$6),ROW()-5,3),"")</f>
        <v/>
      </c>
      <c r="K66" s="433" t="str" cm="1">
        <f t="array" ref="K66">IF(OR($A66="",$J66&lt;&gt;"DIESEL"),"",_xlfn.LET(_xlpm.qty,N($C66),_xlpm.pos,$T$5:$T$54,_xlpm.alo,IF($U$5:$U$54="",0,$U$5:$U$54),_xlpm.usd,SUMIFS($C$6:$C65,$K$6:$K65,_xlpm.pos&amp;""),_xlpm.bal,_xlpm.alo-_xlpm.usd,IFERROR(INDEX(_xlfn._xlws.FILTER(_xlpm.pos,(_xlpm.pos&lt;&gt;"")*(_xlpm.qty&gt;0)*(_xlpm.bal&gt;=_xlpm.qty)),1),"")))</f>
        <v/>
      </c>
      <c r="L66" s="329"/>
      <c r="M66" s="277"/>
      <c r="N66" s="277"/>
      <c r="O66" s="277"/>
    </row>
    <row r="67" spans="1:15" ht="20" x14ac:dyDescent="0.2">
      <c r="A67" s="226" t="str" cm="1">
        <f t="array" ref="A67">IFERROR(INDEX(_xlfn.ANCHORARRAY($P$6),ROW()-5,1),"")</f>
        <v/>
      </c>
      <c r="B67" s="328" t="str" cm="1">
        <f t="array" ref="B67">IFERROR(INDEX(_xlfn.ANCHORARRAY($P$6),ROW()-5,2),"")</f>
        <v/>
      </c>
      <c r="C67" s="227" t="str">
        <f>IF($A67="","",IF($J67="DIESEL",SUMIFS(Table1[Quantity],Table1[Customer],$M$3,Table1[Date],$A67,Table1[Bill No.],$B67),IF($J67="PETROL",SUMIFS(Table14[Quantity],Table14[Customer],$M$3,Table14[Date],$A67,Table14[Bill No.],$B67),IF($J67="XtraGreen",SUMIFS(Table146[Quantity],Table146[Company],$M$3,Table146[Date],$A67,Table146[Bill No.],$B67),""))))</f>
        <v/>
      </c>
      <c r="D67" s="228" t="str">
        <f>IF($A67="","",IF($J67="DIESEL",AVERAGEIFS(Table1[RSP],Table1[Customer],$M$3,Table1[Date],$A67,Table1[Bill No.],$B67),IF($J67="PETROL",AVERAGEIFS(Table14[RSP],Table14[Customer],$M$3,Table14[Date],$A67,Table14[Bill No.],$B67),IF($J67="XtraGreen",AVERAGEIFS(Table146[RSP],Table146[Company],$M$3,Table146[Date],$A67,Table146[Bill No.],$B67),IFERROR($E67/$C67,"")))))</f>
        <v/>
      </c>
      <c r="E67" s="338" t="str">
        <f>IF($A67="","",IF($J67="DIESEL",SUMIFS(Table1[Amount],Table1[Customer],$M$3,Table1[Date],$A67,Table1[Bill No.],$B67),IF($J67="PETROL",SUMIFS(Table14[Amount],Table14[Customer],$M$3,Table14[Date],$A67,Table14[Bill No.],$B67),IF($J67="XtraGreen",SUMIFS(Table146[Amount],Table146[Company],$M$3,Table146[Date],$A67,Table146[Bill No.],$B67),SUMIFS('Other Sale'!$D:$D,'Other Sale'!$E:$E,$M$3,'Other Sale'!$C:$C,$J67,'Other Sale'!$A:$A,$A67)))))</f>
        <v/>
      </c>
      <c r="F67" s="338" t="str" cm="1">
        <f t="array" ref="F67">IF($A67="","",IF($J67="Payment",IFERROR(INDEX(_xlfn._xlws.FILTER(MasterPaid[Amount Paid],(MasterPaid[Customer]=$M$3)*(MasterPaid[Date]=$A67)),COUNTIFS($A$6:$A67,$A67,$J$6:$J67,"Payment")),0),0))</f>
        <v/>
      </c>
      <c r="G67" s="343"/>
      <c r="H67" s="343"/>
      <c r="I67" s="338" t="str">
        <f t="shared" si="9"/>
        <v/>
      </c>
      <c r="J67" s="292" t="str" cm="1">
        <f t="array" ref="J67">IFERROR(INDEX(_xlfn.ANCHORARRAY($P$6),ROW()-5,3),"")</f>
        <v/>
      </c>
      <c r="K67" s="433" t="str" cm="1">
        <f t="array" ref="K67">IF(OR($A67="",$J67&lt;&gt;"DIESEL"),"",_xlfn.LET(_xlpm.qty,N($C67),_xlpm.pos,$T$5:$T$54,_xlpm.alo,IF($U$5:$U$54="",0,$U$5:$U$54),_xlpm.usd,SUMIFS($C$6:$C66,$K$6:$K66,_xlpm.pos&amp;""),_xlpm.bal,_xlpm.alo-_xlpm.usd,IFERROR(INDEX(_xlfn._xlws.FILTER(_xlpm.pos,(_xlpm.pos&lt;&gt;"")*(_xlpm.qty&gt;0)*(_xlpm.bal&gt;=_xlpm.qty)),1),"")))</f>
        <v/>
      </c>
      <c r="L67" s="329"/>
      <c r="M67" s="277"/>
      <c r="N67" s="277"/>
      <c r="O67" s="277"/>
    </row>
    <row r="68" spans="1:15" ht="20" x14ac:dyDescent="0.2">
      <c r="A68" s="226" t="str" cm="1">
        <f t="array" ref="A68">IFERROR(INDEX(_xlfn.ANCHORARRAY($P$6),ROW()-5,1),"")</f>
        <v/>
      </c>
      <c r="B68" s="328" t="str" cm="1">
        <f t="array" ref="B68">IFERROR(INDEX(_xlfn.ANCHORARRAY($P$6),ROW()-5,2),"")</f>
        <v/>
      </c>
      <c r="C68" s="227" t="str">
        <f>IF($A68="","",IF($J68="DIESEL",SUMIFS(Table1[Quantity],Table1[Customer],$M$3,Table1[Date],$A68,Table1[Bill No.],$B68),IF($J68="PETROL",SUMIFS(Table14[Quantity],Table14[Customer],$M$3,Table14[Date],$A68,Table14[Bill No.],$B68),IF($J68="XtraGreen",SUMIFS(Table146[Quantity],Table146[Company],$M$3,Table146[Date],$A68,Table146[Bill No.],$B68),""))))</f>
        <v/>
      </c>
      <c r="D68" s="228" t="str">
        <f>IF($A68="","",IF($J68="DIESEL",AVERAGEIFS(Table1[RSP],Table1[Customer],$M$3,Table1[Date],$A68,Table1[Bill No.],$B68),IF($J68="PETROL",AVERAGEIFS(Table14[RSP],Table14[Customer],$M$3,Table14[Date],$A68,Table14[Bill No.],$B68),IF($J68="XtraGreen",AVERAGEIFS(Table146[RSP],Table146[Company],$M$3,Table146[Date],$A68,Table146[Bill No.],$B68),IFERROR($E68/$C68,"")))))</f>
        <v/>
      </c>
      <c r="E68" s="338" t="str">
        <f>IF($A68="","",IF($J68="DIESEL",SUMIFS(Table1[Amount],Table1[Customer],$M$3,Table1[Date],$A68,Table1[Bill No.],$B68),IF($J68="PETROL",SUMIFS(Table14[Amount],Table14[Customer],$M$3,Table14[Date],$A68,Table14[Bill No.],$B68),IF($J68="XtraGreen",SUMIFS(Table146[Amount],Table146[Company],$M$3,Table146[Date],$A68,Table146[Bill No.],$B68),SUMIFS('Other Sale'!$D:$D,'Other Sale'!$E:$E,$M$3,'Other Sale'!$C:$C,$J68,'Other Sale'!$A:$A,$A68)))))</f>
        <v/>
      </c>
      <c r="F68" s="338" t="str" cm="1">
        <f t="array" ref="F68">IF($A68="","",IF($J68="Payment",IFERROR(INDEX(_xlfn._xlws.FILTER(MasterPaid[Amount Paid],(MasterPaid[Customer]=$M$3)*(MasterPaid[Date]=$A68)),COUNTIFS($A$6:$A68,$A68,$J$6:$J68,"Payment")),0),0))</f>
        <v/>
      </c>
      <c r="G68" s="343"/>
      <c r="H68" s="343"/>
      <c r="I68" s="338" t="str">
        <f t="shared" si="9"/>
        <v/>
      </c>
      <c r="J68" s="292" t="str" cm="1">
        <f t="array" ref="J68">IFERROR(INDEX(_xlfn.ANCHORARRAY($P$6),ROW()-5,3),"")</f>
        <v/>
      </c>
      <c r="K68" s="433" t="str" cm="1">
        <f t="array" ref="K68">IF(OR($A68="",$J68&lt;&gt;"DIESEL"),"",_xlfn.LET(_xlpm.qty,N($C68),_xlpm.pos,$T$5:$T$54,_xlpm.alo,IF($U$5:$U$54="",0,$U$5:$U$54),_xlpm.usd,SUMIFS($C$6:$C67,$K$6:$K67,_xlpm.pos&amp;""),_xlpm.bal,_xlpm.alo-_xlpm.usd,IFERROR(INDEX(_xlfn._xlws.FILTER(_xlpm.pos,(_xlpm.pos&lt;&gt;"")*(_xlpm.qty&gt;0)*(_xlpm.bal&gt;=_xlpm.qty)),1),"")))</f>
        <v/>
      </c>
      <c r="L68" s="329"/>
      <c r="M68" s="277"/>
      <c r="N68" s="277"/>
      <c r="O68" s="277"/>
    </row>
    <row r="69" spans="1:15" ht="20" x14ac:dyDescent="0.2">
      <c r="A69" s="226" t="str" cm="1">
        <f t="array" ref="A69">IFERROR(INDEX(_xlfn.ANCHORARRAY($P$6),ROW()-5,1),"")</f>
        <v/>
      </c>
      <c r="B69" s="328" t="str" cm="1">
        <f t="array" ref="B69">IFERROR(INDEX(_xlfn.ANCHORARRAY($P$6),ROW()-5,2),"")</f>
        <v/>
      </c>
      <c r="C69" s="227" t="str">
        <f>IF($A69="","",IF($J69="DIESEL",SUMIFS(Table1[Quantity],Table1[Customer],$M$3,Table1[Date],$A69,Table1[Bill No.],$B69),IF($J69="PETROL",SUMIFS(Table14[Quantity],Table14[Customer],$M$3,Table14[Date],$A69,Table14[Bill No.],$B69),IF($J69="XtraGreen",SUMIFS(Table146[Quantity],Table146[Company],$M$3,Table146[Date],$A69,Table146[Bill No.],$B69),""))))</f>
        <v/>
      </c>
      <c r="D69" s="228" t="str">
        <f>IF($A69="","",IF($J69="DIESEL",AVERAGEIFS(Table1[RSP],Table1[Customer],$M$3,Table1[Date],$A69,Table1[Bill No.],$B69),IF($J69="PETROL",AVERAGEIFS(Table14[RSP],Table14[Customer],$M$3,Table14[Date],$A69,Table14[Bill No.],$B69),IF($J69="XtraGreen",AVERAGEIFS(Table146[RSP],Table146[Company],$M$3,Table146[Date],$A69,Table146[Bill No.],$B69),IFERROR($E69/$C69,"")))))</f>
        <v/>
      </c>
      <c r="E69" s="338" t="str">
        <f>IF($A69="","",IF($J69="DIESEL",SUMIFS(Table1[Amount],Table1[Customer],$M$3,Table1[Date],$A69,Table1[Bill No.],$B69),IF($J69="PETROL",SUMIFS(Table14[Amount],Table14[Customer],$M$3,Table14[Date],$A69,Table14[Bill No.],$B69),IF($J69="XtraGreen",SUMIFS(Table146[Amount],Table146[Company],$M$3,Table146[Date],$A69,Table146[Bill No.],$B69),SUMIFS('Other Sale'!$D:$D,'Other Sale'!$E:$E,$M$3,'Other Sale'!$C:$C,$J69,'Other Sale'!$A:$A,$A69)))))</f>
        <v/>
      </c>
      <c r="F69" s="338" t="str" cm="1">
        <f t="array" ref="F69">IF($A69="","",IF($J69="Payment",IFERROR(INDEX(_xlfn._xlws.FILTER(MasterPaid[Amount Paid],(MasterPaid[Customer]=$M$3)*(MasterPaid[Date]=$A69)),COUNTIFS($A$6:$A69,$A69,$J$6:$J69,"Payment")),0),0))</f>
        <v/>
      </c>
      <c r="G69" s="343"/>
      <c r="H69" s="343"/>
      <c r="I69" s="338" t="str">
        <f t="shared" si="9"/>
        <v/>
      </c>
      <c r="J69" s="292" t="str" cm="1">
        <f t="array" ref="J69">IFERROR(INDEX(_xlfn.ANCHORARRAY($P$6),ROW()-5,3),"")</f>
        <v/>
      </c>
      <c r="K69" s="433" t="str" cm="1">
        <f t="array" ref="K69">IF(OR($A69="",$J69&lt;&gt;"DIESEL"),"",_xlfn.LET(_xlpm.qty,N($C69),_xlpm.pos,$T$5:$T$54,_xlpm.alo,IF($U$5:$U$54="",0,$U$5:$U$54),_xlpm.usd,SUMIFS($C$6:$C68,$K$6:$K68,_xlpm.pos&amp;""),_xlpm.bal,_xlpm.alo-_xlpm.usd,IFERROR(INDEX(_xlfn._xlws.FILTER(_xlpm.pos,(_xlpm.pos&lt;&gt;"")*(_xlpm.qty&gt;0)*(_xlpm.bal&gt;=_xlpm.qty)),1),"")))</f>
        <v/>
      </c>
      <c r="L69" s="329"/>
      <c r="M69" s="277"/>
      <c r="N69" s="277"/>
      <c r="O69" s="277"/>
    </row>
    <row r="70" spans="1:15" ht="20" x14ac:dyDescent="0.2">
      <c r="A70" s="226" t="str" cm="1">
        <f t="array" ref="A70">IFERROR(INDEX(_xlfn.ANCHORARRAY($P$6),ROW()-5,1),"")</f>
        <v/>
      </c>
      <c r="B70" s="328" t="str" cm="1">
        <f t="array" ref="B70">IFERROR(INDEX(_xlfn.ANCHORARRAY($P$6),ROW()-5,2),"")</f>
        <v/>
      </c>
      <c r="C70" s="227" t="str">
        <f>IF($A70="","",IF($J70="DIESEL",SUMIFS(Table1[Quantity],Table1[Customer],$M$3,Table1[Date],$A70,Table1[Bill No.],$B70),IF($J70="PETROL",SUMIFS(Table14[Quantity],Table14[Customer],$M$3,Table14[Date],$A70,Table14[Bill No.],$B70),IF($J70="XtraGreen",SUMIFS(Table146[Quantity],Table146[Company],$M$3,Table146[Date],$A70,Table146[Bill No.],$B70),""))))</f>
        <v/>
      </c>
      <c r="D70" s="228" t="str">
        <f>IF($A70="","",IF($J70="DIESEL",AVERAGEIFS(Table1[RSP],Table1[Customer],$M$3,Table1[Date],$A70,Table1[Bill No.],$B70),IF($J70="PETROL",AVERAGEIFS(Table14[RSP],Table14[Customer],$M$3,Table14[Date],$A70,Table14[Bill No.],$B70),IF($J70="XtraGreen",AVERAGEIFS(Table146[RSP],Table146[Company],$M$3,Table146[Date],$A70,Table146[Bill No.],$B70),IFERROR($E70/$C70,"")))))</f>
        <v/>
      </c>
      <c r="E70" s="338" t="str">
        <f>IF($A70="","",IF($J70="DIESEL",SUMIFS(Table1[Amount],Table1[Customer],$M$3,Table1[Date],$A70,Table1[Bill No.],$B70),IF($J70="PETROL",SUMIFS(Table14[Amount],Table14[Customer],$M$3,Table14[Date],$A70,Table14[Bill No.],$B70),IF($J70="XtraGreen",SUMIFS(Table146[Amount],Table146[Company],$M$3,Table146[Date],$A70,Table146[Bill No.],$B70),SUMIFS('Other Sale'!$D:$D,'Other Sale'!$E:$E,$M$3,'Other Sale'!$C:$C,$J70,'Other Sale'!$A:$A,$A70)))))</f>
        <v/>
      </c>
      <c r="F70" s="338" t="str" cm="1">
        <f t="array" ref="F70">IF($A70="","",IF($J70="Payment",IFERROR(INDEX(_xlfn._xlws.FILTER(MasterPaid[Amount Paid],(MasterPaid[Customer]=$M$3)*(MasterPaid[Date]=$A70)),COUNTIFS($A$6:$A70,$A70,$J$6:$J70,"Payment")),0),0))</f>
        <v/>
      </c>
      <c r="G70" s="343"/>
      <c r="H70" s="343"/>
      <c r="I70" s="338" t="str">
        <f t="shared" si="9"/>
        <v/>
      </c>
      <c r="J70" s="292" t="str" cm="1">
        <f t="array" ref="J70">IFERROR(INDEX(_xlfn.ANCHORARRAY($P$6),ROW()-5,3),"")</f>
        <v/>
      </c>
      <c r="K70" s="433" t="str" cm="1">
        <f t="array" ref="K70">IF(OR($A70="",$J70&lt;&gt;"DIESEL"),"",_xlfn.LET(_xlpm.qty,N($C70),_xlpm.pos,$T$5:$T$54,_xlpm.alo,IF($U$5:$U$54="",0,$U$5:$U$54),_xlpm.usd,SUMIFS($C$6:$C69,$K$6:$K69,_xlpm.pos&amp;""),_xlpm.bal,_xlpm.alo-_xlpm.usd,IFERROR(INDEX(_xlfn._xlws.FILTER(_xlpm.pos,(_xlpm.pos&lt;&gt;"")*(_xlpm.qty&gt;0)*(_xlpm.bal&gt;=_xlpm.qty)),1),"")))</f>
        <v/>
      </c>
      <c r="L70" s="329"/>
      <c r="M70" s="277"/>
      <c r="N70" s="277"/>
      <c r="O70" s="277"/>
    </row>
    <row r="71" spans="1:15" ht="20" x14ac:dyDescent="0.2">
      <c r="A71" s="226" t="str" cm="1">
        <f t="array" ref="A71">IFERROR(INDEX(_xlfn.ANCHORARRAY($P$6),ROW()-5,1),"")</f>
        <v/>
      </c>
      <c r="B71" s="328" t="str" cm="1">
        <f t="array" ref="B71">IFERROR(INDEX(_xlfn.ANCHORARRAY($P$6),ROW()-5,2),"")</f>
        <v/>
      </c>
      <c r="C71" s="227" t="str">
        <f>IF($A71="","",IF($J71="DIESEL",SUMIFS(Table1[Quantity],Table1[Customer],$M$3,Table1[Date],$A71,Table1[Bill No.],$B71),IF($J71="PETROL",SUMIFS(Table14[Quantity],Table14[Customer],$M$3,Table14[Date],$A71,Table14[Bill No.],$B71),IF($J71="XtraGreen",SUMIFS(Table146[Quantity],Table146[Company],$M$3,Table146[Date],$A71,Table146[Bill No.],$B71),""))))</f>
        <v/>
      </c>
      <c r="D71" s="228" t="str">
        <f>IF($A71="","",IF($J71="DIESEL",AVERAGEIFS(Table1[RSP],Table1[Customer],$M$3,Table1[Date],$A71,Table1[Bill No.],$B71),IF($J71="PETROL",AVERAGEIFS(Table14[RSP],Table14[Customer],$M$3,Table14[Date],$A71,Table14[Bill No.],$B71),IF($J71="XtraGreen",AVERAGEIFS(Table146[RSP],Table146[Company],$M$3,Table146[Date],$A71,Table146[Bill No.],$B71),IFERROR($E71/$C71,"")))))</f>
        <v/>
      </c>
      <c r="E71" s="338" t="str">
        <f>IF($A71="","",IF($J71="DIESEL",SUMIFS(Table1[Amount],Table1[Customer],$M$3,Table1[Date],$A71,Table1[Bill No.],$B71),IF($J71="PETROL",SUMIFS(Table14[Amount],Table14[Customer],$M$3,Table14[Date],$A71,Table14[Bill No.],$B71),IF($J71="XtraGreen",SUMIFS(Table146[Amount],Table146[Company],$M$3,Table146[Date],$A71,Table146[Bill No.],$B71),SUMIFS('Other Sale'!$D:$D,'Other Sale'!$E:$E,$M$3,'Other Sale'!$C:$C,$J71,'Other Sale'!$A:$A,$A71)))))</f>
        <v/>
      </c>
      <c r="F71" s="338" t="str" cm="1">
        <f t="array" ref="F71">IF($A71="","",IF($J71="Payment",IFERROR(INDEX(_xlfn._xlws.FILTER(MasterPaid[Amount Paid],(MasterPaid[Customer]=$M$3)*(MasterPaid[Date]=$A71)),COUNTIFS($A$6:$A71,$A71,$J$6:$J71,"Payment")),0),0))</f>
        <v/>
      </c>
      <c r="G71" s="343"/>
      <c r="H71" s="343"/>
      <c r="I71" s="338" t="str">
        <f t="shared" si="9"/>
        <v/>
      </c>
      <c r="J71" s="292" t="str" cm="1">
        <f t="array" ref="J71">IFERROR(INDEX(_xlfn.ANCHORARRAY($P$6),ROW()-5,3),"")</f>
        <v/>
      </c>
      <c r="K71" s="433" t="str" cm="1">
        <f t="array" ref="K71">IF(OR($A71="",$J71&lt;&gt;"DIESEL"),"",_xlfn.LET(_xlpm.qty,N($C71),_xlpm.pos,$T$5:$T$54,_xlpm.alo,IF($U$5:$U$54="",0,$U$5:$U$54),_xlpm.usd,SUMIFS($C$6:$C70,$K$6:$K70,_xlpm.pos&amp;""),_xlpm.bal,_xlpm.alo-_xlpm.usd,IFERROR(INDEX(_xlfn._xlws.FILTER(_xlpm.pos,(_xlpm.pos&lt;&gt;"")*(_xlpm.qty&gt;0)*(_xlpm.bal&gt;=_xlpm.qty)),1),"")))</f>
        <v/>
      </c>
      <c r="L71" s="329"/>
      <c r="M71" s="277"/>
      <c r="N71" s="277"/>
      <c r="O71" s="277"/>
    </row>
    <row r="72" spans="1:15" ht="20" x14ac:dyDescent="0.2">
      <c r="A72" s="226" t="str" cm="1">
        <f t="array" ref="A72">IFERROR(INDEX(_xlfn.ANCHORARRAY($P$6),ROW()-5,1),"")</f>
        <v/>
      </c>
      <c r="B72" s="328" t="str" cm="1">
        <f t="array" ref="B72">IFERROR(INDEX(_xlfn.ANCHORARRAY($P$6),ROW()-5,2),"")</f>
        <v/>
      </c>
      <c r="C72" s="227" t="str">
        <f>IF($A72="","",IF($J72="DIESEL",SUMIFS(Table1[Quantity],Table1[Customer],$M$3,Table1[Date],$A72,Table1[Bill No.],$B72),IF($J72="PETROL",SUMIFS(Table14[Quantity],Table14[Customer],$M$3,Table14[Date],$A72,Table14[Bill No.],$B72),IF($J72="XtraGreen",SUMIFS(Table146[Quantity],Table146[Company],$M$3,Table146[Date],$A72,Table146[Bill No.],$B72),""))))</f>
        <v/>
      </c>
      <c r="D72" s="228" t="str">
        <f>IF($A72="","",IF($J72="DIESEL",AVERAGEIFS(Table1[RSP],Table1[Customer],$M$3,Table1[Date],$A72,Table1[Bill No.],$B72),IF($J72="PETROL",AVERAGEIFS(Table14[RSP],Table14[Customer],$M$3,Table14[Date],$A72,Table14[Bill No.],$B72),IF($J72="XtraGreen",AVERAGEIFS(Table146[RSP],Table146[Company],$M$3,Table146[Date],$A72,Table146[Bill No.],$B72),IFERROR($E72/$C72,"")))))</f>
        <v/>
      </c>
      <c r="E72" s="338" t="str">
        <f>IF($A72="","",IF($J72="DIESEL",SUMIFS(Table1[Amount],Table1[Customer],$M$3,Table1[Date],$A72,Table1[Bill No.],$B72),IF($J72="PETROL",SUMIFS(Table14[Amount],Table14[Customer],$M$3,Table14[Date],$A72,Table14[Bill No.],$B72),IF($J72="XtraGreen",SUMIFS(Table146[Amount],Table146[Company],$M$3,Table146[Date],$A72,Table146[Bill No.],$B72),SUMIFS('Other Sale'!$D:$D,'Other Sale'!$E:$E,$M$3,'Other Sale'!$C:$C,$J72,'Other Sale'!$A:$A,$A72)))))</f>
        <v/>
      </c>
      <c r="F72" s="338" t="str" cm="1">
        <f t="array" ref="F72">IF($A72="","",IF($J72="Payment",IFERROR(INDEX(_xlfn._xlws.FILTER(MasterPaid[Amount Paid],(MasterPaid[Customer]=$M$3)*(MasterPaid[Date]=$A72)),COUNTIFS($A$6:$A72,$A72,$J$6:$J72,"Payment")),0),0))</f>
        <v/>
      </c>
      <c r="G72" s="343"/>
      <c r="H72" s="343"/>
      <c r="I72" s="338" t="str">
        <f t="shared" ref="I72:I85" si="10">IF($A72="","",I71+N(E72)-N(F72)-N(G72)-N(H72))</f>
        <v/>
      </c>
      <c r="J72" s="292" t="str" cm="1">
        <f t="array" ref="J72">IFERROR(INDEX(_xlfn.ANCHORARRAY($P$6),ROW()-5,3),"")</f>
        <v/>
      </c>
      <c r="K72" s="433" t="str" cm="1">
        <f t="array" ref="K72">IF(OR($A72="",$J72&lt;&gt;"DIESEL"),"",_xlfn.LET(_xlpm.qty,N($C72),_xlpm.pos,$T$5:$T$54,_xlpm.alo,IF($U$5:$U$54="",0,$U$5:$U$54),_xlpm.usd,SUMIFS($C$6:$C71,$K$6:$K71,_xlpm.pos&amp;""),_xlpm.bal,_xlpm.alo-_xlpm.usd,IFERROR(INDEX(_xlfn._xlws.FILTER(_xlpm.pos,(_xlpm.pos&lt;&gt;"")*(_xlpm.qty&gt;0)*(_xlpm.bal&gt;=_xlpm.qty)),1),"")))</f>
        <v/>
      </c>
      <c r="L72" s="329"/>
      <c r="M72" s="277"/>
      <c r="N72" s="277"/>
      <c r="O72" s="277"/>
    </row>
    <row r="73" spans="1:15" ht="20" x14ac:dyDescent="0.2">
      <c r="A73" s="226" t="str" cm="1">
        <f t="array" ref="A73">IFERROR(INDEX(_xlfn.ANCHORARRAY($P$6),ROW()-5,1),"")</f>
        <v/>
      </c>
      <c r="B73" s="328" t="str" cm="1">
        <f t="array" ref="B73">IFERROR(INDEX(_xlfn.ANCHORARRAY($P$6),ROW()-5,2),"")</f>
        <v/>
      </c>
      <c r="C73" s="227" t="str">
        <f>IF($A73="","",IF($J73="DIESEL",SUMIFS(Table1[Quantity],Table1[Customer],$M$3,Table1[Date],$A73,Table1[Bill No.],$B73),IF($J73="PETROL",SUMIFS(Table14[Quantity],Table14[Customer],$M$3,Table14[Date],$A73,Table14[Bill No.],$B73),IF($J73="XtraGreen",SUMIFS(Table146[Quantity],Table146[Company],$M$3,Table146[Date],$A73,Table146[Bill No.],$B73),""))))</f>
        <v/>
      </c>
      <c r="D73" s="228" t="str">
        <f>IF($A73="","",IF($J73="DIESEL",AVERAGEIFS(Table1[RSP],Table1[Customer],$M$3,Table1[Date],$A73,Table1[Bill No.],$B73),IF($J73="PETROL",AVERAGEIFS(Table14[RSP],Table14[Customer],$M$3,Table14[Date],$A73,Table14[Bill No.],$B73),IF($J73="XtraGreen",AVERAGEIFS(Table146[RSP],Table146[Company],$M$3,Table146[Date],$A73,Table146[Bill No.],$B73),IFERROR($E73/$C73,"")))))</f>
        <v/>
      </c>
      <c r="E73" s="338" t="str">
        <f>IF($A73="","",IF($J73="DIESEL",SUMIFS(Table1[Amount],Table1[Customer],$M$3,Table1[Date],$A73,Table1[Bill No.],$B73),IF($J73="PETROL",SUMIFS(Table14[Amount],Table14[Customer],$M$3,Table14[Date],$A73,Table14[Bill No.],$B73),IF($J73="XtraGreen",SUMIFS(Table146[Amount],Table146[Company],$M$3,Table146[Date],$A73,Table146[Bill No.],$B73),SUMIFS('Other Sale'!$D:$D,'Other Sale'!$E:$E,$M$3,'Other Sale'!$C:$C,$J73,'Other Sale'!$A:$A,$A73)))))</f>
        <v/>
      </c>
      <c r="F73" s="338" t="str" cm="1">
        <f t="array" ref="F73">IF($A73="","",IF($J73="Payment",IFERROR(INDEX(_xlfn._xlws.FILTER(MasterPaid[Amount Paid],(MasterPaid[Customer]=$M$3)*(MasterPaid[Date]=$A73)),COUNTIFS($A$6:$A73,$A73,$J$6:$J73,"Payment")),0),0))</f>
        <v/>
      </c>
      <c r="G73" s="343"/>
      <c r="H73" s="343"/>
      <c r="I73" s="338" t="str">
        <f t="shared" si="10"/>
        <v/>
      </c>
      <c r="J73" s="292" t="str" cm="1">
        <f t="array" ref="J73">IFERROR(INDEX(_xlfn.ANCHORARRAY($P$6),ROW()-5,3),"")</f>
        <v/>
      </c>
      <c r="K73" s="433" t="str" cm="1">
        <f t="array" ref="K73">IF(OR($A73="",$J73&lt;&gt;"DIESEL"),"",_xlfn.LET(_xlpm.qty,N($C73),_xlpm.pos,$T$5:$T$54,_xlpm.alo,IF($U$5:$U$54="",0,$U$5:$U$54),_xlpm.usd,SUMIFS($C$6:$C72,$K$6:$K72,_xlpm.pos&amp;""),_xlpm.bal,_xlpm.alo-_xlpm.usd,IFERROR(INDEX(_xlfn._xlws.FILTER(_xlpm.pos,(_xlpm.pos&lt;&gt;"")*(_xlpm.qty&gt;0)*(_xlpm.bal&gt;=_xlpm.qty)),1),"")))</f>
        <v/>
      </c>
      <c r="L73" s="329"/>
      <c r="M73" s="277"/>
      <c r="N73" s="277"/>
      <c r="O73" s="277"/>
    </row>
    <row r="74" spans="1:15" ht="20" x14ac:dyDescent="0.2">
      <c r="A74" s="226" t="str" cm="1">
        <f t="array" ref="A74">IFERROR(INDEX(_xlfn.ANCHORARRAY($P$6),ROW()-5,1),"")</f>
        <v/>
      </c>
      <c r="B74" s="328" t="str" cm="1">
        <f t="array" ref="B74">IFERROR(INDEX(_xlfn.ANCHORARRAY($P$6),ROW()-5,2),"")</f>
        <v/>
      </c>
      <c r="C74" s="227" t="str">
        <f>IF($A74="","",IF($J74="DIESEL",SUMIFS(Table1[Quantity],Table1[Customer],$M$3,Table1[Date],$A74,Table1[Bill No.],$B74),IF($J74="PETROL",SUMIFS(Table14[Quantity],Table14[Customer],$M$3,Table14[Date],$A74,Table14[Bill No.],$B74),IF($J74="XtraGreen",SUMIFS(Table146[Quantity],Table146[Company],$M$3,Table146[Date],$A74,Table146[Bill No.],$B74),""))))</f>
        <v/>
      </c>
      <c r="D74" s="228" t="str">
        <f>IF($A74="","",IF($J74="DIESEL",AVERAGEIFS(Table1[RSP],Table1[Customer],$M$3,Table1[Date],$A74,Table1[Bill No.],$B74),IF($J74="PETROL",AVERAGEIFS(Table14[RSP],Table14[Customer],$M$3,Table14[Date],$A74,Table14[Bill No.],$B74),IF($J74="XtraGreen",AVERAGEIFS(Table146[RSP],Table146[Company],$M$3,Table146[Date],$A74,Table146[Bill No.],$B74),IFERROR($E74/$C74,"")))))</f>
        <v/>
      </c>
      <c r="E74" s="338" t="str">
        <f>IF($A74="","",IF($J74="DIESEL",SUMIFS(Table1[Amount],Table1[Customer],$M$3,Table1[Date],$A74,Table1[Bill No.],$B74),IF($J74="PETROL",SUMIFS(Table14[Amount],Table14[Customer],$M$3,Table14[Date],$A74,Table14[Bill No.],$B74),IF($J74="XtraGreen",SUMIFS(Table146[Amount],Table146[Company],$M$3,Table146[Date],$A74,Table146[Bill No.],$B74),SUMIFS('Other Sale'!$D:$D,'Other Sale'!$E:$E,$M$3,'Other Sale'!$C:$C,$J74,'Other Sale'!$A:$A,$A74)))))</f>
        <v/>
      </c>
      <c r="F74" s="338" t="str" cm="1">
        <f t="array" ref="F74">IF($A74="","",IF($J74="Payment",IFERROR(INDEX(_xlfn._xlws.FILTER(MasterPaid[Amount Paid],(MasterPaid[Customer]=$M$3)*(MasterPaid[Date]=$A74)),COUNTIFS($A$6:$A74,$A74,$J$6:$J74,"Payment")),0),0))</f>
        <v/>
      </c>
      <c r="G74" s="343"/>
      <c r="H74" s="343"/>
      <c r="I74" s="338" t="str">
        <f t="shared" si="10"/>
        <v/>
      </c>
      <c r="J74" s="292" t="str" cm="1">
        <f t="array" ref="J74">IFERROR(INDEX(_xlfn.ANCHORARRAY($P$6),ROW()-5,3),"")</f>
        <v/>
      </c>
      <c r="K74" s="433" t="str" cm="1">
        <f t="array" ref="K74">IF(OR($A74="",$J74&lt;&gt;"DIESEL"),"",_xlfn.LET(_xlpm.qty,N($C74),_xlpm.pos,$T$5:$T$54,_xlpm.alo,IF($U$5:$U$54="",0,$U$5:$U$54),_xlpm.usd,SUMIFS($C$6:$C73,$K$6:$K73,_xlpm.pos&amp;""),_xlpm.bal,_xlpm.alo-_xlpm.usd,IFERROR(INDEX(_xlfn._xlws.FILTER(_xlpm.pos,(_xlpm.pos&lt;&gt;"")*(_xlpm.qty&gt;0)*(_xlpm.bal&gt;=_xlpm.qty)),1),"")))</f>
        <v/>
      </c>
      <c r="L74" s="329"/>
      <c r="M74" s="277"/>
      <c r="N74" s="277"/>
      <c r="O74" s="277"/>
    </row>
    <row r="75" spans="1:15" ht="20" x14ac:dyDescent="0.2">
      <c r="A75" s="226" t="str" cm="1">
        <f t="array" ref="A75">IFERROR(INDEX(_xlfn.ANCHORARRAY($P$6),ROW()-5,1),"")</f>
        <v/>
      </c>
      <c r="B75" s="328" t="str" cm="1">
        <f t="array" ref="B75">IFERROR(INDEX(_xlfn.ANCHORARRAY($P$6),ROW()-5,2),"")</f>
        <v/>
      </c>
      <c r="C75" s="227" t="str">
        <f>IF($A75="","",IF($J75="DIESEL",SUMIFS(Table1[Quantity],Table1[Customer],$M$3,Table1[Date],$A75,Table1[Bill No.],$B75),IF($J75="PETROL",SUMIFS(Table14[Quantity],Table14[Customer],$M$3,Table14[Date],$A75,Table14[Bill No.],$B75),IF($J75="XtraGreen",SUMIFS(Table146[Quantity],Table146[Company],$M$3,Table146[Date],$A75,Table146[Bill No.],$B75),""))))</f>
        <v/>
      </c>
      <c r="D75" s="228" t="str">
        <f>IF($A75="","",IF($J75="DIESEL",AVERAGEIFS(Table1[RSP],Table1[Customer],$M$3,Table1[Date],$A75,Table1[Bill No.],$B75),IF($J75="PETROL",AVERAGEIFS(Table14[RSP],Table14[Customer],$M$3,Table14[Date],$A75,Table14[Bill No.],$B75),IF($J75="XtraGreen",AVERAGEIFS(Table146[RSP],Table146[Company],$M$3,Table146[Date],$A75,Table146[Bill No.],$B75),IFERROR($E75/$C75,"")))))</f>
        <v/>
      </c>
      <c r="E75" s="338" t="str">
        <f>IF($A75="","",IF($J75="DIESEL",SUMIFS(Table1[Amount],Table1[Customer],$M$3,Table1[Date],$A75,Table1[Bill No.],$B75),IF($J75="PETROL",SUMIFS(Table14[Amount],Table14[Customer],$M$3,Table14[Date],$A75,Table14[Bill No.],$B75),IF($J75="XtraGreen",SUMIFS(Table146[Amount],Table146[Company],$M$3,Table146[Date],$A75,Table146[Bill No.],$B75),SUMIFS('Other Sale'!$D:$D,'Other Sale'!$E:$E,$M$3,'Other Sale'!$C:$C,$J75,'Other Sale'!$A:$A,$A75)))))</f>
        <v/>
      </c>
      <c r="F75" s="338" t="str" cm="1">
        <f t="array" ref="F75">IF($A75="","",IF($J75="Payment",IFERROR(INDEX(_xlfn._xlws.FILTER(MasterPaid[Amount Paid],(MasterPaid[Customer]=$M$3)*(MasterPaid[Date]=$A75)),COUNTIFS($A$6:$A75,$A75,$J$6:$J75,"Payment")),0),0))</f>
        <v/>
      </c>
      <c r="G75" s="343"/>
      <c r="H75" s="343"/>
      <c r="I75" s="338" t="str">
        <f t="shared" si="10"/>
        <v/>
      </c>
      <c r="J75" s="292" t="str" cm="1">
        <f t="array" ref="J75">IFERROR(INDEX(_xlfn.ANCHORARRAY($P$6),ROW()-5,3),"")</f>
        <v/>
      </c>
      <c r="K75" s="433" t="str" cm="1">
        <f t="array" ref="K75">IF(OR($A75="",$J75&lt;&gt;"DIESEL"),"",_xlfn.LET(_xlpm.qty,N($C75),_xlpm.pos,$T$5:$T$54,_xlpm.alo,IF($U$5:$U$54="",0,$U$5:$U$54),_xlpm.usd,SUMIFS($C$6:$C74,$K$6:$K74,_xlpm.pos&amp;""),_xlpm.bal,_xlpm.alo-_xlpm.usd,IFERROR(INDEX(_xlfn._xlws.FILTER(_xlpm.pos,(_xlpm.pos&lt;&gt;"")*(_xlpm.qty&gt;0)*(_xlpm.bal&gt;=_xlpm.qty)),1),"")))</f>
        <v/>
      </c>
      <c r="L75" s="329"/>
      <c r="M75" s="277"/>
      <c r="N75" s="277"/>
      <c r="O75" s="277"/>
    </row>
    <row r="76" spans="1:15" ht="20" x14ac:dyDescent="0.2">
      <c r="A76" s="226" t="str" cm="1">
        <f t="array" ref="A76">IFERROR(INDEX(_xlfn.ANCHORARRAY($P$6),ROW()-5,1),"")</f>
        <v/>
      </c>
      <c r="B76" s="328" t="str" cm="1">
        <f t="array" ref="B76">IFERROR(INDEX(_xlfn.ANCHORARRAY($P$6),ROW()-5,2),"")</f>
        <v/>
      </c>
      <c r="C76" s="227" t="str">
        <f>IF($A76="","",IF($J76="DIESEL",SUMIFS(Table1[Quantity],Table1[Customer],$M$3,Table1[Date],$A76,Table1[Bill No.],$B76),IF($J76="PETROL",SUMIFS(Table14[Quantity],Table14[Customer],$M$3,Table14[Date],$A76,Table14[Bill No.],$B76),IF($J76="XtraGreen",SUMIFS(Table146[Quantity],Table146[Company],$M$3,Table146[Date],$A76,Table146[Bill No.],$B76),""))))</f>
        <v/>
      </c>
      <c r="D76" s="228" t="str">
        <f>IF($A76="","",IF($J76="DIESEL",AVERAGEIFS(Table1[RSP],Table1[Customer],$M$3,Table1[Date],$A76,Table1[Bill No.],$B76),IF($J76="PETROL",AVERAGEIFS(Table14[RSP],Table14[Customer],$M$3,Table14[Date],$A76,Table14[Bill No.],$B76),IF($J76="XtraGreen",AVERAGEIFS(Table146[RSP],Table146[Company],$M$3,Table146[Date],$A76,Table146[Bill No.],$B76),IFERROR($E76/$C76,"")))))</f>
        <v/>
      </c>
      <c r="E76" s="338" t="str">
        <f>IF($A76="","",IF($J76="DIESEL",SUMIFS(Table1[Amount],Table1[Customer],$M$3,Table1[Date],$A76,Table1[Bill No.],$B76),IF($J76="PETROL",SUMIFS(Table14[Amount],Table14[Customer],$M$3,Table14[Date],$A76,Table14[Bill No.],$B76),IF($J76="XtraGreen",SUMIFS(Table146[Amount],Table146[Company],$M$3,Table146[Date],$A76,Table146[Bill No.],$B76),SUMIFS('Other Sale'!$D:$D,'Other Sale'!$E:$E,$M$3,'Other Sale'!$C:$C,$J76,'Other Sale'!$A:$A,$A76)))))</f>
        <v/>
      </c>
      <c r="F76" s="338" t="str" cm="1">
        <f t="array" ref="F76">IF($A76="","",IF($J76="Payment",IFERROR(INDEX(_xlfn._xlws.FILTER(MasterPaid[Amount Paid],(MasterPaid[Customer]=$M$3)*(MasterPaid[Date]=$A76)),COUNTIFS($A$6:$A76,$A76,$J$6:$J76,"Payment")),0),0))</f>
        <v/>
      </c>
      <c r="G76" s="343"/>
      <c r="H76" s="343"/>
      <c r="I76" s="338" t="str">
        <f t="shared" si="10"/>
        <v/>
      </c>
      <c r="J76" s="292" t="str" cm="1">
        <f t="array" ref="J76">IFERROR(INDEX(_xlfn.ANCHORARRAY($P$6),ROW()-5,3),"")</f>
        <v/>
      </c>
      <c r="K76" s="433" t="str" cm="1">
        <f t="array" ref="K76">IF(OR($A76="",$J76&lt;&gt;"DIESEL"),"",_xlfn.LET(_xlpm.qty,N($C76),_xlpm.pos,$T$5:$T$54,_xlpm.alo,IF($U$5:$U$54="",0,$U$5:$U$54),_xlpm.usd,SUMIFS($C$6:$C75,$K$6:$K75,_xlpm.pos&amp;""),_xlpm.bal,_xlpm.alo-_xlpm.usd,IFERROR(INDEX(_xlfn._xlws.FILTER(_xlpm.pos,(_xlpm.pos&lt;&gt;"")*(_xlpm.qty&gt;0)*(_xlpm.bal&gt;=_xlpm.qty)),1),"")))</f>
        <v/>
      </c>
      <c r="L76" s="329"/>
      <c r="M76" s="277"/>
      <c r="N76" s="277"/>
      <c r="O76" s="277"/>
    </row>
    <row r="77" spans="1:15" ht="20" x14ac:dyDescent="0.2">
      <c r="A77" s="226" t="str" cm="1">
        <f t="array" ref="A77">IFERROR(INDEX(_xlfn.ANCHORARRAY($P$6),ROW()-5,1),"")</f>
        <v/>
      </c>
      <c r="B77" s="328" t="str" cm="1">
        <f t="array" ref="B77">IFERROR(INDEX(_xlfn.ANCHORARRAY($P$6),ROW()-5,2),"")</f>
        <v/>
      </c>
      <c r="C77" s="227" t="str">
        <f>IF($A77="","",IF($J77="DIESEL",SUMIFS(Table1[Quantity],Table1[Customer],$M$3,Table1[Date],$A77,Table1[Bill No.],$B77),IF($J77="PETROL",SUMIFS(Table14[Quantity],Table14[Customer],$M$3,Table14[Date],$A77,Table14[Bill No.],$B77),IF($J77="XtraGreen",SUMIFS(Table146[Quantity],Table146[Company],$M$3,Table146[Date],$A77,Table146[Bill No.],$B77),""))))</f>
        <v/>
      </c>
      <c r="D77" s="228" t="str">
        <f>IF($A77="","",IF($J77="DIESEL",AVERAGEIFS(Table1[RSP],Table1[Customer],$M$3,Table1[Date],$A77,Table1[Bill No.],$B77),IF($J77="PETROL",AVERAGEIFS(Table14[RSP],Table14[Customer],$M$3,Table14[Date],$A77,Table14[Bill No.],$B77),IF($J77="XtraGreen",AVERAGEIFS(Table146[RSP],Table146[Company],$M$3,Table146[Date],$A77,Table146[Bill No.],$B77),IFERROR($E77/$C77,"")))))</f>
        <v/>
      </c>
      <c r="E77" s="338" t="str">
        <f>IF($A77="","",IF($J77="DIESEL",SUMIFS(Table1[Amount],Table1[Customer],$M$3,Table1[Date],$A77,Table1[Bill No.],$B77),IF($J77="PETROL",SUMIFS(Table14[Amount],Table14[Customer],$M$3,Table14[Date],$A77,Table14[Bill No.],$B77),IF($J77="XtraGreen",SUMIFS(Table146[Amount],Table146[Company],$M$3,Table146[Date],$A77,Table146[Bill No.],$B77),SUMIFS('Other Sale'!$D:$D,'Other Sale'!$E:$E,$M$3,'Other Sale'!$C:$C,$J77,'Other Sale'!$A:$A,$A77)))))</f>
        <v/>
      </c>
      <c r="F77" s="338" t="str" cm="1">
        <f t="array" ref="F77">IF($A77="","",IF($J77="Payment",IFERROR(INDEX(_xlfn._xlws.FILTER(MasterPaid[Amount Paid],(MasterPaid[Customer]=$M$3)*(MasterPaid[Date]=$A77)),COUNTIFS($A$6:$A77,$A77,$J$6:$J77,"Payment")),0),0))</f>
        <v/>
      </c>
      <c r="G77" s="343"/>
      <c r="H77" s="343"/>
      <c r="I77" s="338" t="str">
        <f t="shared" si="10"/>
        <v/>
      </c>
      <c r="J77" s="292" t="str" cm="1">
        <f t="array" ref="J77">IFERROR(INDEX(_xlfn.ANCHORARRAY($P$6),ROW()-5,3),"")</f>
        <v/>
      </c>
      <c r="K77" s="433" t="str" cm="1">
        <f t="array" ref="K77">IF(OR($A77="",$J77&lt;&gt;"DIESEL"),"",_xlfn.LET(_xlpm.qty,N($C77),_xlpm.pos,$T$5:$T$54,_xlpm.alo,IF($U$5:$U$54="",0,$U$5:$U$54),_xlpm.usd,SUMIFS($C$6:$C76,$K$6:$K76,_xlpm.pos&amp;""),_xlpm.bal,_xlpm.alo-_xlpm.usd,IFERROR(INDEX(_xlfn._xlws.FILTER(_xlpm.pos,(_xlpm.pos&lt;&gt;"")*(_xlpm.qty&gt;0)*(_xlpm.bal&gt;=_xlpm.qty)),1),"")))</f>
        <v/>
      </c>
      <c r="L77" s="329"/>
      <c r="M77" s="277"/>
      <c r="N77" s="277"/>
      <c r="O77" s="277"/>
    </row>
    <row r="78" spans="1:15" ht="20" x14ac:dyDescent="0.2">
      <c r="A78" s="226" t="str" cm="1">
        <f t="array" ref="A78">IFERROR(INDEX(_xlfn.ANCHORARRAY($P$6),ROW()-5,1),"")</f>
        <v/>
      </c>
      <c r="B78" s="328" t="str" cm="1">
        <f t="array" ref="B78">IFERROR(INDEX(_xlfn.ANCHORARRAY($P$6),ROW()-5,2),"")</f>
        <v/>
      </c>
      <c r="C78" s="227" t="str">
        <f>IF($A78="","",IF($J78="DIESEL",SUMIFS(Table1[Quantity],Table1[Customer],$M$3,Table1[Date],$A78,Table1[Bill No.],$B78),IF($J78="PETROL",SUMIFS(Table14[Quantity],Table14[Customer],$M$3,Table14[Date],$A78,Table14[Bill No.],$B78),IF($J78="XtraGreen",SUMIFS(Table146[Quantity],Table146[Company],$M$3,Table146[Date],$A78,Table146[Bill No.],$B78),""))))</f>
        <v/>
      </c>
      <c r="D78" s="228" t="str">
        <f>IF($A78="","",IF($J78="DIESEL",AVERAGEIFS(Table1[RSP],Table1[Customer],$M$3,Table1[Date],$A78,Table1[Bill No.],$B78),IF($J78="PETROL",AVERAGEIFS(Table14[RSP],Table14[Customer],$M$3,Table14[Date],$A78,Table14[Bill No.],$B78),IF($J78="XtraGreen",AVERAGEIFS(Table146[RSP],Table146[Company],$M$3,Table146[Date],$A78,Table146[Bill No.],$B78),IFERROR($E78/$C78,"")))))</f>
        <v/>
      </c>
      <c r="E78" s="338" t="str">
        <f>IF($A78="","",IF($J78="DIESEL",SUMIFS(Table1[Amount],Table1[Customer],$M$3,Table1[Date],$A78,Table1[Bill No.],$B78),IF($J78="PETROL",SUMIFS(Table14[Amount],Table14[Customer],$M$3,Table14[Date],$A78,Table14[Bill No.],$B78),IF($J78="XtraGreen",SUMIFS(Table146[Amount],Table146[Company],$M$3,Table146[Date],$A78,Table146[Bill No.],$B78),SUMIFS('Other Sale'!$D:$D,'Other Sale'!$E:$E,$M$3,'Other Sale'!$C:$C,$J78,'Other Sale'!$A:$A,$A78)))))</f>
        <v/>
      </c>
      <c r="F78" s="338" t="str" cm="1">
        <f t="array" ref="F78">IF($A78="","",IF($J78="Payment",IFERROR(INDEX(_xlfn._xlws.FILTER(MasterPaid[Amount Paid],(MasterPaid[Customer]=$M$3)*(MasterPaid[Date]=$A78)),COUNTIFS($A$6:$A78,$A78,$J$6:$J78,"Payment")),0),0))</f>
        <v/>
      </c>
      <c r="G78" s="343"/>
      <c r="H78" s="343"/>
      <c r="I78" s="338" t="str">
        <f t="shared" si="10"/>
        <v/>
      </c>
      <c r="J78" s="292" t="str" cm="1">
        <f t="array" ref="J78">IFERROR(INDEX(_xlfn.ANCHORARRAY($P$6),ROW()-5,3),"")</f>
        <v/>
      </c>
      <c r="K78" s="433" t="str" cm="1">
        <f t="array" ref="K78">IF(OR($A78="",$J78&lt;&gt;"DIESEL"),"",_xlfn.LET(_xlpm.qty,N($C78),_xlpm.pos,$T$5:$T$54,_xlpm.alo,IF($U$5:$U$54="",0,$U$5:$U$54),_xlpm.usd,SUMIFS($C$6:$C77,$K$6:$K77,_xlpm.pos&amp;""),_xlpm.bal,_xlpm.alo-_xlpm.usd,IFERROR(INDEX(_xlfn._xlws.FILTER(_xlpm.pos,(_xlpm.pos&lt;&gt;"")*(_xlpm.qty&gt;0)*(_xlpm.bal&gt;=_xlpm.qty)),1),"")))</f>
        <v/>
      </c>
      <c r="L78" s="329"/>
      <c r="M78" s="277"/>
      <c r="N78" s="277"/>
      <c r="O78" s="277"/>
    </row>
    <row r="79" spans="1:15" ht="20" x14ac:dyDescent="0.2">
      <c r="A79" s="226" t="str" cm="1">
        <f t="array" ref="A79">IFERROR(INDEX(_xlfn.ANCHORARRAY($P$6),ROW()-5,1),"")</f>
        <v/>
      </c>
      <c r="B79" s="328" t="str" cm="1">
        <f t="array" ref="B79">IFERROR(INDEX(_xlfn.ANCHORARRAY($P$6),ROW()-5,2),"")</f>
        <v/>
      </c>
      <c r="C79" s="227" t="str">
        <f>IF($A79="","",IF($J79="DIESEL",SUMIFS(Table1[Quantity],Table1[Customer],$M$3,Table1[Date],$A79,Table1[Bill No.],$B79),IF($J79="PETROL",SUMIFS(Table14[Quantity],Table14[Customer],$M$3,Table14[Date],$A79,Table14[Bill No.],$B79),IF($J79="XtraGreen",SUMIFS(Table146[Quantity],Table146[Company],$M$3,Table146[Date],$A79,Table146[Bill No.],$B79),""))))</f>
        <v/>
      </c>
      <c r="D79" s="228" t="str">
        <f>IF($A79="","",IF($J79="DIESEL",AVERAGEIFS(Table1[RSP],Table1[Customer],$M$3,Table1[Date],$A79,Table1[Bill No.],$B79),IF($J79="PETROL",AVERAGEIFS(Table14[RSP],Table14[Customer],$M$3,Table14[Date],$A79,Table14[Bill No.],$B79),IF($J79="XtraGreen",AVERAGEIFS(Table146[RSP],Table146[Company],$M$3,Table146[Date],$A79,Table146[Bill No.],$B79),IFERROR($E79/$C79,"")))))</f>
        <v/>
      </c>
      <c r="E79" s="338" t="str">
        <f>IF($A79="","",IF($J79="DIESEL",SUMIFS(Table1[Amount],Table1[Customer],$M$3,Table1[Date],$A79,Table1[Bill No.],$B79),IF($J79="PETROL",SUMIFS(Table14[Amount],Table14[Customer],$M$3,Table14[Date],$A79,Table14[Bill No.],$B79),IF($J79="XtraGreen",SUMIFS(Table146[Amount],Table146[Company],$M$3,Table146[Date],$A79,Table146[Bill No.],$B79),SUMIFS('Other Sale'!$D:$D,'Other Sale'!$E:$E,$M$3,'Other Sale'!$C:$C,$J79,'Other Sale'!$A:$A,$A79)))))</f>
        <v/>
      </c>
      <c r="F79" s="338" t="str" cm="1">
        <f t="array" ref="F79">IF($A79="","",IF($J79="Payment",IFERROR(INDEX(_xlfn._xlws.FILTER(MasterPaid[Amount Paid],(MasterPaid[Customer]=$M$3)*(MasterPaid[Date]=$A79)),COUNTIFS($A$6:$A79,$A79,$J$6:$J79,"Payment")),0),0))</f>
        <v/>
      </c>
      <c r="G79" s="343"/>
      <c r="H79" s="343"/>
      <c r="I79" s="338" t="str">
        <f t="shared" si="10"/>
        <v/>
      </c>
      <c r="J79" s="292" t="str" cm="1">
        <f t="array" ref="J79">IFERROR(INDEX(_xlfn.ANCHORARRAY($P$6),ROW()-5,3),"")</f>
        <v/>
      </c>
      <c r="K79" s="433" t="str" cm="1">
        <f t="array" ref="K79">IF(OR($A79="",$J79&lt;&gt;"DIESEL"),"",_xlfn.LET(_xlpm.qty,N($C79),_xlpm.pos,$T$5:$T$54,_xlpm.alo,IF($U$5:$U$54="",0,$U$5:$U$54),_xlpm.usd,SUMIFS($C$6:$C78,$K$6:$K78,_xlpm.pos&amp;""),_xlpm.bal,_xlpm.alo-_xlpm.usd,IFERROR(INDEX(_xlfn._xlws.FILTER(_xlpm.pos,(_xlpm.pos&lt;&gt;"")*(_xlpm.qty&gt;0)*(_xlpm.bal&gt;=_xlpm.qty)),1),"")))</f>
        <v/>
      </c>
      <c r="L79" s="329"/>
      <c r="M79" s="277"/>
      <c r="N79" s="277"/>
      <c r="O79" s="277"/>
    </row>
    <row r="80" spans="1:15" ht="20" x14ac:dyDescent="0.2">
      <c r="A80" s="226" t="str" cm="1">
        <f t="array" ref="A80">IFERROR(INDEX(_xlfn.ANCHORARRAY($P$6),ROW()-5,1),"")</f>
        <v/>
      </c>
      <c r="B80" s="328" t="str" cm="1">
        <f t="array" ref="B80">IFERROR(INDEX(_xlfn.ANCHORARRAY($P$6),ROW()-5,2),"")</f>
        <v/>
      </c>
      <c r="C80" s="227" t="str">
        <f>IF($A80="","",IF($J80="DIESEL",SUMIFS(Table1[Quantity],Table1[Customer],$M$3,Table1[Date],$A80,Table1[Bill No.],$B80),IF($J80="PETROL",SUMIFS(Table14[Quantity],Table14[Customer],$M$3,Table14[Date],$A80,Table14[Bill No.],$B80),IF($J80="XtraGreen",SUMIFS(Table146[Quantity],Table146[Company],$M$3,Table146[Date],$A80,Table146[Bill No.],$B80),""))))</f>
        <v/>
      </c>
      <c r="D80" s="228" t="str">
        <f>IF($A80="","",IF($J80="DIESEL",AVERAGEIFS(Table1[RSP],Table1[Customer],$M$3,Table1[Date],$A80,Table1[Bill No.],$B80),IF($J80="PETROL",AVERAGEIFS(Table14[RSP],Table14[Customer],$M$3,Table14[Date],$A80,Table14[Bill No.],$B80),IF($J80="XtraGreen",AVERAGEIFS(Table146[RSP],Table146[Company],$M$3,Table146[Date],$A80,Table146[Bill No.],$B80),IFERROR($E80/$C80,"")))))</f>
        <v/>
      </c>
      <c r="E80" s="338" t="str">
        <f>IF($A80="","",IF($J80="DIESEL",SUMIFS(Table1[Amount],Table1[Customer],$M$3,Table1[Date],$A80,Table1[Bill No.],$B80),IF($J80="PETROL",SUMIFS(Table14[Amount],Table14[Customer],$M$3,Table14[Date],$A80,Table14[Bill No.],$B80),IF($J80="XtraGreen",SUMIFS(Table146[Amount],Table146[Company],$M$3,Table146[Date],$A80,Table146[Bill No.],$B80),SUMIFS('Other Sale'!$D:$D,'Other Sale'!$E:$E,$M$3,'Other Sale'!$C:$C,$J80,'Other Sale'!$A:$A,$A80)))))</f>
        <v/>
      </c>
      <c r="F80" s="338" t="str" cm="1">
        <f t="array" ref="F80">IF($A80="","",IF($J80="Payment",IFERROR(INDEX(_xlfn._xlws.FILTER(MasterPaid[Amount Paid],(MasterPaid[Customer]=$M$3)*(MasterPaid[Date]=$A80)),COUNTIFS($A$6:$A80,$A80,$J$6:$J80,"Payment")),0),0))</f>
        <v/>
      </c>
      <c r="G80" s="343"/>
      <c r="H80" s="343"/>
      <c r="I80" s="338" t="str">
        <f t="shared" si="10"/>
        <v/>
      </c>
      <c r="J80" s="292" t="str" cm="1">
        <f t="array" ref="J80">IFERROR(INDEX(_xlfn.ANCHORARRAY($P$6),ROW()-5,3),"")</f>
        <v/>
      </c>
      <c r="K80" s="433" t="str" cm="1">
        <f t="array" ref="K80">IF(OR($A80="",$J80&lt;&gt;"DIESEL"),"",_xlfn.LET(_xlpm.qty,N($C80),_xlpm.pos,$T$5:$T$54,_xlpm.alo,IF($U$5:$U$54="",0,$U$5:$U$54),_xlpm.usd,SUMIFS($C$6:$C79,$K$6:$K79,_xlpm.pos&amp;""),_xlpm.bal,_xlpm.alo-_xlpm.usd,IFERROR(INDEX(_xlfn._xlws.FILTER(_xlpm.pos,(_xlpm.pos&lt;&gt;"")*(_xlpm.qty&gt;0)*(_xlpm.bal&gt;=_xlpm.qty)),1),"")))</f>
        <v/>
      </c>
      <c r="L80" s="329"/>
      <c r="M80" s="277"/>
      <c r="N80" s="277"/>
      <c r="O80" s="277"/>
    </row>
    <row r="81" spans="1:15" ht="20" x14ac:dyDescent="0.2">
      <c r="A81" s="226" t="str" cm="1">
        <f t="array" ref="A81">IFERROR(INDEX(_xlfn.ANCHORARRAY($P$6),ROW()-5,1),"")</f>
        <v/>
      </c>
      <c r="B81" s="328" t="str" cm="1">
        <f t="array" ref="B81">IFERROR(INDEX(_xlfn.ANCHORARRAY($P$6),ROW()-5,2),"")</f>
        <v/>
      </c>
      <c r="C81" s="227" t="str">
        <f>IF($A81="","",IF($J81="DIESEL",SUMIFS(Table1[Quantity],Table1[Customer],$M$3,Table1[Date],$A81,Table1[Bill No.],$B81),IF($J81="PETROL",SUMIFS(Table14[Quantity],Table14[Customer],$M$3,Table14[Date],$A81,Table14[Bill No.],$B81),IF($J81="XtraGreen",SUMIFS(Table146[Quantity],Table146[Company],$M$3,Table146[Date],$A81,Table146[Bill No.],$B81),""))))</f>
        <v/>
      </c>
      <c r="D81" s="228" t="str">
        <f>IF($A81="","",IF($J81="DIESEL",AVERAGEIFS(Table1[RSP],Table1[Customer],$M$3,Table1[Date],$A81,Table1[Bill No.],$B81),IF($J81="PETROL",AVERAGEIFS(Table14[RSP],Table14[Customer],$M$3,Table14[Date],$A81,Table14[Bill No.],$B81),IF($J81="XtraGreen",AVERAGEIFS(Table146[RSP],Table146[Company],$M$3,Table146[Date],$A81,Table146[Bill No.],$B81),IFERROR($E81/$C81,"")))))</f>
        <v/>
      </c>
      <c r="E81" s="338" t="str">
        <f>IF($A81="","",IF($J81="DIESEL",SUMIFS(Table1[Amount],Table1[Customer],$M$3,Table1[Date],$A81,Table1[Bill No.],$B81),IF($J81="PETROL",SUMIFS(Table14[Amount],Table14[Customer],$M$3,Table14[Date],$A81,Table14[Bill No.],$B81),IF($J81="XtraGreen",SUMIFS(Table146[Amount],Table146[Company],$M$3,Table146[Date],$A81,Table146[Bill No.],$B81),SUMIFS('Other Sale'!$D:$D,'Other Sale'!$E:$E,$M$3,'Other Sale'!$C:$C,$J81,'Other Sale'!$A:$A,$A81)))))</f>
        <v/>
      </c>
      <c r="F81" s="338" t="str" cm="1">
        <f t="array" ref="F81">IF($A81="","",IF($J81="Payment",IFERROR(INDEX(_xlfn._xlws.FILTER(MasterPaid[Amount Paid],(MasterPaid[Customer]=$M$3)*(MasterPaid[Date]=$A81)),COUNTIFS($A$6:$A81,$A81,$J$6:$J81,"Payment")),0),0))</f>
        <v/>
      </c>
      <c r="G81" s="343"/>
      <c r="H81" s="343"/>
      <c r="I81" s="338" t="str">
        <f t="shared" si="10"/>
        <v/>
      </c>
      <c r="J81" s="292" t="str" cm="1">
        <f t="array" ref="J81">IFERROR(INDEX(_xlfn.ANCHORARRAY($P$6),ROW()-5,3),"")</f>
        <v/>
      </c>
      <c r="K81" s="433" t="str" cm="1">
        <f t="array" ref="K81">IF(OR($A81="",$J81&lt;&gt;"DIESEL"),"",_xlfn.LET(_xlpm.qty,N($C81),_xlpm.pos,$T$5:$T$54,_xlpm.alo,IF($U$5:$U$54="",0,$U$5:$U$54),_xlpm.usd,SUMIFS($C$6:$C80,$K$6:$K80,_xlpm.pos&amp;""),_xlpm.bal,_xlpm.alo-_xlpm.usd,IFERROR(INDEX(_xlfn._xlws.FILTER(_xlpm.pos,(_xlpm.pos&lt;&gt;"")*(_xlpm.qty&gt;0)*(_xlpm.bal&gt;=_xlpm.qty)),1),"")))</f>
        <v/>
      </c>
      <c r="L81" s="329"/>
      <c r="M81" s="277"/>
      <c r="N81" s="277"/>
      <c r="O81" s="277"/>
    </row>
    <row r="82" spans="1:15" ht="20" x14ac:dyDescent="0.2">
      <c r="A82" s="226" t="str" cm="1">
        <f t="array" ref="A82">IFERROR(INDEX(_xlfn.ANCHORARRAY($P$6),ROW()-5,1),"")</f>
        <v/>
      </c>
      <c r="B82" s="328" t="str" cm="1">
        <f t="array" ref="B82">IFERROR(INDEX(_xlfn.ANCHORARRAY($P$6),ROW()-5,2),"")</f>
        <v/>
      </c>
      <c r="C82" s="227" t="str">
        <f>IF($A82="","",IF($J82="DIESEL",SUMIFS(Table1[Quantity],Table1[Customer],$M$3,Table1[Date],$A82,Table1[Bill No.],$B82),IF($J82="PETROL",SUMIFS(Table14[Quantity],Table14[Customer],$M$3,Table14[Date],$A82,Table14[Bill No.],$B82),IF($J82="XtraGreen",SUMIFS(Table146[Quantity],Table146[Company],$M$3,Table146[Date],$A82,Table146[Bill No.],$B82),""))))</f>
        <v/>
      </c>
      <c r="D82" s="228" t="str">
        <f>IF($A82="","",IF($J82="DIESEL",AVERAGEIFS(Table1[RSP],Table1[Customer],$M$3,Table1[Date],$A82,Table1[Bill No.],$B82),IF($J82="PETROL",AVERAGEIFS(Table14[RSP],Table14[Customer],$M$3,Table14[Date],$A82,Table14[Bill No.],$B82),IF($J82="XtraGreen",AVERAGEIFS(Table146[RSP],Table146[Company],$M$3,Table146[Date],$A82,Table146[Bill No.],$B82),IFERROR($E82/$C82,"")))))</f>
        <v/>
      </c>
      <c r="E82" s="338" t="str">
        <f>IF($A82="","",IF($J82="DIESEL",SUMIFS(Table1[Amount],Table1[Customer],$M$3,Table1[Date],$A82,Table1[Bill No.],$B82),IF($J82="PETROL",SUMIFS(Table14[Amount],Table14[Customer],$M$3,Table14[Date],$A82,Table14[Bill No.],$B82),IF($J82="XtraGreen",SUMIFS(Table146[Amount],Table146[Company],$M$3,Table146[Date],$A82,Table146[Bill No.],$B82),SUMIFS('Other Sale'!$D:$D,'Other Sale'!$E:$E,$M$3,'Other Sale'!$C:$C,$J82,'Other Sale'!$A:$A,$A82)))))</f>
        <v/>
      </c>
      <c r="F82" s="338" t="str" cm="1">
        <f t="array" ref="F82">IF($A82="","",IF($J82="Payment",IFERROR(INDEX(_xlfn._xlws.FILTER(MasterPaid[Amount Paid],(MasterPaid[Customer]=$M$3)*(MasterPaid[Date]=$A82)),COUNTIFS($A$6:$A82,$A82,$J$6:$J82,"Payment")),0),0))</f>
        <v/>
      </c>
      <c r="G82" s="343"/>
      <c r="H82" s="343"/>
      <c r="I82" s="338" t="str">
        <f t="shared" si="10"/>
        <v/>
      </c>
      <c r="J82" s="292" t="str" cm="1">
        <f t="array" ref="J82">IFERROR(INDEX(_xlfn.ANCHORARRAY($P$6),ROW()-5,3),"")</f>
        <v/>
      </c>
      <c r="K82" s="433" t="str" cm="1">
        <f t="array" ref="K82">IF(OR($A82="",$J82&lt;&gt;"DIESEL"),"",_xlfn.LET(_xlpm.qty,N($C82),_xlpm.pos,$T$5:$T$54,_xlpm.alo,IF($U$5:$U$54="",0,$U$5:$U$54),_xlpm.usd,SUMIFS($C$6:$C81,$K$6:$K81,_xlpm.pos&amp;""),_xlpm.bal,_xlpm.alo-_xlpm.usd,IFERROR(INDEX(_xlfn._xlws.FILTER(_xlpm.pos,(_xlpm.pos&lt;&gt;"")*(_xlpm.qty&gt;0)*(_xlpm.bal&gt;=_xlpm.qty)),1),"")))</f>
        <v/>
      </c>
      <c r="L82" s="329"/>
      <c r="M82" s="277"/>
      <c r="N82" s="277"/>
      <c r="O82" s="277"/>
    </row>
    <row r="83" spans="1:15" ht="20" x14ac:dyDescent="0.2">
      <c r="A83" s="226" t="str" cm="1">
        <f t="array" ref="A83">IFERROR(INDEX(_xlfn.ANCHORARRAY($P$6),ROW()-5,1),"")</f>
        <v/>
      </c>
      <c r="B83" s="328" t="str" cm="1">
        <f t="array" ref="B83">IFERROR(INDEX(_xlfn.ANCHORARRAY($P$6),ROW()-5,2),"")</f>
        <v/>
      </c>
      <c r="C83" s="227" t="str">
        <f>IF($A83="","",IF($J83="DIESEL",SUMIFS(Table1[Quantity],Table1[Customer],$M$3,Table1[Date],$A83,Table1[Bill No.],$B83),IF($J83="PETROL",SUMIFS(Table14[Quantity],Table14[Customer],$M$3,Table14[Date],$A83,Table14[Bill No.],$B83),IF($J83="XtraGreen",SUMIFS(Table146[Quantity],Table146[Company],$M$3,Table146[Date],$A83,Table146[Bill No.],$B83),""))))</f>
        <v/>
      </c>
      <c r="D83" s="228" t="str">
        <f>IF($A83="","",IF($J83="DIESEL",AVERAGEIFS(Table1[RSP],Table1[Customer],$M$3,Table1[Date],$A83,Table1[Bill No.],$B83),IF($J83="PETROL",AVERAGEIFS(Table14[RSP],Table14[Customer],$M$3,Table14[Date],$A83,Table14[Bill No.],$B83),IF($J83="XtraGreen",AVERAGEIFS(Table146[RSP],Table146[Company],$M$3,Table146[Date],$A83,Table146[Bill No.],$B83),IFERROR($E83/$C83,"")))))</f>
        <v/>
      </c>
      <c r="E83" s="338" t="str">
        <f>IF($A83="","",IF($J83="DIESEL",SUMIFS(Table1[Amount],Table1[Customer],$M$3,Table1[Date],$A83,Table1[Bill No.],$B83),IF($J83="PETROL",SUMIFS(Table14[Amount],Table14[Customer],$M$3,Table14[Date],$A83,Table14[Bill No.],$B83),IF($J83="XtraGreen",SUMIFS(Table146[Amount],Table146[Company],$M$3,Table146[Date],$A83,Table146[Bill No.],$B83),SUMIFS('Other Sale'!$D:$D,'Other Sale'!$E:$E,$M$3,'Other Sale'!$C:$C,$J83,'Other Sale'!$A:$A,$A83)))))</f>
        <v/>
      </c>
      <c r="F83" s="338" t="str" cm="1">
        <f t="array" ref="F83">IF($A83="","",IF($J83="Payment",IFERROR(INDEX(_xlfn._xlws.FILTER(MasterPaid[Amount Paid],(MasterPaid[Customer]=$M$3)*(MasterPaid[Date]=$A83)),COUNTIFS($A$6:$A83,$A83,$J$6:$J83,"Payment")),0),0))</f>
        <v/>
      </c>
      <c r="G83" s="343"/>
      <c r="H83" s="343"/>
      <c r="I83" s="338" t="str">
        <f t="shared" si="10"/>
        <v/>
      </c>
      <c r="J83" s="292" t="str" cm="1">
        <f t="array" ref="J83">IFERROR(INDEX(_xlfn.ANCHORARRAY($P$6),ROW()-5,3),"")</f>
        <v/>
      </c>
      <c r="K83" s="433" t="str" cm="1">
        <f t="array" ref="K83">IF(OR($A83="",$J83&lt;&gt;"DIESEL"),"",_xlfn.LET(_xlpm.qty,N($C83),_xlpm.pos,$T$5:$T$54,_xlpm.alo,IF($U$5:$U$54="",0,$U$5:$U$54),_xlpm.usd,SUMIFS($C$6:$C82,$K$6:$K82,_xlpm.pos&amp;""),_xlpm.bal,_xlpm.alo-_xlpm.usd,IFERROR(INDEX(_xlfn._xlws.FILTER(_xlpm.pos,(_xlpm.pos&lt;&gt;"")*(_xlpm.qty&gt;0)*(_xlpm.bal&gt;=_xlpm.qty)),1),"")))</f>
        <v/>
      </c>
      <c r="L83" s="329"/>
      <c r="M83" s="277"/>
      <c r="N83" s="277"/>
      <c r="O83" s="277"/>
    </row>
    <row r="84" spans="1:15" ht="20" x14ac:dyDescent="0.2">
      <c r="A84" s="226" t="str" cm="1">
        <f t="array" ref="A84">IFERROR(INDEX(_xlfn.ANCHORARRAY($P$6),ROW()-5,1),"")</f>
        <v/>
      </c>
      <c r="B84" s="328" t="str" cm="1">
        <f t="array" ref="B84">IFERROR(INDEX(_xlfn.ANCHORARRAY($P$6),ROW()-5,2),"")</f>
        <v/>
      </c>
      <c r="C84" s="227" t="str">
        <f>IF($A84="","",IF($J84="DIESEL",SUMIFS(Table1[Quantity],Table1[Customer],$M$3,Table1[Date],$A84,Table1[Bill No.],$B84),IF($J84="PETROL",SUMIFS(Table14[Quantity],Table14[Customer],$M$3,Table14[Date],$A84,Table14[Bill No.],$B84),IF($J84="XtraGreen",SUMIFS(Table146[Quantity],Table146[Company],$M$3,Table146[Date],$A84,Table146[Bill No.],$B84),""))))</f>
        <v/>
      </c>
      <c r="D84" s="228" t="str">
        <f>IF($A84="","",IF($J84="DIESEL",AVERAGEIFS(Table1[RSP],Table1[Customer],$M$3,Table1[Date],$A84,Table1[Bill No.],$B84),IF($J84="PETROL",AVERAGEIFS(Table14[RSP],Table14[Customer],$M$3,Table14[Date],$A84,Table14[Bill No.],$B84),IF($J84="XtraGreen",AVERAGEIFS(Table146[RSP],Table146[Company],$M$3,Table146[Date],$A84,Table146[Bill No.],$B84),IFERROR($E84/$C84,"")))))</f>
        <v/>
      </c>
      <c r="E84" s="338" t="str">
        <f>IF($A84="","",IF($J84="DIESEL",SUMIFS(Table1[Amount],Table1[Customer],$M$3,Table1[Date],$A84,Table1[Bill No.],$B84),IF($J84="PETROL",SUMIFS(Table14[Amount],Table14[Customer],$M$3,Table14[Date],$A84,Table14[Bill No.],$B84),IF($J84="XtraGreen",SUMIFS(Table146[Amount],Table146[Company],$M$3,Table146[Date],$A84,Table146[Bill No.],$B84),SUMIFS('Other Sale'!$D:$D,'Other Sale'!$E:$E,$M$3,'Other Sale'!$C:$C,$J84,'Other Sale'!$A:$A,$A84)))))</f>
        <v/>
      </c>
      <c r="F84" s="338" t="str" cm="1">
        <f t="array" ref="F84">IF($A84="","",IF($J84="Payment",IFERROR(INDEX(_xlfn._xlws.FILTER(MasterPaid[Amount Paid],(MasterPaid[Customer]=$M$3)*(MasterPaid[Date]=$A84)),COUNTIFS($A$6:$A84,$A84,$J$6:$J84,"Payment")),0),0))</f>
        <v/>
      </c>
      <c r="G84" s="343"/>
      <c r="H84" s="343"/>
      <c r="I84" s="338" t="str">
        <f t="shared" si="10"/>
        <v/>
      </c>
      <c r="J84" s="292" t="str" cm="1">
        <f t="array" ref="J84">IFERROR(INDEX(_xlfn.ANCHORARRAY($P$6),ROW()-5,3),"")</f>
        <v/>
      </c>
      <c r="K84" s="433" t="str" cm="1">
        <f t="array" ref="K84">IF(OR($A84="",$J84&lt;&gt;"DIESEL"),"",_xlfn.LET(_xlpm.qty,N($C84),_xlpm.pos,$T$5:$T$54,_xlpm.alo,IF($U$5:$U$54="",0,$U$5:$U$54),_xlpm.usd,SUMIFS($C$6:$C83,$K$6:$K83,_xlpm.pos&amp;""),_xlpm.bal,_xlpm.alo-_xlpm.usd,IFERROR(INDEX(_xlfn._xlws.FILTER(_xlpm.pos,(_xlpm.pos&lt;&gt;"")*(_xlpm.qty&gt;0)*(_xlpm.bal&gt;=_xlpm.qty)),1),"")))</f>
        <v/>
      </c>
      <c r="L84" s="329"/>
      <c r="M84" s="277"/>
      <c r="N84" s="277"/>
      <c r="O84" s="277"/>
    </row>
    <row r="85" spans="1:15" ht="20" x14ac:dyDescent="0.2">
      <c r="A85" s="226" t="str" cm="1">
        <f t="array" ref="A85">IFERROR(INDEX(_xlfn.ANCHORARRAY($P$6),ROW()-5,1),"")</f>
        <v/>
      </c>
      <c r="B85" s="328" t="str" cm="1">
        <f t="array" ref="B85">IFERROR(INDEX(_xlfn.ANCHORARRAY($P$6),ROW()-5,2),"")</f>
        <v/>
      </c>
      <c r="C85" s="227" t="str">
        <f>IF($A85="","",IF($J85="DIESEL",SUMIFS(Table1[Quantity],Table1[Customer],$M$3,Table1[Date],$A85,Table1[Bill No.],$B85),IF($J85="PETROL",SUMIFS(Table14[Quantity],Table14[Customer],$M$3,Table14[Date],$A85,Table14[Bill No.],$B85),IF($J85="XtraGreen",SUMIFS(Table146[Quantity],Table146[Company],$M$3,Table146[Date],$A85,Table146[Bill No.],$B85),""))))</f>
        <v/>
      </c>
      <c r="D85" s="228" t="str">
        <f>IF($A85="","",IF($J85="DIESEL",AVERAGEIFS(Table1[RSP],Table1[Customer],$M$3,Table1[Date],$A85,Table1[Bill No.],$B85),IF($J85="PETROL",AVERAGEIFS(Table14[RSP],Table14[Customer],$M$3,Table14[Date],$A85,Table14[Bill No.],$B85),IF($J85="XtraGreen",AVERAGEIFS(Table146[RSP],Table146[Company],$M$3,Table146[Date],$A85,Table146[Bill No.],$B85),IFERROR($E85/$C85,"")))))</f>
        <v/>
      </c>
      <c r="E85" s="338" t="str">
        <f>IF($A85="","",IF($J85="DIESEL",SUMIFS(Table1[Amount],Table1[Customer],$M$3,Table1[Date],$A85,Table1[Bill No.],$B85),IF($J85="PETROL",SUMIFS(Table14[Amount],Table14[Customer],$M$3,Table14[Date],$A85,Table14[Bill No.],$B85),IF($J85="XtraGreen",SUMIFS(Table146[Amount],Table146[Company],$M$3,Table146[Date],$A85,Table146[Bill No.],$B85),SUMIFS('Other Sale'!$D:$D,'Other Sale'!$E:$E,$M$3,'Other Sale'!$C:$C,$J85,'Other Sale'!$A:$A,$A85)))))</f>
        <v/>
      </c>
      <c r="F85" s="338" t="str" cm="1">
        <f t="array" ref="F85">IF($A85="","",IF($J85="Payment",IFERROR(INDEX(_xlfn._xlws.FILTER(MasterPaid[Amount Paid],(MasterPaid[Customer]=$M$3)*(MasterPaid[Date]=$A85)),COUNTIFS($A$6:$A85,$A85,$J$6:$J85,"Payment")),0),0))</f>
        <v/>
      </c>
      <c r="G85" s="343"/>
      <c r="H85" s="343"/>
      <c r="I85" s="338" t="str">
        <f t="shared" si="10"/>
        <v/>
      </c>
      <c r="J85" s="292" t="str" cm="1">
        <f t="array" ref="J85">IFERROR(INDEX(_xlfn.ANCHORARRAY($P$6),ROW()-5,3),"")</f>
        <v/>
      </c>
      <c r="K85" s="433" t="str" cm="1">
        <f t="array" ref="K85">IF(OR($A85="",$J85&lt;&gt;"DIESEL"),"",_xlfn.LET(_xlpm.qty,N($C85),_xlpm.pos,$T$5:$T$54,_xlpm.alo,IF($U$5:$U$54="",0,$U$5:$U$54),_xlpm.usd,SUMIFS($C$6:$C84,$K$6:$K84,_xlpm.pos&amp;""),_xlpm.bal,_xlpm.alo-_xlpm.usd,IFERROR(INDEX(_xlfn._xlws.FILTER(_xlpm.pos,(_xlpm.pos&lt;&gt;"")*(_xlpm.qty&gt;0)*(_xlpm.bal&gt;=_xlpm.qty)),1),"")))</f>
        <v/>
      </c>
      <c r="L85" s="329"/>
      <c r="M85" s="277"/>
      <c r="N85" s="277"/>
      <c r="O85" s="277"/>
    </row>
    <row r="86" spans="1:15" x14ac:dyDescent="0.2">
      <c r="G86" s="17"/>
      <c r="H86" s="17"/>
      <c r="L86" s="17"/>
    </row>
    <row r="87" spans="1:15" x14ac:dyDescent="0.2">
      <c r="G87" s="17"/>
      <c r="H87" s="17"/>
      <c r="L87" s="17"/>
    </row>
    <row r="88" spans="1:15" x14ac:dyDescent="0.2">
      <c r="G88" s="17"/>
      <c r="H88" s="17"/>
      <c r="L88" s="17"/>
    </row>
    <row r="89" spans="1:15" x14ac:dyDescent="0.2">
      <c r="G89" s="17"/>
      <c r="H89" s="17"/>
      <c r="L89" s="17"/>
    </row>
    <row r="90" spans="1:15" x14ac:dyDescent="0.2">
      <c r="G90" s="17"/>
      <c r="H90" s="17"/>
      <c r="L90" s="17"/>
    </row>
    <row r="91" spans="1:15" x14ac:dyDescent="0.2">
      <c r="G91" s="17"/>
      <c r="H91" s="17"/>
      <c r="L91" s="17"/>
    </row>
    <row r="92" spans="1:15" x14ac:dyDescent="0.2">
      <c r="G92" s="17"/>
      <c r="H92" s="17"/>
      <c r="L92" s="17"/>
    </row>
    <row r="93" spans="1:15" x14ac:dyDescent="0.2">
      <c r="G93" s="17"/>
      <c r="H93" s="17"/>
      <c r="L93" s="17"/>
    </row>
    <row r="94" spans="1:15" x14ac:dyDescent="0.2">
      <c r="G94" s="17"/>
      <c r="H94" s="17"/>
      <c r="L94" s="17"/>
    </row>
    <row r="95" spans="1:15" x14ac:dyDescent="0.2">
      <c r="G95" s="17"/>
      <c r="H95" s="17"/>
      <c r="L95" s="17"/>
    </row>
    <row r="96" spans="1:15" x14ac:dyDescent="0.2">
      <c r="G96" s="17"/>
      <c r="H96" s="17"/>
      <c r="L96" s="17"/>
    </row>
    <row r="97" spans="7:12" x14ac:dyDescent="0.2">
      <c r="G97" s="17"/>
      <c r="H97" s="17"/>
      <c r="L97" s="17"/>
    </row>
    <row r="98" spans="7:12" x14ac:dyDescent="0.2">
      <c r="G98" s="17"/>
      <c r="H98" s="17"/>
      <c r="L98" s="17"/>
    </row>
    <row r="99" spans="7:12" x14ac:dyDescent="0.2">
      <c r="G99" s="17"/>
      <c r="H99" s="17"/>
      <c r="L99" s="17"/>
    </row>
    <row r="100" spans="7:12" x14ac:dyDescent="0.2">
      <c r="G100" s="17"/>
      <c r="H100" s="17"/>
      <c r="L100" s="17"/>
    </row>
    <row r="101" spans="7:12" x14ac:dyDescent="0.2">
      <c r="G101" s="17"/>
      <c r="H101" s="17"/>
      <c r="L101" s="17"/>
    </row>
    <row r="102" spans="7:12" x14ac:dyDescent="0.2">
      <c r="G102" s="17"/>
      <c r="H102" s="17"/>
      <c r="L102" s="17"/>
    </row>
    <row r="103" spans="7:12" x14ac:dyDescent="0.2">
      <c r="G103" s="17"/>
      <c r="H103" s="17"/>
      <c r="L103" s="17"/>
    </row>
    <row r="104" spans="7:12" x14ac:dyDescent="0.2">
      <c r="G104" s="17"/>
      <c r="H104" s="17"/>
      <c r="L104" s="17"/>
    </row>
    <row r="105" spans="7:12" x14ac:dyDescent="0.2">
      <c r="G105" s="17"/>
      <c r="H105" s="17"/>
      <c r="L105" s="17"/>
    </row>
    <row r="106" spans="7:12" x14ac:dyDescent="0.2">
      <c r="G106" s="17"/>
      <c r="H106" s="17"/>
      <c r="L106" s="17"/>
    </row>
    <row r="107" spans="7:12" x14ac:dyDescent="0.2">
      <c r="G107" s="17"/>
      <c r="H107" s="17"/>
      <c r="L107" s="17"/>
    </row>
    <row r="108" spans="7:12" x14ac:dyDescent="0.2">
      <c r="G108" s="17"/>
      <c r="H108" s="17"/>
      <c r="L108" s="17"/>
    </row>
    <row r="109" spans="7:12" x14ac:dyDescent="0.2">
      <c r="G109" s="17"/>
      <c r="H109" s="17"/>
      <c r="L109" s="17"/>
    </row>
    <row r="110" spans="7:12" x14ac:dyDescent="0.2">
      <c r="G110" s="17"/>
      <c r="H110" s="17"/>
      <c r="L110" s="17"/>
    </row>
    <row r="111" spans="7:12" x14ac:dyDescent="0.2">
      <c r="G111" s="17"/>
      <c r="H111" s="17"/>
      <c r="L111" s="17"/>
    </row>
    <row r="112" spans="7:12" x14ac:dyDescent="0.2">
      <c r="G112" s="17"/>
      <c r="H112" s="17"/>
      <c r="L112" s="17"/>
    </row>
    <row r="113" spans="7:12" x14ac:dyDescent="0.2">
      <c r="G113" s="17"/>
      <c r="H113" s="17"/>
      <c r="L113" s="17"/>
    </row>
    <row r="114" spans="7:12" x14ac:dyDescent="0.2">
      <c r="G114" s="17"/>
      <c r="H114" s="17"/>
      <c r="L114" s="17"/>
    </row>
    <row r="115" spans="7:12" x14ac:dyDescent="0.2">
      <c r="G115" s="17"/>
      <c r="H115" s="17"/>
      <c r="L115" s="17"/>
    </row>
    <row r="116" spans="7:12" x14ac:dyDescent="0.2">
      <c r="G116" s="17"/>
      <c r="H116" s="17"/>
      <c r="L116" s="17"/>
    </row>
    <row r="117" spans="7:12" x14ac:dyDescent="0.2">
      <c r="G117" s="17"/>
      <c r="H117" s="17"/>
      <c r="L117" s="17"/>
    </row>
    <row r="118" spans="7:12" x14ac:dyDescent="0.2">
      <c r="G118" s="17"/>
      <c r="H118" s="17"/>
      <c r="L118" s="17"/>
    </row>
    <row r="119" spans="7:12" x14ac:dyDescent="0.2">
      <c r="G119" s="17"/>
      <c r="H119" s="17"/>
      <c r="L119" s="17"/>
    </row>
    <row r="120" spans="7:12" x14ac:dyDescent="0.2">
      <c r="G120" s="17"/>
      <c r="H120" s="17"/>
      <c r="L120" s="17"/>
    </row>
    <row r="121" spans="7:12" x14ac:dyDescent="0.2">
      <c r="G121" s="17"/>
      <c r="H121" s="17"/>
      <c r="L121" s="17"/>
    </row>
    <row r="122" spans="7:12" x14ac:dyDescent="0.2">
      <c r="G122" s="17"/>
      <c r="H122" s="17"/>
      <c r="L122" s="17"/>
    </row>
    <row r="123" spans="7:12" x14ac:dyDescent="0.2">
      <c r="G123" s="17"/>
      <c r="H123" s="17"/>
      <c r="L123" s="17"/>
    </row>
    <row r="124" spans="7:12" x14ac:dyDescent="0.2">
      <c r="G124" s="17"/>
      <c r="H124" s="17"/>
      <c r="L124" s="17"/>
    </row>
    <row r="125" spans="7:12" x14ac:dyDescent="0.2">
      <c r="G125" s="17"/>
      <c r="H125" s="17"/>
      <c r="L125" s="17"/>
    </row>
    <row r="126" spans="7:12" x14ac:dyDescent="0.2">
      <c r="G126" s="17"/>
      <c r="H126" s="17"/>
      <c r="L126" s="17"/>
    </row>
    <row r="127" spans="7:12" x14ac:dyDescent="0.2">
      <c r="G127" s="17"/>
      <c r="H127" s="17"/>
      <c r="L127" s="17"/>
    </row>
    <row r="128" spans="7:12" x14ac:dyDescent="0.2">
      <c r="G128" s="17"/>
      <c r="H128" s="17"/>
      <c r="L128" s="17"/>
    </row>
    <row r="129" spans="7:12" x14ac:dyDescent="0.2">
      <c r="G129" s="17"/>
      <c r="H129" s="17"/>
      <c r="L129" s="17"/>
    </row>
    <row r="130" spans="7:12" x14ac:dyDescent="0.2">
      <c r="G130" s="17"/>
      <c r="H130" s="17"/>
      <c r="L130" s="17"/>
    </row>
    <row r="131" spans="7:12" x14ac:dyDescent="0.2">
      <c r="G131" s="17"/>
      <c r="H131" s="17"/>
      <c r="L131" s="17"/>
    </row>
    <row r="132" spans="7:12" x14ac:dyDescent="0.2">
      <c r="G132" s="17"/>
      <c r="H132" s="17"/>
      <c r="L132" s="17"/>
    </row>
    <row r="133" spans="7:12" x14ac:dyDescent="0.2">
      <c r="G133" s="17"/>
      <c r="H133" s="17"/>
      <c r="L133" s="17"/>
    </row>
    <row r="134" spans="7:12" x14ac:dyDescent="0.2">
      <c r="G134" s="17"/>
      <c r="H134" s="17"/>
      <c r="L134" s="17"/>
    </row>
    <row r="135" spans="7:12" x14ac:dyDescent="0.2">
      <c r="G135" s="17"/>
      <c r="H135" s="17"/>
      <c r="L135" s="17"/>
    </row>
    <row r="136" spans="7:12" x14ac:dyDescent="0.2">
      <c r="G136" s="17"/>
      <c r="H136" s="17"/>
      <c r="L136" s="17"/>
    </row>
    <row r="137" spans="7:12" x14ac:dyDescent="0.2">
      <c r="G137" s="17"/>
      <c r="H137" s="17"/>
      <c r="L137" s="17"/>
    </row>
    <row r="138" spans="7:12" x14ac:dyDescent="0.2">
      <c r="G138" s="17"/>
      <c r="H138" s="17"/>
      <c r="L138" s="17"/>
    </row>
    <row r="139" spans="7:12" x14ac:dyDescent="0.2">
      <c r="G139" s="17"/>
      <c r="H139" s="17"/>
      <c r="L139" s="17"/>
    </row>
    <row r="140" spans="7:12" x14ac:dyDescent="0.2">
      <c r="G140" s="17"/>
      <c r="H140" s="17"/>
      <c r="L140" s="17"/>
    </row>
    <row r="141" spans="7:12" x14ac:dyDescent="0.2">
      <c r="G141" s="17"/>
      <c r="H141" s="17"/>
      <c r="L141" s="17"/>
    </row>
    <row r="142" spans="7:12" x14ac:dyDescent="0.2">
      <c r="G142" s="17"/>
      <c r="H142" s="17"/>
      <c r="L142" s="17"/>
    </row>
    <row r="143" spans="7:12" x14ac:dyDescent="0.2">
      <c r="G143" s="17"/>
      <c r="H143" s="17"/>
      <c r="L143" s="17"/>
    </row>
    <row r="144" spans="7:12" x14ac:dyDescent="0.2">
      <c r="G144" s="17"/>
      <c r="H144" s="17"/>
      <c r="L144" s="17"/>
    </row>
    <row r="145" spans="7:12" x14ac:dyDescent="0.2">
      <c r="G145" s="17"/>
      <c r="H145" s="17"/>
      <c r="L145" s="17"/>
    </row>
    <row r="146" spans="7:12" x14ac:dyDescent="0.2">
      <c r="G146" s="17"/>
      <c r="H146" s="17"/>
      <c r="L146" s="17"/>
    </row>
    <row r="147" spans="7:12" x14ac:dyDescent="0.2">
      <c r="G147" s="17"/>
      <c r="H147" s="17"/>
      <c r="L147" s="17"/>
    </row>
    <row r="148" spans="7:12" x14ac:dyDescent="0.2">
      <c r="G148" s="17"/>
      <c r="H148" s="17"/>
      <c r="L148" s="17"/>
    </row>
    <row r="149" spans="7:12" x14ac:dyDescent="0.2">
      <c r="G149" s="17"/>
      <c r="H149" s="17"/>
      <c r="L149" s="17"/>
    </row>
    <row r="150" spans="7:12" x14ac:dyDescent="0.2">
      <c r="G150" s="17"/>
      <c r="H150" s="17"/>
      <c r="L150" s="17"/>
    </row>
    <row r="151" spans="7:12" x14ac:dyDescent="0.2">
      <c r="G151" s="17"/>
      <c r="H151" s="17"/>
      <c r="L151" s="17"/>
    </row>
    <row r="152" spans="7:12" x14ac:dyDescent="0.2">
      <c r="G152" s="17"/>
      <c r="H152" s="17"/>
      <c r="L152" s="17"/>
    </row>
    <row r="153" spans="7:12" x14ac:dyDescent="0.2">
      <c r="G153" s="17"/>
      <c r="H153" s="17"/>
      <c r="L153" s="17"/>
    </row>
    <row r="154" spans="7:12" x14ac:dyDescent="0.2">
      <c r="G154" s="17"/>
      <c r="H154" s="17"/>
      <c r="L154" s="17"/>
    </row>
    <row r="155" spans="7:12" x14ac:dyDescent="0.2">
      <c r="G155" s="17"/>
      <c r="H155" s="17"/>
      <c r="L155" s="17"/>
    </row>
    <row r="156" spans="7:12" x14ac:dyDescent="0.2">
      <c r="G156" s="17"/>
      <c r="H156" s="17"/>
      <c r="L156" s="17"/>
    </row>
    <row r="157" spans="7:12" x14ac:dyDescent="0.2">
      <c r="G157" s="17"/>
      <c r="H157" s="17"/>
      <c r="L157" s="17"/>
    </row>
    <row r="158" spans="7:12" x14ac:dyDescent="0.2">
      <c r="G158" s="17"/>
      <c r="H158" s="17"/>
      <c r="L158" s="17"/>
    </row>
    <row r="159" spans="7:12" x14ac:dyDescent="0.2">
      <c r="G159" s="17"/>
      <c r="H159" s="17"/>
      <c r="L159" s="17"/>
    </row>
    <row r="160" spans="7:12" x14ac:dyDescent="0.2">
      <c r="G160" s="17"/>
      <c r="H160" s="17"/>
      <c r="L160" s="17"/>
    </row>
    <row r="161" spans="7:12" x14ac:dyDescent="0.2">
      <c r="G161" s="17"/>
      <c r="H161" s="17"/>
      <c r="L161" s="17"/>
    </row>
    <row r="162" spans="7:12" x14ac:dyDescent="0.2">
      <c r="G162" s="17"/>
      <c r="H162" s="17"/>
      <c r="L162" s="17"/>
    </row>
    <row r="163" spans="7:12" x14ac:dyDescent="0.2">
      <c r="G163" s="17"/>
      <c r="H163" s="17"/>
      <c r="L163" s="17"/>
    </row>
    <row r="164" spans="7:12" x14ac:dyDescent="0.2">
      <c r="G164" s="17"/>
      <c r="H164" s="17"/>
      <c r="L164" s="17"/>
    </row>
    <row r="165" spans="7:12" x14ac:dyDescent="0.2">
      <c r="G165" s="17"/>
      <c r="H165" s="17"/>
      <c r="L165" s="17"/>
    </row>
    <row r="166" spans="7:12" x14ac:dyDescent="0.2">
      <c r="G166" s="17"/>
      <c r="H166" s="17"/>
      <c r="L166" s="17"/>
    </row>
    <row r="167" spans="7:12" x14ac:dyDescent="0.2">
      <c r="G167" s="17"/>
      <c r="H167" s="17"/>
      <c r="L167" s="17"/>
    </row>
    <row r="168" spans="7:12" x14ac:dyDescent="0.2">
      <c r="G168" s="17"/>
      <c r="H168" s="17"/>
      <c r="L168" s="17"/>
    </row>
    <row r="169" spans="7:12" x14ac:dyDescent="0.2">
      <c r="G169" s="17"/>
      <c r="H169" s="17"/>
      <c r="L169" s="17"/>
    </row>
    <row r="170" spans="7:12" x14ac:dyDescent="0.2">
      <c r="G170" s="17"/>
      <c r="H170" s="17"/>
      <c r="L170" s="17"/>
    </row>
    <row r="171" spans="7:12" x14ac:dyDescent="0.2">
      <c r="G171" s="17"/>
      <c r="H171" s="17"/>
      <c r="L171" s="17"/>
    </row>
    <row r="172" spans="7:12" x14ac:dyDescent="0.2">
      <c r="G172" s="17"/>
      <c r="H172" s="17"/>
      <c r="L172" s="17"/>
    </row>
    <row r="173" spans="7:12" x14ac:dyDescent="0.2">
      <c r="G173" s="17"/>
      <c r="H173" s="17"/>
      <c r="L173" s="17"/>
    </row>
    <row r="174" spans="7:12" x14ac:dyDescent="0.2">
      <c r="G174" s="17"/>
      <c r="H174" s="17"/>
      <c r="L174" s="17"/>
    </row>
    <row r="175" spans="7:12" x14ac:dyDescent="0.2">
      <c r="G175" s="17"/>
      <c r="H175" s="17"/>
      <c r="L175" s="17"/>
    </row>
    <row r="176" spans="7:12" x14ac:dyDescent="0.2">
      <c r="G176" s="17"/>
      <c r="H176" s="17"/>
      <c r="L176" s="17"/>
    </row>
    <row r="177" spans="7:12" x14ac:dyDescent="0.2">
      <c r="G177" s="17"/>
      <c r="H177" s="17"/>
      <c r="L177" s="17"/>
    </row>
    <row r="178" spans="7:12" x14ac:dyDescent="0.2">
      <c r="G178" s="17"/>
      <c r="H178" s="17"/>
      <c r="L178" s="17"/>
    </row>
    <row r="179" spans="7:12" x14ac:dyDescent="0.2">
      <c r="G179" s="17"/>
      <c r="H179" s="17"/>
      <c r="L179" s="17"/>
    </row>
    <row r="180" spans="7:12" x14ac:dyDescent="0.2">
      <c r="G180" s="17"/>
      <c r="H180" s="17"/>
      <c r="L180" s="17"/>
    </row>
    <row r="181" spans="7:12" x14ac:dyDescent="0.2">
      <c r="G181" s="17"/>
      <c r="H181" s="17"/>
      <c r="L181" s="17"/>
    </row>
    <row r="182" spans="7:12" x14ac:dyDescent="0.2">
      <c r="G182" s="17"/>
      <c r="H182" s="17"/>
      <c r="L182" s="17"/>
    </row>
    <row r="183" spans="7:12" x14ac:dyDescent="0.2">
      <c r="G183" s="17"/>
      <c r="H183" s="17"/>
      <c r="L183" s="17"/>
    </row>
    <row r="184" spans="7:12" x14ac:dyDescent="0.2">
      <c r="G184" s="17"/>
      <c r="H184" s="17"/>
      <c r="L184" s="17"/>
    </row>
    <row r="185" spans="7:12" x14ac:dyDescent="0.2">
      <c r="G185" s="17"/>
      <c r="H185" s="17"/>
      <c r="L185" s="17"/>
    </row>
    <row r="186" spans="7:12" x14ac:dyDescent="0.2">
      <c r="G186" s="17"/>
      <c r="H186" s="17"/>
      <c r="L186" s="17"/>
    </row>
    <row r="187" spans="7:12" x14ac:dyDescent="0.2">
      <c r="G187" s="17"/>
      <c r="H187" s="17"/>
      <c r="L187" s="17"/>
    </row>
    <row r="188" spans="7:12" x14ac:dyDescent="0.2">
      <c r="G188" s="17"/>
      <c r="H188" s="17"/>
      <c r="L188" s="17"/>
    </row>
    <row r="189" spans="7:12" x14ac:dyDescent="0.2">
      <c r="G189" s="17"/>
      <c r="H189" s="17"/>
      <c r="L189" s="17"/>
    </row>
    <row r="190" spans="7:12" x14ac:dyDescent="0.2">
      <c r="G190" s="17"/>
      <c r="H190" s="17"/>
      <c r="L190" s="17"/>
    </row>
    <row r="191" spans="7:12" x14ac:dyDescent="0.2">
      <c r="G191" s="17"/>
      <c r="H191" s="17"/>
      <c r="L191" s="17"/>
    </row>
    <row r="192" spans="7:12" x14ac:dyDescent="0.2">
      <c r="G192" s="17"/>
      <c r="H192" s="17"/>
      <c r="L192" s="17"/>
    </row>
    <row r="193" spans="7:12" x14ac:dyDescent="0.2">
      <c r="G193" s="17"/>
      <c r="H193" s="17"/>
      <c r="L193" s="17"/>
    </row>
    <row r="194" spans="7:12" x14ac:dyDescent="0.2">
      <c r="G194" s="17"/>
      <c r="H194" s="17"/>
      <c r="L194" s="17"/>
    </row>
    <row r="195" spans="7:12" x14ac:dyDescent="0.2">
      <c r="G195" s="17"/>
      <c r="H195" s="17"/>
      <c r="L195" s="17"/>
    </row>
    <row r="196" spans="7:12" x14ac:dyDescent="0.2">
      <c r="G196" s="17"/>
      <c r="H196" s="17"/>
      <c r="L196" s="17"/>
    </row>
    <row r="197" spans="7:12" x14ac:dyDescent="0.2">
      <c r="G197" s="17"/>
      <c r="H197" s="17"/>
      <c r="L197" s="17"/>
    </row>
    <row r="198" spans="7:12" x14ac:dyDescent="0.2">
      <c r="G198" s="17"/>
      <c r="H198" s="17"/>
      <c r="L198" s="17"/>
    </row>
    <row r="199" spans="7:12" x14ac:dyDescent="0.2">
      <c r="G199" s="17"/>
      <c r="H199" s="17"/>
      <c r="L199" s="17"/>
    </row>
    <row r="200" spans="7:12" x14ac:dyDescent="0.2">
      <c r="G200" s="17"/>
      <c r="H200" s="17"/>
      <c r="L200" s="17"/>
    </row>
    <row r="201" spans="7:12" x14ac:dyDescent="0.2">
      <c r="G201" s="17"/>
      <c r="H201" s="17"/>
      <c r="L201" s="17"/>
    </row>
    <row r="202" spans="7:12" x14ac:dyDescent="0.2">
      <c r="G202" s="17"/>
      <c r="H202" s="17"/>
      <c r="L202" s="17"/>
    </row>
    <row r="203" spans="7:12" x14ac:dyDescent="0.2">
      <c r="G203" s="17"/>
      <c r="H203" s="17"/>
      <c r="L203" s="17"/>
    </row>
    <row r="204" spans="7:12" x14ac:dyDescent="0.2">
      <c r="G204" s="17"/>
      <c r="H204" s="17"/>
      <c r="L204" s="17"/>
    </row>
    <row r="205" spans="7:12" x14ac:dyDescent="0.2">
      <c r="G205" s="17"/>
      <c r="H205" s="17"/>
      <c r="L205" s="17"/>
    </row>
    <row r="206" spans="7:12" x14ac:dyDescent="0.2">
      <c r="G206" s="17"/>
      <c r="H206" s="17"/>
      <c r="L206" s="17"/>
    </row>
    <row r="207" spans="7:12" x14ac:dyDescent="0.2">
      <c r="G207" s="17"/>
      <c r="H207" s="17"/>
      <c r="L207" s="17"/>
    </row>
    <row r="208" spans="7:12" x14ac:dyDescent="0.2">
      <c r="G208" s="17"/>
      <c r="H208" s="17"/>
      <c r="L208" s="17"/>
    </row>
    <row r="209" spans="7:12" x14ac:dyDescent="0.2">
      <c r="G209" s="17"/>
      <c r="H209" s="17"/>
      <c r="L209" s="17"/>
    </row>
    <row r="210" spans="7:12" x14ac:dyDescent="0.2">
      <c r="G210" s="17"/>
      <c r="H210" s="17"/>
      <c r="L210" s="17"/>
    </row>
    <row r="211" spans="7:12" x14ac:dyDescent="0.2">
      <c r="G211" s="17"/>
      <c r="H211" s="17"/>
      <c r="L211" s="17"/>
    </row>
    <row r="212" spans="7:12" x14ac:dyDescent="0.2">
      <c r="G212" s="17"/>
      <c r="H212" s="17"/>
      <c r="L212" s="17"/>
    </row>
    <row r="213" spans="7:12" x14ac:dyDescent="0.2">
      <c r="G213" s="17"/>
      <c r="H213" s="17"/>
      <c r="L213" s="17"/>
    </row>
    <row r="214" spans="7:12" x14ac:dyDescent="0.2">
      <c r="G214" s="17"/>
      <c r="H214" s="17"/>
      <c r="L214" s="17"/>
    </row>
    <row r="215" spans="7:12" x14ac:dyDescent="0.2">
      <c r="G215" s="17"/>
      <c r="H215" s="17"/>
      <c r="L215" s="17"/>
    </row>
    <row r="216" spans="7:12" x14ac:dyDescent="0.2">
      <c r="G216" s="17"/>
      <c r="H216" s="17"/>
      <c r="L216" s="17"/>
    </row>
    <row r="217" spans="7:12" x14ac:dyDescent="0.2">
      <c r="G217" s="17"/>
      <c r="H217" s="17"/>
      <c r="L217" s="17"/>
    </row>
    <row r="218" spans="7:12" x14ac:dyDescent="0.2">
      <c r="G218" s="17"/>
      <c r="H218" s="17"/>
      <c r="L218" s="17"/>
    </row>
    <row r="219" spans="7:12" x14ac:dyDescent="0.2">
      <c r="G219" s="17"/>
      <c r="H219" s="17"/>
      <c r="L219" s="17"/>
    </row>
    <row r="220" spans="7:12" x14ac:dyDescent="0.2">
      <c r="G220" s="17"/>
      <c r="H220" s="17"/>
      <c r="L220" s="17"/>
    </row>
    <row r="221" spans="7:12" x14ac:dyDescent="0.2">
      <c r="G221" s="17"/>
      <c r="H221" s="17"/>
      <c r="L221" s="17"/>
    </row>
    <row r="222" spans="7:12" x14ac:dyDescent="0.2">
      <c r="G222" s="17"/>
      <c r="H222" s="17"/>
      <c r="L222" s="17"/>
    </row>
    <row r="223" spans="7:12" x14ac:dyDescent="0.2">
      <c r="G223" s="17"/>
      <c r="H223" s="17"/>
      <c r="L223" s="17"/>
    </row>
    <row r="224" spans="7:12" x14ac:dyDescent="0.2">
      <c r="G224" s="17"/>
      <c r="H224" s="17"/>
      <c r="L224" s="17"/>
    </row>
    <row r="225" spans="7:12" x14ac:dyDescent="0.2">
      <c r="G225" s="17"/>
      <c r="H225" s="17"/>
      <c r="L225" s="17"/>
    </row>
    <row r="226" spans="7:12" x14ac:dyDescent="0.2">
      <c r="G226" s="17"/>
      <c r="H226" s="17"/>
      <c r="L226" s="17"/>
    </row>
    <row r="227" spans="7:12" x14ac:dyDescent="0.2">
      <c r="G227" s="17"/>
      <c r="H227" s="17"/>
      <c r="L227" s="17"/>
    </row>
    <row r="228" spans="7:12" x14ac:dyDescent="0.2">
      <c r="G228" s="17"/>
      <c r="H228" s="17"/>
      <c r="L228" s="17"/>
    </row>
    <row r="229" spans="7:12" x14ac:dyDescent="0.2">
      <c r="G229" s="17"/>
      <c r="H229" s="17"/>
      <c r="L229" s="17"/>
    </row>
    <row r="230" spans="7:12" x14ac:dyDescent="0.2">
      <c r="G230" s="17"/>
      <c r="H230" s="17"/>
      <c r="L230" s="17"/>
    </row>
    <row r="231" spans="7:12" x14ac:dyDescent="0.2">
      <c r="G231" s="17"/>
      <c r="H231" s="17"/>
      <c r="L231" s="17"/>
    </row>
    <row r="232" spans="7:12" x14ac:dyDescent="0.2">
      <c r="G232" s="17"/>
      <c r="H232" s="17"/>
      <c r="L232" s="17"/>
    </row>
    <row r="233" spans="7:12" x14ac:dyDescent="0.2">
      <c r="G233" s="17"/>
      <c r="H233" s="17"/>
      <c r="L233" s="17"/>
    </row>
    <row r="234" spans="7:12" x14ac:dyDescent="0.2">
      <c r="G234" s="17"/>
      <c r="H234" s="17"/>
      <c r="L234" s="17"/>
    </row>
    <row r="235" spans="7:12" x14ac:dyDescent="0.2">
      <c r="G235" s="17"/>
      <c r="H235" s="17"/>
      <c r="L235" s="17"/>
    </row>
    <row r="236" spans="7:12" x14ac:dyDescent="0.2">
      <c r="G236" s="17"/>
      <c r="H236" s="17"/>
      <c r="L236" s="17"/>
    </row>
    <row r="237" spans="7:12" x14ac:dyDescent="0.2">
      <c r="G237" s="17"/>
      <c r="H237" s="17"/>
      <c r="L237" s="17"/>
    </row>
    <row r="238" spans="7:12" x14ac:dyDescent="0.2">
      <c r="G238" s="17"/>
      <c r="H238" s="17"/>
      <c r="L238" s="17"/>
    </row>
    <row r="239" spans="7:12" x14ac:dyDescent="0.2">
      <c r="G239" s="17"/>
      <c r="H239" s="17"/>
      <c r="L239" s="17"/>
    </row>
    <row r="240" spans="7:12" x14ac:dyDescent="0.2">
      <c r="G240" s="17"/>
      <c r="H240" s="17"/>
      <c r="L240" s="17"/>
    </row>
    <row r="241" spans="7:12" x14ac:dyDescent="0.2">
      <c r="G241" s="17"/>
      <c r="H241" s="17"/>
      <c r="L241" s="17"/>
    </row>
    <row r="242" spans="7:12" x14ac:dyDescent="0.2">
      <c r="G242" s="17"/>
      <c r="H242" s="17"/>
      <c r="L242" s="17"/>
    </row>
    <row r="243" spans="7:12" x14ac:dyDescent="0.2">
      <c r="G243" s="17"/>
      <c r="H243" s="17"/>
      <c r="L243" s="17"/>
    </row>
    <row r="244" spans="7:12" x14ac:dyDescent="0.2">
      <c r="G244" s="17"/>
      <c r="H244" s="17"/>
      <c r="L244" s="17"/>
    </row>
    <row r="245" spans="7:12" x14ac:dyDescent="0.2">
      <c r="G245" s="17"/>
      <c r="H245" s="17"/>
      <c r="L245" s="17"/>
    </row>
    <row r="246" spans="7:12" x14ac:dyDescent="0.2">
      <c r="G246" s="17"/>
      <c r="H246" s="17"/>
      <c r="L246" s="17"/>
    </row>
    <row r="247" spans="7:12" x14ac:dyDescent="0.2">
      <c r="G247" s="17"/>
      <c r="H247" s="17"/>
      <c r="L247" s="17"/>
    </row>
    <row r="248" spans="7:12" x14ac:dyDescent="0.2">
      <c r="G248" s="17"/>
      <c r="H248" s="17"/>
      <c r="L248" s="17"/>
    </row>
    <row r="249" spans="7:12" x14ac:dyDescent="0.2">
      <c r="G249" s="17"/>
      <c r="H249" s="17"/>
      <c r="L249" s="17"/>
    </row>
    <row r="250" spans="7:12" x14ac:dyDescent="0.2">
      <c r="G250" s="17"/>
      <c r="H250" s="17"/>
      <c r="L250" s="17"/>
    </row>
    <row r="251" spans="7:12" x14ac:dyDescent="0.2">
      <c r="G251" s="17"/>
      <c r="H251" s="17"/>
      <c r="L251" s="17"/>
    </row>
    <row r="252" spans="7:12" x14ac:dyDescent="0.2">
      <c r="G252" s="17"/>
      <c r="H252" s="17"/>
      <c r="L252" s="17"/>
    </row>
    <row r="253" spans="7:12" x14ac:dyDescent="0.2">
      <c r="G253" s="17"/>
      <c r="H253" s="17"/>
      <c r="L253" s="17"/>
    </row>
    <row r="254" spans="7:12" x14ac:dyDescent="0.2">
      <c r="G254" s="17"/>
      <c r="H254" s="17"/>
      <c r="L254" s="17"/>
    </row>
    <row r="255" spans="7:12" x14ac:dyDescent="0.2">
      <c r="G255" s="17"/>
      <c r="H255" s="17"/>
      <c r="L255" s="17"/>
    </row>
    <row r="256" spans="7:12" x14ac:dyDescent="0.2">
      <c r="G256" s="17"/>
      <c r="H256" s="17"/>
      <c r="L256" s="17"/>
    </row>
    <row r="257" spans="7:12" x14ac:dyDescent="0.2">
      <c r="G257" s="17"/>
      <c r="H257" s="17"/>
      <c r="L257" s="17"/>
    </row>
    <row r="258" spans="7:12" x14ac:dyDescent="0.2">
      <c r="G258" s="17"/>
      <c r="H258" s="17"/>
      <c r="L258" s="17"/>
    </row>
    <row r="259" spans="7:12" x14ac:dyDescent="0.2">
      <c r="G259" s="17"/>
      <c r="H259" s="17"/>
      <c r="L259" s="17"/>
    </row>
    <row r="260" spans="7:12" x14ac:dyDescent="0.2">
      <c r="G260" s="17"/>
      <c r="H260" s="17"/>
      <c r="L260" s="17"/>
    </row>
    <row r="261" spans="7:12" x14ac:dyDescent="0.2">
      <c r="G261" s="17"/>
      <c r="H261" s="17"/>
      <c r="L261" s="17"/>
    </row>
    <row r="262" spans="7:12" x14ac:dyDescent="0.2">
      <c r="G262" s="17"/>
      <c r="H262" s="17"/>
      <c r="L262" s="17"/>
    </row>
    <row r="263" spans="7:12" x14ac:dyDescent="0.2">
      <c r="G263" s="17"/>
      <c r="H263" s="17"/>
      <c r="L263" s="17"/>
    </row>
    <row r="264" spans="7:12" x14ac:dyDescent="0.2">
      <c r="G264" s="17"/>
      <c r="H264" s="17"/>
      <c r="L264" s="17"/>
    </row>
    <row r="265" spans="7:12" x14ac:dyDescent="0.2">
      <c r="G265" s="17"/>
      <c r="H265" s="17"/>
      <c r="L265" s="17"/>
    </row>
    <row r="266" spans="7:12" x14ac:dyDescent="0.2">
      <c r="G266" s="17"/>
      <c r="H266" s="17"/>
      <c r="L266" s="17"/>
    </row>
    <row r="267" spans="7:12" x14ac:dyDescent="0.2">
      <c r="G267" s="17"/>
      <c r="H267" s="17"/>
      <c r="L267" s="17"/>
    </row>
    <row r="268" spans="7:12" x14ac:dyDescent="0.2">
      <c r="G268" s="17"/>
      <c r="H268" s="17"/>
      <c r="L268" s="17"/>
    </row>
    <row r="269" spans="7:12" x14ac:dyDescent="0.2">
      <c r="G269" s="17"/>
      <c r="H269" s="17"/>
      <c r="L269" s="17"/>
    </row>
    <row r="270" spans="7:12" x14ac:dyDescent="0.2">
      <c r="G270" s="17"/>
      <c r="H270" s="17"/>
      <c r="L270" s="17"/>
    </row>
    <row r="271" spans="7:12" x14ac:dyDescent="0.2">
      <c r="G271" s="17"/>
      <c r="H271" s="17"/>
      <c r="L271" s="17"/>
    </row>
    <row r="272" spans="7:12" x14ac:dyDescent="0.2">
      <c r="G272" s="17"/>
      <c r="H272" s="17"/>
      <c r="L272" s="17"/>
    </row>
    <row r="273" spans="7:12" x14ac:dyDescent="0.2">
      <c r="G273" s="17"/>
      <c r="H273" s="17"/>
      <c r="L273" s="17"/>
    </row>
    <row r="274" spans="7:12" x14ac:dyDescent="0.2">
      <c r="G274" s="17"/>
      <c r="H274" s="17"/>
      <c r="L274" s="17"/>
    </row>
    <row r="275" spans="7:12" x14ac:dyDescent="0.2">
      <c r="G275" s="17"/>
      <c r="H275" s="17"/>
      <c r="L275" s="17"/>
    </row>
    <row r="276" spans="7:12" x14ac:dyDescent="0.2">
      <c r="G276" s="17"/>
      <c r="H276" s="17"/>
      <c r="L276" s="17"/>
    </row>
    <row r="277" spans="7:12" x14ac:dyDescent="0.2">
      <c r="G277" s="17"/>
      <c r="H277" s="17"/>
      <c r="L277" s="17"/>
    </row>
    <row r="278" spans="7:12" x14ac:dyDescent="0.2">
      <c r="G278" s="17"/>
      <c r="H278" s="17"/>
      <c r="L278" s="17"/>
    </row>
    <row r="279" spans="7:12" x14ac:dyDescent="0.2">
      <c r="G279" s="17"/>
      <c r="H279" s="17"/>
      <c r="L279" s="17"/>
    </row>
    <row r="280" spans="7:12" x14ac:dyDescent="0.2">
      <c r="G280" s="17"/>
      <c r="H280" s="17"/>
      <c r="L280" s="17"/>
    </row>
    <row r="281" spans="7:12" x14ac:dyDescent="0.2">
      <c r="G281" s="17"/>
      <c r="H281" s="17"/>
      <c r="L281" s="17"/>
    </row>
    <row r="282" spans="7:12" x14ac:dyDescent="0.2">
      <c r="G282" s="17"/>
      <c r="H282" s="17"/>
      <c r="L282" s="17"/>
    </row>
    <row r="283" spans="7:12" x14ac:dyDescent="0.2">
      <c r="G283" s="17"/>
      <c r="H283" s="17"/>
      <c r="L283" s="17"/>
    </row>
    <row r="284" spans="7:12" x14ac:dyDescent="0.2">
      <c r="G284" s="17"/>
      <c r="H284" s="17"/>
      <c r="L284" s="17"/>
    </row>
    <row r="285" spans="7:12" x14ac:dyDescent="0.2">
      <c r="G285" s="17"/>
      <c r="H285" s="17"/>
      <c r="L285" s="17"/>
    </row>
    <row r="286" spans="7:12" x14ac:dyDescent="0.2">
      <c r="G286" s="17"/>
      <c r="H286" s="17"/>
      <c r="L286" s="17"/>
    </row>
    <row r="287" spans="7:12" x14ac:dyDescent="0.2">
      <c r="G287" s="17"/>
      <c r="H287" s="17"/>
      <c r="L287" s="17"/>
    </row>
    <row r="288" spans="7:12" x14ac:dyDescent="0.2">
      <c r="G288" s="17"/>
      <c r="H288" s="17"/>
      <c r="L288" s="17"/>
    </row>
    <row r="289" spans="7:12" x14ac:dyDescent="0.2">
      <c r="G289" s="17"/>
      <c r="H289" s="17"/>
      <c r="L289" s="17"/>
    </row>
    <row r="290" spans="7:12" x14ac:dyDescent="0.2">
      <c r="G290" s="17"/>
      <c r="H290" s="17"/>
      <c r="L290" s="17"/>
    </row>
    <row r="291" spans="7:12" x14ac:dyDescent="0.2">
      <c r="G291" s="17"/>
      <c r="H291" s="17"/>
      <c r="L291" s="17"/>
    </row>
    <row r="292" spans="7:12" x14ac:dyDescent="0.2">
      <c r="G292" s="17"/>
      <c r="H292" s="17"/>
      <c r="L292" s="17"/>
    </row>
    <row r="293" spans="7:12" x14ac:dyDescent="0.2">
      <c r="G293" s="17"/>
      <c r="H293" s="17"/>
      <c r="L293" s="17"/>
    </row>
    <row r="294" spans="7:12" x14ac:dyDescent="0.2">
      <c r="G294" s="17"/>
      <c r="H294" s="17"/>
      <c r="L294" s="17"/>
    </row>
    <row r="295" spans="7:12" x14ac:dyDescent="0.2">
      <c r="G295" s="17"/>
      <c r="H295" s="17"/>
      <c r="L295" s="17"/>
    </row>
    <row r="296" spans="7:12" x14ac:dyDescent="0.2">
      <c r="G296" s="17"/>
      <c r="H296" s="17"/>
      <c r="L296" s="17"/>
    </row>
    <row r="297" spans="7:12" x14ac:dyDescent="0.2">
      <c r="G297" s="17"/>
      <c r="H297" s="17"/>
      <c r="L297" s="17"/>
    </row>
    <row r="298" spans="7:12" x14ac:dyDescent="0.2">
      <c r="G298" s="17"/>
      <c r="H298" s="17"/>
      <c r="L298" s="17"/>
    </row>
    <row r="299" spans="7:12" x14ac:dyDescent="0.2">
      <c r="G299" s="17"/>
      <c r="H299" s="17"/>
      <c r="L299" s="17"/>
    </row>
    <row r="300" spans="7:12" x14ac:dyDescent="0.2">
      <c r="G300" s="17"/>
      <c r="H300" s="17"/>
      <c r="L300" s="17"/>
    </row>
    <row r="301" spans="7:12" x14ac:dyDescent="0.2">
      <c r="G301" s="17"/>
      <c r="H301" s="17"/>
      <c r="L301" s="17"/>
    </row>
    <row r="302" spans="7:12" x14ac:dyDescent="0.2">
      <c r="G302" s="17"/>
      <c r="H302" s="17"/>
      <c r="L302" s="17"/>
    </row>
    <row r="303" spans="7:12" x14ac:dyDescent="0.2">
      <c r="G303" s="17"/>
      <c r="H303" s="17"/>
      <c r="L303" s="17"/>
    </row>
    <row r="304" spans="7:12" x14ac:dyDescent="0.2">
      <c r="G304" s="17"/>
      <c r="H304" s="17"/>
      <c r="L304" s="17"/>
    </row>
    <row r="305" spans="7:12" x14ac:dyDescent="0.2">
      <c r="G305" s="17"/>
      <c r="H305" s="17"/>
      <c r="L305" s="17"/>
    </row>
    <row r="306" spans="7:12" x14ac:dyDescent="0.2">
      <c r="G306" s="17"/>
      <c r="H306" s="17"/>
      <c r="L306" s="17"/>
    </row>
    <row r="307" spans="7:12" x14ac:dyDescent="0.2">
      <c r="G307" s="17"/>
      <c r="H307" s="17"/>
      <c r="L307" s="17"/>
    </row>
    <row r="308" spans="7:12" x14ac:dyDescent="0.2">
      <c r="G308" s="17"/>
      <c r="H308" s="17"/>
      <c r="L308" s="17"/>
    </row>
    <row r="309" spans="7:12" x14ac:dyDescent="0.2">
      <c r="G309" s="17"/>
      <c r="H309" s="17"/>
      <c r="L309" s="17"/>
    </row>
    <row r="310" spans="7:12" x14ac:dyDescent="0.2">
      <c r="G310" s="17"/>
      <c r="H310" s="17"/>
      <c r="L310" s="17"/>
    </row>
    <row r="311" spans="7:12" x14ac:dyDescent="0.2">
      <c r="G311" s="17"/>
      <c r="H311" s="17"/>
      <c r="L311" s="17"/>
    </row>
    <row r="312" spans="7:12" x14ac:dyDescent="0.2">
      <c r="G312" s="17"/>
      <c r="H312" s="17"/>
      <c r="L312" s="17"/>
    </row>
    <row r="313" spans="7:12" x14ac:dyDescent="0.2">
      <c r="G313" s="17"/>
      <c r="H313" s="17"/>
      <c r="L313" s="17"/>
    </row>
    <row r="314" spans="7:12" x14ac:dyDescent="0.2">
      <c r="G314" s="17"/>
      <c r="H314" s="17"/>
      <c r="L314" s="17"/>
    </row>
    <row r="315" spans="7:12" x14ac:dyDescent="0.2">
      <c r="G315" s="17"/>
      <c r="H315" s="17"/>
      <c r="L315" s="17"/>
    </row>
    <row r="316" spans="7:12" x14ac:dyDescent="0.2">
      <c r="G316" s="17"/>
      <c r="H316" s="17"/>
      <c r="L316" s="17"/>
    </row>
    <row r="317" spans="7:12" x14ac:dyDescent="0.2">
      <c r="G317" s="17"/>
      <c r="H317" s="17"/>
      <c r="L317" s="17"/>
    </row>
    <row r="318" spans="7:12" x14ac:dyDescent="0.2">
      <c r="G318" s="17"/>
      <c r="H318" s="17"/>
      <c r="L318" s="17"/>
    </row>
    <row r="319" spans="7:12" x14ac:dyDescent="0.2">
      <c r="G319" s="17"/>
      <c r="H319" s="17"/>
      <c r="L319" s="17"/>
    </row>
    <row r="320" spans="7:12" x14ac:dyDescent="0.2">
      <c r="G320" s="17"/>
      <c r="H320" s="17"/>
      <c r="L320" s="17"/>
    </row>
    <row r="321" spans="7:12" x14ac:dyDescent="0.2">
      <c r="G321" s="17"/>
      <c r="H321" s="17"/>
      <c r="L321" s="17"/>
    </row>
    <row r="322" spans="7:12" x14ac:dyDescent="0.2">
      <c r="G322" s="17"/>
      <c r="H322" s="17"/>
      <c r="L322" s="17"/>
    </row>
    <row r="323" spans="7:12" x14ac:dyDescent="0.2">
      <c r="G323" s="17"/>
      <c r="H323" s="17"/>
      <c r="L323" s="17"/>
    </row>
    <row r="324" spans="7:12" x14ac:dyDescent="0.2">
      <c r="G324" s="17"/>
      <c r="H324" s="17"/>
      <c r="L324" s="17"/>
    </row>
    <row r="325" spans="7:12" x14ac:dyDescent="0.2">
      <c r="G325" s="17"/>
      <c r="H325" s="17"/>
      <c r="L325" s="17"/>
    </row>
    <row r="326" spans="7:12" x14ac:dyDescent="0.2">
      <c r="G326" s="17"/>
      <c r="H326" s="17"/>
      <c r="L326" s="17"/>
    </row>
    <row r="327" spans="7:12" x14ac:dyDescent="0.2">
      <c r="G327" s="17"/>
      <c r="H327" s="17"/>
      <c r="L327" s="17"/>
    </row>
    <row r="328" spans="7:12" x14ac:dyDescent="0.2">
      <c r="G328" s="17"/>
      <c r="H328" s="17"/>
      <c r="L328" s="17"/>
    </row>
    <row r="329" spans="7:12" x14ac:dyDescent="0.2">
      <c r="G329" s="17"/>
      <c r="H329" s="17"/>
      <c r="L329" s="17"/>
    </row>
    <row r="330" spans="7:12" x14ac:dyDescent="0.2">
      <c r="G330" s="17"/>
      <c r="H330" s="17"/>
      <c r="L330" s="17"/>
    </row>
    <row r="331" spans="7:12" x14ac:dyDescent="0.2">
      <c r="G331" s="17"/>
      <c r="H331" s="17"/>
      <c r="L331" s="17"/>
    </row>
    <row r="332" spans="7:12" x14ac:dyDescent="0.2">
      <c r="G332" s="17"/>
      <c r="H332" s="17"/>
      <c r="L332" s="17"/>
    </row>
    <row r="333" spans="7:12" x14ac:dyDescent="0.2">
      <c r="G333" s="17"/>
      <c r="H333" s="17"/>
      <c r="L333" s="17"/>
    </row>
    <row r="334" spans="7:12" x14ac:dyDescent="0.2">
      <c r="G334" s="17"/>
      <c r="H334" s="17"/>
      <c r="L334" s="17"/>
    </row>
    <row r="335" spans="7:12" x14ac:dyDescent="0.2">
      <c r="G335" s="17"/>
      <c r="H335" s="17"/>
      <c r="L335" s="17"/>
    </row>
    <row r="336" spans="7:12" x14ac:dyDescent="0.2">
      <c r="G336" s="17"/>
      <c r="H336" s="17"/>
      <c r="L336" s="17"/>
    </row>
    <row r="337" spans="7:12" x14ac:dyDescent="0.2">
      <c r="G337" s="17"/>
      <c r="H337" s="17"/>
      <c r="L337" s="17"/>
    </row>
    <row r="338" spans="7:12" x14ac:dyDescent="0.2">
      <c r="G338" s="17"/>
      <c r="H338" s="17"/>
      <c r="L338" s="17"/>
    </row>
    <row r="339" spans="7:12" x14ac:dyDescent="0.2">
      <c r="G339" s="17"/>
      <c r="H339" s="17"/>
      <c r="L339" s="17"/>
    </row>
    <row r="340" spans="7:12" x14ac:dyDescent="0.2">
      <c r="G340" s="17"/>
      <c r="H340" s="17"/>
      <c r="L340" s="17"/>
    </row>
    <row r="341" spans="7:12" x14ac:dyDescent="0.2">
      <c r="G341" s="17"/>
      <c r="H341" s="17"/>
      <c r="L341" s="17"/>
    </row>
    <row r="342" spans="7:12" x14ac:dyDescent="0.2">
      <c r="G342" s="17"/>
      <c r="H342" s="17"/>
      <c r="L342" s="17"/>
    </row>
    <row r="343" spans="7:12" x14ac:dyDescent="0.2">
      <c r="G343" s="17"/>
      <c r="H343" s="17"/>
      <c r="L343" s="17"/>
    </row>
    <row r="344" spans="7:12" x14ac:dyDescent="0.2">
      <c r="G344" s="17"/>
      <c r="H344" s="17"/>
      <c r="L344" s="17"/>
    </row>
    <row r="345" spans="7:12" x14ac:dyDescent="0.2">
      <c r="G345" s="17"/>
      <c r="H345" s="17"/>
      <c r="L345" s="17"/>
    </row>
    <row r="346" spans="7:12" x14ac:dyDescent="0.2">
      <c r="G346" s="17"/>
      <c r="H346" s="17"/>
      <c r="L346" s="17"/>
    </row>
    <row r="347" spans="7:12" x14ac:dyDescent="0.2">
      <c r="G347" s="17"/>
      <c r="H347" s="17"/>
      <c r="L347" s="17"/>
    </row>
    <row r="348" spans="7:12" x14ac:dyDescent="0.2">
      <c r="G348" s="17"/>
      <c r="H348" s="17"/>
      <c r="L348" s="17"/>
    </row>
    <row r="349" spans="7:12" x14ac:dyDescent="0.2">
      <c r="G349" s="17"/>
      <c r="H349" s="17"/>
      <c r="L349" s="17"/>
    </row>
    <row r="350" spans="7:12" x14ac:dyDescent="0.2">
      <c r="G350" s="17"/>
      <c r="H350" s="17"/>
      <c r="L350" s="17"/>
    </row>
    <row r="351" spans="7:12" x14ac:dyDescent="0.2">
      <c r="G351" s="17"/>
      <c r="H351" s="17"/>
      <c r="L351" s="17"/>
    </row>
    <row r="352" spans="7:12" x14ac:dyDescent="0.2">
      <c r="G352" s="17"/>
      <c r="H352" s="17"/>
      <c r="L352" s="17"/>
    </row>
    <row r="353" spans="7:12" x14ac:dyDescent="0.2">
      <c r="G353" s="17"/>
      <c r="H353" s="17"/>
      <c r="L353" s="17"/>
    </row>
    <row r="354" spans="7:12" x14ac:dyDescent="0.2">
      <c r="G354" s="17"/>
      <c r="H354" s="17"/>
      <c r="L354" s="17"/>
    </row>
    <row r="355" spans="7:12" x14ac:dyDescent="0.2">
      <c r="G355" s="17"/>
      <c r="H355" s="17"/>
      <c r="L355" s="17"/>
    </row>
  </sheetData>
  <sheetProtection sheet="1" objects="1" scenarios="1"/>
  <mergeCells count="1">
    <mergeCell ref="A1:L1"/>
  </mergeCells>
  <conditionalFormatting sqref="A1:AH85">
    <cfRule type="cellIs" dxfId="1918" priority="1" operator="lessThan">
      <formula>0</formula>
    </cfRule>
  </conditionalFormatting>
  <hyperlinks>
    <hyperlink ref="M1" location="Index!A1" display="→ Index" xr:uid="{86EF0757-A47C-8A4A-B1BD-0FB82F86B442}"/>
  </hyperlinks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A18E-8E2A-794A-BD4A-E17C5D6E1350}">
  <sheetPr codeName="Sheet39"/>
  <dimension ref="A1:AJ355"/>
  <sheetViews>
    <sheetView topLeftCell="R1" zoomScaleNormal="100" workbookViewId="0">
      <selection activeCell="U10" sqref="U10"/>
    </sheetView>
  </sheetViews>
  <sheetFormatPr baseColWidth="10" defaultColWidth="10.83203125" defaultRowHeight="16" outlineLevelCol="1" x14ac:dyDescent="0.2"/>
  <cols>
    <col min="1" max="1" width="12.1640625" bestFit="1" customWidth="1"/>
    <col min="2" max="2" width="12.1640625" customWidth="1"/>
    <col min="3" max="3" width="11.5" bestFit="1" customWidth="1"/>
    <col min="4" max="4" width="10.1640625" customWidth="1"/>
    <col min="5" max="5" width="15" bestFit="1" customWidth="1"/>
    <col min="6" max="6" width="17.5" customWidth="1"/>
    <col min="7" max="7" width="9.83203125" bestFit="1" customWidth="1"/>
    <col min="8" max="8" width="13" bestFit="1" customWidth="1"/>
    <col min="9" max="9" width="17.1640625" bestFit="1" customWidth="1"/>
    <col min="10" max="10" width="11.83203125" bestFit="1" customWidth="1"/>
    <col min="11" max="11" width="17.6640625" customWidth="1"/>
    <col min="12" max="12" width="30" customWidth="1"/>
    <col min="13" max="13" width="11.5" bestFit="1" customWidth="1"/>
    <col min="14" max="14" width="18.1640625" bestFit="1" customWidth="1"/>
    <col min="15" max="15" width="15.83203125" customWidth="1"/>
    <col min="20" max="20" width="11.6640625" style="17" customWidth="1"/>
    <col min="21" max="21" width="12.5" style="17" customWidth="1"/>
    <col min="22" max="22" width="3" customWidth="1"/>
    <col min="23" max="23" width="11.6640625" customWidth="1"/>
    <col min="24" max="27" width="12.5" customWidth="1"/>
    <col min="29" max="34" width="0" hidden="1" customWidth="1" outlineLevel="1"/>
    <col min="35" max="35" width="10.83203125" collapsed="1"/>
  </cols>
  <sheetData>
    <row r="1" spans="1:36" ht="36" customHeight="1" x14ac:dyDescent="0.2">
      <c r="A1" s="499" t="s">
        <v>2039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279" t="s">
        <v>1288</v>
      </c>
      <c r="N1" s="294" t="s">
        <v>2033</v>
      </c>
      <c r="O1" s="292"/>
      <c r="T1" s="31" t="s">
        <v>2172</v>
      </c>
      <c r="AJ1" s="309" t="s">
        <v>2636</v>
      </c>
    </row>
    <row r="2" spans="1:36" ht="21" customHeight="1" thickBot="1" x14ac:dyDescent="0.25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277"/>
      <c r="N2" s="294" t="s">
        <v>2034</v>
      </c>
      <c r="O2" s="338">
        <f>SUM(E6:E355)</f>
        <v>27128360</v>
      </c>
      <c r="T2" s="435" t="s">
        <v>2750</v>
      </c>
    </row>
    <row r="3" spans="1:36" ht="20" x14ac:dyDescent="0.2">
      <c r="A3" s="277"/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307" t="s">
        <v>2027</v>
      </c>
      <c r="M3" s="308" t="s">
        <v>52</v>
      </c>
      <c r="N3" s="294" t="s">
        <v>2035</v>
      </c>
      <c r="O3" s="338">
        <f>SUM(F6:F355)</f>
        <v>17686599</v>
      </c>
      <c r="T3" s="436" t="s">
        <v>2165</v>
      </c>
      <c r="W3" s="309" t="s">
        <v>2167</v>
      </c>
    </row>
    <row r="4" spans="1:36" ht="21.75" thickBot="1" x14ac:dyDescent="0.3">
      <c r="A4" s="277"/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310" t="s">
        <v>2028</v>
      </c>
      <c r="M4" s="339">
        <f>-2976403-4683615</f>
        <v>-7660018</v>
      </c>
      <c r="N4" s="294" t="s">
        <v>2036</v>
      </c>
      <c r="O4" s="338">
        <f>SUM(G6:G355)</f>
        <v>17427</v>
      </c>
      <c r="T4" s="437" t="s">
        <v>2163</v>
      </c>
      <c r="U4" s="437" t="s">
        <v>2166</v>
      </c>
      <c r="W4" s="311" t="s">
        <v>2163</v>
      </c>
      <c r="X4" s="311" t="s">
        <v>2166</v>
      </c>
      <c r="Y4" s="311" t="s">
        <v>2168</v>
      </c>
      <c r="Z4" s="311" t="s">
        <v>2169</v>
      </c>
      <c r="AA4" s="311" t="s">
        <v>2170</v>
      </c>
      <c r="AJ4" s="407" t="s">
        <v>2637</v>
      </c>
    </row>
    <row r="5" spans="1:36" ht="21.75" x14ac:dyDescent="0.25">
      <c r="A5" s="312" t="s">
        <v>6</v>
      </c>
      <c r="B5" s="313" t="s">
        <v>0</v>
      </c>
      <c r="C5" s="314" t="s">
        <v>1179</v>
      </c>
      <c r="D5" s="285" t="s">
        <v>1180</v>
      </c>
      <c r="E5" s="285" t="s">
        <v>4</v>
      </c>
      <c r="F5" s="285" t="s">
        <v>1181</v>
      </c>
      <c r="G5" s="285" t="s">
        <v>2030</v>
      </c>
      <c r="H5" s="285" t="s">
        <v>2031</v>
      </c>
      <c r="I5" s="285" t="s">
        <v>1182</v>
      </c>
      <c r="J5" s="285" t="s">
        <v>1183</v>
      </c>
      <c r="K5" s="315" t="s">
        <v>2163</v>
      </c>
      <c r="L5" s="315" t="s">
        <v>2032</v>
      </c>
      <c r="M5" s="224">
        <f>DATE(2026,4,1)</f>
        <v>46113</v>
      </c>
      <c r="N5" s="294" t="s">
        <v>2037</v>
      </c>
      <c r="O5" s="338">
        <f>SUM(H6:H355)</f>
        <v>4477</v>
      </c>
      <c r="P5" t="s">
        <v>2066</v>
      </c>
      <c r="T5" s="438" t="s">
        <v>2432</v>
      </c>
      <c r="U5" s="350">
        <v>12000</v>
      </c>
      <c r="W5" s="316">
        <f>IFERROR(INDEX($AC$5:$AC$54,MATCH(ROW()-4,$AH$5:$AH$54,0)),"")</f>
        <v>2110036253</v>
      </c>
      <c r="X5" s="273">
        <f>IF($W5="","",INDEX($AD$5:$AD$54,MATCH(ROW()-4,$AH$5:$AH$54,0)))</f>
        <v>60000</v>
      </c>
      <c r="Y5" s="273">
        <f>IF($W5="","",INDEX($AE$5:$AE$54,MATCH(ROW()-4,$AH$5:$AH$54,0)))</f>
        <v>18000</v>
      </c>
      <c r="Z5" s="273">
        <f>IF($W5="","",INDEX($AF$5:$AF$54,MATCH(ROW()-4,$AH$5:$AH$54,0)))</f>
        <v>42000</v>
      </c>
      <c r="AA5" s="316" t="str">
        <f>IF($W5="","",IF($Z5&gt;0,"Pending","Completed"))</f>
        <v>Pending</v>
      </c>
      <c r="AC5" t="str" cm="1">
        <f t="array" ref="AC5">IF(INDEX($T$5:$T$54,ROW()-4)="","",INDEX($T$5:$T$54,ROW()-4))</f>
        <v>2110033979</v>
      </c>
      <c r="AD5">
        <f>IF($AC5="","",N(INDEX($U$5:$U$54,ROW()-4)))</f>
        <v>12000</v>
      </c>
      <c r="AE5">
        <f>IF($AC5="","",SUMIFS($C$6:$C$355,$K$6:$K$355,$AC5))</f>
        <v>12000</v>
      </c>
      <c r="AF5">
        <f>IF($AC5="","",$AD5-$AE5)</f>
        <v>0</v>
      </c>
      <c r="AG5">
        <f>IF($AC5="",0,IF($AF5&gt;0,1,0))</f>
        <v>0</v>
      </c>
      <c r="AH5" cm="1">
        <f t="array" ref="AH5">IF($AC5="","",IF($AG5=1,SUMPRODUCT(($AG$5:$AG$54=1)*($AC$5:$AC$54&gt;$AC5))+1,SUM($AG$5:$AG$54)+SUMPRODUCT(($AG$5:$AG$54=0)*($AC$5:$AC$54&lt;&gt;"")*($AC$5:$AC$54&gt;$AC5))+1))</f>
        <v>2</v>
      </c>
      <c r="AJ5" s="1" cm="1">
        <f t="array" ref="AJ5">IFERROR(_xlfn._xlws.FILTER($W$5:$W$54,($W$5:$W$54&lt;&gt;"")*($AA$5:$AA$54="Pending")),"")</f>
        <v>2110036253</v>
      </c>
    </row>
    <row r="6" spans="1:36" ht="21.75" x14ac:dyDescent="0.25">
      <c r="A6" s="221" cm="1">
        <f t="array" ref="A6">IFERROR(INDEX(_xlfn.ANCHORARRAY($P$6),ROW()-5,1),"")</f>
        <v>46113</v>
      </c>
      <c r="B6" s="317" t="str" cm="1">
        <f t="array" ref="B6">IFERROR(INDEX(_xlfn.ANCHORARRAY($P$6),ROW()-5,2),"")</f>
        <v>2</v>
      </c>
      <c r="C6" s="222">
        <f>IF($A6="","",IF($J6="DIESEL",SUMIFS(Table1[Quantity],Table1[Customer],$M$3,Table1[Date],$A6,Table1[Bill No.],$B6),IF($J6="PETROL",SUMIFS(Table14[Quantity],Table14[Customer],$M$3,Table14[Date],$A6,Table14[Bill No.],$B6),IF($J6="XtraGreen",SUMIFS(Table146[Quantity],Table146[Company],$M$3,Table146[Date],$A6,Table146[Bill No.],$B6),""))))</f>
        <v>12000</v>
      </c>
      <c r="D6" s="223">
        <f>IF($A6="","",IF($J6="DIESEL",AVERAGEIFS(Table1[RSP],Table1[Customer],$M$3,Table1[Date],$A6,Table1[Bill No.],$B6),IF($J6="PETROL",AVERAGEIFS(Table14[RSP],Table14[Customer],$M$3,Table14[Date],$A6,Table14[Bill No.],$B6),IF($J6="XtraGreen",AVERAGEIFS(Table146[RSP],Table146[Company],$M$3,Table146[Date],$A6,Table146[Bill No.],$B6),IFERROR($E6/$C6,"")))))</f>
        <v>91.36</v>
      </c>
      <c r="E6" s="330">
        <f>IF($A6="","",IF($J6="DIESEL",SUMIFS(Table1[Amount],Table1[Customer],$M$3,Table1[Date],$A6,Table1[Bill No.],$B6),IF($J6="PETROL",SUMIFS(Table14[Amount],Table14[Customer],$M$3,Table14[Date],$A6,Table14[Bill No.],$B6),IF($J6="XtraGreen",SUMIFS(Table146[Amount],Table146[Company],$M$3,Table146[Date],$A6,Table146[Bill No.],$B6),SUMIFS('Other Sale'!$D:$D,'Other Sale'!$E:$E,$M$3,'Other Sale'!$C:$C,$J6,'Other Sale'!$A:$A,$A6)))))</f>
        <v>1096320</v>
      </c>
      <c r="F6" s="330" cm="1">
        <f t="array" ref="F6">IF($A6="","",IF($J6="Payment",IFERROR(INDEX(_xlfn._xlws.FILTER(MasterPaid[Amount Paid],(MasterPaid[Customer]=$M$3)*(MasterPaid[Date]=$A6)),COUNTIFS($A$6:$A6,$A6,$J$6:$J6,"Payment")),0),0))</f>
        <v>0</v>
      </c>
      <c r="G6" s="331"/>
      <c r="H6" s="331"/>
      <c r="I6" s="330">
        <f>IF($A6="","",$M$4+N(E6)-N(F6)-N(G6)-N(H6))</f>
        <v>-6563698</v>
      </c>
      <c r="J6" s="318" t="str" cm="1">
        <f t="array" ref="J6">IFERROR(INDEX(_xlfn.ANCHORARRAY($P$6),ROW()-5,3),"")</f>
        <v>DIESEL</v>
      </c>
      <c r="K6" s="349"/>
      <c r="L6" s="290"/>
      <c r="M6" s="277"/>
      <c r="N6" s="294" t="s">
        <v>2038</v>
      </c>
      <c r="O6" s="338">
        <f>M4+O2-O3-O4-O5</f>
        <v>1759839</v>
      </c>
      <c r="P6" cm="1">
        <f t="array" ref="P6:R39">_xlfn.LET(_xlpm.cut,$M$5,_xlpm.hd,'HSD Sale'!$A$2:$A$7000,_xlpm.hb,'HSD Sale'!$B$2:$B$7000,_xlpm.hc,'HSD Sale'!$G$2:$G$7000,_xlpm.md,'MS Sale'!$A$2:$A$1000,_xlpm.mb,'MS Sale'!$B$2:$B$1000,_xlpm.mc,'MS Sale'!$G$2:$G$1000,_xlpm.xd,'XG Sale'!$A$2:$A$580,_xlpm.xb,'XG Sale'!$B$2:$B$580,_xlpm.xc,'XG Sale'!$G$2:$G$580,_xlpm.pd,'Master Paid'!$A$2:$A$5532,_xlpm.pc,'Master Paid'!$B$2:$B$5532,_xlpm.od,'Other Sale'!$A$2:$A$5000,_xlpm.oc,'Other Sale'!$E$2:$E$5000,_xlpm.op,'Other Sale'!$C$2:$C$5000,_xlpm.hF,IFERROR(_xlfn._xlws.FILTER(_xlfn.HSTACK(_xlpm.hd,_xlpm.hb,IF(_xlpm.hd&lt;&gt;"","DIESEL","")),(_xlpm.hc=$M$3)*(_xlpm.hd&gt;=_xlpm.cut)),_xlfn.HSTACK("x","x","x")),_xlpm.mF,IFERROR(_xlfn._xlws.FILTER(_xlfn.HSTACK(_xlpm.md,_xlpm.mb,IF(_xlpm.md&lt;&gt;"","PETROL","")),(_xlpm.mc=$M$3)*(_xlpm.md&gt;=_xlpm.cut)),_xlfn.HSTACK("x","x","x")),_xlpm.xF,IFERROR(_xlfn._xlws.FILTER(_xlfn.HSTACK(_xlpm.xd,_xlpm.xb,IF(_xlpm.xd&lt;&gt;"","XtraGreen","")),(_xlpm.xc=$M$3)*(_xlpm.xd&gt;=_xlpm.cut)),_xlfn.HSTACK("x","x","x")),_xlpm.pF,IFERROR(_xlfn._xlws.FILTER(_xlfn.HSTACK(_xlpm.pd,IF(_xlpm.pd&lt;&gt;"","",""),IF(_xlpm.pd&lt;&gt;"","Payment","")),(_xlpm.pc=$M$3)*(_xlpm.pd&gt;=_xlpm.cut)),_xlfn.HSTACK("x","x","x")),_xlpm.oF,IFERROR(_xlfn._xlws.FILTER(_xlfn.HSTACK(_xlpm.od,IF(_xlpm.od&lt;&gt;"","",""),_xlpm.op),(_xlpm.oc=$M$3)*(_xlpm.od&gt;=_xlpm.cut)),_xlfn.HSTACK("x","x","x")),_xlpm.stk,_xlfn.VSTACK(_xlpm.hF,_xlpm.mF,_xlpm.xF,_xlpm.pF,_xlpm.oF),_xlpm.fc,INDEX(_xlpm.stk,,1),_xlpm.res,_xlfn._xlws.FILTER(_xlpm.stk,(_xlpm.fc&lt;&gt;"x")*(_xlpm.fc&lt;&gt;"")),IFERROR(_xlfn._xlws.SORT(_xlpm.res,1,1),_xlpm.res))</f>
        <v>46113</v>
      </c>
      <c r="Q6" t="str">
        <v>2</v>
      </c>
      <c r="R6" t="str">
        <v>DIESEL</v>
      </c>
      <c r="T6" s="439">
        <v>2110035067</v>
      </c>
      <c r="U6" s="350">
        <v>60000</v>
      </c>
      <c r="W6" s="316" t="str">
        <f t="shared" ref="W6:W54" si="0">IFERROR(INDEX($AC$5:$AC$54,MATCH(ROW()-4,$AH$5:$AH$54,0)),"")</f>
        <v>2110033979</v>
      </c>
      <c r="X6" s="273">
        <f t="shared" ref="X6:X54" si="1">IF($W6="","",INDEX($AD$5:$AD$54,MATCH(ROW()-4,$AH$5:$AH$54,0)))</f>
        <v>12000</v>
      </c>
      <c r="Y6" s="273">
        <f t="shared" ref="Y6:Y54" si="2">IF($W6="","",INDEX($AE$5:$AE$54,MATCH(ROW()-4,$AH$5:$AH$54,0)))</f>
        <v>12000</v>
      </c>
      <c r="Z6" s="273">
        <f t="shared" ref="Z6:Z54" si="3">IF($W6="","",INDEX($AF$5:$AF$54,MATCH(ROW()-4,$AH$5:$AH$54,0)))</f>
        <v>0</v>
      </c>
      <c r="AA6" s="316" t="str">
        <f t="shared" ref="AA6:AA54" si="4">IF($W6="","",IF($Z6&gt;0,"Pending","Completed"))</f>
        <v>Completed</v>
      </c>
      <c r="AC6" cm="1">
        <f t="array" ref="AC6">IF(INDEX($T$5:$T$54,ROW()-4)="","",INDEX($T$5:$T$54,ROW()-4))</f>
        <v>2110035067</v>
      </c>
      <c r="AD6">
        <f t="shared" ref="AD6:AD54" si="5">IF($AC6="","",N(INDEX($U$5:$U$54,ROW()-4)))</f>
        <v>60000</v>
      </c>
      <c r="AE6">
        <f t="shared" ref="AE6:AE54" si="6">IF($AC6="","",SUMIFS($C$6:$C$355,$K$6:$K$355,$AC6))</f>
        <v>60000</v>
      </c>
      <c r="AF6">
        <f t="shared" ref="AF6:AF54" si="7">IF($AC6="","",$AD6-$AE6)</f>
        <v>0</v>
      </c>
      <c r="AG6">
        <f t="shared" ref="AG6:AG54" si="8">IF($AC6="",0,IF($AF6&gt;0,1,0))</f>
        <v>0</v>
      </c>
      <c r="AH6" cm="1">
        <f t="array" ref="AH6">IF($AC6="","",IF($AG6=1,SUMPRODUCT(($AG$5:$AG$54=1)*($AC$5:$AC$54&gt;$AC6))+1,SUM($AG$5:$AG$54)+SUMPRODUCT(($AG$5:$AG$54=0)*($AC$5:$AC$54&lt;&gt;"")*($AC$5:$AC$54&gt;$AC6))+1))</f>
        <v>5</v>
      </c>
    </row>
    <row r="7" spans="1:36" ht="21.75" x14ac:dyDescent="0.25">
      <c r="A7" s="221" cm="1">
        <f t="array" ref="A7">IFERROR(INDEX(_xlfn.ANCHORARRAY($P$6),ROW()-5,1),"")</f>
        <v>46114</v>
      </c>
      <c r="B7" s="317" t="str" cm="1">
        <f t="array" ref="B7">IFERROR(INDEX(_xlfn.ANCHORARRAY($P$6),ROW()-5,2),"")</f>
        <v>21</v>
      </c>
      <c r="C7" s="222">
        <f>IF($A7="","",IF($J7="DIESEL",SUMIFS(Table1[Quantity],Table1[Customer],$M$3,Table1[Date],$A7,Table1[Bill No.],$B7),IF($J7="PETROL",SUMIFS(Table14[Quantity],Table14[Customer],$M$3,Table14[Date],$A7,Table14[Bill No.],$B7),IF($J7="XtraGreen",SUMIFS(Table146[Quantity],Table146[Company],$M$3,Table146[Date],$A7,Table146[Bill No.],$B7),""))))</f>
        <v>12000</v>
      </c>
      <c r="D7" s="223">
        <f>IF($A7="","",IF($J7="DIESEL",AVERAGEIFS(Table1[RSP],Table1[Customer],$M$3,Table1[Date],$A7,Table1[Bill No.],$B7),IF($J7="PETROL",AVERAGEIFS(Table14[RSP],Table14[Customer],$M$3,Table14[Date],$A7,Table14[Bill No.],$B7),IF($J7="XtraGreen",AVERAGEIFS(Table146[RSP],Table146[Company],$M$3,Table146[Date],$A7,Table146[Bill No.],$B7),IFERROR($E7/$C7,"")))))</f>
        <v>91.36</v>
      </c>
      <c r="E7" s="330">
        <f>IF($A7="","",IF($J7="DIESEL",SUMIFS(Table1[Amount],Table1[Customer],$M$3,Table1[Date],$A7,Table1[Bill No.],$B7),IF($J7="PETROL",SUMIFS(Table14[Amount],Table14[Customer],$M$3,Table14[Date],$A7,Table14[Bill No.],$B7),IF($J7="XtraGreen",SUMIFS(Table146[Amount],Table146[Company],$M$3,Table146[Date],$A7,Table146[Bill No.],$B7),SUMIFS('Other Sale'!$D:$D,'Other Sale'!$E:$E,$M$3,'Other Sale'!$C:$C,$J7,'Other Sale'!$A:$A,$A7)))))</f>
        <v>1096320</v>
      </c>
      <c r="F7" s="330" cm="1">
        <f t="array" ref="F7">IF($A7="","",IF($J7="Payment",IFERROR(INDEX(_xlfn._xlws.FILTER(MasterPaid[Amount Paid],(MasterPaid[Customer]=$M$3)*(MasterPaid[Date]=$A7)),COUNTIFS($A$6:$A7,$A7,$J$6:$J7,"Payment")),0),0))</f>
        <v>0</v>
      </c>
      <c r="G7" s="331"/>
      <c r="H7" s="331">
        <v>4477</v>
      </c>
      <c r="I7" s="330">
        <f>IF($A7="","",I6+N(E7)-N(F7)-N(G7)-N(H7))</f>
        <v>-5471855</v>
      </c>
      <c r="J7" s="318" t="str" cm="1">
        <f t="array" ref="J7">IFERROR(INDEX(_xlfn.ANCHORARRAY($P$6),ROW()-5,3),"")</f>
        <v>DIESEL</v>
      </c>
      <c r="K7" s="349"/>
      <c r="L7" s="290" t="s">
        <v>3050</v>
      </c>
      <c r="M7" s="277"/>
      <c r="N7" s="277"/>
      <c r="O7" s="277"/>
      <c r="P7">
        <v>46114</v>
      </c>
      <c r="Q7" t="str">
        <v>21</v>
      </c>
      <c r="R7" t="str">
        <v>DIESEL</v>
      </c>
      <c r="T7" s="439">
        <v>2110035598</v>
      </c>
      <c r="U7" s="350">
        <v>60000</v>
      </c>
      <c r="W7" s="316">
        <f t="shared" si="0"/>
        <v>2110036026</v>
      </c>
      <c r="X7" s="273">
        <f t="shared" si="1"/>
        <v>60000</v>
      </c>
      <c r="Y7" s="273">
        <f t="shared" si="2"/>
        <v>60000</v>
      </c>
      <c r="Z7" s="273">
        <f t="shared" si="3"/>
        <v>0</v>
      </c>
      <c r="AA7" s="316" t="str">
        <f t="shared" si="4"/>
        <v>Completed</v>
      </c>
      <c r="AC7" cm="1">
        <f t="array" ref="AC7">IF(INDEX($T$5:$T$54,ROW()-4)="","",INDEX($T$5:$T$54,ROW()-4))</f>
        <v>2110035598</v>
      </c>
      <c r="AD7">
        <f t="shared" si="5"/>
        <v>60000</v>
      </c>
      <c r="AE7">
        <f t="shared" si="6"/>
        <v>60000</v>
      </c>
      <c r="AF7">
        <f t="shared" si="7"/>
        <v>0</v>
      </c>
      <c r="AG7">
        <f t="shared" si="8"/>
        <v>0</v>
      </c>
      <c r="AH7" cm="1">
        <f t="array" ref="AH7">IF($AC7="","",IF($AG7=1,SUMPRODUCT(($AG$5:$AG$54=1)*($AC$5:$AC$54&gt;$AC7))+1,SUM($AG$5:$AG$54)+SUMPRODUCT(($AG$5:$AG$54=0)*($AC$5:$AC$54&lt;&gt;"")*($AC$5:$AC$54&gt;$AC7))+1))</f>
        <v>4</v>
      </c>
    </row>
    <row r="8" spans="1:36" ht="21.75" x14ac:dyDescent="0.25">
      <c r="A8" s="221" cm="1">
        <f t="array" ref="A8">IFERROR(INDEX(_xlfn.ANCHORARRAY($P$6),ROW()-5,1),"")</f>
        <v>46115</v>
      </c>
      <c r="B8" s="317" t="str" cm="1">
        <f t="array" ref="B8">IFERROR(INDEX(_xlfn.ANCHORARRAY($P$6),ROW()-5,2),"")</f>
        <v>38</v>
      </c>
      <c r="C8" s="222">
        <f>IF($A8="","",IF($J8="DIESEL",SUMIFS(Table1[Quantity],Table1[Customer],$M$3,Table1[Date],$A8,Table1[Bill No.],$B8),IF($J8="PETROL",SUMIFS(Table14[Quantity],Table14[Customer],$M$3,Table14[Date],$A8,Table14[Bill No.],$B8),IF($J8="XtraGreen",SUMIFS(Table146[Quantity],Table146[Company],$M$3,Table146[Date],$A8,Table146[Bill No.],$B8),""))))</f>
        <v>18000</v>
      </c>
      <c r="D8" s="223">
        <f>IF($A8="","",IF($J8="DIESEL",AVERAGEIFS(Table1[RSP],Table1[Customer],$M$3,Table1[Date],$A8,Table1[Bill No.],$B8),IF($J8="PETROL",AVERAGEIFS(Table14[RSP],Table14[Customer],$M$3,Table14[Date],$A8,Table14[Bill No.],$B8),IF($J8="XtraGreen",AVERAGEIFS(Table146[RSP],Table146[Company],$M$3,Table146[Date],$A8,Table146[Bill No.],$B8),IFERROR($E8/$C8,"")))))</f>
        <v>91.36</v>
      </c>
      <c r="E8" s="330">
        <f>IF($A8="","",IF($J8="DIESEL",SUMIFS(Table1[Amount],Table1[Customer],$M$3,Table1[Date],$A8,Table1[Bill No.],$B8),IF($J8="PETROL",SUMIFS(Table14[Amount],Table14[Customer],$M$3,Table14[Date],$A8,Table14[Bill No.],$B8),IF($J8="XtraGreen",SUMIFS(Table146[Amount],Table146[Company],$M$3,Table146[Date],$A8,Table146[Bill No.],$B8),SUMIFS('Other Sale'!$D:$D,'Other Sale'!$E:$E,$M$3,'Other Sale'!$C:$C,$J8,'Other Sale'!$A:$A,$A8)))))</f>
        <v>1644480</v>
      </c>
      <c r="F8" s="330" cm="1">
        <f t="array" ref="F8">IF($A8="","",IF($J8="Payment",IFERROR(INDEX(_xlfn._xlws.FILTER(MasterPaid[Amount Paid],(MasterPaid[Customer]=$M$3)*(MasterPaid[Date]=$A8)),COUNTIFS($A$6:$A8,$A8,$J$6:$J8,"Payment")),0),0))</f>
        <v>0</v>
      </c>
      <c r="G8" s="331"/>
      <c r="H8" s="331"/>
      <c r="I8" s="330">
        <f t="shared" ref="I8:I71" si="9">IF($A8="","",I7+N(E8)-N(F8)-N(G8)-N(H8))</f>
        <v>-3827375</v>
      </c>
      <c r="J8" s="318" t="str" cm="1">
        <f t="array" ref="J8">IFERROR(INDEX(_xlfn.ANCHORARRAY($P$6),ROW()-5,3),"")</f>
        <v>DIESEL</v>
      </c>
      <c r="K8" s="349"/>
      <c r="L8" s="290"/>
      <c r="M8" s="277"/>
      <c r="N8" s="277"/>
      <c r="O8" s="277"/>
      <c r="P8">
        <v>46115</v>
      </c>
      <c r="Q8" t="str">
        <v>38</v>
      </c>
      <c r="R8" t="str">
        <v>DIESEL</v>
      </c>
      <c r="T8" s="439">
        <v>2110036026</v>
      </c>
      <c r="U8" s="350">
        <v>60000</v>
      </c>
      <c r="W8" s="316">
        <f t="shared" si="0"/>
        <v>2110035598</v>
      </c>
      <c r="X8" s="273">
        <f t="shared" si="1"/>
        <v>60000</v>
      </c>
      <c r="Y8" s="273">
        <f t="shared" si="2"/>
        <v>60000</v>
      </c>
      <c r="Z8" s="273">
        <f t="shared" si="3"/>
        <v>0</v>
      </c>
      <c r="AA8" s="316" t="str">
        <f t="shared" si="4"/>
        <v>Completed</v>
      </c>
      <c r="AC8" cm="1">
        <f t="array" ref="AC8">IF(INDEX($T$5:$T$54,ROW()-4)="","",INDEX($T$5:$T$54,ROW()-4))</f>
        <v>2110036026</v>
      </c>
      <c r="AD8">
        <f t="shared" si="5"/>
        <v>60000</v>
      </c>
      <c r="AE8">
        <f t="shared" si="6"/>
        <v>60000</v>
      </c>
      <c r="AF8">
        <f t="shared" si="7"/>
        <v>0</v>
      </c>
      <c r="AG8">
        <f t="shared" si="8"/>
        <v>0</v>
      </c>
      <c r="AH8" cm="1">
        <f t="array" ref="AH8">IF($AC8="","",IF($AG8=1,SUMPRODUCT(($AG$5:$AG$54=1)*($AC$5:$AC$54&gt;$AC8))+1,SUM($AG$5:$AG$54)+SUMPRODUCT(($AG$5:$AG$54=0)*($AC$5:$AC$54&lt;&gt;"")*($AC$5:$AC$54&gt;$AC8))+1))</f>
        <v>3</v>
      </c>
    </row>
    <row r="9" spans="1:36" ht="21.75" x14ac:dyDescent="0.25">
      <c r="A9" s="221" cm="1">
        <f t="array" ref="A9">IFERROR(INDEX(_xlfn.ANCHORARRAY($P$6),ROW()-5,1),"")</f>
        <v>46116</v>
      </c>
      <c r="B9" s="317" t="str" cm="1">
        <f t="array" ref="B9">IFERROR(INDEX(_xlfn.ANCHORARRAY($P$6),ROW()-5,2),"")</f>
        <v/>
      </c>
      <c r="C9" s="222" t="str">
        <f>IF($A9="","",IF($J9="DIESEL",SUMIFS(Table1[Quantity],Table1[Customer],$M$3,Table1[Date],$A9,Table1[Bill No.],$B9),IF($J9="PETROL",SUMIFS(Table14[Quantity],Table14[Customer],$M$3,Table14[Date],$A9,Table14[Bill No.],$B9),IF($J9="XtraGreen",SUMIFS(Table146[Quantity],Table146[Company],$M$3,Table146[Date],$A9,Table146[Bill No.],$B9),""))))</f>
        <v/>
      </c>
      <c r="D9" s="223" t="str">
        <f>IF($A9="","",IF($J9="DIESEL",AVERAGEIFS(Table1[RSP],Table1[Customer],$M$3,Table1[Date],$A9,Table1[Bill No.],$B9),IF($J9="PETROL",AVERAGEIFS(Table14[RSP],Table14[Customer],$M$3,Table14[Date],$A9,Table14[Bill No.],$B9),IF($J9="XtraGreen",AVERAGEIFS(Table146[RSP],Table146[Company],$M$3,Table146[Date],$A9,Table146[Bill No.],$B9),IFERROR($E9/$C9,"")))))</f>
        <v/>
      </c>
      <c r="E9" s="330">
        <f>IF($A9="","",IF($J9="DIESEL",SUMIFS(Table1[Amount],Table1[Customer],$M$3,Table1[Date],$A9,Table1[Bill No.],$B9),IF($J9="PETROL",SUMIFS(Table14[Amount],Table14[Customer],$M$3,Table14[Date],$A9,Table14[Bill No.],$B9),IF($J9="XtraGreen",SUMIFS(Table146[Amount],Table146[Company],$M$3,Table146[Date],$A9,Table146[Bill No.],$B9),SUMIFS('Other Sale'!$D:$D,'Other Sale'!$E:$E,$M$3,'Other Sale'!$C:$C,$J9,'Other Sale'!$A:$A,$A9)))))</f>
        <v>0</v>
      </c>
      <c r="F9" s="330" cm="1">
        <f t="array" ref="F9">IF($A9="","",IF($J9="Payment",IFERROR(INDEX(_xlfn._xlws.FILTER(MasterPaid[Amount Paid],(MasterPaid[Customer]=$M$3)*(MasterPaid[Date]=$A9)),COUNTIFS($A$6:$A9,$A9,$J$6:$J9,"Payment")),0),0))</f>
        <v>400000</v>
      </c>
      <c r="G9" s="331">
        <v>5482</v>
      </c>
      <c r="H9" s="331"/>
      <c r="I9" s="330">
        <f t="shared" si="9"/>
        <v>-4232857</v>
      </c>
      <c r="J9" s="318" t="str" cm="1">
        <f t="array" ref="J9">IFERROR(INDEX(_xlfn.ANCHORARRAY($P$6),ROW()-5,3),"")</f>
        <v>Payment</v>
      </c>
      <c r="K9" s="349"/>
      <c r="L9" s="290"/>
      <c r="M9" s="277"/>
      <c r="N9" s="277"/>
      <c r="O9" s="277"/>
      <c r="P9">
        <v>46116</v>
      </c>
      <c r="Q9" t="str">
        <v/>
      </c>
      <c r="R9" t="str">
        <v>Payment</v>
      </c>
      <c r="T9" s="439">
        <v>2110036253</v>
      </c>
      <c r="U9" s="350">
        <v>60000</v>
      </c>
      <c r="W9" s="316">
        <f t="shared" si="0"/>
        <v>2110035067</v>
      </c>
      <c r="X9" s="273">
        <f t="shared" si="1"/>
        <v>60000</v>
      </c>
      <c r="Y9" s="273">
        <f t="shared" si="2"/>
        <v>60000</v>
      </c>
      <c r="Z9" s="273">
        <f t="shared" si="3"/>
        <v>0</v>
      </c>
      <c r="AA9" s="316" t="str">
        <f t="shared" si="4"/>
        <v>Completed</v>
      </c>
      <c r="AC9" cm="1">
        <f t="array" ref="AC9">IF(INDEX($T$5:$T$54,ROW()-4)="","",INDEX($T$5:$T$54,ROW()-4))</f>
        <v>2110036253</v>
      </c>
      <c r="AD9">
        <f t="shared" si="5"/>
        <v>60000</v>
      </c>
      <c r="AE9">
        <f t="shared" si="6"/>
        <v>18000</v>
      </c>
      <c r="AF9">
        <f t="shared" si="7"/>
        <v>42000</v>
      </c>
      <c r="AG9">
        <f t="shared" si="8"/>
        <v>1</v>
      </c>
      <c r="AH9" cm="1">
        <f t="array" ref="AH9">IF($AC9="","",IF($AG9=1,SUMPRODUCT(($AG$5:$AG$54=1)*($AC$5:$AC$54&gt;$AC9))+1,SUM($AG$5:$AG$54)+SUMPRODUCT(($AG$5:$AG$54=0)*($AC$5:$AC$54&lt;&gt;"")*($AC$5:$AC$54&gt;$AC9))+1))</f>
        <v>1</v>
      </c>
    </row>
    <row r="10" spans="1:36" ht="21.75" x14ac:dyDescent="0.25">
      <c r="A10" s="221" cm="1">
        <f t="array" ref="A10">IFERROR(INDEX(_xlfn.ANCHORARRAY($P$6),ROW()-5,1),"")</f>
        <v>46118</v>
      </c>
      <c r="B10" s="317" t="str" cm="1">
        <f t="array" ref="B10">IFERROR(INDEX(_xlfn.ANCHORARRAY($P$6),ROW()-5,2),"")</f>
        <v>70</v>
      </c>
      <c r="C10" s="222">
        <f>IF($A10="","",IF($J10="DIESEL",SUMIFS(Table1[Quantity],Table1[Customer],$M$3,Table1[Date],$A10,Table1[Bill No.],$B10),IF($J10="PETROL",SUMIFS(Table14[Quantity],Table14[Customer],$M$3,Table14[Date],$A10,Table14[Bill No.],$B10),IF($J10="XtraGreen",SUMIFS(Table146[Quantity],Table146[Company],$M$3,Table146[Date],$A10,Table146[Bill No.],$B10),""))))</f>
        <v>8000</v>
      </c>
      <c r="D10" s="223">
        <f>IF($A10="","",IF($J10="DIESEL",AVERAGEIFS(Table1[RSP],Table1[Customer],$M$3,Table1[Date],$A10,Table1[Bill No.],$B10),IF($J10="PETROL",AVERAGEIFS(Table14[RSP],Table14[Customer],$M$3,Table14[Date],$A10,Table14[Bill No.],$B10),IF($J10="XtraGreen",AVERAGEIFS(Table146[RSP],Table146[Company],$M$3,Table146[Date],$A10,Table146[Bill No.],$B10),IFERROR($E10/$C10,"")))))</f>
        <v>91.36</v>
      </c>
      <c r="E10" s="330">
        <f>IF($A10="","",IF($J10="DIESEL",SUMIFS(Table1[Amount],Table1[Customer],$M$3,Table1[Date],$A10,Table1[Bill No.],$B10),IF($J10="PETROL",SUMIFS(Table14[Amount],Table14[Customer],$M$3,Table14[Date],$A10,Table14[Bill No.],$B10),IF($J10="XtraGreen",SUMIFS(Table146[Amount],Table146[Company],$M$3,Table146[Date],$A10,Table146[Bill No.],$B10),SUMIFS('Other Sale'!$D:$D,'Other Sale'!$E:$E,$M$3,'Other Sale'!$C:$C,$J10,'Other Sale'!$A:$A,$A10)))))</f>
        <v>730880</v>
      </c>
      <c r="F10" s="330" cm="1">
        <f t="array" ref="F10">IF($A10="","",IF($J10="Payment",IFERROR(INDEX(_xlfn._xlws.FILTER(MasterPaid[Amount Paid],(MasterPaid[Customer]=$M$3)*(MasterPaid[Date]=$A10)),COUNTIFS($A$6:$A10,$A10,$J$6:$J10,"Payment")),0),0))</f>
        <v>0</v>
      </c>
      <c r="G10" s="331"/>
      <c r="H10" s="331"/>
      <c r="I10" s="330">
        <f t="shared" si="9"/>
        <v>-3501977</v>
      </c>
      <c r="J10" s="318" t="str" cm="1">
        <f t="array" ref="J10">IFERROR(INDEX(_xlfn.ANCHORARRAY($P$6),ROW()-5,3),"")</f>
        <v>DIESEL</v>
      </c>
      <c r="K10" s="349"/>
      <c r="L10" s="290"/>
      <c r="M10" s="277"/>
      <c r="N10" s="277"/>
      <c r="O10" s="277"/>
      <c r="P10">
        <v>46118</v>
      </c>
      <c r="Q10" t="str">
        <v>70</v>
      </c>
      <c r="R10" t="str">
        <v>DIESEL</v>
      </c>
      <c r="T10" s="439"/>
      <c r="U10" s="350"/>
      <c r="W10" s="316" t="str">
        <f t="shared" si="0"/>
        <v/>
      </c>
      <c r="X10" s="273" t="str">
        <f t="shared" si="1"/>
        <v/>
      </c>
      <c r="Y10" s="273" t="str">
        <f t="shared" si="2"/>
        <v/>
      </c>
      <c r="Z10" s="273" t="str">
        <f t="shared" si="3"/>
        <v/>
      </c>
      <c r="AA10" s="316" t="str">
        <f t="shared" si="4"/>
        <v/>
      </c>
      <c r="AC10" t="str" cm="1">
        <f t="array" ref="AC10">IF(INDEX($T$5:$T$54,ROW()-4)="","",INDEX($T$5:$T$54,ROW()-4))</f>
        <v/>
      </c>
      <c r="AD10" t="str">
        <f t="shared" si="5"/>
        <v/>
      </c>
      <c r="AE10" t="str">
        <f t="shared" si="6"/>
        <v/>
      </c>
      <c r="AF10" t="str">
        <f t="shared" si="7"/>
        <v/>
      </c>
      <c r="AG10">
        <f t="shared" si="8"/>
        <v>0</v>
      </c>
      <c r="AH10" t="str" cm="1">
        <f t="array" ref="AH10">IF($AC10="","",IF($AG10=1,SUMPRODUCT(($AG$5:$AG$54=1)*($AC$5:$AC$54&gt;$AC10))+1,SUM($AG$5:$AG$54)+SUMPRODUCT(($AG$5:$AG$54=0)*($AC$5:$AC$54&lt;&gt;"")*($AC$5:$AC$54&gt;$AC10))+1))</f>
        <v/>
      </c>
    </row>
    <row r="11" spans="1:36" ht="21.75" x14ac:dyDescent="0.25">
      <c r="A11" s="221" cm="1">
        <f t="array" ref="A11">IFERROR(INDEX(_xlfn.ANCHORARRAY($P$6),ROW()-5,1),"")</f>
        <v>46118</v>
      </c>
      <c r="B11" s="317" t="str" cm="1">
        <f t="array" ref="B11">IFERROR(INDEX(_xlfn.ANCHORARRAY($P$6),ROW()-5,2),"")</f>
        <v/>
      </c>
      <c r="C11" s="222" t="str">
        <f>IF($A11="","",IF($J11="DIESEL",SUMIFS(Table1[Quantity],Table1[Customer],$M$3,Table1[Date],$A11,Table1[Bill No.],$B11),IF($J11="PETROL",SUMIFS(Table14[Quantity],Table14[Customer],$M$3,Table14[Date],$A11,Table14[Bill No.],$B11),IF($J11="XtraGreen",SUMIFS(Table146[Quantity],Table146[Company],$M$3,Table146[Date],$A11,Table146[Bill No.],$B11),""))))</f>
        <v/>
      </c>
      <c r="D11" s="223" t="str">
        <f>IF($A11="","",IF($J11="DIESEL",AVERAGEIFS(Table1[RSP],Table1[Customer],$M$3,Table1[Date],$A11,Table1[Bill No.],$B11),IF($J11="PETROL",AVERAGEIFS(Table14[RSP],Table14[Customer],$M$3,Table14[Date],$A11,Table14[Bill No.],$B11),IF($J11="XtraGreen",AVERAGEIFS(Table146[RSP],Table146[Company],$M$3,Table146[Date],$A11,Table146[Bill No.],$B11),IFERROR($E11/$C11,"")))))</f>
        <v/>
      </c>
      <c r="E11" s="330">
        <f>IF($A11="","",IF($J11="DIESEL",SUMIFS(Table1[Amount],Table1[Customer],$M$3,Table1[Date],$A11,Table1[Bill No.],$B11),IF($J11="PETROL",SUMIFS(Table14[Amount],Table14[Customer],$M$3,Table14[Date],$A11,Table14[Bill No.],$B11),IF($J11="XtraGreen",SUMIFS(Table146[Amount],Table146[Company],$M$3,Table146[Date],$A11,Table146[Bill No.],$B11),SUMIFS('Other Sale'!$D:$D,'Other Sale'!$E:$E,$M$3,'Other Sale'!$C:$C,$J11,'Other Sale'!$A:$A,$A11)))))</f>
        <v>0</v>
      </c>
      <c r="F11" s="330" cm="1">
        <f t="array" ref="F11">IF($A11="","",IF($J11="Payment",IFERROR(INDEX(_xlfn._xlws.FILTER(MasterPaid[Amount Paid],(MasterPaid[Customer]=$M$3)*(MasterPaid[Date]=$A11)),COUNTIFS($A$6:$A11,$A11,$J$6:$J11,"Payment")),0),0))</f>
        <v>576118</v>
      </c>
      <c r="G11" s="331"/>
      <c r="H11" s="331"/>
      <c r="I11" s="330">
        <f t="shared" si="9"/>
        <v>-4078095</v>
      </c>
      <c r="J11" s="318" t="str" cm="1">
        <f t="array" ref="J11">IFERROR(INDEX(_xlfn.ANCHORARRAY($P$6),ROW()-5,3),"")</f>
        <v>Payment</v>
      </c>
      <c r="K11" s="349"/>
      <c r="L11" s="290"/>
      <c r="M11" s="277"/>
      <c r="N11" s="277"/>
      <c r="O11" s="277"/>
      <c r="P11">
        <v>46118</v>
      </c>
      <c r="Q11" t="str">
        <v/>
      </c>
      <c r="R11" t="str">
        <v>Payment</v>
      </c>
      <c r="T11" s="439"/>
      <c r="U11" s="350"/>
      <c r="W11" s="316" t="str">
        <f t="shared" si="0"/>
        <v/>
      </c>
      <c r="X11" s="273" t="str">
        <f t="shared" si="1"/>
        <v/>
      </c>
      <c r="Y11" s="273" t="str">
        <f t="shared" si="2"/>
        <v/>
      </c>
      <c r="Z11" s="273" t="str">
        <f t="shared" si="3"/>
        <v/>
      </c>
      <c r="AA11" s="316" t="str">
        <f t="shared" si="4"/>
        <v/>
      </c>
      <c r="AC11" t="str" cm="1">
        <f t="array" ref="AC11">IF(INDEX($T$5:$T$54,ROW()-4)="","",INDEX($T$5:$T$54,ROW()-4))</f>
        <v/>
      </c>
      <c r="AD11" t="str">
        <f t="shared" si="5"/>
        <v/>
      </c>
      <c r="AE11" t="str">
        <f t="shared" si="6"/>
        <v/>
      </c>
      <c r="AF11" t="str">
        <f t="shared" si="7"/>
        <v/>
      </c>
      <c r="AG11">
        <f t="shared" si="8"/>
        <v>0</v>
      </c>
      <c r="AH11" t="str" cm="1">
        <f t="array" ref="AH11">IF($AC11="","",IF($AG11=1,SUMPRODUCT(($AG$5:$AG$54=1)*($AC$5:$AC$54&gt;$AC11))+1,SUM($AG$5:$AG$54)+SUMPRODUCT(($AG$5:$AG$54=0)*($AC$5:$AC$54&lt;&gt;"")*($AC$5:$AC$54&gt;$AC11))+1))</f>
        <v/>
      </c>
    </row>
    <row r="12" spans="1:36" ht="21.75" x14ac:dyDescent="0.25">
      <c r="A12" s="221" cm="1">
        <f t="array" ref="A12">IFERROR(INDEX(_xlfn.ANCHORARRAY($P$6),ROW()-5,1),"")</f>
        <v>46119</v>
      </c>
      <c r="B12" s="317" t="str" cm="1">
        <f t="array" ref="B12">IFERROR(INDEX(_xlfn.ANCHORARRAY($P$6),ROW()-5,2),"")</f>
        <v/>
      </c>
      <c r="C12" s="222" t="str">
        <f>IF($A12="","",IF($J12="DIESEL",SUMIFS(Table1[Quantity],Table1[Customer],$M$3,Table1[Date],$A12,Table1[Bill No.],$B12),IF($J12="PETROL",SUMIFS(Table14[Quantity],Table14[Customer],$M$3,Table14[Date],$A12,Table14[Bill No.],$B12),IF($J12="XtraGreen",SUMIFS(Table146[Quantity],Table146[Company],$M$3,Table146[Date],$A12,Table146[Bill No.],$B12),""))))</f>
        <v/>
      </c>
      <c r="D12" s="223" t="str">
        <f>IF($A12="","",IF($J12="DIESEL",AVERAGEIFS(Table1[RSP],Table1[Customer],$M$3,Table1[Date],$A12,Table1[Bill No.],$B12),IF($J12="PETROL",AVERAGEIFS(Table14[RSP],Table14[Customer],$M$3,Table14[Date],$A12,Table14[Bill No.],$B12),IF($J12="XtraGreen",AVERAGEIFS(Table146[RSP],Table146[Company],$M$3,Table146[Date],$A12,Table146[Bill No.],$B12),IFERROR($E12/$C12,"")))))</f>
        <v/>
      </c>
      <c r="E12" s="330">
        <f>IF($A12="","",IF($J12="DIESEL",SUMIFS(Table1[Amount],Table1[Customer],$M$3,Table1[Date],$A12,Table1[Bill No.],$B12),IF($J12="PETROL",SUMIFS(Table14[Amount],Table14[Customer],$M$3,Table14[Date],$A12,Table14[Bill No.],$B12),IF($J12="XtraGreen",SUMIFS(Table146[Amount],Table146[Company],$M$3,Table146[Date],$A12,Table146[Bill No.],$B12),SUMIFS('Other Sale'!$D:$D,'Other Sale'!$E:$E,$M$3,'Other Sale'!$C:$C,$J12,'Other Sale'!$A:$A,$A12)))))</f>
        <v>0</v>
      </c>
      <c r="F12" s="330" cm="1">
        <f t="array" ref="F12">IF($A12="","",IF($J12="Payment",IFERROR(INDEX(_xlfn._xlws.FILTER(MasterPaid[Amount Paid],(MasterPaid[Customer]=$M$3)*(MasterPaid[Date]=$A12)),COUNTIFS($A$6:$A12,$A12,$J$6:$J12,"Payment")),0),0))</f>
        <v>500000</v>
      </c>
      <c r="G12" s="331"/>
      <c r="H12" s="331"/>
      <c r="I12" s="330">
        <f t="shared" si="9"/>
        <v>-4578095</v>
      </c>
      <c r="J12" s="318" t="str" cm="1">
        <f t="array" ref="J12">IFERROR(INDEX(_xlfn.ANCHORARRAY($P$6),ROW()-5,3),"")</f>
        <v>Payment</v>
      </c>
      <c r="K12" s="349"/>
      <c r="L12" s="290"/>
      <c r="M12" s="277"/>
      <c r="N12" s="277"/>
      <c r="O12" s="277"/>
      <c r="P12">
        <v>46119</v>
      </c>
      <c r="Q12" t="str">
        <v/>
      </c>
      <c r="R12" t="str">
        <v>Payment</v>
      </c>
      <c r="T12" s="439"/>
      <c r="U12" s="350"/>
      <c r="W12" s="316" t="str">
        <f t="shared" si="0"/>
        <v/>
      </c>
      <c r="X12" s="273" t="str">
        <f t="shared" si="1"/>
        <v/>
      </c>
      <c r="Y12" s="273" t="str">
        <f t="shared" si="2"/>
        <v/>
      </c>
      <c r="Z12" s="273" t="str">
        <f t="shared" si="3"/>
        <v/>
      </c>
      <c r="AA12" s="316" t="str">
        <f t="shared" si="4"/>
        <v/>
      </c>
      <c r="AC12" t="str" cm="1">
        <f t="array" ref="AC12">IF(INDEX($T$5:$T$54,ROW()-4)="","",INDEX($T$5:$T$54,ROW()-4))</f>
        <v/>
      </c>
      <c r="AD12" t="str">
        <f t="shared" si="5"/>
        <v/>
      </c>
      <c r="AE12" t="str">
        <f t="shared" si="6"/>
        <v/>
      </c>
      <c r="AF12" t="str">
        <f t="shared" si="7"/>
        <v/>
      </c>
      <c r="AG12">
        <f t="shared" si="8"/>
        <v>0</v>
      </c>
      <c r="AH12" t="str" cm="1">
        <f t="array" ref="AH12">IF($AC12="","",IF($AG12=1,SUMPRODUCT(($AG$5:$AG$54=1)*($AC$5:$AC$54&gt;$AC12))+1,SUM($AG$5:$AG$54)+SUMPRODUCT(($AG$5:$AG$54=0)*($AC$5:$AC$54&lt;&gt;"")*($AC$5:$AC$54&gt;$AC12))+1))</f>
        <v/>
      </c>
    </row>
    <row r="13" spans="1:36" ht="21.75" x14ac:dyDescent="0.25">
      <c r="A13" s="221" cm="1">
        <f t="array" ref="A13">IFERROR(INDEX(_xlfn.ANCHORARRAY($P$6),ROW()-5,1),"")</f>
        <v>46120</v>
      </c>
      <c r="B13" s="317" t="str" cm="1">
        <f t="array" ref="B13">IFERROR(INDEX(_xlfn.ANCHORARRAY($P$6),ROW()-5,2),"")</f>
        <v/>
      </c>
      <c r="C13" s="222" t="str">
        <f>IF($A13="","",IF($J13="DIESEL",SUMIFS(Table1[Quantity],Table1[Customer],$M$3,Table1[Date],$A13,Table1[Bill No.],$B13),IF($J13="PETROL",SUMIFS(Table14[Quantity],Table14[Customer],$M$3,Table14[Date],$A13,Table14[Bill No.],$B13),IF($J13="XtraGreen",SUMIFS(Table146[Quantity],Table146[Company],$M$3,Table146[Date],$A13,Table146[Bill No.],$B13),""))))</f>
        <v/>
      </c>
      <c r="D13" s="223" t="str">
        <f>IF($A13="","",IF($J13="DIESEL",AVERAGEIFS(Table1[RSP],Table1[Customer],$M$3,Table1[Date],$A13,Table1[Bill No.],$B13),IF($J13="PETROL",AVERAGEIFS(Table14[RSP],Table14[Customer],$M$3,Table14[Date],$A13,Table14[Bill No.],$B13),IF($J13="XtraGreen",AVERAGEIFS(Table146[RSP],Table146[Company],$M$3,Table146[Date],$A13,Table146[Bill No.],$B13),IFERROR($E13/$C13,"")))))</f>
        <v/>
      </c>
      <c r="E13" s="330">
        <f>IF($A13="","",IF($J13="DIESEL",SUMIFS(Table1[Amount],Table1[Customer],$M$3,Table1[Date],$A13,Table1[Bill No.],$B13),IF($J13="PETROL",SUMIFS(Table14[Amount],Table14[Customer],$M$3,Table14[Date],$A13,Table14[Bill No.],$B13),IF($J13="XtraGreen",SUMIFS(Table146[Amount],Table146[Company],$M$3,Table146[Date],$A13,Table146[Bill No.],$B13),SUMIFS('Other Sale'!$D:$D,'Other Sale'!$E:$E,$M$3,'Other Sale'!$C:$C,$J13,'Other Sale'!$A:$A,$A13)))))</f>
        <v>0</v>
      </c>
      <c r="F13" s="330" cm="1">
        <f t="array" ref="F13">IF($A13="","",IF($J13="Payment",IFERROR(INDEX(_xlfn._xlws.FILTER(MasterPaid[Amount Paid],(MasterPaid[Customer]=$M$3)*(MasterPaid[Date]=$A13)),COUNTIFS($A$6:$A13,$A13,$J$6:$J13,"Payment")),0),0))</f>
        <v>500000</v>
      </c>
      <c r="G13" s="331"/>
      <c r="H13" s="331"/>
      <c r="I13" s="330">
        <f t="shared" si="9"/>
        <v>-5078095</v>
      </c>
      <c r="J13" s="318" t="str" cm="1">
        <f t="array" ref="J13">IFERROR(INDEX(_xlfn.ANCHORARRAY($P$6),ROW()-5,3),"")</f>
        <v>Payment</v>
      </c>
      <c r="K13" s="349"/>
      <c r="L13" s="290"/>
      <c r="M13" s="277"/>
      <c r="N13" s="277"/>
      <c r="O13" s="277"/>
      <c r="P13">
        <v>46120</v>
      </c>
      <c r="Q13" t="str">
        <v/>
      </c>
      <c r="R13" t="str">
        <v>Payment</v>
      </c>
      <c r="T13" s="439"/>
      <c r="U13" s="350"/>
      <c r="W13" s="316" t="str">
        <f t="shared" si="0"/>
        <v/>
      </c>
      <c r="X13" s="273" t="str">
        <f t="shared" si="1"/>
        <v/>
      </c>
      <c r="Y13" s="273" t="str">
        <f t="shared" si="2"/>
        <v/>
      </c>
      <c r="Z13" s="273" t="str">
        <f t="shared" si="3"/>
        <v/>
      </c>
      <c r="AA13" s="316" t="str">
        <f t="shared" si="4"/>
        <v/>
      </c>
      <c r="AC13" t="str" cm="1">
        <f t="array" ref="AC13">IF(INDEX($T$5:$T$54,ROW()-4)="","",INDEX($T$5:$T$54,ROW()-4))</f>
        <v/>
      </c>
      <c r="AD13" t="str">
        <f t="shared" si="5"/>
        <v/>
      </c>
      <c r="AE13" t="str">
        <f t="shared" si="6"/>
        <v/>
      </c>
      <c r="AF13" t="str">
        <f t="shared" si="7"/>
        <v/>
      </c>
      <c r="AG13">
        <f t="shared" si="8"/>
        <v>0</v>
      </c>
      <c r="AH13" t="str" cm="1">
        <f t="array" ref="AH13">IF($AC13="","",IF($AG13=1,SUMPRODUCT(($AG$5:$AG$54=1)*($AC$5:$AC$54&gt;$AC13))+1,SUM($AG$5:$AG$54)+SUMPRODUCT(($AG$5:$AG$54=0)*($AC$5:$AC$54&lt;&gt;"")*($AC$5:$AC$54&gt;$AC13))+1))</f>
        <v/>
      </c>
    </row>
    <row r="14" spans="1:36" ht="21.75" x14ac:dyDescent="0.25">
      <c r="A14" s="221" cm="1">
        <f t="array" ref="A14">IFERROR(INDEX(_xlfn.ANCHORARRAY($P$6),ROW()-5,1),"")</f>
        <v>46122</v>
      </c>
      <c r="B14" s="317" t="str" cm="1">
        <f t="array" ref="B14">IFERROR(INDEX(_xlfn.ANCHORARRAY($P$6),ROW()-5,2),"")</f>
        <v/>
      </c>
      <c r="C14" s="222" t="str">
        <f>IF($A14="","",IF($J14="DIESEL",SUMIFS(Table1[Quantity],Table1[Customer],$M$3,Table1[Date],$A14,Table1[Bill No.],$B14),IF($J14="PETROL",SUMIFS(Table14[Quantity],Table14[Customer],$M$3,Table14[Date],$A14,Table14[Bill No.],$B14),IF($J14="XtraGreen",SUMIFS(Table146[Quantity],Table146[Company],$M$3,Table146[Date],$A14,Table146[Bill No.],$B14),""))))</f>
        <v/>
      </c>
      <c r="D14" s="223" t="str">
        <f>IF($A14="","",IF($J14="DIESEL",AVERAGEIFS(Table1[RSP],Table1[Customer],$M$3,Table1[Date],$A14,Table1[Bill No.],$B14),IF($J14="PETROL",AVERAGEIFS(Table14[RSP],Table14[Customer],$M$3,Table14[Date],$A14,Table14[Bill No.],$B14),IF($J14="XtraGreen",AVERAGEIFS(Table146[RSP],Table146[Company],$M$3,Table146[Date],$A14,Table146[Bill No.],$B14),IFERROR($E14/$C14,"")))))</f>
        <v/>
      </c>
      <c r="E14" s="330">
        <f>IF($A14="","",IF($J14="DIESEL",SUMIFS(Table1[Amount],Table1[Customer],$M$3,Table1[Date],$A14,Table1[Bill No.],$B14),IF($J14="PETROL",SUMIFS(Table14[Amount],Table14[Customer],$M$3,Table14[Date],$A14,Table14[Bill No.],$B14),IF($J14="XtraGreen",SUMIFS(Table146[Amount],Table146[Company],$M$3,Table146[Date],$A14,Table146[Bill No.],$B14),SUMIFS('Other Sale'!$D:$D,'Other Sale'!$E:$E,$M$3,'Other Sale'!$C:$C,$J14,'Other Sale'!$A:$A,$A14)))))</f>
        <v>0</v>
      </c>
      <c r="F14" s="330" cm="1">
        <f t="array" ref="F14">IF($A14="","",IF($J14="Payment",IFERROR(INDEX(_xlfn._xlws.FILTER(MasterPaid[Amount Paid],(MasterPaid[Customer]=$M$3)*(MasterPaid[Date]=$A14)),COUNTIFS($A$6:$A14,$A14,$J$6:$J14,"Payment")),0),0))</f>
        <v>6000</v>
      </c>
      <c r="G14" s="331"/>
      <c r="H14" s="331"/>
      <c r="I14" s="330">
        <f t="shared" si="9"/>
        <v>-5084095</v>
      </c>
      <c r="J14" s="318" t="str" cm="1">
        <f t="array" ref="J14">IFERROR(INDEX(_xlfn.ANCHORARRAY($P$6),ROW()-5,3),"")</f>
        <v>Payment</v>
      </c>
      <c r="K14" s="349"/>
      <c r="L14" s="290"/>
      <c r="M14" s="277"/>
      <c r="N14" s="277"/>
      <c r="O14" s="277"/>
      <c r="P14">
        <v>46122</v>
      </c>
      <c r="Q14" t="str">
        <v/>
      </c>
      <c r="R14" t="str">
        <v>Payment</v>
      </c>
      <c r="T14" s="439"/>
      <c r="U14" s="350"/>
      <c r="W14" s="316" t="str">
        <f t="shared" si="0"/>
        <v/>
      </c>
      <c r="X14" s="273" t="str">
        <f t="shared" si="1"/>
        <v/>
      </c>
      <c r="Y14" s="273" t="str">
        <f t="shared" si="2"/>
        <v/>
      </c>
      <c r="Z14" s="273" t="str">
        <f t="shared" si="3"/>
        <v/>
      </c>
      <c r="AA14" s="316" t="str">
        <f t="shared" si="4"/>
        <v/>
      </c>
      <c r="AC14" t="str" cm="1">
        <f t="array" ref="AC14">IF(INDEX($T$5:$T$54,ROW()-4)="","",INDEX($T$5:$T$54,ROW()-4))</f>
        <v/>
      </c>
      <c r="AD14" t="str">
        <f t="shared" si="5"/>
        <v/>
      </c>
      <c r="AE14" t="str">
        <f t="shared" si="6"/>
        <v/>
      </c>
      <c r="AF14" t="str">
        <f t="shared" si="7"/>
        <v/>
      </c>
      <c r="AG14">
        <f t="shared" si="8"/>
        <v>0</v>
      </c>
      <c r="AH14" t="str" cm="1">
        <f t="array" ref="AH14">IF($AC14="","",IF($AG14=1,SUMPRODUCT(($AG$5:$AG$54=1)*($AC$5:$AC$54&gt;$AC14))+1,SUM($AG$5:$AG$54)+SUMPRODUCT(($AG$5:$AG$54=0)*($AC$5:$AC$54&lt;&gt;"")*($AC$5:$AC$54&gt;$AC14))+1))</f>
        <v/>
      </c>
    </row>
    <row r="15" spans="1:36" ht="21.75" x14ac:dyDescent="0.25">
      <c r="A15" s="221" cm="1">
        <f t="array" ref="A15">IFERROR(INDEX(_xlfn.ANCHORARRAY($P$6),ROW()-5,1),"")</f>
        <v>46123</v>
      </c>
      <c r="B15" s="317" t="str" cm="1">
        <f t="array" ref="B15">IFERROR(INDEX(_xlfn.ANCHORARRAY($P$6),ROW()-5,2),"")</f>
        <v>132</v>
      </c>
      <c r="C15" s="222">
        <f>IF($A15="","",IF($J15="DIESEL",SUMIFS(Table1[Quantity],Table1[Customer],$M$3,Table1[Date],$A15,Table1[Bill No.],$B15),IF($J15="PETROL",SUMIFS(Table14[Quantity],Table14[Customer],$M$3,Table14[Date],$A15,Table14[Bill No.],$B15),IF($J15="XtraGreen",SUMIFS(Table146[Quantity],Table146[Company],$M$3,Table146[Date],$A15,Table146[Bill No.],$B15),""))))</f>
        <v>18000</v>
      </c>
      <c r="D15" s="223">
        <f>IF($A15="","",IF($J15="DIESEL",AVERAGEIFS(Table1[RSP],Table1[Customer],$M$3,Table1[Date],$A15,Table1[Bill No.],$B15),IF($J15="PETROL",AVERAGEIFS(Table14[RSP],Table14[Customer],$M$3,Table14[Date],$A15,Table14[Bill No.],$B15),IF($J15="XtraGreen",AVERAGEIFS(Table146[RSP],Table146[Company],$M$3,Table146[Date],$A15,Table146[Bill No.],$B15),IFERROR($E15/$C15,"")))))</f>
        <v>91.36</v>
      </c>
      <c r="E15" s="330">
        <f>IF($A15="","",IF($J15="DIESEL",SUMIFS(Table1[Amount],Table1[Customer],$M$3,Table1[Date],$A15,Table1[Bill No.],$B15),IF($J15="PETROL",SUMIFS(Table14[Amount],Table14[Customer],$M$3,Table14[Date],$A15,Table14[Bill No.],$B15),IF($J15="XtraGreen",SUMIFS(Table146[Amount],Table146[Company],$M$3,Table146[Date],$A15,Table146[Bill No.],$B15),SUMIFS('Other Sale'!$D:$D,'Other Sale'!$E:$E,$M$3,'Other Sale'!$C:$C,$J15,'Other Sale'!$A:$A,$A15)))))</f>
        <v>1644480</v>
      </c>
      <c r="F15" s="330" cm="1">
        <f t="array" ref="F15">IF($A15="","",IF($J15="Payment",IFERROR(INDEX(_xlfn._xlws.FILTER(MasterPaid[Amount Paid],(MasterPaid[Customer]=$M$3)*(MasterPaid[Date]=$A15)),COUNTIFS($A$6:$A15,$A15,$J$6:$J15,"Payment")),0),0))</f>
        <v>0</v>
      </c>
      <c r="G15" s="331"/>
      <c r="H15" s="331"/>
      <c r="I15" s="330">
        <f t="shared" si="9"/>
        <v>-3439615</v>
      </c>
      <c r="J15" s="318" t="str" cm="1">
        <f t="array" ref="J15">IFERROR(INDEX(_xlfn.ANCHORARRAY($P$6),ROW()-5,3),"")</f>
        <v>DIESEL</v>
      </c>
      <c r="K15" s="349"/>
      <c r="L15" s="290"/>
      <c r="M15" s="277"/>
      <c r="N15" s="277"/>
      <c r="O15" s="277"/>
      <c r="P15">
        <v>46123</v>
      </c>
      <c r="Q15" t="str">
        <v>132</v>
      </c>
      <c r="R15" t="str">
        <v>DIESEL</v>
      </c>
      <c r="T15" s="439"/>
      <c r="U15" s="350"/>
      <c r="W15" s="316" t="str">
        <f t="shared" si="0"/>
        <v/>
      </c>
      <c r="X15" s="273" t="str">
        <f t="shared" si="1"/>
        <v/>
      </c>
      <c r="Y15" s="273" t="str">
        <f t="shared" si="2"/>
        <v/>
      </c>
      <c r="Z15" s="273" t="str">
        <f t="shared" si="3"/>
        <v/>
      </c>
      <c r="AA15" s="316" t="str">
        <f t="shared" si="4"/>
        <v/>
      </c>
      <c r="AC15" t="str" cm="1">
        <f t="array" ref="AC15">IF(INDEX($T$5:$T$54,ROW()-4)="","",INDEX($T$5:$T$54,ROW()-4))</f>
        <v/>
      </c>
      <c r="AD15" t="str">
        <f t="shared" si="5"/>
        <v/>
      </c>
      <c r="AE15" t="str">
        <f t="shared" si="6"/>
        <v/>
      </c>
      <c r="AF15" t="str">
        <f t="shared" si="7"/>
        <v/>
      </c>
      <c r="AG15">
        <f t="shared" si="8"/>
        <v>0</v>
      </c>
      <c r="AH15" t="str" cm="1">
        <f t="array" ref="AH15">IF($AC15="","",IF($AG15=1,SUMPRODUCT(($AG$5:$AG$54=1)*($AC$5:$AC$54&gt;$AC15))+1,SUM($AG$5:$AG$54)+SUMPRODUCT(($AG$5:$AG$54=0)*($AC$5:$AC$54&lt;&gt;"")*($AC$5:$AC$54&gt;$AC15))+1))</f>
        <v/>
      </c>
    </row>
    <row r="16" spans="1:36" ht="21.75" x14ac:dyDescent="0.25">
      <c r="A16" s="221" cm="1">
        <f t="array" ref="A16">IFERROR(INDEX(_xlfn.ANCHORARRAY($P$6),ROW()-5,1),"")</f>
        <v>46123</v>
      </c>
      <c r="B16" s="317" t="str" cm="1">
        <f t="array" ref="B16">IFERROR(INDEX(_xlfn.ANCHORARRAY($P$6),ROW()-5,2),"")</f>
        <v/>
      </c>
      <c r="C16" s="222" t="str">
        <f>IF($A16="","",IF($J16="DIESEL",SUMIFS(Table1[Quantity],Table1[Customer],$M$3,Table1[Date],$A16,Table1[Bill No.],$B16),IF($J16="PETROL",SUMIFS(Table14[Quantity],Table14[Customer],$M$3,Table14[Date],$A16,Table14[Bill No.],$B16),IF($J16="XtraGreen",SUMIFS(Table146[Quantity],Table146[Company],$M$3,Table146[Date],$A16,Table146[Bill No.],$B16),""))))</f>
        <v/>
      </c>
      <c r="D16" s="223" t="str">
        <f>IF($A16="","",IF($J16="DIESEL",AVERAGEIFS(Table1[RSP],Table1[Customer],$M$3,Table1[Date],$A16,Table1[Bill No.],$B16),IF($J16="PETROL",AVERAGEIFS(Table14[RSP],Table14[Customer],$M$3,Table14[Date],$A16,Table14[Bill No.],$B16),IF($J16="XtraGreen",AVERAGEIFS(Table146[RSP],Table146[Company],$M$3,Table146[Date],$A16,Table146[Bill No.],$B16),IFERROR($E16/$C16,"")))))</f>
        <v/>
      </c>
      <c r="E16" s="330">
        <f>IF($A16="","",IF($J16="DIESEL",SUMIFS(Table1[Amount],Table1[Customer],$M$3,Table1[Date],$A16,Table1[Bill No.],$B16),IF($J16="PETROL",SUMIFS(Table14[Amount],Table14[Customer],$M$3,Table14[Date],$A16,Table14[Bill No.],$B16),IF($J16="XtraGreen",SUMIFS(Table146[Amount],Table146[Company],$M$3,Table146[Date],$A16,Table146[Bill No.],$B16),SUMIFS('Other Sale'!$D:$D,'Other Sale'!$E:$E,$M$3,'Other Sale'!$C:$C,$J16,'Other Sale'!$A:$A,$A16)))))</f>
        <v>0</v>
      </c>
      <c r="F16" s="330" cm="1">
        <f t="array" ref="F16">IF($A16="","",IF($J16="Payment",IFERROR(INDEX(_xlfn._xlws.FILTER(MasterPaid[Amount Paid],(MasterPaid[Customer]=$M$3)*(MasterPaid[Date]=$A16)),COUNTIFS($A$6:$A16,$A16,$J$6:$J16,"Payment")),0),0))</f>
        <v>500000</v>
      </c>
      <c r="G16" s="331"/>
      <c r="H16" s="331"/>
      <c r="I16" s="330">
        <f t="shared" si="9"/>
        <v>-3939615</v>
      </c>
      <c r="J16" s="318" t="str" cm="1">
        <f t="array" ref="J16">IFERROR(INDEX(_xlfn.ANCHORARRAY($P$6),ROW()-5,3),"")</f>
        <v>Payment</v>
      </c>
      <c r="K16" s="349"/>
      <c r="L16" s="290"/>
      <c r="M16" s="277"/>
      <c r="N16" s="277"/>
      <c r="O16" s="277"/>
      <c r="P16">
        <v>46123</v>
      </c>
      <c r="Q16" t="str">
        <v/>
      </c>
      <c r="R16" t="str">
        <v>Payment</v>
      </c>
      <c r="T16" s="439"/>
      <c r="U16" s="350"/>
      <c r="W16" s="316" t="str">
        <f t="shared" si="0"/>
        <v/>
      </c>
      <c r="X16" s="273" t="str">
        <f t="shared" si="1"/>
        <v/>
      </c>
      <c r="Y16" s="273" t="str">
        <f t="shared" si="2"/>
        <v/>
      </c>
      <c r="Z16" s="273" t="str">
        <f t="shared" si="3"/>
        <v/>
      </c>
      <c r="AA16" s="316" t="str">
        <f t="shared" si="4"/>
        <v/>
      </c>
      <c r="AC16" t="str" cm="1">
        <f t="array" ref="AC16">IF(INDEX($T$5:$T$54,ROW()-4)="","",INDEX($T$5:$T$54,ROW()-4))</f>
        <v/>
      </c>
      <c r="AD16" t="str">
        <f t="shared" si="5"/>
        <v/>
      </c>
      <c r="AE16" t="str">
        <f t="shared" si="6"/>
        <v/>
      </c>
      <c r="AF16" t="str">
        <f t="shared" si="7"/>
        <v/>
      </c>
      <c r="AG16">
        <f t="shared" si="8"/>
        <v>0</v>
      </c>
      <c r="AH16" t="str" cm="1">
        <f t="array" ref="AH16">IF($AC16="","",IF($AG16=1,SUMPRODUCT(($AG$5:$AG$54=1)*($AC$5:$AC$54&gt;$AC16))+1,SUM($AG$5:$AG$54)+SUMPRODUCT(($AG$5:$AG$54=0)*($AC$5:$AC$54&lt;&gt;"")*($AC$5:$AC$54&gt;$AC16))+1))</f>
        <v/>
      </c>
    </row>
    <row r="17" spans="1:34" ht="21.75" x14ac:dyDescent="0.25">
      <c r="A17" s="221" cm="1">
        <f t="array" ref="A17">IFERROR(INDEX(_xlfn.ANCHORARRAY($P$6),ROW()-5,1),"")</f>
        <v>46125</v>
      </c>
      <c r="B17" s="317" t="str" cm="1">
        <f t="array" ref="B17">IFERROR(INDEX(_xlfn.ANCHORARRAY($P$6),ROW()-5,2),"")</f>
        <v/>
      </c>
      <c r="C17" s="222" t="str">
        <f>IF($A17="","",IF($J17="DIESEL",SUMIFS(Table1[Quantity],Table1[Customer],$M$3,Table1[Date],$A17,Table1[Bill No.],$B17),IF($J17="PETROL",SUMIFS(Table14[Quantity],Table14[Customer],$M$3,Table14[Date],$A17,Table14[Bill No.],$B17),IF($J17="XtraGreen",SUMIFS(Table146[Quantity],Table146[Company],$M$3,Table146[Date],$A17,Table146[Bill No.],$B17),""))))</f>
        <v/>
      </c>
      <c r="D17" s="223" t="str">
        <f>IF($A17="","",IF($J17="DIESEL",AVERAGEIFS(Table1[RSP],Table1[Customer],$M$3,Table1[Date],$A17,Table1[Bill No.],$B17),IF($J17="PETROL",AVERAGEIFS(Table14[RSP],Table14[Customer],$M$3,Table14[Date],$A17,Table14[Bill No.],$B17),IF($J17="XtraGreen",AVERAGEIFS(Table146[RSP],Table146[Company],$M$3,Table146[Date],$A17,Table146[Bill No.],$B17),IFERROR($E17/$C17,"")))))</f>
        <v/>
      </c>
      <c r="E17" s="330">
        <f>IF($A17="","",IF($J17="DIESEL",SUMIFS(Table1[Amount],Table1[Customer],$M$3,Table1[Date],$A17,Table1[Bill No.],$B17),IF($J17="PETROL",SUMIFS(Table14[Amount],Table14[Customer],$M$3,Table14[Date],$A17,Table14[Bill No.],$B17),IF($J17="XtraGreen",SUMIFS(Table146[Amount],Table146[Company],$M$3,Table146[Date],$A17,Table146[Bill No.],$B17),SUMIFS('Other Sale'!$D:$D,'Other Sale'!$E:$E,$M$3,'Other Sale'!$C:$C,$J17,'Other Sale'!$A:$A,$A17)))))</f>
        <v>0</v>
      </c>
      <c r="F17" s="330" cm="1">
        <f t="array" ref="F17">IF($A17="","",IF($J17="Payment",IFERROR(INDEX(_xlfn._xlws.FILTER(MasterPaid[Amount Paid],(MasterPaid[Customer]=$M$3)*(MasterPaid[Date]=$A17)),COUNTIFS($A$6:$A17,$A17,$J$6:$J17,"Payment")),0),0))</f>
        <v>750000</v>
      </c>
      <c r="G17" s="331"/>
      <c r="H17" s="331"/>
      <c r="I17" s="330">
        <f t="shared" si="9"/>
        <v>-4689615</v>
      </c>
      <c r="J17" s="318" t="str" cm="1">
        <f t="array" ref="J17">IFERROR(INDEX(_xlfn.ANCHORARRAY($P$6),ROW()-5,3),"")</f>
        <v>Payment</v>
      </c>
      <c r="K17" s="349"/>
      <c r="L17" s="290"/>
      <c r="M17" s="277"/>
      <c r="N17" s="277"/>
      <c r="O17" s="277"/>
      <c r="P17">
        <v>46125</v>
      </c>
      <c r="Q17" t="str">
        <v/>
      </c>
      <c r="R17" t="str">
        <v>Payment</v>
      </c>
      <c r="T17" s="439"/>
      <c r="U17" s="350"/>
      <c r="W17" s="316" t="str">
        <f t="shared" si="0"/>
        <v/>
      </c>
      <c r="X17" s="273" t="str">
        <f t="shared" si="1"/>
        <v/>
      </c>
      <c r="Y17" s="273" t="str">
        <f t="shared" si="2"/>
        <v/>
      </c>
      <c r="Z17" s="273" t="str">
        <f t="shared" si="3"/>
        <v/>
      </c>
      <c r="AA17" s="316" t="str">
        <f t="shared" si="4"/>
        <v/>
      </c>
      <c r="AC17" t="str" cm="1">
        <f t="array" ref="AC17">IF(INDEX($T$5:$T$54,ROW()-4)="","",INDEX($T$5:$T$54,ROW()-4))</f>
        <v/>
      </c>
      <c r="AD17" t="str">
        <f t="shared" si="5"/>
        <v/>
      </c>
      <c r="AE17" t="str">
        <f t="shared" si="6"/>
        <v/>
      </c>
      <c r="AF17" t="str">
        <f t="shared" si="7"/>
        <v/>
      </c>
      <c r="AG17">
        <f t="shared" si="8"/>
        <v>0</v>
      </c>
      <c r="AH17" t="str" cm="1">
        <f t="array" ref="AH17">IF($AC17="","",IF($AG17=1,SUMPRODUCT(($AG$5:$AG$54=1)*($AC$5:$AC$54&gt;$AC17))+1,SUM($AG$5:$AG$54)+SUMPRODUCT(($AG$5:$AG$54=0)*($AC$5:$AC$54&lt;&gt;"")*($AC$5:$AC$54&gt;$AC17))+1))</f>
        <v/>
      </c>
    </row>
    <row r="18" spans="1:34" ht="21.75" x14ac:dyDescent="0.25">
      <c r="A18" s="221" cm="1">
        <f t="array" ref="A18">IFERROR(INDEX(_xlfn.ANCHORARRAY($P$6),ROW()-5,1),"")</f>
        <v>46175</v>
      </c>
      <c r="B18" s="317" t="str" cm="1">
        <f t="array" ref="B18">IFERROR(INDEX(_xlfn.ANCHORARRAY($P$6),ROW()-5,2),"")</f>
        <v/>
      </c>
      <c r="C18" s="222" t="str">
        <f>IF($A18="","",IF($J18="DIESEL",SUMIFS(Table1[Quantity],Table1[Customer],$M$3,Table1[Date],$A18,Table1[Bill No.],$B18),IF($J18="PETROL",SUMIFS(Table14[Quantity],Table14[Customer],$M$3,Table14[Date],$A18,Table14[Bill No.],$B18),IF($J18="XtraGreen",SUMIFS(Table146[Quantity],Table146[Company],$M$3,Table146[Date],$A18,Table146[Bill No.],$B18),""))))</f>
        <v/>
      </c>
      <c r="D18" s="223" t="str">
        <f>IF($A18="","",IF($J18="DIESEL",AVERAGEIFS(Table1[RSP],Table1[Customer],$M$3,Table1[Date],$A18,Table1[Bill No.],$B18),IF($J18="PETROL",AVERAGEIFS(Table14[RSP],Table14[Customer],$M$3,Table14[Date],$A18,Table14[Bill No.],$B18),IF($J18="XtraGreen",AVERAGEIFS(Table146[RSP],Table146[Company],$M$3,Table146[Date],$A18,Table146[Bill No.],$B18),IFERROR($E18/$C18,"")))))</f>
        <v/>
      </c>
      <c r="E18" s="330">
        <f>IF($A18="","",IF($J18="DIESEL",SUMIFS(Table1[Amount],Table1[Customer],$M$3,Table1[Date],$A18,Table1[Bill No.],$B18),IF($J18="PETROL",SUMIFS(Table14[Amount],Table14[Customer],$M$3,Table14[Date],$A18,Table14[Bill No.],$B18),IF($J18="XtraGreen",SUMIFS(Table146[Amount],Table146[Company],$M$3,Table146[Date],$A18,Table146[Bill No.],$B18),SUMIFS('Other Sale'!$D:$D,'Other Sale'!$E:$E,$M$3,'Other Sale'!$C:$C,$J18,'Other Sale'!$A:$A,$A18)))))</f>
        <v>6000</v>
      </c>
      <c r="F18" s="330" cm="1">
        <f t="array" ref="F18">IF($A18="","",IF($J18="Payment",IFERROR(INDEX(_xlfn._xlws.FILTER(MasterPaid[Amount Paid],(MasterPaid[Customer]=$M$3)*(MasterPaid[Date]=$A18)),COUNTIFS($A$6:$A18,$A18,$J$6:$J18,"Payment")),0),0))</f>
        <v>0</v>
      </c>
      <c r="G18" s="331"/>
      <c r="H18" s="331"/>
      <c r="I18" s="330">
        <f t="shared" si="9"/>
        <v>-4683615</v>
      </c>
      <c r="J18" s="318" t="str" cm="1">
        <f t="array" ref="J18">IFERROR(INDEX(_xlfn.ANCHORARRAY($P$6),ROW()-5,3),"")</f>
        <v>AdBlue</v>
      </c>
      <c r="K18" s="349"/>
      <c r="L18" s="290"/>
      <c r="M18" s="277"/>
      <c r="N18" s="277"/>
      <c r="O18" s="277"/>
      <c r="P18">
        <v>46175</v>
      </c>
      <c r="Q18" t="str">
        <v/>
      </c>
      <c r="R18" t="str">
        <v>AdBlue</v>
      </c>
      <c r="T18" s="439"/>
      <c r="U18" s="350"/>
      <c r="W18" s="316" t="str">
        <f t="shared" si="0"/>
        <v/>
      </c>
      <c r="X18" s="273" t="str">
        <f t="shared" si="1"/>
        <v/>
      </c>
      <c r="Y18" s="273" t="str">
        <f t="shared" si="2"/>
        <v/>
      </c>
      <c r="Z18" s="273" t="str">
        <f t="shared" si="3"/>
        <v/>
      </c>
      <c r="AA18" s="316" t="str">
        <f t="shared" si="4"/>
        <v/>
      </c>
      <c r="AC18" t="str" cm="1">
        <f t="array" ref="AC18">IF(INDEX($T$5:$T$54,ROW()-4)="","",INDEX($T$5:$T$54,ROW()-4))</f>
        <v/>
      </c>
      <c r="AD18" t="str">
        <f t="shared" si="5"/>
        <v/>
      </c>
      <c r="AE18" t="str">
        <f t="shared" si="6"/>
        <v/>
      </c>
      <c r="AF18" t="str">
        <f t="shared" si="7"/>
        <v/>
      </c>
      <c r="AG18">
        <f t="shared" si="8"/>
        <v>0</v>
      </c>
      <c r="AH18" t="str" cm="1">
        <f t="array" ref="AH18">IF($AC18="","",IF($AG18=1,SUMPRODUCT(($AG$5:$AG$54=1)*($AC$5:$AC$54&gt;$AC18))+1,SUM($AG$5:$AG$54)+SUMPRODUCT(($AG$5:$AG$54=0)*($AC$5:$AC$54&lt;&gt;"")*($AC$5:$AC$54&gt;$AC18))+1))</f>
        <v/>
      </c>
    </row>
    <row r="19" spans="1:34" ht="21.75" x14ac:dyDescent="0.25">
      <c r="A19" s="221" cm="1">
        <f t="array" ref="A19">IFERROR(INDEX(_xlfn.ANCHORARRAY($P$6),ROW()-5,1),"")</f>
        <v>46186</v>
      </c>
      <c r="B19" s="317" t="str" cm="1">
        <f t="array" ref="B19">IFERROR(INDEX(_xlfn.ANCHORARRAY($P$6),ROW()-5,2),"")</f>
        <v/>
      </c>
      <c r="C19" s="222" t="str">
        <f>IF($A19="","",IF($J19="DIESEL",SUMIFS(Table1[Quantity],Table1[Customer],$M$3,Table1[Date],$A19,Table1[Bill No.],$B19),IF($J19="PETROL",SUMIFS(Table14[Quantity],Table14[Customer],$M$3,Table14[Date],$A19,Table14[Bill No.],$B19),IF($J19="XtraGreen",SUMIFS(Table146[Quantity],Table146[Company],$M$3,Table146[Date],$A19,Table146[Bill No.],$B19),""))))</f>
        <v/>
      </c>
      <c r="D19" s="223" t="str">
        <f>IF($A19="","",IF($J19="DIESEL",AVERAGEIFS(Table1[RSP],Table1[Customer],$M$3,Table1[Date],$A19,Table1[Bill No.],$B19),IF($J19="PETROL",AVERAGEIFS(Table14[RSP],Table14[Customer],$M$3,Table14[Date],$A19,Table14[Bill No.],$B19),IF($J19="XtraGreen",AVERAGEIFS(Table146[RSP],Table146[Company],$M$3,Table146[Date],$A19,Table146[Bill No.],$B19),IFERROR($E19/$C19,"")))))</f>
        <v/>
      </c>
      <c r="E19" s="330">
        <f>IF($A19="","",IF($J19="DIESEL",SUMIFS(Table1[Amount],Table1[Customer],$M$3,Table1[Date],$A19,Table1[Bill No.],$B19),IF($J19="PETROL",SUMIFS(Table14[Amount],Table14[Customer],$M$3,Table14[Date],$A19,Table14[Bill No.],$B19),IF($J19="XtraGreen",SUMIFS(Table146[Amount],Table146[Company],$M$3,Table146[Date],$A19,Table146[Bill No.],$B19),SUMIFS('Other Sale'!$D:$D,'Other Sale'!$E:$E,$M$3,'Other Sale'!$C:$C,$J19,'Other Sale'!$A:$A,$A19)))))</f>
        <v>0</v>
      </c>
      <c r="F19" s="330" cm="1">
        <f t="array" ref="F19">IF($A19="","",IF($J19="Payment",IFERROR(INDEX(_xlfn._xlws.FILTER(MasterPaid[Amount Paid],(MasterPaid[Customer]=$M$3)*(MasterPaid[Date]=$A19)),COUNTIFS($A$6:$A19,$A19,$J$6:$J19,"Payment")),0),0))</f>
        <v>-4683615</v>
      </c>
      <c r="G19" s="331"/>
      <c r="H19" s="331"/>
      <c r="I19" s="330">
        <f t="shared" si="9"/>
        <v>0</v>
      </c>
      <c r="J19" s="318" t="str" cm="1">
        <f t="array" ref="J19">IFERROR(INDEX(_xlfn.ANCHORARRAY($P$6),ROW()-5,3),"")</f>
        <v>Payment</v>
      </c>
      <c r="K19" s="349"/>
      <c r="L19" s="290" t="s">
        <v>2162</v>
      </c>
      <c r="M19" s="277"/>
      <c r="N19" s="277"/>
      <c r="O19" s="277"/>
      <c r="P19">
        <v>46186</v>
      </c>
      <c r="Q19" t="str">
        <v/>
      </c>
      <c r="R19" t="str">
        <v>Payment</v>
      </c>
      <c r="T19" s="439"/>
      <c r="U19" s="350"/>
      <c r="W19" s="316" t="str">
        <f t="shared" si="0"/>
        <v/>
      </c>
      <c r="X19" s="273" t="str">
        <f t="shared" si="1"/>
        <v/>
      </c>
      <c r="Y19" s="273" t="str">
        <f t="shared" si="2"/>
        <v/>
      </c>
      <c r="Z19" s="273" t="str">
        <f t="shared" si="3"/>
        <v/>
      </c>
      <c r="AA19" s="316" t="str">
        <f t="shared" si="4"/>
        <v/>
      </c>
      <c r="AC19" t="str" cm="1">
        <f t="array" ref="AC19">IF(INDEX($T$5:$T$54,ROW()-4)="","",INDEX($T$5:$T$54,ROW()-4))</f>
        <v/>
      </c>
      <c r="AD19" t="str">
        <f t="shared" si="5"/>
        <v/>
      </c>
      <c r="AE19" t="str">
        <f t="shared" si="6"/>
        <v/>
      </c>
      <c r="AF19" t="str">
        <f t="shared" si="7"/>
        <v/>
      </c>
      <c r="AG19">
        <f t="shared" si="8"/>
        <v>0</v>
      </c>
      <c r="AH19" t="str" cm="1">
        <f t="array" ref="AH19">IF($AC19="","",IF($AG19=1,SUMPRODUCT(($AG$5:$AG$54=1)*($AC$5:$AC$54&gt;$AC19))+1,SUM($AG$5:$AG$54)+SUMPRODUCT(($AG$5:$AG$54=0)*($AC$5:$AC$54&lt;&gt;"")*($AC$5:$AC$54&gt;$AC19))+1))</f>
        <v/>
      </c>
    </row>
    <row r="20" spans="1:34" ht="21.75" x14ac:dyDescent="0.25">
      <c r="A20" s="221" cm="1">
        <f t="array" ref="A20">IFERROR(INDEX(_xlfn.ANCHORARRAY($P$6),ROW()-5,1),"")</f>
        <v>46203</v>
      </c>
      <c r="B20" s="317" t="str" cm="1">
        <f t="array" ref="B20">IFERROR(INDEX(_xlfn.ANCHORARRAY($P$6),ROW()-5,2),"")</f>
        <v/>
      </c>
      <c r="C20" s="222" t="str">
        <f>IF($A20="","",IF($J20="DIESEL",SUMIFS(Table1[Quantity],Table1[Customer],$M$3,Table1[Date],$A20,Table1[Bill No.],$B20),IF($J20="PETROL",SUMIFS(Table14[Quantity],Table14[Customer],$M$3,Table14[Date],$A20,Table14[Bill No.],$B20),IF($J20="XtraGreen",SUMIFS(Table146[Quantity],Table146[Company],$M$3,Table146[Date],$A20,Table146[Bill No.],$B20),""))))</f>
        <v/>
      </c>
      <c r="D20" s="223" t="str">
        <f>IF($A20="","",IF($J20="DIESEL",AVERAGEIFS(Table1[RSP],Table1[Customer],$M$3,Table1[Date],$A20,Table1[Bill No.],$B20),IF($J20="PETROL",AVERAGEIFS(Table14[RSP],Table14[Customer],$M$3,Table14[Date],$A20,Table14[Bill No.],$B20),IF($J20="XtraGreen",AVERAGEIFS(Table146[RSP],Table146[Company],$M$3,Table146[Date],$A20,Table146[Bill No.],$B20),IFERROR($E20/$C20,"")))))</f>
        <v/>
      </c>
      <c r="E20" s="330">
        <f>IF($A20="","",IF($J20="DIESEL",SUMIFS(Table1[Amount],Table1[Customer],$M$3,Table1[Date],$A20,Table1[Bill No.],$B20),IF($J20="PETROL",SUMIFS(Table14[Amount],Table14[Customer],$M$3,Table14[Date],$A20,Table14[Bill No.],$B20),IF($J20="XtraGreen",SUMIFS(Table146[Amount],Table146[Company],$M$3,Table146[Date],$A20,Table146[Bill No.],$B20),SUMIFS('Other Sale'!$D:$D,'Other Sale'!$E:$E,$M$3,'Other Sale'!$C:$C,$J20,'Other Sale'!$A:$A,$A20)))))</f>
        <v>0</v>
      </c>
      <c r="F20" s="330" cm="1">
        <f t="array" ref="F20">IF($A20="","",IF($J20="Payment",IFERROR(INDEX(_xlfn._xlws.FILTER(MasterPaid[Amount Paid],(MasterPaid[Customer]=$M$3)*(MasterPaid[Date]=$A20)),COUNTIFS($A$6:$A20,$A20,$J$6:$J20,"Payment")),0),0))</f>
        <v>2250000</v>
      </c>
      <c r="G20" s="331"/>
      <c r="H20" s="331"/>
      <c r="I20" s="330">
        <f t="shared" si="9"/>
        <v>-2250000</v>
      </c>
      <c r="J20" s="318" t="str" cm="1">
        <f t="array" ref="J20">IFERROR(INDEX(_xlfn.ANCHORARRAY($P$6),ROW()-5,3),"")</f>
        <v>Payment</v>
      </c>
      <c r="K20" s="349"/>
      <c r="L20" s="290"/>
      <c r="M20" s="277"/>
      <c r="N20" s="277"/>
      <c r="O20" s="277"/>
      <c r="P20">
        <v>46203</v>
      </c>
      <c r="Q20" t="str">
        <v/>
      </c>
      <c r="R20" t="str">
        <v>Payment</v>
      </c>
      <c r="T20" s="439"/>
      <c r="U20" s="350"/>
      <c r="W20" s="316" t="str">
        <f t="shared" si="0"/>
        <v/>
      </c>
      <c r="X20" s="273" t="str">
        <f t="shared" si="1"/>
        <v/>
      </c>
      <c r="Y20" s="273" t="str">
        <f t="shared" si="2"/>
        <v/>
      </c>
      <c r="Z20" s="273" t="str">
        <f t="shared" si="3"/>
        <v/>
      </c>
      <c r="AA20" s="316" t="str">
        <f t="shared" si="4"/>
        <v/>
      </c>
      <c r="AC20" t="str" cm="1">
        <f t="array" ref="AC20">IF(INDEX($T$5:$T$54,ROW()-4)="","",INDEX($T$5:$T$54,ROW()-4))</f>
        <v/>
      </c>
      <c r="AD20" t="str">
        <f t="shared" si="5"/>
        <v/>
      </c>
      <c r="AE20" t="str">
        <f t="shared" si="6"/>
        <v/>
      </c>
      <c r="AF20" t="str">
        <f t="shared" si="7"/>
        <v/>
      </c>
      <c r="AG20">
        <f t="shared" si="8"/>
        <v>0</v>
      </c>
      <c r="AH20" t="str" cm="1">
        <f t="array" ref="AH20">IF($AC20="","",IF($AG20=1,SUMPRODUCT(($AG$5:$AG$54=1)*($AC$5:$AC$54&gt;$AC20))+1,SUM($AG$5:$AG$54)+SUMPRODUCT(($AG$5:$AG$54=0)*($AC$5:$AC$54&lt;&gt;"")*($AC$5:$AC$54&gt;$AC20))+1))</f>
        <v/>
      </c>
    </row>
    <row r="21" spans="1:34" ht="21.75" x14ac:dyDescent="0.25">
      <c r="A21" s="221" cm="1">
        <f t="array" ref="A21">IFERROR(INDEX(_xlfn.ANCHORARRAY($P$6),ROW()-5,1),"")</f>
        <v>46206</v>
      </c>
      <c r="B21" s="317" t="str" cm="1">
        <f t="array" ref="B21">IFERROR(INDEX(_xlfn.ANCHORARRAY($P$6),ROW()-5,2),"")</f>
        <v>1292</v>
      </c>
      <c r="C21" s="222">
        <f>IF($A21="","",IF($J21="DIESEL",SUMIFS(Table1[Quantity],Table1[Customer],$M$3,Table1[Date],$A21,Table1[Bill No.],$B21),IF($J21="PETROL",SUMIFS(Table14[Quantity],Table14[Customer],$M$3,Table14[Date],$A21,Table14[Bill No.],$B21),IF($J21="XtraGreen",SUMIFS(Table146[Quantity],Table146[Company],$M$3,Table146[Date],$A21,Table146[Bill No.],$B21),""))))</f>
        <v>12000</v>
      </c>
      <c r="D21" s="223">
        <f>IF($A21="","",IF($J21="DIESEL",AVERAGEIFS(Table1[RSP],Table1[Customer],$M$3,Table1[Date],$A21,Table1[Bill No.],$B21),IF($J21="PETROL",AVERAGEIFS(Table14[RSP],Table14[Customer],$M$3,Table14[Date],$A21,Table14[Bill No.],$B21),IF($J21="XtraGreen",AVERAGEIFS(Table146[RSP],Table146[Company],$M$3,Table146[Date],$A21,Table146[Bill No.],$B21),IFERROR($E21/$C21,"")))))</f>
        <v>100.74</v>
      </c>
      <c r="E21" s="330">
        <f>IF($A21="","",IF($J21="DIESEL",SUMIFS(Table1[Amount],Table1[Customer],$M$3,Table1[Date],$A21,Table1[Bill No.],$B21),IF($J21="PETROL",SUMIFS(Table14[Amount],Table14[Customer],$M$3,Table14[Date],$A21,Table14[Bill No.],$B21),IF($J21="XtraGreen",SUMIFS(Table146[Amount],Table146[Company],$M$3,Table146[Date],$A21,Table146[Bill No.],$B21),SUMIFS('Other Sale'!$D:$D,'Other Sale'!$E:$E,$M$3,'Other Sale'!$C:$C,$J21,'Other Sale'!$A:$A,$A21)))))</f>
        <v>1208880</v>
      </c>
      <c r="F21" s="330" cm="1">
        <f t="array" ref="F21">IF($A21="","",IF($J21="Payment",IFERROR(INDEX(_xlfn._xlws.FILTER(MasterPaid[Amount Paid],(MasterPaid[Customer]=$M$3)*(MasterPaid[Date]=$A21)),COUNTIFS($A$6:$A21,$A21,$J$6:$J21,"Payment")),0),0))</f>
        <v>0</v>
      </c>
      <c r="G21" s="331"/>
      <c r="H21" s="331"/>
      <c r="I21" s="330">
        <f t="shared" si="9"/>
        <v>-1041120</v>
      </c>
      <c r="J21" s="318" t="str" cm="1">
        <f t="array" ref="J21">IFERROR(INDEX(_xlfn.ANCHORARRAY($P$6),ROW()-5,3),"")</f>
        <v>DIESEL</v>
      </c>
      <c r="K21" s="349" t="s">
        <v>2432</v>
      </c>
      <c r="L21" s="290"/>
      <c r="M21" s="277"/>
      <c r="N21" s="277"/>
      <c r="O21" s="277"/>
      <c r="P21">
        <v>46206</v>
      </c>
      <c r="Q21" t="str">
        <v>1292</v>
      </c>
      <c r="R21" t="str">
        <v>DIESEL</v>
      </c>
      <c r="T21" s="439"/>
      <c r="U21" s="350"/>
      <c r="W21" s="316" t="str">
        <f t="shared" si="0"/>
        <v/>
      </c>
      <c r="X21" s="273" t="str">
        <f t="shared" si="1"/>
        <v/>
      </c>
      <c r="Y21" s="273" t="str">
        <f t="shared" si="2"/>
        <v/>
      </c>
      <c r="Z21" s="273" t="str">
        <f t="shared" si="3"/>
        <v/>
      </c>
      <c r="AA21" s="316" t="str">
        <f t="shared" si="4"/>
        <v/>
      </c>
      <c r="AC21" t="str" cm="1">
        <f t="array" ref="AC21">IF(INDEX($T$5:$T$54,ROW()-4)="","",INDEX($T$5:$T$54,ROW()-4))</f>
        <v/>
      </c>
      <c r="AD21" t="str">
        <f t="shared" si="5"/>
        <v/>
      </c>
      <c r="AE21" t="str">
        <f t="shared" si="6"/>
        <v/>
      </c>
      <c r="AF21" t="str">
        <f t="shared" si="7"/>
        <v/>
      </c>
      <c r="AG21">
        <f t="shared" si="8"/>
        <v>0</v>
      </c>
      <c r="AH21" t="str" cm="1">
        <f t="array" ref="AH21">IF($AC21="","",IF($AG21=1,SUMPRODUCT(($AG$5:$AG$54=1)*($AC$5:$AC$54&gt;$AC21))+1,SUM($AG$5:$AG$54)+SUMPRODUCT(($AG$5:$AG$54=0)*($AC$5:$AC$54&lt;&gt;"")*($AC$5:$AC$54&gt;$AC21))+1))</f>
        <v/>
      </c>
    </row>
    <row r="22" spans="1:34" ht="21.75" x14ac:dyDescent="0.25">
      <c r="A22" s="221" cm="1">
        <f t="array" ref="A22">IFERROR(INDEX(_xlfn.ANCHORARRAY($P$6),ROW()-5,1),"")</f>
        <v>46224</v>
      </c>
      <c r="B22" s="317" t="str" cm="1">
        <f t="array" ref="B22">IFERROR(INDEX(_xlfn.ANCHORARRAY($P$6),ROW()-5,2),"")</f>
        <v>1660</v>
      </c>
      <c r="C22" s="222">
        <f>IF($A22="","",IF($J22="DIESEL",SUMIFS(Table1[Quantity],Table1[Customer],$M$3,Table1[Date],$A22,Table1[Bill No.],$B22),IF($J22="PETROL",SUMIFS(Table14[Quantity],Table14[Customer],$M$3,Table14[Date],$A22,Table14[Bill No.],$B22),IF($J22="XtraGreen",SUMIFS(Table146[Quantity],Table146[Company],$M$3,Table146[Date],$A22,Table146[Bill No.],$B22),""))))</f>
        <v>12000</v>
      </c>
      <c r="D22" s="223">
        <f>IF($A22="","",IF($J22="DIESEL",AVERAGEIFS(Table1[RSP],Table1[Customer],$M$3,Table1[Date],$A22,Table1[Bill No.],$B22),IF($J22="PETROL",AVERAGEIFS(Table14[RSP],Table14[Customer],$M$3,Table14[Date],$A22,Table14[Bill No.],$B22),IF($J22="XtraGreen",AVERAGEIFS(Table146[RSP],Table146[Company],$M$3,Table146[Date],$A22,Table146[Bill No.],$B22),IFERROR($E22/$C22,"")))))</f>
        <v>99.5</v>
      </c>
      <c r="E22" s="330">
        <f>IF($A22="","",IF($J22="DIESEL",SUMIFS(Table1[Amount],Table1[Customer],$M$3,Table1[Date],$A22,Table1[Bill No.],$B22),IF($J22="PETROL",SUMIFS(Table14[Amount],Table14[Customer],$M$3,Table14[Date],$A22,Table14[Bill No.],$B22),IF($J22="XtraGreen",SUMIFS(Table146[Amount],Table146[Company],$M$3,Table146[Date],$A22,Table146[Bill No.],$B22),SUMIFS('Other Sale'!$D:$D,'Other Sale'!$E:$E,$M$3,'Other Sale'!$C:$C,$J22,'Other Sale'!$A:$A,$A22)))))</f>
        <v>1194000</v>
      </c>
      <c r="F22" s="330" cm="1">
        <f t="array" ref="F22">IF($A22="","",IF($J22="Payment",IFERROR(INDEX(_xlfn._xlws.FILTER(MasterPaid[Amount Paid],(MasterPaid[Customer]=$M$3)*(MasterPaid[Date]=$A22)),COUNTIFS($A$6:$A22,$A22,$J$6:$J22,"Payment")),0),0))</f>
        <v>0</v>
      </c>
      <c r="G22" s="331"/>
      <c r="H22" s="331"/>
      <c r="I22" s="330">
        <f t="shared" si="9"/>
        <v>152880</v>
      </c>
      <c r="J22" s="318" t="str" cm="1">
        <f t="array" ref="J22">IFERROR(INDEX(_xlfn.ANCHORARRAY($P$6),ROW()-5,3),"")</f>
        <v>DIESEL</v>
      </c>
      <c r="K22" s="432" cm="1">
        <f t="array" ref="K22">IF(OR($A22="",$J22&lt;&gt;"DIESEL"),"",_xlfn.LET(_xlpm.qty,N($C22),_xlpm.pos,$T$5:$T$54,_xlpm.alo,IF($U$5:$U$54="",0,$U$5:$U$54),_xlpm.usd,SUMIFS($C$6:$C21,$K$6:$K21,_xlpm.pos&amp;""),_xlpm.bal,_xlpm.alo-_xlpm.usd,IFERROR(INDEX(_xlfn._xlws.FILTER(_xlpm.pos,(_xlpm.pos&lt;&gt;"")*(_xlpm.qty&gt;0)*(_xlpm.bal&gt;=_xlpm.qty)),1),"")))</f>
        <v>2110035067</v>
      </c>
      <c r="L22" s="290"/>
      <c r="M22" s="277"/>
      <c r="N22" s="277"/>
      <c r="O22" s="277"/>
      <c r="P22">
        <v>46224</v>
      </c>
      <c r="Q22" t="str">
        <v>1660</v>
      </c>
      <c r="R22" t="str">
        <v>DIESEL</v>
      </c>
      <c r="T22" s="439"/>
      <c r="U22" s="350"/>
      <c r="W22" s="316" t="str">
        <f t="shared" si="0"/>
        <v/>
      </c>
      <c r="X22" s="273" t="str">
        <f t="shared" si="1"/>
        <v/>
      </c>
      <c r="Y22" s="273" t="str">
        <f t="shared" si="2"/>
        <v/>
      </c>
      <c r="Z22" s="273" t="str">
        <f t="shared" si="3"/>
        <v/>
      </c>
      <c r="AA22" s="316" t="str">
        <f t="shared" si="4"/>
        <v/>
      </c>
      <c r="AC22" t="str" cm="1">
        <f t="array" ref="AC22">IF(INDEX($T$5:$T$54,ROW()-4)="","",INDEX($T$5:$T$54,ROW()-4))</f>
        <v/>
      </c>
      <c r="AD22" t="str">
        <f t="shared" si="5"/>
        <v/>
      </c>
      <c r="AE22" t="str">
        <f t="shared" si="6"/>
        <v/>
      </c>
      <c r="AF22" t="str">
        <f t="shared" si="7"/>
        <v/>
      </c>
      <c r="AG22">
        <f t="shared" si="8"/>
        <v>0</v>
      </c>
      <c r="AH22" t="str" cm="1">
        <f t="array" ref="AH22">IF($AC22="","",IF($AG22=1,SUMPRODUCT(($AG$5:$AG$54=1)*($AC$5:$AC$54&gt;$AC22))+1,SUM($AG$5:$AG$54)+SUMPRODUCT(($AG$5:$AG$54=0)*($AC$5:$AC$54&lt;&gt;"")*($AC$5:$AC$54&gt;$AC22))+1))</f>
        <v/>
      </c>
    </row>
    <row r="23" spans="1:34" ht="21.75" x14ac:dyDescent="0.25">
      <c r="A23" s="221" cm="1">
        <f t="array" ref="A23">IFERROR(INDEX(_xlfn.ANCHORARRAY($P$6),ROW()-5,1),"")</f>
        <v>46226</v>
      </c>
      <c r="B23" s="317" t="str" cm="1">
        <f t="array" ref="B23">IFERROR(INDEX(_xlfn.ANCHORARRAY($P$6),ROW()-5,2),"")</f>
        <v>1698</v>
      </c>
      <c r="C23" s="222">
        <f>IF($A23="","",IF($J23="DIESEL",SUMIFS(Table1[Quantity],Table1[Customer],$M$3,Table1[Date],$A23,Table1[Bill No.],$B23),IF($J23="PETROL",SUMIFS(Table14[Quantity],Table14[Customer],$M$3,Table14[Date],$A23,Table14[Bill No.],$B23),IF($J23="XtraGreen",SUMIFS(Table146[Quantity],Table146[Company],$M$3,Table146[Date],$A23,Table146[Bill No.],$B23),""))))</f>
        <v>12000</v>
      </c>
      <c r="D23" s="223">
        <f>IF($A23="","",IF($J23="DIESEL",AVERAGEIFS(Table1[RSP],Table1[Customer],$M$3,Table1[Date],$A23,Table1[Bill No.],$B23),IF($J23="PETROL",AVERAGEIFS(Table14[RSP],Table14[Customer],$M$3,Table14[Date],$A23,Table14[Bill No.],$B23),IF($J23="XtraGreen",AVERAGEIFS(Table146[RSP],Table146[Company],$M$3,Table146[Date],$A23,Table146[Bill No.],$B23),IFERROR($E23/$C23,"")))))</f>
        <v>99.5</v>
      </c>
      <c r="E23" s="330">
        <f>IF($A23="","",IF($J23="DIESEL",SUMIFS(Table1[Amount],Table1[Customer],$M$3,Table1[Date],$A23,Table1[Bill No.],$B23),IF($J23="PETROL",SUMIFS(Table14[Amount],Table14[Customer],$M$3,Table14[Date],$A23,Table14[Bill No.],$B23),IF($J23="XtraGreen",SUMIFS(Table146[Amount],Table146[Company],$M$3,Table146[Date],$A23,Table146[Bill No.],$B23),SUMIFS('Other Sale'!$D:$D,'Other Sale'!$E:$E,$M$3,'Other Sale'!$C:$C,$J23,'Other Sale'!$A:$A,$A23)))))</f>
        <v>1194000</v>
      </c>
      <c r="F23" s="330" cm="1">
        <f t="array" ref="F23">IF($A23="","",IF($J23="Payment",IFERROR(INDEX(_xlfn._xlws.FILTER(MasterPaid[Amount Paid],(MasterPaid[Customer]=$M$3)*(MasterPaid[Date]=$A23)),COUNTIFS($A$6:$A23,$A23,$J$6:$J23,"Payment")),0),0))</f>
        <v>0</v>
      </c>
      <c r="G23" s="331"/>
      <c r="H23" s="331"/>
      <c r="I23" s="330">
        <f t="shared" si="9"/>
        <v>1346880</v>
      </c>
      <c r="J23" s="318" t="str" cm="1">
        <f t="array" ref="J23">IFERROR(INDEX(_xlfn.ANCHORARRAY($P$6),ROW()-5,3),"")</f>
        <v>DIESEL</v>
      </c>
      <c r="K23" s="432" cm="1">
        <f t="array" ref="K23">IF(OR($A23="",$J23&lt;&gt;"DIESEL"),"",_xlfn.LET(_xlpm.qty,N($C23),_xlpm.pos,$T$5:$T$54,_xlpm.alo,IF($U$5:$U$54="",0,$U$5:$U$54),_xlpm.usd,SUMIFS($C$6:$C22,$K$6:$K22,_xlpm.pos&amp;""),_xlpm.bal,_xlpm.alo-_xlpm.usd,IFERROR(INDEX(_xlfn._xlws.FILTER(_xlpm.pos,(_xlpm.pos&lt;&gt;"")*(_xlpm.qty&gt;0)*(_xlpm.bal&gt;=_xlpm.qty)),1),"")))</f>
        <v>2110035067</v>
      </c>
      <c r="L23" s="290"/>
      <c r="M23" s="277"/>
      <c r="N23" s="277"/>
      <c r="O23" s="277"/>
      <c r="P23">
        <v>46226</v>
      </c>
      <c r="Q23" t="str">
        <v>1698</v>
      </c>
      <c r="R23" t="str">
        <v>DIESEL</v>
      </c>
      <c r="T23" s="439"/>
      <c r="U23" s="350"/>
      <c r="W23" s="316" t="str">
        <f t="shared" si="0"/>
        <v/>
      </c>
      <c r="X23" s="273" t="str">
        <f t="shared" si="1"/>
        <v/>
      </c>
      <c r="Y23" s="273" t="str">
        <f t="shared" si="2"/>
        <v/>
      </c>
      <c r="Z23" s="273" t="str">
        <f t="shared" si="3"/>
        <v/>
      </c>
      <c r="AA23" s="316" t="str">
        <f t="shared" si="4"/>
        <v/>
      </c>
      <c r="AC23" t="str" cm="1">
        <f t="array" ref="AC23">IF(INDEX($T$5:$T$54,ROW()-4)="","",INDEX($T$5:$T$54,ROW()-4))</f>
        <v/>
      </c>
      <c r="AD23" t="str">
        <f t="shared" si="5"/>
        <v/>
      </c>
      <c r="AE23" t="str">
        <f t="shared" si="6"/>
        <v/>
      </c>
      <c r="AF23" t="str">
        <f t="shared" si="7"/>
        <v/>
      </c>
      <c r="AG23">
        <f t="shared" si="8"/>
        <v>0</v>
      </c>
      <c r="AH23" t="str" cm="1">
        <f t="array" ref="AH23">IF($AC23="","",IF($AG23=1,SUMPRODUCT(($AG$5:$AG$54=1)*($AC$5:$AC$54&gt;$AC23))+1,SUM($AG$5:$AG$54)+SUMPRODUCT(($AG$5:$AG$54=0)*($AC$5:$AC$54&lt;&gt;"")*($AC$5:$AC$54&gt;$AC23))+1))</f>
        <v/>
      </c>
    </row>
    <row r="24" spans="1:34" ht="21.75" x14ac:dyDescent="0.25">
      <c r="A24" s="221" cm="1">
        <f t="array" ref="A24">IFERROR(INDEX(_xlfn.ANCHORARRAY($P$6),ROW()-5,1),"")</f>
        <v>46226</v>
      </c>
      <c r="B24" s="317" t="str" cm="1">
        <f t="array" ref="B24">IFERROR(INDEX(_xlfn.ANCHORARRAY($P$6),ROW()-5,2),"")</f>
        <v/>
      </c>
      <c r="C24" s="222" t="str">
        <f>IF($A24="","",IF($J24="DIESEL",SUMIFS(Table1[Quantity],Table1[Customer],$M$3,Table1[Date],$A24,Table1[Bill No.],$B24),IF($J24="PETROL",SUMIFS(Table14[Quantity],Table14[Customer],$M$3,Table14[Date],$A24,Table14[Bill No.],$B24),IF($J24="XtraGreen",SUMIFS(Table146[Quantity],Table146[Company],$M$3,Table146[Date],$A24,Table146[Bill No.],$B24),""))))</f>
        <v/>
      </c>
      <c r="D24" s="223" t="str">
        <f>IF($A24="","",IF($J24="DIESEL",AVERAGEIFS(Table1[RSP],Table1[Customer],$M$3,Table1[Date],$A24,Table1[Bill No.],$B24),IF($J24="PETROL",AVERAGEIFS(Table14[RSP],Table14[Customer],$M$3,Table14[Date],$A24,Table14[Bill No.],$B24),IF($J24="XtraGreen",AVERAGEIFS(Table146[RSP],Table146[Company],$M$3,Table146[Date],$A24,Table146[Bill No.],$B24),IFERROR($E24/$C24,"")))))</f>
        <v/>
      </c>
      <c r="E24" s="330">
        <f>IF($A24="","",IF($J24="DIESEL",SUMIFS(Table1[Amount],Table1[Customer],$M$3,Table1[Date],$A24,Table1[Bill No.],$B24),IF($J24="PETROL",SUMIFS(Table14[Amount],Table14[Customer],$M$3,Table14[Date],$A24,Table14[Bill No.],$B24),IF($J24="XtraGreen",SUMIFS(Table146[Amount],Table146[Company],$M$3,Table146[Date],$A24,Table146[Bill No.],$B24),SUMIFS('Other Sale'!$D:$D,'Other Sale'!$E:$E,$M$3,'Other Sale'!$C:$C,$J24,'Other Sale'!$A:$A,$A24)))))</f>
        <v>0</v>
      </c>
      <c r="F24" s="330" cm="1">
        <f t="array" ref="F24">IF($A24="","",IF($J24="Payment",IFERROR(INDEX(_xlfn._xlws.FILTER(MasterPaid[Amount Paid],(MasterPaid[Customer]=$M$3)*(MasterPaid[Date]=$A24)),COUNTIFS($A$6:$A24,$A24,$J$6:$J24,"Payment")),0),0))</f>
        <v>4954041</v>
      </c>
      <c r="G24" s="331"/>
      <c r="H24" s="331"/>
      <c r="I24" s="330">
        <f t="shared" si="9"/>
        <v>-3607161</v>
      </c>
      <c r="J24" s="318" t="str" cm="1">
        <f t="array" ref="J24">IFERROR(INDEX(_xlfn.ANCHORARRAY($P$6),ROW()-5,3),"")</f>
        <v>Payment</v>
      </c>
      <c r="K24" s="432" t="str" cm="1">
        <f t="array" ref="K24">IF(OR($A24="",$J24&lt;&gt;"DIESEL"),"",_xlfn.LET(_xlpm.qty,N($C24),_xlpm.pos,$T$5:$T$54,_xlpm.alo,IF($U$5:$U$54="",0,$U$5:$U$54),_xlpm.usd,SUMIFS($C$6:$C23,$K$6:$K23,_xlpm.pos&amp;""),_xlpm.bal,_xlpm.alo-_xlpm.usd,IFERROR(INDEX(_xlfn._xlws.FILTER(_xlpm.pos,(_xlpm.pos&lt;&gt;"")*(_xlpm.qty&gt;0)*(_xlpm.bal&gt;=_xlpm.qty)),1),"")))</f>
        <v/>
      </c>
      <c r="L24" s="290"/>
      <c r="M24" s="277"/>
      <c r="N24" s="277"/>
      <c r="O24" s="277"/>
      <c r="P24">
        <v>46226</v>
      </c>
      <c r="Q24" t="str">
        <v/>
      </c>
      <c r="R24" t="str">
        <v>Payment</v>
      </c>
      <c r="T24" s="439"/>
      <c r="U24" s="350"/>
      <c r="W24" s="316" t="str">
        <f t="shared" si="0"/>
        <v/>
      </c>
      <c r="X24" s="273" t="str">
        <f t="shared" si="1"/>
        <v/>
      </c>
      <c r="Y24" s="273" t="str">
        <f t="shared" si="2"/>
        <v/>
      </c>
      <c r="Z24" s="273" t="str">
        <f t="shared" si="3"/>
        <v/>
      </c>
      <c r="AA24" s="316" t="str">
        <f t="shared" si="4"/>
        <v/>
      </c>
      <c r="AC24" t="str" cm="1">
        <f t="array" ref="AC24">IF(INDEX($T$5:$T$54,ROW()-4)="","",INDEX($T$5:$T$54,ROW()-4))</f>
        <v/>
      </c>
      <c r="AD24" t="str">
        <f t="shared" si="5"/>
        <v/>
      </c>
      <c r="AE24" t="str">
        <f t="shared" si="6"/>
        <v/>
      </c>
      <c r="AF24" t="str">
        <f t="shared" si="7"/>
        <v/>
      </c>
      <c r="AG24">
        <f t="shared" si="8"/>
        <v>0</v>
      </c>
      <c r="AH24" t="str" cm="1">
        <f t="array" ref="AH24">IF($AC24="","",IF($AG24=1,SUMPRODUCT(($AG$5:$AG$54=1)*($AC$5:$AC$54&gt;$AC24))+1,SUM($AG$5:$AG$54)+SUMPRODUCT(($AG$5:$AG$54=0)*($AC$5:$AC$54&lt;&gt;"")*($AC$5:$AC$54&gt;$AC24))+1))</f>
        <v/>
      </c>
    </row>
    <row r="25" spans="1:34" ht="21.75" x14ac:dyDescent="0.25">
      <c r="A25" s="221" cm="1">
        <f t="array" ref="A25">IFERROR(INDEX(_xlfn.ANCHORARRAY($P$6),ROW()-5,1),"")</f>
        <v>46227</v>
      </c>
      <c r="B25" s="317" t="str" cm="1">
        <f t="array" ref="B25">IFERROR(INDEX(_xlfn.ANCHORARRAY($P$6),ROW()-5,2),"")</f>
        <v/>
      </c>
      <c r="C25" s="222" t="str">
        <f>IF($A25="","",IF($J25="DIESEL",SUMIFS(Table1[Quantity],Table1[Customer],$M$3,Table1[Date],$A25,Table1[Bill No.],$B25),IF($J25="PETROL",SUMIFS(Table14[Quantity],Table14[Customer],$M$3,Table14[Date],$A25,Table14[Bill No.],$B25),IF($J25="XtraGreen",SUMIFS(Table146[Quantity],Table146[Company],$M$3,Table146[Date],$A25,Table146[Bill No.],$B25),""))))</f>
        <v/>
      </c>
      <c r="D25" s="223" t="str">
        <f>IF($A25="","",IF($J25="DIESEL",AVERAGEIFS(Table1[RSP],Table1[Customer],$M$3,Table1[Date],$A25,Table1[Bill No.],$B25),IF($J25="PETROL",AVERAGEIFS(Table14[RSP],Table14[Customer],$M$3,Table14[Date],$A25,Table14[Bill No.],$B25),IF($J25="XtraGreen",AVERAGEIFS(Table146[RSP],Table146[Company],$M$3,Table146[Date],$A25,Table146[Bill No.],$B25),IFERROR($E25/$C25,"")))))</f>
        <v/>
      </c>
      <c r="E25" s="330">
        <f>IF($A25="","",IF($J25="DIESEL",SUMIFS(Table1[Amount],Table1[Customer],$M$3,Table1[Date],$A25,Table1[Bill No.],$B25),IF($J25="PETROL",SUMIFS(Table14[Amount],Table14[Customer],$M$3,Table14[Date],$A25,Table14[Bill No.],$B25),IF($J25="XtraGreen",SUMIFS(Table146[Amount],Table146[Company],$M$3,Table146[Date],$A25,Table146[Bill No.],$B25),SUMIFS('Other Sale'!$D:$D,'Other Sale'!$E:$E,$M$3,'Other Sale'!$C:$C,$J25,'Other Sale'!$A:$A,$A25)))))</f>
        <v>0</v>
      </c>
      <c r="F25" s="330" cm="1">
        <f t="array" ref="F25">IF($A25="","",IF($J25="Payment",IFERROR(INDEX(_xlfn._xlws.FILTER(MasterPaid[Amount Paid],(MasterPaid[Customer]=$M$3)*(MasterPaid[Date]=$A25)),COUNTIFS($A$6:$A25,$A25,$J$6:$J25,"Payment")),0),0))</f>
        <v>5995</v>
      </c>
      <c r="G25" s="331">
        <v>5</v>
      </c>
      <c r="H25" s="331"/>
      <c r="I25" s="330">
        <f t="shared" si="9"/>
        <v>-3613161</v>
      </c>
      <c r="J25" s="318" t="str" cm="1">
        <f t="array" ref="J25">IFERROR(INDEX(_xlfn.ANCHORARRAY($P$6),ROW()-5,3),"")</f>
        <v>Payment</v>
      </c>
      <c r="K25" s="432" t="str" cm="1">
        <f t="array" ref="K25">IF(OR($A25="",$J25&lt;&gt;"DIESEL"),"",_xlfn.LET(_xlpm.qty,N($C25),_xlpm.pos,$T$5:$T$54,_xlpm.alo,IF($U$5:$U$54="",0,$U$5:$U$54),_xlpm.usd,SUMIFS($C$6:$C24,$K$6:$K24,_xlpm.pos&amp;""),_xlpm.bal,_xlpm.alo-_xlpm.usd,IFERROR(INDEX(_xlfn._xlws.FILTER(_xlpm.pos,(_xlpm.pos&lt;&gt;"")*(_xlpm.qty&gt;0)*(_xlpm.bal&gt;=_xlpm.qty)),1),"")))</f>
        <v/>
      </c>
      <c r="L25" s="290"/>
      <c r="M25" s="277"/>
      <c r="N25" s="277"/>
      <c r="O25" s="277"/>
      <c r="P25">
        <v>46227</v>
      </c>
      <c r="Q25" t="str">
        <v/>
      </c>
      <c r="R25" t="str">
        <v>Payment</v>
      </c>
      <c r="T25" s="439"/>
      <c r="U25" s="350"/>
      <c r="W25" s="316" t="str">
        <f t="shared" si="0"/>
        <v/>
      </c>
      <c r="X25" s="273" t="str">
        <f t="shared" si="1"/>
        <v/>
      </c>
      <c r="Y25" s="273" t="str">
        <f t="shared" si="2"/>
        <v/>
      </c>
      <c r="Z25" s="273" t="str">
        <f t="shared" si="3"/>
        <v/>
      </c>
      <c r="AA25" s="316" t="str">
        <f t="shared" si="4"/>
        <v/>
      </c>
      <c r="AC25" t="str" cm="1">
        <f t="array" ref="AC25">IF(INDEX($T$5:$T$54,ROW()-4)="","",INDEX($T$5:$T$54,ROW()-4))</f>
        <v/>
      </c>
      <c r="AD25" t="str">
        <f t="shared" si="5"/>
        <v/>
      </c>
      <c r="AE25" t="str">
        <f t="shared" si="6"/>
        <v/>
      </c>
      <c r="AF25" t="str">
        <f t="shared" si="7"/>
        <v/>
      </c>
      <c r="AG25">
        <f t="shared" si="8"/>
        <v>0</v>
      </c>
      <c r="AH25" t="str" cm="1">
        <f t="array" ref="AH25">IF($AC25="","",IF($AG25=1,SUMPRODUCT(($AG$5:$AG$54=1)*($AC$5:$AC$54&gt;$AC25))+1,SUM($AG$5:$AG$54)+SUMPRODUCT(($AG$5:$AG$54=0)*($AC$5:$AC$54&lt;&gt;"")*($AC$5:$AC$54&gt;$AC25))+1))</f>
        <v/>
      </c>
    </row>
    <row r="26" spans="1:34" ht="21.75" x14ac:dyDescent="0.25">
      <c r="A26" s="221" cm="1">
        <f t="array" ref="A26">IFERROR(INDEX(_xlfn.ANCHORARRAY($P$6),ROW()-5,1),"")</f>
        <v>46229</v>
      </c>
      <c r="B26" s="317" t="str" cm="1">
        <f t="array" ref="B26">IFERROR(INDEX(_xlfn.ANCHORARRAY($P$6),ROW()-5,2),"")</f>
        <v>1768</v>
      </c>
      <c r="C26" s="222">
        <f>IF($A26="","",IF($J26="DIESEL",SUMIFS(Table1[Quantity],Table1[Customer],$M$3,Table1[Date],$A26,Table1[Bill No.],$B26),IF($J26="PETROL",SUMIFS(Table14[Quantity],Table14[Customer],$M$3,Table14[Date],$A26,Table14[Bill No.],$B26),IF($J26="XtraGreen",SUMIFS(Table146[Quantity],Table146[Company],$M$3,Table146[Date],$A26,Table146[Bill No.],$B26),""))))</f>
        <v>12000</v>
      </c>
      <c r="D26" s="223">
        <f>IF($A26="","",IF($J26="DIESEL",AVERAGEIFS(Table1[RSP],Table1[Customer],$M$3,Table1[Date],$A26,Table1[Bill No.],$B26),IF($J26="PETROL",AVERAGEIFS(Table14[RSP],Table14[Customer],$M$3,Table14[Date],$A26,Table14[Bill No.],$B26),IF($J26="XtraGreen",AVERAGEIFS(Table146[RSP],Table146[Company],$M$3,Table146[Date],$A26,Table146[Bill No.],$B26),IFERROR($E26/$C26,"")))))</f>
        <v>99.5</v>
      </c>
      <c r="E26" s="330">
        <f>IF($A26="","",IF($J26="DIESEL",SUMIFS(Table1[Amount],Table1[Customer],$M$3,Table1[Date],$A26,Table1[Bill No.],$B26),IF($J26="PETROL",SUMIFS(Table14[Amount],Table14[Customer],$M$3,Table14[Date],$A26,Table14[Bill No.],$B26),IF($J26="XtraGreen",SUMIFS(Table146[Amount],Table146[Company],$M$3,Table146[Date],$A26,Table146[Bill No.],$B26),SUMIFS('Other Sale'!$D:$D,'Other Sale'!$E:$E,$M$3,'Other Sale'!$C:$C,$J26,'Other Sale'!$A:$A,$A26)))))</f>
        <v>1194000</v>
      </c>
      <c r="F26" s="330" cm="1">
        <f t="array" ref="F26">IF($A26="","",IF($J26="Payment",IFERROR(INDEX(_xlfn._xlws.FILTER(MasterPaid[Amount Paid],(MasterPaid[Customer]=$M$3)*(MasterPaid[Date]=$A26)),COUNTIFS($A$6:$A26,$A26,$J$6:$J26,"Payment")),0),0))</f>
        <v>0</v>
      </c>
      <c r="G26" s="331"/>
      <c r="H26" s="331"/>
      <c r="I26" s="330">
        <f t="shared" si="9"/>
        <v>-2419161</v>
      </c>
      <c r="J26" s="318" t="str" cm="1">
        <f t="array" ref="J26">IFERROR(INDEX(_xlfn.ANCHORARRAY($P$6),ROW()-5,3),"")</f>
        <v>DIESEL</v>
      </c>
      <c r="K26" s="432" cm="1">
        <f t="array" ref="K26">IF(OR($A26="",$J26&lt;&gt;"DIESEL"),"",_xlfn.LET(_xlpm.qty,N($C26),_xlpm.pos,$T$5:$T$54,_xlpm.alo,IF($U$5:$U$54="",0,$U$5:$U$54),_xlpm.usd,SUMIFS($C$6:$C25,$K$6:$K25,_xlpm.pos&amp;""),_xlpm.bal,_xlpm.alo-_xlpm.usd,IFERROR(INDEX(_xlfn._xlws.FILTER(_xlpm.pos,(_xlpm.pos&lt;&gt;"")*(_xlpm.qty&gt;0)*(_xlpm.bal&gt;=_xlpm.qty)),1),"")))</f>
        <v>2110035067</v>
      </c>
      <c r="L26" s="290"/>
      <c r="M26" s="277"/>
      <c r="N26" s="277"/>
      <c r="O26" s="277"/>
      <c r="P26">
        <v>46229</v>
      </c>
      <c r="Q26" t="str">
        <v>1768</v>
      </c>
      <c r="R26" t="str">
        <v>DIESEL</v>
      </c>
      <c r="T26" s="439"/>
      <c r="U26" s="350"/>
      <c r="W26" s="316" t="str">
        <f t="shared" si="0"/>
        <v/>
      </c>
      <c r="X26" s="273" t="str">
        <f t="shared" si="1"/>
        <v/>
      </c>
      <c r="Y26" s="273" t="str">
        <f t="shared" si="2"/>
        <v/>
      </c>
      <c r="Z26" s="273" t="str">
        <f t="shared" si="3"/>
        <v/>
      </c>
      <c r="AA26" s="316" t="str">
        <f t="shared" si="4"/>
        <v/>
      </c>
      <c r="AC26" t="str" cm="1">
        <f t="array" ref="AC26">IF(INDEX($T$5:$T$54,ROW()-4)="","",INDEX($T$5:$T$54,ROW()-4))</f>
        <v/>
      </c>
      <c r="AD26" t="str">
        <f t="shared" si="5"/>
        <v/>
      </c>
      <c r="AE26" t="str">
        <f t="shared" si="6"/>
        <v/>
      </c>
      <c r="AF26" t="str">
        <f t="shared" si="7"/>
        <v/>
      </c>
      <c r="AG26">
        <f t="shared" si="8"/>
        <v>0</v>
      </c>
      <c r="AH26" t="str" cm="1">
        <f t="array" ref="AH26">IF($AC26="","",IF($AG26=1,SUMPRODUCT(($AG$5:$AG$54=1)*($AC$5:$AC$54&gt;$AC26))+1,SUM($AG$5:$AG$54)+SUMPRODUCT(($AG$5:$AG$54=0)*($AC$5:$AC$54&lt;&gt;"")*($AC$5:$AC$54&gt;$AC26))+1))</f>
        <v/>
      </c>
    </row>
    <row r="27" spans="1:34" ht="21.75" x14ac:dyDescent="0.25">
      <c r="A27" s="221" cm="1">
        <f t="array" ref="A27">IFERROR(INDEX(_xlfn.ANCHORARRAY($P$6),ROW()-5,1),"")</f>
        <v>46234</v>
      </c>
      <c r="B27" s="317" t="str" cm="1">
        <f t="array" ref="B27">IFERROR(INDEX(_xlfn.ANCHORARRAY($P$6),ROW()-5,2),"")</f>
        <v>1864</v>
      </c>
      <c r="C27" s="222">
        <f>IF($A27="","",IF($J27="DIESEL",SUMIFS(Table1[Quantity],Table1[Customer],$M$3,Table1[Date],$A27,Table1[Bill No.],$B27),IF($J27="PETROL",SUMIFS(Table14[Quantity],Table14[Customer],$M$3,Table14[Date],$A27,Table14[Bill No.],$B27),IF($J27="XtraGreen",SUMIFS(Table146[Quantity],Table146[Company],$M$3,Table146[Date],$A27,Table146[Bill No.],$B27),""))))</f>
        <v>12000</v>
      </c>
      <c r="D27" s="223">
        <f>IF($A27="","",IF($J27="DIESEL",AVERAGEIFS(Table1[RSP],Table1[Customer],$M$3,Table1[Date],$A27,Table1[Bill No.],$B27),IF($J27="PETROL",AVERAGEIFS(Table14[RSP],Table14[Customer],$M$3,Table14[Date],$A27,Table14[Bill No.],$B27),IF($J27="XtraGreen",AVERAGEIFS(Table146[RSP],Table146[Company],$M$3,Table146[Date],$A27,Table146[Bill No.],$B27),IFERROR($E27/$C27,"")))))</f>
        <v>99.5</v>
      </c>
      <c r="E27" s="330">
        <f>IF($A27="","",IF($J27="DIESEL",SUMIFS(Table1[Amount],Table1[Customer],$M$3,Table1[Date],$A27,Table1[Bill No.],$B27),IF($J27="PETROL",SUMIFS(Table14[Amount],Table14[Customer],$M$3,Table14[Date],$A27,Table14[Bill No.],$B27),IF($J27="XtraGreen",SUMIFS(Table146[Amount],Table146[Company],$M$3,Table146[Date],$A27,Table146[Bill No.],$B27),SUMIFS('Other Sale'!$D:$D,'Other Sale'!$E:$E,$M$3,'Other Sale'!$C:$C,$J27,'Other Sale'!$A:$A,$A27)))))</f>
        <v>1194000</v>
      </c>
      <c r="F27" s="330" cm="1">
        <f t="array" ref="F27">IF($A27="","",IF($J27="Payment",IFERROR(INDEX(_xlfn._xlws.FILTER(MasterPaid[Amount Paid],(MasterPaid[Customer]=$M$3)*(MasterPaid[Date]=$A27)),COUNTIFS($A$6:$A27,$A27,$J$6:$J27,"Payment")),0),0))</f>
        <v>0</v>
      </c>
      <c r="G27" s="331"/>
      <c r="H27" s="331"/>
      <c r="I27" s="330">
        <f t="shared" si="9"/>
        <v>-1225161</v>
      </c>
      <c r="J27" s="318" t="str" cm="1">
        <f t="array" ref="J27">IFERROR(INDEX(_xlfn.ANCHORARRAY($P$6),ROW()-5,3),"")</f>
        <v>DIESEL</v>
      </c>
      <c r="K27" s="432" cm="1">
        <f t="array" ref="K27">IF(OR($A27="",$J27&lt;&gt;"DIESEL"),"",_xlfn.LET(_xlpm.qty,N($C27),_xlpm.pos,$T$5:$T$54,_xlpm.alo,IF($U$5:$U$54="",0,$U$5:$U$54),_xlpm.usd,SUMIFS($C$6:$C26,$K$6:$K26,_xlpm.pos&amp;""),_xlpm.bal,_xlpm.alo-_xlpm.usd,IFERROR(INDEX(_xlfn._xlws.FILTER(_xlpm.pos,(_xlpm.pos&lt;&gt;"")*(_xlpm.qty&gt;0)*(_xlpm.bal&gt;=_xlpm.qty)),1),"")))</f>
        <v>2110035067</v>
      </c>
      <c r="L27" s="290"/>
      <c r="M27" s="277"/>
      <c r="N27" s="277"/>
      <c r="O27" s="277"/>
      <c r="P27">
        <v>46234</v>
      </c>
      <c r="Q27" t="str">
        <v>1864</v>
      </c>
      <c r="R27" t="str">
        <v>DIESEL</v>
      </c>
      <c r="T27" s="439"/>
      <c r="U27" s="350"/>
      <c r="W27" s="316" t="str">
        <f t="shared" si="0"/>
        <v/>
      </c>
      <c r="X27" s="273" t="str">
        <f t="shared" si="1"/>
        <v/>
      </c>
      <c r="Y27" s="273" t="str">
        <f t="shared" si="2"/>
        <v/>
      </c>
      <c r="Z27" s="273" t="str">
        <f t="shared" si="3"/>
        <v/>
      </c>
      <c r="AA27" s="316" t="str">
        <f t="shared" si="4"/>
        <v/>
      </c>
      <c r="AC27" t="str" cm="1">
        <f t="array" ref="AC27">IF(INDEX($T$5:$T$54,ROW()-4)="","",INDEX($T$5:$T$54,ROW()-4))</f>
        <v/>
      </c>
      <c r="AD27" t="str">
        <f t="shared" si="5"/>
        <v/>
      </c>
      <c r="AE27" t="str">
        <f t="shared" si="6"/>
        <v/>
      </c>
      <c r="AF27" t="str">
        <f t="shared" si="7"/>
        <v/>
      </c>
      <c r="AG27">
        <f t="shared" si="8"/>
        <v>0</v>
      </c>
      <c r="AH27" t="str" cm="1">
        <f t="array" ref="AH27">IF($AC27="","",IF($AG27=1,SUMPRODUCT(($AG$5:$AG$54=1)*($AC$5:$AC$54&gt;$AC27))+1,SUM($AG$5:$AG$54)+SUMPRODUCT(($AG$5:$AG$54=0)*($AC$5:$AC$54&lt;&gt;"")*($AC$5:$AC$54&gt;$AC27))+1))</f>
        <v/>
      </c>
    </row>
    <row r="28" spans="1:34" ht="21.75" x14ac:dyDescent="0.25">
      <c r="A28" s="221" cm="1">
        <f t="array" ref="A28">IFERROR(INDEX(_xlfn.ANCHORARRAY($P$6),ROW()-5,1),"")</f>
        <v>46234</v>
      </c>
      <c r="B28" s="317" t="str" cm="1">
        <f t="array" ref="B28">IFERROR(INDEX(_xlfn.ANCHORARRAY($P$6),ROW()-5,2),"")</f>
        <v>1888</v>
      </c>
      <c r="C28" s="222">
        <f>IF($A28="","",IF($J28="DIESEL",SUMIFS(Table1[Quantity],Table1[Customer],$M$3,Table1[Date],$A28,Table1[Bill No.],$B28),IF($J28="PETROL",SUMIFS(Table14[Quantity],Table14[Customer],$M$3,Table14[Date],$A28,Table14[Bill No.],$B28),IF($J28="XtraGreen",SUMIFS(Table146[Quantity],Table146[Company],$M$3,Table146[Date],$A28,Table146[Bill No.],$B28),""))))</f>
        <v>12000</v>
      </c>
      <c r="D28" s="223">
        <f>IF($A28="","",IF($J28="DIESEL",AVERAGEIFS(Table1[RSP],Table1[Customer],$M$3,Table1[Date],$A28,Table1[Bill No.],$B28),IF($J28="PETROL",AVERAGEIFS(Table14[RSP],Table14[Customer],$M$3,Table14[Date],$A28,Table14[Bill No.],$B28),IF($J28="XtraGreen",AVERAGEIFS(Table146[RSP],Table146[Company],$M$3,Table146[Date],$A28,Table146[Bill No.],$B28),IFERROR($E28/$C28,"")))))</f>
        <v>99.5</v>
      </c>
      <c r="E28" s="330">
        <f>IF($A28="","",IF($J28="DIESEL",SUMIFS(Table1[Amount],Table1[Customer],$M$3,Table1[Date],$A28,Table1[Bill No.],$B28),IF($J28="PETROL",SUMIFS(Table14[Amount],Table14[Customer],$M$3,Table14[Date],$A28,Table14[Bill No.],$B28),IF($J28="XtraGreen",SUMIFS(Table146[Amount],Table146[Company],$M$3,Table146[Date],$A28,Table146[Bill No.],$B28),SUMIFS('Other Sale'!$D:$D,'Other Sale'!$E:$E,$M$3,'Other Sale'!$C:$C,$J28,'Other Sale'!$A:$A,$A28)))))</f>
        <v>1194000</v>
      </c>
      <c r="F28" s="330" cm="1">
        <f t="array" ref="F28">IF($A28="","",IF($J28="Payment",IFERROR(INDEX(_xlfn._xlws.FILTER(MasterPaid[Amount Paid],(MasterPaid[Customer]=$M$3)*(MasterPaid[Date]=$A28)),COUNTIFS($A$6:$A28,$A28,$J$6:$J28,"Payment")),0),0))</f>
        <v>0</v>
      </c>
      <c r="G28" s="331"/>
      <c r="H28" s="331"/>
      <c r="I28" s="330">
        <f t="shared" si="9"/>
        <v>-31161</v>
      </c>
      <c r="J28" s="318" t="str" cm="1">
        <f t="array" ref="J28">IFERROR(INDEX(_xlfn.ANCHORARRAY($P$6),ROW()-5,3),"")</f>
        <v>DIESEL</v>
      </c>
      <c r="K28" s="432" cm="1">
        <f t="array" ref="K28">IF(OR($A28="",$J28&lt;&gt;"DIESEL"),"",_xlfn.LET(_xlpm.qty,N($C28),_xlpm.pos,$T$5:$T$54,_xlpm.alo,IF($U$5:$U$54="",0,$U$5:$U$54),_xlpm.usd,SUMIFS($C$6:$C27,$K$6:$K27,_xlpm.pos&amp;""),_xlpm.bal,_xlpm.alo-_xlpm.usd,IFERROR(INDEX(_xlfn._xlws.FILTER(_xlpm.pos,(_xlpm.pos&lt;&gt;"")*(_xlpm.qty&gt;0)*(_xlpm.bal&gt;=_xlpm.qty)),1),"")))</f>
        <v>2110035067</v>
      </c>
      <c r="L28" s="290"/>
      <c r="M28" s="277"/>
      <c r="N28" s="277"/>
      <c r="O28" s="277"/>
      <c r="P28">
        <v>46234</v>
      </c>
      <c r="Q28" t="str">
        <v>1888</v>
      </c>
      <c r="R28" t="str">
        <v>DIESEL</v>
      </c>
      <c r="T28" s="439"/>
      <c r="U28" s="350"/>
      <c r="W28" s="316" t="str">
        <f t="shared" si="0"/>
        <v/>
      </c>
      <c r="X28" s="273" t="str">
        <f t="shared" si="1"/>
        <v/>
      </c>
      <c r="Y28" s="273" t="str">
        <f t="shared" si="2"/>
        <v/>
      </c>
      <c r="Z28" s="273" t="str">
        <f t="shared" si="3"/>
        <v/>
      </c>
      <c r="AA28" s="316" t="str">
        <f t="shared" si="4"/>
        <v/>
      </c>
      <c r="AC28" t="str" cm="1">
        <f t="array" ref="AC28">IF(INDEX($T$5:$T$54,ROW()-4)="","",INDEX($T$5:$T$54,ROW()-4))</f>
        <v/>
      </c>
      <c r="AD28" t="str">
        <f t="shared" si="5"/>
        <v/>
      </c>
      <c r="AE28" t="str">
        <f t="shared" si="6"/>
        <v/>
      </c>
      <c r="AF28" t="str">
        <f t="shared" si="7"/>
        <v/>
      </c>
      <c r="AG28">
        <f t="shared" si="8"/>
        <v>0</v>
      </c>
      <c r="AH28" t="str" cm="1">
        <f t="array" ref="AH28">IF($AC28="","",IF($AG28=1,SUMPRODUCT(($AG$5:$AG$54=1)*($AC$5:$AC$54&gt;$AC28))+1,SUM($AG$5:$AG$54)+SUMPRODUCT(($AG$5:$AG$54=0)*($AC$5:$AC$54&lt;&gt;"")*($AC$5:$AC$54&gt;$AC28))+1))</f>
        <v/>
      </c>
    </row>
    <row r="29" spans="1:34" ht="21.75" x14ac:dyDescent="0.25">
      <c r="A29" s="221" cm="1">
        <f t="array" ref="A29">IFERROR(INDEX(_xlfn.ANCHORARRAY($P$6),ROW()-5,1),"")</f>
        <v>46237</v>
      </c>
      <c r="B29" s="317" t="str" cm="1">
        <f t="array" ref="B29">IFERROR(INDEX(_xlfn.ANCHORARRAY($P$6),ROW()-5,2),"")</f>
        <v>1940</v>
      </c>
      <c r="C29" s="222">
        <f>IF($A29="","",IF($J29="DIESEL",SUMIFS(Table1[Quantity],Table1[Customer],$M$3,Table1[Date],$A29,Table1[Bill No.],$B29),IF($J29="PETROL",SUMIFS(Table14[Quantity],Table14[Customer],$M$3,Table14[Date],$A29,Table14[Bill No.],$B29),IF($J29="XtraGreen",SUMIFS(Table146[Quantity],Table146[Company],$M$3,Table146[Date],$A29,Table146[Bill No.],$B29),""))))</f>
        <v>18000</v>
      </c>
      <c r="D29" s="223">
        <f>IF($A29="","",IF($J29="DIESEL",AVERAGEIFS(Table1[RSP],Table1[Customer],$M$3,Table1[Date],$A29,Table1[Bill No.],$B29),IF($J29="PETROL",AVERAGEIFS(Table14[RSP],Table14[Customer],$M$3,Table14[Date],$A29,Table14[Bill No.],$B29),IF($J29="XtraGreen",AVERAGEIFS(Table146[RSP],Table146[Company],$M$3,Table146[Date],$A29,Table146[Bill No.],$B29),IFERROR($E29/$C29,"")))))</f>
        <v>99.5</v>
      </c>
      <c r="E29" s="330">
        <f>IF($A29="","",IF($J29="DIESEL",SUMIFS(Table1[Amount],Table1[Customer],$M$3,Table1[Date],$A29,Table1[Bill No.],$B29),IF($J29="PETROL",SUMIFS(Table14[Amount],Table14[Customer],$M$3,Table14[Date],$A29,Table14[Bill No.],$B29),IF($J29="XtraGreen",SUMIFS(Table146[Amount],Table146[Company],$M$3,Table146[Date],$A29,Table146[Bill No.],$B29),SUMIFS('Other Sale'!$D:$D,'Other Sale'!$E:$E,$M$3,'Other Sale'!$C:$C,$J29,'Other Sale'!$A:$A,$A29)))))</f>
        <v>1791000</v>
      </c>
      <c r="F29" s="330" cm="1">
        <f t="array" ref="F29">IF($A29="","",IF($J29="Payment",IFERROR(INDEX(_xlfn._xlws.FILTER(MasterPaid[Amount Paid],(MasterPaid[Customer]=$M$3)*(MasterPaid[Date]=$A29)),COUNTIFS($A$6:$A29,$A29,$J$6:$J29,"Payment")),0),0))</f>
        <v>0</v>
      </c>
      <c r="G29" s="331"/>
      <c r="H29" s="331"/>
      <c r="I29" s="330">
        <f t="shared" si="9"/>
        <v>1759839</v>
      </c>
      <c r="J29" s="318" t="str" cm="1">
        <f t="array" ref="J29">IFERROR(INDEX(_xlfn.ANCHORARRAY($P$6),ROW()-5,3),"")</f>
        <v>DIESEL</v>
      </c>
      <c r="K29" s="432" cm="1">
        <f t="array" ref="K29">IF(OR($A29="",$J29&lt;&gt;"DIESEL"),"",_xlfn.LET(_xlpm.qty,N($C29),_xlpm.pos,$T$5:$T$54,_xlpm.alo,IF($U$5:$U$54="",0,$U$5:$U$54),_xlpm.usd,SUMIFS($C$6:$C28,$K$6:$K28,_xlpm.pos&amp;""),_xlpm.bal,_xlpm.alo-_xlpm.usd,IFERROR(INDEX(_xlfn._xlws.FILTER(_xlpm.pos,(_xlpm.pos&lt;&gt;"")*(_xlpm.qty&gt;0)*(_xlpm.bal&gt;=_xlpm.qty)),1),"")))</f>
        <v>2110035598</v>
      </c>
      <c r="L29" s="290"/>
      <c r="M29" s="277"/>
      <c r="N29" s="277"/>
      <c r="O29" s="277"/>
      <c r="P29">
        <v>46237</v>
      </c>
      <c r="Q29" t="str">
        <v>1940</v>
      </c>
      <c r="R29" t="str">
        <v>DIESEL</v>
      </c>
      <c r="T29" s="439"/>
      <c r="U29" s="350"/>
      <c r="W29" s="316" t="str">
        <f t="shared" si="0"/>
        <v/>
      </c>
      <c r="X29" s="273" t="str">
        <f t="shared" si="1"/>
        <v/>
      </c>
      <c r="Y29" s="273" t="str">
        <f t="shared" si="2"/>
        <v/>
      </c>
      <c r="Z29" s="273" t="str">
        <f t="shared" si="3"/>
        <v/>
      </c>
      <c r="AA29" s="316" t="str">
        <f t="shared" si="4"/>
        <v/>
      </c>
      <c r="AC29" t="str" cm="1">
        <f t="array" ref="AC29">IF(INDEX($T$5:$T$54,ROW()-4)="","",INDEX($T$5:$T$54,ROW()-4))</f>
        <v/>
      </c>
      <c r="AD29" t="str">
        <f t="shared" si="5"/>
        <v/>
      </c>
      <c r="AE29" t="str">
        <f t="shared" si="6"/>
        <v/>
      </c>
      <c r="AF29" t="str">
        <f t="shared" si="7"/>
        <v/>
      </c>
      <c r="AG29">
        <f t="shared" si="8"/>
        <v>0</v>
      </c>
      <c r="AH29" t="str" cm="1">
        <f t="array" ref="AH29">IF($AC29="","",IF($AG29=1,SUMPRODUCT(($AG$5:$AG$54=1)*($AC$5:$AC$54&gt;$AC29))+1,SUM($AG$5:$AG$54)+SUMPRODUCT(($AG$5:$AG$54=0)*($AC$5:$AC$54&lt;&gt;"")*($AC$5:$AC$54&gt;$AC29))+1))</f>
        <v/>
      </c>
    </row>
    <row r="30" spans="1:34" ht="21.75" x14ac:dyDescent="0.25">
      <c r="A30" s="221" cm="1">
        <f t="array" ref="A30">IFERROR(INDEX(_xlfn.ANCHORARRAY($P$6),ROW()-5,1),"")</f>
        <v>46238</v>
      </c>
      <c r="B30" s="317" t="str" cm="1">
        <f t="array" ref="B30">IFERROR(INDEX(_xlfn.ANCHORARRAY($P$6),ROW()-5,2),"")</f>
        <v>1954</v>
      </c>
      <c r="C30" s="222">
        <f>IF($A30="","",IF($J30="DIESEL",SUMIFS(Table1[Quantity],Table1[Customer],$M$3,Table1[Date],$A30,Table1[Bill No.],$B30),IF($J30="PETROL",SUMIFS(Table14[Quantity],Table14[Customer],$M$3,Table14[Date],$A30,Table14[Bill No.],$B30),IF($J30="XtraGreen",SUMIFS(Table146[Quantity],Table146[Company],$M$3,Table146[Date],$A30,Table146[Bill No.],$B30),""))))</f>
        <v>12000</v>
      </c>
      <c r="D30" s="223">
        <f>IF($A30="","",IF($J30="DIESEL",AVERAGEIFS(Table1[RSP],Table1[Customer],$M$3,Table1[Date],$A30,Table1[Bill No.],$B30),IF($J30="PETROL",AVERAGEIFS(Table14[RSP],Table14[Customer],$M$3,Table14[Date],$A30,Table14[Bill No.],$B30),IF($J30="XtraGreen",AVERAGEIFS(Table146[RSP],Table146[Company],$M$3,Table146[Date],$A30,Table146[Bill No.],$B30),IFERROR($E30/$C30,"")))))</f>
        <v>99.5</v>
      </c>
      <c r="E30" s="330">
        <f>IF($A30="","",IF($J30="DIESEL",SUMIFS(Table1[Amount],Table1[Customer],$M$3,Table1[Date],$A30,Table1[Bill No.],$B30),IF($J30="PETROL",SUMIFS(Table14[Amount],Table14[Customer],$M$3,Table14[Date],$A30,Table14[Bill No.],$B30),IF($J30="XtraGreen",SUMIFS(Table146[Amount],Table146[Company],$M$3,Table146[Date],$A30,Table146[Bill No.],$B30),SUMIFS('Other Sale'!$D:$D,'Other Sale'!$E:$E,$M$3,'Other Sale'!$C:$C,$J30,'Other Sale'!$A:$A,$A30)))))</f>
        <v>1194000</v>
      </c>
      <c r="F30" s="330" cm="1">
        <f t="array" ref="F30">IF($A30="","",IF($J30="Payment",IFERROR(INDEX(_xlfn._xlws.FILTER(MasterPaid[Amount Paid],(MasterPaid[Customer]=$M$3)*(MasterPaid[Date]=$A30)),COUNTIFS($A$6:$A30,$A30,$J$6:$J30,"Payment")),0),0))</f>
        <v>0</v>
      </c>
      <c r="G30" s="331"/>
      <c r="H30" s="331"/>
      <c r="I30" s="330">
        <f t="shared" si="9"/>
        <v>2953839</v>
      </c>
      <c r="J30" s="318" t="str" cm="1">
        <f t="array" ref="J30">IFERROR(INDEX(_xlfn.ANCHORARRAY($P$6),ROW()-5,3),"")</f>
        <v>DIESEL</v>
      </c>
      <c r="K30" s="432" cm="1">
        <f t="array" ref="K30">IF(OR($A30="",$J30&lt;&gt;"DIESEL"),"",_xlfn.LET(_xlpm.qty,N($C30),_xlpm.pos,$T$5:$T$54,_xlpm.alo,IF($U$5:$U$54="",0,$U$5:$U$54),_xlpm.usd,SUMIFS($C$6:$C29,$K$6:$K29,_xlpm.pos&amp;""),_xlpm.bal,_xlpm.alo-_xlpm.usd,IFERROR(INDEX(_xlfn._xlws.FILTER(_xlpm.pos,(_xlpm.pos&lt;&gt;"")*(_xlpm.qty&gt;0)*(_xlpm.bal&gt;=_xlpm.qty)),1),"")))</f>
        <v>2110035598</v>
      </c>
      <c r="L30" s="290"/>
      <c r="M30" s="277"/>
      <c r="N30" s="277"/>
      <c r="O30" s="277"/>
      <c r="P30">
        <v>46238</v>
      </c>
      <c r="Q30" t="str">
        <v>1954</v>
      </c>
      <c r="R30" t="str">
        <v>DIESEL</v>
      </c>
      <c r="T30" s="439"/>
      <c r="U30" s="350"/>
      <c r="W30" s="316" t="str">
        <f t="shared" si="0"/>
        <v/>
      </c>
      <c r="X30" s="273" t="str">
        <f t="shared" si="1"/>
        <v/>
      </c>
      <c r="Y30" s="273" t="str">
        <f t="shared" si="2"/>
        <v/>
      </c>
      <c r="Z30" s="273" t="str">
        <f t="shared" si="3"/>
        <v/>
      </c>
      <c r="AA30" s="316" t="str">
        <f t="shared" si="4"/>
        <v/>
      </c>
      <c r="AC30" t="str" cm="1">
        <f t="array" ref="AC30">IF(INDEX($T$5:$T$54,ROW()-4)="","",INDEX($T$5:$T$54,ROW()-4))</f>
        <v/>
      </c>
      <c r="AD30" t="str">
        <f t="shared" si="5"/>
        <v/>
      </c>
      <c r="AE30" t="str">
        <f t="shared" si="6"/>
        <v/>
      </c>
      <c r="AF30" t="str">
        <f t="shared" si="7"/>
        <v/>
      </c>
      <c r="AG30">
        <f t="shared" si="8"/>
        <v>0</v>
      </c>
      <c r="AH30" t="str" cm="1">
        <f t="array" ref="AH30">IF($AC30="","",IF($AG30=1,SUMPRODUCT(($AG$5:$AG$54=1)*($AC$5:$AC$54&gt;$AC30))+1,SUM($AG$5:$AG$54)+SUMPRODUCT(($AG$5:$AG$54=0)*($AC$5:$AC$54&lt;&gt;"")*($AC$5:$AC$54&gt;$AC30))+1))</f>
        <v/>
      </c>
    </row>
    <row r="31" spans="1:34" ht="23" x14ac:dyDescent="0.25">
      <c r="A31" s="221" cm="1">
        <f t="array" ref="A31">IFERROR(INDEX(_xlfn.ANCHORARRAY($P$6),ROW()-5,1),"")</f>
        <v>46241</v>
      </c>
      <c r="B31" s="317" t="str" cm="1">
        <f t="array" ref="B31">IFERROR(INDEX(_xlfn.ANCHORARRAY($P$6),ROW()-5,2),"")</f>
        <v/>
      </c>
      <c r="C31" s="222" t="str">
        <f>IF($A31="","",IF($J31="DIESEL",SUMIFS(Table1[Quantity],Table1[Customer],$M$3,Table1[Date],$A31,Table1[Bill No.],$B31),IF($J31="PETROL",SUMIFS(Table14[Quantity],Table14[Customer],$M$3,Table14[Date],$A31,Table14[Bill No.],$B31),IF($J31="XtraGreen",SUMIFS(Table146[Quantity],Table146[Company],$M$3,Table146[Date],$A31,Table146[Bill No.],$B31),""))))</f>
        <v/>
      </c>
      <c r="D31" s="223" t="str">
        <f>IF($A31="","",IF($J31="DIESEL",AVERAGEIFS(Table1[RSP],Table1[Customer],$M$3,Table1[Date],$A31,Table1[Bill No.],$B31),IF($J31="PETROL",AVERAGEIFS(Table14[RSP],Table14[Customer],$M$3,Table14[Date],$A31,Table14[Bill No.],$B31),IF($J31="XtraGreen",AVERAGEIFS(Table146[RSP],Table146[Company],$M$3,Table146[Date],$A31,Table146[Bill No.],$B31),IFERROR($E31/$C31,"")))))</f>
        <v/>
      </c>
      <c r="E31" s="330">
        <f>IF($A31="","",IF($J31="DIESEL",SUMIFS(Table1[Amount],Table1[Customer],$M$3,Table1[Date],$A31,Table1[Bill No.],$B31),IF($J31="PETROL",SUMIFS(Table14[Amount],Table14[Customer],$M$3,Table14[Date],$A31,Table14[Bill No.],$B31),IF($J31="XtraGreen",SUMIFS(Table146[Amount],Table146[Company],$M$3,Table146[Date],$A31,Table146[Bill No.],$B31),SUMIFS('Other Sale'!$D:$D,'Other Sale'!$E:$E,$M$3,'Other Sale'!$C:$C,$J31,'Other Sale'!$A:$A,$A31)))))</f>
        <v>0</v>
      </c>
      <c r="F31" s="330" cm="1">
        <f t="array" ref="F31">IF($A31="","",IF($J31="Payment",IFERROR(INDEX(_xlfn._xlws.FILTER(MasterPaid[Amount Paid],(MasterPaid[Customer]=$M$3)*(MasterPaid[Date]=$A31)),COUNTIFS($A$6:$A31,$A31,$J$6:$J31,"Payment")),0),0))</f>
        <v>5964030</v>
      </c>
      <c r="G31" s="331">
        <v>5970</v>
      </c>
      <c r="H31" s="331"/>
      <c r="I31" s="330">
        <f t="shared" si="9"/>
        <v>-3016161</v>
      </c>
      <c r="J31" s="318" t="str" cm="1">
        <f t="array" ref="J31">IFERROR(INDEX(_xlfn.ANCHORARRAY($P$6),ROW()-5,3),"")</f>
        <v>Payment</v>
      </c>
      <c r="K31" s="432" t="str" cm="1">
        <f t="array" ref="K31">IF(OR($A31="",$J31&lt;&gt;"DIESEL"),"",_xlfn.LET(_xlpm.qty,N($C31),_xlpm.pos,$T$5:$T$54,_xlpm.alo,IF($U$5:$U$54="",0,$U$5:$U$54),_xlpm.usd,SUMIFS($C$6:$C30,$K$6:$K30,_xlpm.pos&amp;""),_xlpm.bal,_xlpm.alo-_xlpm.usd,IFERROR(INDEX(_xlfn._xlws.FILTER(_xlpm.pos,(_xlpm.pos&lt;&gt;"")*(_xlpm.qty&gt;0)*(_xlpm.bal&gt;=_xlpm.qty)),1),"")))</f>
        <v/>
      </c>
      <c r="L31" s="290"/>
      <c r="M31" s="277"/>
      <c r="N31" s="277"/>
      <c r="O31" s="277"/>
      <c r="P31">
        <v>46241</v>
      </c>
      <c r="Q31" t="str">
        <v/>
      </c>
      <c r="R31" t="str">
        <v>Payment</v>
      </c>
      <c r="T31" s="439"/>
      <c r="U31" s="350"/>
      <c r="W31" s="316" t="str">
        <f t="shared" si="0"/>
        <v/>
      </c>
      <c r="X31" s="273" t="str">
        <f t="shared" si="1"/>
        <v/>
      </c>
      <c r="Y31" s="273" t="str">
        <f t="shared" si="2"/>
        <v/>
      </c>
      <c r="Z31" s="273" t="str">
        <f t="shared" si="3"/>
        <v/>
      </c>
      <c r="AA31" s="316" t="str">
        <f t="shared" si="4"/>
        <v/>
      </c>
      <c r="AC31" t="str" cm="1">
        <f t="array" ref="AC31">IF(INDEX($T$5:$T$54,ROW()-4)="","",INDEX($T$5:$T$54,ROW()-4))</f>
        <v/>
      </c>
      <c r="AD31" t="str">
        <f t="shared" si="5"/>
        <v/>
      </c>
      <c r="AE31" t="str">
        <f t="shared" si="6"/>
        <v/>
      </c>
      <c r="AF31" t="str">
        <f t="shared" si="7"/>
        <v/>
      </c>
      <c r="AG31">
        <f t="shared" si="8"/>
        <v>0</v>
      </c>
      <c r="AH31" t="str" cm="1">
        <f t="array" ref="AH31">IF($AC31="","",IF($AG31=1,SUMPRODUCT(($AG$5:$AG$54=1)*($AC$5:$AC$54&gt;$AC31))+1,SUM($AG$5:$AG$54)+SUMPRODUCT(($AG$5:$AG$54=0)*($AC$5:$AC$54&lt;&gt;"")*($AC$5:$AC$54&gt;$AC31))+1))</f>
        <v/>
      </c>
    </row>
    <row r="32" spans="1:34" ht="23" x14ac:dyDescent="0.25">
      <c r="A32" s="221" cm="1">
        <f t="array" ref="A32">IFERROR(INDEX(_xlfn.ANCHORARRAY($P$6),ROW()-5,1),"")</f>
        <v>46242</v>
      </c>
      <c r="B32" s="317" t="str" cm="1">
        <f t="array" ref="B32">IFERROR(INDEX(_xlfn.ANCHORARRAY($P$6),ROW()-5,2),"")</f>
        <v>2066</v>
      </c>
      <c r="C32" s="222">
        <f>IF($A32="","",IF($J32="DIESEL",SUMIFS(Table1[Quantity],Table1[Customer],$M$3,Table1[Date],$A32,Table1[Bill No.],$B32),IF($J32="PETROL",SUMIFS(Table14[Quantity],Table14[Customer],$M$3,Table14[Date],$A32,Table14[Bill No.],$B32),IF($J32="XtraGreen",SUMIFS(Table146[Quantity],Table146[Company],$M$3,Table146[Date],$A32,Table146[Bill No.],$B32),""))))</f>
        <v>12000</v>
      </c>
      <c r="D32" s="223">
        <f>IF($A32="","",IF($J32="DIESEL",AVERAGEIFS(Table1[RSP],Table1[Customer],$M$3,Table1[Date],$A32,Table1[Bill No.],$B32),IF($J32="PETROL",AVERAGEIFS(Table14[RSP],Table14[Customer],$M$3,Table14[Date],$A32,Table14[Bill No.],$B32),IF($J32="XtraGreen",AVERAGEIFS(Table146[RSP],Table146[Company],$M$3,Table146[Date],$A32,Table146[Bill No.],$B32),IFERROR($E32/$C32,"")))))</f>
        <v>99.5</v>
      </c>
      <c r="E32" s="330">
        <f>IF($A32="","",IF($J32="DIESEL",SUMIFS(Table1[Amount],Table1[Customer],$M$3,Table1[Date],$A32,Table1[Bill No.],$B32),IF($J32="PETROL",SUMIFS(Table14[Amount],Table14[Customer],$M$3,Table14[Date],$A32,Table14[Bill No.],$B32),IF($J32="XtraGreen",SUMIFS(Table146[Amount],Table146[Company],$M$3,Table146[Date],$A32,Table146[Bill No.],$B32),SUMIFS('Other Sale'!$D:$D,'Other Sale'!$E:$E,$M$3,'Other Sale'!$C:$C,$J32,'Other Sale'!$A:$A,$A32)))))</f>
        <v>1194000</v>
      </c>
      <c r="F32" s="330" cm="1">
        <f t="array" ref="F32">IF($A32="","",IF($J32="Payment",IFERROR(INDEX(_xlfn._xlws.FILTER(MasterPaid[Amount Paid],(MasterPaid[Customer]=$M$3)*(MasterPaid[Date]=$A32)),COUNTIFS($A$6:$A32,$A32,$J$6:$J32,"Payment")),0),0))</f>
        <v>0</v>
      </c>
      <c r="G32" s="331"/>
      <c r="H32" s="331"/>
      <c r="I32" s="330">
        <f t="shared" si="9"/>
        <v>-1822161</v>
      </c>
      <c r="J32" s="318" t="str" cm="1">
        <f t="array" ref="J32">IFERROR(INDEX(_xlfn.ANCHORARRAY($P$6),ROW()-5,3),"")</f>
        <v>DIESEL</v>
      </c>
      <c r="K32" s="432" cm="1">
        <f t="array" ref="K32">IF(OR($A32="",$J32&lt;&gt;"DIESEL"),"",_xlfn.LET(_xlpm.qty,N($C32),_xlpm.pos,$T$5:$T$54,_xlpm.alo,IF($U$5:$U$54="",0,$U$5:$U$54),_xlpm.usd,SUMIFS($C$6:$C31,$K$6:$K31,_xlpm.pos&amp;""),_xlpm.bal,_xlpm.alo-_xlpm.usd,IFERROR(INDEX(_xlfn._xlws.FILTER(_xlpm.pos,(_xlpm.pos&lt;&gt;"")*(_xlpm.qty&gt;0)*(_xlpm.bal&gt;=_xlpm.qty)),1),"")))</f>
        <v>2110035598</v>
      </c>
      <c r="L32" s="290"/>
      <c r="M32" s="277"/>
      <c r="N32" s="277"/>
      <c r="O32" s="277"/>
      <c r="P32">
        <v>46242</v>
      </c>
      <c r="Q32" t="str">
        <v>2066</v>
      </c>
      <c r="R32" t="str">
        <v>DIESEL</v>
      </c>
      <c r="T32" s="439"/>
      <c r="U32" s="350"/>
      <c r="W32" s="316" t="str">
        <f t="shared" si="0"/>
        <v/>
      </c>
      <c r="X32" s="273" t="str">
        <f t="shared" si="1"/>
        <v/>
      </c>
      <c r="Y32" s="273" t="str">
        <f t="shared" si="2"/>
        <v/>
      </c>
      <c r="Z32" s="273" t="str">
        <f t="shared" si="3"/>
        <v/>
      </c>
      <c r="AA32" s="316" t="str">
        <f t="shared" si="4"/>
        <v/>
      </c>
      <c r="AC32" t="str" cm="1">
        <f t="array" ref="AC32">IF(INDEX($T$5:$T$54,ROW()-4)="","",INDEX($T$5:$T$54,ROW()-4))</f>
        <v/>
      </c>
      <c r="AD32" t="str">
        <f t="shared" si="5"/>
        <v/>
      </c>
      <c r="AE32" t="str">
        <f t="shared" si="6"/>
        <v/>
      </c>
      <c r="AF32" t="str">
        <f t="shared" si="7"/>
        <v/>
      </c>
      <c r="AG32">
        <f t="shared" si="8"/>
        <v>0</v>
      </c>
      <c r="AH32" t="str" cm="1">
        <f t="array" ref="AH32">IF($AC32="","",IF($AG32=1,SUMPRODUCT(($AG$5:$AG$54=1)*($AC$5:$AC$54&gt;$AC32))+1,SUM($AG$5:$AG$54)+SUMPRODUCT(($AG$5:$AG$54=0)*($AC$5:$AC$54&lt;&gt;"")*($AC$5:$AC$54&gt;$AC32))+1))</f>
        <v/>
      </c>
    </row>
    <row r="33" spans="1:34" ht="23" x14ac:dyDescent="0.25">
      <c r="A33" s="221" cm="1">
        <f t="array" ref="A33">IFERROR(INDEX(_xlfn.ANCHORARRAY($P$6),ROW()-5,1),"")</f>
        <v>46251</v>
      </c>
      <c r="B33" s="317" t="str" cm="1">
        <f t="array" ref="B33">IFERROR(INDEX(_xlfn.ANCHORARRAY($P$6),ROW()-5,2),"")</f>
        <v>2225</v>
      </c>
      <c r="C33" s="222">
        <f>IF($A33="","",IF($J33="DIESEL",SUMIFS(Table1[Quantity],Table1[Customer],$M$3,Table1[Date],$A33,Table1[Bill No.],$B33),IF($J33="PETROL",SUMIFS(Table14[Quantity],Table14[Customer],$M$3,Table14[Date],$A33,Table14[Bill No.],$B33),IF($J33="XtraGreen",SUMIFS(Table146[Quantity],Table146[Company],$M$3,Table146[Date],$A33,Table146[Bill No.],$B33),""))))</f>
        <v>18000</v>
      </c>
      <c r="D33" s="223">
        <f>IF($A33="","",IF($J33="DIESEL",AVERAGEIFS(Table1[RSP],Table1[Customer],$M$3,Table1[Date],$A33,Table1[Bill No.],$B33),IF($J33="PETROL",AVERAGEIFS(Table14[RSP],Table14[Customer],$M$3,Table14[Date],$A33,Table14[Bill No.],$B33),IF($J33="XtraGreen",AVERAGEIFS(Table146[RSP],Table146[Company],$M$3,Table146[Date],$A33,Table146[Bill No.],$B33),IFERROR($E33/$C33,"")))))</f>
        <v>99.5</v>
      </c>
      <c r="E33" s="330">
        <f>IF($A33="","",IF($J33="DIESEL",SUMIFS(Table1[Amount],Table1[Customer],$M$3,Table1[Date],$A33,Table1[Bill No.],$B33),IF($J33="PETROL",SUMIFS(Table14[Amount],Table14[Customer],$M$3,Table14[Date],$A33,Table14[Bill No.],$B33),IF($J33="XtraGreen",SUMIFS(Table146[Amount],Table146[Company],$M$3,Table146[Date],$A33,Table146[Bill No.],$B33),SUMIFS('Other Sale'!$D:$D,'Other Sale'!$E:$E,$M$3,'Other Sale'!$C:$C,$J33,'Other Sale'!$A:$A,$A33)))))</f>
        <v>1791000</v>
      </c>
      <c r="F33" s="330" cm="1">
        <f t="array" ref="F33">IF($A33="","",IF($J33="Payment",IFERROR(INDEX(_xlfn._xlws.FILTER(MasterPaid[Amount Paid],(MasterPaid[Customer]=$M$3)*(MasterPaid[Date]=$A33)),COUNTIFS($A$6:$A33,$A33,$J$6:$J33,"Payment")),0),0))</f>
        <v>0</v>
      </c>
      <c r="G33" s="331"/>
      <c r="H33" s="331"/>
      <c r="I33" s="330">
        <f t="shared" si="9"/>
        <v>-31161</v>
      </c>
      <c r="J33" s="318" t="str" cm="1">
        <f t="array" ref="J33">IFERROR(INDEX(_xlfn.ANCHORARRAY($P$6),ROW()-5,3),"")</f>
        <v>DIESEL</v>
      </c>
      <c r="K33" s="432" cm="1">
        <f t="array" ref="K33">IF(OR($A33="",$J33&lt;&gt;"DIESEL"),"",_xlfn.LET(_xlpm.qty,N($C33),_xlpm.pos,$T$5:$T$54,_xlpm.alo,IF($U$5:$U$54="",0,$U$5:$U$54),_xlpm.usd,SUMIFS($C$6:$C32,$K$6:$K32,_xlpm.pos&amp;""),_xlpm.bal,_xlpm.alo-_xlpm.usd,IFERROR(INDEX(_xlfn._xlws.FILTER(_xlpm.pos,(_xlpm.pos&lt;&gt;"")*(_xlpm.qty&gt;0)*(_xlpm.bal&gt;=_xlpm.qty)),1),"")))</f>
        <v>2110035598</v>
      </c>
      <c r="L33" s="290"/>
      <c r="M33" s="277"/>
      <c r="N33" s="277"/>
      <c r="O33" s="277"/>
      <c r="P33">
        <v>46251</v>
      </c>
      <c r="Q33" t="str">
        <v>2225</v>
      </c>
      <c r="R33" t="str">
        <v>DIESEL</v>
      </c>
      <c r="T33" s="439"/>
      <c r="U33" s="350"/>
      <c r="W33" s="316" t="str">
        <f t="shared" si="0"/>
        <v/>
      </c>
      <c r="X33" s="273" t="str">
        <f t="shared" si="1"/>
        <v/>
      </c>
      <c r="Y33" s="273" t="str">
        <f t="shared" si="2"/>
        <v/>
      </c>
      <c r="Z33" s="273" t="str">
        <f t="shared" si="3"/>
        <v/>
      </c>
      <c r="AA33" s="316" t="str">
        <f t="shared" si="4"/>
        <v/>
      </c>
      <c r="AC33" t="str" cm="1">
        <f t="array" ref="AC33">IF(INDEX($T$5:$T$54,ROW()-4)="","",INDEX($T$5:$T$54,ROW()-4))</f>
        <v/>
      </c>
      <c r="AD33" t="str">
        <f t="shared" si="5"/>
        <v/>
      </c>
      <c r="AE33" t="str">
        <f t="shared" si="6"/>
        <v/>
      </c>
      <c r="AF33" t="str">
        <f t="shared" si="7"/>
        <v/>
      </c>
      <c r="AG33">
        <f t="shared" si="8"/>
        <v>0</v>
      </c>
      <c r="AH33" t="str" cm="1">
        <f t="array" ref="AH33">IF($AC33="","",IF($AG33=1,SUMPRODUCT(($AG$5:$AG$54=1)*($AC$5:$AC$54&gt;$AC33))+1,SUM($AG$5:$AG$54)+SUMPRODUCT(($AG$5:$AG$54=0)*($AC$5:$AC$54&lt;&gt;"")*($AC$5:$AC$54&gt;$AC33))+1))</f>
        <v/>
      </c>
    </row>
    <row r="34" spans="1:34" ht="23" x14ac:dyDescent="0.25">
      <c r="A34" s="221" cm="1">
        <f t="array" ref="A34">IFERROR(INDEX(_xlfn.ANCHORARRAY($P$6),ROW()-5,1),"")</f>
        <v>46255</v>
      </c>
      <c r="B34" s="317" t="str" cm="1">
        <f t="array" ref="B34">IFERROR(INDEX(_xlfn.ANCHORARRAY($P$6),ROW()-5,2),"")</f>
        <v/>
      </c>
      <c r="C34" s="222" t="str">
        <f>IF($A34="","",IF($J34="DIESEL",SUMIFS(Table1[Quantity],Table1[Customer],$M$3,Table1[Date],$A34,Table1[Bill No.],$B34),IF($J34="PETROL",SUMIFS(Table14[Quantity],Table14[Customer],$M$3,Table14[Date],$A34,Table14[Bill No.],$B34),IF($J34="XtraGreen",SUMIFS(Table146[Quantity],Table146[Company],$M$3,Table146[Date],$A34,Table146[Bill No.],$B34),""))))</f>
        <v/>
      </c>
      <c r="D34" s="223" t="str">
        <f>IF($A34="","",IF($J34="DIESEL",AVERAGEIFS(Table1[RSP],Table1[Customer],$M$3,Table1[Date],$A34,Table1[Bill No.],$B34),IF($J34="PETROL",AVERAGEIFS(Table14[RSP],Table14[Customer],$M$3,Table14[Date],$A34,Table14[Bill No.],$B34),IF($J34="XtraGreen",AVERAGEIFS(Table146[RSP],Table146[Company],$M$3,Table146[Date],$A34,Table146[Bill No.],$B34),IFERROR($E34/$C34,"")))))</f>
        <v/>
      </c>
      <c r="E34" s="330">
        <f>IF($A34="","",IF($J34="DIESEL",SUMIFS(Table1[Amount],Table1[Customer],$M$3,Table1[Date],$A34,Table1[Bill No.],$B34),IF($J34="PETROL",SUMIFS(Table14[Amount],Table14[Customer],$M$3,Table14[Date],$A34,Table14[Bill No.],$B34),IF($J34="XtraGreen",SUMIFS(Table146[Amount],Table146[Company],$M$3,Table146[Date],$A34,Table146[Bill No.],$B34),SUMIFS('Other Sale'!$D:$D,'Other Sale'!$E:$E,$M$3,'Other Sale'!$C:$C,$J34,'Other Sale'!$A:$A,$A34)))))</f>
        <v>0</v>
      </c>
      <c r="F34" s="330" cm="1">
        <f t="array" ref="F34">IF($A34="","",IF($J34="Payment",IFERROR(INDEX(_xlfn._xlws.FILTER(MasterPaid[Amount Paid],(MasterPaid[Customer]=$M$3)*(MasterPaid[Date]=$A34)),COUNTIFS($A$6:$A34,$A34,$J$6:$J34,"Payment")),0),0))</f>
        <v>5964030</v>
      </c>
      <c r="G34" s="331">
        <v>5970</v>
      </c>
      <c r="H34" s="331"/>
      <c r="I34" s="330">
        <f t="shared" si="9"/>
        <v>-6001161</v>
      </c>
      <c r="J34" s="318" t="str" cm="1">
        <f t="array" ref="J34">IFERROR(INDEX(_xlfn.ANCHORARRAY($P$6),ROW()-5,3),"")</f>
        <v>Payment</v>
      </c>
      <c r="K34" s="432" t="str" cm="1">
        <f t="array" ref="K34">IF(OR($A34="",$J34&lt;&gt;"DIESEL"),"",_xlfn.LET(_xlpm.qty,N($C34),_xlpm.pos,$T$5:$T$54,_xlpm.alo,IF($U$5:$U$54="",0,$U$5:$U$54),_xlpm.usd,SUMIFS($C$6:$C33,$K$6:$K33,_xlpm.pos&amp;""),_xlpm.bal,_xlpm.alo-_xlpm.usd,IFERROR(INDEX(_xlfn._xlws.FILTER(_xlpm.pos,(_xlpm.pos&lt;&gt;"")*(_xlpm.qty&gt;0)*(_xlpm.bal&gt;=_xlpm.qty)),1),"")))</f>
        <v/>
      </c>
      <c r="L34" s="290"/>
      <c r="M34" s="277"/>
      <c r="N34" s="277"/>
      <c r="O34" s="277"/>
      <c r="P34">
        <v>46255</v>
      </c>
      <c r="Q34" t="str">
        <v/>
      </c>
      <c r="R34" t="str">
        <v>Payment</v>
      </c>
      <c r="T34" s="439"/>
      <c r="U34" s="350"/>
      <c r="W34" s="316" t="str">
        <f t="shared" si="0"/>
        <v/>
      </c>
      <c r="X34" s="273" t="str">
        <f t="shared" si="1"/>
        <v/>
      </c>
      <c r="Y34" s="273" t="str">
        <f t="shared" si="2"/>
        <v/>
      </c>
      <c r="Z34" s="273" t="str">
        <f t="shared" si="3"/>
        <v/>
      </c>
      <c r="AA34" s="316" t="str">
        <f t="shared" si="4"/>
        <v/>
      </c>
      <c r="AC34" t="str" cm="1">
        <f t="array" ref="AC34">IF(INDEX($T$5:$T$54,ROW()-4)="","",INDEX($T$5:$T$54,ROW()-4))</f>
        <v/>
      </c>
      <c r="AD34" t="str">
        <f t="shared" si="5"/>
        <v/>
      </c>
      <c r="AE34" t="str">
        <f t="shared" si="6"/>
        <v/>
      </c>
      <c r="AF34" t="str">
        <f t="shared" si="7"/>
        <v/>
      </c>
      <c r="AG34">
        <f t="shared" si="8"/>
        <v>0</v>
      </c>
      <c r="AH34" t="str" cm="1">
        <f t="array" ref="AH34">IF($AC34="","",IF($AG34=1,SUMPRODUCT(($AG$5:$AG$54=1)*($AC$5:$AC$54&gt;$AC34))+1,SUM($AG$5:$AG$54)+SUMPRODUCT(($AG$5:$AG$54=0)*($AC$5:$AC$54&lt;&gt;"")*($AC$5:$AC$54&gt;$AC34))+1))</f>
        <v/>
      </c>
    </row>
    <row r="35" spans="1:34" ht="23" x14ac:dyDescent="0.25">
      <c r="A35" s="221" cm="1">
        <f t="array" ref="A35">IFERROR(INDEX(_xlfn.ANCHORARRAY($P$6),ROW()-5,1),"")</f>
        <v>46256</v>
      </c>
      <c r="B35" s="317" t="str" cm="1">
        <f t="array" ref="B35">IFERROR(INDEX(_xlfn.ANCHORARRAY($P$6),ROW()-5,2),"")</f>
        <v>2293</v>
      </c>
      <c r="C35" s="222">
        <f>IF($A35="","",IF($J35="DIESEL",SUMIFS(Table1[Quantity],Table1[Customer],$M$3,Table1[Date],$A35,Table1[Bill No.],$B35),IF($J35="PETROL",SUMIFS(Table14[Quantity],Table14[Customer],$M$3,Table14[Date],$A35,Table14[Bill No.],$B35),IF($J35="XtraGreen",SUMIFS(Table146[Quantity],Table146[Company],$M$3,Table146[Date],$A35,Table146[Bill No.],$B35),""))))</f>
        <v>12000</v>
      </c>
      <c r="D35" s="223">
        <f>IF($A35="","",IF($J35="DIESEL",AVERAGEIFS(Table1[RSP],Table1[Customer],$M$3,Table1[Date],$A35,Table1[Bill No.],$B35),IF($J35="PETROL",AVERAGEIFS(Table14[RSP],Table14[Customer],$M$3,Table14[Date],$A35,Table14[Bill No.],$B35),IF($J35="XtraGreen",AVERAGEIFS(Table146[RSP],Table146[Company],$M$3,Table146[Date],$A35,Table146[Bill No.],$B35),IFERROR($E35/$C35,"")))))</f>
        <v>99.5</v>
      </c>
      <c r="E35" s="330">
        <f>IF($A35="","",IF($J35="DIESEL",SUMIFS(Table1[Amount],Table1[Customer],$M$3,Table1[Date],$A35,Table1[Bill No.],$B35),IF($J35="PETROL",SUMIFS(Table14[Amount],Table14[Customer],$M$3,Table14[Date],$A35,Table14[Bill No.],$B35),IF($J35="XtraGreen",SUMIFS(Table146[Amount],Table146[Company],$M$3,Table146[Date],$A35,Table146[Bill No.],$B35),SUMIFS('Other Sale'!$D:$D,'Other Sale'!$E:$E,$M$3,'Other Sale'!$C:$C,$J35,'Other Sale'!$A:$A,$A35)))))</f>
        <v>1194000</v>
      </c>
      <c r="F35" s="330" cm="1">
        <f t="array" ref="F35">IF($A35="","",IF($J35="Payment",IFERROR(INDEX(_xlfn._xlws.FILTER(MasterPaid[Amount Paid],(MasterPaid[Customer]=$M$3)*(MasterPaid[Date]=$A35)),COUNTIFS($A$6:$A35,$A35,$J$6:$J35,"Payment")),0),0))</f>
        <v>0</v>
      </c>
      <c r="G35" s="331"/>
      <c r="H35" s="331"/>
      <c r="I35" s="330">
        <f t="shared" si="9"/>
        <v>-4807161</v>
      </c>
      <c r="J35" s="318" t="str" cm="1">
        <f t="array" ref="J35">IFERROR(INDEX(_xlfn.ANCHORARRAY($P$6),ROW()-5,3),"")</f>
        <v>DIESEL</v>
      </c>
      <c r="K35" s="432" cm="1">
        <f t="array" ref="K35">IF(OR($A35="",$J35&lt;&gt;"DIESEL"),"",_xlfn.LET(_xlpm.qty,N($C35),_xlpm.pos,$T$5:$T$54,_xlpm.alo,IF($U$5:$U$54="",0,$U$5:$U$54),_xlpm.usd,SUMIFS($C$6:$C34,$K$6:$K34,_xlpm.pos&amp;""),_xlpm.bal,_xlpm.alo-_xlpm.usd,IFERROR(INDEX(_xlfn._xlws.FILTER(_xlpm.pos,(_xlpm.pos&lt;&gt;"")*(_xlpm.qty&gt;0)*(_xlpm.bal&gt;=_xlpm.qty)),1),"")))</f>
        <v>2110036026</v>
      </c>
      <c r="L35" s="290"/>
      <c r="M35" s="277"/>
      <c r="N35" s="277"/>
      <c r="O35" s="277"/>
      <c r="P35">
        <v>46256</v>
      </c>
      <c r="Q35" t="str">
        <v>2293</v>
      </c>
      <c r="R35" t="str">
        <v>DIESEL</v>
      </c>
      <c r="T35" s="439"/>
      <c r="U35" s="350"/>
      <c r="W35" s="316" t="str">
        <f t="shared" si="0"/>
        <v/>
      </c>
      <c r="X35" s="273" t="str">
        <f t="shared" si="1"/>
        <v/>
      </c>
      <c r="Y35" s="273" t="str">
        <f t="shared" si="2"/>
        <v/>
      </c>
      <c r="Z35" s="273" t="str">
        <f t="shared" si="3"/>
        <v/>
      </c>
      <c r="AA35" s="316" t="str">
        <f t="shared" si="4"/>
        <v/>
      </c>
      <c r="AC35" t="str" cm="1">
        <f t="array" ref="AC35">IF(INDEX($T$5:$T$54,ROW()-4)="","",INDEX($T$5:$T$54,ROW()-4))</f>
        <v/>
      </c>
      <c r="AD35" t="str">
        <f t="shared" si="5"/>
        <v/>
      </c>
      <c r="AE35" t="str">
        <f t="shared" si="6"/>
        <v/>
      </c>
      <c r="AF35" t="str">
        <f t="shared" si="7"/>
        <v/>
      </c>
      <c r="AG35">
        <f t="shared" si="8"/>
        <v>0</v>
      </c>
      <c r="AH35" t="str" cm="1">
        <f t="array" ref="AH35">IF($AC35="","",IF($AG35=1,SUMPRODUCT(($AG$5:$AG$54=1)*($AC$5:$AC$54&gt;$AC35))+1,SUM($AG$5:$AG$54)+SUMPRODUCT(($AG$5:$AG$54=0)*($AC$5:$AC$54&lt;&gt;"")*($AC$5:$AC$54&gt;$AC35))+1))</f>
        <v/>
      </c>
    </row>
    <row r="36" spans="1:34" ht="23" x14ac:dyDescent="0.25">
      <c r="A36" s="221" cm="1">
        <f t="array" ref="A36">IFERROR(INDEX(_xlfn.ANCHORARRAY($P$6),ROW()-5,1),"")</f>
        <v>46257</v>
      </c>
      <c r="B36" s="317" t="str" cm="1">
        <f t="array" ref="B36">IFERROR(INDEX(_xlfn.ANCHORARRAY($P$6),ROW()-5,2),"")</f>
        <v>2316</v>
      </c>
      <c r="C36" s="222">
        <f>IF($A36="","",IF($J36="DIESEL",SUMIFS(Table1[Quantity],Table1[Customer],$M$3,Table1[Date],$A36,Table1[Bill No.],$B36),IF($J36="PETROL",SUMIFS(Table14[Quantity],Table14[Customer],$M$3,Table14[Date],$A36,Table14[Bill No.],$B36),IF($J36="XtraGreen",SUMIFS(Table146[Quantity],Table146[Company],$M$3,Table146[Date],$A36,Table146[Bill No.],$B36),""))))</f>
        <v>18000</v>
      </c>
      <c r="D36" s="223">
        <f>IF($A36="","",IF($J36="DIESEL",AVERAGEIFS(Table1[RSP],Table1[Customer],$M$3,Table1[Date],$A36,Table1[Bill No.],$B36),IF($J36="PETROL",AVERAGEIFS(Table14[RSP],Table14[Customer],$M$3,Table14[Date],$A36,Table14[Bill No.],$B36),IF($J36="XtraGreen",AVERAGEIFS(Table146[RSP],Table146[Company],$M$3,Table146[Date],$A36,Table146[Bill No.],$B36),IFERROR($E36/$C36,"")))))</f>
        <v>99.5</v>
      </c>
      <c r="E36" s="330">
        <f>IF($A36="","",IF($J36="DIESEL",SUMIFS(Table1[Amount],Table1[Customer],$M$3,Table1[Date],$A36,Table1[Bill No.],$B36),IF($J36="PETROL",SUMIFS(Table14[Amount],Table14[Customer],$M$3,Table14[Date],$A36,Table14[Bill No.],$B36),IF($J36="XtraGreen",SUMIFS(Table146[Amount],Table146[Company],$M$3,Table146[Date],$A36,Table146[Bill No.],$B36),SUMIFS('Other Sale'!$D:$D,'Other Sale'!$E:$E,$M$3,'Other Sale'!$C:$C,$J36,'Other Sale'!$A:$A,$A36)))))</f>
        <v>1791000</v>
      </c>
      <c r="F36" s="330" cm="1">
        <f t="array" ref="F36">IF($A36="","",IF($J36="Payment",IFERROR(INDEX(_xlfn._xlws.FILTER(MasterPaid[Amount Paid],(MasterPaid[Customer]=$M$3)*(MasterPaid[Date]=$A36)),COUNTIFS($A$6:$A36,$A36,$J$6:$J36,"Payment")),0),0))</f>
        <v>0</v>
      </c>
      <c r="G36" s="331"/>
      <c r="H36" s="331"/>
      <c r="I36" s="330">
        <f t="shared" si="9"/>
        <v>-3016161</v>
      </c>
      <c r="J36" s="318" t="str" cm="1">
        <f t="array" ref="J36">IFERROR(INDEX(_xlfn.ANCHORARRAY($P$6),ROW()-5,3),"")</f>
        <v>DIESEL</v>
      </c>
      <c r="K36" s="432" cm="1">
        <f t="array" ref="K36">IF(OR($A36="",$J36&lt;&gt;"DIESEL"),"",_xlfn.LET(_xlpm.qty,N($C36),_xlpm.pos,$T$5:$T$54,_xlpm.alo,IF($U$5:$U$54="",0,$U$5:$U$54),_xlpm.usd,SUMIFS($C$6:$C35,$K$6:$K35,_xlpm.pos&amp;""),_xlpm.bal,_xlpm.alo-_xlpm.usd,IFERROR(INDEX(_xlfn._xlws.FILTER(_xlpm.pos,(_xlpm.pos&lt;&gt;"")*(_xlpm.qty&gt;0)*(_xlpm.bal&gt;=_xlpm.qty)),1),"")))</f>
        <v>2110036026</v>
      </c>
      <c r="L36" s="290"/>
      <c r="M36" s="277"/>
      <c r="N36" s="277"/>
      <c r="O36" s="277"/>
      <c r="P36">
        <v>46257</v>
      </c>
      <c r="Q36" t="str">
        <v>2316</v>
      </c>
      <c r="R36" t="str">
        <v>DIESEL</v>
      </c>
      <c r="T36" s="439"/>
      <c r="U36" s="350"/>
      <c r="W36" s="316" t="str">
        <f t="shared" si="0"/>
        <v/>
      </c>
      <c r="X36" s="273" t="str">
        <f t="shared" si="1"/>
        <v/>
      </c>
      <c r="Y36" s="273" t="str">
        <f t="shared" si="2"/>
        <v/>
      </c>
      <c r="Z36" s="273" t="str">
        <f t="shared" si="3"/>
        <v/>
      </c>
      <c r="AA36" s="316" t="str">
        <f t="shared" si="4"/>
        <v/>
      </c>
      <c r="AC36" t="str" cm="1">
        <f t="array" ref="AC36">IF(INDEX($T$5:$T$54,ROW()-4)="","",INDEX($T$5:$T$54,ROW()-4))</f>
        <v/>
      </c>
      <c r="AD36" t="str">
        <f t="shared" si="5"/>
        <v/>
      </c>
      <c r="AE36" t="str">
        <f t="shared" si="6"/>
        <v/>
      </c>
      <c r="AF36" t="str">
        <f t="shared" si="7"/>
        <v/>
      </c>
      <c r="AG36">
        <f t="shared" si="8"/>
        <v>0</v>
      </c>
      <c r="AH36" t="str" cm="1">
        <f t="array" ref="AH36">IF($AC36="","",IF($AG36=1,SUMPRODUCT(($AG$5:$AG$54=1)*($AC$5:$AC$54&gt;$AC36))+1,SUM($AG$5:$AG$54)+SUMPRODUCT(($AG$5:$AG$54=0)*($AC$5:$AC$54&lt;&gt;"")*($AC$5:$AC$54&gt;$AC36))+1))</f>
        <v/>
      </c>
    </row>
    <row r="37" spans="1:34" ht="23" x14ac:dyDescent="0.25">
      <c r="A37" s="221" cm="1">
        <f t="array" ref="A37">IFERROR(INDEX(_xlfn.ANCHORARRAY($P$6),ROW()-5,1),"")</f>
        <v>46260</v>
      </c>
      <c r="B37" s="317" t="str" cm="1">
        <f t="array" ref="B37">IFERROR(INDEX(_xlfn.ANCHORARRAY($P$6),ROW()-5,2),"")</f>
        <v>2384</v>
      </c>
      <c r="C37" s="222">
        <f>IF($A37="","",IF($J37="DIESEL",SUMIFS(Table1[Quantity],Table1[Customer],$M$3,Table1[Date],$A37,Table1[Bill No.],$B37),IF($J37="PETROL",SUMIFS(Table14[Quantity],Table14[Customer],$M$3,Table14[Date],$A37,Table14[Bill No.],$B37),IF($J37="XtraGreen",SUMIFS(Table146[Quantity],Table146[Company],$M$3,Table146[Date],$A37,Table146[Bill No.],$B37),""))))</f>
        <v>18000</v>
      </c>
      <c r="D37" s="223">
        <f>IF($A37="","",IF($J37="DIESEL",AVERAGEIFS(Table1[RSP],Table1[Customer],$M$3,Table1[Date],$A37,Table1[Bill No.],$B37),IF($J37="PETROL",AVERAGEIFS(Table14[RSP],Table14[Customer],$M$3,Table14[Date],$A37,Table14[Bill No.],$B37),IF($J37="XtraGreen",AVERAGEIFS(Table146[RSP],Table146[Company],$M$3,Table146[Date],$A37,Table146[Bill No.],$B37),IFERROR($E37/$C37,"")))))</f>
        <v>99.5</v>
      </c>
      <c r="E37" s="330">
        <f>IF($A37="","",IF($J37="DIESEL",SUMIFS(Table1[Amount],Table1[Customer],$M$3,Table1[Date],$A37,Table1[Bill No.],$B37),IF($J37="PETROL",SUMIFS(Table14[Amount],Table14[Customer],$M$3,Table14[Date],$A37,Table14[Bill No.],$B37),IF($J37="XtraGreen",SUMIFS(Table146[Amount],Table146[Company],$M$3,Table146[Date],$A37,Table146[Bill No.],$B37),SUMIFS('Other Sale'!$D:$D,'Other Sale'!$E:$E,$M$3,'Other Sale'!$C:$C,$J37,'Other Sale'!$A:$A,$A37)))))</f>
        <v>1791000</v>
      </c>
      <c r="F37" s="330" cm="1">
        <f t="array" ref="F37">IF($A37="","",IF($J37="Payment",IFERROR(INDEX(_xlfn._xlws.FILTER(MasterPaid[Amount Paid],(MasterPaid[Customer]=$M$3)*(MasterPaid[Date]=$A37)),COUNTIFS($A$6:$A37,$A37,$J$6:$J37,"Payment")),0),0))</f>
        <v>0</v>
      </c>
      <c r="G37" s="331"/>
      <c r="H37" s="331"/>
      <c r="I37" s="330">
        <f t="shared" si="9"/>
        <v>-1225161</v>
      </c>
      <c r="J37" s="318" t="str" cm="1">
        <f t="array" ref="J37">IFERROR(INDEX(_xlfn.ANCHORARRAY($P$6),ROW()-5,3),"")</f>
        <v>DIESEL</v>
      </c>
      <c r="K37" s="432" cm="1">
        <f t="array" ref="K37">IF(OR($A37="",$J37&lt;&gt;"DIESEL"),"",_xlfn.LET(_xlpm.qty,N($C37),_xlpm.pos,$T$5:$T$54,_xlpm.alo,IF($U$5:$U$54="",0,$U$5:$U$54),_xlpm.usd,SUMIFS($C$6:$C36,$K$6:$K36,_xlpm.pos&amp;""),_xlpm.bal,_xlpm.alo-_xlpm.usd,IFERROR(INDEX(_xlfn._xlws.FILTER(_xlpm.pos,(_xlpm.pos&lt;&gt;"")*(_xlpm.qty&gt;0)*(_xlpm.bal&gt;=_xlpm.qty)),1),"")))</f>
        <v>2110036026</v>
      </c>
      <c r="L37" s="290"/>
      <c r="M37" s="277"/>
      <c r="N37" s="277"/>
      <c r="O37" s="277"/>
      <c r="P37">
        <v>46260</v>
      </c>
      <c r="Q37" t="str">
        <v>2384</v>
      </c>
      <c r="R37" t="str">
        <v>DIESEL</v>
      </c>
      <c r="T37" s="439"/>
      <c r="U37" s="350"/>
      <c r="W37" s="316" t="str">
        <f t="shared" si="0"/>
        <v/>
      </c>
      <c r="X37" s="273" t="str">
        <f t="shared" si="1"/>
        <v/>
      </c>
      <c r="Y37" s="273" t="str">
        <f t="shared" si="2"/>
        <v/>
      </c>
      <c r="Z37" s="273" t="str">
        <f t="shared" si="3"/>
        <v/>
      </c>
      <c r="AA37" s="316" t="str">
        <f t="shared" si="4"/>
        <v/>
      </c>
      <c r="AC37" t="str" cm="1">
        <f t="array" ref="AC37">IF(INDEX($T$5:$T$54,ROW()-4)="","",INDEX($T$5:$T$54,ROW()-4))</f>
        <v/>
      </c>
      <c r="AD37" t="str">
        <f t="shared" si="5"/>
        <v/>
      </c>
      <c r="AE37" t="str">
        <f t="shared" si="6"/>
        <v/>
      </c>
      <c r="AF37" t="str">
        <f t="shared" si="7"/>
        <v/>
      </c>
      <c r="AG37">
        <f t="shared" si="8"/>
        <v>0</v>
      </c>
      <c r="AH37" t="str" cm="1">
        <f t="array" ref="AH37">IF($AC37="","",IF($AG37=1,SUMPRODUCT(($AG$5:$AG$54=1)*($AC$5:$AC$54&gt;$AC37))+1,SUM($AG$5:$AG$54)+SUMPRODUCT(($AG$5:$AG$54=0)*($AC$5:$AC$54&lt;&gt;"")*($AC$5:$AC$54&gt;$AC37))+1))</f>
        <v/>
      </c>
    </row>
    <row r="38" spans="1:34" ht="23" x14ac:dyDescent="0.25">
      <c r="A38" s="221" cm="1">
        <f t="array" ref="A38">IFERROR(INDEX(_xlfn.ANCHORARRAY($P$6),ROW()-5,1),"")</f>
        <v>46261</v>
      </c>
      <c r="B38" s="317" t="str" cm="1">
        <f t="array" ref="B38">IFERROR(INDEX(_xlfn.ANCHORARRAY($P$6),ROW()-5,2),"")</f>
        <v>2427</v>
      </c>
      <c r="C38" s="222">
        <f>IF($A38="","",IF($J38="DIESEL",SUMIFS(Table1[Quantity],Table1[Customer],$M$3,Table1[Date],$A38,Table1[Bill No.],$B38),IF($J38="PETROL",SUMIFS(Table14[Quantity],Table14[Customer],$M$3,Table14[Date],$A38,Table14[Bill No.],$B38),IF($J38="XtraGreen",SUMIFS(Table146[Quantity],Table146[Company],$M$3,Table146[Date],$A38,Table146[Bill No.],$B38),""))))</f>
        <v>12000</v>
      </c>
      <c r="D38" s="223">
        <f>IF($A38="","",IF($J38="DIESEL",AVERAGEIFS(Table1[RSP],Table1[Customer],$M$3,Table1[Date],$A38,Table1[Bill No.],$B38),IF($J38="PETROL",AVERAGEIFS(Table14[RSP],Table14[Customer],$M$3,Table14[Date],$A38,Table14[Bill No.],$B38),IF($J38="XtraGreen",AVERAGEIFS(Table146[RSP],Table146[Company],$M$3,Table146[Date],$A38,Table146[Bill No.],$B38),IFERROR($E38/$C38,"")))))</f>
        <v>99.5</v>
      </c>
      <c r="E38" s="330">
        <f>IF($A38="","",IF($J38="DIESEL",SUMIFS(Table1[Amount],Table1[Customer],$M$3,Table1[Date],$A38,Table1[Bill No.],$B38),IF($J38="PETROL",SUMIFS(Table14[Amount],Table14[Customer],$M$3,Table14[Date],$A38,Table14[Bill No.],$B38),IF($J38="XtraGreen",SUMIFS(Table146[Amount],Table146[Company],$M$3,Table146[Date],$A38,Table146[Bill No.],$B38),SUMIFS('Other Sale'!$D:$D,'Other Sale'!$E:$E,$M$3,'Other Sale'!$C:$C,$J38,'Other Sale'!$A:$A,$A38)))))</f>
        <v>1194000</v>
      </c>
      <c r="F38" s="330" cm="1">
        <f t="array" ref="F38">IF($A38="","",IF($J38="Payment",IFERROR(INDEX(_xlfn._xlws.FILTER(MasterPaid[Amount Paid],(MasterPaid[Customer]=$M$3)*(MasterPaid[Date]=$A38)),COUNTIFS($A$6:$A38,$A38,$J$6:$J38,"Payment")),0),0))</f>
        <v>0</v>
      </c>
      <c r="G38" s="331"/>
      <c r="H38" s="331"/>
      <c r="I38" s="330">
        <f t="shared" si="9"/>
        <v>-31161</v>
      </c>
      <c r="J38" s="318" t="str" cm="1">
        <f t="array" ref="J38">IFERROR(INDEX(_xlfn.ANCHORARRAY($P$6),ROW()-5,3),"")</f>
        <v>DIESEL</v>
      </c>
      <c r="K38" s="432" cm="1">
        <f t="array" ref="K38">IF(OR($A38="",$J38&lt;&gt;"DIESEL"),"",_xlfn.LET(_xlpm.qty,N($C38),_xlpm.pos,$T$5:$T$54,_xlpm.alo,IF($U$5:$U$54="",0,$U$5:$U$54),_xlpm.usd,SUMIFS($C$6:$C37,$K$6:$K37,_xlpm.pos&amp;""),_xlpm.bal,_xlpm.alo-_xlpm.usd,IFERROR(INDEX(_xlfn._xlws.FILTER(_xlpm.pos,(_xlpm.pos&lt;&gt;"")*(_xlpm.qty&gt;0)*(_xlpm.bal&gt;=_xlpm.qty)),1),"")))</f>
        <v>2110036026</v>
      </c>
      <c r="L38" s="290"/>
      <c r="M38" s="277"/>
      <c r="N38" s="277"/>
      <c r="O38" s="277"/>
      <c r="P38">
        <v>46261</v>
      </c>
      <c r="Q38" t="str">
        <v>2427</v>
      </c>
      <c r="R38" t="str">
        <v>DIESEL</v>
      </c>
      <c r="T38" s="439"/>
      <c r="U38" s="350"/>
      <c r="W38" s="316" t="str">
        <f t="shared" si="0"/>
        <v/>
      </c>
      <c r="X38" s="273" t="str">
        <f t="shared" si="1"/>
        <v/>
      </c>
      <c r="Y38" s="273" t="str">
        <f t="shared" si="2"/>
        <v/>
      </c>
      <c r="Z38" s="273" t="str">
        <f t="shared" si="3"/>
        <v/>
      </c>
      <c r="AA38" s="316" t="str">
        <f t="shared" si="4"/>
        <v/>
      </c>
      <c r="AC38" t="str" cm="1">
        <f t="array" ref="AC38">IF(INDEX($T$5:$T$54,ROW()-4)="","",INDEX($T$5:$T$54,ROW()-4))</f>
        <v/>
      </c>
      <c r="AD38" t="str">
        <f t="shared" si="5"/>
        <v/>
      </c>
      <c r="AE38" t="str">
        <f t="shared" si="6"/>
        <v/>
      </c>
      <c r="AF38" t="str">
        <f t="shared" si="7"/>
        <v/>
      </c>
      <c r="AG38">
        <f t="shared" si="8"/>
        <v>0</v>
      </c>
      <c r="AH38" t="str" cm="1">
        <f t="array" ref="AH38">IF($AC38="","",IF($AG38=1,SUMPRODUCT(($AG$5:$AG$54=1)*($AC$5:$AC$54&gt;$AC38))+1,SUM($AG$5:$AG$54)+SUMPRODUCT(($AG$5:$AG$54=0)*($AC$5:$AC$54&lt;&gt;"")*($AC$5:$AC$54&gt;$AC38))+1))</f>
        <v/>
      </c>
    </row>
    <row r="39" spans="1:34" ht="23" x14ac:dyDescent="0.25">
      <c r="A39" s="221" cm="1">
        <f t="array" ref="A39">IFERROR(INDEX(_xlfn.ANCHORARRAY($P$6),ROW()-5,1),"")</f>
        <v>46262</v>
      </c>
      <c r="B39" s="317" t="str" cm="1">
        <f t="array" ref="B39">IFERROR(INDEX(_xlfn.ANCHORARRAY($P$6),ROW()-5,2),"")</f>
        <v>2477</v>
      </c>
      <c r="C39" s="222">
        <f>IF($A39="","",IF($J39="DIESEL",SUMIFS(Table1[Quantity],Table1[Customer],$M$3,Table1[Date],$A39,Table1[Bill No.],$B39),IF($J39="PETROL",SUMIFS(Table14[Quantity],Table14[Customer],$M$3,Table14[Date],$A39,Table14[Bill No.],$B39),IF($J39="XtraGreen",SUMIFS(Table146[Quantity],Table146[Company],$M$3,Table146[Date],$A39,Table146[Bill No.],$B39),""))))</f>
        <v>18000</v>
      </c>
      <c r="D39" s="223">
        <f>IF($A39="","",IF($J39="DIESEL",AVERAGEIFS(Table1[RSP],Table1[Customer],$M$3,Table1[Date],$A39,Table1[Bill No.],$B39),IF($J39="PETROL",AVERAGEIFS(Table14[RSP],Table14[Customer],$M$3,Table14[Date],$A39,Table14[Bill No.],$B39),IF($J39="XtraGreen",AVERAGEIFS(Table146[RSP],Table146[Company],$M$3,Table146[Date],$A39,Table146[Bill No.],$B39),IFERROR($E39/$C39,"")))))</f>
        <v>99.5</v>
      </c>
      <c r="E39" s="330">
        <f>IF($A39="","",IF($J39="DIESEL",SUMIFS(Table1[Amount],Table1[Customer],$M$3,Table1[Date],$A39,Table1[Bill No.],$B39),IF($J39="PETROL",SUMIFS(Table14[Amount],Table14[Customer],$M$3,Table14[Date],$A39,Table14[Bill No.],$B39),IF($J39="XtraGreen",SUMIFS(Table146[Amount],Table146[Company],$M$3,Table146[Date],$A39,Table146[Bill No.],$B39),SUMIFS('Other Sale'!$D:$D,'Other Sale'!$E:$E,$M$3,'Other Sale'!$C:$C,$J39,'Other Sale'!$A:$A,$A39)))))</f>
        <v>1791000</v>
      </c>
      <c r="F39" s="330" cm="1">
        <f t="array" ref="F39">IF($A39="","",IF($J39="Payment",IFERROR(INDEX(_xlfn._xlws.FILTER(MasterPaid[Amount Paid],(MasterPaid[Customer]=$M$3)*(MasterPaid[Date]=$A39)),COUNTIFS($A$6:$A39,$A39,$J$6:$J39,"Payment")),0),0))</f>
        <v>0</v>
      </c>
      <c r="G39" s="331"/>
      <c r="H39" s="331"/>
      <c r="I39" s="330">
        <f t="shared" si="9"/>
        <v>1759839</v>
      </c>
      <c r="J39" s="318" t="str" cm="1">
        <f t="array" ref="J39">IFERROR(INDEX(_xlfn.ANCHORARRAY($P$6),ROW()-5,3),"")</f>
        <v>DIESEL</v>
      </c>
      <c r="K39" s="432" cm="1">
        <f t="array" ref="K39">IF(OR($A39="",$J39&lt;&gt;"DIESEL"),"",_xlfn.LET(_xlpm.qty,N($C39),_xlpm.pos,$T$5:$T$54,_xlpm.alo,IF($U$5:$U$54="",0,$U$5:$U$54),_xlpm.usd,SUMIFS($C$6:$C38,$K$6:$K38,_xlpm.pos&amp;""),_xlpm.bal,_xlpm.alo-_xlpm.usd,IFERROR(INDEX(_xlfn._xlws.FILTER(_xlpm.pos,(_xlpm.pos&lt;&gt;"")*(_xlpm.qty&gt;0)*(_xlpm.bal&gt;=_xlpm.qty)),1),"")))</f>
        <v>2110036253</v>
      </c>
      <c r="L39" s="290"/>
      <c r="M39" s="277"/>
      <c r="N39" s="277"/>
      <c r="O39" s="277"/>
      <c r="P39">
        <v>46262</v>
      </c>
      <c r="Q39" t="str">
        <v>2477</v>
      </c>
      <c r="R39" t="str">
        <v>DIESEL</v>
      </c>
      <c r="T39" s="439"/>
      <c r="U39" s="350"/>
      <c r="W39" s="316" t="str">
        <f t="shared" si="0"/>
        <v/>
      </c>
      <c r="X39" s="273" t="str">
        <f t="shared" si="1"/>
        <v/>
      </c>
      <c r="Y39" s="273" t="str">
        <f t="shared" si="2"/>
        <v/>
      </c>
      <c r="Z39" s="273" t="str">
        <f t="shared" si="3"/>
        <v/>
      </c>
      <c r="AA39" s="316" t="str">
        <f t="shared" si="4"/>
        <v/>
      </c>
      <c r="AC39" t="str" cm="1">
        <f t="array" ref="AC39">IF(INDEX($T$5:$T$54,ROW()-4)="","",INDEX($T$5:$T$54,ROW()-4))</f>
        <v/>
      </c>
      <c r="AD39" t="str">
        <f t="shared" si="5"/>
        <v/>
      </c>
      <c r="AE39" t="str">
        <f t="shared" si="6"/>
        <v/>
      </c>
      <c r="AF39" t="str">
        <f t="shared" si="7"/>
        <v/>
      </c>
      <c r="AG39">
        <f t="shared" si="8"/>
        <v>0</v>
      </c>
      <c r="AH39" t="str" cm="1">
        <f t="array" ref="AH39">IF($AC39="","",IF($AG39=1,SUMPRODUCT(($AG$5:$AG$54=1)*($AC$5:$AC$54&gt;$AC39))+1,SUM($AG$5:$AG$54)+SUMPRODUCT(($AG$5:$AG$54=0)*($AC$5:$AC$54&lt;&gt;"")*($AC$5:$AC$54&gt;$AC39))+1))</f>
        <v/>
      </c>
    </row>
    <row r="40" spans="1:34" ht="23" x14ac:dyDescent="0.25">
      <c r="A40" s="221" t="str" cm="1">
        <f t="array" ref="A40">IFERROR(INDEX(_xlfn.ANCHORARRAY($P$6),ROW()-5,1),"")</f>
        <v/>
      </c>
      <c r="B40" s="317" t="str" cm="1">
        <f t="array" ref="B40">IFERROR(INDEX(_xlfn.ANCHORARRAY($P$6),ROW()-5,2),"")</f>
        <v/>
      </c>
      <c r="C40" s="222" t="str">
        <f>IF($A40="","",IF($J40="DIESEL",SUMIFS(Table1[Quantity],Table1[Customer],$M$3,Table1[Date],$A40,Table1[Bill No.],$B40),IF($J40="PETROL",SUMIFS(Table14[Quantity],Table14[Customer],$M$3,Table14[Date],$A40,Table14[Bill No.],$B40),IF($J40="XtraGreen",SUMIFS(Table146[Quantity],Table146[Company],$M$3,Table146[Date],$A40,Table146[Bill No.],$B40),""))))</f>
        <v/>
      </c>
      <c r="D40" s="223" t="str">
        <f>IF($A40="","",IF($J40="DIESEL",AVERAGEIFS(Table1[RSP],Table1[Customer],$M$3,Table1[Date],$A40,Table1[Bill No.],$B40),IF($J40="PETROL",AVERAGEIFS(Table14[RSP],Table14[Customer],$M$3,Table14[Date],$A40,Table14[Bill No.],$B40),IF($J40="XtraGreen",AVERAGEIFS(Table146[RSP],Table146[Company],$M$3,Table146[Date],$A40,Table146[Bill No.],$B40),IFERROR($E40/$C40,"")))))</f>
        <v/>
      </c>
      <c r="E40" s="330" t="str">
        <f>IF($A40="","",IF($J40="DIESEL",SUMIFS(Table1[Amount],Table1[Customer],$M$3,Table1[Date],$A40,Table1[Bill No.],$B40),IF($J40="PETROL",SUMIFS(Table14[Amount],Table14[Customer],$M$3,Table14[Date],$A40,Table14[Bill No.],$B40),IF($J40="XtraGreen",SUMIFS(Table146[Amount],Table146[Company],$M$3,Table146[Date],$A40,Table146[Bill No.],$B40),SUMIFS('Other Sale'!$D:$D,'Other Sale'!$E:$E,$M$3,'Other Sale'!$C:$C,$J40,'Other Sale'!$A:$A,$A40)))))</f>
        <v/>
      </c>
      <c r="F40" s="330" t="str" cm="1">
        <f t="array" ref="F40">IF($A40="","",IF($J40="Payment",IFERROR(INDEX(_xlfn._xlws.FILTER(MasterPaid[Amount Paid],(MasterPaid[Customer]=$M$3)*(MasterPaid[Date]=$A40)),COUNTIFS($A$6:$A40,$A40,$J$6:$J40,"Payment")),0),0))</f>
        <v/>
      </c>
      <c r="G40" s="331"/>
      <c r="H40" s="331"/>
      <c r="I40" s="330" t="str">
        <f t="shared" si="9"/>
        <v/>
      </c>
      <c r="J40" s="318" t="str" cm="1">
        <f t="array" ref="J40">IFERROR(INDEX(_xlfn.ANCHORARRAY($P$6),ROW()-5,3),"")</f>
        <v/>
      </c>
      <c r="K40" s="432" t="str" cm="1">
        <f t="array" ref="K40">IF(OR($A40="",$J40&lt;&gt;"DIESEL"),"",_xlfn.LET(_xlpm.qty,N($C40),_xlpm.pos,$T$5:$T$54,_xlpm.alo,IF($U$5:$U$54="",0,$U$5:$U$54),_xlpm.usd,SUMIFS($C$6:$C39,$K$6:$K39,_xlpm.pos&amp;""),_xlpm.bal,_xlpm.alo-_xlpm.usd,IFERROR(INDEX(_xlfn._xlws.FILTER(_xlpm.pos,(_xlpm.pos&lt;&gt;"")*(_xlpm.qty&gt;0)*(_xlpm.bal&gt;=_xlpm.qty)),1),"")))</f>
        <v/>
      </c>
      <c r="L40" s="290"/>
      <c r="M40" s="277"/>
      <c r="N40" s="277"/>
      <c r="O40" s="277"/>
      <c r="T40" s="439"/>
      <c r="U40" s="350"/>
      <c r="W40" s="316" t="str">
        <f t="shared" si="0"/>
        <v/>
      </c>
      <c r="X40" s="273" t="str">
        <f t="shared" si="1"/>
        <v/>
      </c>
      <c r="Y40" s="273" t="str">
        <f t="shared" si="2"/>
        <v/>
      </c>
      <c r="Z40" s="273" t="str">
        <f t="shared" si="3"/>
        <v/>
      </c>
      <c r="AA40" s="316" t="str">
        <f t="shared" si="4"/>
        <v/>
      </c>
      <c r="AC40" t="str" cm="1">
        <f t="array" ref="AC40">IF(INDEX($T$5:$T$54,ROW()-4)="","",INDEX($T$5:$T$54,ROW()-4))</f>
        <v/>
      </c>
      <c r="AD40" t="str">
        <f t="shared" si="5"/>
        <v/>
      </c>
      <c r="AE40" t="str">
        <f t="shared" si="6"/>
        <v/>
      </c>
      <c r="AF40" t="str">
        <f t="shared" si="7"/>
        <v/>
      </c>
      <c r="AG40">
        <f t="shared" si="8"/>
        <v>0</v>
      </c>
      <c r="AH40" t="str" cm="1">
        <f t="array" ref="AH40">IF($AC40="","",IF($AG40=1,SUMPRODUCT(($AG$5:$AG$54=1)*($AC$5:$AC$54&gt;$AC40))+1,SUM($AG$5:$AG$54)+SUMPRODUCT(($AG$5:$AG$54=0)*($AC$5:$AC$54&lt;&gt;"")*($AC$5:$AC$54&gt;$AC40))+1))</f>
        <v/>
      </c>
    </row>
    <row r="41" spans="1:34" ht="23" x14ac:dyDescent="0.25">
      <c r="A41" s="221" t="str" cm="1">
        <f t="array" ref="A41">IFERROR(INDEX(_xlfn.ANCHORARRAY($P$6),ROW()-5,1),"")</f>
        <v/>
      </c>
      <c r="B41" s="317" t="str" cm="1">
        <f t="array" ref="B41">IFERROR(INDEX(_xlfn.ANCHORARRAY($P$6),ROW()-5,2),"")</f>
        <v/>
      </c>
      <c r="C41" s="222" t="str">
        <f>IF($A41="","",IF($J41="DIESEL",SUMIFS(Table1[Quantity],Table1[Customer],$M$3,Table1[Date],$A41,Table1[Bill No.],$B41),IF($J41="PETROL",SUMIFS(Table14[Quantity],Table14[Customer],$M$3,Table14[Date],$A41,Table14[Bill No.],$B41),IF($J41="XtraGreen",SUMIFS(Table146[Quantity],Table146[Company],$M$3,Table146[Date],$A41,Table146[Bill No.],$B41),""))))</f>
        <v/>
      </c>
      <c r="D41" s="223" t="str">
        <f>IF($A41="","",IF($J41="DIESEL",AVERAGEIFS(Table1[RSP],Table1[Customer],$M$3,Table1[Date],$A41,Table1[Bill No.],$B41),IF($J41="PETROL",AVERAGEIFS(Table14[RSP],Table14[Customer],$M$3,Table14[Date],$A41,Table14[Bill No.],$B41),IF($J41="XtraGreen",AVERAGEIFS(Table146[RSP],Table146[Company],$M$3,Table146[Date],$A41,Table146[Bill No.],$B41),IFERROR($E41/$C41,"")))))</f>
        <v/>
      </c>
      <c r="E41" s="330" t="str">
        <f>IF($A41="","",IF($J41="DIESEL",SUMIFS(Table1[Amount],Table1[Customer],$M$3,Table1[Date],$A41,Table1[Bill No.],$B41),IF($J41="PETROL",SUMIFS(Table14[Amount],Table14[Customer],$M$3,Table14[Date],$A41,Table14[Bill No.],$B41),IF($J41="XtraGreen",SUMIFS(Table146[Amount],Table146[Company],$M$3,Table146[Date],$A41,Table146[Bill No.],$B41),SUMIFS('Other Sale'!$D:$D,'Other Sale'!$E:$E,$M$3,'Other Sale'!$C:$C,$J41,'Other Sale'!$A:$A,$A41)))))</f>
        <v/>
      </c>
      <c r="F41" s="330" t="str" cm="1">
        <f t="array" ref="F41">IF($A41="","",IF($J41="Payment",IFERROR(INDEX(_xlfn._xlws.FILTER(MasterPaid[Amount Paid],(MasterPaid[Customer]=$M$3)*(MasterPaid[Date]=$A41)),COUNTIFS($A$6:$A41,$A41,$J$6:$J41,"Payment")),0),0))</f>
        <v/>
      </c>
      <c r="G41" s="331"/>
      <c r="H41" s="331"/>
      <c r="I41" s="330" t="str">
        <f t="shared" si="9"/>
        <v/>
      </c>
      <c r="J41" s="318" t="str" cm="1">
        <f t="array" ref="J41">IFERROR(INDEX(_xlfn.ANCHORARRAY($P$6),ROW()-5,3),"")</f>
        <v/>
      </c>
      <c r="K41" s="432" t="str" cm="1">
        <f t="array" ref="K41">IF(OR($A41="",$J41&lt;&gt;"DIESEL"),"",_xlfn.LET(_xlpm.qty,N($C41),_xlpm.pos,$T$5:$T$54,_xlpm.alo,IF($U$5:$U$54="",0,$U$5:$U$54),_xlpm.usd,SUMIFS($C$6:$C40,$K$6:$K40,_xlpm.pos&amp;""),_xlpm.bal,_xlpm.alo-_xlpm.usd,IFERROR(INDEX(_xlfn._xlws.FILTER(_xlpm.pos,(_xlpm.pos&lt;&gt;"")*(_xlpm.qty&gt;0)*(_xlpm.bal&gt;=_xlpm.qty)),1),"")))</f>
        <v/>
      </c>
      <c r="L41" s="290"/>
      <c r="M41" s="277"/>
      <c r="N41" s="277"/>
      <c r="O41" s="277"/>
      <c r="T41" s="439"/>
      <c r="U41" s="350"/>
      <c r="W41" s="316" t="str">
        <f t="shared" si="0"/>
        <v/>
      </c>
      <c r="X41" s="273" t="str">
        <f t="shared" si="1"/>
        <v/>
      </c>
      <c r="Y41" s="273" t="str">
        <f t="shared" si="2"/>
        <v/>
      </c>
      <c r="Z41" s="273" t="str">
        <f t="shared" si="3"/>
        <v/>
      </c>
      <c r="AA41" s="316" t="str">
        <f t="shared" si="4"/>
        <v/>
      </c>
      <c r="AC41" t="str" cm="1">
        <f t="array" ref="AC41">IF(INDEX($T$5:$T$54,ROW()-4)="","",INDEX($T$5:$T$54,ROW()-4))</f>
        <v/>
      </c>
      <c r="AD41" t="str">
        <f t="shared" si="5"/>
        <v/>
      </c>
      <c r="AE41" t="str">
        <f t="shared" si="6"/>
        <v/>
      </c>
      <c r="AF41" t="str">
        <f t="shared" si="7"/>
        <v/>
      </c>
      <c r="AG41">
        <f t="shared" si="8"/>
        <v>0</v>
      </c>
      <c r="AH41" t="str" cm="1">
        <f t="array" ref="AH41">IF($AC41="","",IF($AG41=1,SUMPRODUCT(($AG$5:$AG$54=1)*($AC$5:$AC$54&gt;$AC41))+1,SUM($AG$5:$AG$54)+SUMPRODUCT(($AG$5:$AG$54=0)*($AC$5:$AC$54&lt;&gt;"")*($AC$5:$AC$54&gt;$AC41))+1))</f>
        <v/>
      </c>
    </row>
    <row r="42" spans="1:34" ht="23" x14ac:dyDescent="0.25">
      <c r="A42" s="221" t="str" cm="1">
        <f t="array" ref="A42">IFERROR(INDEX(_xlfn.ANCHORARRAY($P$6),ROW()-5,1),"")</f>
        <v/>
      </c>
      <c r="B42" s="317" t="str" cm="1">
        <f t="array" ref="B42">IFERROR(INDEX(_xlfn.ANCHORARRAY($P$6),ROW()-5,2),"")</f>
        <v/>
      </c>
      <c r="C42" s="222" t="str">
        <f>IF($A42="","",IF($J42="DIESEL",SUMIFS(Table1[Quantity],Table1[Customer],$M$3,Table1[Date],$A42,Table1[Bill No.],$B42),IF($J42="PETROL",SUMIFS(Table14[Quantity],Table14[Customer],$M$3,Table14[Date],$A42,Table14[Bill No.],$B42),IF($J42="XtraGreen",SUMIFS(Table146[Quantity],Table146[Company],$M$3,Table146[Date],$A42,Table146[Bill No.],$B42),""))))</f>
        <v/>
      </c>
      <c r="D42" s="223" t="str">
        <f>IF($A42="","",IF($J42="DIESEL",AVERAGEIFS(Table1[RSP],Table1[Customer],$M$3,Table1[Date],$A42,Table1[Bill No.],$B42),IF($J42="PETROL",AVERAGEIFS(Table14[RSP],Table14[Customer],$M$3,Table14[Date],$A42,Table14[Bill No.],$B42),IF($J42="XtraGreen",AVERAGEIFS(Table146[RSP],Table146[Company],$M$3,Table146[Date],$A42,Table146[Bill No.],$B42),IFERROR($E42/$C42,"")))))</f>
        <v/>
      </c>
      <c r="E42" s="330" t="str">
        <f>IF($A42="","",IF($J42="DIESEL",SUMIFS(Table1[Amount],Table1[Customer],$M$3,Table1[Date],$A42,Table1[Bill No.],$B42),IF($J42="PETROL",SUMIFS(Table14[Amount],Table14[Customer],$M$3,Table14[Date],$A42,Table14[Bill No.],$B42),IF($J42="XtraGreen",SUMIFS(Table146[Amount],Table146[Company],$M$3,Table146[Date],$A42,Table146[Bill No.],$B42),SUMIFS('Other Sale'!$D:$D,'Other Sale'!$E:$E,$M$3,'Other Sale'!$C:$C,$J42,'Other Sale'!$A:$A,$A42)))))</f>
        <v/>
      </c>
      <c r="F42" s="330" t="str" cm="1">
        <f t="array" ref="F42">IF($A42="","",IF($J42="Payment",IFERROR(INDEX(_xlfn._xlws.FILTER(MasterPaid[Amount Paid],(MasterPaid[Customer]=$M$3)*(MasterPaid[Date]=$A42)),COUNTIFS($A$6:$A42,$A42,$J$6:$J42,"Payment")),0),0))</f>
        <v/>
      </c>
      <c r="G42" s="331"/>
      <c r="H42" s="331"/>
      <c r="I42" s="330" t="str">
        <f t="shared" si="9"/>
        <v/>
      </c>
      <c r="J42" s="318" t="str" cm="1">
        <f t="array" ref="J42">IFERROR(INDEX(_xlfn.ANCHORARRAY($P$6),ROW()-5,3),"")</f>
        <v/>
      </c>
      <c r="K42" s="432" t="str" cm="1">
        <f t="array" ref="K42">IF(OR($A42="",$J42&lt;&gt;"DIESEL"),"",_xlfn.LET(_xlpm.qty,N($C42),_xlpm.pos,$T$5:$T$54,_xlpm.alo,IF($U$5:$U$54="",0,$U$5:$U$54),_xlpm.usd,SUMIFS($C$6:$C41,$K$6:$K41,_xlpm.pos&amp;""),_xlpm.bal,_xlpm.alo-_xlpm.usd,IFERROR(INDEX(_xlfn._xlws.FILTER(_xlpm.pos,(_xlpm.pos&lt;&gt;"")*(_xlpm.qty&gt;0)*(_xlpm.bal&gt;=_xlpm.qty)),1),"")))</f>
        <v/>
      </c>
      <c r="L42" s="290"/>
      <c r="M42" s="277"/>
      <c r="N42" s="277"/>
      <c r="O42" s="277"/>
      <c r="T42" s="439"/>
      <c r="U42" s="350"/>
      <c r="W42" s="316" t="str">
        <f t="shared" si="0"/>
        <v/>
      </c>
      <c r="X42" s="273" t="str">
        <f t="shared" si="1"/>
        <v/>
      </c>
      <c r="Y42" s="273" t="str">
        <f t="shared" si="2"/>
        <v/>
      </c>
      <c r="Z42" s="273" t="str">
        <f t="shared" si="3"/>
        <v/>
      </c>
      <c r="AA42" s="316" t="str">
        <f t="shared" si="4"/>
        <v/>
      </c>
      <c r="AC42" t="str" cm="1">
        <f t="array" ref="AC42">IF(INDEX($T$5:$T$54,ROW()-4)="","",INDEX($T$5:$T$54,ROW()-4))</f>
        <v/>
      </c>
      <c r="AD42" t="str">
        <f t="shared" si="5"/>
        <v/>
      </c>
      <c r="AE42" t="str">
        <f t="shared" si="6"/>
        <v/>
      </c>
      <c r="AF42" t="str">
        <f t="shared" si="7"/>
        <v/>
      </c>
      <c r="AG42">
        <f t="shared" si="8"/>
        <v>0</v>
      </c>
      <c r="AH42" t="str" cm="1">
        <f t="array" ref="AH42">IF($AC42="","",IF($AG42=1,SUMPRODUCT(($AG$5:$AG$54=1)*($AC$5:$AC$54&gt;$AC42))+1,SUM($AG$5:$AG$54)+SUMPRODUCT(($AG$5:$AG$54=0)*($AC$5:$AC$54&lt;&gt;"")*($AC$5:$AC$54&gt;$AC42))+1))</f>
        <v/>
      </c>
    </row>
    <row r="43" spans="1:34" ht="23" x14ac:dyDescent="0.25">
      <c r="A43" s="221" t="str" cm="1">
        <f t="array" ref="A43">IFERROR(INDEX(_xlfn.ANCHORARRAY($P$6),ROW()-5,1),"")</f>
        <v/>
      </c>
      <c r="B43" s="317" t="str" cm="1">
        <f t="array" ref="B43">IFERROR(INDEX(_xlfn.ANCHORARRAY($P$6),ROW()-5,2),"")</f>
        <v/>
      </c>
      <c r="C43" s="222" t="str">
        <f>IF($A43="","",IF($J43="DIESEL",SUMIFS(Table1[Quantity],Table1[Customer],$M$3,Table1[Date],$A43,Table1[Bill No.],$B43),IF($J43="PETROL",SUMIFS(Table14[Quantity],Table14[Customer],$M$3,Table14[Date],$A43,Table14[Bill No.],$B43),IF($J43="XtraGreen",SUMIFS(Table146[Quantity],Table146[Company],$M$3,Table146[Date],$A43,Table146[Bill No.],$B43),""))))</f>
        <v/>
      </c>
      <c r="D43" s="223" t="str">
        <f>IF($A43="","",IF($J43="DIESEL",AVERAGEIFS(Table1[RSP],Table1[Customer],$M$3,Table1[Date],$A43,Table1[Bill No.],$B43),IF($J43="PETROL",AVERAGEIFS(Table14[RSP],Table14[Customer],$M$3,Table14[Date],$A43,Table14[Bill No.],$B43),IF($J43="XtraGreen",AVERAGEIFS(Table146[RSP],Table146[Company],$M$3,Table146[Date],$A43,Table146[Bill No.],$B43),IFERROR($E43/$C43,"")))))</f>
        <v/>
      </c>
      <c r="E43" s="330" t="str">
        <f>IF($A43="","",IF($J43="DIESEL",SUMIFS(Table1[Amount],Table1[Customer],$M$3,Table1[Date],$A43,Table1[Bill No.],$B43),IF($J43="PETROL",SUMIFS(Table14[Amount],Table14[Customer],$M$3,Table14[Date],$A43,Table14[Bill No.],$B43),IF($J43="XtraGreen",SUMIFS(Table146[Amount],Table146[Company],$M$3,Table146[Date],$A43,Table146[Bill No.],$B43),SUMIFS('Other Sale'!$D:$D,'Other Sale'!$E:$E,$M$3,'Other Sale'!$C:$C,$J43,'Other Sale'!$A:$A,$A43)))))</f>
        <v/>
      </c>
      <c r="F43" s="330" t="str" cm="1">
        <f t="array" ref="F43">IF($A43="","",IF($J43="Payment",IFERROR(INDEX(_xlfn._xlws.FILTER(MasterPaid[Amount Paid],(MasterPaid[Customer]=$M$3)*(MasterPaid[Date]=$A43)),COUNTIFS($A$6:$A43,$A43,$J$6:$J43,"Payment")),0),0))</f>
        <v/>
      </c>
      <c r="G43" s="331"/>
      <c r="H43" s="331"/>
      <c r="I43" s="330" t="str">
        <f t="shared" si="9"/>
        <v/>
      </c>
      <c r="J43" s="318" t="str" cm="1">
        <f t="array" ref="J43">IFERROR(INDEX(_xlfn.ANCHORARRAY($P$6),ROW()-5,3),"")</f>
        <v/>
      </c>
      <c r="K43" s="432" t="str" cm="1">
        <f t="array" ref="K43">IF(OR($A43="",$J43&lt;&gt;"DIESEL"),"",_xlfn.LET(_xlpm.qty,N($C43),_xlpm.pos,$T$5:$T$54,_xlpm.alo,IF($U$5:$U$54="",0,$U$5:$U$54),_xlpm.usd,SUMIFS($C$6:$C42,$K$6:$K42,_xlpm.pos&amp;""),_xlpm.bal,_xlpm.alo-_xlpm.usd,IFERROR(INDEX(_xlfn._xlws.FILTER(_xlpm.pos,(_xlpm.pos&lt;&gt;"")*(_xlpm.qty&gt;0)*(_xlpm.bal&gt;=_xlpm.qty)),1),"")))</f>
        <v/>
      </c>
      <c r="L43" s="290"/>
      <c r="M43" s="277"/>
      <c r="N43" s="277"/>
      <c r="O43" s="277"/>
      <c r="T43" s="439"/>
      <c r="U43" s="350"/>
      <c r="W43" s="316" t="str">
        <f t="shared" si="0"/>
        <v/>
      </c>
      <c r="X43" s="273" t="str">
        <f t="shared" si="1"/>
        <v/>
      </c>
      <c r="Y43" s="273" t="str">
        <f t="shared" si="2"/>
        <v/>
      </c>
      <c r="Z43" s="273" t="str">
        <f t="shared" si="3"/>
        <v/>
      </c>
      <c r="AA43" s="316" t="str">
        <f t="shared" si="4"/>
        <v/>
      </c>
      <c r="AC43" t="str" cm="1">
        <f t="array" ref="AC43">IF(INDEX($T$5:$T$54,ROW()-4)="","",INDEX($T$5:$T$54,ROW()-4))</f>
        <v/>
      </c>
      <c r="AD43" t="str">
        <f t="shared" si="5"/>
        <v/>
      </c>
      <c r="AE43" t="str">
        <f t="shared" si="6"/>
        <v/>
      </c>
      <c r="AF43" t="str">
        <f t="shared" si="7"/>
        <v/>
      </c>
      <c r="AG43">
        <f t="shared" si="8"/>
        <v>0</v>
      </c>
      <c r="AH43" t="str" cm="1">
        <f t="array" ref="AH43">IF($AC43="","",IF($AG43=1,SUMPRODUCT(($AG$5:$AG$54=1)*($AC$5:$AC$54&gt;$AC43))+1,SUM($AG$5:$AG$54)+SUMPRODUCT(($AG$5:$AG$54=0)*($AC$5:$AC$54&lt;&gt;"")*($AC$5:$AC$54&gt;$AC43))+1))</f>
        <v/>
      </c>
    </row>
    <row r="44" spans="1:34" ht="23" x14ac:dyDescent="0.25">
      <c r="A44" s="221" t="str" cm="1">
        <f t="array" ref="A44">IFERROR(INDEX(_xlfn.ANCHORARRAY($P$6),ROW()-5,1),"")</f>
        <v/>
      </c>
      <c r="B44" s="317" t="str" cm="1">
        <f t="array" ref="B44">IFERROR(INDEX(_xlfn.ANCHORARRAY($P$6),ROW()-5,2),"")</f>
        <v/>
      </c>
      <c r="C44" s="222" t="str">
        <f>IF($A44="","",IF($J44="DIESEL",SUMIFS(Table1[Quantity],Table1[Customer],$M$3,Table1[Date],$A44,Table1[Bill No.],$B44),IF($J44="PETROL",SUMIFS(Table14[Quantity],Table14[Customer],$M$3,Table14[Date],$A44,Table14[Bill No.],$B44),IF($J44="XtraGreen",SUMIFS(Table146[Quantity],Table146[Company],$M$3,Table146[Date],$A44,Table146[Bill No.],$B44),""))))</f>
        <v/>
      </c>
      <c r="D44" s="223" t="str">
        <f>IF($A44="","",IF($J44="DIESEL",AVERAGEIFS(Table1[RSP],Table1[Customer],$M$3,Table1[Date],$A44,Table1[Bill No.],$B44),IF($J44="PETROL",AVERAGEIFS(Table14[RSP],Table14[Customer],$M$3,Table14[Date],$A44,Table14[Bill No.],$B44),IF($J44="XtraGreen",AVERAGEIFS(Table146[RSP],Table146[Company],$M$3,Table146[Date],$A44,Table146[Bill No.],$B44),IFERROR($E44/$C44,"")))))</f>
        <v/>
      </c>
      <c r="E44" s="330" t="str">
        <f>IF($A44="","",IF($J44="DIESEL",SUMIFS(Table1[Amount],Table1[Customer],$M$3,Table1[Date],$A44,Table1[Bill No.],$B44),IF($J44="PETROL",SUMIFS(Table14[Amount],Table14[Customer],$M$3,Table14[Date],$A44,Table14[Bill No.],$B44),IF($J44="XtraGreen",SUMIFS(Table146[Amount],Table146[Company],$M$3,Table146[Date],$A44,Table146[Bill No.],$B44),SUMIFS('Other Sale'!$D:$D,'Other Sale'!$E:$E,$M$3,'Other Sale'!$C:$C,$J44,'Other Sale'!$A:$A,$A44)))))</f>
        <v/>
      </c>
      <c r="F44" s="330" t="str" cm="1">
        <f t="array" ref="F44">IF($A44="","",IF($J44="Payment",IFERROR(INDEX(_xlfn._xlws.FILTER(MasterPaid[Amount Paid],(MasterPaid[Customer]=$M$3)*(MasterPaid[Date]=$A44)),COUNTIFS($A$6:$A44,$A44,$J$6:$J44,"Payment")),0),0))</f>
        <v/>
      </c>
      <c r="G44" s="331"/>
      <c r="H44" s="331"/>
      <c r="I44" s="330" t="str">
        <f t="shared" si="9"/>
        <v/>
      </c>
      <c r="J44" s="318" t="str" cm="1">
        <f t="array" ref="J44">IFERROR(INDEX(_xlfn.ANCHORARRAY($P$6),ROW()-5,3),"")</f>
        <v/>
      </c>
      <c r="K44" s="432" t="str" cm="1">
        <f t="array" ref="K44">IF(OR($A44="",$J44&lt;&gt;"DIESEL"),"",_xlfn.LET(_xlpm.qty,N($C44),_xlpm.pos,$T$5:$T$54,_xlpm.alo,IF($U$5:$U$54="",0,$U$5:$U$54),_xlpm.usd,SUMIFS($C$6:$C43,$K$6:$K43,_xlpm.pos&amp;""),_xlpm.bal,_xlpm.alo-_xlpm.usd,IFERROR(INDEX(_xlfn._xlws.FILTER(_xlpm.pos,(_xlpm.pos&lt;&gt;"")*(_xlpm.qty&gt;0)*(_xlpm.bal&gt;=_xlpm.qty)),1),"")))</f>
        <v/>
      </c>
      <c r="L44" s="290"/>
      <c r="M44" s="277"/>
      <c r="N44" s="277"/>
      <c r="O44" s="277"/>
      <c r="T44" s="439"/>
      <c r="U44" s="350"/>
      <c r="W44" s="316" t="str">
        <f t="shared" si="0"/>
        <v/>
      </c>
      <c r="X44" s="273" t="str">
        <f t="shared" si="1"/>
        <v/>
      </c>
      <c r="Y44" s="273" t="str">
        <f t="shared" si="2"/>
        <v/>
      </c>
      <c r="Z44" s="273" t="str">
        <f t="shared" si="3"/>
        <v/>
      </c>
      <c r="AA44" s="316" t="str">
        <f t="shared" si="4"/>
        <v/>
      </c>
      <c r="AC44" t="str" cm="1">
        <f t="array" ref="AC44">IF(INDEX($T$5:$T$54,ROW()-4)="","",INDEX($T$5:$T$54,ROW()-4))</f>
        <v/>
      </c>
      <c r="AD44" t="str">
        <f t="shared" si="5"/>
        <v/>
      </c>
      <c r="AE44" t="str">
        <f t="shared" si="6"/>
        <v/>
      </c>
      <c r="AF44" t="str">
        <f t="shared" si="7"/>
        <v/>
      </c>
      <c r="AG44">
        <f t="shared" si="8"/>
        <v>0</v>
      </c>
      <c r="AH44" t="str" cm="1">
        <f t="array" ref="AH44">IF($AC44="","",IF($AG44=1,SUMPRODUCT(($AG$5:$AG$54=1)*($AC$5:$AC$54&gt;$AC44))+1,SUM($AG$5:$AG$54)+SUMPRODUCT(($AG$5:$AG$54=0)*($AC$5:$AC$54&lt;&gt;"")*($AC$5:$AC$54&gt;$AC44))+1))</f>
        <v/>
      </c>
    </row>
    <row r="45" spans="1:34" ht="23" x14ac:dyDescent="0.25">
      <c r="A45" s="221" t="str" cm="1">
        <f t="array" ref="A45">IFERROR(INDEX(_xlfn.ANCHORARRAY($P$6),ROW()-5,1),"")</f>
        <v/>
      </c>
      <c r="B45" s="317" t="str" cm="1">
        <f t="array" ref="B45">IFERROR(INDEX(_xlfn.ANCHORARRAY($P$6),ROW()-5,2),"")</f>
        <v/>
      </c>
      <c r="C45" s="222" t="str">
        <f>IF($A45="","",IF($J45="DIESEL",SUMIFS(Table1[Quantity],Table1[Customer],$M$3,Table1[Date],$A45,Table1[Bill No.],$B45),IF($J45="PETROL",SUMIFS(Table14[Quantity],Table14[Customer],$M$3,Table14[Date],$A45,Table14[Bill No.],$B45),IF($J45="XtraGreen",SUMIFS(Table146[Quantity],Table146[Company],$M$3,Table146[Date],$A45,Table146[Bill No.],$B45),""))))</f>
        <v/>
      </c>
      <c r="D45" s="223" t="str">
        <f>IF($A45="","",IF($J45="DIESEL",AVERAGEIFS(Table1[RSP],Table1[Customer],$M$3,Table1[Date],$A45,Table1[Bill No.],$B45),IF($J45="PETROL",AVERAGEIFS(Table14[RSP],Table14[Customer],$M$3,Table14[Date],$A45,Table14[Bill No.],$B45),IF($J45="XtraGreen",AVERAGEIFS(Table146[RSP],Table146[Company],$M$3,Table146[Date],$A45,Table146[Bill No.],$B45),IFERROR($E45/$C45,"")))))</f>
        <v/>
      </c>
      <c r="E45" s="330" t="str">
        <f>IF($A45="","",IF($J45="DIESEL",SUMIFS(Table1[Amount],Table1[Customer],$M$3,Table1[Date],$A45,Table1[Bill No.],$B45),IF($J45="PETROL",SUMIFS(Table14[Amount],Table14[Customer],$M$3,Table14[Date],$A45,Table14[Bill No.],$B45),IF($J45="XtraGreen",SUMIFS(Table146[Amount],Table146[Company],$M$3,Table146[Date],$A45,Table146[Bill No.],$B45),SUMIFS('Other Sale'!$D:$D,'Other Sale'!$E:$E,$M$3,'Other Sale'!$C:$C,$J45,'Other Sale'!$A:$A,$A45)))))</f>
        <v/>
      </c>
      <c r="F45" s="330" t="str" cm="1">
        <f t="array" ref="F45">IF($A45="","",IF($J45="Payment",IFERROR(INDEX(_xlfn._xlws.FILTER(MasterPaid[Amount Paid],(MasterPaid[Customer]=$M$3)*(MasterPaid[Date]=$A45)),COUNTIFS($A$6:$A45,$A45,$J$6:$J45,"Payment")),0),0))</f>
        <v/>
      </c>
      <c r="G45" s="331"/>
      <c r="H45" s="331"/>
      <c r="I45" s="330" t="str">
        <f t="shared" si="9"/>
        <v/>
      </c>
      <c r="J45" s="318" t="str" cm="1">
        <f t="array" ref="J45">IFERROR(INDEX(_xlfn.ANCHORARRAY($P$6),ROW()-5,3),"")</f>
        <v/>
      </c>
      <c r="K45" s="432" t="str" cm="1">
        <f t="array" ref="K45">IF(OR($A45="",$J45&lt;&gt;"DIESEL"),"",_xlfn.LET(_xlpm.qty,N($C45),_xlpm.pos,$T$5:$T$54,_xlpm.alo,IF($U$5:$U$54="",0,$U$5:$U$54),_xlpm.usd,SUMIFS($C$6:$C44,$K$6:$K44,_xlpm.pos&amp;""),_xlpm.bal,_xlpm.alo-_xlpm.usd,IFERROR(INDEX(_xlfn._xlws.FILTER(_xlpm.pos,(_xlpm.pos&lt;&gt;"")*(_xlpm.qty&gt;0)*(_xlpm.bal&gt;=_xlpm.qty)),1),"")))</f>
        <v/>
      </c>
      <c r="L45" s="290"/>
      <c r="M45" s="277"/>
      <c r="N45" s="277"/>
      <c r="O45" s="277"/>
      <c r="T45" s="439"/>
      <c r="U45" s="350"/>
      <c r="W45" s="316" t="str">
        <f t="shared" si="0"/>
        <v/>
      </c>
      <c r="X45" s="273" t="str">
        <f t="shared" si="1"/>
        <v/>
      </c>
      <c r="Y45" s="273" t="str">
        <f t="shared" si="2"/>
        <v/>
      </c>
      <c r="Z45" s="273" t="str">
        <f t="shared" si="3"/>
        <v/>
      </c>
      <c r="AA45" s="316" t="str">
        <f t="shared" si="4"/>
        <v/>
      </c>
      <c r="AC45" t="str" cm="1">
        <f t="array" ref="AC45">IF(INDEX($T$5:$T$54,ROW()-4)="","",INDEX($T$5:$T$54,ROW()-4))</f>
        <v/>
      </c>
      <c r="AD45" t="str">
        <f t="shared" si="5"/>
        <v/>
      </c>
      <c r="AE45" t="str">
        <f t="shared" si="6"/>
        <v/>
      </c>
      <c r="AF45" t="str">
        <f t="shared" si="7"/>
        <v/>
      </c>
      <c r="AG45">
        <f t="shared" si="8"/>
        <v>0</v>
      </c>
      <c r="AH45" t="str" cm="1">
        <f t="array" ref="AH45">IF($AC45="","",IF($AG45=1,SUMPRODUCT(($AG$5:$AG$54=1)*($AC$5:$AC$54&gt;$AC45))+1,SUM($AG$5:$AG$54)+SUMPRODUCT(($AG$5:$AG$54=0)*($AC$5:$AC$54&lt;&gt;"")*($AC$5:$AC$54&gt;$AC45))+1))</f>
        <v/>
      </c>
    </row>
    <row r="46" spans="1:34" ht="23" x14ac:dyDescent="0.25">
      <c r="A46" s="221" t="str" cm="1">
        <f t="array" ref="A46">IFERROR(INDEX(_xlfn.ANCHORARRAY($P$6),ROW()-5,1),"")</f>
        <v/>
      </c>
      <c r="B46" s="317" t="str" cm="1">
        <f t="array" ref="B46">IFERROR(INDEX(_xlfn.ANCHORARRAY($P$6),ROW()-5,2),"")</f>
        <v/>
      </c>
      <c r="C46" s="222" t="str">
        <f>IF($A46="","",IF($J46="DIESEL",SUMIFS(Table1[Quantity],Table1[Customer],$M$3,Table1[Date],$A46,Table1[Bill No.],$B46),IF($J46="PETROL",SUMIFS(Table14[Quantity],Table14[Customer],$M$3,Table14[Date],$A46,Table14[Bill No.],$B46),IF($J46="XtraGreen",SUMIFS(Table146[Quantity],Table146[Company],$M$3,Table146[Date],$A46,Table146[Bill No.],$B46),""))))</f>
        <v/>
      </c>
      <c r="D46" s="223" t="str">
        <f>IF($A46="","",IF($J46="DIESEL",AVERAGEIFS(Table1[RSP],Table1[Customer],$M$3,Table1[Date],$A46,Table1[Bill No.],$B46),IF($J46="PETROL",AVERAGEIFS(Table14[RSP],Table14[Customer],$M$3,Table14[Date],$A46,Table14[Bill No.],$B46),IF($J46="XtraGreen",AVERAGEIFS(Table146[RSP],Table146[Company],$M$3,Table146[Date],$A46,Table146[Bill No.],$B46),IFERROR($E46/$C46,"")))))</f>
        <v/>
      </c>
      <c r="E46" s="330" t="str">
        <f>IF($A46="","",IF($J46="DIESEL",SUMIFS(Table1[Amount],Table1[Customer],$M$3,Table1[Date],$A46,Table1[Bill No.],$B46),IF($J46="PETROL",SUMIFS(Table14[Amount],Table14[Customer],$M$3,Table14[Date],$A46,Table14[Bill No.],$B46),IF($J46="XtraGreen",SUMIFS(Table146[Amount],Table146[Company],$M$3,Table146[Date],$A46,Table146[Bill No.],$B46),SUMIFS('Other Sale'!$D:$D,'Other Sale'!$E:$E,$M$3,'Other Sale'!$C:$C,$J46,'Other Sale'!$A:$A,$A46)))))</f>
        <v/>
      </c>
      <c r="F46" s="330" t="str" cm="1">
        <f t="array" ref="F46">IF($A46="","",IF($J46="Payment",IFERROR(INDEX(_xlfn._xlws.FILTER(MasterPaid[Amount Paid],(MasterPaid[Customer]=$M$3)*(MasterPaid[Date]=$A46)),COUNTIFS($A$6:$A46,$A46,$J$6:$J46,"Payment")),0),0))</f>
        <v/>
      </c>
      <c r="G46" s="331"/>
      <c r="H46" s="331"/>
      <c r="I46" s="330" t="str">
        <f t="shared" si="9"/>
        <v/>
      </c>
      <c r="J46" s="318" t="str" cm="1">
        <f t="array" ref="J46">IFERROR(INDEX(_xlfn.ANCHORARRAY($P$6),ROW()-5,3),"")</f>
        <v/>
      </c>
      <c r="K46" s="432" t="str" cm="1">
        <f t="array" ref="K46">IF(OR($A46="",$J46&lt;&gt;"DIESEL"),"",_xlfn.LET(_xlpm.qty,N($C46),_xlpm.pos,$T$5:$T$54,_xlpm.alo,IF($U$5:$U$54="",0,$U$5:$U$54),_xlpm.usd,SUMIFS($C$6:$C45,$K$6:$K45,_xlpm.pos&amp;""),_xlpm.bal,_xlpm.alo-_xlpm.usd,IFERROR(INDEX(_xlfn._xlws.FILTER(_xlpm.pos,(_xlpm.pos&lt;&gt;"")*(_xlpm.qty&gt;0)*(_xlpm.bal&gt;=_xlpm.qty)),1),"")))</f>
        <v/>
      </c>
      <c r="L46" s="290"/>
      <c r="M46" s="277"/>
      <c r="N46" s="277"/>
      <c r="O46" s="277"/>
      <c r="T46" s="439"/>
      <c r="U46" s="350"/>
      <c r="W46" s="316" t="str">
        <f t="shared" si="0"/>
        <v/>
      </c>
      <c r="X46" s="273" t="str">
        <f t="shared" si="1"/>
        <v/>
      </c>
      <c r="Y46" s="273" t="str">
        <f t="shared" si="2"/>
        <v/>
      </c>
      <c r="Z46" s="273" t="str">
        <f t="shared" si="3"/>
        <v/>
      </c>
      <c r="AA46" s="316" t="str">
        <f t="shared" si="4"/>
        <v/>
      </c>
      <c r="AC46" t="str" cm="1">
        <f t="array" ref="AC46">IF(INDEX($T$5:$T$54,ROW()-4)="","",INDEX($T$5:$T$54,ROW()-4))</f>
        <v/>
      </c>
      <c r="AD46" t="str">
        <f t="shared" si="5"/>
        <v/>
      </c>
      <c r="AE46" t="str">
        <f t="shared" si="6"/>
        <v/>
      </c>
      <c r="AF46" t="str">
        <f t="shared" si="7"/>
        <v/>
      </c>
      <c r="AG46">
        <f t="shared" si="8"/>
        <v>0</v>
      </c>
      <c r="AH46" t="str" cm="1">
        <f t="array" ref="AH46">IF($AC46="","",IF($AG46=1,SUMPRODUCT(($AG$5:$AG$54=1)*($AC$5:$AC$54&gt;$AC46))+1,SUM($AG$5:$AG$54)+SUMPRODUCT(($AG$5:$AG$54=0)*($AC$5:$AC$54&lt;&gt;"")*($AC$5:$AC$54&gt;$AC46))+1))</f>
        <v/>
      </c>
    </row>
    <row r="47" spans="1:34" ht="23" x14ac:dyDescent="0.25">
      <c r="A47" s="221" t="str" cm="1">
        <f t="array" ref="A47">IFERROR(INDEX(_xlfn.ANCHORARRAY($P$6),ROW()-5,1),"")</f>
        <v/>
      </c>
      <c r="B47" s="317" t="str" cm="1">
        <f t="array" ref="B47">IFERROR(INDEX(_xlfn.ANCHORARRAY($P$6),ROW()-5,2),"")</f>
        <v/>
      </c>
      <c r="C47" s="222" t="str">
        <f>IF($A47="","",IF($J47="DIESEL",SUMIFS(Table1[Quantity],Table1[Customer],$M$3,Table1[Date],$A47,Table1[Bill No.],$B47),IF($J47="PETROL",SUMIFS(Table14[Quantity],Table14[Customer],$M$3,Table14[Date],$A47,Table14[Bill No.],$B47),IF($J47="XtraGreen",SUMIFS(Table146[Quantity],Table146[Company],$M$3,Table146[Date],$A47,Table146[Bill No.],$B47),""))))</f>
        <v/>
      </c>
      <c r="D47" s="223" t="str">
        <f>IF($A47="","",IF($J47="DIESEL",AVERAGEIFS(Table1[RSP],Table1[Customer],$M$3,Table1[Date],$A47,Table1[Bill No.],$B47),IF($J47="PETROL",AVERAGEIFS(Table14[RSP],Table14[Customer],$M$3,Table14[Date],$A47,Table14[Bill No.],$B47),IF($J47="XtraGreen",AVERAGEIFS(Table146[RSP],Table146[Company],$M$3,Table146[Date],$A47,Table146[Bill No.],$B47),IFERROR($E47/$C47,"")))))</f>
        <v/>
      </c>
      <c r="E47" s="330" t="str">
        <f>IF($A47="","",IF($J47="DIESEL",SUMIFS(Table1[Amount],Table1[Customer],$M$3,Table1[Date],$A47,Table1[Bill No.],$B47),IF($J47="PETROL",SUMIFS(Table14[Amount],Table14[Customer],$M$3,Table14[Date],$A47,Table14[Bill No.],$B47),IF($J47="XtraGreen",SUMIFS(Table146[Amount],Table146[Company],$M$3,Table146[Date],$A47,Table146[Bill No.],$B47),SUMIFS('Other Sale'!$D:$D,'Other Sale'!$E:$E,$M$3,'Other Sale'!$C:$C,$J47,'Other Sale'!$A:$A,$A47)))))</f>
        <v/>
      </c>
      <c r="F47" s="330" t="str" cm="1">
        <f t="array" ref="F47">IF($A47="","",IF($J47="Payment",IFERROR(INDEX(_xlfn._xlws.FILTER(MasterPaid[Amount Paid],(MasterPaid[Customer]=$M$3)*(MasterPaid[Date]=$A47)),COUNTIFS($A$6:$A47,$A47,$J$6:$J47,"Payment")),0),0))</f>
        <v/>
      </c>
      <c r="G47" s="331"/>
      <c r="H47" s="331"/>
      <c r="I47" s="330" t="str">
        <f t="shared" si="9"/>
        <v/>
      </c>
      <c r="J47" s="318" t="str" cm="1">
        <f t="array" ref="J47">IFERROR(INDEX(_xlfn.ANCHORARRAY($P$6),ROW()-5,3),"")</f>
        <v/>
      </c>
      <c r="K47" s="432" t="str" cm="1">
        <f t="array" ref="K47">IF(OR($A47="",$J47&lt;&gt;"DIESEL"),"",_xlfn.LET(_xlpm.qty,N($C47),_xlpm.pos,$T$5:$T$54,_xlpm.alo,IF($U$5:$U$54="",0,$U$5:$U$54),_xlpm.usd,SUMIFS($C$6:$C46,$K$6:$K46,_xlpm.pos&amp;""),_xlpm.bal,_xlpm.alo-_xlpm.usd,IFERROR(INDEX(_xlfn._xlws.FILTER(_xlpm.pos,(_xlpm.pos&lt;&gt;"")*(_xlpm.qty&gt;0)*(_xlpm.bal&gt;=_xlpm.qty)),1),"")))</f>
        <v/>
      </c>
      <c r="L47" s="290"/>
      <c r="M47" s="277"/>
      <c r="N47" s="277"/>
      <c r="O47" s="277"/>
      <c r="T47" s="439"/>
      <c r="U47" s="350"/>
      <c r="W47" s="316" t="str">
        <f t="shared" si="0"/>
        <v/>
      </c>
      <c r="X47" s="273" t="str">
        <f t="shared" si="1"/>
        <v/>
      </c>
      <c r="Y47" s="273" t="str">
        <f t="shared" si="2"/>
        <v/>
      </c>
      <c r="Z47" s="273" t="str">
        <f t="shared" si="3"/>
        <v/>
      </c>
      <c r="AA47" s="316" t="str">
        <f t="shared" si="4"/>
        <v/>
      </c>
      <c r="AC47" t="str" cm="1">
        <f t="array" ref="AC47">IF(INDEX($T$5:$T$54,ROW()-4)="","",INDEX($T$5:$T$54,ROW()-4))</f>
        <v/>
      </c>
      <c r="AD47" t="str">
        <f t="shared" si="5"/>
        <v/>
      </c>
      <c r="AE47" t="str">
        <f t="shared" si="6"/>
        <v/>
      </c>
      <c r="AF47" t="str">
        <f t="shared" si="7"/>
        <v/>
      </c>
      <c r="AG47">
        <f t="shared" si="8"/>
        <v>0</v>
      </c>
      <c r="AH47" t="str" cm="1">
        <f t="array" ref="AH47">IF($AC47="","",IF($AG47=1,SUMPRODUCT(($AG$5:$AG$54=1)*($AC$5:$AC$54&gt;$AC47))+1,SUM($AG$5:$AG$54)+SUMPRODUCT(($AG$5:$AG$54=0)*($AC$5:$AC$54&lt;&gt;"")*($AC$5:$AC$54&gt;$AC47))+1))</f>
        <v/>
      </c>
    </row>
    <row r="48" spans="1:34" ht="23" x14ac:dyDescent="0.25">
      <c r="A48" s="221" t="str" cm="1">
        <f t="array" ref="A48">IFERROR(INDEX(_xlfn.ANCHORARRAY($P$6),ROW()-5,1),"")</f>
        <v/>
      </c>
      <c r="B48" s="317" t="str" cm="1">
        <f t="array" ref="B48">IFERROR(INDEX(_xlfn.ANCHORARRAY($P$6),ROW()-5,2),"")</f>
        <v/>
      </c>
      <c r="C48" s="222" t="str">
        <f>IF($A48="","",IF($J48="DIESEL",SUMIFS(Table1[Quantity],Table1[Customer],$M$3,Table1[Date],$A48,Table1[Bill No.],$B48),IF($J48="PETROL",SUMIFS(Table14[Quantity],Table14[Customer],$M$3,Table14[Date],$A48,Table14[Bill No.],$B48),IF($J48="XtraGreen",SUMIFS(Table146[Quantity],Table146[Company],$M$3,Table146[Date],$A48,Table146[Bill No.],$B48),""))))</f>
        <v/>
      </c>
      <c r="D48" s="223" t="str">
        <f>IF($A48="","",IF($J48="DIESEL",AVERAGEIFS(Table1[RSP],Table1[Customer],$M$3,Table1[Date],$A48,Table1[Bill No.],$B48),IF($J48="PETROL",AVERAGEIFS(Table14[RSP],Table14[Customer],$M$3,Table14[Date],$A48,Table14[Bill No.],$B48),IF($J48="XtraGreen",AVERAGEIFS(Table146[RSP],Table146[Company],$M$3,Table146[Date],$A48,Table146[Bill No.],$B48),IFERROR($E48/$C48,"")))))</f>
        <v/>
      </c>
      <c r="E48" s="330" t="str">
        <f>IF($A48="","",IF($J48="DIESEL",SUMIFS(Table1[Amount],Table1[Customer],$M$3,Table1[Date],$A48,Table1[Bill No.],$B48),IF($J48="PETROL",SUMIFS(Table14[Amount],Table14[Customer],$M$3,Table14[Date],$A48,Table14[Bill No.],$B48),IF($J48="XtraGreen",SUMIFS(Table146[Amount],Table146[Company],$M$3,Table146[Date],$A48,Table146[Bill No.],$B48),SUMIFS('Other Sale'!$D:$D,'Other Sale'!$E:$E,$M$3,'Other Sale'!$C:$C,$J48,'Other Sale'!$A:$A,$A48)))))</f>
        <v/>
      </c>
      <c r="F48" s="330" t="str" cm="1">
        <f t="array" ref="F48">IF($A48="","",IF($J48="Payment",IFERROR(INDEX(_xlfn._xlws.FILTER(MasterPaid[Amount Paid],(MasterPaid[Customer]=$M$3)*(MasterPaid[Date]=$A48)),COUNTIFS($A$6:$A48,$A48,$J$6:$J48,"Payment")),0),0))</f>
        <v/>
      </c>
      <c r="G48" s="331"/>
      <c r="H48" s="331"/>
      <c r="I48" s="330" t="str">
        <f t="shared" si="9"/>
        <v/>
      </c>
      <c r="J48" s="318" t="str" cm="1">
        <f t="array" ref="J48">IFERROR(INDEX(_xlfn.ANCHORARRAY($P$6),ROW()-5,3),"")</f>
        <v/>
      </c>
      <c r="K48" s="432" t="str" cm="1">
        <f t="array" ref="K48">IF(OR($A48="",$J48&lt;&gt;"DIESEL"),"",_xlfn.LET(_xlpm.qty,N($C48),_xlpm.pos,$T$5:$T$54,_xlpm.alo,IF($U$5:$U$54="",0,$U$5:$U$54),_xlpm.usd,SUMIFS($C$6:$C47,$K$6:$K47,_xlpm.pos&amp;""),_xlpm.bal,_xlpm.alo-_xlpm.usd,IFERROR(INDEX(_xlfn._xlws.FILTER(_xlpm.pos,(_xlpm.pos&lt;&gt;"")*(_xlpm.qty&gt;0)*(_xlpm.bal&gt;=_xlpm.qty)),1),"")))</f>
        <v/>
      </c>
      <c r="L48" s="290"/>
      <c r="M48" s="277"/>
      <c r="N48" s="277"/>
      <c r="O48" s="277"/>
      <c r="T48" s="439"/>
      <c r="U48" s="350"/>
      <c r="W48" s="316" t="str">
        <f t="shared" si="0"/>
        <v/>
      </c>
      <c r="X48" s="273" t="str">
        <f t="shared" si="1"/>
        <v/>
      </c>
      <c r="Y48" s="273" t="str">
        <f t="shared" si="2"/>
        <v/>
      </c>
      <c r="Z48" s="273" t="str">
        <f t="shared" si="3"/>
        <v/>
      </c>
      <c r="AA48" s="316" t="str">
        <f t="shared" si="4"/>
        <v/>
      </c>
      <c r="AC48" t="str" cm="1">
        <f t="array" ref="AC48">IF(INDEX($T$5:$T$54,ROW()-4)="","",INDEX($T$5:$T$54,ROW()-4))</f>
        <v/>
      </c>
      <c r="AD48" t="str">
        <f t="shared" si="5"/>
        <v/>
      </c>
      <c r="AE48" t="str">
        <f t="shared" si="6"/>
        <v/>
      </c>
      <c r="AF48" t="str">
        <f t="shared" si="7"/>
        <v/>
      </c>
      <c r="AG48">
        <f t="shared" si="8"/>
        <v>0</v>
      </c>
      <c r="AH48" t="str" cm="1">
        <f t="array" ref="AH48">IF($AC48="","",IF($AG48=1,SUMPRODUCT(($AG$5:$AG$54=1)*($AC$5:$AC$54&gt;$AC48))+1,SUM($AG$5:$AG$54)+SUMPRODUCT(($AG$5:$AG$54=0)*($AC$5:$AC$54&lt;&gt;"")*($AC$5:$AC$54&gt;$AC48))+1))</f>
        <v/>
      </c>
    </row>
    <row r="49" spans="1:34" ht="23" x14ac:dyDescent="0.25">
      <c r="A49" s="221" t="str" cm="1">
        <f t="array" ref="A49">IFERROR(INDEX(_xlfn.ANCHORARRAY($P$6),ROW()-5,1),"")</f>
        <v/>
      </c>
      <c r="B49" s="317" t="str" cm="1">
        <f t="array" ref="B49">IFERROR(INDEX(_xlfn.ANCHORARRAY($P$6),ROW()-5,2),"")</f>
        <v/>
      </c>
      <c r="C49" s="222" t="str">
        <f>IF($A49="","",IF($J49="DIESEL",SUMIFS(Table1[Quantity],Table1[Customer],$M$3,Table1[Date],$A49,Table1[Bill No.],$B49),IF($J49="PETROL",SUMIFS(Table14[Quantity],Table14[Customer],$M$3,Table14[Date],$A49,Table14[Bill No.],$B49),IF($J49="XtraGreen",SUMIFS(Table146[Quantity],Table146[Company],$M$3,Table146[Date],$A49,Table146[Bill No.],$B49),""))))</f>
        <v/>
      </c>
      <c r="D49" s="223" t="str">
        <f>IF($A49="","",IF($J49="DIESEL",AVERAGEIFS(Table1[RSP],Table1[Customer],$M$3,Table1[Date],$A49,Table1[Bill No.],$B49),IF($J49="PETROL",AVERAGEIFS(Table14[RSP],Table14[Customer],$M$3,Table14[Date],$A49,Table14[Bill No.],$B49),IF($J49="XtraGreen",AVERAGEIFS(Table146[RSP],Table146[Company],$M$3,Table146[Date],$A49,Table146[Bill No.],$B49),IFERROR($E49/$C49,"")))))</f>
        <v/>
      </c>
      <c r="E49" s="330" t="str">
        <f>IF($A49="","",IF($J49="DIESEL",SUMIFS(Table1[Amount],Table1[Customer],$M$3,Table1[Date],$A49,Table1[Bill No.],$B49),IF($J49="PETROL",SUMIFS(Table14[Amount],Table14[Customer],$M$3,Table14[Date],$A49,Table14[Bill No.],$B49),IF($J49="XtraGreen",SUMIFS(Table146[Amount],Table146[Company],$M$3,Table146[Date],$A49,Table146[Bill No.],$B49),SUMIFS('Other Sale'!$D:$D,'Other Sale'!$E:$E,$M$3,'Other Sale'!$C:$C,$J49,'Other Sale'!$A:$A,$A49)))))</f>
        <v/>
      </c>
      <c r="F49" s="330" t="str" cm="1">
        <f t="array" ref="F49">IF($A49="","",IF($J49="Payment",IFERROR(INDEX(_xlfn._xlws.FILTER(MasterPaid[Amount Paid],(MasterPaid[Customer]=$M$3)*(MasterPaid[Date]=$A49)),COUNTIFS($A$6:$A49,$A49,$J$6:$J49,"Payment")),0),0))</f>
        <v/>
      </c>
      <c r="G49" s="331"/>
      <c r="H49" s="331"/>
      <c r="I49" s="330" t="str">
        <f t="shared" si="9"/>
        <v/>
      </c>
      <c r="J49" s="318" t="str" cm="1">
        <f t="array" ref="J49">IFERROR(INDEX(_xlfn.ANCHORARRAY($P$6),ROW()-5,3),"")</f>
        <v/>
      </c>
      <c r="K49" s="432" t="str" cm="1">
        <f t="array" ref="K49">IF(OR($A49="",$J49&lt;&gt;"DIESEL"),"",_xlfn.LET(_xlpm.qty,N($C49),_xlpm.pos,$T$5:$T$54,_xlpm.alo,IF($U$5:$U$54="",0,$U$5:$U$54),_xlpm.usd,SUMIFS($C$6:$C48,$K$6:$K48,_xlpm.pos&amp;""),_xlpm.bal,_xlpm.alo-_xlpm.usd,IFERROR(INDEX(_xlfn._xlws.FILTER(_xlpm.pos,(_xlpm.pos&lt;&gt;"")*(_xlpm.qty&gt;0)*(_xlpm.bal&gt;=_xlpm.qty)),1),"")))</f>
        <v/>
      </c>
      <c r="L49" s="290"/>
      <c r="M49" s="277"/>
      <c r="N49" s="277"/>
      <c r="O49" s="277"/>
      <c r="T49" s="439"/>
      <c r="U49" s="350"/>
      <c r="W49" s="316" t="str">
        <f t="shared" si="0"/>
        <v/>
      </c>
      <c r="X49" s="273" t="str">
        <f t="shared" si="1"/>
        <v/>
      </c>
      <c r="Y49" s="273" t="str">
        <f t="shared" si="2"/>
        <v/>
      </c>
      <c r="Z49" s="273" t="str">
        <f t="shared" si="3"/>
        <v/>
      </c>
      <c r="AA49" s="316" t="str">
        <f t="shared" si="4"/>
        <v/>
      </c>
      <c r="AC49" t="str" cm="1">
        <f t="array" ref="AC49">IF(INDEX($T$5:$T$54,ROW()-4)="","",INDEX($T$5:$T$54,ROW()-4))</f>
        <v/>
      </c>
      <c r="AD49" t="str">
        <f t="shared" si="5"/>
        <v/>
      </c>
      <c r="AE49" t="str">
        <f t="shared" si="6"/>
        <v/>
      </c>
      <c r="AF49" t="str">
        <f t="shared" si="7"/>
        <v/>
      </c>
      <c r="AG49">
        <f t="shared" si="8"/>
        <v>0</v>
      </c>
      <c r="AH49" t="str" cm="1">
        <f t="array" ref="AH49">IF($AC49="","",IF($AG49=1,SUMPRODUCT(($AG$5:$AG$54=1)*($AC$5:$AC$54&gt;$AC49))+1,SUM($AG$5:$AG$54)+SUMPRODUCT(($AG$5:$AG$54=0)*($AC$5:$AC$54&lt;&gt;"")*($AC$5:$AC$54&gt;$AC49))+1))</f>
        <v/>
      </c>
    </row>
    <row r="50" spans="1:34" ht="23" x14ac:dyDescent="0.25">
      <c r="A50" s="221" t="str" cm="1">
        <f t="array" ref="A50">IFERROR(INDEX(_xlfn.ANCHORARRAY($P$6),ROW()-5,1),"")</f>
        <v/>
      </c>
      <c r="B50" s="317" t="str" cm="1">
        <f t="array" ref="B50">IFERROR(INDEX(_xlfn.ANCHORARRAY($P$6),ROW()-5,2),"")</f>
        <v/>
      </c>
      <c r="C50" s="222" t="str">
        <f>IF($A50="","",IF($J50="DIESEL",SUMIFS(Table1[Quantity],Table1[Customer],$M$3,Table1[Date],$A50,Table1[Bill No.],$B50),IF($J50="PETROL",SUMIFS(Table14[Quantity],Table14[Customer],$M$3,Table14[Date],$A50,Table14[Bill No.],$B50),IF($J50="XtraGreen",SUMIFS(Table146[Quantity],Table146[Company],$M$3,Table146[Date],$A50,Table146[Bill No.],$B50),""))))</f>
        <v/>
      </c>
      <c r="D50" s="223" t="str">
        <f>IF($A50="","",IF($J50="DIESEL",AVERAGEIFS(Table1[RSP],Table1[Customer],$M$3,Table1[Date],$A50,Table1[Bill No.],$B50),IF($J50="PETROL",AVERAGEIFS(Table14[RSP],Table14[Customer],$M$3,Table14[Date],$A50,Table14[Bill No.],$B50),IF($J50="XtraGreen",AVERAGEIFS(Table146[RSP],Table146[Company],$M$3,Table146[Date],$A50,Table146[Bill No.],$B50),IFERROR($E50/$C50,"")))))</f>
        <v/>
      </c>
      <c r="E50" s="330" t="str">
        <f>IF($A50="","",IF($J50="DIESEL",SUMIFS(Table1[Amount],Table1[Customer],$M$3,Table1[Date],$A50,Table1[Bill No.],$B50),IF($J50="PETROL",SUMIFS(Table14[Amount],Table14[Customer],$M$3,Table14[Date],$A50,Table14[Bill No.],$B50),IF($J50="XtraGreen",SUMIFS(Table146[Amount],Table146[Company],$M$3,Table146[Date],$A50,Table146[Bill No.],$B50),SUMIFS('Other Sale'!$D:$D,'Other Sale'!$E:$E,$M$3,'Other Sale'!$C:$C,$J50,'Other Sale'!$A:$A,$A50)))))</f>
        <v/>
      </c>
      <c r="F50" s="330" t="str" cm="1">
        <f t="array" ref="F50">IF($A50="","",IF($J50="Payment",IFERROR(INDEX(_xlfn._xlws.FILTER(MasterPaid[Amount Paid],(MasterPaid[Customer]=$M$3)*(MasterPaid[Date]=$A50)),COUNTIFS($A$6:$A50,$A50,$J$6:$J50,"Payment")),0),0))</f>
        <v/>
      </c>
      <c r="G50" s="331"/>
      <c r="H50" s="331"/>
      <c r="I50" s="330" t="str">
        <f t="shared" si="9"/>
        <v/>
      </c>
      <c r="J50" s="318" t="str" cm="1">
        <f t="array" ref="J50">IFERROR(INDEX(_xlfn.ANCHORARRAY($P$6),ROW()-5,3),"")</f>
        <v/>
      </c>
      <c r="K50" s="432" t="str" cm="1">
        <f t="array" ref="K50">IF(OR($A50="",$J50&lt;&gt;"DIESEL"),"",_xlfn.LET(_xlpm.qty,N($C50),_xlpm.pos,$T$5:$T$54,_xlpm.alo,IF($U$5:$U$54="",0,$U$5:$U$54),_xlpm.usd,SUMIFS($C$6:$C49,$K$6:$K49,_xlpm.pos&amp;""),_xlpm.bal,_xlpm.alo-_xlpm.usd,IFERROR(INDEX(_xlfn._xlws.FILTER(_xlpm.pos,(_xlpm.pos&lt;&gt;"")*(_xlpm.qty&gt;0)*(_xlpm.bal&gt;=_xlpm.qty)),1),"")))</f>
        <v/>
      </c>
      <c r="L50" s="290"/>
      <c r="M50" s="277"/>
      <c r="N50" s="277"/>
      <c r="O50" s="277"/>
      <c r="T50" s="439"/>
      <c r="U50" s="350"/>
      <c r="W50" s="316" t="str">
        <f t="shared" si="0"/>
        <v/>
      </c>
      <c r="X50" s="273" t="str">
        <f t="shared" si="1"/>
        <v/>
      </c>
      <c r="Y50" s="273" t="str">
        <f t="shared" si="2"/>
        <v/>
      </c>
      <c r="Z50" s="273" t="str">
        <f t="shared" si="3"/>
        <v/>
      </c>
      <c r="AA50" s="316" t="str">
        <f t="shared" si="4"/>
        <v/>
      </c>
      <c r="AC50" t="str" cm="1">
        <f t="array" ref="AC50">IF(INDEX($T$5:$T$54,ROW()-4)="","",INDEX($T$5:$T$54,ROW()-4))</f>
        <v/>
      </c>
      <c r="AD50" t="str">
        <f t="shared" si="5"/>
        <v/>
      </c>
      <c r="AE50" t="str">
        <f t="shared" si="6"/>
        <v/>
      </c>
      <c r="AF50" t="str">
        <f t="shared" si="7"/>
        <v/>
      </c>
      <c r="AG50">
        <f t="shared" si="8"/>
        <v>0</v>
      </c>
      <c r="AH50" t="str" cm="1">
        <f t="array" ref="AH50">IF($AC50="","",IF($AG50=1,SUMPRODUCT(($AG$5:$AG$54=1)*($AC$5:$AC$54&gt;$AC50))+1,SUM($AG$5:$AG$54)+SUMPRODUCT(($AG$5:$AG$54=0)*($AC$5:$AC$54&lt;&gt;"")*($AC$5:$AC$54&gt;$AC50))+1))</f>
        <v/>
      </c>
    </row>
    <row r="51" spans="1:34" ht="23" x14ac:dyDescent="0.25">
      <c r="A51" s="221" t="str" cm="1">
        <f t="array" ref="A51">IFERROR(INDEX(_xlfn.ANCHORARRAY($P$6),ROW()-5,1),"")</f>
        <v/>
      </c>
      <c r="B51" s="317" t="str" cm="1">
        <f t="array" ref="B51">IFERROR(INDEX(_xlfn.ANCHORARRAY($P$6),ROW()-5,2),"")</f>
        <v/>
      </c>
      <c r="C51" s="222" t="str">
        <f>IF($A51="","",IF($J51="DIESEL",SUMIFS(Table1[Quantity],Table1[Customer],$M$3,Table1[Date],$A51,Table1[Bill No.],$B51),IF($J51="PETROL",SUMIFS(Table14[Quantity],Table14[Customer],$M$3,Table14[Date],$A51,Table14[Bill No.],$B51),IF($J51="XtraGreen",SUMIFS(Table146[Quantity],Table146[Company],$M$3,Table146[Date],$A51,Table146[Bill No.],$B51),""))))</f>
        <v/>
      </c>
      <c r="D51" s="223" t="str">
        <f>IF($A51="","",IF($J51="DIESEL",AVERAGEIFS(Table1[RSP],Table1[Customer],$M$3,Table1[Date],$A51,Table1[Bill No.],$B51),IF($J51="PETROL",AVERAGEIFS(Table14[RSP],Table14[Customer],$M$3,Table14[Date],$A51,Table14[Bill No.],$B51),IF($J51="XtraGreen",AVERAGEIFS(Table146[RSP],Table146[Company],$M$3,Table146[Date],$A51,Table146[Bill No.],$B51),IFERROR($E51/$C51,"")))))</f>
        <v/>
      </c>
      <c r="E51" s="330" t="str">
        <f>IF($A51="","",IF($J51="DIESEL",SUMIFS(Table1[Amount],Table1[Customer],$M$3,Table1[Date],$A51,Table1[Bill No.],$B51),IF($J51="PETROL",SUMIFS(Table14[Amount],Table14[Customer],$M$3,Table14[Date],$A51,Table14[Bill No.],$B51),IF($J51="XtraGreen",SUMIFS(Table146[Amount],Table146[Company],$M$3,Table146[Date],$A51,Table146[Bill No.],$B51),SUMIFS('Other Sale'!$D:$D,'Other Sale'!$E:$E,$M$3,'Other Sale'!$C:$C,$J51,'Other Sale'!$A:$A,$A51)))))</f>
        <v/>
      </c>
      <c r="F51" s="330" t="str" cm="1">
        <f t="array" ref="F51">IF($A51="","",IF($J51="Payment",IFERROR(INDEX(_xlfn._xlws.FILTER(MasterPaid[Amount Paid],(MasterPaid[Customer]=$M$3)*(MasterPaid[Date]=$A51)),COUNTIFS($A$6:$A51,$A51,$J$6:$J51,"Payment")),0),0))</f>
        <v/>
      </c>
      <c r="G51" s="331"/>
      <c r="H51" s="331"/>
      <c r="I51" s="330" t="str">
        <f t="shared" si="9"/>
        <v/>
      </c>
      <c r="J51" s="318" t="str" cm="1">
        <f t="array" ref="J51">IFERROR(INDEX(_xlfn.ANCHORARRAY($P$6),ROW()-5,3),"")</f>
        <v/>
      </c>
      <c r="K51" s="432" t="str" cm="1">
        <f t="array" ref="K51">IF(OR($A51="",$J51&lt;&gt;"DIESEL"),"",_xlfn.LET(_xlpm.qty,N($C51),_xlpm.pos,$T$5:$T$54,_xlpm.alo,IF($U$5:$U$54="",0,$U$5:$U$54),_xlpm.usd,SUMIFS($C$6:$C50,$K$6:$K50,_xlpm.pos&amp;""),_xlpm.bal,_xlpm.alo-_xlpm.usd,IFERROR(INDEX(_xlfn._xlws.FILTER(_xlpm.pos,(_xlpm.pos&lt;&gt;"")*(_xlpm.qty&gt;0)*(_xlpm.bal&gt;=_xlpm.qty)),1),"")))</f>
        <v/>
      </c>
      <c r="L51" s="290"/>
      <c r="M51" s="277"/>
      <c r="N51" s="277"/>
      <c r="O51" s="277"/>
      <c r="T51" s="439"/>
      <c r="U51" s="350"/>
      <c r="W51" s="316" t="str">
        <f t="shared" si="0"/>
        <v/>
      </c>
      <c r="X51" s="273" t="str">
        <f t="shared" si="1"/>
        <v/>
      </c>
      <c r="Y51" s="273" t="str">
        <f t="shared" si="2"/>
        <v/>
      </c>
      <c r="Z51" s="273" t="str">
        <f t="shared" si="3"/>
        <v/>
      </c>
      <c r="AA51" s="316" t="str">
        <f t="shared" si="4"/>
        <v/>
      </c>
      <c r="AC51" t="str" cm="1">
        <f t="array" ref="AC51">IF(INDEX($T$5:$T$54,ROW()-4)="","",INDEX($T$5:$T$54,ROW()-4))</f>
        <v/>
      </c>
      <c r="AD51" t="str">
        <f t="shared" si="5"/>
        <v/>
      </c>
      <c r="AE51" t="str">
        <f t="shared" si="6"/>
        <v/>
      </c>
      <c r="AF51" t="str">
        <f t="shared" si="7"/>
        <v/>
      </c>
      <c r="AG51">
        <f t="shared" si="8"/>
        <v>0</v>
      </c>
      <c r="AH51" t="str" cm="1">
        <f t="array" ref="AH51">IF($AC51="","",IF($AG51=1,SUMPRODUCT(($AG$5:$AG$54=1)*($AC$5:$AC$54&gt;$AC51))+1,SUM($AG$5:$AG$54)+SUMPRODUCT(($AG$5:$AG$54=0)*($AC$5:$AC$54&lt;&gt;"")*($AC$5:$AC$54&gt;$AC51))+1))</f>
        <v/>
      </c>
    </row>
    <row r="52" spans="1:34" ht="23" x14ac:dyDescent="0.25">
      <c r="A52" s="221" t="str" cm="1">
        <f t="array" ref="A52">IFERROR(INDEX(_xlfn.ANCHORARRAY($P$6),ROW()-5,1),"")</f>
        <v/>
      </c>
      <c r="B52" s="317" t="str" cm="1">
        <f t="array" ref="B52">IFERROR(INDEX(_xlfn.ANCHORARRAY($P$6),ROW()-5,2),"")</f>
        <v/>
      </c>
      <c r="C52" s="222" t="str">
        <f>IF($A52="","",IF($J52="DIESEL",SUMIFS(Table1[Quantity],Table1[Customer],$M$3,Table1[Date],$A52,Table1[Bill No.],$B52),IF($J52="PETROL",SUMIFS(Table14[Quantity],Table14[Customer],$M$3,Table14[Date],$A52,Table14[Bill No.],$B52),IF($J52="XtraGreen",SUMIFS(Table146[Quantity],Table146[Company],$M$3,Table146[Date],$A52,Table146[Bill No.],$B52),""))))</f>
        <v/>
      </c>
      <c r="D52" s="223" t="str">
        <f>IF($A52="","",IF($J52="DIESEL",AVERAGEIFS(Table1[RSP],Table1[Customer],$M$3,Table1[Date],$A52,Table1[Bill No.],$B52),IF($J52="PETROL",AVERAGEIFS(Table14[RSP],Table14[Customer],$M$3,Table14[Date],$A52,Table14[Bill No.],$B52),IF($J52="XtraGreen",AVERAGEIFS(Table146[RSP],Table146[Company],$M$3,Table146[Date],$A52,Table146[Bill No.],$B52),IFERROR($E52/$C52,"")))))</f>
        <v/>
      </c>
      <c r="E52" s="330" t="str">
        <f>IF($A52="","",IF($J52="DIESEL",SUMIFS(Table1[Amount],Table1[Customer],$M$3,Table1[Date],$A52,Table1[Bill No.],$B52),IF($J52="PETROL",SUMIFS(Table14[Amount],Table14[Customer],$M$3,Table14[Date],$A52,Table14[Bill No.],$B52),IF($J52="XtraGreen",SUMIFS(Table146[Amount],Table146[Company],$M$3,Table146[Date],$A52,Table146[Bill No.],$B52),SUMIFS('Other Sale'!$D:$D,'Other Sale'!$E:$E,$M$3,'Other Sale'!$C:$C,$J52,'Other Sale'!$A:$A,$A52)))))</f>
        <v/>
      </c>
      <c r="F52" s="330" t="str" cm="1">
        <f t="array" ref="F52">IF($A52="","",IF($J52="Payment",IFERROR(INDEX(_xlfn._xlws.FILTER(MasterPaid[Amount Paid],(MasterPaid[Customer]=$M$3)*(MasterPaid[Date]=$A52)),COUNTIFS($A$6:$A52,$A52,$J$6:$J52,"Payment")),0),0))</f>
        <v/>
      </c>
      <c r="G52" s="331"/>
      <c r="H52" s="331"/>
      <c r="I52" s="330" t="str">
        <f t="shared" si="9"/>
        <v/>
      </c>
      <c r="J52" s="318" t="str" cm="1">
        <f t="array" ref="J52">IFERROR(INDEX(_xlfn.ANCHORARRAY($P$6),ROW()-5,3),"")</f>
        <v/>
      </c>
      <c r="K52" s="432" t="str" cm="1">
        <f t="array" ref="K52">IF(OR($A52="",$J52&lt;&gt;"DIESEL"),"",_xlfn.LET(_xlpm.qty,N($C52),_xlpm.pos,$T$5:$T$54,_xlpm.alo,IF($U$5:$U$54="",0,$U$5:$U$54),_xlpm.usd,SUMIFS($C$6:$C51,$K$6:$K51,_xlpm.pos&amp;""),_xlpm.bal,_xlpm.alo-_xlpm.usd,IFERROR(INDEX(_xlfn._xlws.FILTER(_xlpm.pos,(_xlpm.pos&lt;&gt;"")*(_xlpm.qty&gt;0)*(_xlpm.bal&gt;=_xlpm.qty)),1),"")))</f>
        <v/>
      </c>
      <c r="L52" s="290"/>
      <c r="M52" s="277"/>
      <c r="N52" s="277"/>
      <c r="O52" s="277"/>
      <c r="T52" s="439"/>
      <c r="U52" s="350"/>
      <c r="W52" s="316" t="str">
        <f t="shared" si="0"/>
        <v/>
      </c>
      <c r="X52" s="273" t="str">
        <f t="shared" si="1"/>
        <v/>
      </c>
      <c r="Y52" s="273" t="str">
        <f t="shared" si="2"/>
        <v/>
      </c>
      <c r="Z52" s="273" t="str">
        <f t="shared" si="3"/>
        <v/>
      </c>
      <c r="AA52" s="316" t="str">
        <f t="shared" si="4"/>
        <v/>
      </c>
      <c r="AC52" t="str" cm="1">
        <f t="array" ref="AC52">IF(INDEX($T$5:$T$54,ROW()-4)="","",INDEX($T$5:$T$54,ROW()-4))</f>
        <v/>
      </c>
      <c r="AD52" t="str">
        <f t="shared" si="5"/>
        <v/>
      </c>
      <c r="AE52" t="str">
        <f t="shared" si="6"/>
        <v/>
      </c>
      <c r="AF52" t="str">
        <f t="shared" si="7"/>
        <v/>
      </c>
      <c r="AG52">
        <f t="shared" si="8"/>
        <v>0</v>
      </c>
      <c r="AH52" t="str" cm="1">
        <f t="array" ref="AH52">IF($AC52="","",IF($AG52=1,SUMPRODUCT(($AG$5:$AG$54=1)*($AC$5:$AC$54&gt;$AC52))+1,SUM($AG$5:$AG$54)+SUMPRODUCT(($AG$5:$AG$54=0)*($AC$5:$AC$54&lt;&gt;"")*($AC$5:$AC$54&gt;$AC52))+1))</f>
        <v/>
      </c>
    </row>
    <row r="53" spans="1:34" ht="23" x14ac:dyDescent="0.25">
      <c r="A53" s="221" t="str" cm="1">
        <f t="array" ref="A53">IFERROR(INDEX(_xlfn.ANCHORARRAY($P$6),ROW()-5,1),"")</f>
        <v/>
      </c>
      <c r="B53" s="317" t="str" cm="1">
        <f t="array" ref="B53">IFERROR(INDEX(_xlfn.ANCHORARRAY($P$6),ROW()-5,2),"")</f>
        <v/>
      </c>
      <c r="C53" s="222" t="str">
        <f>IF($A53="","",IF($J53="DIESEL",SUMIFS(Table1[Quantity],Table1[Customer],$M$3,Table1[Date],$A53,Table1[Bill No.],$B53),IF($J53="PETROL",SUMIFS(Table14[Quantity],Table14[Customer],$M$3,Table14[Date],$A53,Table14[Bill No.],$B53),IF($J53="XtraGreen",SUMIFS(Table146[Quantity],Table146[Company],$M$3,Table146[Date],$A53,Table146[Bill No.],$B53),""))))</f>
        <v/>
      </c>
      <c r="D53" s="223" t="str">
        <f>IF($A53="","",IF($J53="DIESEL",AVERAGEIFS(Table1[RSP],Table1[Customer],$M$3,Table1[Date],$A53,Table1[Bill No.],$B53),IF($J53="PETROL",AVERAGEIFS(Table14[RSP],Table14[Customer],$M$3,Table14[Date],$A53,Table14[Bill No.],$B53),IF($J53="XtraGreen",AVERAGEIFS(Table146[RSP],Table146[Company],$M$3,Table146[Date],$A53,Table146[Bill No.],$B53),IFERROR($E53/$C53,"")))))</f>
        <v/>
      </c>
      <c r="E53" s="330" t="str">
        <f>IF($A53="","",IF($J53="DIESEL",SUMIFS(Table1[Amount],Table1[Customer],$M$3,Table1[Date],$A53,Table1[Bill No.],$B53),IF($J53="PETROL",SUMIFS(Table14[Amount],Table14[Customer],$M$3,Table14[Date],$A53,Table14[Bill No.],$B53),IF($J53="XtraGreen",SUMIFS(Table146[Amount],Table146[Company],$M$3,Table146[Date],$A53,Table146[Bill No.],$B53),SUMIFS('Other Sale'!$D:$D,'Other Sale'!$E:$E,$M$3,'Other Sale'!$C:$C,$J53,'Other Sale'!$A:$A,$A53)))))</f>
        <v/>
      </c>
      <c r="F53" s="330" t="str" cm="1">
        <f t="array" ref="F53">IF($A53="","",IF($J53="Payment",IFERROR(INDEX(_xlfn._xlws.FILTER(MasterPaid[Amount Paid],(MasterPaid[Customer]=$M$3)*(MasterPaid[Date]=$A53)),COUNTIFS($A$6:$A53,$A53,$J$6:$J53,"Payment")),0),0))</f>
        <v/>
      </c>
      <c r="G53" s="331"/>
      <c r="H53" s="331"/>
      <c r="I53" s="330" t="str">
        <f t="shared" si="9"/>
        <v/>
      </c>
      <c r="J53" s="318" t="str" cm="1">
        <f t="array" ref="J53">IFERROR(INDEX(_xlfn.ANCHORARRAY($P$6),ROW()-5,3),"")</f>
        <v/>
      </c>
      <c r="K53" s="432" t="str" cm="1">
        <f t="array" ref="K53">IF(OR($A53="",$J53&lt;&gt;"DIESEL"),"",_xlfn.LET(_xlpm.qty,N($C53),_xlpm.pos,$T$5:$T$54,_xlpm.alo,IF($U$5:$U$54="",0,$U$5:$U$54),_xlpm.usd,SUMIFS($C$6:$C52,$K$6:$K52,_xlpm.pos&amp;""),_xlpm.bal,_xlpm.alo-_xlpm.usd,IFERROR(INDEX(_xlfn._xlws.FILTER(_xlpm.pos,(_xlpm.pos&lt;&gt;"")*(_xlpm.qty&gt;0)*(_xlpm.bal&gt;=_xlpm.qty)),1),"")))</f>
        <v/>
      </c>
      <c r="L53" s="290"/>
      <c r="M53" s="277"/>
      <c r="N53" s="277"/>
      <c r="O53" s="277"/>
      <c r="T53" s="439"/>
      <c r="U53" s="350"/>
      <c r="W53" s="316" t="str">
        <f t="shared" si="0"/>
        <v/>
      </c>
      <c r="X53" s="273" t="str">
        <f t="shared" si="1"/>
        <v/>
      </c>
      <c r="Y53" s="273" t="str">
        <f t="shared" si="2"/>
        <v/>
      </c>
      <c r="Z53" s="273" t="str">
        <f t="shared" si="3"/>
        <v/>
      </c>
      <c r="AA53" s="316" t="str">
        <f t="shared" si="4"/>
        <v/>
      </c>
      <c r="AC53" t="str" cm="1">
        <f t="array" ref="AC53">IF(INDEX($T$5:$T$54,ROW()-4)="","",INDEX($T$5:$T$54,ROW()-4))</f>
        <v/>
      </c>
      <c r="AD53" t="str">
        <f t="shared" si="5"/>
        <v/>
      </c>
      <c r="AE53" t="str">
        <f t="shared" si="6"/>
        <v/>
      </c>
      <c r="AF53" t="str">
        <f t="shared" si="7"/>
        <v/>
      </c>
      <c r="AG53">
        <f t="shared" si="8"/>
        <v>0</v>
      </c>
      <c r="AH53" t="str" cm="1">
        <f t="array" ref="AH53">IF($AC53="","",IF($AG53=1,SUMPRODUCT(($AG$5:$AG$54=1)*($AC$5:$AC$54&gt;$AC53))+1,SUM($AG$5:$AG$54)+SUMPRODUCT(($AG$5:$AG$54=0)*($AC$5:$AC$54&lt;&gt;"")*($AC$5:$AC$54&gt;$AC53))+1))</f>
        <v/>
      </c>
    </row>
    <row r="54" spans="1:34" ht="23" x14ac:dyDescent="0.25">
      <c r="A54" s="221" t="str" cm="1">
        <f t="array" ref="A54">IFERROR(INDEX(_xlfn.ANCHORARRAY($P$6),ROW()-5,1),"")</f>
        <v/>
      </c>
      <c r="B54" s="317" t="str" cm="1">
        <f t="array" ref="B54">IFERROR(INDEX(_xlfn.ANCHORARRAY($P$6),ROW()-5,2),"")</f>
        <v/>
      </c>
      <c r="C54" s="222" t="str">
        <f>IF($A54="","",IF($J54="DIESEL",SUMIFS(Table1[Quantity],Table1[Customer],$M$3,Table1[Date],$A54,Table1[Bill No.],$B54),IF($J54="PETROL",SUMIFS(Table14[Quantity],Table14[Customer],$M$3,Table14[Date],$A54,Table14[Bill No.],$B54),IF($J54="XtraGreen",SUMIFS(Table146[Quantity],Table146[Company],$M$3,Table146[Date],$A54,Table146[Bill No.],$B54),""))))</f>
        <v/>
      </c>
      <c r="D54" s="223" t="str">
        <f>IF($A54="","",IF($J54="DIESEL",AVERAGEIFS(Table1[RSP],Table1[Customer],$M$3,Table1[Date],$A54,Table1[Bill No.],$B54),IF($J54="PETROL",AVERAGEIFS(Table14[RSP],Table14[Customer],$M$3,Table14[Date],$A54,Table14[Bill No.],$B54),IF($J54="XtraGreen",AVERAGEIFS(Table146[RSP],Table146[Company],$M$3,Table146[Date],$A54,Table146[Bill No.],$B54),IFERROR($E54/$C54,"")))))</f>
        <v/>
      </c>
      <c r="E54" s="330" t="str">
        <f>IF($A54="","",IF($J54="DIESEL",SUMIFS(Table1[Amount],Table1[Customer],$M$3,Table1[Date],$A54,Table1[Bill No.],$B54),IF($J54="PETROL",SUMIFS(Table14[Amount],Table14[Customer],$M$3,Table14[Date],$A54,Table14[Bill No.],$B54),IF($J54="XtraGreen",SUMIFS(Table146[Amount],Table146[Company],$M$3,Table146[Date],$A54,Table146[Bill No.],$B54),SUMIFS('Other Sale'!$D:$D,'Other Sale'!$E:$E,$M$3,'Other Sale'!$C:$C,$J54,'Other Sale'!$A:$A,$A54)))))</f>
        <v/>
      </c>
      <c r="F54" s="330" t="str" cm="1">
        <f t="array" ref="F54">IF($A54="","",IF($J54="Payment",IFERROR(INDEX(_xlfn._xlws.FILTER(MasterPaid[Amount Paid],(MasterPaid[Customer]=$M$3)*(MasterPaid[Date]=$A54)),COUNTIFS($A$6:$A54,$A54,$J$6:$J54,"Payment")),0),0))</f>
        <v/>
      </c>
      <c r="G54" s="331"/>
      <c r="H54" s="331"/>
      <c r="I54" s="330" t="str">
        <f t="shared" si="9"/>
        <v/>
      </c>
      <c r="J54" s="318" t="str" cm="1">
        <f t="array" ref="J54">IFERROR(INDEX(_xlfn.ANCHORARRAY($P$6),ROW()-5,3),"")</f>
        <v/>
      </c>
      <c r="K54" s="432" t="str" cm="1">
        <f t="array" ref="K54">IF(OR($A54="",$J54&lt;&gt;"DIESEL"),"",_xlfn.LET(_xlpm.qty,N($C54),_xlpm.pos,$T$5:$T$54,_xlpm.alo,IF($U$5:$U$54="",0,$U$5:$U$54),_xlpm.usd,SUMIFS($C$6:$C53,$K$6:$K53,_xlpm.pos&amp;""),_xlpm.bal,_xlpm.alo-_xlpm.usd,IFERROR(INDEX(_xlfn._xlws.FILTER(_xlpm.pos,(_xlpm.pos&lt;&gt;"")*(_xlpm.qty&gt;0)*(_xlpm.bal&gt;=_xlpm.qty)),1),"")))</f>
        <v/>
      </c>
      <c r="L54" s="290"/>
      <c r="M54" s="277"/>
      <c r="N54" s="277"/>
      <c r="O54" s="277"/>
      <c r="T54" s="439"/>
      <c r="U54" s="350"/>
      <c r="W54" s="316" t="str">
        <f t="shared" si="0"/>
        <v/>
      </c>
      <c r="X54" s="273" t="str">
        <f t="shared" si="1"/>
        <v/>
      </c>
      <c r="Y54" s="273" t="str">
        <f t="shared" si="2"/>
        <v/>
      </c>
      <c r="Z54" s="273" t="str">
        <f t="shared" si="3"/>
        <v/>
      </c>
      <c r="AA54" s="316" t="str">
        <f t="shared" si="4"/>
        <v/>
      </c>
      <c r="AC54" t="str" cm="1">
        <f t="array" ref="AC54">IF(INDEX($T$5:$T$54,ROW()-4)="","",INDEX($T$5:$T$54,ROW()-4))</f>
        <v/>
      </c>
      <c r="AD54" t="str">
        <f t="shared" si="5"/>
        <v/>
      </c>
      <c r="AE54" t="str">
        <f t="shared" si="6"/>
        <v/>
      </c>
      <c r="AF54" t="str">
        <f t="shared" si="7"/>
        <v/>
      </c>
      <c r="AG54">
        <f t="shared" si="8"/>
        <v>0</v>
      </c>
      <c r="AH54" t="str" cm="1">
        <f t="array" ref="AH54">IF($AC54="","",IF($AG54=1,SUMPRODUCT(($AG$5:$AG$54=1)*($AC$5:$AC$54&gt;$AC54))+1,SUM($AG$5:$AG$54)+SUMPRODUCT(($AG$5:$AG$54=0)*($AC$5:$AC$54&lt;&gt;"")*($AC$5:$AC$54&gt;$AC54))+1))</f>
        <v/>
      </c>
    </row>
    <row r="55" spans="1:34" ht="23" x14ac:dyDescent="0.25">
      <c r="A55" s="221" t="str" cm="1">
        <f t="array" ref="A55">IFERROR(INDEX(_xlfn.ANCHORARRAY($P$6),ROW()-5,1),"")</f>
        <v/>
      </c>
      <c r="B55" s="317" t="str" cm="1">
        <f t="array" ref="B55">IFERROR(INDEX(_xlfn.ANCHORARRAY($P$6),ROW()-5,2),"")</f>
        <v/>
      </c>
      <c r="C55" s="222" t="str">
        <f>IF($A55="","",IF($J55="DIESEL",SUMIFS(Table1[Quantity],Table1[Customer],$M$3,Table1[Date],$A55,Table1[Bill No.],$B55),IF($J55="PETROL",SUMIFS(Table14[Quantity],Table14[Customer],$M$3,Table14[Date],$A55,Table14[Bill No.],$B55),IF($J55="XtraGreen",SUMIFS(Table146[Quantity],Table146[Company],$M$3,Table146[Date],$A55,Table146[Bill No.],$B55),""))))</f>
        <v/>
      </c>
      <c r="D55" s="223" t="str">
        <f>IF($A55="","",IF($J55="DIESEL",AVERAGEIFS(Table1[RSP],Table1[Customer],$M$3,Table1[Date],$A55,Table1[Bill No.],$B55),IF($J55="PETROL",AVERAGEIFS(Table14[RSP],Table14[Customer],$M$3,Table14[Date],$A55,Table14[Bill No.],$B55),IF($J55="XtraGreen",AVERAGEIFS(Table146[RSP],Table146[Company],$M$3,Table146[Date],$A55,Table146[Bill No.],$B55),IFERROR($E55/$C55,"")))))</f>
        <v/>
      </c>
      <c r="E55" s="330" t="str">
        <f>IF($A55="","",IF($J55="DIESEL",SUMIFS(Table1[Amount],Table1[Customer],$M$3,Table1[Date],$A55,Table1[Bill No.],$B55),IF($J55="PETROL",SUMIFS(Table14[Amount],Table14[Customer],$M$3,Table14[Date],$A55,Table14[Bill No.],$B55),IF($J55="XtraGreen",SUMIFS(Table146[Amount],Table146[Company],$M$3,Table146[Date],$A55,Table146[Bill No.],$B55),SUMIFS('Other Sale'!$D:$D,'Other Sale'!$E:$E,$M$3,'Other Sale'!$C:$C,$J55,'Other Sale'!$A:$A,$A55)))))</f>
        <v/>
      </c>
      <c r="F55" s="330" t="str" cm="1">
        <f t="array" ref="F55">IF($A55="","",IF($J55="Payment",IFERROR(INDEX(_xlfn._xlws.FILTER(MasterPaid[Amount Paid],(MasterPaid[Customer]=$M$3)*(MasterPaid[Date]=$A55)),COUNTIFS($A$6:$A55,$A55,$J$6:$J55,"Payment")),0),0))</f>
        <v/>
      </c>
      <c r="G55" s="331"/>
      <c r="H55" s="331"/>
      <c r="I55" s="330" t="str">
        <f t="shared" si="9"/>
        <v/>
      </c>
      <c r="J55" s="318" t="str" cm="1">
        <f t="array" ref="J55">IFERROR(INDEX(_xlfn.ANCHORARRAY($P$6),ROW()-5,3),"")</f>
        <v/>
      </c>
      <c r="K55" s="432" t="str" cm="1">
        <f t="array" ref="K55">IF(OR($A55="",$J55&lt;&gt;"DIESEL"),"",_xlfn.LET(_xlpm.qty,N($C55),_xlpm.pos,$T$5:$T$54,_xlpm.alo,IF($U$5:$U$54="",0,$U$5:$U$54),_xlpm.usd,SUMIFS($C$6:$C54,$K$6:$K54,_xlpm.pos&amp;""),_xlpm.bal,_xlpm.alo-_xlpm.usd,IFERROR(INDEX(_xlfn._xlws.FILTER(_xlpm.pos,(_xlpm.pos&lt;&gt;"")*(_xlpm.qty&gt;0)*(_xlpm.bal&gt;=_xlpm.qty)),1),"")))</f>
        <v/>
      </c>
      <c r="L55" s="290"/>
      <c r="M55" s="277"/>
      <c r="N55" s="277"/>
      <c r="O55" s="277"/>
    </row>
    <row r="56" spans="1:34" ht="23" x14ac:dyDescent="0.25">
      <c r="A56" s="221" t="str" cm="1">
        <f t="array" ref="A56">IFERROR(INDEX(_xlfn.ANCHORARRAY($P$6),ROW()-5,1),"")</f>
        <v/>
      </c>
      <c r="B56" s="317" t="str" cm="1">
        <f t="array" ref="B56">IFERROR(INDEX(_xlfn.ANCHORARRAY($P$6),ROW()-5,2),"")</f>
        <v/>
      </c>
      <c r="C56" s="222" t="str">
        <f>IF($A56="","",IF($J56="DIESEL",SUMIFS(Table1[Quantity],Table1[Customer],$M$3,Table1[Date],$A56,Table1[Bill No.],$B56),IF($J56="PETROL",SUMIFS(Table14[Quantity],Table14[Customer],$M$3,Table14[Date],$A56,Table14[Bill No.],$B56),IF($J56="XtraGreen",SUMIFS(Table146[Quantity],Table146[Company],$M$3,Table146[Date],$A56,Table146[Bill No.],$B56),""))))</f>
        <v/>
      </c>
      <c r="D56" s="223" t="str">
        <f>IF($A56="","",IF($J56="DIESEL",AVERAGEIFS(Table1[RSP],Table1[Customer],$M$3,Table1[Date],$A56,Table1[Bill No.],$B56),IF($J56="PETROL",AVERAGEIFS(Table14[RSP],Table14[Customer],$M$3,Table14[Date],$A56,Table14[Bill No.],$B56),IF($J56="XtraGreen",AVERAGEIFS(Table146[RSP],Table146[Company],$M$3,Table146[Date],$A56,Table146[Bill No.],$B56),IFERROR($E56/$C56,"")))))</f>
        <v/>
      </c>
      <c r="E56" s="330" t="str">
        <f>IF($A56="","",IF($J56="DIESEL",SUMIFS(Table1[Amount],Table1[Customer],$M$3,Table1[Date],$A56,Table1[Bill No.],$B56),IF($J56="PETROL",SUMIFS(Table14[Amount],Table14[Customer],$M$3,Table14[Date],$A56,Table14[Bill No.],$B56),IF($J56="XtraGreen",SUMIFS(Table146[Amount],Table146[Company],$M$3,Table146[Date],$A56,Table146[Bill No.],$B56),SUMIFS('Other Sale'!$D:$D,'Other Sale'!$E:$E,$M$3,'Other Sale'!$C:$C,$J56,'Other Sale'!$A:$A,$A56)))))</f>
        <v/>
      </c>
      <c r="F56" s="330" t="str" cm="1">
        <f t="array" ref="F56">IF($A56="","",IF($J56="Payment",IFERROR(INDEX(_xlfn._xlws.FILTER(MasterPaid[Amount Paid],(MasterPaid[Customer]=$M$3)*(MasterPaid[Date]=$A56)),COUNTIFS($A$6:$A56,$A56,$J$6:$J56,"Payment")),0),0))</f>
        <v/>
      </c>
      <c r="G56" s="331"/>
      <c r="H56" s="331"/>
      <c r="I56" s="330" t="str">
        <f t="shared" si="9"/>
        <v/>
      </c>
      <c r="J56" s="318" t="str" cm="1">
        <f t="array" ref="J56">IFERROR(INDEX(_xlfn.ANCHORARRAY($P$6),ROW()-5,3),"")</f>
        <v/>
      </c>
      <c r="K56" s="432" t="str" cm="1">
        <f t="array" ref="K56">IF(OR($A56="",$J56&lt;&gt;"DIESEL"),"",_xlfn.LET(_xlpm.qty,N($C56),_xlpm.pos,$T$5:$T$54,_xlpm.alo,IF($U$5:$U$54="",0,$U$5:$U$54),_xlpm.usd,SUMIFS($C$6:$C55,$K$6:$K55,_xlpm.pos&amp;""),_xlpm.bal,_xlpm.alo-_xlpm.usd,IFERROR(INDEX(_xlfn._xlws.FILTER(_xlpm.pos,(_xlpm.pos&lt;&gt;"")*(_xlpm.qty&gt;0)*(_xlpm.bal&gt;=_xlpm.qty)),1),"")))</f>
        <v/>
      </c>
      <c r="L56" s="290"/>
      <c r="M56" s="277"/>
      <c r="N56" s="277"/>
      <c r="O56" s="277"/>
    </row>
    <row r="57" spans="1:34" ht="23" x14ac:dyDescent="0.25">
      <c r="A57" s="221" t="str" cm="1">
        <f t="array" ref="A57">IFERROR(INDEX(_xlfn.ANCHORARRAY($P$6),ROW()-5,1),"")</f>
        <v/>
      </c>
      <c r="B57" s="317" t="str" cm="1">
        <f t="array" ref="B57">IFERROR(INDEX(_xlfn.ANCHORARRAY($P$6),ROW()-5,2),"")</f>
        <v/>
      </c>
      <c r="C57" s="222" t="str">
        <f>IF($A57="","",IF($J57="DIESEL",SUMIFS(Table1[Quantity],Table1[Customer],$M$3,Table1[Date],$A57,Table1[Bill No.],$B57),IF($J57="PETROL",SUMIFS(Table14[Quantity],Table14[Customer],$M$3,Table14[Date],$A57,Table14[Bill No.],$B57),IF($J57="XtraGreen",SUMIFS(Table146[Quantity],Table146[Company],$M$3,Table146[Date],$A57,Table146[Bill No.],$B57),""))))</f>
        <v/>
      </c>
      <c r="D57" s="223" t="str">
        <f>IF($A57="","",IF($J57="DIESEL",AVERAGEIFS(Table1[RSP],Table1[Customer],$M$3,Table1[Date],$A57,Table1[Bill No.],$B57),IF($J57="PETROL",AVERAGEIFS(Table14[RSP],Table14[Customer],$M$3,Table14[Date],$A57,Table14[Bill No.],$B57),IF($J57="XtraGreen",AVERAGEIFS(Table146[RSP],Table146[Company],$M$3,Table146[Date],$A57,Table146[Bill No.],$B57),IFERROR($E57/$C57,"")))))</f>
        <v/>
      </c>
      <c r="E57" s="330" t="str">
        <f>IF($A57="","",IF($J57="DIESEL",SUMIFS(Table1[Amount],Table1[Customer],$M$3,Table1[Date],$A57,Table1[Bill No.],$B57),IF($J57="PETROL",SUMIFS(Table14[Amount],Table14[Customer],$M$3,Table14[Date],$A57,Table14[Bill No.],$B57),IF($J57="XtraGreen",SUMIFS(Table146[Amount],Table146[Company],$M$3,Table146[Date],$A57,Table146[Bill No.],$B57),SUMIFS('Other Sale'!$D:$D,'Other Sale'!$E:$E,$M$3,'Other Sale'!$C:$C,$J57,'Other Sale'!$A:$A,$A57)))))</f>
        <v/>
      </c>
      <c r="F57" s="330" t="str" cm="1">
        <f t="array" ref="F57">IF($A57="","",IF($J57="Payment",IFERROR(INDEX(_xlfn._xlws.FILTER(MasterPaid[Amount Paid],(MasterPaid[Customer]=$M$3)*(MasterPaid[Date]=$A57)),COUNTIFS($A$6:$A57,$A57,$J$6:$J57,"Payment")),0),0))</f>
        <v/>
      </c>
      <c r="G57" s="331"/>
      <c r="H57" s="331"/>
      <c r="I57" s="330" t="str">
        <f t="shared" si="9"/>
        <v/>
      </c>
      <c r="J57" s="318" t="str" cm="1">
        <f t="array" ref="J57">IFERROR(INDEX(_xlfn.ANCHORARRAY($P$6),ROW()-5,3),"")</f>
        <v/>
      </c>
      <c r="K57" s="432" t="str" cm="1">
        <f t="array" ref="K57">IF(OR($A57="",$J57&lt;&gt;"DIESEL"),"",_xlfn.LET(_xlpm.qty,N($C57),_xlpm.pos,$T$5:$T$54,_xlpm.alo,IF($U$5:$U$54="",0,$U$5:$U$54),_xlpm.usd,SUMIFS($C$6:$C56,$K$6:$K56,_xlpm.pos&amp;""),_xlpm.bal,_xlpm.alo-_xlpm.usd,IFERROR(INDEX(_xlfn._xlws.FILTER(_xlpm.pos,(_xlpm.pos&lt;&gt;"")*(_xlpm.qty&gt;0)*(_xlpm.bal&gt;=_xlpm.qty)),1),"")))</f>
        <v/>
      </c>
      <c r="L57" s="290"/>
      <c r="M57" s="277"/>
      <c r="N57" s="277"/>
      <c r="O57" s="277"/>
    </row>
    <row r="58" spans="1:34" ht="23" x14ac:dyDescent="0.25">
      <c r="A58" s="221" t="str" cm="1">
        <f t="array" ref="A58">IFERROR(INDEX(_xlfn.ANCHORARRAY($P$6),ROW()-5,1),"")</f>
        <v/>
      </c>
      <c r="B58" s="317" t="str" cm="1">
        <f t="array" ref="B58">IFERROR(INDEX(_xlfn.ANCHORARRAY($P$6),ROW()-5,2),"")</f>
        <v/>
      </c>
      <c r="C58" s="222" t="str">
        <f>IF($A58="","",IF($J58="DIESEL",SUMIFS(Table1[Quantity],Table1[Customer],$M$3,Table1[Date],$A58,Table1[Bill No.],$B58),IF($J58="PETROL",SUMIFS(Table14[Quantity],Table14[Customer],$M$3,Table14[Date],$A58,Table14[Bill No.],$B58),IF($J58="XtraGreen",SUMIFS(Table146[Quantity],Table146[Company],$M$3,Table146[Date],$A58,Table146[Bill No.],$B58),""))))</f>
        <v/>
      </c>
      <c r="D58" s="223" t="str">
        <f>IF($A58="","",IF($J58="DIESEL",AVERAGEIFS(Table1[RSP],Table1[Customer],$M$3,Table1[Date],$A58,Table1[Bill No.],$B58),IF($J58="PETROL",AVERAGEIFS(Table14[RSP],Table14[Customer],$M$3,Table14[Date],$A58,Table14[Bill No.],$B58),IF($J58="XtraGreen",AVERAGEIFS(Table146[RSP],Table146[Company],$M$3,Table146[Date],$A58,Table146[Bill No.],$B58),IFERROR($E58/$C58,"")))))</f>
        <v/>
      </c>
      <c r="E58" s="330" t="str">
        <f>IF($A58="","",IF($J58="DIESEL",SUMIFS(Table1[Amount],Table1[Customer],$M$3,Table1[Date],$A58,Table1[Bill No.],$B58),IF($J58="PETROL",SUMIFS(Table14[Amount],Table14[Customer],$M$3,Table14[Date],$A58,Table14[Bill No.],$B58),IF($J58="XtraGreen",SUMIFS(Table146[Amount],Table146[Company],$M$3,Table146[Date],$A58,Table146[Bill No.],$B58),SUMIFS('Other Sale'!$D:$D,'Other Sale'!$E:$E,$M$3,'Other Sale'!$C:$C,$J58,'Other Sale'!$A:$A,$A58)))))</f>
        <v/>
      </c>
      <c r="F58" s="330" t="str" cm="1">
        <f t="array" ref="F58">IF($A58="","",IF($J58="Payment",IFERROR(INDEX(_xlfn._xlws.FILTER(MasterPaid[Amount Paid],(MasterPaid[Customer]=$M$3)*(MasterPaid[Date]=$A58)),COUNTIFS($A$6:$A58,$A58,$J$6:$J58,"Payment")),0),0))</f>
        <v/>
      </c>
      <c r="G58" s="331"/>
      <c r="H58" s="331"/>
      <c r="I58" s="330" t="str">
        <f t="shared" si="9"/>
        <v/>
      </c>
      <c r="J58" s="318" t="str" cm="1">
        <f t="array" ref="J58">IFERROR(INDEX(_xlfn.ANCHORARRAY($P$6),ROW()-5,3),"")</f>
        <v/>
      </c>
      <c r="K58" s="432" t="str" cm="1">
        <f t="array" ref="K58">IF(OR($A58="",$J58&lt;&gt;"DIESEL"),"",_xlfn.LET(_xlpm.qty,N($C58),_xlpm.pos,$T$5:$T$54,_xlpm.alo,IF($U$5:$U$54="",0,$U$5:$U$54),_xlpm.usd,SUMIFS($C$6:$C57,$K$6:$K57,_xlpm.pos&amp;""),_xlpm.bal,_xlpm.alo-_xlpm.usd,IFERROR(INDEX(_xlfn._xlws.FILTER(_xlpm.pos,(_xlpm.pos&lt;&gt;"")*(_xlpm.qty&gt;0)*(_xlpm.bal&gt;=_xlpm.qty)),1),"")))</f>
        <v/>
      </c>
      <c r="L58" s="290"/>
      <c r="M58" s="277"/>
      <c r="N58" s="277"/>
      <c r="O58" s="277"/>
    </row>
    <row r="59" spans="1:34" ht="23" x14ac:dyDescent="0.25">
      <c r="A59" s="221" t="str" cm="1">
        <f t="array" ref="A59">IFERROR(INDEX(_xlfn.ANCHORARRAY($P$6),ROW()-5,1),"")</f>
        <v/>
      </c>
      <c r="B59" s="317" t="str" cm="1">
        <f t="array" ref="B59">IFERROR(INDEX(_xlfn.ANCHORARRAY($P$6),ROW()-5,2),"")</f>
        <v/>
      </c>
      <c r="C59" s="222" t="str">
        <f>IF($A59="","",IF($J59="DIESEL",SUMIFS(Table1[Quantity],Table1[Customer],$M$3,Table1[Date],$A59,Table1[Bill No.],$B59),IF($J59="PETROL",SUMIFS(Table14[Quantity],Table14[Customer],$M$3,Table14[Date],$A59,Table14[Bill No.],$B59),IF($J59="XtraGreen",SUMIFS(Table146[Quantity],Table146[Company],$M$3,Table146[Date],$A59,Table146[Bill No.],$B59),""))))</f>
        <v/>
      </c>
      <c r="D59" s="223" t="str">
        <f>IF($A59="","",IF($J59="DIESEL",AVERAGEIFS(Table1[RSP],Table1[Customer],$M$3,Table1[Date],$A59,Table1[Bill No.],$B59),IF($J59="PETROL",AVERAGEIFS(Table14[RSP],Table14[Customer],$M$3,Table14[Date],$A59,Table14[Bill No.],$B59),IF($J59="XtraGreen",AVERAGEIFS(Table146[RSP],Table146[Company],$M$3,Table146[Date],$A59,Table146[Bill No.],$B59),IFERROR($E59/$C59,"")))))</f>
        <v/>
      </c>
      <c r="E59" s="330" t="str">
        <f>IF($A59="","",IF($J59="DIESEL",SUMIFS(Table1[Amount],Table1[Customer],$M$3,Table1[Date],$A59,Table1[Bill No.],$B59),IF($J59="PETROL",SUMIFS(Table14[Amount],Table14[Customer],$M$3,Table14[Date],$A59,Table14[Bill No.],$B59),IF($J59="XtraGreen",SUMIFS(Table146[Amount],Table146[Company],$M$3,Table146[Date],$A59,Table146[Bill No.],$B59),SUMIFS('Other Sale'!$D:$D,'Other Sale'!$E:$E,$M$3,'Other Sale'!$C:$C,$J59,'Other Sale'!$A:$A,$A59)))))</f>
        <v/>
      </c>
      <c r="F59" s="330" t="str" cm="1">
        <f t="array" ref="F59">IF($A59="","",IF($J59="Payment",IFERROR(INDEX(_xlfn._xlws.FILTER(MasterPaid[Amount Paid],(MasterPaid[Customer]=$M$3)*(MasterPaid[Date]=$A59)),COUNTIFS($A$6:$A59,$A59,$J$6:$J59,"Payment")),0),0))</f>
        <v/>
      </c>
      <c r="G59" s="331"/>
      <c r="H59" s="331"/>
      <c r="I59" s="330" t="str">
        <f t="shared" si="9"/>
        <v/>
      </c>
      <c r="J59" s="318" t="str" cm="1">
        <f t="array" ref="J59">IFERROR(INDEX(_xlfn.ANCHORARRAY($P$6),ROW()-5,3),"")</f>
        <v/>
      </c>
      <c r="K59" s="432" t="str" cm="1">
        <f t="array" ref="K59">IF(OR($A59="",$J59&lt;&gt;"DIESEL"),"",_xlfn.LET(_xlpm.qty,N($C59),_xlpm.pos,$T$5:$T$54,_xlpm.alo,IF($U$5:$U$54="",0,$U$5:$U$54),_xlpm.usd,SUMIFS($C$6:$C58,$K$6:$K58,_xlpm.pos&amp;""),_xlpm.bal,_xlpm.alo-_xlpm.usd,IFERROR(INDEX(_xlfn._xlws.FILTER(_xlpm.pos,(_xlpm.pos&lt;&gt;"")*(_xlpm.qty&gt;0)*(_xlpm.bal&gt;=_xlpm.qty)),1),"")))</f>
        <v/>
      </c>
      <c r="L59" s="290"/>
      <c r="M59" s="277"/>
      <c r="N59" s="277"/>
      <c r="O59" s="277"/>
    </row>
    <row r="60" spans="1:34" ht="23" x14ac:dyDescent="0.25">
      <c r="A60" s="221" t="str" cm="1">
        <f t="array" ref="A60">IFERROR(INDEX(_xlfn.ANCHORARRAY($P$6),ROW()-5,1),"")</f>
        <v/>
      </c>
      <c r="B60" s="317" t="str" cm="1">
        <f t="array" ref="B60">IFERROR(INDEX(_xlfn.ANCHORARRAY($P$6),ROW()-5,2),"")</f>
        <v/>
      </c>
      <c r="C60" s="222" t="str">
        <f>IF($A60="","",IF($J60="DIESEL",SUMIFS(Table1[Quantity],Table1[Customer],$M$3,Table1[Date],$A60,Table1[Bill No.],$B60),IF($J60="PETROL",SUMIFS(Table14[Quantity],Table14[Customer],$M$3,Table14[Date],$A60,Table14[Bill No.],$B60),IF($J60="XtraGreen",SUMIFS(Table146[Quantity],Table146[Company],$M$3,Table146[Date],$A60,Table146[Bill No.],$B60),""))))</f>
        <v/>
      </c>
      <c r="D60" s="223" t="str">
        <f>IF($A60="","",IF($J60="DIESEL",AVERAGEIFS(Table1[RSP],Table1[Customer],$M$3,Table1[Date],$A60,Table1[Bill No.],$B60),IF($J60="PETROL",AVERAGEIFS(Table14[RSP],Table14[Customer],$M$3,Table14[Date],$A60,Table14[Bill No.],$B60),IF($J60="XtraGreen",AVERAGEIFS(Table146[RSP],Table146[Company],$M$3,Table146[Date],$A60,Table146[Bill No.],$B60),IFERROR($E60/$C60,"")))))</f>
        <v/>
      </c>
      <c r="E60" s="330" t="str">
        <f>IF($A60="","",IF($J60="DIESEL",SUMIFS(Table1[Amount],Table1[Customer],$M$3,Table1[Date],$A60,Table1[Bill No.],$B60),IF($J60="PETROL",SUMIFS(Table14[Amount],Table14[Customer],$M$3,Table14[Date],$A60,Table14[Bill No.],$B60),IF($J60="XtraGreen",SUMIFS(Table146[Amount],Table146[Company],$M$3,Table146[Date],$A60,Table146[Bill No.],$B60),SUMIFS('Other Sale'!$D:$D,'Other Sale'!$E:$E,$M$3,'Other Sale'!$C:$C,$J60,'Other Sale'!$A:$A,$A60)))))</f>
        <v/>
      </c>
      <c r="F60" s="330" t="str" cm="1">
        <f t="array" ref="F60">IF($A60="","",IF($J60="Payment",IFERROR(INDEX(_xlfn._xlws.FILTER(MasterPaid[Amount Paid],(MasterPaid[Customer]=$M$3)*(MasterPaid[Date]=$A60)),COUNTIFS($A$6:$A60,$A60,$J$6:$J60,"Payment")),0),0))</f>
        <v/>
      </c>
      <c r="G60" s="331"/>
      <c r="H60" s="331"/>
      <c r="I60" s="330" t="str">
        <f t="shared" si="9"/>
        <v/>
      </c>
      <c r="J60" s="318" t="str" cm="1">
        <f t="array" ref="J60">IFERROR(INDEX(_xlfn.ANCHORARRAY($P$6),ROW()-5,3),"")</f>
        <v/>
      </c>
      <c r="K60" s="432" t="str" cm="1">
        <f t="array" ref="K60">IF(OR($A60="",$J60&lt;&gt;"DIESEL"),"",_xlfn.LET(_xlpm.qty,N($C60),_xlpm.pos,$T$5:$T$54,_xlpm.alo,IF($U$5:$U$54="",0,$U$5:$U$54),_xlpm.usd,SUMIFS($C$6:$C59,$K$6:$K59,_xlpm.pos&amp;""),_xlpm.bal,_xlpm.alo-_xlpm.usd,IFERROR(INDEX(_xlfn._xlws.FILTER(_xlpm.pos,(_xlpm.pos&lt;&gt;"")*(_xlpm.qty&gt;0)*(_xlpm.bal&gt;=_xlpm.qty)),1),"")))</f>
        <v/>
      </c>
      <c r="L60" s="290"/>
      <c r="M60" s="277"/>
      <c r="N60" s="277"/>
      <c r="O60" s="277"/>
    </row>
    <row r="61" spans="1:34" ht="23" x14ac:dyDescent="0.25">
      <c r="A61" s="221" t="str" cm="1">
        <f t="array" ref="A61">IFERROR(INDEX(_xlfn.ANCHORARRAY($P$6),ROW()-5,1),"")</f>
        <v/>
      </c>
      <c r="B61" s="317" t="str" cm="1">
        <f t="array" ref="B61">IFERROR(INDEX(_xlfn.ANCHORARRAY($P$6),ROW()-5,2),"")</f>
        <v/>
      </c>
      <c r="C61" s="222" t="str">
        <f>IF($A61="","",IF($J61="DIESEL",SUMIFS(Table1[Quantity],Table1[Customer],$M$3,Table1[Date],$A61,Table1[Bill No.],$B61),IF($J61="PETROL",SUMIFS(Table14[Quantity],Table14[Customer],$M$3,Table14[Date],$A61,Table14[Bill No.],$B61),IF($J61="XtraGreen",SUMIFS(Table146[Quantity],Table146[Company],$M$3,Table146[Date],$A61,Table146[Bill No.],$B61),""))))</f>
        <v/>
      </c>
      <c r="D61" s="223" t="str">
        <f>IF($A61="","",IF($J61="DIESEL",AVERAGEIFS(Table1[RSP],Table1[Customer],$M$3,Table1[Date],$A61,Table1[Bill No.],$B61),IF($J61="PETROL",AVERAGEIFS(Table14[RSP],Table14[Customer],$M$3,Table14[Date],$A61,Table14[Bill No.],$B61),IF($J61="XtraGreen",AVERAGEIFS(Table146[RSP],Table146[Company],$M$3,Table146[Date],$A61,Table146[Bill No.],$B61),IFERROR($E61/$C61,"")))))</f>
        <v/>
      </c>
      <c r="E61" s="330" t="str">
        <f>IF($A61="","",IF($J61="DIESEL",SUMIFS(Table1[Amount],Table1[Customer],$M$3,Table1[Date],$A61,Table1[Bill No.],$B61),IF($J61="PETROL",SUMIFS(Table14[Amount],Table14[Customer],$M$3,Table14[Date],$A61,Table14[Bill No.],$B61),IF($J61="XtraGreen",SUMIFS(Table146[Amount],Table146[Company],$M$3,Table146[Date],$A61,Table146[Bill No.],$B61),SUMIFS('Other Sale'!$D:$D,'Other Sale'!$E:$E,$M$3,'Other Sale'!$C:$C,$J61,'Other Sale'!$A:$A,$A61)))))</f>
        <v/>
      </c>
      <c r="F61" s="330" t="str" cm="1">
        <f t="array" ref="F61">IF($A61="","",IF($J61="Payment",IFERROR(INDEX(_xlfn._xlws.FILTER(MasterPaid[Amount Paid],(MasterPaid[Customer]=$M$3)*(MasterPaid[Date]=$A61)),COUNTIFS($A$6:$A61,$A61,$J$6:$J61,"Payment")),0),0))</f>
        <v/>
      </c>
      <c r="G61" s="331"/>
      <c r="H61" s="331"/>
      <c r="I61" s="330" t="str">
        <f t="shared" si="9"/>
        <v/>
      </c>
      <c r="J61" s="318" t="str" cm="1">
        <f t="array" ref="J61">IFERROR(INDEX(_xlfn.ANCHORARRAY($P$6),ROW()-5,3),"")</f>
        <v/>
      </c>
      <c r="K61" s="432" t="str" cm="1">
        <f t="array" ref="K61">IF(OR($A61="",$J61&lt;&gt;"DIESEL"),"",_xlfn.LET(_xlpm.qty,N($C61),_xlpm.pos,$T$5:$T$54,_xlpm.alo,IF($U$5:$U$54="",0,$U$5:$U$54),_xlpm.usd,SUMIFS($C$6:$C60,$K$6:$K60,_xlpm.pos&amp;""),_xlpm.bal,_xlpm.alo-_xlpm.usd,IFERROR(INDEX(_xlfn._xlws.FILTER(_xlpm.pos,(_xlpm.pos&lt;&gt;"")*(_xlpm.qty&gt;0)*(_xlpm.bal&gt;=_xlpm.qty)),1),"")))</f>
        <v/>
      </c>
      <c r="L61" s="290"/>
      <c r="M61" s="277"/>
      <c r="N61" s="277"/>
      <c r="O61" s="277"/>
    </row>
    <row r="62" spans="1:34" ht="23" x14ac:dyDescent="0.25">
      <c r="A62" s="221" t="str" cm="1">
        <f t="array" ref="A62">IFERROR(INDEX(_xlfn.ANCHORARRAY($P$6),ROW()-5,1),"")</f>
        <v/>
      </c>
      <c r="B62" s="317" t="str" cm="1">
        <f t="array" ref="B62">IFERROR(INDEX(_xlfn.ANCHORARRAY($P$6),ROW()-5,2),"")</f>
        <v/>
      </c>
      <c r="C62" s="222" t="str">
        <f>IF($A62="","",IF($J62="DIESEL",SUMIFS(Table1[Quantity],Table1[Customer],$M$3,Table1[Date],$A62,Table1[Bill No.],$B62),IF($J62="PETROL",SUMIFS(Table14[Quantity],Table14[Customer],$M$3,Table14[Date],$A62,Table14[Bill No.],$B62),IF($J62="XtraGreen",SUMIFS(Table146[Quantity],Table146[Company],$M$3,Table146[Date],$A62,Table146[Bill No.],$B62),""))))</f>
        <v/>
      </c>
      <c r="D62" s="223" t="str">
        <f>IF($A62="","",IF($J62="DIESEL",AVERAGEIFS(Table1[RSP],Table1[Customer],$M$3,Table1[Date],$A62,Table1[Bill No.],$B62),IF($J62="PETROL",AVERAGEIFS(Table14[RSP],Table14[Customer],$M$3,Table14[Date],$A62,Table14[Bill No.],$B62),IF($J62="XtraGreen",AVERAGEIFS(Table146[RSP],Table146[Company],$M$3,Table146[Date],$A62,Table146[Bill No.],$B62),IFERROR($E62/$C62,"")))))</f>
        <v/>
      </c>
      <c r="E62" s="330" t="str">
        <f>IF($A62="","",IF($J62="DIESEL",SUMIFS(Table1[Amount],Table1[Customer],$M$3,Table1[Date],$A62,Table1[Bill No.],$B62),IF($J62="PETROL",SUMIFS(Table14[Amount],Table14[Customer],$M$3,Table14[Date],$A62,Table14[Bill No.],$B62),IF($J62="XtraGreen",SUMIFS(Table146[Amount],Table146[Company],$M$3,Table146[Date],$A62,Table146[Bill No.],$B62),SUMIFS('Other Sale'!$D:$D,'Other Sale'!$E:$E,$M$3,'Other Sale'!$C:$C,$J62,'Other Sale'!$A:$A,$A62)))))</f>
        <v/>
      </c>
      <c r="F62" s="330" t="str" cm="1">
        <f t="array" ref="F62">IF($A62="","",IF($J62="Payment",IFERROR(INDEX(_xlfn._xlws.FILTER(MasterPaid[Amount Paid],(MasterPaid[Customer]=$M$3)*(MasterPaid[Date]=$A62)),COUNTIFS($A$6:$A62,$A62,$J$6:$J62,"Payment")),0),0))</f>
        <v/>
      </c>
      <c r="G62" s="331"/>
      <c r="H62" s="331"/>
      <c r="I62" s="330" t="str">
        <f t="shared" si="9"/>
        <v/>
      </c>
      <c r="J62" s="318" t="str" cm="1">
        <f t="array" ref="J62">IFERROR(INDEX(_xlfn.ANCHORARRAY($P$6),ROW()-5,3),"")</f>
        <v/>
      </c>
      <c r="K62" s="432" t="str" cm="1">
        <f t="array" ref="K62">IF(OR($A62="",$J62&lt;&gt;"DIESEL"),"",_xlfn.LET(_xlpm.qty,N($C62),_xlpm.pos,$T$5:$T$54,_xlpm.alo,IF($U$5:$U$54="",0,$U$5:$U$54),_xlpm.usd,SUMIFS($C$6:$C61,$K$6:$K61,_xlpm.pos&amp;""),_xlpm.bal,_xlpm.alo-_xlpm.usd,IFERROR(INDEX(_xlfn._xlws.FILTER(_xlpm.pos,(_xlpm.pos&lt;&gt;"")*(_xlpm.qty&gt;0)*(_xlpm.bal&gt;=_xlpm.qty)),1),"")))</f>
        <v/>
      </c>
      <c r="L62" s="290"/>
      <c r="M62" s="277"/>
      <c r="N62" s="277"/>
      <c r="O62" s="277"/>
    </row>
    <row r="63" spans="1:34" ht="23" x14ac:dyDescent="0.25">
      <c r="A63" s="221" t="str" cm="1">
        <f t="array" ref="A63">IFERROR(INDEX(_xlfn.ANCHORARRAY($P$6),ROW()-5,1),"")</f>
        <v/>
      </c>
      <c r="B63" s="317" t="str" cm="1">
        <f t="array" ref="B63">IFERROR(INDEX(_xlfn.ANCHORARRAY($P$6),ROW()-5,2),"")</f>
        <v/>
      </c>
      <c r="C63" s="222" t="str">
        <f>IF($A63="","",IF($J63="DIESEL",SUMIFS(Table1[Quantity],Table1[Customer],$M$3,Table1[Date],$A63,Table1[Bill No.],$B63),IF($J63="PETROL",SUMIFS(Table14[Quantity],Table14[Customer],$M$3,Table14[Date],$A63,Table14[Bill No.],$B63),IF($J63="XtraGreen",SUMIFS(Table146[Quantity],Table146[Company],$M$3,Table146[Date],$A63,Table146[Bill No.],$B63),""))))</f>
        <v/>
      </c>
      <c r="D63" s="223" t="str">
        <f>IF($A63="","",IF($J63="DIESEL",AVERAGEIFS(Table1[RSP],Table1[Customer],$M$3,Table1[Date],$A63,Table1[Bill No.],$B63),IF($J63="PETROL",AVERAGEIFS(Table14[RSP],Table14[Customer],$M$3,Table14[Date],$A63,Table14[Bill No.],$B63),IF($J63="XtraGreen",AVERAGEIFS(Table146[RSP],Table146[Company],$M$3,Table146[Date],$A63,Table146[Bill No.],$B63),IFERROR($E63/$C63,"")))))</f>
        <v/>
      </c>
      <c r="E63" s="330" t="str">
        <f>IF($A63="","",IF($J63="DIESEL",SUMIFS(Table1[Amount],Table1[Customer],$M$3,Table1[Date],$A63,Table1[Bill No.],$B63),IF($J63="PETROL",SUMIFS(Table14[Amount],Table14[Customer],$M$3,Table14[Date],$A63,Table14[Bill No.],$B63),IF($J63="XtraGreen",SUMIFS(Table146[Amount],Table146[Company],$M$3,Table146[Date],$A63,Table146[Bill No.],$B63),SUMIFS('Other Sale'!$D:$D,'Other Sale'!$E:$E,$M$3,'Other Sale'!$C:$C,$J63,'Other Sale'!$A:$A,$A63)))))</f>
        <v/>
      </c>
      <c r="F63" s="330" t="str" cm="1">
        <f t="array" ref="F63">IF($A63="","",IF($J63="Payment",IFERROR(INDEX(_xlfn._xlws.FILTER(MasterPaid[Amount Paid],(MasterPaid[Customer]=$M$3)*(MasterPaid[Date]=$A63)),COUNTIFS($A$6:$A63,$A63,$J$6:$J63,"Payment")),0),0))</f>
        <v/>
      </c>
      <c r="G63" s="331"/>
      <c r="H63" s="331"/>
      <c r="I63" s="330" t="str">
        <f t="shared" si="9"/>
        <v/>
      </c>
      <c r="J63" s="318" t="str" cm="1">
        <f t="array" ref="J63">IFERROR(INDEX(_xlfn.ANCHORARRAY($P$6),ROW()-5,3),"")</f>
        <v/>
      </c>
      <c r="K63" s="432" t="str" cm="1">
        <f t="array" ref="K63">IF(OR($A63="",$J63&lt;&gt;"DIESEL"),"",_xlfn.LET(_xlpm.qty,N($C63),_xlpm.pos,$T$5:$T$54,_xlpm.alo,IF($U$5:$U$54="",0,$U$5:$U$54),_xlpm.usd,SUMIFS($C$6:$C62,$K$6:$K62,_xlpm.pos&amp;""),_xlpm.bal,_xlpm.alo-_xlpm.usd,IFERROR(INDEX(_xlfn._xlws.FILTER(_xlpm.pos,(_xlpm.pos&lt;&gt;"")*(_xlpm.qty&gt;0)*(_xlpm.bal&gt;=_xlpm.qty)),1),"")))</f>
        <v/>
      </c>
      <c r="L63" s="290"/>
      <c r="M63" s="277"/>
      <c r="N63" s="277"/>
      <c r="O63" s="277"/>
    </row>
    <row r="64" spans="1:34" ht="23" x14ac:dyDescent="0.25">
      <c r="A64" s="221" t="str" cm="1">
        <f t="array" ref="A64">IFERROR(INDEX(_xlfn.ANCHORARRAY($P$6),ROW()-5,1),"")</f>
        <v/>
      </c>
      <c r="B64" s="317" t="str" cm="1">
        <f t="array" ref="B64">IFERROR(INDEX(_xlfn.ANCHORARRAY($P$6),ROW()-5,2),"")</f>
        <v/>
      </c>
      <c r="C64" s="222" t="str">
        <f>IF($A64="","",IF($J64="DIESEL",SUMIFS(Table1[Quantity],Table1[Customer],$M$3,Table1[Date],$A64,Table1[Bill No.],$B64),IF($J64="PETROL",SUMIFS(Table14[Quantity],Table14[Customer],$M$3,Table14[Date],$A64,Table14[Bill No.],$B64),IF($J64="XtraGreen",SUMIFS(Table146[Quantity],Table146[Company],$M$3,Table146[Date],$A64,Table146[Bill No.],$B64),""))))</f>
        <v/>
      </c>
      <c r="D64" s="223" t="str">
        <f>IF($A64="","",IF($J64="DIESEL",AVERAGEIFS(Table1[RSP],Table1[Customer],$M$3,Table1[Date],$A64,Table1[Bill No.],$B64),IF($J64="PETROL",AVERAGEIFS(Table14[RSP],Table14[Customer],$M$3,Table14[Date],$A64,Table14[Bill No.],$B64),IF($J64="XtraGreen",AVERAGEIFS(Table146[RSP],Table146[Company],$M$3,Table146[Date],$A64,Table146[Bill No.],$B64),IFERROR($E64/$C64,"")))))</f>
        <v/>
      </c>
      <c r="E64" s="330" t="str">
        <f>IF($A64="","",IF($J64="DIESEL",SUMIFS(Table1[Amount],Table1[Customer],$M$3,Table1[Date],$A64,Table1[Bill No.],$B64),IF($J64="PETROL",SUMIFS(Table14[Amount],Table14[Customer],$M$3,Table14[Date],$A64,Table14[Bill No.],$B64),IF($J64="XtraGreen",SUMIFS(Table146[Amount],Table146[Company],$M$3,Table146[Date],$A64,Table146[Bill No.],$B64),SUMIFS('Other Sale'!$D:$D,'Other Sale'!$E:$E,$M$3,'Other Sale'!$C:$C,$J64,'Other Sale'!$A:$A,$A64)))))</f>
        <v/>
      </c>
      <c r="F64" s="330" t="str" cm="1">
        <f t="array" ref="F64">IF($A64="","",IF($J64="Payment",IFERROR(INDEX(_xlfn._xlws.FILTER(MasterPaid[Amount Paid],(MasterPaid[Customer]=$M$3)*(MasterPaid[Date]=$A64)),COUNTIFS($A$6:$A64,$A64,$J$6:$J64,"Payment")),0),0))</f>
        <v/>
      </c>
      <c r="G64" s="331"/>
      <c r="H64" s="331"/>
      <c r="I64" s="330" t="str">
        <f t="shared" si="9"/>
        <v/>
      </c>
      <c r="J64" s="318" t="str" cm="1">
        <f t="array" ref="J64">IFERROR(INDEX(_xlfn.ANCHORARRAY($P$6),ROW()-5,3),"")</f>
        <v/>
      </c>
      <c r="K64" s="432" t="str" cm="1">
        <f t="array" ref="K64">IF(OR($A64="",$J64&lt;&gt;"DIESEL"),"",_xlfn.LET(_xlpm.qty,N($C64),_xlpm.pos,$T$5:$T$54,_xlpm.alo,IF($U$5:$U$54="",0,$U$5:$U$54),_xlpm.usd,SUMIFS($C$6:$C63,$K$6:$K63,_xlpm.pos&amp;""),_xlpm.bal,_xlpm.alo-_xlpm.usd,IFERROR(INDEX(_xlfn._xlws.FILTER(_xlpm.pos,(_xlpm.pos&lt;&gt;"")*(_xlpm.qty&gt;0)*(_xlpm.bal&gt;=_xlpm.qty)),1),"")))</f>
        <v/>
      </c>
      <c r="L64" s="290"/>
      <c r="M64" s="277"/>
      <c r="N64" s="277"/>
      <c r="O64" s="277"/>
    </row>
    <row r="65" spans="1:15" ht="23" x14ac:dyDescent="0.25">
      <c r="A65" s="221" t="str" cm="1">
        <f t="array" ref="A65">IFERROR(INDEX(_xlfn.ANCHORARRAY($P$6),ROW()-5,1),"")</f>
        <v/>
      </c>
      <c r="B65" s="317" t="str" cm="1">
        <f t="array" ref="B65">IFERROR(INDEX(_xlfn.ANCHORARRAY($P$6),ROW()-5,2),"")</f>
        <v/>
      </c>
      <c r="C65" s="222" t="str">
        <f>IF($A65="","",IF($J65="DIESEL",SUMIFS(Table1[Quantity],Table1[Customer],$M$3,Table1[Date],$A65,Table1[Bill No.],$B65),IF($J65="PETROL",SUMIFS(Table14[Quantity],Table14[Customer],$M$3,Table14[Date],$A65,Table14[Bill No.],$B65),IF($J65="XtraGreen",SUMIFS(Table146[Quantity],Table146[Company],$M$3,Table146[Date],$A65,Table146[Bill No.],$B65),""))))</f>
        <v/>
      </c>
      <c r="D65" s="223" t="str">
        <f>IF($A65="","",IF($J65="DIESEL",AVERAGEIFS(Table1[RSP],Table1[Customer],$M$3,Table1[Date],$A65,Table1[Bill No.],$B65),IF($J65="PETROL",AVERAGEIFS(Table14[RSP],Table14[Customer],$M$3,Table14[Date],$A65,Table14[Bill No.],$B65),IF($J65="XtraGreen",AVERAGEIFS(Table146[RSP],Table146[Company],$M$3,Table146[Date],$A65,Table146[Bill No.],$B65),IFERROR($E65/$C65,"")))))</f>
        <v/>
      </c>
      <c r="E65" s="330" t="str">
        <f>IF($A65="","",IF($J65="DIESEL",SUMIFS(Table1[Amount],Table1[Customer],$M$3,Table1[Date],$A65,Table1[Bill No.],$B65),IF($J65="PETROL",SUMIFS(Table14[Amount],Table14[Customer],$M$3,Table14[Date],$A65,Table14[Bill No.],$B65),IF($J65="XtraGreen",SUMIFS(Table146[Amount],Table146[Company],$M$3,Table146[Date],$A65,Table146[Bill No.],$B65),SUMIFS('Other Sale'!$D:$D,'Other Sale'!$E:$E,$M$3,'Other Sale'!$C:$C,$J65,'Other Sale'!$A:$A,$A65)))))</f>
        <v/>
      </c>
      <c r="F65" s="330" t="str" cm="1">
        <f t="array" ref="F65">IF($A65="","",IF($J65="Payment",IFERROR(INDEX(_xlfn._xlws.FILTER(MasterPaid[Amount Paid],(MasterPaid[Customer]=$M$3)*(MasterPaid[Date]=$A65)),COUNTIFS($A$6:$A65,$A65,$J$6:$J65,"Payment")),0),0))</f>
        <v/>
      </c>
      <c r="G65" s="331"/>
      <c r="H65" s="331"/>
      <c r="I65" s="330" t="str">
        <f t="shared" si="9"/>
        <v/>
      </c>
      <c r="J65" s="318" t="str" cm="1">
        <f t="array" ref="J65">IFERROR(INDEX(_xlfn.ANCHORARRAY($P$6),ROW()-5,3),"")</f>
        <v/>
      </c>
      <c r="K65" s="432" t="str" cm="1">
        <f t="array" ref="K65">IF(OR($A65="",$J65&lt;&gt;"DIESEL"),"",_xlfn.LET(_xlpm.qty,N($C65),_xlpm.pos,$T$5:$T$54,_xlpm.alo,IF($U$5:$U$54="",0,$U$5:$U$54),_xlpm.usd,SUMIFS($C$6:$C64,$K$6:$K64,_xlpm.pos&amp;""),_xlpm.bal,_xlpm.alo-_xlpm.usd,IFERROR(INDEX(_xlfn._xlws.FILTER(_xlpm.pos,(_xlpm.pos&lt;&gt;"")*(_xlpm.qty&gt;0)*(_xlpm.bal&gt;=_xlpm.qty)),1),"")))</f>
        <v/>
      </c>
      <c r="L65" s="290"/>
      <c r="M65" s="277"/>
      <c r="N65" s="277"/>
      <c r="O65" s="277"/>
    </row>
    <row r="66" spans="1:15" ht="23" x14ac:dyDescent="0.25">
      <c r="A66" s="221" t="str" cm="1">
        <f t="array" ref="A66">IFERROR(INDEX(_xlfn.ANCHORARRAY($P$6),ROW()-5,1),"")</f>
        <v/>
      </c>
      <c r="B66" s="317" t="str" cm="1">
        <f t="array" ref="B66">IFERROR(INDEX(_xlfn.ANCHORARRAY($P$6),ROW()-5,2),"")</f>
        <v/>
      </c>
      <c r="C66" s="222" t="str">
        <f>IF($A66="","",IF($J66="DIESEL",SUMIFS(Table1[Quantity],Table1[Customer],$M$3,Table1[Date],$A66,Table1[Bill No.],$B66),IF($J66="PETROL",SUMIFS(Table14[Quantity],Table14[Customer],$M$3,Table14[Date],$A66,Table14[Bill No.],$B66),IF($J66="XtraGreen",SUMIFS(Table146[Quantity],Table146[Company],$M$3,Table146[Date],$A66,Table146[Bill No.],$B66),""))))</f>
        <v/>
      </c>
      <c r="D66" s="223" t="str">
        <f>IF($A66="","",IF($J66="DIESEL",AVERAGEIFS(Table1[RSP],Table1[Customer],$M$3,Table1[Date],$A66,Table1[Bill No.],$B66),IF($J66="PETROL",AVERAGEIFS(Table14[RSP],Table14[Customer],$M$3,Table14[Date],$A66,Table14[Bill No.],$B66),IF($J66="XtraGreen",AVERAGEIFS(Table146[RSP],Table146[Company],$M$3,Table146[Date],$A66,Table146[Bill No.],$B66),IFERROR($E66/$C66,"")))))</f>
        <v/>
      </c>
      <c r="E66" s="330" t="str">
        <f>IF($A66="","",IF($J66="DIESEL",SUMIFS(Table1[Amount],Table1[Customer],$M$3,Table1[Date],$A66,Table1[Bill No.],$B66),IF($J66="PETROL",SUMIFS(Table14[Amount],Table14[Customer],$M$3,Table14[Date],$A66,Table14[Bill No.],$B66),IF($J66="XtraGreen",SUMIFS(Table146[Amount],Table146[Company],$M$3,Table146[Date],$A66,Table146[Bill No.],$B66),SUMIFS('Other Sale'!$D:$D,'Other Sale'!$E:$E,$M$3,'Other Sale'!$C:$C,$J66,'Other Sale'!$A:$A,$A66)))))</f>
        <v/>
      </c>
      <c r="F66" s="330" t="str" cm="1">
        <f t="array" ref="F66">IF($A66="","",IF($J66="Payment",IFERROR(INDEX(_xlfn._xlws.FILTER(MasterPaid[Amount Paid],(MasterPaid[Customer]=$M$3)*(MasterPaid[Date]=$A66)),COUNTIFS($A$6:$A66,$A66,$J$6:$J66,"Payment")),0),0))</f>
        <v/>
      </c>
      <c r="G66" s="331"/>
      <c r="H66" s="331"/>
      <c r="I66" s="330" t="str">
        <f t="shared" si="9"/>
        <v/>
      </c>
      <c r="J66" s="318" t="str" cm="1">
        <f t="array" ref="J66">IFERROR(INDEX(_xlfn.ANCHORARRAY($P$6),ROW()-5,3),"")</f>
        <v/>
      </c>
      <c r="K66" s="432" t="str" cm="1">
        <f t="array" ref="K66">IF(OR($A66="",$J66&lt;&gt;"DIESEL"),"",_xlfn.LET(_xlpm.qty,N($C66),_xlpm.pos,$T$5:$T$54,_xlpm.alo,IF($U$5:$U$54="",0,$U$5:$U$54),_xlpm.usd,SUMIFS($C$6:$C65,$K$6:$K65,_xlpm.pos&amp;""),_xlpm.bal,_xlpm.alo-_xlpm.usd,IFERROR(INDEX(_xlfn._xlws.FILTER(_xlpm.pos,(_xlpm.pos&lt;&gt;"")*(_xlpm.qty&gt;0)*(_xlpm.bal&gt;=_xlpm.qty)),1),"")))</f>
        <v/>
      </c>
      <c r="L66" s="290"/>
      <c r="M66" s="277"/>
      <c r="N66" s="277"/>
      <c r="O66" s="277"/>
    </row>
    <row r="67" spans="1:15" ht="23" x14ac:dyDescent="0.25">
      <c r="A67" s="221" t="str" cm="1">
        <f t="array" ref="A67">IFERROR(INDEX(_xlfn.ANCHORARRAY($P$6),ROW()-5,1),"")</f>
        <v/>
      </c>
      <c r="B67" s="317" t="str" cm="1">
        <f t="array" ref="B67">IFERROR(INDEX(_xlfn.ANCHORARRAY($P$6),ROW()-5,2),"")</f>
        <v/>
      </c>
      <c r="C67" s="222" t="str">
        <f>IF($A67="","",IF($J67="DIESEL",SUMIFS(Table1[Quantity],Table1[Customer],$M$3,Table1[Date],$A67,Table1[Bill No.],$B67),IF($J67="PETROL",SUMIFS(Table14[Quantity],Table14[Customer],$M$3,Table14[Date],$A67,Table14[Bill No.],$B67),IF($J67="XtraGreen",SUMIFS(Table146[Quantity],Table146[Company],$M$3,Table146[Date],$A67,Table146[Bill No.],$B67),""))))</f>
        <v/>
      </c>
      <c r="D67" s="223" t="str">
        <f>IF($A67="","",IF($J67="DIESEL",AVERAGEIFS(Table1[RSP],Table1[Customer],$M$3,Table1[Date],$A67,Table1[Bill No.],$B67),IF($J67="PETROL",AVERAGEIFS(Table14[RSP],Table14[Customer],$M$3,Table14[Date],$A67,Table14[Bill No.],$B67),IF($J67="XtraGreen",AVERAGEIFS(Table146[RSP],Table146[Company],$M$3,Table146[Date],$A67,Table146[Bill No.],$B67),IFERROR($E67/$C67,"")))))</f>
        <v/>
      </c>
      <c r="E67" s="330" t="str">
        <f>IF($A67="","",IF($J67="DIESEL",SUMIFS(Table1[Amount],Table1[Customer],$M$3,Table1[Date],$A67,Table1[Bill No.],$B67),IF($J67="PETROL",SUMIFS(Table14[Amount],Table14[Customer],$M$3,Table14[Date],$A67,Table14[Bill No.],$B67),IF($J67="XtraGreen",SUMIFS(Table146[Amount],Table146[Company],$M$3,Table146[Date],$A67,Table146[Bill No.],$B67),SUMIFS('Other Sale'!$D:$D,'Other Sale'!$E:$E,$M$3,'Other Sale'!$C:$C,$J67,'Other Sale'!$A:$A,$A67)))))</f>
        <v/>
      </c>
      <c r="F67" s="330" t="str" cm="1">
        <f t="array" ref="F67">IF($A67="","",IF($J67="Payment",IFERROR(INDEX(_xlfn._xlws.FILTER(MasterPaid[Amount Paid],(MasterPaid[Customer]=$M$3)*(MasterPaid[Date]=$A67)),COUNTIFS($A$6:$A67,$A67,$J$6:$J67,"Payment")),0),0))</f>
        <v/>
      </c>
      <c r="G67" s="331"/>
      <c r="H67" s="331"/>
      <c r="I67" s="330" t="str">
        <f t="shared" si="9"/>
        <v/>
      </c>
      <c r="J67" s="318" t="str" cm="1">
        <f t="array" ref="J67">IFERROR(INDEX(_xlfn.ANCHORARRAY($P$6),ROW()-5,3),"")</f>
        <v/>
      </c>
      <c r="K67" s="432" t="str" cm="1">
        <f t="array" ref="K67">IF(OR($A67="",$J67&lt;&gt;"DIESEL"),"",_xlfn.LET(_xlpm.qty,N($C67),_xlpm.pos,$T$5:$T$54,_xlpm.alo,IF($U$5:$U$54="",0,$U$5:$U$54),_xlpm.usd,SUMIFS($C$6:$C66,$K$6:$K66,_xlpm.pos&amp;""),_xlpm.bal,_xlpm.alo-_xlpm.usd,IFERROR(INDEX(_xlfn._xlws.FILTER(_xlpm.pos,(_xlpm.pos&lt;&gt;"")*(_xlpm.qty&gt;0)*(_xlpm.bal&gt;=_xlpm.qty)),1),"")))</f>
        <v/>
      </c>
      <c r="L67" s="290"/>
      <c r="M67" s="277"/>
      <c r="N67" s="277"/>
      <c r="O67" s="277"/>
    </row>
    <row r="68" spans="1:15" ht="23" x14ac:dyDescent="0.25">
      <c r="A68" s="221" t="str" cm="1">
        <f t="array" ref="A68">IFERROR(INDEX(_xlfn.ANCHORARRAY($P$6),ROW()-5,1),"")</f>
        <v/>
      </c>
      <c r="B68" s="317" t="str" cm="1">
        <f t="array" ref="B68">IFERROR(INDEX(_xlfn.ANCHORARRAY($P$6),ROW()-5,2),"")</f>
        <v/>
      </c>
      <c r="C68" s="222" t="str">
        <f>IF($A68="","",IF($J68="DIESEL",SUMIFS(Table1[Quantity],Table1[Customer],$M$3,Table1[Date],$A68,Table1[Bill No.],$B68),IF($J68="PETROL",SUMIFS(Table14[Quantity],Table14[Customer],$M$3,Table14[Date],$A68,Table14[Bill No.],$B68),IF($J68="XtraGreen",SUMIFS(Table146[Quantity],Table146[Company],$M$3,Table146[Date],$A68,Table146[Bill No.],$B68),""))))</f>
        <v/>
      </c>
      <c r="D68" s="223" t="str">
        <f>IF($A68="","",IF($J68="DIESEL",AVERAGEIFS(Table1[RSP],Table1[Customer],$M$3,Table1[Date],$A68,Table1[Bill No.],$B68),IF($J68="PETROL",AVERAGEIFS(Table14[RSP],Table14[Customer],$M$3,Table14[Date],$A68,Table14[Bill No.],$B68),IF($J68="XtraGreen",AVERAGEIFS(Table146[RSP],Table146[Company],$M$3,Table146[Date],$A68,Table146[Bill No.],$B68),IFERROR($E68/$C68,"")))))</f>
        <v/>
      </c>
      <c r="E68" s="330" t="str">
        <f>IF($A68="","",IF($J68="DIESEL",SUMIFS(Table1[Amount],Table1[Customer],$M$3,Table1[Date],$A68,Table1[Bill No.],$B68),IF($J68="PETROL",SUMIFS(Table14[Amount],Table14[Customer],$M$3,Table14[Date],$A68,Table14[Bill No.],$B68),IF($J68="XtraGreen",SUMIFS(Table146[Amount],Table146[Company],$M$3,Table146[Date],$A68,Table146[Bill No.],$B68),SUMIFS('Other Sale'!$D:$D,'Other Sale'!$E:$E,$M$3,'Other Sale'!$C:$C,$J68,'Other Sale'!$A:$A,$A68)))))</f>
        <v/>
      </c>
      <c r="F68" s="330" t="str" cm="1">
        <f t="array" ref="F68">IF($A68="","",IF($J68="Payment",IFERROR(INDEX(_xlfn._xlws.FILTER(MasterPaid[Amount Paid],(MasterPaid[Customer]=$M$3)*(MasterPaid[Date]=$A68)),COUNTIFS($A$6:$A68,$A68,$J$6:$J68,"Payment")),0),0))</f>
        <v/>
      </c>
      <c r="G68" s="331"/>
      <c r="H68" s="331"/>
      <c r="I68" s="330" t="str">
        <f t="shared" si="9"/>
        <v/>
      </c>
      <c r="J68" s="318" t="str" cm="1">
        <f t="array" ref="J68">IFERROR(INDEX(_xlfn.ANCHORARRAY($P$6),ROW()-5,3),"")</f>
        <v/>
      </c>
      <c r="K68" s="432" t="str" cm="1">
        <f t="array" ref="K68">IF(OR($A68="",$J68&lt;&gt;"DIESEL"),"",_xlfn.LET(_xlpm.qty,N($C68),_xlpm.pos,$T$5:$T$54,_xlpm.alo,IF($U$5:$U$54="",0,$U$5:$U$54),_xlpm.usd,SUMIFS($C$6:$C67,$K$6:$K67,_xlpm.pos&amp;""),_xlpm.bal,_xlpm.alo-_xlpm.usd,IFERROR(INDEX(_xlfn._xlws.FILTER(_xlpm.pos,(_xlpm.pos&lt;&gt;"")*(_xlpm.qty&gt;0)*(_xlpm.bal&gt;=_xlpm.qty)),1),"")))</f>
        <v/>
      </c>
      <c r="L68" s="290"/>
      <c r="M68" s="277"/>
      <c r="N68" s="277"/>
      <c r="O68" s="277"/>
    </row>
    <row r="69" spans="1:15" ht="23" x14ac:dyDescent="0.25">
      <c r="A69" s="221" t="str" cm="1">
        <f t="array" ref="A69">IFERROR(INDEX(_xlfn.ANCHORARRAY($P$6),ROW()-5,1),"")</f>
        <v/>
      </c>
      <c r="B69" s="317" t="str" cm="1">
        <f t="array" ref="B69">IFERROR(INDEX(_xlfn.ANCHORARRAY($P$6),ROW()-5,2),"")</f>
        <v/>
      </c>
      <c r="C69" s="222" t="str">
        <f>IF($A69="","",IF($J69="DIESEL",SUMIFS(Table1[Quantity],Table1[Customer],$M$3,Table1[Date],$A69,Table1[Bill No.],$B69),IF($J69="PETROL",SUMIFS(Table14[Quantity],Table14[Customer],$M$3,Table14[Date],$A69,Table14[Bill No.],$B69),IF($J69="XtraGreen",SUMIFS(Table146[Quantity],Table146[Company],$M$3,Table146[Date],$A69,Table146[Bill No.],$B69),""))))</f>
        <v/>
      </c>
      <c r="D69" s="223" t="str">
        <f>IF($A69="","",IF($J69="DIESEL",AVERAGEIFS(Table1[RSP],Table1[Customer],$M$3,Table1[Date],$A69,Table1[Bill No.],$B69),IF($J69="PETROL",AVERAGEIFS(Table14[RSP],Table14[Customer],$M$3,Table14[Date],$A69,Table14[Bill No.],$B69),IF($J69="XtraGreen",AVERAGEIFS(Table146[RSP],Table146[Company],$M$3,Table146[Date],$A69,Table146[Bill No.],$B69),IFERROR($E69/$C69,"")))))</f>
        <v/>
      </c>
      <c r="E69" s="330" t="str">
        <f>IF($A69="","",IF($J69="DIESEL",SUMIFS(Table1[Amount],Table1[Customer],$M$3,Table1[Date],$A69,Table1[Bill No.],$B69),IF($J69="PETROL",SUMIFS(Table14[Amount],Table14[Customer],$M$3,Table14[Date],$A69,Table14[Bill No.],$B69),IF($J69="XtraGreen",SUMIFS(Table146[Amount],Table146[Company],$M$3,Table146[Date],$A69,Table146[Bill No.],$B69),SUMIFS('Other Sale'!$D:$D,'Other Sale'!$E:$E,$M$3,'Other Sale'!$C:$C,$J69,'Other Sale'!$A:$A,$A69)))))</f>
        <v/>
      </c>
      <c r="F69" s="330" t="str" cm="1">
        <f t="array" ref="F69">IF($A69="","",IF($J69="Payment",IFERROR(INDEX(_xlfn._xlws.FILTER(MasterPaid[Amount Paid],(MasterPaid[Customer]=$M$3)*(MasterPaid[Date]=$A69)),COUNTIFS($A$6:$A69,$A69,$J$6:$J69,"Payment")),0),0))</f>
        <v/>
      </c>
      <c r="G69" s="331"/>
      <c r="H69" s="331"/>
      <c r="I69" s="330" t="str">
        <f t="shared" si="9"/>
        <v/>
      </c>
      <c r="J69" s="318" t="str" cm="1">
        <f t="array" ref="J69">IFERROR(INDEX(_xlfn.ANCHORARRAY($P$6),ROW()-5,3),"")</f>
        <v/>
      </c>
      <c r="K69" s="432" t="str" cm="1">
        <f t="array" ref="K69">IF(OR($A69="",$J69&lt;&gt;"DIESEL"),"",_xlfn.LET(_xlpm.qty,N($C69),_xlpm.pos,$T$5:$T$54,_xlpm.alo,IF($U$5:$U$54="",0,$U$5:$U$54),_xlpm.usd,SUMIFS($C$6:$C68,$K$6:$K68,_xlpm.pos&amp;""),_xlpm.bal,_xlpm.alo-_xlpm.usd,IFERROR(INDEX(_xlfn._xlws.FILTER(_xlpm.pos,(_xlpm.pos&lt;&gt;"")*(_xlpm.qty&gt;0)*(_xlpm.bal&gt;=_xlpm.qty)),1),"")))</f>
        <v/>
      </c>
      <c r="L69" s="290"/>
      <c r="M69" s="277"/>
      <c r="N69" s="277"/>
      <c r="O69" s="277"/>
    </row>
    <row r="70" spans="1:15" ht="23" x14ac:dyDescent="0.25">
      <c r="A70" s="221" t="str" cm="1">
        <f t="array" ref="A70">IFERROR(INDEX(_xlfn.ANCHORARRAY($P$6),ROW()-5,1),"")</f>
        <v/>
      </c>
      <c r="B70" s="317" t="str" cm="1">
        <f t="array" ref="B70">IFERROR(INDEX(_xlfn.ANCHORARRAY($P$6),ROW()-5,2),"")</f>
        <v/>
      </c>
      <c r="C70" s="222" t="str">
        <f>IF($A70="","",IF($J70="DIESEL",SUMIFS(Table1[Quantity],Table1[Customer],$M$3,Table1[Date],$A70,Table1[Bill No.],$B70),IF($J70="PETROL",SUMIFS(Table14[Quantity],Table14[Customer],$M$3,Table14[Date],$A70,Table14[Bill No.],$B70),IF($J70="XtraGreen",SUMIFS(Table146[Quantity],Table146[Company],$M$3,Table146[Date],$A70,Table146[Bill No.],$B70),""))))</f>
        <v/>
      </c>
      <c r="D70" s="223" t="str">
        <f>IF($A70="","",IF($J70="DIESEL",AVERAGEIFS(Table1[RSP],Table1[Customer],$M$3,Table1[Date],$A70,Table1[Bill No.],$B70),IF($J70="PETROL",AVERAGEIFS(Table14[RSP],Table14[Customer],$M$3,Table14[Date],$A70,Table14[Bill No.],$B70),IF($J70="XtraGreen",AVERAGEIFS(Table146[RSP],Table146[Company],$M$3,Table146[Date],$A70,Table146[Bill No.],$B70),IFERROR($E70/$C70,"")))))</f>
        <v/>
      </c>
      <c r="E70" s="330" t="str">
        <f>IF($A70="","",IF($J70="DIESEL",SUMIFS(Table1[Amount],Table1[Customer],$M$3,Table1[Date],$A70,Table1[Bill No.],$B70),IF($J70="PETROL",SUMIFS(Table14[Amount],Table14[Customer],$M$3,Table14[Date],$A70,Table14[Bill No.],$B70),IF($J70="XtraGreen",SUMIFS(Table146[Amount],Table146[Company],$M$3,Table146[Date],$A70,Table146[Bill No.],$B70),SUMIFS('Other Sale'!$D:$D,'Other Sale'!$E:$E,$M$3,'Other Sale'!$C:$C,$J70,'Other Sale'!$A:$A,$A70)))))</f>
        <v/>
      </c>
      <c r="F70" s="330" t="str" cm="1">
        <f t="array" ref="F70">IF($A70="","",IF($J70="Payment",IFERROR(INDEX(_xlfn._xlws.FILTER(MasterPaid[Amount Paid],(MasterPaid[Customer]=$M$3)*(MasterPaid[Date]=$A70)),COUNTIFS($A$6:$A70,$A70,$J$6:$J70,"Payment")),0),0))</f>
        <v/>
      </c>
      <c r="G70" s="331"/>
      <c r="H70" s="331"/>
      <c r="I70" s="330" t="str">
        <f t="shared" si="9"/>
        <v/>
      </c>
      <c r="J70" s="318" t="str" cm="1">
        <f t="array" ref="J70">IFERROR(INDEX(_xlfn.ANCHORARRAY($P$6),ROW()-5,3),"")</f>
        <v/>
      </c>
      <c r="K70" s="432" t="str" cm="1">
        <f t="array" ref="K70">IF(OR($A70="",$J70&lt;&gt;"DIESEL"),"",_xlfn.LET(_xlpm.qty,N($C70),_xlpm.pos,$T$5:$T$54,_xlpm.alo,IF($U$5:$U$54="",0,$U$5:$U$54),_xlpm.usd,SUMIFS($C$6:$C69,$K$6:$K69,_xlpm.pos&amp;""),_xlpm.bal,_xlpm.alo-_xlpm.usd,IFERROR(INDEX(_xlfn._xlws.FILTER(_xlpm.pos,(_xlpm.pos&lt;&gt;"")*(_xlpm.qty&gt;0)*(_xlpm.bal&gt;=_xlpm.qty)),1),"")))</f>
        <v/>
      </c>
      <c r="L70" s="290"/>
      <c r="M70" s="277"/>
      <c r="N70" s="277"/>
      <c r="O70" s="277"/>
    </row>
    <row r="71" spans="1:15" ht="23" x14ac:dyDescent="0.25">
      <c r="A71" s="221" t="str" cm="1">
        <f t="array" ref="A71">IFERROR(INDEX(_xlfn.ANCHORARRAY($P$6),ROW()-5,1),"")</f>
        <v/>
      </c>
      <c r="B71" s="317" t="str" cm="1">
        <f t="array" ref="B71">IFERROR(INDEX(_xlfn.ANCHORARRAY($P$6),ROW()-5,2),"")</f>
        <v/>
      </c>
      <c r="C71" s="222" t="str">
        <f>IF($A71="","",IF($J71="DIESEL",SUMIFS(Table1[Quantity],Table1[Customer],$M$3,Table1[Date],$A71,Table1[Bill No.],$B71),IF($J71="PETROL",SUMIFS(Table14[Quantity],Table14[Customer],$M$3,Table14[Date],$A71,Table14[Bill No.],$B71),IF($J71="XtraGreen",SUMIFS(Table146[Quantity],Table146[Company],$M$3,Table146[Date],$A71,Table146[Bill No.],$B71),""))))</f>
        <v/>
      </c>
      <c r="D71" s="223" t="str">
        <f>IF($A71="","",IF($J71="DIESEL",AVERAGEIFS(Table1[RSP],Table1[Customer],$M$3,Table1[Date],$A71,Table1[Bill No.],$B71),IF($J71="PETROL",AVERAGEIFS(Table14[RSP],Table14[Customer],$M$3,Table14[Date],$A71,Table14[Bill No.],$B71),IF($J71="XtraGreen",AVERAGEIFS(Table146[RSP],Table146[Company],$M$3,Table146[Date],$A71,Table146[Bill No.],$B71),IFERROR($E71/$C71,"")))))</f>
        <v/>
      </c>
      <c r="E71" s="330" t="str">
        <f>IF($A71="","",IF($J71="DIESEL",SUMIFS(Table1[Amount],Table1[Customer],$M$3,Table1[Date],$A71,Table1[Bill No.],$B71),IF($J71="PETROL",SUMIFS(Table14[Amount],Table14[Customer],$M$3,Table14[Date],$A71,Table14[Bill No.],$B71),IF($J71="XtraGreen",SUMIFS(Table146[Amount],Table146[Company],$M$3,Table146[Date],$A71,Table146[Bill No.],$B71),SUMIFS('Other Sale'!$D:$D,'Other Sale'!$E:$E,$M$3,'Other Sale'!$C:$C,$J71,'Other Sale'!$A:$A,$A71)))))</f>
        <v/>
      </c>
      <c r="F71" s="330" t="str" cm="1">
        <f t="array" ref="F71">IF($A71="","",IF($J71="Payment",IFERROR(INDEX(_xlfn._xlws.FILTER(MasterPaid[Amount Paid],(MasterPaid[Customer]=$M$3)*(MasterPaid[Date]=$A71)),COUNTIFS($A$6:$A71,$A71,$J$6:$J71,"Payment")),0),0))</f>
        <v/>
      </c>
      <c r="G71" s="331"/>
      <c r="H71" s="331"/>
      <c r="I71" s="330" t="str">
        <f t="shared" si="9"/>
        <v/>
      </c>
      <c r="J71" s="318" t="str" cm="1">
        <f t="array" ref="J71">IFERROR(INDEX(_xlfn.ANCHORARRAY($P$6),ROW()-5,3),"")</f>
        <v/>
      </c>
      <c r="K71" s="432" t="str" cm="1">
        <f t="array" ref="K71">IF(OR($A71="",$J71&lt;&gt;"DIESEL"),"",_xlfn.LET(_xlpm.qty,N($C71),_xlpm.pos,$T$5:$T$54,_xlpm.alo,IF($U$5:$U$54="",0,$U$5:$U$54),_xlpm.usd,SUMIFS($C$6:$C70,$K$6:$K70,_xlpm.pos&amp;""),_xlpm.bal,_xlpm.alo-_xlpm.usd,IFERROR(INDEX(_xlfn._xlws.FILTER(_xlpm.pos,(_xlpm.pos&lt;&gt;"")*(_xlpm.qty&gt;0)*(_xlpm.bal&gt;=_xlpm.qty)),1),"")))</f>
        <v/>
      </c>
      <c r="L71" s="290"/>
      <c r="M71" s="277"/>
      <c r="N71" s="277"/>
      <c r="O71" s="277"/>
    </row>
    <row r="72" spans="1:15" ht="23" x14ac:dyDescent="0.25">
      <c r="A72" s="221" t="str" cm="1">
        <f t="array" ref="A72">IFERROR(INDEX(_xlfn.ANCHORARRAY($P$6),ROW()-5,1),"")</f>
        <v/>
      </c>
      <c r="B72" s="317" t="str" cm="1">
        <f t="array" ref="B72">IFERROR(INDEX(_xlfn.ANCHORARRAY($P$6),ROW()-5,2),"")</f>
        <v/>
      </c>
      <c r="C72" s="222" t="str">
        <f>IF($A72="","",IF($J72="DIESEL",SUMIFS(Table1[Quantity],Table1[Customer],$M$3,Table1[Date],$A72,Table1[Bill No.],$B72),IF($J72="PETROL",SUMIFS(Table14[Quantity],Table14[Customer],$M$3,Table14[Date],$A72,Table14[Bill No.],$B72),IF($J72="XtraGreen",SUMIFS(Table146[Quantity],Table146[Company],$M$3,Table146[Date],$A72,Table146[Bill No.],$B72),""))))</f>
        <v/>
      </c>
      <c r="D72" s="223" t="str">
        <f>IF($A72="","",IF($J72="DIESEL",AVERAGEIFS(Table1[RSP],Table1[Customer],$M$3,Table1[Date],$A72,Table1[Bill No.],$B72),IF($J72="PETROL",AVERAGEIFS(Table14[RSP],Table14[Customer],$M$3,Table14[Date],$A72,Table14[Bill No.],$B72),IF($J72="XtraGreen",AVERAGEIFS(Table146[RSP],Table146[Company],$M$3,Table146[Date],$A72,Table146[Bill No.],$B72),IFERROR($E72/$C72,"")))))</f>
        <v/>
      </c>
      <c r="E72" s="330" t="str">
        <f>IF($A72="","",IF($J72="DIESEL",SUMIFS(Table1[Amount],Table1[Customer],$M$3,Table1[Date],$A72,Table1[Bill No.],$B72),IF($J72="PETROL",SUMIFS(Table14[Amount],Table14[Customer],$M$3,Table14[Date],$A72,Table14[Bill No.],$B72),IF($J72="XtraGreen",SUMIFS(Table146[Amount],Table146[Company],$M$3,Table146[Date],$A72,Table146[Bill No.],$B72),SUMIFS('Other Sale'!$D:$D,'Other Sale'!$E:$E,$M$3,'Other Sale'!$C:$C,$J72,'Other Sale'!$A:$A,$A72)))))</f>
        <v/>
      </c>
      <c r="F72" s="330" t="str" cm="1">
        <f t="array" ref="F72">IF($A72="","",IF($J72="Payment",IFERROR(INDEX(_xlfn._xlws.FILTER(MasterPaid[Amount Paid],(MasterPaid[Customer]=$M$3)*(MasterPaid[Date]=$A72)),COUNTIFS($A$6:$A72,$A72,$J$6:$J72,"Payment")),0),0))</f>
        <v/>
      </c>
      <c r="G72" s="331"/>
      <c r="H72" s="331"/>
      <c r="I72" s="330" t="str">
        <f t="shared" ref="I72:I85" si="10">IF($A72="","",I71+N(E72)-N(F72)-N(G72)-N(H72))</f>
        <v/>
      </c>
      <c r="J72" s="318" t="str" cm="1">
        <f t="array" ref="J72">IFERROR(INDEX(_xlfn.ANCHORARRAY($P$6),ROW()-5,3),"")</f>
        <v/>
      </c>
      <c r="K72" s="432" t="str" cm="1">
        <f t="array" ref="K72">IF(OR($A72="",$J72&lt;&gt;"DIESEL"),"",_xlfn.LET(_xlpm.qty,N($C72),_xlpm.pos,$T$5:$T$54,_xlpm.alo,IF($U$5:$U$54="",0,$U$5:$U$54),_xlpm.usd,SUMIFS($C$6:$C71,$K$6:$K71,_xlpm.pos&amp;""),_xlpm.bal,_xlpm.alo-_xlpm.usd,IFERROR(INDEX(_xlfn._xlws.FILTER(_xlpm.pos,(_xlpm.pos&lt;&gt;"")*(_xlpm.qty&gt;0)*(_xlpm.bal&gt;=_xlpm.qty)),1),"")))</f>
        <v/>
      </c>
      <c r="L72" s="290"/>
      <c r="M72" s="277"/>
      <c r="N72" s="277"/>
      <c r="O72" s="277"/>
    </row>
    <row r="73" spans="1:15" ht="23" x14ac:dyDescent="0.25">
      <c r="A73" s="221" t="str" cm="1">
        <f t="array" ref="A73">IFERROR(INDEX(_xlfn.ANCHORARRAY($P$6),ROW()-5,1),"")</f>
        <v/>
      </c>
      <c r="B73" s="317" t="str" cm="1">
        <f t="array" ref="B73">IFERROR(INDEX(_xlfn.ANCHORARRAY($P$6),ROW()-5,2),"")</f>
        <v/>
      </c>
      <c r="C73" s="222" t="str">
        <f>IF($A73="","",IF($J73="DIESEL",SUMIFS(Table1[Quantity],Table1[Customer],$M$3,Table1[Date],$A73,Table1[Bill No.],$B73),IF($J73="PETROL",SUMIFS(Table14[Quantity],Table14[Customer],$M$3,Table14[Date],$A73,Table14[Bill No.],$B73),IF($J73="XtraGreen",SUMIFS(Table146[Quantity],Table146[Company],$M$3,Table146[Date],$A73,Table146[Bill No.],$B73),""))))</f>
        <v/>
      </c>
      <c r="D73" s="223" t="str">
        <f>IF($A73="","",IF($J73="DIESEL",AVERAGEIFS(Table1[RSP],Table1[Customer],$M$3,Table1[Date],$A73,Table1[Bill No.],$B73),IF($J73="PETROL",AVERAGEIFS(Table14[RSP],Table14[Customer],$M$3,Table14[Date],$A73,Table14[Bill No.],$B73),IF($J73="XtraGreen",AVERAGEIFS(Table146[RSP],Table146[Company],$M$3,Table146[Date],$A73,Table146[Bill No.],$B73),IFERROR($E73/$C73,"")))))</f>
        <v/>
      </c>
      <c r="E73" s="330" t="str">
        <f>IF($A73="","",IF($J73="DIESEL",SUMIFS(Table1[Amount],Table1[Customer],$M$3,Table1[Date],$A73,Table1[Bill No.],$B73),IF($J73="PETROL",SUMIFS(Table14[Amount],Table14[Customer],$M$3,Table14[Date],$A73,Table14[Bill No.],$B73),IF($J73="XtraGreen",SUMIFS(Table146[Amount],Table146[Company],$M$3,Table146[Date],$A73,Table146[Bill No.],$B73),SUMIFS('Other Sale'!$D:$D,'Other Sale'!$E:$E,$M$3,'Other Sale'!$C:$C,$J73,'Other Sale'!$A:$A,$A73)))))</f>
        <v/>
      </c>
      <c r="F73" s="330" t="str" cm="1">
        <f t="array" ref="F73">IF($A73="","",IF($J73="Payment",IFERROR(INDEX(_xlfn._xlws.FILTER(MasterPaid[Amount Paid],(MasterPaid[Customer]=$M$3)*(MasterPaid[Date]=$A73)),COUNTIFS($A$6:$A73,$A73,$J$6:$J73,"Payment")),0),0))</f>
        <v/>
      </c>
      <c r="G73" s="331"/>
      <c r="H73" s="331"/>
      <c r="I73" s="330" t="str">
        <f t="shared" si="10"/>
        <v/>
      </c>
      <c r="J73" s="318" t="str" cm="1">
        <f t="array" ref="J73">IFERROR(INDEX(_xlfn.ANCHORARRAY($P$6),ROW()-5,3),"")</f>
        <v/>
      </c>
      <c r="K73" s="432" t="str" cm="1">
        <f t="array" ref="K73">IF(OR($A73="",$J73&lt;&gt;"DIESEL"),"",_xlfn.LET(_xlpm.qty,N($C73),_xlpm.pos,$T$5:$T$54,_xlpm.alo,IF($U$5:$U$54="",0,$U$5:$U$54),_xlpm.usd,SUMIFS($C$6:$C72,$K$6:$K72,_xlpm.pos&amp;""),_xlpm.bal,_xlpm.alo-_xlpm.usd,IFERROR(INDEX(_xlfn._xlws.FILTER(_xlpm.pos,(_xlpm.pos&lt;&gt;"")*(_xlpm.qty&gt;0)*(_xlpm.bal&gt;=_xlpm.qty)),1),"")))</f>
        <v/>
      </c>
      <c r="L73" s="290"/>
      <c r="M73" s="277"/>
      <c r="N73" s="277"/>
      <c r="O73" s="277"/>
    </row>
    <row r="74" spans="1:15" ht="23" x14ac:dyDescent="0.25">
      <c r="A74" s="221" t="str" cm="1">
        <f t="array" ref="A74">IFERROR(INDEX(_xlfn.ANCHORARRAY($P$6),ROW()-5,1),"")</f>
        <v/>
      </c>
      <c r="B74" s="317" t="str" cm="1">
        <f t="array" ref="B74">IFERROR(INDEX(_xlfn.ANCHORARRAY($P$6),ROW()-5,2),"")</f>
        <v/>
      </c>
      <c r="C74" s="222" t="str">
        <f>IF($A74="","",IF($J74="DIESEL",SUMIFS(Table1[Quantity],Table1[Customer],$M$3,Table1[Date],$A74,Table1[Bill No.],$B74),IF($J74="PETROL",SUMIFS(Table14[Quantity],Table14[Customer],$M$3,Table14[Date],$A74,Table14[Bill No.],$B74),IF($J74="XtraGreen",SUMIFS(Table146[Quantity],Table146[Company],$M$3,Table146[Date],$A74,Table146[Bill No.],$B74),""))))</f>
        <v/>
      </c>
      <c r="D74" s="223" t="str">
        <f>IF($A74="","",IF($J74="DIESEL",AVERAGEIFS(Table1[RSP],Table1[Customer],$M$3,Table1[Date],$A74,Table1[Bill No.],$B74),IF($J74="PETROL",AVERAGEIFS(Table14[RSP],Table14[Customer],$M$3,Table14[Date],$A74,Table14[Bill No.],$B74),IF($J74="XtraGreen",AVERAGEIFS(Table146[RSP],Table146[Company],$M$3,Table146[Date],$A74,Table146[Bill No.],$B74),IFERROR($E74/$C74,"")))))</f>
        <v/>
      </c>
      <c r="E74" s="330" t="str">
        <f>IF($A74="","",IF($J74="DIESEL",SUMIFS(Table1[Amount],Table1[Customer],$M$3,Table1[Date],$A74,Table1[Bill No.],$B74),IF($J74="PETROL",SUMIFS(Table14[Amount],Table14[Customer],$M$3,Table14[Date],$A74,Table14[Bill No.],$B74),IF($J74="XtraGreen",SUMIFS(Table146[Amount],Table146[Company],$M$3,Table146[Date],$A74,Table146[Bill No.],$B74),SUMIFS('Other Sale'!$D:$D,'Other Sale'!$E:$E,$M$3,'Other Sale'!$C:$C,$J74,'Other Sale'!$A:$A,$A74)))))</f>
        <v/>
      </c>
      <c r="F74" s="330" t="str" cm="1">
        <f t="array" ref="F74">IF($A74="","",IF($J74="Payment",IFERROR(INDEX(_xlfn._xlws.FILTER(MasterPaid[Amount Paid],(MasterPaid[Customer]=$M$3)*(MasterPaid[Date]=$A74)),COUNTIFS($A$6:$A74,$A74,$J$6:$J74,"Payment")),0),0))</f>
        <v/>
      </c>
      <c r="G74" s="331"/>
      <c r="H74" s="331"/>
      <c r="I74" s="330" t="str">
        <f t="shared" si="10"/>
        <v/>
      </c>
      <c r="J74" s="318" t="str" cm="1">
        <f t="array" ref="J74">IFERROR(INDEX(_xlfn.ANCHORARRAY($P$6),ROW()-5,3),"")</f>
        <v/>
      </c>
      <c r="K74" s="432" t="str" cm="1">
        <f t="array" ref="K74">IF(OR($A74="",$J74&lt;&gt;"DIESEL"),"",_xlfn.LET(_xlpm.qty,N($C74),_xlpm.pos,$T$5:$T$54,_xlpm.alo,IF($U$5:$U$54="",0,$U$5:$U$54),_xlpm.usd,SUMIFS($C$6:$C73,$K$6:$K73,_xlpm.pos&amp;""),_xlpm.bal,_xlpm.alo-_xlpm.usd,IFERROR(INDEX(_xlfn._xlws.FILTER(_xlpm.pos,(_xlpm.pos&lt;&gt;"")*(_xlpm.qty&gt;0)*(_xlpm.bal&gt;=_xlpm.qty)),1),"")))</f>
        <v/>
      </c>
      <c r="L74" s="290"/>
      <c r="M74" s="277"/>
      <c r="N74" s="277"/>
      <c r="O74" s="277"/>
    </row>
    <row r="75" spans="1:15" ht="23" x14ac:dyDescent="0.25">
      <c r="A75" s="221" t="str" cm="1">
        <f t="array" ref="A75">IFERROR(INDEX(_xlfn.ANCHORARRAY($P$6),ROW()-5,1),"")</f>
        <v/>
      </c>
      <c r="B75" s="317" t="str" cm="1">
        <f t="array" ref="B75">IFERROR(INDEX(_xlfn.ANCHORARRAY($P$6),ROW()-5,2),"")</f>
        <v/>
      </c>
      <c r="C75" s="222" t="str">
        <f>IF($A75="","",IF($J75="DIESEL",SUMIFS(Table1[Quantity],Table1[Customer],$M$3,Table1[Date],$A75,Table1[Bill No.],$B75),IF($J75="PETROL",SUMIFS(Table14[Quantity],Table14[Customer],$M$3,Table14[Date],$A75,Table14[Bill No.],$B75),IF($J75="XtraGreen",SUMIFS(Table146[Quantity],Table146[Company],$M$3,Table146[Date],$A75,Table146[Bill No.],$B75),""))))</f>
        <v/>
      </c>
      <c r="D75" s="223" t="str">
        <f>IF($A75="","",IF($J75="DIESEL",AVERAGEIFS(Table1[RSP],Table1[Customer],$M$3,Table1[Date],$A75,Table1[Bill No.],$B75),IF($J75="PETROL",AVERAGEIFS(Table14[RSP],Table14[Customer],$M$3,Table14[Date],$A75,Table14[Bill No.],$B75),IF($J75="XtraGreen",AVERAGEIFS(Table146[RSP],Table146[Company],$M$3,Table146[Date],$A75,Table146[Bill No.],$B75),IFERROR($E75/$C75,"")))))</f>
        <v/>
      </c>
      <c r="E75" s="330" t="str">
        <f>IF($A75="","",IF($J75="DIESEL",SUMIFS(Table1[Amount],Table1[Customer],$M$3,Table1[Date],$A75,Table1[Bill No.],$B75),IF($J75="PETROL",SUMIFS(Table14[Amount],Table14[Customer],$M$3,Table14[Date],$A75,Table14[Bill No.],$B75),IF($J75="XtraGreen",SUMIFS(Table146[Amount],Table146[Company],$M$3,Table146[Date],$A75,Table146[Bill No.],$B75),SUMIFS('Other Sale'!$D:$D,'Other Sale'!$E:$E,$M$3,'Other Sale'!$C:$C,$J75,'Other Sale'!$A:$A,$A75)))))</f>
        <v/>
      </c>
      <c r="F75" s="330" t="str" cm="1">
        <f t="array" ref="F75">IF($A75="","",IF($J75="Payment",IFERROR(INDEX(_xlfn._xlws.FILTER(MasterPaid[Amount Paid],(MasterPaid[Customer]=$M$3)*(MasterPaid[Date]=$A75)),COUNTIFS($A$6:$A75,$A75,$J$6:$J75,"Payment")),0),0))</f>
        <v/>
      </c>
      <c r="G75" s="331"/>
      <c r="H75" s="331"/>
      <c r="I75" s="330" t="str">
        <f t="shared" si="10"/>
        <v/>
      </c>
      <c r="J75" s="318" t="str" cm="1">
        <f t="array" ref="J75">IFERROR(INDEX(_xlfn.ANCHORARRAY($P$6),ROW()-5,3),"")</f>
        <v/>
      </c>
      <c r="K75" s="432" t="str" cm="1">
        <f t="array" ref="K75">IF(OR($A75="",$J75&lt;&gt;"DIESEL"),"",_xlfn.LET(_xlpm.qty,N($C75),_xlpm.pos,$T$5:$T$54,_xlpm.alo,IF($U$5:$U$54="",0,$U$5:$U$54),_xlpm.usd,SUMIFS($C$6:$C74,$K$6:$K74,_xlpm.pos&amp;""),_xlpm.bal,_xlpm.alo-_xlpm.usd,IFERROR(INDEX(_xlfn._xlws.FILTER(_xlpm.pos,(_xlpm.pos&lt;&gt;"")*(_xlpm.qty&gt;0)*(_xlpm.bal&gt;=_xlpm.qty)),1),"")))</f>
        <v/>
      </c>
      <c r="L75" s="290"/>
      <c r="M75" s="277"/>
      <c r="N75" s="277"/>
      <c r="O75" s="277"/>
    </row>
    <row r="76" spans="1:15" ht="23" x14ac:dyDescent="0.25">
      <c r="A76" s="221" t="str" cm="1">
        <f t="array" ref="A76">IFERROR(INDEX(_xlfn.ANCHORARRAY($P$6),ROW()-5,1),"")</f>
        <v/>
      </c>
      <c r="B76" s="317" t="str" cm="1">
        <f t="array" ref="B76">IFERROR(INDEX(_xlfn.ANCHORARRAY($P$6),ROW()-5,2),"")</f>
        <v/>
      </c>
      <c r="C76" s="222" t="str">
        <f>IF($A76="","",IF($J76="DIESEL",SUMIFS(Table1[Quantity],Table1[Customer],$M$3,Table1[Date],$A76,Table1[Bill No.],$B76),IF($J76="PETROL",SUMIFS(Table14[Quantity],Table14[Customer],$M$3,Table14[Date],$A76,Table14[Bill No.],$B76),IF($J76="XtraGreen",SUMIFS(Table146[Quantity],Table146[Company],$M$3,Table146[Date],$A76,Table146[Bill No.],$B76),""))))</f>
        <v/>
      </c>
      <c r="D76" s="223" t="str">
        <f>IF($A76="","",IF($J76="DIESEL",AVERAGEIFS(Table1[RSP],Table1[Customer],$M$3,Table1[Date],$A76,Table1[Bill No.],$B76),IF($J76="PETROL",AVERAGEIFS(Table14[RSP],Table14[Customer],$M$3,Table14[Date],$A76,Table14[Bill No.],$B76),IF($J76="XtraGreen",AVERAGEIFS(Table146[RSP],Table146[Company],$M$3,Table146[Date],$A76,Table146[Bill No.],$B76),IFERROR($E76/$C76,"")))))</f>
        <v/>
      </c>
      <c r="E76" s="330" t="str">
        <f>IF($A76="","",IF($J76="DIESEL",SUMIFS(Table1[Amount],Table1[Customer],$M$3,Table1[Date],$A76,Table1[Bill No.],$B76),IF($J76="PETROL",SUMIFS(Table14[Amount],Table14[Customer],$M$3,Table14[Date],$A76,Table14[Bill No.],$B76),IF($J76="XtraGreen",SUMIFS(Table146[Amount],Table146[Company],$M$3,Table146[Date],$A76,Table146[Bill No.],$B76),SUMIFS('Other Sale'!$D:$D,'Other Sale'!$E:$E,$M$3,'Other Sale'!$C:$C,$J76,'Other Sale'!$A:$A,$A76)))))</f>
        <v/>
      </c>
      <c r="F76" s="330" t="str" cm="1">
        <f t="array" ref="F76">IF($A76="","",IF($J76="Payment",IFERROR(INDEX(_xlfn._xlws.FILTER(MasterPaid[Amount Paid],(MasterPaid[Customer]=$M$3)*(MasterPaid[Date]=$A76)),COUNTIFS($A$6:$A76,$A76,$J$6:$J76,"Payment")),0),0))</f>
        <v/>
      </c>
      <c r="G76" s="331"/>
      <c r="H76" s="331"/>
      <c r="I76" s="330" t="str">
        <f t="shared" si="10"/>
        <v/>
      </c>
      <c r="J76" s="318" t="str" cm="1">
        <f t="array" ref="J76">IFERROR(INDEX(_xlfn.ANCHORARRAY($P$6),ROW()-5,3),"")</f>
        <v/>
      </c>
      <c r="K76" s="432" t="str" cm="1">
        <f t="array" ref="K76">IF(OR($A76="",$J76&lt;&gt;"DIESEL"),"",_xlfn.LET(_xlpm.qty,N($C76),_xlpm.pos,$T$5:$T$54,_xlpm.alo,IF($U$5:$U$54="",0,$U$5:$U$54),_xlpm.usd,SUMIFS($C$6:$C75,$K$6:$K75,_xlpm.pos&amp;""),_xlpm.bal,_xlpm.alo-_xlpm.usd,IFERROR(INDEX(_xlfn._xlws.FILTER(_xlpm.pos,(_xlpm.pos&lt;&gt;"")*(_xlpm.qty&gt;0)*(_xlpm.bal&gt;=_xlpm.qty)),1),"")))</f>
        <v/>
      </c>
      <c r="L76" s="290"/>
      <c r="M76" s="277"/>
      <c r="N76" s="277"/>
      <c r="O76" s="277"/>
    </row>
    <row r="77" spans="1:15" ht="23" x14ac:dyDescent="0.25">
      <c r="A77" s="221" t="str" cm="1">
        <f t="array" ref="A77">IFERROR(INDEX(_xlfn.ANCHORARRAY($P$6),ROW()-5,1),"")</f>
        <v/>
      </c>
      <c r="B77" s="317" t="str" cm="1">
        <f t="array" ref="B77">IFERROR(INDEX(_xlfn.ANCHORARRAY($P$6),ROW()-5,2),"")</f>
        <v/>
      </c>
      <c r="C77" s="222" t="str">
        <f>IF($A77="","",IF($J77="DIESEL",SUMIFS(Table1[Quantity],Table1[Customer],$M$3,Table1[Date],$A77,Table1[Bill No.],$B77),IF($J77="PETROL",SUMIFS(Table14[Quantity],Table14[Customer],$M$3,Table14[Date],$A77,Table14[Bill No.],$B77),IF($J77="XtraGreen",SUMIFS(Table146[Quantity],Table146[Company],$M$3,Table146[Date],$A77,Table146[Bill No.],$B77),""))))</f>
        <v/>
      </c>
      <c r="D77" s="223" t="str">
        <f>IF($A77="","",IF($J77="DIESEL",AVERAGEIFS(Table1[RSP],Table1[Customer],$M$3,Table1[Date],$A77,Table1[Bill No.],$B77),IF($J77="PETROL",AVERAGEIFS(Table14[RSP],Table14[Customer],$M$3,Table14[Date],$A77,Table14[Bill No.],$B77),IF($J77="XtraGreen",AVERAGEIFS(Table146[RSP],Table146[Company],$M$3,Table146[Date],$A77,Table146[Bill No.],$B77),IFERROR($E77/$C77,"")))))</f>
        <v/>
      </c>
      <c r="E77" s="330" t="str">
        <f>IF($A77="","",IF($J77="DIESEL",SUMIFS(Table1[Amount],Table1[Customer],$M$3,Table1[Date],$A77,Table1[Bill No.],$B77),IF($J77="PETROL",SUMIFS(Table14[Amount],Table14[Customer],$M$3,Table14[Date],$A77,Table14[Bill No.],$B77),IF($J77="XtraGreen",SUMIFS(Table146[Amount],Table146[Company],$M$3,Table146[Date],$A77,Table146[Bill No.],$B77),SUMIFS('Other Sale'!$D:$D,'Other Sale'!$E:$E,$M$3,'Other Sale'!$C:$C,$J77,'Other Sale'!$A:$A,$A77)))))</f>
        <v/>
      </c>
      <c r="F77" s="330" t="str" cm="1">
        <f t="array" ref="F77">IF($A77="","",IF($J77="Payment",IFERROR(INDEX(_xlfn._xlws.FILTER(MasterPaid[Amount Paid],(MasterPaid[Customer]=$M$3)*(MasterPaid[Date]=$A77)),COUNTIFS($A$6:$A77,$A77,$J$6:$J77,"Payment")),0),0))</f>
        <v/>
      </c>
      <c r="G77" s="331"/>
      <c r="H77" s="331"/>
      <c r="I77" s="330" t="str">
        <f t="shared" si="10"/>
        <v/>
      </c>
      <c r="J77" s="318" t="str" cm="1">
        <f t="array" ref="J77">IFERROR(INDEX(_xlfn.ANCHORARRAY($P$6),ROW()-5,3),"")</f>
        <v/>
      </c>
      <c r="K77" s="432" t="str" cm="1">
        <f t="array" ref="K77">IF(OR($A77="",$J77&lt;&gt;"DIESEL"),"",_xlfn.LET(_xlpm.qty,N($C77),_xlpm.pos,$T$5:$T$54,_xlpm.alo,IF($U$5:$U$54="",0,$U$5:$U$54),_xlpm.usd,SUMIFS($C$6:$C76,$K$6:$K76,_xlpm.pos&amp;""),_xlpm.bal,_xlpm.alo-_xlpm.usd,IFERROR(INDEX(_xlfn._xlws.FILTER(_xlpm.pos,(_xlpm.pos&lt;&gt;"")*(_xlpm.qty&gt;0)*(_xlpm.bal&gt;=_xlpm.qty)),1),"")))</f>
        <v/>
      </c>
      <c r="L77" s="290"/>
      <c r="M77" s="277"/>
      <c r="N77" s="277"/>
      <c r="O77" s="277"/>
    </row>
    <row r="78" spans="1:15" ht="23" x14ac:dyDescent="0.25">
      <c r="A78" s="221" t="str" cm="1">
        <f t="array" ref="A78">IFERROR(INDEX(_xlfn.ANCHORARRAY($P$6),ROW()-5,1),"")</f>
        <v/>
      </c>
      <c r="B78" s="317" t="str" cm="1">
        <f t="array" ref="B78">IFERROR(INDEX(_xlfn.ANCHORARRAY($P$6),ROW()-5,2),"")</f>
        <v/>
      </c>
      <c r="C78" s="222" t="str">
        <f>IF($A78="","",IF($J78="DIESEL",SUMIFS(Table1[Quantity],Table1[Customer],$M$3,Table1[Date],$A78,Table1[Bill No.],$B78),IF($J78="PETROL",SUMIFS(Table14[Quantity],Table14[Customer],$M$3,Table14[Date],$A78,Table14[Bill No.],$B78),IF($J78="XtraGreen",SUMIFS(Table146[Quantity],Table146[Company],$M$3,Table146[Date],$A78,Table146[Bill No.],$B78),""))))</f>
        <v/>
      </c>
      <c r="D78" s="223" t="str">
        <f>IF($A78="","",IF($J78="DIESEL",AVERAGEIFS(Table1[RSP],Table1[Customer],$M$3,Table1[Date],$A78,Table1[Bill No.],$B78),IF($J78="PETROL",AVERAGEIFS(Table14[RSP],Table14[Customer],$M$3,Table14[Date],$A78,Table14[Bill No.],$B78),IF($J78="XtraGreen",AVERAGEIFS(Table146[RSP],Table146[Company],$M$3,Table146[Date],$A78,Table146[Bill No.],$B78),IFERROR($E78/$C78,"")))))</f>
        <v/>
      </c>
      <c r="E78" s="330" t="str">
        <f>IF($A78="","",IF($J78="DIESEL",SUMIFS(Table1[Amount],Table1[Customer],$M$3,Table1[Date],$A78,Table1[Bill No.],$B78),IF($J78="PETROL",SUMIFS(Table14[Amount],Table14[Customer],$M$3,Table14[Date],$A78,Table14[Bill No.],$B78),IF($J78="XtraGreen",SUMIFS(Table146[Amount],Table146[Company],$M$3,Table146[Date],$A78,Table146[Bill No.],$B78),SUMIFS('Other Sale'!$D:$D,'Other Sale'!$E:$E,$M$3,'Other Sale'!$C:$C,$J78,'Other Sale'!$A:$A,$A78)))))</f>
        <v/>
      </c>
      <c r="F78" s="330" t="str" cm="1">
        <f t="array" ref="F78">IF($A78="","",IF($J78="Payment",IFERROR(INDEX(_xlfn._xlws.FILTER(MasterPaid[Amount Paid],(MasterPaid[Customer]=$M$3)*(MasterPaid[Date]=$A78)),COUNTIFS($A$6:$A78,$A78,$J$6:$J78,"Payment")),0),0))</f>
        <v/>
      </c>
      <c r="G78" s="331"/>
      <c r="H78" s="331"/>
      <c r="I78" s="330" t="str">
        <f t="shared" si="10"/>
        <v/>
      </c>
      <c r="J78" s="318" t="str" cm="1">
        <f t="array" ref="J78">IFERROR(INDEX(_xlfn.ANCHORARRAY($P$6),ROW()-5,3),"")</f>
        <v/>
      </c>
      <c r="K78" s="432" t="str" cm="1">
        <f t="array" ref="K78">IF(OR($A78="",$J78&lt;&gt;"DIESEL"),"",_xlfn.LET(_xlpm.qty,N($C78),_xlpm.pos,$T$5:$T$54,_xlpm.alo,IF($U$5:$U$54="",0,$U$5:$U$54),_xlpm.usd,SUMIFS($C$6:$C77,$K$6:$K77,_xlpm.pos&amp;""),_xlpm.bal,_xlpm.alo-_xlpm.usd,IFERROR(INDEX(_xlfn._xlws.FILTER(_xlpm.pos,(_xlpm.pos&lt;&gt;"")*(_xlpm.qty&gt;0)*(_xlpm.bal&gt;=_xlpm.qty)),1),"")))</f>
        <v/>
      </c>
      <c r="L78" s="290"/>
      <c r="M78" s="277"/>
      <c r="N78" s="277"/>
      <c r="O78" s="277"/>
    </row>
    <row r="79" spans="1:15" ht="23" x14ac:dyDescent="0.25">
      <c r="A79" s="221" t="str" cm="1">
        <f t="array" ref="A79">IFERROR(INDEX(_xlfn.ANCHORARRAY($P$6),ROW()-5,1),"")</f>
        <v/>
      </c>
      <c r="B79" s="317" t="str" cm="1">
        <f t="array" ref="B79">IFERROR(INDEX(_xlfn.ANCHORARRAY($P$6),ROW()-5,2),"")</f>
        <v/>
      </c>
      <c r="C79" s="222" t="str">
        <f>IF($A79="","",IF($J79="DIESEL",SUMIFS(Table1[Quantity],Table1[Customer],$M$3,Table1[Date],$A79,Table1[Bill No.],$B79),IF($J79="PETROL",SUMIFS(Table14[Quantity],Table14[Customer],$M$3,Table14[Date],$A79,Table14[Bill No.],$B79),IF($J79="XtraGreen",SUMIFS(Table146[Quantity],Table146[Company],$M$3,Table146[Date],$A79,Table146[Bill No.],$B79),""))))</f>
        <v/>
      </c>
      <c r="D79" s="223" t="str">
        <f>IF($A79="","",IF($J79="DIESEL",AVERAGEIFS(Table1[RSP],Table1[Customer],$M$3,Table1[Date],$A79,Table1[Bill No.],$B79),IF($J79="PETROL",AVERAGEIFS(Table14[RSP],Table14[Customer],$M$3,Table14[Date],$A79,Table14[Bill No.],$B79),IF($J79="XtraGreen",AVERAGEIFS(Table146[RSP],Table146[Company],$M$3,Table146[Date],$A79,Table146[Bill No.],$B79),IFERROR($E79/$C79,"")))))</f>
        <v/>
      </c>
      <c r="E79" s="330" t="str">
        <f>IF($A79="","",IF($J79="DIESEL",SUMIFS(Table1[Amount],Table1[Customer],$M$3,Table1[Date],$A79,Table1[Bill No.],$B79),IF($J79="PETROL",SUMIFS(Table14[Amount],Table14[Customer],$M$3,Table14[Date],$A79,Table14[Bill No.],$B79),IF($J79="XtraGreen",SUMIFS(Table146[Amount],Table146[Company],$M$3,Table146[Date],$A79,Table146[Bill No.],$B79),SUMIFS('Other Sale'!$D:$D,'Other Sale'!$E:$E,$M$3,'Other Sale'!$C:$C,$J79,'Other Sale'!$A:$A,$A79)))))</f>
        <v/>
      </c>
      <c r="F79" s="330" t="str" cm="1">
        <f t="array" ref="F79">IF($A79="","",IF($J79="Payment",IFERROR(INDEX(_xlfn._xlws.FILTER(MasterPaid[Amount Paid],(MasterPaid[Customer]=$M$3)*(MasterPaid[Date]=$A79)),COUNTIFS($A$6:$A79,$A79,$J$6:$J79,"Payment")),0),0))</f>
        <v/>
      </c>
      <c r="G79" s="331"/>
      <c r="H79" s="331"/>
      <c r="I79" s="330" t="str">
        <f t="shared" si="10"/>
        <v/>
      </c>
      <c r="J79" s="318" t="str" cm="1">
        <f t="array" ref="J79">IFERROR(INDEX(_xlfn.ANCHORARRAY($P$6),ROW()-5,3),"")</f>
        <v/>
      </c>
      <c r="K79" s="432" t="str" cm="1">
        <f t="array" ref="K79">IF(OR($A79="",$J79&lt;&gt;"DIESEL"),"",_xlfn.LET(_xlpm.qty,N($C79),_xlpm.pos,$T$5:$T$54,_xlpm.alo,IF($U$5:$U$54="",0,$U$5:$U$54),_xlpm.usd,SUMIFS($C$6:$C78,$K$6:$K78,_xlpm.pos&amp;""),_xlpm.bal,_xlpm.alo-_xlpm.usd,IFERROR(INDEX(_xlfn._xlws.FILTER(_xlpm.pos,(_xlpm.pos&lt;&gt;"")*(_xlpm.qty&gt;0)*(_xlpm.bal&gt;=_xlpm.qty)),1),"")))</f>
        <v/>
      </c>
      <c r="L79" s="290"/>
      <c r="M79" s="277"/>
      <c r="N79" s="277"/>
      <c r="O79" s="277"/>
    </row>
    <row r="80" spans="1:15" ht="23" x14ac:dyDescent="0.25">
      <c r="A80" s="221" t="str" cm="1">
        <f t="array" ref="A80">IFERROR(INDEX(_xlfn.ANCHORARRAY($P$6),ROW()-5,1),"")</f>
        <v/>
      </c>
      <c r="B80" s="317" t="str" cm="1">
        <f t="array" ref="B80">IFERROR(INDEX(_xlfn.ANCHORARRAY($P$6),ROW()-5,2),"")</f>
        <v/>
      </c>
      <c r="C80" s="222" t="str">
        <f>IF($A80="","",IF($J80="DIESEL",SUMIFS(Table1[Quantity],Table1[Customer],$M$3,Table1[Date],$A80,Table1[Bill No.],$B80),IF($J80="PETROL",SUMIFS(Table14[Quantity],Table14[Customer],$M$3,Table14[Date],$A80,Table14[Bill No.],$B80),IF($J80="XtraGreen",SUMIFS(Table146[Quantity],Table146[Company],$M$3,Table146[Date],$A80,Table146[Bill No.],$B80),""))))</f>
        <v/>
      </c>
      <c r="D80" s="223" t="str">
        <f>IF($A80="","",IF($J80="DIESEL",AVERAGEIFS(Table1[RSP],Table1[Customer],$M$3,Table1[Date],$A80,Table1[Bill No.],$B80),IF($J80="PETROL",AVERAGEIFS(Table14[RSP],Table14[Customer],$M$3,Table14[Date],$A80,Table14[Bill No.],$B80),IF($J80="XtraGreen",AVERAGEIFS(Table146[RSP],Table146[Company],$M$3,Table146[Date],$A80,Table146[Bill No.],$B80),IFERROR($E80/$C80,"")))))</f>
        <v/>
      </c>
      <c r="E80" s="330" t="str">
        <f>IF($A80="","",IF($J80="DIESEL",SUMIFS(Table1[Amount],Table1[Customer],$M$3,Table1[Date],$A80,Table1[Bill No.],$B80),IF($J80="PETROL",SUMIFS(Table14[Amount],Table14[Customer],$M$3,Table14[Date],$A80,Table14[Bill No.],$B80),IF($J80="XtraGreen",SUMIFS(Table146[Amount],Table146[Company],$M$3,Table146[Date],$A80,Table146[Bill No.],$B80),SUMIFS('Other Sale'!$D:$D,'Other Sale'!$E:$E,$M$3,'Other Sale'!$C:$C,$J80,'Other Sale'!$A:$A,$A80)))))</f>
        <v/>
      </c>
      <c r="F80" s="330" t="str" cm="1">
        <f t="array" ref="F80">IF($A80="","",IF($J80="Payment",IFERROR(INDEX(_xlfn._xlws.FILTER(MasterPaid[Amount Paid],(MasterPaid[Customer]=$M$3)*(MasterPaid[Date]=$A80)),COUNTIFS($A$6:$A80,$A80,$J$6:$J80,"Payment")),0),0))</f>
        <v/>
      </c>
      <c r="G80" s="331"/>
      <c r="H80" s="331"/>
      <c r="I80" s="330" t="str">
        <f t="shared" si="10"/>
        <v/>
      </c>
      <c r="J80" s="318" t="str" cm="1">
        <f t="array" ref="J80">IFERROR(INDEX(_xlfn.ANCHORARRAY($P$6),ROW()-5,3),"")</f>
        <v/>
      </c>
      <c r="K80" s="432" t="str" cm="1">
        <f t="array" ref="K80">IF(OR($A80="",$J80&lt;&gt;"DIESEL"),"",_xlfn.LET(_xlpm.qty,N($C80),_xlpm.pos,$T$5:$T$54,_xlpm.alo,IF($U$5:$U$54="",0,$U$5:$U$54),_xlpm.usd,SUMIFS($C$6:$C79,$K$6:$K79,_xlpm.pos&amp;""),_xlpm.bal,_xlpm.alo-_xlpm.usd,IFERROR(INDEX(_xlfn._xlws.FILTER(_xlpm.pos,(_xlpm.pos&lt;&gt;"")*(_xlpm.qty&gt;0)*(_xlpm.bal&gt;=_xlpm.qty)),1),"")))</f>
        <v/>
      </c>
      <c r="L80" s="290"/>
      <c r="M80" s="277"/>
      <c r="N80" s="277"/>
      <c r="O80" s="277"/>
    </row>
    <row r="81" spans="1:15" ht="23" x14ac:dyDescent="0.25">
      <c r="A81" s="221" t="str" cm="1">
        <f t="array" ref="A81">IFERROR(INDEX(_xlfn.ANCHORARRAY($P$6),ROW()-5,1),"")</f>
        <v/>
      </c>
      <c r="B81" s="317" t="str" cm="1">
        <f t="array" ref="B81">IFERROR(INDEX(_xlfn.ANCHORARRAY($P$6),ROW()-5,2),"")</f>
        <v/>
      </c>
      <c r="C81" s="222" t="str">
        <f>IF($A81="","",IF($J81="DIESEL",SUMIFS(Table1[Quantity],Table1[Customer],$M$3,Table1[Date],$A81,Table1[Bill No.],$B81),IF($J81="PETROL",SUMIFS(Table14[Quantity],Table14[Customer],$M$3,Table14[Date],$A81,Table14[Bill No.],$B81),IF($J81="XtraGreen",SUMIFS(Table146[Quantity],Table146[Company],$M$3,Table146[Date],$A81,Table146[Bill No.],$B81),""))))</f>
        <v/>
      </c>
      <c r="D81" s="223" t="str">
        <f>IF($A81="","",IF($J81="DIESEL",AVERAGEIFS(Table1[RSP],Table1[Customer],$M$3,Table1[Date],$A81,Table1[Bill No.],$B81),IF($J81="PETROL",AVERAGEIFS(Table14[RSP],Table14[Customer],$M$3,Table14[Date],$A81,Table14[Bill No.],$B81),IF($J81="XtraGreen",AVERAGEIFS(Table146[RSP],Table146[Company],$M$3,Table146[Date],$A81,Table146[Bill No.],$B81),IFERROR($E81/$C81,"")))))</f>
        <v/>
      </c>
      <c r="E81" s="330" t="str">
        <f>IF($A81="","",IF($J81="DIESEL",SUMIFS(Table1[Amount],Table1[Customer],$M$3,Table1[Date],$A81,Table1[Bill No.],$B81),IF($J81="PETROL",SUMIFS(Table14[Amount],Table14[Customer],$M$3,Table14[Date],$A81,Table14[Bill No.],$B81),IF($J81="XtraGreen",SUMIFS(Table146[Amount],Table146[Company],$M$3,Table146[Date],$A81,Table146[Bill No.],$B81),SUMIFS('Other Sale'!$D:$D,'Other Sale'!$E:$E,$M$3,'Other Sale'!$C:$C,$J81,'Other Sale'!$A:$A,$A81)))))</f>
        <v/>
      </c>
      <c r="F81" s="330" t="str" cm="1">
        <f t="array" ref="F81">IF($A81="","",IF($J81="Payment",IFERROR(INDEX(_xlfn._xlws.FILTER(MasterPaid[Amount Paid],(MasterPaid[Customer]=$M$3)*(MasterPaid[Date]=$A81)),COUNTIFS($A$6:$A81,$A81,$J$6:$J81,"Payment")),0),0))</f>
        <v/>
      </c>
      <c r="G81" s="331"/>
      <c r="H81" s="331"/>
      <c r="I81" s="330" t="str">
        <f t="shared" si="10"/>
        <v/>
      </c>
      <c r="J81" s="318" t="str" cm="1">
        <f t="array" ref="J81">IFERROR(INDEX(_xlfn.ANCHORARRAY($P$6),ROW()-5,3),"")</f>
        <v/>
      </c>
      <c r="K81" s="432" t="str" cm="1">
        <f t="array" ref="K81">IF(OR($A81="",$J81&lt;&gt;"DIESEL"),"",_xlfn.LET(_xlpm.qty,N($C81),_xlpm.pos,$T$5:$T$54,_xlpm.alo,IF($U$5:$U$54="",0,$U$5:$U$54),_xlpm.usd,SUMIFS($C$6:$C80,$K$6:$K80,_xlpm.pos&amp;""),_xlpm.bal,_xlpm.alo-_xlpm.usd,IFERROR(INDEX(_xlfn._xlws.FILTER(_xlpm.pos,(_xlpm.pos&lt;&gt;"")*(_xlpm.qty&gt;0)*(_xlpm.bal&gt;=_xlpm.qty)),1),"")))</f>
        <v/>
      </c>
      <c r="L81" s="290"/>
      <c r="M81" s="277"/>
      <c r="N81" s="277"/>
      <c r="O81" s="277"/>
    </row>
    <row r="82" spans="1:15" ht="23" x14ac:dyDescent="0.25">
      <c r="A82" s="221" t="str" cm="1">
        <f t="array" ref="A82">IFERROR(INDEX(_xlfn.ANCHORARRAY($P$6),ROW()-5,1),"")</f>
        <v/>
      </c>
      <c r="B82" s="317" t="str" cm="1">
        <f t="array" ref="B82">IFERROR(INDEX(_xlfn.ANCHORARRAY($P$6),ROW()-5,2),"")</f>
        <v/>
      </c>
      <c r="C82" s="222" t="str">
        <f>IF($A82="","",IF($J82="DIESEL",SUMIFS(Table1[Quantity],Table1[Customer],$M$3,Table1[Date],$A82,Table1[Bill No.],$B82),IF($J82="PETROL",SUMIFS(Table14[Quantity],Table14[Customer],$M$3,Table14[Date],$A82,Table14[Bill No.],$B82),IF($J82="XtraGreen",SUMIFS(Table146[Quantity],Table146[Company],$M$3,Table146[Date],$A82,Table146[Bill No.],$B82),""))))</f>
        <v/>
      </c>
      <c r="D82" s="223" t="str">
        <f>IF($A82="","",IF($J82="DIESEL",AVERAGEIFS(Table1[RSP],Table1[Customer],$M$3,Table1[Date],$A82,Table1[Bill No.],$B82),IF($J82="PETROL",AVERAGEIFS(Table14[RSP],Table14[Customer],$M$3,Table14[Date],$A82,Table14[Bill No.],$B82),IF($J82="XtraGreen",AVERAGEIFS(Table146[RSP],Table146[Company],$M$3,Table146[Date],$A82,Table146[Bill No.],$B82),IFERROR($E82/$C82,"")))))</f>
        <v/>
      </c>
      <c r="E82" s="330" t="str">
        <f>IF($A82="","",IF($J82="DIESEL",SUMIFS(Table1[Amount],Table1[Customer],$M$3,Table1[Date],$A82,Table1[Bill No.],$B82),IF($J82="PETROL",SUMIFS(Table14[Amount],Table14[Customer],$M$3,Table14[Date],$A82,Table14[Bill No.],$B82),IF($J82="XtraGreen",SUMIFS(Table146[Amount],Table146[Company],$M$3,Table146[Date],$A82,Table146[Bill No.],$B82),SUMIFS('Other Sale'!$D:$D,'Other Sale'!$E:$E,$M$3,'Other Sale'!$C:$C,$J82,'Other Sale'!$A:$A,$A82)))))</f>
        <v/>
      </c>
      <c r="F82" s="330" t="str" cm="1">
        <f t="array" ref="F82">IF($A82="","",IF($J82="Payment",IFERROR(INDEX(_xlfn._xlws.FILTER(MasterPaid[Amount Paid],(MasterPaid[Customer]=$M$3)*(MasterPaid[Date]=$A82)),COUNTIFS($A$6:$A82,$A82,$J$6:$J82,"Payment")),0),0))</f>
        <v/>
      </c>
      <c r="G82" s="331"/>
      <c r="H82" s="331"/>
      <c r="I82" s="330" t="str">
        <f t="shared" si="10"/>
        <v/>
      </c>
      <c r="J82" s="318" t="str" cm="1">
        <f t="array" ref="J82">IFERROR(INDEX(_xlfn.ANCHORARRAY($P$6),ROW()-5,3),"")</f>
        <v/>
      </c>
      <c r="K82" s="432" t="str" cm="1">
        <f t="array" ref="K82">IF(OR($A82="",$J82&lt;&gt;"DIESEL"),"",_xlfn.LET(_xlpm.qty,N($C82),_xlpm.pos,$T$5:$T$54,_xlpm.alo,IF($U$5:$U$54="",0,$U$5:$U$54),_xlpm.usd,SUMIFS($C$6:$C81,$K$6:$K81,_xlpm.pos&amp;""),_xlpm.bal,_xlpm.alo-_xlpm.usd,IFERROR(INDEX(_xlfn._xlws.FILTER(_xlpm.pos,(_xlpm.pos&lt;&gt;"")*(_xlpm.qty&gt;0)*(_xlpm.bal&gt;=_xlpm.qty)),1),"")))</f>
        <v/>
      </c>
      <c r="L82" s="290"/>
      <c r="M82" s="277"/>
      <c r="N82" s="277"/>
      <c r="O82" s="277"/>
    </row>
    <row r="83" spans="1:15" ht="23" x14ac:dyDescent="0.25">
      <c r="A83" s="221" t="str" cm="1">
        <f t="array" ref="A83">IFERROR(INDEX(_xlfn.ANCHORARRAY($P$6),ROW()-5,1),"")</f>
        <v/>
      </c>
      <c r="B83" s="317" t="str" cm="1">
        <f t="array" ref="B83">IFERROR(INDEX(_xlfn.ANCHORARRAY($P$6),ROW()-5,2),"")</f>
        <v/>
      </c>
      <c r="C83" s="222" t="str">
        <f>IF($A83="","",IF($J83="DIESEL",SUMIFS(Table1[Quantity],Table1[Customer],$M$3,Table1[Date],$A83,Table1[Bill No.],$B83),IF($J83="PETROL",SUMIFS(Table14[Quantity],Table14[Customer],$M$3,Table14[Date],$A83,Table14[Bill No.],$B83),IF($J83="XtraGreen",SUMIFS(Table146[Quantity],Table146[Company],$M$3,Table146[Date],$A83,Table146[Bill No.],$B83),""))))</f>
        <v/>
      </c>
      <c r="D83" s="223" t="str">
        <f>IF($A83="","",IF($J83="DIESEL",AVERAGEIFS(Table1[RSP],Table1[Customer],$M$3,Table1[Date],$A83,Table1[Bill No.],$B83),IF($J83="PETROL",AVERAGEIFS(Table14[RSP],Table14[Customer],$M$3,Table14[Date],$A83,Table14[Bill No.],$B83),IF($J83="XtraGreen",AVERAGEIFS(Table146[RSP],Table146[Company],$M$3,Table146[Date],$A83,Table146[Bill No.],$B83),IFERROR($E83/$C83,"")))))</f>
        <v/>
      </c>
      <c r="E83" s="330" t="str">
        <f>IF($A83="","",IF($J83="DIESEL",SUMIFS(Table1[Amount],Table1[Customer],$M$3,Table1[Date],$A83,Table1[Bill No.],$B83),IF($J83="PETROL",SUMIFS(Table14[Amount],Table14[Customer],$M$3,Table14[Date],$A83,Table14[Bill No.],$B83),IF($J83="XtraGreen",SUMIFS(Table146[Amount],Table146[Company],$M$3,Table146[Date],$A83,Table146[Bill No.],$B83),SUMIFS('Other Sale'!$D:$D,'Other Sale'!$E:$E,$M$3,'Other Sale'!$C:$C,$J83,'Other Sale'!$A:$A,$A83)))))</f>
        <v/>
      </c>
      <c r="F83" s="330" t="str" cm="1">
        <f t="array" ref="F83">IF($A83="","",IF($J83="Payment",IFERROR(INDEX(_xlfn._xlws.FILTER(MasterPaid[Amount Paid],(MasterPaid[Customer]=$M$3)*(MasterPaid[Date]=$A83)),COUNTIFS($A$6:$A83,$A83,$J$6:$J83,"Payment")),0),0))</f>
        <v/>
      </c>
      <c r="G83" s="331"/>
      <c r="H83" s="331"/>
      <c r="I83" s="330" t="str">
        <f t="shared" si="10"/>
        <v/>
      </c>
      <c r="J83" s="318" t="str" cm="1">
        <f t="array" ref="J83">IFERROR(INDEX(_xlfn.ANCHORARRAY($P$6),ROW()-5,3),"")</f>
        <v/>
      </c>
      <c r="K83" s="432" t="str" cm="1">
        <f t="array" ref="K83">IF(OR($A83="",$J83&lt;&gt;"DIESEL"),"",_xlfn.LET(_xlpm.qty,N($C83),_xlpm.pos,$T$5:$T$54,_xlpm.alo,IF($U$5:$U$54="",0,$U$5:$U$54),_xlpm.usd,SUMIFS($C$6:$C82,$K$6:$K82,_xlpm.pos&amp;""),_xlpm.bal,_xlpm.alo-_xlpm.usd,IFERROR(INDEX(_xlfn._xlws.FILTER(_xlpm.pos,(_xlpm.pos&lt;&gt;"")*(_xlpm.qty&gt;0)*(_xlpm.bal&gt;=_xlpm.qty)),1),"")))</f>
        <v/>
      </c>
      <c r="L83" s="290"/>
      <c r="M83" s="277"/>
      <c r="N83" s="277"/>
      <c r="O83" s="277"/>
    </row>
    <row r="84" spans="1:15" ht="23" x14ac:dyDescent="0.25">
      <c r="A84" s="221" t="str" cm="1">
        <f t="array" ref="A84">IFERROR(INDEX(_xlfn.ANCHORARRAY($P$6),ROW()-5,1),"")</f>
        <v/>
      </c>
      <c r="B84" s="317" t="str" cm="1">
        <f t="array" ref="B84">IFERROR(INDEX(_xlfn.ANCHORARRAY($P$6),ROW()-5,2),"")</f>
        <v/>
      </c>
      <c r="C84" s="222" t="str">
        <f>IF($A84="","",IF($J84="DIESEL",SUMIFS(Table1[Quantity],Table1[Customer],$M$3,Table1[Date],$A84,Table1[Bill No.],$B84),IF($J84="PETROL",SUMIFS(Table14[Quantity],Table14[Customer],$M$3,Table14[Date],$A84,Table14[Bill No.],$B84),IF($J84="XtraGreen",SUMIFS(Table146[Quantity],Table146[Company],$M$3,Table146[Date],$A84,Table146[Bill No.],$B84),""))))</f>
        <v/>
      </c>
      <c r="D84" s="223" t="str">
        <f>IF($A84="","",IF($J84="DIESEL",AVERAGEIFS(Table1[RSP],Table1[Customer],$M$3,Table1[Date],$A84,Table1[Bill No.],$B84),IF($J84="PETROL",AVERAGEIFS(Table14[RSP],Table14[Customer],$M$3,Table14[Date],$A84,Table14[Bill No.],$B84),IF($J84="XtraGreen",AVERAGEIFS(Table146[RSP],Table146[Company],$M$3,Table146[Date],$A84,Table146[Bill No.],$B84),IFERROR($E84/$C84,"")))))</f>
        <v/>
      </c>
      <c r="E84" s="330" t="str">
        <f>IF($A84="","",IF($J84="DIESEL",SUMIFS(Table1[Amount],Table1[Customer],$M$3,Table1[Date],$A84,Table1[Bill No.],$B84),IF($J84="PETROL",SUMIFS(Table14[Amount],Table14[Customer],$M$3,Table14[Date],$A84,Table14[Bill No.],$B84),IF($J84="XtraGreen",SUMIFS(Table146[Amount],Table146[Company],$M$3,Table146[Date],$A84,Table146[Bill No.],$B84),SUMIFS('Other Sale'!$D:$D,'Other Sale'!$E:$E,$M$3,'Other Sale'!$C:$C,$J84,'Other Sale'!$A:$A,$A84)))))</f>
        <v/>
      </c>
      <c r="F84" s="330" t="str" cm="1">
        <f t="array" ref="F84">IF($A84="","",IF($J84="Payment",IFERROR(INDEX(_xlfn._xlws.FILTER(MasterPaid[Amount Paid],(MasterPaid[Customer]=$M$3)*(MasterPaid[Date]=$A84)),COUNTIFS($A$6:$A84,$A84,$J$6:$J84,"Payment")),0),0))</f>
        <v/>
      </c>
      <c r="G84" s="331"/>
      <c r="H84" s="331"/>
      <c r="I84" s="330" t="str">
        <f t="shared" si="10"/>
        <v/>
      </c>
      <c r="J84" s="318" t="str" cm="1">
        <f t="array" ref="J84">IFERROR(INDEX(_xlfn.ANCHORARRAY($P$6),ROW()-5,3),"")</f>
        <v/>
      </c>
      <c r="K84" s="432" t="str" cm="1">
        <f t="array" ref="K84">IF(OR($A84="",$J84&lt;&gt;"DIESEL"),"",_xlfn.LET(_xlpm.qty,N($C84),_xlpm.pos,$T$5:$T$54,_xlpm.alo,IF($U$5:$U$54="",0,$U$5:$U$54),_xlpm.usd,SUMIFS($C$6:$C83,$K$6:$K83,_xlpm.pos&amp;""),_xlpm.bal,_xlpm.alo-_xlpm.usd,IFERROR(INDEX(_xlfn._xlws.FILTER(_xlpm.pos,(_xlpm.pos&lt;&gt;"")*(_xlpm.qty&gt;0)*(_xlpm.bal&gt;=_xlpm.qty)),1),"")))</f>
        <v/>
      </c>
      <c r="L84" s="290"/>
      <c r="M84" s="277"/>
      <c r="N84" s="277"/>
      <c r="O84" s="277"/>
    </row>
    <row r="85" spans="1:15" ht="23" x14ac:dyDescent="0.25">
      <c r="A85" s="221" t="str" cm="1">
        <f t="array" ref="A85">IFERROR(INDEX(_xlfn.ANCHORARRAY($P$6),ROW()-5,1),"")</f>
        <v/>
      </c>
      <c r="B85" s="317" t="str" cm="1">
        <f t="array" ref="B85">IFERROR(INDEX(_xlfn.ANCHORARRAY($P$6),ROW()-5,2),"")</f>
        <v/>
      </c>
      <c r="C85" s="222" t="str">
        <f>IF($A85="","",IF($J85="DIESEL",SUMIFS(Table1[Quantity],Table1[Customer],$M$3,Table1[Date],$A85,Table1[Bill No.],$B85),IF($J85="PETROL",SUMIFS(Table14[Quantity],Table14[Customer],$M$3,Table14[Date],$A85,Table14[Bill No.],$B85),IF($J85="XtraGreen",SUMIFS(Table146[Quantity],Table146[Company],$M$3,Table146[Date],$A85,Table146[Bill No.],$B85),""))))</f>
        <v/>
      </c>
      <c r="D85" s="223" t="str">
        <f>IF($A85="","",IF($J85="DIESEL",AVERAGEIFS(Table1[RSP],Table1[Customer],$M$3,Table1[Date],$A85,Table1[Bill No.],$B85),IF($J85="PETROL",AVERAGEIFS(Table14[RSP],Table14[Customer],$M$3,Table14[Date],$A85,Table14[Bill No.],$B85),IF($J85="XtraGreen",AVERAGEIFS(Table146[RSP],Table146[Company],$M$3,Table146[Date],$A85,Table146[Bill No.],$B85),IFERROR($E85/$C85,"")))))</f>
        <v/>
      </c>
      <c r="E85" s="330" t="str">
        <f>IF($A85="","",IF($J85="DIESEL",SUMIFS(Table1[Amount],Table1[Customer],$M$3,Table1[Date],$A85,Table1[Bill No.],$B85),IF($J85="PETROL",SUMIFS(Table14[Amount],Table14[Customer],$M$3,Table14[Date],$A85,Table14[Bill No.],$B85),IF($J85="XtraGreen",SUMIFS(Table146[Amount],Table146[Company],$M$3,Table146[Date],$A85,Table146[Bill No.],$B85),SUMIFS('Other Sale'!$D:$D,'Other Sale'!$E:$E,$M$3,'Other Sale'!$C:$C,$J85,'Other Sale'!$A:$A,$A85)))))</f>
        <v/>
      </c>
      <c r="F85" s="330" t="str" cm="1">
        <f t="array" ref="F85">IF($A85="","",IF($J85="Payment",IFERROR(INDEX(_xlfn._xlws.FILTER(MasterPaid[Amount Paid],(MasterPaid[Customer]=$M$3)*(MasterPaid[Date]=$A85)),COUNTIFS($A$6:$A85,$A85,$J$6:$J85,"Payment")),0),0))</f>
        <v/>
      </c>
      <c r="G85" s="331"/>
      <c r="H85" s="331"/>
      <c r="I85" s="330" t="str">
        <f t="shared" si="10"/>
        <v/>
      </c>
      <c r="J85" s="318" t="str" cm="1">
        <f t="array" ref="J85">IFERROR(INDEX(_xlfn.ANCHORARRAY($P$6),ROW()-5,3),"")</f>
        <v/>
      </c>
      <c r="K85" s="432" t="str" cm="1">
        <f t="array" ref="K85">IF(OR($A85="",$J85&lt;&gt;"DIESEL"),"",_xlfn.LET(_xlpm.qty,N($C85),_xlpm.pos,$T$5:$T$54,_xlpm.alo,IF($U$5:$U$54="",0,$U$5:$U$54),_xlpm.usd,SUMIFS($C$6:$C84,$K$6:$K84,_xlpm.pos&amp;""),_xlpm.bal,_xlpm.alo-_xlpm.usd,IFERROR(INDEX(_xlfn._xlws.FILTER(_xlpm.pos,(_xlpm.pos&lt;&gt;"")*(_xlpm.qty&gt;0)*(_xlpm.bal&gt;=_xlpm.qty)),1),"")))</f>
        <v/>
      </c>
      <c r="L85" s="290"/>
      <c r="M85" s="277"/>
      <c r="N85" s="277"/>
      <c r="O85" s="277"/>
    </row>
    <row r="86" spans="1:15" ht="23" x14ac:dyDescent="0.25">
      <c r="A86" s="221" t="str" cm="1">
        <f t="array" ref="A86">IFERROR(INDEX(_xlfn.ANCHORARRAY($P$6),ROW()-5,1),"")</f>
        <v/>
      </c>
      <c r="B86" s="317" t="str" cm="1">
        <f t="array" ref="B86">IFERROR(INDEX(_xlfn.ANCHORARRAY($P$6),ROW()-5,2),"")</f>
        <v/>
      </c>
      <c r="C86" s="222" t="str">
        <f>IF($A86="","",IF($J86="DIESEL",SUMIFS(Table1[Quantity],Table1[Customer],$M$3,Table1[Date],$A86,Table1[Bill No.],$B86),IF($J86="PETROL",SUMIFS(Table14[Quantity],Table14[Customer],$M$3,Table14[Date],$A86,Table14[Bill No.],$B86),IF($J86="XtraGreen",SUMIFS(Table146[Quantity],Table146[Company],$M$3,Table146[Date],$A86,Table146[Bill No.],$B86),""))))</f>
        <v/>
      </c>
      <c r="D86" s="223" t="str">
        <f>IF($A86="","",IF($J86="DIESEL",AVERAGEIFS(Table1[RSP],Table1[Customer],$M$3,Table1[Date],$A86,Table1[Bill No.],$B86),IF($J86="PETROL",AVERAGEIFS(Table14[RSP],Table14[Customer],$M$3,Table14[Date],$A86,Table14[Bill No.],$B86),IF($J86="XtraGreen",AVERAGEIFS(Table146[RSP],Table146[Company],$M$3,Table146[Date],$A86,Table146[Bill No.],$B86),IFERROR($E86/$C86,"")))))</f>
        <v/>
      </c>
      <c r="E86" s="330" t="str">
        <f>IF($A86="","",IF($J86="DIESEL",SUMIFS(Table1[Amount],Table1[Customer],$M$3,Table1[Date],$A86,Table1[Bill No.],$B86),IF($J86="PETROL",SUMIFS(Table14[Amount],Table14[Customer],$M$3,Table14[Date],$A86,Table14[Bill No.],$B86),IF($J86="XtraGreen",SUMIFS(Table146[Amount],Table146[Company],$M$3,Table146[Date],$A86,Table146[Bill No.],$B86),SUMIFS('Other Sale'!$D:$D,'Other Sale'!$E:$E,$M$3,'Other Sale'!$C:$C,$J86,'Other Sale'!$A:$A,$A86)))))</f>
        <v/>
      </c>
      <c r="F86" s="330" t="str" cm="1">
        <f t="array" ref="F86">IF($A86="","",IF($J86="Payment",IFERROR(INDEX(_xlfn._xlws.FILTER(MasterPaid[Amount Paid],(MasterPaid[Customer]=$M$3)*(MasterPaid[Date]=$A86)),COUNTIFS($A$6:$A86,$A86,$J$6:$J86,"Payment")),0),0))</f>
        <v/>
      </c>
      <c r="G86" s="331"/>
      <c r="H86" s="331"/>
      <c r="I86" s="330" t="str">
        <f t="shared" ref="I86:I149" si="11">IF($A86="","",I85+N(E86)-N(F86)-N(G86)-N(H86))</f>
        <v/>
      </c>
      <c r="J86" s="318" t="str" cm="1">
        <f t="array" ref="J86">IFERROR(INDEX(_xlfn.ANCHORARRAY($P$6),ROW()-5,3),"")</f>
        <v/>
      </c>
      <c r="K86" s="432" t="str" cm="1">
        <f t="array" ref="K86">IF(OR($A86="",$J86&lt;&gt;"DIESEL"),"",_xlfn.LET(_xlpm.qty,N($C86),_xlpm.pos,$T$5:$T$54,_xlpm.alo,IF($U$5:$U$54="",0,$U$5:$U$54),_xlpm.usd,SUMIFS($C$6:$C85,$K$6:$K85,_xlpm.pos&amp;""),_xlpm.bal,_xlpm.alo-_xlpm.usd,IFERROR(INDEX(_xlfn._xlws.FILTER(_xlpm.pos,(_xlpm.pos&lt;&gt;"")*(_xlpm.qty&gt;0)*(_xlpm.bal&gt;=_xlpm.qty)),1),"")))</f>
        <v/>
      </c>
      <c r="L86" s="290"/>
    </row>
    <row r="87" spans="1:15" ht="23" x14ac:dyDescent="0.25">
      <c r="A87" s="221" t="str" cm="1">
        <f t="array" ref="A87">IFERROR(INDEX(_xlfn.ANCHORARRAY($P$6),ROW()-5,1),"")</f>
        <v/>
      </c>
      <c r="B87" s="317" t="str" cm="1">
        <f t="array" ref="B87">IFERROR(INDEX(_xlfn.ANCHORARRAY($P$6),ROW()-5,2),"")</f>
        <v/>
      </c>
      <c r="C87" s="222" t="str">
        <f>IF($A87="","",IF($J87="DIESEL",SUMIFS(Table1[Quantity],Table1[Customer],$M$3,Table1[Date],$A87,Table1[Bill No.],$B87),IF($J87="PETROL",SUMIFS(Table14[Quantity],Table14[Customer],$M$3,Table14[Date],$A87,Table14[Bill No.],$B87),IF($J87="XtraGreen",SUMIFS(Table146[Quantity],Table146[Company],$M$3,Table146[Date],$A87,Table146[Bill No.],$B87),""))))</f>
        <v/>
      </c>
      <c r="D87" s="223" t="str">
        <f>IF($A87="","",IF($J87="DIESEL",AVERAGEIFS(Table1[RSP],Table1[Customer],$M$3,Table1[Date],$A87,Table1[Bill No.],$B87),IF($J87="PETROL",AVERAGEIFS(Table14[RSP],Table14[Customer],$M$3,Table14[Date],$A87,Table14[Bill No.],$B87),IF($J87="XtraGreen",AVERAGEIFS(Table146[RSP],Table146[Company],$M$3,Table146[Date],$A87,Table146[Bill No.],$B87),IFERROR($E87/$C87,"")))))</f>
        <v/>
      </c>
      <c r="E87" s="330" t="str">
        <f>IF($A87="","",IF($J87="DIESEL",SUMIFS(Table1[Amount],Table1[Customer],$M$3,Table1[Date],$A87,Table1[Bill No.],$B87),IF($J87="PETROL",SUMIFS(Table14[Amount],Table14[Customer],$M$3,Table14[Date],$A87,Table14[Bill No.],$B87),IF($J87="XtraGreen",SUMIFS(Table146[Amount],Table146[Company],$M$3,Table146[Date],$A87,Table146[Bill No.],$B87),SUMIFS('Other Sale'!$D:$D,'Other Sale'!$E:$E,$M$3,'Other Sale'!$C:$C,$J87,'Other Sale'!$A:$A,$A87)))))</f>
        <v/>
      </c>
      <c r="F87" s="330" t="str" cm="1">
        <f t="array" ref="F87">IF($A87="","",IF($J87="Payment",IFERROR(INDEX(_xlfn._xlws.FILTER(MasterPaid[Amount Paid],(MasterPaid[Customer]=$M$3)*(MasterPaid[Date]=$A87)),COUNTIFS($A$6:$A87,$A87,$J$6:$J87,"Payment")),0),0))</f>
        <v/>
      </c>
      <c r="G87" s="331"/>
      <c r="H87" s="331"/>
      <c r="I87" s="330" t="str">
        <f t="shared" si="11"/>
        <v/>
      </c>
      <c r="J87" s="318" t="str" cm="1">
        <f t="array" ref="J87">IFERROR(INDEX(_xlfn.ANCHORARRAY($P$6),ROW()-5,3),"")</f>
        <v/>
      </c>
      <c r="K87" s="432" t="str" cm="1">
        <f t="array" ref="K87">IF(OR($A87="",$J87&lt;&gt;"DIESEL"),"",_xlfn.LET(_xlpm.qty,N($C87),_xlpm.pos,$T$5:$T$54,_xlpm.alo,IF($U$5:$U$54="",0,$U$5:$U$54),_xlpm.usd,SUMIFS($C$6:$C86,$K$6:$K86,_xlpm.pos&amp;""),_xlpm.bal,_xlpm.alo-_xlpm.usd,IFERROR(INDEX(_xlfn._xlws.FILTER(_xlpm.pos,(_xlpm.pos&lt;&gt;"")*(_xlpm.qty&gt;0)*(_xlpm.bal&gt;=_xlpm.qty)),1),"")))</f>
        <v/>
      </c>
      <c r="L87" s="290"/>
    </row>
    <row r="88" spans="1:15" ht="23" x14ac:dyDescent="0.25">
      <c r="A88" s="221" t="str" cm="1">
        <f t="array" ref="A88">IFERROR(INDEX(_xlfn.ANCHORARRAY($P$6),ROW()-5,1),"")</f>
        <v/>
      </c>
      <c r="B88" s="317" t="str" cm="1">
        <f t="array" ref="B88">IFERROR(INDEX(_xlfn.ANCHORARRAY($P$6),ROW()-5,2),"")</f>
        <v/>
      </c>
      <c r="C88" s="222" t="str">
        <f>IF($A88="","",IF($J88="DIESEL",SUMIFS(Table1[Quantity],Table1[Customer],$M$3,Table1[Date],$A88,Table1[Bill No.],$B88),IF($J88="PETROL",SUMIFS(Table14[Quantity],Table14[Customer],$M$3,Table14[Date],$A88,Table14[Bill No.],$B88),IF($J88="XtraGreen",SUMIFS(Table146[Quantity],Table146[Company],$M$3,Table146[Date],$A88,Table146[Bill No.],$B88),""))))</f>
        <v/>
      </c>
      <c r="D88" s="223" t="str">
        <f>IF($A88="","",IF($J88="DIESEL",AVERAGEIFS(Table1[RSP],Table1[Customer],$M$3,Table1[Date],$A88,Table1[Bill No.],$B88),IF($J88="PETROL",AVERAGEIFS(Table14[RSP],Table14[Customer],$M$3,Table14[Date],$A88,Table14[Bill No.],$B88),IF($J88="XtraGreen",AVERAGEIFS(Table146[RSP],Table146[Company],$M$3,Table146[Date],$A88,Table146[Bill No.],$B88),IFERROR($E88/$C88,"")))))</f>
        <v/>
      </c>
      <c r="E88" s="330" t="str">
        <f>IF($A88="","",IF($J88="DIESEL",SUMIFS(Table1[Amount],Table1[Customer],$M$3,Table1[Date],$A88,Table1[Bill No.],$B88),IF($J88="PETROL",SUMIFS(Table14[Amount],Table14[Customer],$M$3,Table14[Date],$A88,Table14[Bill No.],$B88),IF($J88="XtraGreen",SUMIFS(Table146[Amount],Table146[Company],$M$3,Table146[Date],$A88,Table146[Bill No.],$B88),SUMIFS('Other Sale'!$D:$D,'Other Sale'!$E:$E,$M$3,'Other Sale'!$C:$C,$J88,'Other Sale'!$A:$A,$A88)))))</f>
        <v/>
      </c>
      <c r="F88" s="330" t="str" cm="1">
        <f t="array" ref="F88">IF($A88="","",IF($J88="Payment",IFERROR(INDEX(_xlfn._xlws.FILTER(MasterPaid[Amount Paid],(MasterPaid[Customer]=$M$3)*(MasterPaid[Date]=$A88)),COUNTIFS($A$6:$A88,$A88,$J$6:$J88,"Payment")),0),0))</f>
        <v/>
      </c>
      <c r="G88" s="331"/>
      <c r="H88" s="331"/>
      <c r="I88" s="330" t="str">
        <f t="shared" si="11"/>
        <v/>
      </c>
      <c r="J88" s="318" t="str" cm="1">
        <f t="array" ref="J88">IFERROR(INDEX(_xlfn.ANCHORARRAY($P$6),ROW()-5,3),"")</f>
        <v/>
      </c>
      <c r="K88" s="432" t="str" cm="1">
        <f t="array" ref="K88">IF(OR($A88="",$J88&lt;&gt;"DIESEL"),"",_xlfn.LET(_xlpm.qty,N($C88),_xlpm.pos,$T$5:$T$54,_xlpm.alo,IF($U$5:$U$54="",0,$U$5:$U$54),_xlpm.usd,SUMIFS($C$6:$C87,$K$6:$K87,_xlpm.pos&amp;""),_xlpm.bal,_xlpm.alo-_xlpm.usd,IFERROR(INDEX(_xlfn._xlws.FILTER(_xlpm.pos,(_xlpm.pos&lt;&gt;"")*(_xlpm.qty&gt;0)*(_xlpm.bal&gt;=_xlpm.qty)),1),"")))</f>
        <v/>
      </c>
      <c r="L88" s="290"/>
    </row>
    <row r="89" spans="1:15" ht="23" x14ac:dyDescent="0.25">
      <c r="A89" s="221" t="str" cm="1">
        <f t="array" ref="A89">IFERROR(INDEX(_xlfn.ANCHORARRAY($P$6),ROW()-5,1),"")</f>
        <v/>
      </c>
      <c r="B89" s="317" t="str" cm="1">
        <f t="array" ref="B89">IFERROR(INDEX(_xlfn.ANCHORARRAY($P$6),ROW()-5,2),"")</f>
        <v/>
      </c>
      <c r="C89" s="222" t="str">
        <f>IF($A89="","",IF($J89="DIESEL",SUMIFS(Table1[Quantity],Table1[Customer],$M$3,Table1[Date],$A89,Table1[Bill No.],$B89),IF($J89="PETROL",SUMIFS(Table14[Quantity],Table14[Customer],$M$3,Table14[Date],$A89,Table14[Bill No.],$B89),IF($J89="XtraGreen",SUMIFS(Table146[Quantity],Table146[Company],$M$3,Table146[Date],$A89,Table146[Bill No.],$B89),""))))</f>
        <v/>
      </c>
      <c r="D89" s="223" t="str">
        <f>IF($A89="","",IF($J89="DIESEL",AVERAGEIFS(Table1[RSP],Table1[Customer],$M$3,Table1[Date],$A89,Table1[Bill No.],$B89),IF($J89="PETROL",AVERAGEIFS(Table14[RSP],Table14[Customer],$M$3,Table14[Date],$A89,Table14[Bill No.],$B89),IF($J89="XtraGreen",AVERAGEIFS(Table146[RSP],Table146[Company],$M$3,Table146[Date],$A89,Table146[Bill No.],$B89),IFERROR($E89/$C89,"")))))</f>
        <v/>
      </c>
      <c r="E89" s="330" t="str">
        <f>IF($A89="","",IF($J89="DIESEL",SUMIFS(Table1[Amount],Table1[Customer],$M$3,Table1[Date],$A89,Table1[Bill No.],$B89),IF($J89="PETROL",SUMIFS(Table14[Amount],Table14[Customer],$M$3,Table14[Date],$A89,Table14[Bill No.],$B89),IF($J89="XtraGreen",SUMIFS(Table146[Amount],Table146[Company],$M$3,Table146[Date],$A89,Table146[Bill No.],$B89),SUMIFS('Other Sale'!$D:$D,'Other Sale'!$E:$E,$M$3,'Other Sale'!$C:$C,$J89,'Other Sale'!$A:$A,$A89)))))</f>
        <v/>
      </c>
      <c r="F89" s="330" t="str" cm="1">
        <f t="array" ref="F89">IF($A89="","",IF($J89="Payment",IFERROR(INDEX(_xlfn._xlws.FILTER(MasterPaid[Amount Paid],(MasterPaid[Customer]=$M$3)*(MasterPaid[Date]=$A89)),COUNTIFS($A$6:$A89,$A89,$J$6:$J89,"Payment")),0),0))</f>
        <v/>
      </c>
      <c r="G89" s="331"/>
      <c r="H89" s="331"/>
      <c r="I89" s="330" t="str">
        <f t="shared" si="11"/>
        <v/>
      </c>
      <c r="J89" s="318" t="str" cm="1">
        <f t="array" ref="J89">IFERROR(INDEX(_xlfn.ANCHORARRAY($P$6),ROW()-5,3),"")</f>
        <v/>
      </c>
      <c r="K89" s="432" t="str" cm="1">
        <f t="array" ref="K89">IF(OR($A89="",$J89&lt;&gt;"DIESEL"),"",_xlfn.LET(_xlpm.qty,N($C89),_xlpm.pos,$T$5:$T$54,_xlpm.alo,IF($U$5:$U$54="",0,$U$5:$U$54),_xlpm.usd,SUMIFS($C$6:$C88,$K$6:$K88,_xlpm.pos&amp;""),_xlpm.bal,_xlpm.alo-_xlpm.usd,IFERROR(INDEX(_xlfn._xlws.FILTER(_xlpm.pos,(_xlpm.pos&lt;&gt;"")*(_xlpm.qty&gt;0)*(_xlpm.bal&gt;=_xlpm.qty)),1),"")))</f>
        <v/>
      </c>
      <c r="L89" s="290"/>
    </row>
    <row r="90" spans="1:15" ht="23" x14ac:dyDescent="0.25">
      <c r="A90" s="221" t="str" cm="1">
        <f t="array" ref="A90">IFERROR(INDEX(_xlfn.ANCHORARRAY($P$6),ROW()-5,1),"")</f>
        <v/>
      </c>
      <c r="B90" s="317" t="str" cm="1">
        <f t="array" ref="B90">IFERROR(INDEX(_xlfn.ANCHORARRAY($P$6),ROW()-5,2),"")</f>
        <v/>
      </c>
      <c r="C90" s="222" t="str">
        <f>IF($A90="","",IF($J90="DIESEL",SUMIFS(Table1[Quantity],Table1[Customer],$M$3,Table1[Date],$A90,Table1[Bill No.],$B90),IF($J90="PETROL",SUMIFS(Table14[Quantity],Table14[Customer],$M$3,Table14[Date],$A90,Table14[Bill No.],$B90),IF($J90="XtraGreen",SUMIFS(Table146[Quantity],Table146[Company],$M$3,Table146[Date],$A90,Table146[Bill No.],$B90),""))))</f>
        <v/>
      </c>
      <c r="D90" s="223" t="str">
        <f>IF($A90="","",IF($J90="DIESEL",AVERAGEIFS(Table1[RSP],Table1[Customer],$M$3,Table1[Date],$A90,Table1[Bill No.],$B90),IF($J90="PETROL",AVERAGEIFS(Table14[RSP],Table14[Customer],$M$3,Table14[Date],$A90,Table14[Bill No.],$B90),IF($J90="XtraGreen",AVERAGEIFS(Table146[RSP],Table146[Company],$M$3,Table146[Date],$A90,Table146[Bill No.],$B90),IFERROR($E90/$C90,"")))))</f>
        <v/>
      </c>
      <c r="E90" s="330" t="str">
        <f>IF($A90="","",IF($J90="DIESEL",SUMIFS(Table1[Amount],Table1[Customer],$M$3,Table1[Date],$A90,Table1[Bill No.],$B90),IF($J90="PETROL",SUMIFS(Table14[Amount],Table14[Customer],$M$3,Table14[Date],$A90,Table14[Bill No.],$B90),IF($J90="XtraGreen",SUMIFS(Table146[Amount],Table146[Company],$M$3,Table146[Date],$A90,Table146[Bill No.],$B90),SUMIFS('Other Sale'!$D:$D,'Other Sale'!$E:$E,$M$3,'Other Sale'!$C:$C,$J90,'Other Sale'!$A:$A,$A90)))))</f>
        <v/>
      </c>
      <c r="F90" s="330" t="str" cm="1">
        <f t="array" ref="F90">IF($A90="","",IF($J90="Payment",IFERROR(INDEX(_xlfn._xlws.FILTER(MasterPaid[Amount Paid],(MasterPaid[Customer]=$M$3)*(MasterPaid[Date]=$A90)),COUNTIFS($A$6:$A90,$A90,$J$6:$J90,"Payment")),0),0))</f>
        <v/>
      </c>
      <c r="G90" s="331"/>
      <c r="H90" s="331"/>
      <c r="I90" s="330" t="str">
        <f t="shared" si="11"/>
        <v/>
      </c>
      <c r="J90" s="318" t="str" cm="1">
        <f t="array" ref="J90">IFERROR(INDEX(_xlfn.ANCHORARRAY($P$6),ROW()-5,3),"")</f>
        <v/>
      </c>
      <c r="K90" s="432" t="str" cm="1">
        <f t="array" ref="K90">IF(OR($A90="",$J90&lt;&gt;"DIESEL"),"",_xlfn.LET(_xlpm.qty,N($C90),_xlpm.pos,$T$5:$T$54,_xlpm.alo,IF($U$5:$U$54="",0,$U$5:$U$54),_xlpm.usd,SUMIFS($C$6:$C89,$K$6:$K89,_xlpm.pos&amp;""),_xlpm.bal,_xlpm.alo-_xlpm.usd,IFERROR(INDEX(_xlfn._xlws.FILTER(_xlpm.pos,(_xlpm.pos&lt;&gt;"")*(_xlpm.qty&gt;0)*(_xlpm.bal&gt;=_xlpm.qty)),1),"")))</f>
        <v/>
      </c>
      <c r="L90" s="290"/>
    </row>
    <row r="91" spans="1:15" ht="23" x14ac:dyDescent="0.25">
      <c r="A91" s="221" t="str" cm="1">
        <f t="array" ref="A91">IFERROR(INDEX(_xlfn.ANCHORARRAY($P$6),ROW()-5,1),"")</f>
        <v/>
      </c>
      <c r="B91" s="317" t="str" cm="1">
        <f t="array" ref="B91">IFERROR(INDEX(_xlfn.ANCHORARRAY($P$6),ROW()-5,2),"")</f>
        <v/>
      </c>
      <c r="C91" s="222" t="str">
        <f>IF($A91="","",IF($J91="DIESEL",SUMIFS(Table1[Quantity],Table1[Customer],$M$3,Table1[Date],$A91,Table1[Bill No.],$B91),IF($J91="PETROL",SUMIFS(Table14[Quantity],Table14[Customer],$M$3,Table14[Date],$A91,Table14[Bill No.],$B91),IF($J91="XtraGreen",SUMIFS(Table146[Quantity],Table146[Company],$M$3,Table146[Date],$A91,Table146[Bill No.],$B91),""))))</f>
        <v/>
      </c>
      <c r="D91" s="223" t="str">
        <f>IF($A91="","",IF($J91="DIESEL",AVERAGEIFS(Table1[RSP],Table1[Customer],$M$3,Table1[Date],$A91,Table1[Bill No.],$B91),IF($J91="PETROL",AVERAGEIFS(Table14[RSP],Table14[Customer],$M$3,Table14[Date],$A91,Table14[Bill No.],$B91),IF($J91="XtraGreen",AVERAGEIFS(Table146[RSP],Table146[Company],$M$3,Table146[Date],$A91,Table146[Bill No.],$B91),IFERROR($E91/$C91,"")))))</f>
        <v/>
      </c>
      <c r="E91" s="330" t="str">
        <f>IF($A91="","",IF($J91="DIESEL",SUMIFS(Table1[Amount],Table1[Customer],$M$3,Table1[Date],$A91,Table1[Bill No.],$B91),IF($J91="PETROL",SUMIFS(Table14[Amount],Table14[Customer],$M$3,Table14[Date],$A91,Table14[Bill No.],$B91),IF($J91="XtraGreen",SUMIFS(Table146[Amount],Table146[Company],$M$3,Table146[Date],$A91,Table146[Bill No.],$B91),SUMIFS('Other Sale'!$D:$D,'Other Sale'!$E:$E,$M$3,'Other Sale'!$C:$C,$J91,'Other Sale'!$A:$A,$A91)))))</f>
        <v/>
      </c>
      <c r="F91" s="330" t="str" cm="1">
        <f t="array" ref="F91">IF($A91="","",IF($J91="Payment",IFERROR(INDEX(_xlfn._xlws.FILTER(MasterPaid[Amount Paid],(MasterPaid[Customer]=$M$3)*(MasterPaid[Date]=$A91)),COUNTIFS($A$6:$A91,$A91,$J$6:$J91,"Payment")),0),0))</f>
        <v/>
      </c>
      <c r="G91" s="331"/>
      <c r="H91" s="331"/>
      <c r="I91" s="330" t="str">
        <f t="shared" si="11"/>
        <v/>
      </c>
      <c r="J91" s="318" t="str" cm="1">
        <f t="array" ref="J91">IFERROR(INDEX(_xlfn.ANCHORARRAY($P$6),ROW()-5,3),"")</f>
        <v/>
      </c>
      <c r="K91" s="432" t="str" cm="1">
        <f t="array" ref="K91">IF(OR($A91="",$J91&lt;&gt;"DIESEL"),"",_xlfn.LET(_xlpm.qty,N($C91),_xlpm.pos,$T$5:$T$54,_xlpm.alo,IF($U$5:$U$54="",0,$U$5:$U$54),_xlpm.usd,SUMIFS($C$6:$C90,$K$6:$K90,_xlpm.pos&amp;""),_xlpm.bal,_xlpm.alo-_xlpm.usd,IFERROR(INDEX(_xlfn._xlws.FILTER(_xlpm.pos,(_xlpm.pos&lt;&gt;"")*(_xlpm.qty&gt;0)*(_xlpm.bal&gt;=_xlpm.qty)),1),"")))</f>
        <v/>
      </c>
      <c r="L91" s="290"/>
    </row>
    <row r="92" spans="1:15" ht="23" x14ac:dyDescent="0.25">
      <c r="A92" s="221" t="str" cm="1">
        <f t="array" ref="A92">IFERROR(INDEX(_xlfn.ANCHORARRAY($P$6),ROW()-5,1),"")</f>
        <v/>
      </c>
      <c r="B92" s="317" t="str" cm="1">
        <f t="array" ref="B92">IFERROR(INDEX(_xlfn.ANCHORARRAY($P$6),ROW()-5,2),"")</f>
        <v/>
      </c>
      <c r="C92" s="222" t="str">
        <f>IF($A92="","",IF($J92="DIESEL",SUMIFS(Table1[Quantity],Table1[Customer],$M$3,Table1[Date],$A92,Table1[Bill No.],$B92),IF($J92="PETROL",SUMIFS(Table14[Quantity],Table14[Customer],$M$3,Table14[Date],$A92,Table14[Bill No.],$B92),IF($J92="XtraGreen",SUMIFS(Table146[Quantity],Table146[Company],$M$3,Table146[Date],$A92,Table146[Bill No.],$B92),""))))</f>
        <v/>
      </c>
      <c r="D92" s="223" t="str">
        <f>IF($A92="","",IF($J92="DIESEL",AVERAGEIFS(Table1[RSP],Table1[Customer],$M$3,Table1[Date],$A92,Table1[Bill No.],$B92),IF($J92="PETROL",AVERAGEIFS(Table14[RSP],Table14[Customer],$M$3,Table14[Date],$A92,Table14[Bill No.],$B92),IF($J92="XtraGreen",AVERAGEIFS(Table146[RSP],Table146[Company],$M$3,Table146[Date],$A92,Table146[Bill No.],$B92),IFERROR($E92/$C92,"")))))</f>
        <v/>
      </c>
      <c r="E92" s="330" t="str">
        <f>IF($A92="","",IF($J92="DIESEL",SUMIFS(Table1[Amount],Table1[Customer],$M$3,Table1[Date],$A92,Table1[Bill No.],$B92),IF($J92="PETROL",SUMIFS(Table14[Amount],Table14[Customer],$M$3,Table14[Date],$A92,Table14[Bill No.],$B92),IF($J92="XtraGreen",SUMIFS(Table146[Amount],Table146[Company],$M$3,Table146[Date],$A92,Table146[Bill No.],$B92),SUMIFS('Other Sale'!$D:$D,'Other Sale'!$E:$E,$M$3,'Other Sale'!$C:$C,$J92,'Other Sale'!$A:$A,$A92)))))</f>
        <v/>
      </c>
      <c r="F92" s="330" t="str" cm="1">
        <f t="array" ref="F92">IF($A92="","",IF($J92="Payment",IFERROR(INDEX(_xlfn._xlws.FILTER(MasterPaid[Amount Paid],(MasterPaid[Customer]=$M$3)*(MasterPaid[Date]=$A92)),COUNTIFS($A$6:$A92,$A92,$J$6:$J92,"Payment")),0),0))</f>
        <v/>
      </c>
      <c r="G92" s="331"/>
      <c r="H92" s="331"/>
      <c r="I92" s="330" t="str">
        <f t="shared" si="11"/>
        <v/>
      </c>
      <c r="J92" s="318" t="str" cm="1">
        <f t="array" ref="J92">IFERROR(INDEX(_xlfn.ANCHORARRAY($P$6),ROW()-5,3),"")</f>
        <v/>
      </c>
      <c r="K92" s="432" t="str" cm="1">
        <f t="array" ref="K92">IF(OR($A92="",$J92&lt;&gt;"DIESEL"),"",_xlfn.LET(_xlpm.qty,N($C92),_xlpm.pos,$T$5:$T$54,_xlpm.alo,IF($U$5:$U$54="",0,$U$5:$U$54),_xlpm.usd,SUMIFS($C$6:$C91,$K$6:$K91,_xlpm.pos&amp;""),_xlpm.bal,_xlpm.alo-_xlpm.usd,IFERROR(INDEX(_xlfn._xlws.FILTER(_xlpm.pos,(_xlpm.pos&lt;&gt;"")*(_xlpm.qty&gt;0)*(_xlpm.bal&gt;=_xlpm.qty)),1),"")))</f>
        <v/>
      </c>
      <c r="L92" s="290"/>
    </row>
    <row r="93" spans="1:15" ht="23" x14ac:dyDescent="0.25">
      <c r="A93" s="221" t="str" cm="1">
        <f t="array" ref="A93">IFERROR(INDEX(_xlfn.ANCHORARRAY($P$6),ROW()-5,1),"")</f>
        <v/>
      </c>
      <c r="B93" s="317" t="str" cm="1">
        <f t="array" ref="B93">IFERROR(INDEX(_xlfn.ANCHORARRAY($P$6),ROW()-5,2),"")</f>
        <v/>
      </c>
      <c r="C93" s="222" t="str">
        <f>IF($A93="","",IF($J93="DIESEL",SUMIFS(Table1[Quantity],Table1[Customer],$M$3,Table1[Date],$A93,Table1[Bill No.],$B93),IF($J93="PETROL",SUMIFS(Table14[Quantity],Table14[Customer],$M$3,Table14[Date],$A93,Table14[Bill No.],$B93),IF($J93="XtraGreen",SUMIFS(Table146[Quantity],Table146[Company],$M$3,Table146[Date],$A93,Table146[Bill No.],$B93),""))))</f>
        <v/>
      </c>
      <c r="D93" s="223" t="str">
        <f>IF($A93="","",IF($J93="DIESEL",AVERAGEIFS(Table1[RSP],Table1[Customer],$M$3,Table1[Date],$A93,Table1[Bill No.],$B93),IF($J93="PETROL",AVERAGEIFS(Table14[RSP],Table14[Customer],$M$3,Table14[Date],$A93,Table14[Bill No.],$B93),IF($J93="XtraGreen",AVERAGEIFS(Table146[RSP],Table146[Company],$M$3,Table146[Date],$A93,Table146[Bill No.],$B93),IFERROR($E93/$C93,"")))))</f>
        <v/>
      </c>
      <c r="E93" s="330" t="str">
        <f>IF($A93="","",IF($J93="DIESEL",SUMIFS(Table1[Amount],Table1[Customer],$M$3,Table1[Date],$A93,Table1[Bill No.],$B93),IF($J93="PETROL",SUMIFS(Table14[Amount],Table14[Customer],$M$3,Table14[Date],$A93,Table14[Bill No.],$B93),IF($J93="XtraGreen",SUMIFS(Table146[Amount],Table146[Company],$M$3,Table146[Date],$A93,Table146[Bill No.],$B93),SUMIFS('Other Sale'!$D:$D,'Other Sale'!$E:$E,$M$3,'Other Sale'!$C:$C,$J93,'Other Sale'!$A:$A,$A93)))))</f>
        <v/>
      </c>
      <c r="F93" s="330" t="str" cm="1">
        <f t="array" ref="F93">IF($A93="","",IF($J93="Payment",IFERROR(INDEX(_xlfn._xlws.FILTER(MasterPaid[Amount Paid],(MasterPaid[Customer]=$M$3)*(MasterPaid[Date]=$A93)),COUNTIFS($A$6:$A93,$A93,$J$6:$J93,"Payment")),0),0))</f>
        <v/>
      </c>
      <c r="G93" s="331"/>
      <c r="H93" s="331"/>
      <c r="I93" s="330" t="str">
        <f t="shared" si="11"/>
        <v/>
      </c>
      <c r="J93" s="318" t="str" cm="1">
        <f t="array" ref="J93">IFERROR(INDEX(_xlfn.ANCHORARRAY($P$6),ROW()-5,3),"")</f>
        <v/>
      </c>
      <c r="K93" s="432" t="str" cm="1">
        <f t="array" ref="K93">IF(OR($A93="",$J93&lt;&gt;"DIESEL"),"",_xlfn.LET(_xlpm.qty,N($C93),_xlpm.pos,$T$5:$T$54,_xlpm.alo,IF($U$5:$U$54="",0,$U$5:$U$54),_xlpm.usd,SUMIFS($C$6:$C92,$K$6:$K92,_xlpm.pos&amp;""),_xlpm.bal,_xlpm.alo-_xlpm.usd,IFERROR(INDEX(_xlfn._xlws.FILTER(_xlpm.pos,(_xlpm.pos&lt;&gt;"")*(_xlpm.qty&gt;0)*(_xlpm.bal&gt;=_xlpm.qty)),1),"")))</f>
        <v/>
      </c>
      <c r="L93" s="290"/>
    </row>
    <row r="94" spans="1:15" ht="23" x14ac:dyDescent="0.25">
      <c r="A94" s="221" t="str" cm="1">
        <f t="array" ref="A94">IFERROR(INDEX(_xlfn.ANCHORARRAY($P$6),ROW()-5,1),"")</f>
        <v/>
      </c>
      <c r="B94" s="317" t="str" cm="1">
        <f t="array" ref="B94">IFERROR(INDEX(_xlfn.ANCHORARRAY($P$6),ROW()-5,2),"")</f>
        <v/>
      </c>
      <c r="C94" s="222" t="str">
        <f>IF($A94="","",IF($J94="DIESEL",SUMIFS(Table1[Quantity],Table1[Customer],$M$3,Table1[Date],$A94,Table1[Bill No.],$B94),IF($J94="PETROL",SUMIFS(Table14[Quantity],Table14[Customer],$M$3,Table14[Date],$A94,Table14[Bill No.],$B94),IF($J94="XtraGreen",SUMIFS(Table146[Quantity],Table146[Company],$M$3,Table146[Date],$A94,Table146[Bill No.],$B94),""))))</f>
        <v/>
      </c>
      <c r="D94" s="223" t="str">
        <f>IF($A94="","",IF($J94="DIESEL",AVERAGEIFS(Table1[RSP],Table1[Customer],$M$3,Table1[Date],$A94,Table1[Bill No.],$B94),IF($J94="PETROL",AVERAGEIFS(Table14[RSP],Table14[Customer],$M$3,Table14[Date],$A94,Table14[Bill No.],$B94),IF($J94="XtraGreen",AVERAGEIFS(Table146[RSP],Table146[Company],$M$3,Table146[Date],$A94,Table146[Bill No.],$B94),IFERROR($E94/$C94,"")))))</f>
        <v/>
      </c>
      <c r="E94" s="330" t="str">
        <f>IF($A94="","",IF($J94="DIESEL",SUMIFS(Table1[Amount],Table1[Customer],$M$3,Table1[Date],$A94,Table1[Bill No.],$B94),IF($J94="PETROL",SUMIFS(Table14[Amount],Table14[Customer],$M$3,Table14[Date],$A94,Table14[Bill No.],$B94),IF($J94="XtraGreen",SUMIFS(Table146[Amount],Table146[Company],$M$3,Table146[Date],$A94,Table146[Bill No.],$B94),SUMIFS('Other Sale'!$D:$D,'Other Sale'!$E:$E,$M$3,'Other Sale'!$C:$C,$J94,'Other Sale'!$A:$A,$A94)))))</f>
        <v/>
      </c>
      <c r="F94" s="330" t="str" cm="1">
        <f t="array" ref="F94">IF($A94="","",IF($J94="Payment",IFERROR(INDEX(_xlfn._xlws.FILTER(MasterPaid[Amount Paid],(MasterPaid[Customer]=$M$3)*(MasterPaid[Date]=$A94)),COUNTIFS($A$6:$A94,$A94,$J$6:$J94,"Payment")),0),0))</f>
        <v/>
      </c>
      <c r="G94" s="331"/>
      <c r="H94" s="331"/>
      <c r="I94" s="330" t="str">
        <f t="shared" si="11"/>
        <v/>
      </c>
      <c r="J94" s="318" t="str" cm="1">
        <f t="array" ref="J94">IFERROR(INDEX(_xlfn.ANCHORARRAY($P$6),ROW()-5,3),"")</f>
        <v/>
      </c>
      <c r="K94" s="432" t="str" cm="1">
        <f t="array" ref="K94">IF(OR($A94="",$J94&lt;&gt;"DIESEL"),"",_xlfn.LET(_xlpm.qty,N($C94),_xlpm.pos,$T$5:$T$54,_xlpm.alo,IF($U$5:$U$54="",0,$U$5:$U$54),_xlpm.usd,SUMIFS($C$6:$C93,$K$6:$K93,_xlpm.pos&amp;""),_xlpm.bal,_xlpm.alo-_xlpm.usd,IFERROR(INDEX(_xlfn._xlws.FILTER(_xlpm.pos,(_xlpm.pos&lt;&gt;"")*(_xlpm.qty&gt;0)*(_xlpm.bal&gt;=_xlpm.qty)),1),"")))</f>
        <v/>
      </c>
      <c r="L94" s="290"/>
    </row>
    <row r="95" spans="1:15" ht="23" x14ac:dyDescent="0.25">
      <c r="A95" s="221" t="str" cm="1">
        <f t="array" ref="A95">IFERROR(INDEX(_xlfn.ANCHORARRAY($P$6),ROW()-5,1),"")</f>
        <v/>
      </c>
      <c r="B95" s="317" t="str" cm="1">
        <f t="array" ref="B95">IFERROR(INDEX(_xlfn.ANCHORARRAY($P$6),ROW()-5,2),"")</f>
        <v/>
      </c>
      <c r="C95" s="222" t="str">
        <f>IF($A95="","",IF($J95="DIESEL",SUMIFS(Table1[Quantity],Table1[Customer],$M$3,Table1[Date],$A95,Table1[Bill No.],$B95),IF($J95="PETROL",SUMIFS(Table14[Quantity],Table14[Customer],$M$3,Table14[Date],$A95,Table14[Bill No.],$B95),IF($J95="XtraGreen",SUMIFS(Table146[Quantity],Table146[Company],$M$3,Table146[Date],$A95,Table146[Bill No.],$B95),""))))</f>
        <v/>
      </c>
      <c r="D95" s="223" t="str">
        <f>IF($A95="","",IF($J95="DIESEL",AVERAGEIFS(Table1[RSP],Table1[Customer],$M$3,Table1[Date],$A95,Table1[Bill No.],$B95),IF($J95="PETROL",AVERAGEIFS(Table14[RSP],Table14[Customer],$M$3,Table14[Date],$A95,Table14[Bill No.],$B95),IF($J95="XtraGreen",AVERAGEIFS(Table146[RSP],Table146[Company],$M$3,Table146[Date],$A95,Table146[Bill No.],$B95),IFERROR($E95/$C95,"")))))</f>
        <v/>
      </c>
      <c r="E95" s="330" t="str">
        <f>IF($A95="","",IF($J95="DIESEL",SUMIFS(Table1[Amount],Table1[Customer],$M$3,Table1[Date],$A95,Table1[Bill No.],$B95),IF($J95="PETROL",SUMIFS(Table14[Amount],Table14[Customer],$M$3,Table14[Date],$A95,Table14[Bill No.],$B95),IF($J95="XtraGreen",SUMIFS(Table146[Amount],Table146[Company],$M$3,Table146[Date],$A95,Table146[Bill No.],$B95),SUMIFS('Other Sale'!$D:$D,'Other Sale'!$E:$E,$M$3,'Other Sale'!$C:$C,$J95,'Other Sale'!$A:$A,$A95)))))</f>
        <v/>
      </c>
      <c r="F95" s="330" t="str" cm="1">
        <f t="array" ref="F95">IF($A95="","",IF($J95="Payment",IFERROR(INDEX(_xlfn._xlws.FILTER(MasterPaid[Amount Paid],(MasterPaid[Customer]=$M$3)*(MasterPaid[Date]=$A95)),COUNTIFS($A$6:$A95,$A95,$J$6:$J95,"Payment")),0),0))</f>
        <v/>
      </c>
      <c r="G95" s="331"/>
      <c r="H95" s="331"/>
      <c r="I95" s="330" t="str">
        <f t="shared" si="11"/>
        <v/>
      </c>
      <c r="J95" s="318" t="str" cm="1">
        <f t="array" ref="J95">IFERROR(INDEX(_xlfn.ANCHORARRAY($P$6),ROW()-5,3),"")</f>
        <v/>
      </c>
      <c r="K95" s="432" t="str" cm="1">
        <f t="array" ref="K95">IF(OR($A95="",$J95&lt;&gt;"DIESEL"),"",_xlfn.LET(_xlpm.qty,N($C95),_xlpm.pos,$T$5:$T$54,_xlpm.alo,IF($U$5:$U$54="",0,$U$5:$U$54),_xlpm.usd,SUMIFS($C$6:$C94,$K$6:$K94,_xlpm.pos&amp;""),_xlpm.bal,_xlpm.alo-_xlpm.usd,IFERROR(INDEX(_xlfn._xlws.FILTER(_xlpm.pos,(_xlpm.pos&lt;&gt;"")*(_xlpm.qty&gt;0)*(_xlpm.bal&gt;=_xlpm.qty)),1),"")))</f>
        <v/>
      </c>
      <c r="L95" s="290"/>
    </row>
    <row r="96" spans="1:15" ht="23" x14ac:dyDescent="0.25">
      <c r="A96" s="221" t="str" cm="1">
        <f t="array" ref="A96">IFERROR(INDEX(_xlfn.ANCHORARRAY($P$6),ROW()-5,1),"")</f>
        <v/>
      </c>
      <c r="B96" s="317" t="str" cm="1">
        <f t="array" ref="B96">IFERROR(INDEX(_xlfn.ANCHORARRAY($P$6),ROW()-5,2),"")</f>
        <v/>
      </c>
      <c r="C96" s="222" t="str">
        <f>IF($A96="","",IF($J96="DIESEL",SUMIFS(Table1[Quantity],Table1[Customer],$M$3,Table1[Date],$A96,Table1[Bill No.],$B96),IF($J96="PETROL",SUMIFS(Table14[Quantity],Table14[Customer],$M$3,Table14[Date],$A96,Table14[Bill No.],$B96),IF($J96="XtraGreen",SUMIFS(Table146[Quantity],Table146[Company],$M$3,Table146[Date],$A96,Table146[Bill No.],$B96),""))))</f>
        <v/>
      </c>
      <c r="D96" s="223" t="str">
        <f>IF($A96="","",IF($J96="DIESEL",AVERAGEIFS(Table1[RSP],Table1[Customer],$M$3,Table1[Date],$A96,Table1[Bill No.],$B96),IF($J96="PETROL",AVERAGEIFS(Table14[RSP],Table14[Customer],$M$3,Table14[Date],$A96,Table14[Bill No.],$B96),IF($J96="XtraGreen",AVERAGEIFS(Table146[RSP],Table146[Company],$M$3,Table146[Date],$A96,Table146[Bill No.],$B96),IFERROR($E96/$C96,"")))))</f>
        <v/>
      </c>
      <c r="E96" s="330" t="str">
        <f>IF($A96="","",IF($J96="DIESEL",SUMIFS(Table1[Amount],Table1[Customer],$M$3,Table1[Date],$A96,Table1[Bill No.],$B96),IF($J96="PETROL",SUMIFS(Table14[Amount],Table14[Customer],$M$3,Table14[Date],$A96,Table14[Bill No.],$B96),IF($J96="XtraGreen",SUMIFS(Table146[Amount],Table146[Company],$M$3,Table146[Date],$A96,Table146[Bill No.],$B96),SUMIFS('Other Sale'!$D:$D,'Other Sale'!$E:$E,$M$3,'Other Sale'!$C:$C,$J96,'Other Sale'!$A:$A,$A96)))))</f>
        <v/>
      </c>
      <c r="F96" s="330" t="str" cm="1">
        <f t="array" ref="F96">IF($A96="","",IF($J96="Payment",IFERROR(INDEX(_xlfn._xlws.FILTER(MasterPaid[Amount Paid],(MasterPaid[Customer]=$M$3)*(MasterPaid[Date]=$A96)),COUNTIFS($A$6:$A96,$A96,$J$6:$J96,"Payment")),0),0))</f>
        <v/>
      </c>
      <c r="G96" s="331"/>
      <c r="H96" s="331"/>
      <c r="I96" s="330" t="str">
        <f t="shared" si="11"/>
        <v/>
      </c>
      <c r="J96" s="318" t="str" cm="1">
        <f t="array" ref="J96">IFERROR(INDEX(_xlfn.ANCHORARRAY($P$6),ROW()-5,3),"")</f>
        <v/>
      </c>
      <c r="K96" s="432" t="str" cm="1">
        <f t="array" ref="K96">IF(OR($A96="",$J96&lt;&gt;"DIESEL"),"",_xlfn.LET(_xlpm.qty,N($C96),_xlpm.pos,$T$5:$T$54,_xlpm.alo,IF($U$5:$U$54="",0,$U$5:$U$54),_xlpm.usd,SUMIFS($C$6:$C95,$K$6:$K95,_xlpm.pos&amp;""),_xlpm.bal,_xlpm.alo-_xlpm.usd,IFERROR(INDEX(_xlfn._xlws.FILTER(_xlpm.pos,(_xlpm.pos&lt;&gt;"")*(_xlpm.qty&gt;0)*(_xlpm.bal&gt;=_xlpm.qty)),1),"")))</f>
        <v/>
      </c>
      <c r="L96" s="290"/>
    </row>
    <row r="97" spans="1:12" ht="23" x14ac:dyDescent="0.25">
      <c r="A97" s="221" t="str" cm="1">
        <f t="array" ref="A97">IFERROR(INDEX(_xlfn.ANCHORARRAY($P$6),ROW()-5,1),"")</f>
        <v/>
      </c>
      <c r="B97" s="317" t="str" cm="1">
        <f t="array" ref="B97">IFERROR(INDEX(_xlfn.ANCHORARRAY($P$6),ROW()-5,2),"")</f>
        <v/>
      </c>
      <c r="C97" s="222" t="str">
        <f>IF($A97="","",IF($J97="DIESEL",SUMIFS(Table1[Quantity],Table1[Customer],$M$3,Table1[Date],$A97,Table1[Bill No.],$B97),IF($J97="PETROL",SUMIFS(Table14[Quantity],Table14[Customer],$M$3,Table14[Date],$A97,Table14[Bill No.],$B97),IF($J97="XtraGreen",SUMIFS(Table146[Quantity],Table146[Company],$M$3,Table146[Date],$A97,Table146[Bill No.],$B97),""))))</f>
        <v/>
      </c>
      <c r="D97" s="223" t="str">
        <f>IF($A97="","",IF($J97="DIESEL",AVERAGEIFS(Table1[RSP],Table1[Customer],$M$3,Table1[Date],$A97,Table1[Bill No.],$B97),IF($J97="PETROL",AVERAGEIFS(Table14[RSP],Table14[Customer],$M$3,Table14[Date],$A97,Table14[Bill No.],$B97),IF($J97="XtraGreen",AVERAGEIFS(Table146[RSP],Table146[Company],$M$3,Table146[Date],$A97,Table146[Bill No.],$B97),IFERROR($E97/$C97,"")))))</f>
        <v/>
      </c>
      <c r="E97" s="330" t="str">
        <f>IF($A97="","",IF($J97="DIESEL",SUMIFS(Table1[Amount],Table1[Customer],$M$3,Table1[Date],$A97,Table1[Bill No.],$B97),IF($J97="PETROL",SUMIFS(Table14[Amount],Table14[Customer],$M$3,Table14[Date],$A97,Table14[Bill No.],$B97),IF($J97="XtraGreen",SUMIFS(Table146[Amount],Table146[Company],$M$3,Table146[Date],$A97,Table146[Bill No.],$B97),SUMIFS('Other Sale'!$D:$D,'Other Sale'!$E:$E,$M$3,'Other Sale'!$C:$C,$J97,'Other Sale'!$A:$A,$A97)))))</f>
        <v/>
      </c>
      <c r="F97" s="330" t="str" cm="1">
        <f t="array" ref="F97">IF($A97="","",IF($J97="Payment",IFERROR(INDEX(_xlfn._xlws.FILTER(MasterPaid[Amount Paid],(MasterPaid[Customer]=$M$3)*(MasterPaid[Date]=$A97)),COUNTIFS($A$6:$A97,$A97,$J$6:$J97,"Payment")),0),0))</f>
        <v/>
      </c>
      <c r="G97" s="331"/>
      <c r="H97" s="331"/>
      <c r="I97" s="330" t="str">
        <f t="shared" si="11"/>
        <v/>
      </c>
      <c r="J97" s="318" t="str" cm="1">
        <f t="array" ref="J97">IFERROR(INDEX(_xlfn.ANCHORARRAY($P$6),ROW()-5,3),"")</f>
        <v/>
      </c>
      <c r="K97" s="432" t="str" cm="1">
        <f t="array" ref="K97">IF(OR($A97="",$J97&lt;&gt;"DIESEL"),"",_xlfn.LET(_xlpm.qty,N($C97),_xlpm.pos,$T$5:$T$54,_xlpm.alo,IF($U$5:$U$54="",0,$U$5:$U$54),_xlpm.usd,SUMIFS($C$6:$C96,$K$6:$K96,_xlpm.pos&amp;""),_xlpm.bal,_xlpm.alo-_xlpm.usd,IFERROR(INDEX(_xlfn._xlws.FILTER(_xlpm.pos,(_xlpm.pos&lt;&gt;"")*(_xlpm.qty&gt;0)*(_xlpm.bal&gt;=_xlpm.qty)),1),"")))</f>
        <v/>
      </c>
      <c r="L97" s="290"/>
    </row>
    <row r="98" spans="1:12" ht="23" x14ac:dyDescent="0.25">
      <c r="A98" s="221" t="str" cm="1">
        <f t="array" ref="A98">IFERROR(INDEX(_xlfn.ANCHORARRAY($P$6),ROW()-5,1),"")</f>
        <v/>
      </c>
      <c r="B98" s="317" t="str" cm="1">
        <f t="array" ref="B98">IFERROR(INDEX(_xlfn.ANCHORARRAY($P$6),ROW()-5,2),"")</f>
        <v/>
      </c>
      <c r="C98" s="222" t="str">
        <f>IF($A98="","",IF($J98="DIESEL",SUMIFS(Table1[Quantity],Table1[Customer],$M$3,Table1[Date],$A98,Table1[Bill No.],$B98),IF($J98="PETROL",SUMIFS(Table14[Quantity],Table14[Customer],$M$3,Table14[Date],$A98,Table14[Bill No.],$B98),IF($J98="XtraGreen",SUMIFS(Table146[Quantity],Table146[Company],$M$3,Table146[Date],$A98,Table146[Bill No.],$B98),""))))</f>
        <v/>
      </c>
      <c r="D98" s="223" t="str">
        <f>IF($A98="","",IF($J98="DIESEL",AVERAGEIFS(Table1[RSP],Table1[Customer],$M$3,Table1[Date],$A98,Table1[Bill No.],$B98),IF($J98="PETROL",AVERAGEIFS(Table14[RSP],Table14[Customer],$M$3,Table14[Date],$A98,Table14[Bill No.],$B98),IF($J98="XtraGreen",AVERAGEIFS(Table146[RSP],Table146[Company],$M$3,Table146[Date],$A98,Table146[Bill No.],$B98),IFERROR($E98/$C98,"")))))</f>
        <v/>
      </c>
      <c r="E98" s="330" t="str">
        <f>IF($A98="","",IF($J98="DIESEL",SUMIFS(Table1[Amount],Table1[Customer],$M$3,Table1[Date],$A98,Table1[Bill No.],$B98),IF($J98="PETROL",SUMIFS(Table14[Amount],Table14[Customer],$M$3,Table14[Date],$A98,Table14[Bill No.],$B98),IF($J98="XtraGreen",SUMIFS(Table146[Amount],Table146[Company],$M$3,Table146[Date],$A98,Table146[Bill No.],$B98),SUMIFS('Other Sale'!$D:$D,'Other Sale'!$E:$E,$M$3,'Other Sale'!$C:$C,$J98,'Other Sale'!$A:$A,$A98)))))</f>
        <v/>
      </c>
      <c r="F98" s="330" t="str" cm="1">
        <f t="array" ref="F98">IF($A98="","",IF($J98="Payment",IFERROR(INDEX(_xlfn._xlws.FILTER(MasterPaid[Amount Paid],(MasterPaid[Customer]=$M$3)*(MasterPaid[Date]=$A98)),COUNTIFS($A$6:$A98,$A98,$J$6:$J98,"Payment")),0),0))</f>
        <v/>
      </c>
      <c r="G98" s="331"/>
      <c r="H98" s="331"/>
      <c r="I98" s="330" t="str">
        <f t="shared" si="11"/>
        <v/>
      </c>
      <c r="J98" s="318" t="str" cm="1">
        <f t="array" ref="J98">IFERROR(INDEX(_xlfn.ANCHORARRAY($P$6),ROW()-5,3),"")</f>
        <v/>
      </c>
      <c r="K98" s="432" t="str" cm="1">
        <f t="array" ref="K98">IF(OR($A98="",$J98&lt;&gt;"DIESEL"),"",_xlfn.LET(_xlpm.qty,N($C98),_xlpm.pos,$T$5:$T$54,_xlpm.alo,IF($U$5:$U$54="",0,$U$5:$U$54),_xlpm.usd,SUMIFS($C$6:$C97,$K$6:$K97,_xlpm.pos&amp;""),_xlpm.bal,_xlpm.alo-_xlpm.usd,IFERROR(INDEX(_xlfn._xlws.FILTER(_xlpm.pos,(_xlpm.pos&lt;&gt;"")*(_xlpm.qty&gt;0)*(_xlpm.bal&gt;=_xlpm.qty)),1),"")))</f>
        <v/>
      </c>
      <c r="L98" s="290"/>
    </row>
    <row r="99" spans="1:12" ht="23" x14ac:dyDescent="0.25">
      <c r="A99" s="221" t="str" cm="1">
        <f t="array" ref="A99">IFERROR(INDEX(_xlfn.ANCHORARRAY($P$6),ROW()-5,1),"")</f>
        <v/>
      </c>
      <c r="B99" s="317" t="str" cm="1">
        <f t="array" ref="B99">IFERROR(INDEX(_xlfn.ANCHORARRAY($P$6),ROW()-5,2),"")</f>
        <v/>
      </c>
      <c r="C99" s="222" t="str">
        <f>IF($A99="","",IF($J99="DIESEL",SUMIFS(Table1[Quantity],Table1[Customer],$M$3,Table1[Date],$A99,Table1[Bill No.],$B99),IF($J99="PETROL",SUMIFS(Table14[Quantity],Table14[Customer],$M$3,Table14[Date],$A99,Table14[Bill No.],$B99),IF($J99="XtraGreen",SUMIFS(Table146[Quantity],Table146[Company],$M$3,Table146[Date],$A99,Table146[Bill No.],$B99),""))))</f>
        <v/>
      </c>
      <c r="D99" s="223" t="str">
        <f>IF($A99="","",IF($J99="DIESEL",AVERAGEIFS(Table1[RSP],Table1[Customer],$M$3,Table1[Date],$A99,Table1[Bill No.],$B99),IF($J99="PETROL",AVERAGEIFS(Table14[RSP],Table14[Customer],$M$3,Table14[Date],$A99,Table14[Bill No.],$B99),IF($J99="XtraGreen",AVERAGEIFS(Table146[RSP],Table146[Company],$M$3,Table146[Date],$A99,Table146[Bill No.],$B99),IFERROR($E99/$C99,"")))))</f>
        <v/>
      </c>
      <c r="E99" s="330" t="str">
        <f>IF($A99="","",IF($J99="DIESEL",SUMIFS(Table1[Amount],Table1[Customer],$M$3,Table1[Date],$A99,Table1[Bill No.],$B99),IF($J99="PETROL",SUMIFS(Table14[Amount],Table14[Customer],$M$3,Table14[Date],$A99,Table14[Bill No.],$B99),IF($J99="XtraGreen",SUMIFS(Table146[Amount],Table146[Company],$M$3,Table146[Date],$A99,Table146[Bill No.],$B99),SUMIFS('Other Sale'!$D:$D,'Other Sale'!$E:$E,$M$3,'Other Sale'!$C:$C,$J99,'Other Sale'!$A:$A,$A99)))))</f>
        <v/>
      </c>
      <c r="F99" s="330" t="str" cm="1">
        <f t="array" ref="F99">IF($A99="","",IF($J99="Payment",IFERROR(INDEX(_xlfn._xlws.FILTER(MasterPaid[Amount Paid],(MasterPaid[Customer]=$M$3)*(MasterPaid[Date]=$A99)),COUNTIFS($A$6:$A99,$A99,$J$6:$J99,"Payment")),0),0))</f>
        <v/>
      </c>
      <c r="G99" s="331"/>
      <c r="H99" s="331"/>
      <c r="I99" s="330" t="str">
        <f t="shared" si="11"/>
        <v/>
      </c>
      <c r="J99" s="318" t="str" cm="1">
        <f t="array" ref="J99">IFERROR(INDEX(_xlfn.ANCHORARRAY($P$6),ROW()-5,3),"")</f>
        <v/>
      </c>
      <c r="K99" s="432" t="str" cm="1">
        <f t="array" ref="K99">IF(OR($A99="",$J99&lt;&gt;"DIESEL"),"",_xlfn.LET(_xlpm.qty,N($C99),_xlpm.pos,$T$5:$T$54,_xlpm.alo,IF($U$5:$U$54="",0,$U$5:$U$54),_xlpm.usd,SUMIFS($C$6:$C98,$K$6:$K98,_xlpm.pos&amp;""),_xlpm.bal,_xlpm.alo-_xlpm.usd,IFERROR(INDEX(_xlfn._xlws.FILTER(_xlpm.pos,(_xlpm.pos&lt;&gt;"")*(_xlpm.qty&gt;0)*(_xlpm.bal&gt;=_xlpm.qty)),1),"")))</f>
        <v/>
      </c>
      <c r="L99" s="290"/>
    </row>
    <row r="100" spans="1:12" ht="23" x14ac:dyDescent="0.25">
      <c r="A100" s="221" t="str" cm="1">
        <f t="array" ref="A100">IFERROR(INDEX(_xlfn.ANCHORARRAY($P$6),ROW()-5,1),"")</f>
        <v/>
      </c>
      <c r="B100" s="317" t="str" cm="1">
        <f t="array" ref="B100">IFERROR(INDEX(_xlfn.ANCHORARRAY($P$6),ROW()-5,2),"")</f>
        <v/>
      </c>
      <c r="C100" s="222" t="str">
        <f>IF($A100="","",IF($J100="DIESEL",SUMIFS(Table1[Quantity],Table1[Customer],$M$3,Table1[Date],$A100,Table1[Bill No.],$B100),IF($J100="PETROL",SUMIFS(Table14[Quantity],Table14[Customer],$M$3,Table14[Date],$A100,Table14[Bill No.],$B100),IF($J100="XtraGreen",SUMIFS(Table146[Quantity],Table146[Company],$M$3,Table146[Date],$A100,Table146[Bill No.],$B100),""))))</f>
        <v/>
      </c>
      <c r="D100" s="223" t="str">
        <f>IF($A100="","",IF($J100="DIESEL",AVERAGEIFS(Table1[RSP],Table1[Customer],$M$3,Table1[Date],$A100,Table1[Bill No.],$B100),IF($J100="PETROL",AVERAGEIFS(Table14[RSP],Table14[Customer],$M$3,Table14[Date],$A100,Table14[Bill No.],$B100),IF($J100="XtraGreen",AVERAGEIFS(Table146[RSP],Table146[Company],$M$3,Table146[Date],$A100,Table146[Bill No.],$B100),IFERROR($E100/$C100,"")))))</f>
        <v/>
      </c>
      <c r="E100" s="330" t="str">
        <f>IF($A100="","",IF($J100="DIESEL",SUMIFS(Table1[Amount],Table1[Customer],$M$3,Table1[Date],$A100,Table1[Bill No.],$B100),IF($J100="PETROL",SUMIFS(Table14[Amount],Table14[Customer],$M$3,Table14[Date],$A100,Table14[Bill No.],$B100),IF($J100="XtraGreen",SUMIFS(Table146[Amount],Table146[Company],$M$3,Table146[Date],$A100,Table146[Bill No.],$B100),SUMIFS('Other Sale'!$D:$D,'Other Sale'!$E:$E,$M$3,'Other Sale'!$C:$C,$J100,'Other Sale'!$A:$A,$A100)))))</f>
        <v/>
      </c>
      <c r="F100" s="330" t="str" cm="1">
        <f t="array" ref="F100">IF($A100="","",IF($J100="Payment",IFERROR(INDEX(_xlfn._xlws.FILTER(MasterPaid[Amount Paid],(MasterPaid[Customer]=$M$3)*(MasterPaid[Date]=$A100)),COUNTIFS($A$6:$A100,$A100,$J$6:$J100,"Payment")),0),0))</f>
        <v/>
      </c>
      <c r="G100" s="331"/>
      <c r="H100" s="331"/>
      <c r="I100" s="330" t="str">
        <f t="shared" si="11"/>
        <v/>
      </c>
      <c r="J100" s="318" t="str" cm="1">
        <f t="array" ref="J100">IFERROR(INDEX(_xlfn.ANCHORARRAY($P$6),ROW()-5,3),"")</f>
        <v/>
      </c>
      <c r="K100" s="432" t="str" cm="1">
        <f t="array" ref="K100">IF(OR($A100="",$J100&lt;&gt;"DIESEL"),"",_xlfn.LET(_xlpm.qty,N($C100),_xlpm.pos,$T$5:$T$54,_xlpm.alo,IF($U$5:$U$54="",0,$U$5:$U$54),_xlpm.usd,SUMIFS($C$6:$C99,$K$6:$K99,_xlpm.pos&amp;""),_xlpm.bal,_xlpm.alo-_xlpm.usd,IFERROR(INDEX(_xlfn._xlws.FILTER(_xlpm.pos,(_xlpm.pos&lt;&gt;"")*(_xlpm.qty&gt;0)*(_xlpm.bal&gt;=_xlpm.qty)),1),"")))</f>
        <v/>
      </c>
      <c r="L100" s="290"/>
    </row>
    <row r="101" spans="1:12" ht="23" x14ac:dyDescent="0.25">
      <c r="A101" s="221" t="str" cm="1">
        <f t="array" ref="A101">IFERROR(INDEX(_xlfn.ANCHORARRAY($P$6),ROW()-5,1),"")</f>
        <v/>
      </c>
      <c r="B101" s="317" t="str" cm="1">
        <f t="array" ref="B101">IFERROR(INDEX(_xlfn.ANCHORARRAY($P$6),ROW()-5,2),"")</f>
        <v/>
      </c>
      <c r="C101" s="222" t="str">
        <f>IF($A101="","",IF($J101="DIESEL",SUMIFS(Table1[Quantity],Table1[Customer],$M$3,Table1[Date],$A101,Table1[Bill No.],$B101),IF($J101="PETROL",SUMIFS(Table14[Quantity],Table14[Customer],$M$3,Table14[Date],$A101,Table14[Bill No.],$B101),IF($J101="XtraGreen",SUMIFS(Table146[Quantity],Table146[Company],$M$3,Table146[Date],$A101,Table146[Bill No.],$B101),""))))</f>
        <v/>
      </c>
      <c r="D101" s="223" t="str">
        <f>IF($A101="","",IF($J101="DIESEL",AVERAGEIFS(Table1[RSP],Table1[Customer],$M$3,Table1[Date],$A101,Table1[Bill No.],$B101),IF($J101="PETROL",AVERAGEIFS(Table14[RSP],Table14[Customer],$M$3,Table14[Date],$A101,Table14[Bill No.],$B101),IF($J101="XtraGreen",AVERAGEIFS(Table146[RSP],Table146[Company],$M$3,Table146[Date],$A101,Table146[Bill No.],$B101),IFERROR($E101/$C101,"")))))</f>
        <v/>
      </c>
      <c r="E101" s="330" t="str">
        <f>IF($A101="","",IF($J101="DIESEL",SUMIFS(Table1[Amount],Table1[Customer],$M$3,Table1[Date],$A101,Table1[Bill No.],$B101),IF($J101="PETROL",SUMIFS(Table14[Amount],Table14[Customer],$M$3,Table14[Date],$A101,Table14[Bill No.],$B101),IF($J101="XtraGreen",SUMIFS(Table146[Amount],Table146[Company],$M$3,Table146[Date],$A101,Table146[Bill No.],$B101),SUMIFS('Other Sale'!$D:$D,'Other Sale'!$E:$E,$M$3,'Other Sale'!$C:$C,$J101,'Other Sale'!$A:$A,$A101)))))</f>
        <v/>
      </c>
      <c r="F101" s="330" t="str" cm="1">
        <f t="array" ref="F101">IF($A101="","",IF($J101="Payment",IFERROR(INDEX(_xlfn._xlws.FILTER(MasterPaid[Amount Paid],(MasterPaid[Customer]=$M$3)*(MasterPaid[Date]=$A101)),COUNTIFS($A$6:$A101,$A101,$J$6:$J101,"Payment")),0),0))</f>
        <v/>
      </c>
      <c r="G101" s="331"/>
      <c r="H101" s="331"/>
      <c r="I101" s="330" t="str">
        <f t="shared" si="11"/>
        <v/>
      </c>
      <c r="J101" s="318" t="str" cm="1">
        <f t="array" ref="J101">IFERROR(INDEX(_xlfn.ANCHORARRAY($P$6),ROW()-5,3),"")</f>
        <v/>
      </c>
      <c r="K101" s="432" t="str" cm="1">
        <f t="array" ref="K101">IF(OR($A101="",$J101&lt;&gt;"DIESEL"),"",_xlfn.LET(_xlpm.qty,N($C101),_xlpm.pos,$T$5:$T$54,_xlpm.alo,IF($U$5:$U$54="",0,$U$5:$U$54),_xlpm.usd,SUMIFS($C$6:$C100,$K$6:$K100,_xlpm.pos&amp;""),_xlpm.bal,_xlpm.alo-_xlpm.usd,IFERROR(INDEX(_xlfn._xlws.FILTER(_xlpm.pos,(_xlpm.pos&lt;&gt;"")*(_xlpm.qty&gt;0)*(_xlpm.bal&gt;=_xlpm.qty)),1),"")))</f>
        <v/>
      </c>
      <c r="L101" s="290"/>
    </row>
    <row r="102" spans="1:12" ht="23" x14ac:dyDescent="0.25">
      <c r="A102" s="221" t="str" cm="1">
        <f t="array" ref="A102">IFERROR(INDEX(_xlfn.ANCHORARRAY($P$6),ROW()-5,1),"")</f>
        <v/>
      </c>
      <c r="B102" s="317" t="str" cm="1">
        <f t="array" ref="B102">IFERROR(INDEX(_xlfn.ANCHORARRAY($P$6),ROW()-5,2),"")</f>
        <v/>
      </c>
      <c r="C102" s="222" t="str">
        <f>IF($A102="","",IF($J102="DIESEL",SUMIFS(Table1[Quantity],Table1[Customer],$M$3,Table1[Date],$A102,Table1[Bill No.],$B102),IF($J102="PETROL",SUMIFS(Table14[Quantity],Table14[Customer],$M$3,Table14[Date],$A102,Table14[Bill No.],$B102),IF($J102="XtraGreen",SUMIFS(Table146[Quantity],Table146[Company],$M$3,Table146[Date],$A102,Table146[Bill No.],$B102),""))))</f>
        <v/>
      </c>
      <c r="D102" s="223" t="str">
        <f>IF($A102="","",IF($J102="DIESEL",AVERAGEIFS(Table1[RSP],Table1[Customer],$M$3,Table1[Date],$A102,Table1[Bill No.],$B102),IF($J102="PETROL",AVERAGEIFS(Table14[RSP],Table14[Customer],$M$3,Table14[Date],$A102,Table14[Bill No.],$B102),IF($J102="XtraGreen",AVERAGEIFS(Table146[RSP],Table146[Company],$M$3,Table146[Date],$A102,Table146[Bill No.],$B102),IFERROR($E102/$C102,"")))))</f>
        <v/>
      </c>
      <c r="E102" s="330" t="str">
        <f>IF($A102="","",IF($J102="DIESEL",SUMIFS(Table1[Amount],Table1[Customer],$M$3,Table1[Date],$A102,Table1[Bill No.],$B102),IF($J102="PETROL",SUMIFS(Table14[Amount],Table14[Customer],$M$3,Table14[Date],$A102,Table14[Bill No.],$B102),IF($J102="XtraGreen",SUMIFS(Table146[Amount],Table146[Company],$M$3,Table146[Date],$A102,Table146[Bill No.],$B102),SUMIFS('Other Sale'!$D:$D,'Other Sale'!$E:$E,$M$3,'Other Sale'!$C:$C,$J102,'Other Sale'!$A:$A,$A102)))))</f>
        <v/>
      </c>
      <c r="F102" s="330" t="str" cm="1">
        <f t="array" ref="F102">IF($A102="","",IF($J102="Payment",IFERROR(INDEX(_xlfn._xlws.FILTER(MasterPaid[Amount Paid],(MasterPaid[Customer]=$M$3)*(MasterPaid[Date]=$A102)),COUNTIFS($A$6:$A102,$A102,$J$6:$J102,"Payment")),0),0))</f>
        <v/>
      </c>
      <c r="G102" s="331"/>
      <c r="H102" s="331"/>
      <c r="I102" s="330" t="str">
        <f t="shared" si="11"/>
        <v/>
      </c>
      <c r="J102" s="318" t="str" cm="1">
        <f t="array" ref="J102">IFERROR(INDEX(_xlfn.ANCHORARRAY($P$6),ROW()-5,3),"")</f>
        <v/>
      </c>
      <c r="K102" s="432" t="str" cm="1">
        <f t="array" ref="K102">IF(OR($A102="",$J102&lt;&gt;"DIESEL"),"",_xlfn.LET(_xlpm.qty,N($C102),_xlpm.pos,$T$5:$T$54,_xlpm.alo,IF($U$5:$U$54="",0,$U$5:$U$54),_xlpm.usd,SUMIFS($C$6:$C101,$K$6:$K101,_xlpm.pos&amp;""),_xlpm.bal,_xlpm.alo-_xlpm.usd,IFERROR(INDEX(_xlfn._xlws.FILTER(_xlpm.pos,(_xlpm.pos&lt;&gt;"")*(_xlpm.qty&gt;0)*(_xlpm.bal&gt;=_xlpm.qty)),1),"")))</f>
        <v/>
      </c>
      <c r="L102" s="290"/>
    </row>
    <row r="103" spans="1:12" ht="23" x14ac:dyDescent="0.25">
      <c r="A103" s="221" t="str" cm="1">
        <f t="array" ref="A103">IFERROR(INDEX(_xlfn.ANCHORARRAY($P$6),ROW()-5,1),"")</f>
        <v/>
      </c>
      <c r="B103" s="317" t="str" cm="1">
        <f t="array" ref="B103">IFERROR(INDEX(_xlfn.ANCHORARRAY($P$6),ROW()-5,2),"")</f>
        <v/>
      </c>
      <c r="C103" s="222" t="str">
        <f>IF($A103="","",IF($J103="DIESEL",SUMIFS(Table1[Quantity],Table1[Customer],$M$3,Table1[Date],$A103,Table1[Bill No.],$B103),IF($J103="PETROL",SUMIFS(Table14[Quantity],Table14[Customer],$M$3,Table14[Date],$A103,Table14[Bill No.],$B103),IF($J103="XtraGreen",SUMIFS(Table146[Quantity],Table146[Company],$M$3,Table146[Date],$A103,Table146[Bill No.],$B103),""))))</f>
        <v/>
      </c>
      <c r="D103" s="223" t="str">
        <f>IF($A103="","",IF($J103="DIESEL",AVERAGEIFS(Table1[RSP],Table1[Customer],$M$3,Table1[Date],$A103,Table1[Bill No.],$B103),IF($J103="PETROL",AVERAGEIFS(Table14[RSP],Table14[Customer],$M$3,Table14[Date],$A103,Table14[Bill No.],$B103),IF($J103="XtraGreen",AVERAGEIFS(Table146[RSP],Table146[Company],$M$3,Table146[Date],$A103,Table146[Bill No.],$B103),IFERROR($E103/$C103,"")))))</f>
        <v/>
      </c>
      <c r="E103" s="330" t="str">
        <f>IF($A103="","",IF($J103="DIESEL",SUMIFS(Table1[Amount],Table1[Customer],$M$3,Table1[Date],$A103,Table1[Bill No.],$B103),IF($J103="PETROL",SUMIFS(Table14[Amount],Table14[Customer],$M$3,Table14[Date],$A103,Table14[Bill No.],$B103),IF($J103="XtraGreen",SUMIFS(Table146[Amount],Table146[Company],$M$3,Table146[Date],$A103,Table146[Bill No.],$B103),SUMIFS('Other Sale'!$D:$D,'Other Sale'!$E:$E,$M$3,'Other Sale'!$C:$C,$J103,'Other Sale'!$A:$A,$A103)))))</f>
        <v/>
      </c>
      <c r="F103" s="330" t="str" cm="1">
        <f t="array" ref="F103">IF($A103="","",IF($J103="Payment",IFERROR(INDEX(_xlfn._xlws.FILTER(MasterPaid[Amount Paid],(MasterPaid[Customer]=$M$3)*(MasterPaid[Date]=$A103)),COUNTIFS($A$6:$A103,$A103,$J$6:$J103,"Payment")),0),0))</f>
        <v/>
      </c>
      <c r="G103" s="331"/>
      <c r="H103" s="331"/>
      <c r="I103" s="330" t="str">
        <f t="shared" si="11"/>
        <v/>
      </c>
      <c r="J103" s="318" t="str" cm="1">
        <f t="array" ref="J103">IFERROR(INDEX(_xlfn.ANCHORARRAY($P$6),ROW()-5,3),"")</f>
        <v/>
      </c>
      <c r="K103" s="432" t="str" cm="1">
        <f t="array" ref="K103">IF(OR($A103="",$J103&lt;&gt;"DIESEL"),"",_xlfn.LET(_xlpm.qty,N($C103),_xlpm.pos,$T$5:$T$54,_xlpm.alo,IF($U$5:$U$54="",0,$U$5:$U$54),_xlpm.usd,SUMIFS($C$6:$C102,$K$6:$K102,_xlpm.pos&amp;""),_xlpm.bal,_xlpm.alo-_xlpm.usd,IFERROR(INDEX(_xlfn._xlws.FILTER(_xlpm.pos,(_xlpm.pos&lt;&gt;"")*(_xlpm.qty&gt;0)*(_xlpm.bal&gt;=_xlpm.qty)),1),"")))</f>
        <v/>
      </c>
      <c r="L103" s="290"/>
    </row>
    <row r="104" spans="1:12" ht="23" x14ac:dyDescent="0.25">
      <c r="A104" s="221" t="str" cm="1">
        <f t="array" ref="A104">IFERROR(INDEX(_xlfn.ANCHORARRAY($P$6),ROW()-5,1),"")</f>
        <v/>
      </c>
      <c r="B104" s="317" t="str" cm="1">
        <f t="array" ref="B104">IFERROR(INDEX(_xlfn.ANCHORARRAY($P$6),ROW()-5,2),"")</f>
        <v/>
      </c>
      <c r="C104" s="222" t="str">
        <f>IF($A104="","",IF($J104="DIESEL",SUMIFS(Table1[Quantity],Table1[Customer],$M$3,Table1[Date],$A104,Table1[Bill No.],$B104),IF($J104="PETROL",SUMIFS(Table14[Quantity],Table14[Customer],$M$3,Table14[Date],$A104,Table14[Bill No.],$B104),IF($J104="XtraGreen",SUMIFS(Table146[Quantity],Table146[Company],$M$3,Table146[Date],$A104,Table146[Bill No.],$B104),""))))</f>
        <v/>
      </c>
      <c r="D104" s="223" t="str">
        <f>IF($A104="","",IF($J104="DIESEL",AVERAGEIFS(Table1[RSP],Table1[Customer],$M$3,Table1[Date],$A104,Table1[Bill No.],$B104),IF($J104="PETROL",AVERAGEIFS(Table14[RSP],Table14[Customer],$M$3,Table14[Date],$A104,Table14[Bill No.],$B104),IF($J104="XtraGreen",AVERAGEIFS(Table146[RSP],Table146[Company],$M$3,Table146[Date],$A104,Table146[Bill No.],$B104),IFERROR($E104/$C104,"")))))</f>
        <v/>
      </c>
      <c r="E104" s="330" t="str">
        <f>IF($A104="","",IF($J104="DIESEL",SUMIFS(Table1[Amount],Table1[Customer],$M$3,Table1[Date],$A104,Table1[Bill No.],$B104),IF($J104="PETROL",SUMIFS(Table14[Amount],Table14[Customer],$M$3,Table14[Date],$A104,Table14[Bill No.],$B104),IF($J104="XtraGreen",SUMIFS(Table146[Amount],Table146[Company],$M$3,Table146[Date],$A104,Table146[Bill No.],$B104),SUMIFS('Other Sale'!$D:$D,'Other Sale'!$E:$E,$M$3,'Other Sale'!$C:$C,$J104,'Other Sale'!$A:$A,$A104)))))</f>
        <v/>
      </c>
      <c r="F104" s="330" t="str" cm="1">
        <f t="array" ref="F104">IF($A104="","",IF($J104="Payment",IFERROR(INDEX(_xlfn._xlws.FILTER(MasterPaid[Amount Paid],(MasterPaid[Customer]=$M$3)*(MasterPaid[Date]=$A104)),COUNTIFS($A$6:$A104,$A104,$J$6:$J104,"Payment")),0),0))</f>
        <v/>
      </c>
      <c r="G104" s="331"/>
      <c r="H104" s="331"/>
      <c r="I104" s="330" t="str">
        <f t="shared" si="11"/>
        <v/>
      </c>
      <c r="J104" s="318" t="str" cm="1">
        <f t="array" ref="J104">IFERROR(INDEX(_xlfn.ANCHORARRAY($P$6),ROW()-5,3),"")</f>
        <v/>
      </c>
      <c r="K104" s="432" t="str" cm="1">
        <f t="array" ref="K104">IF(OR($A104="",$J104&lt;&gt;"DIESEL"),"",_xlfn.LET(_xlpm.qty,N($C104),_xlpm.pos,$T$5:$T$54,_xlpm.alo,IF($U$5:$U$54="",0,$U$5:$U$54),_xlpm.usd,SUMIFS($C$6:$C103,$K$6:$K103,_xlpm.pos&amp;""),_xlpm.bal,_xlpm.alo-_xlpm.usd,IFERROR(INDEX(_xlfn._xlws.FILTER(_xlpm.pos,(_xlpm.pos&lt;&gt;"")*(_xlpm.qty&gt;0)*(_xlpm.bal&gt;=_xlpm.qty)),1),"")))</f>
        <v/>
      </c>
      <c r="L104" s="290"/>
    </row>
    <row r="105" spans="1:12" ht="23" x14ac:dyDescent="0.25">
      <c r="A105" s="221" t="str" cm="1">
        <f t="array" ref="A105">IFERROR(INDEX(_xlfn.ANCHORARRAY($P$6),ROW()-5,1),"")</f>
        <v/>
      </c>
      <c r="B105" s="317" t="str" cm="1">
        <f t="array" ref="B105">IFERROR(INDEX(_xlfn.ANCHORARRAY($P$6),ROW()-5,2),"")</f>
        <v/>
      </c>
      <c r="C105" s="222" t="str">
        <f>IF($A105="","",IF($J105="DIESEL",SUMIFS(Table1[Quantity],Table1[Customer],$M$3,Table1[Date],$A105,Table1[Bill No.],$B105),IF($J105="PETROL",SUMIFS(Table14[Quantity],Table14[Customer],$M$3,Table14[Date],$A105,Table14[Bill No.],$B105),IF($J105="XtraGreen",SUMIFS(Table146[Quantity],Table146[Company],$M$3,Table146[Date],$A105,Table146[Bill No.],$B105),""))))</f>
        <v/>
      </c>
      <c r="D105" s="223" t="str">
        <f>IF($A105="","",IF($J105="DIESEL",AVERAGEIFS(Table1[RSP],Table1[Customer],$M$3,Table1[Date],$A105,Table1[Bill No.],$B105),IF($J105="PETROL",AVERAGEIFS(Table14[RSP],Table14[Customer],$M$3,Table14[Date],$A105,Table14[Bill No.],$B105),IF($J105="XtraGreen",AVERAGEIFS(Table146[RSP],Table146[Company],$M$3,Table146[Date],$A105,Table146[Bill No.],$B105),IFERROR($E105/$C105,"")))))</f>
        <v/>
      </c>
      <c r="E105" s="330" t="str">
        <f>IF($A105="","",IF($J105="DIESEL",SUMIFS(Table1[Amount],Table1[Customer],$M$3,Table1[Date],$A105,Table1[Bill No.],$B105),IF($J105="PETROL",SUMIFS(Table14[Amount],Table14[Customer],$M$3,Table14[Date],$A105,Table14[Bill No.],$B105),IF($J105="XtraGreen",SUMIFS(Table146[Amount],Table146[Company],$M$3,Table146[Date],$A105,Table146[Bill No.],$B105),SUMIFS('Other Sale'!$D:$D,'Other Sale'!$E:$E,$M$3,'Other Sale'!$C:$C,$J105,'Other Sale'!$A:$A,$A105)))))</f>
        <v/>
      </c>
      <c r="F105" s="330" t="str" cm="1">
        <f t="array" ref="F105">IF($A105="","",IF($J105="Payment",IFERROR(INDEX(_xlfn._xlws.FILTER(MasterPaid[Amount Paid],(MasterPaid[Customer]=$M$3)*(MasterPaid[Date]=$A105)),COUNTIFS($A$6:$A105,$A105,$J$6:$J105,"Payment")),0),0))</f>
        <v/>
      </c>
      <c r="G105" s="331"/>
      <c r="H105" s="331"/>
      <c r="I105" s="330" t="str">
        <f t="shared" si="11"/>
        <v/>
      </c>
      <c r="J105" s="318" t="str" cm="1">
        <f t="array" ref="J105">IFERROR(INDEX(_xlfn.ANCHORARRAY($P$6),ROW()-5,3),"")</f>
        <v/>
      </c>
      <c r="K105" s="432" t="str" cm="1">
        <f t="array" ref="K105">IF(OR($A105="",$J105&lt;&gt;"DIESEL"),"",_xlfn.LET(_xlpm.qty,N($C105),_xlpm.pos,$T$5:$T$54,_xlpm.alo,IF($U$5:$U$54="",0,$U$5:$U$54),_xlpm.usd,SUMIFS($C$6:$C104,$K$6:$K104,_xlpm.pos&amp;""),_xlpm.bal,_xlpm.alo-_xlpm.usd,IFERROR(INDEX(_xlfn._xlws.FILTER(_xlpm.pos,(_xlpm.pos&lt;&gt;"")*(_xlpm.qty&gt;0)*(_xlpm.bal&gt;=_xlpm.qty)),1),"")))</f>
        <v/>
      </c>
      <c r="L105" s="290"/>
    </row>
    <row r="106" spans="1:12" ht="23" x14ac:dyDescent="0.25">
      <c r="A106" s="221" t="str" cm="1">
        <f t="array" ref="A106">IFERROR(INDEX(_xlfn.ANCHORARRAY($P$6),ROW()-5,1),"")</f>
        <v/>
      </c>
      <c r="B106" s="317" t="str" cm="1">
        <f t="array" ref="B106">IFERROR(INDEX(_xlfn.ANCHORARRAY($P$6),ROW()-5,2),"")</f>
        <v/>
      </c>
      <c r="C106" s="222" t="str">
        <f>IF($A106="","",IF($J106="DIESEL",SUMIFS(Table1[Quantity],Table1[Customer],$M$3,Table1[Date],$A106,Table1[Bill No.],$B106),IF($J106="PETROL",SUMIFS(Table14[Quantity],Table14[Customer],$M$3,Table14[Date],$A106,Table14[Bill No.],$B106),IF($J106="XtraGreen",SUMIFS(Table146[Quantity],Table146[Company],$M$3,Table146[Date],$A106,Table146[Bill No.],$B106),""))))</f>
        <v/>
      </c>
      <c r="D106" s="223" t="str">
        <f>IF($A106="","",IF($J106="DIESEL",AVERAGEIFS(Table1[RSP],Table1[Customer],$M$3,Table1[Date],$A106,Table1[Bill No.],$B106),IF($J106="PETROL",AVERAGEIFS(Table14[RSP],Table14[Customer],$M$3,Table14[Date],$A106,Table14[Bill No.],$B106),IF($J106="XtraGreen",AVERAGEIFS(Table146[RSP],Table146[Company],$M$3,Table146[Date],$A106,Table146[Bill No.],$B106),IFERROR($E106/$C106,"")))))</f>
        <v/>
      </c>
      <c r="E106" s="330" t="str">
        <f>IF($A106="","",IF($J106="DIESEL",SUMIFS(Table1[Amount],Table1[Customer],$M$3,Table1[Date],$A106,Table1[Bill No.],$B106),IF($J106="PETROL",SUMIFS(Table14[Amount],Table14[Customer],$M$3,Table14[Date],$A106,Table14[Bill No.],$B106),IF($J106="XtraGreen",SUMIFS(Table146[Amount],Table146[Company],$M$3,Table146[Date],$A106,Table146[Bill No.],$B106),SUMIFS('Other Sale'!$D:$D,'Other Sale'!$E:$E,$M$3,'Other Sale'!$C:$C,$J106,'Other Sale'!$A:$A,$A106)))))</f>
        <v/>
      </c>
      <c r="F106" s="330" t="str" cm="1">
        <f t="array" ref="F106">IF($A106="","",IF($J106="Payment",IFERROR(INDEX(_xlfn._xlws.FILTER(MasterPaid[Amount Paid],(MasterPaid[Customer]=$M$3)*(MasterPaid[Date]=$A106)),COUNTIFS($A$6:$A106,$A106,$J$6:$J106,"Payment")),0),0))</f>
        <v/>
      </c>
      <c r="G106" s="331"/>
      <c r="H106" s="331"/>
      <c r="I106" s="330" t="str">
        <f t="shared" si="11"/>
        <v/>
      </c>
      <c r="J106" s="318" t="str" cm="1">
        <f t="array" ref="J106">IFERROR(INDEX(_xlfn.ANCHORARRAY($P$6),ROW()-5,3),"")</f>
        <v/>
      </c>
      <c r="K106" s="432" t="str" cm="1">
        <f t="array" ref="K106">IF(OR($A106="",$J106&lt;&gt;"DIESEL"),"",_xlfn.LET(_xlpm.qty,N($C106),_xlpm.pos,$T$5:$T$54,_xlpm.alo,IF($U$5:$U$54="",0,$U$5:$U$54),_xlpm.usd,SUMIFS($C$6:$C105,$K$6:$K105,_xlpm.pos&amp;""),_xlpm.bal,_xlpm.alo-_xlpm.usd,IFERROR(INDEX(_xlfn._xlws.FILTER(_xlpm.pos,(_xlpm.pos&lt;&gt;"")*(_xlpm.qty&gt;0)*(_xlpm.bal&gt;=_xlpm.qty)),1),"")))</f>
        <v/>
      </c>
      <c r="L106" s="290"/>
    </row>
    <row r="107" spans="1:12" ht="23" x14ac:dyDescent="0.25">
      <c r="A107" s="221" t="str" cm="1">
        <f t="array" ref="A107">IFERROR(INDEX(_xlfn.ANCHORARRAY($P$6),ROW()-5,1),"")</f>
        <v/>
      </c>
      <c r="B107" s="317" t="str" cm="1">
        <f t="array" ref="B107">IFERROR(INDEX(_xlfn.ANCHORARRAY($P$6),ROW()-5,2),"")</f>
        <v/>
      </c>
      <c r="C107" s="222" t="str">
        <f>IF($A107="","",IF($J107="DIESEL",SUMIFS(Table1[Quantity],Table1[Customer],$M$3,Table1[Date],$A107,Table1[Bill No.],$B107),IF($J107="PETROL",SUMIFS(Table14[Quantity],Table14[Customer],$M$3,Table14[Date],$A107,Table14[Bill No.],$B107),IF($J107="XtraGreen",SUMIFS(Table146[Quantity],Table146[Company],$M$3,Table146[Date],$A107,Table146[Bill No.],$B107),""))))</f>
        <v/>
      </c>
      <c r="D107" s="223" t="str">
        <f>IF($A107="","",IF($J107="DIESEL",AVERAGEIFS(Table1[RSP],Table1[Customer],$M$3,Table1[Date],$A107,Table1[Bill No.],$B107),IF($J107="PETROL",AVERAGEIFS(Table14[RSP],Table14[Customer],$M$3,Table14[Date],$A107,Table14[Bill No.],$B107),IF($J107="XtraGreen",AVERAGEIFS(Table146[RSP],Table146[Company],$M$3,Table146[Date],$A107,Table146[Bill No.],$B107),IFERROR($E107/$C107,"")))))</f>
        <v/>
      </c>
      <c r="E107" s="330" t="str">
        <f>IF($A107="","",IF($J107="DIESEL",SUMIFS(Table1[Amount],Table1[Customer],$M$3,Table1[Date],$A107,Table1[Bill No.],$B107),IF($J107="PETROL",SUMIFS(Table14[Amount],Table14[Customer],$M$3,Table14[Date],$A107,Table14[Bill No.],$B107),IF($J107="XtraGreen",SUMIFS(Table146[Amount],Table146[Company],$M$3,Table146[Date],$A107,Table146[Bill No.],$B107),SUMIFS('Other Sale'!$D:$D,'Other Sale'!$E:$E,$M$3,'Other Sale'!$C:$C,$J107,'Other Sale'!$A:$A,$A107)))))</f>
        <v/>
      </c>
      <c r="F107" s="330" t="str" cm="1">
        <f t="array" ref="F107">IF($A107="","",IF($J107="Payment",IFERROR(INDEX(_xlfn._xlws.FILTER(MasterPaid[Amount Paid],(MasterPaid[Customer]=$M$3)*(MasterPaid[Date]=$A107)),COUNTIFS($A$6:$A107,$A107,$J$6:$J107,"Payment")),0),0))</f>
        <v/>
      </c>
      <c r="G107" s="331"/>
      <c r="H107" s="331"/>
      <c r="I107" s="330" t="str">
        <f t="shared" si="11"/>
        <v/>
      </c>
      <c r="J107" s="318" t="str" cm="1">
        <f t="array" ref="J107">IFERROR(INDEX(_xlfn.ANCHORARRAY($P$6),ROW()-5,3),"")</f>
        <v/>
      </c>
      <c r="K107" s="432" t="str" cm="1">
        <f t="array" ref="K107">IF(OR($A107="",$J107&lt;&gt;"DIESEL"),"",_xlfn.LET(_xlpm.qty,N($C107),_xlpm.pos,$T$5:$T$54,_xlpm.alo,IF($U$5:$U$54="",0,$U$5:$U$54),_xlpm.usd,SUMIFS($C$6:$C106,$K$6:$K106,_xlpm.pos&amp;""),_xlpm.bal,_xlpm.alo-_xlpm.usd,IFERROR(INDEX(_xlfn._xlws.FILTER(_xlpm.pos,(_xlpm.pos&lt;&gt;"")*(_xlpm.qty&gt;0)*(_xlpm.bal&gt;=_xlpm.qty)),1),"")))</f>
        <v/>
      </c>
      <c r="L107" s="290"/>
    </row>
    <row r="108" spans="1:12" ht="23" x14ac:dyDescent="0.25">
      <c r="A108" s="221" t="str" cm="1">
        <f t="array" ref="A108">IFERROR(INDEX(_xlfn.ANCHORARRAY($P$6),ROW()-5,1),"")</f>
        <v/>
      </c>
      <c r="B108" s="317" t="str" cm="1">
        <f t="array" ref="B108">IFERROR(INDEX(_xlfn.ANCHORARRAY($P$6),ROW()-5,2),"")</f>
        <v/>
      </c>
      <c r="C108" s="222" t="str">
        <f>IF($A108="","",IF($J108="DIESEL",SUMIFS(Table1[Quantity],Table1[Customer],$M$3,Table1[Date],$A108,Table1[Bill No.],$B108),IF($J108="PETROL",SUMIFS(Table14[Quantity],Table14[Customer],$M$3,Table14[Date],$A108,Table14[Bill No.],$B108),IF($J108="XtraGreen",SUMIFS(Table146[Quantity],Table146[Company],$M$3,Table146[Date],$A108,Table146[Bill No.],$B108),""))))</f>
        <v/>
      </c>
      <c r="D108" s="223" t="str">
        <f>IF($A108="","",IF($J108="DIESEL",AVERAGEIFS(Table1[RSP],Table1[Customer],$M$3,Table1[Date],$A108,Table1[Bill No.],$B108),IF($J108="PETROL",AVERAGEIFS(Table14[RSP],Table14[Customer],$M$3,Table14[Date],$A108,Table14[Bill No.],$B108),IF($J108="XtraGreen",AVERAGEIFS(Table146[RSP],Table146[Company],$M$3,Table146[Date],$A108,Table146[Bill No.],$B108),IFERROR($E108/$C108,"")))))</f>
        <v/>
      </c>
      <c r="E108" s="330" t="str">
        <f>IF($A108="","",IF($J108="DIESEL",SUMIFS(Table1[Amount],Table1[Customer],$M$3,Table1[Date],$A108,Table1[Bill No.],$B108),IF($J108="PETROL",SUMIFS(Table14[Amount],Table14[Customer],$M$3,Table14[Date],$A108,Table14[Bill No.],$B108),IF($J108="XtraGreen",SUMIFS(Table146[Amount],Table146[Company],$M$3,Table146[Date],$A108,Table146[Bill No.],$B108),SUMIFS('Other Sale'!$D:$D,'Other Sale'!$E:$E,$M$3,'Other Sale'!$C:$C,$J108,'Other Sale'!$A:$A,$A108)))))</f>
        <v/>
      </c>
      <c r="F108" s="330" t="str" cm="1">
        <f t="array" ref="F108">IF($A108="","",IF($J108="Payment",IFERROR(INDEX(_xlfn._xlws.FILTER(MasterPaid[Amount Paid],(MasterPaid[Customer]=$M$3)*(MasterPaid[Date]=$A108)),COUNTIFS($A$6:$A108,$A108,$J$6:$J108,"Payment")),0),0))</f>
        <v/>
      </c>
      <c r="G108" s="331"/>
      <c r="H108" s="331"/>
      <c r="I108" s="330" t="str">
        <f t="shared" si="11"/>
        <v/>
      </c>
      <c r="J108" s="318" t="str" cm="1">
        <f t="array" ref="J108">IFERROR(INDEX(_xlfn.ANCHORARRAY($P$6),ROW()-5,3),"")</f>
        <v/>
      </c>
      <c r="K108" s="432" t="str" cm="1">
        <f t="array" ref="K108">IF(OR($A108="",$J108&lt;&gt;"DIESEL"),"",_xlfn.LET(_xlpm.qty,N($C108),_xlpm.pos,$T$5:$T$54,_xlpm.alo,IF($U$5:$U$54="",0,$U$5:$U$54),_xlpm.usd,SUMIFS($C$6:$C107,$K$6:$K107,_xlpm.pos&amp;""),_xlpm.bal,_xlpm.alo-_xlpm.usd,IFERROR(INDEX(_xlfn._xlws.FILTER(_xlpm.pos,(_xlpm.pos&lt;&gt;"")*(_xlpm.qty&gt;0)*(_xlpm.bal&gt;=_xlpm.qty)),1),"")))</f>
        <v/>
      </c>
      <c r="L108" s="290"/>
    </row>
    <row r="109" spans="1:12" ht="23" x14ac:dyDescent="0.25">
      <c r="A109" s="221" t="str" cm="1">
        <f t="array" ref="A109">IFERROR(INDEX(_xlfn.ANCHORARRAY($P$6),ROW()-5,1),"")</f>
        <v/>
      </c>
      <c r="B109" s="317" t="str" cm="1">
        <f t="array" ref="B109">IFERROR(INDEX(_xlfn.ANCHORARRAY($P$6),ROW()-5,2),"")</f>
        <v/>
      </c>
      <c r="C109" s="222" t="str">
        <f>IF($A109="","",IF($J109="DIESEL",SUMIFS(Table1[Quantity],Table1[Customer],$M$3,Table1[Date],$A109,Table1[Bill No.],$B109),IF($J109="PETROL",SUMIFS(Table14[Quantity],Table14[Customer],$M$3,Table14[Date],$A109,Table14[Bill No.],$B109),IF($J109="XtraGreen",SUMIFS(Table146[Quantity],Table146[Company],$M$3,Table146[Date],$A109,Table146[Bill No.],$B109),""))))</f>
        <v/>
      </c>
      <c r="D109" s="223" t="str">
        <f>IF($A109="","",IF($J109="DIESEL",AVERAGEIFS(Table1[RSP],Table1[Customer],$M$3,Table1[Date],$A109,Table1[Bill No.],$B109),IF($J109="PETROL",AVERAGEIFS(Table14[RSP],Table14[Customer],$M$3,Table14[Date],$A109,Table14[Bill No.],$B109),IF($J109="XtraGreen",AVERAGEIFS(Table146[RSP],Table146[Company],$M$3,Table146[Date],$A109,Table146[Bill No.],$B109),IFERROR($E109/$C109,"")))))</f>
        <v/>
      </c>
      <c r="E109" s="330" t="str">
        <f>IF($A109="","",IF($J109="DIESEL",SUMIFS(Table1[Amount],Table1[Customer],$M$3,Table1[Date],$A109,Table1[Bill No.],$B109),IF($J109="PETROL",SUMIFS(Table14[Amount],Table14[Customer],$M$3,Table14[Date],$A109,Table14[Bill No.],$B109),IF($J109="XtraGreen",SUMIFS(Table146[Amount],Table146[Company],$M$3,Table146[Date],$A109,Table146[Bill No.],$B109),SUMIFS('Other Sale'!$D:$D,'Other Sale'!$E:$E,$M$3,'Other Sale'!$C:$C,$J109,'Other Sale'!$A:$A,$A109)))))</f>
        <v/>
      </c>
      <c r="F109" s="330" t="str" cm="1">
        <f t="array" ref="F109">IF($A109="","",IF($J109="Payment",IFERROR(INDEX(_xlfn._xlws.FILTER(MasterPaid[Amount Paid],(MasterPaid[Customer]=$M$3)*(MasterPaid[Date]=$A109)),COUNTIFS($A$6:$A109,$A109,$J$6:$J109,"Payment")),0),0))</f>
        <v/>
      </c>
      <c r="G109" s="331"/>
      <c r="H109" s="331"/>
      <c r="I109" s="330" t="str">
        <f t="shared" si="11"/>
        <v/>
      </c>
      <c r="J109" s="318" t="str" cm="1">
        <f t="array" ref="J109">IFERROR(INDEX(_xlfn.ANCHORARRAY($P$6),ROW()-5,3),"")</f>
        <v/>
      </c>
      <c r="K109" s="432" t="str" cm="1">
        <f t="array" ref="K109">IF(OR($A109="",$J109&lt;&gt;"DIESEL"),"",_xlfn.LET(_xlpm.qty,N($C109),_xlpm.pos,$T$5:$T$54,_xlpm.alo,IF($U$5:$U$54="",0,$U$5:$U$54),_xlpm.usd,SUMIFS($C$6:$C108,$K$6:$K108,_xlpm.pos&amp;""),_xlpm.bal,_xlpm.alo-_xlpm.usd,IFERROR(INDEX(_xlfn._xlws.FILTER(_xlpm.pos,(_xlpm.pos&lt;&gt;"")*(_xlpm.qty&gt;0)*(_xlpm.bal&gt;=_xlpm.qty)),1),"")))</f>
        <v/>
      </c>
      <c r="L109" s="290"/>
    </row>
    <row r="110" spans="1:12" ht="23" x14ac:dyDescent="0.25">
      <c r="A110" s="221" t="str" cm="1">
        <f t="array" ref="A110">IFERROR(INDEX(_xlfn.ANCHORARRAY($P$6),ROW()-5,1),"")</f>
        <v/>
      </c>
      <c r="B110" s="317" t="str" cm="1">
        <f t="array" ref="B110">IFERROR(INDEX(_xlfn.ANCHORARRAY($P$6),ROW()-5,2),"")</f>
        <v/>
      </c>
      <c r="C110" s="222" t="str">
        <f>IF($A110="","",IF($J110="DIESEL",SUMIFS(Table1[Quantity],Table1[Customer],$M$3,Table1[Date],$A110,Table1[Bill No.],$B110),IF($J110="PETROL",SUMIFS(Table14[Quantity],Table14[Customer],$M$3,Table14[Date],$A110,Table14[Bill No.],$B110),IF($J110="XtraGreen",SUMIFS(Table146[Quantity],Table146[Company],$M$3,Table146[Date],$A110,Table146[Bill No.],$B110),""))))</f>
        <v/>
      </c>
      <c r="D110" s="223" t="str">
        <f>IF($A110="","",IF($J110="DIESEL",AVERAGEIFS(Table1[RSP],Table1[Customer],$M$3,Table1[Date],$A110,Table1[Bill No.],$B110),IF($J110="PETROL",AVERAGEIFS(Table14[RSP],Table14[Customer],$M$3,Table14[Date],$A110,Table14[Bill No.],$B110),IF($J110="XtraGreen",AVERAGEIFS(Table146[RSP],Table146[Company],$M$3,Table146[Date],$A110,Table146[Bill No.],$B110),IFERROR($E110/$C110,"")))))</f>
        <v/>
      </c>
      <c r="E110" s="330" t="str">
        <f>IF($A110="","",IF($J110="DIESEL",SUMIFS(Table1[Amount],Table1[Customer],$M$3,Table1[Date],$A110,Table1[Bill No.],$B110),IF($J110="PETROL",SUMIFS(Table14[Amount],Table14[Customer],$M$3,Table14[Date],$A110,Table14[Bill No.],$B110),IF($J110="XtraGreen",SUMIFS(Table146[Amount],Table146[Company],$M$3,Table146[Date],$A110,Table146[Bill No.],$B110),SUMIFS('Other Sale'!$D:$D,'Other Sale'!$E:$E,$M$3,'Other Sale'!$C:$C,$J110,'Other Sale'!$A:$A,$A110)))))</f>
        <v/>
      </c>
      <c r="F110" s="330" t="str" cm="1">
        <f t="array" ref="F110">IF($A110="","",IF($J110="Payment",IFERROR(INDEX(_xlfn._xlws.FILTER(MasterPaid[Amount Paid],(MasterPaid[Customer]=$M$3)*(MasterPaid[Date]=$A110)),COUNTIFS($A$6:$A110,$A110,$J$6:$J110,"Payment")),0),0))</f>
        <v/>
      </c>
      <c r="G110" s="331"/>
      <c r="H110" s="331"/>
      <c r="I110" s="330" t="str">
        <f t="shared" si="11"/>
        <v/>
      </c>
      <c r="J110" s="318" t="str" cm="1">
        <f t="array" ref="J110">IFERROR(INDEX(_xlfn.ANCHORARRAY($P$6),ROW()-5,3),"")</f>
        <v/>
      </c>
      <c r="K110" s="432" t="str" cm="1">
        <f t="array" ref="K110">IF(OR($A110="",$J110&lt;&gt;"DIESEL"),"",_xlfn.LET(_xlpm.qty,N($C110),_xlpm.pos,$T$5:$T$54,_xlpm.alo,IF($U$5:$U$54="",0,$U$5:$U$54),_xlpm.usd,SUMIFS($C$6:$C109,$K$6:$K109,_xlpm.pos&amp;""),_xlpm.bal,_xlpm.alo-_xlpm.usd,IFERROR(INDEX(_xlfn._xlws.FILTER(_xlpm.pos,(_xlpm.pos&lt;&gt;"")*(_xlpm.qty&gt;0)*(_xlpm.bal&gt;=_xlpm.qty)),1),"")))</f>
        <v/>
      </c>
      <c r="L110" s="290"/>
    </row>
    <row r="111" spans="1:12" ht="23" x14ac:dyDescent="0.25">
      <c r="A111" s="221" t="str" cm="1">
        <f t="array" ref="A111">IFERROR(INDEX(_xlfn.ANCHORARRAY($P$6),ROW()-5,1),"")</f>
        <v/>
      </c>
      <c r="B111" s="317" t="str" cm="1">
        <f t="array" ref="B111">IFERROR(INDEX(_xlfn.ANCHORARRAY($P$6),ROW()-5,2),"")</f>
        <v/>
      </c>
      <c r="C111" s="222" t="str">
        <f>IF($A111="","",IF($J111="DIESEL",SUMIFS(Table1[Quantity],Table1[Customer],$M$3,Table1[Date],$A111,Table1[Bill No.],$B111),IF($J111="PETROL",SUMIFS(Table14[Quantity],Table14[Customer],$M$3,Table14[Date],$A111,Table14[Bill No.],$B111),IF($J111="XtraGreen",SUMIFS(Table146[Quantity],Table146[Company],$M$3,Table146[Date],$A111,Table146[Bill No.],$B111),""))))</f>
        <v/>
      </c>
      <c r="D111" s="223" t="str">
        <f>IF($A111="","",IF($J111="DIESEL",AVERAGEIFS(Table1[RSP],Table1[Customer],$M$3,Table1[Date],$A111,Table1[Bill No.],$B111),IF($J111="PETROL",AVERAGEIFS(Table14[RSP],Table14[Customer],$M$3,Table14[Date],$A111,Table14[Bill No.],$B111),IF($J111="XtraGreen",AVERAGEIFS(Table146[RSP],Table146[Company],$M$3,Table146[Date],$A111,Table146[Bill No.],$B111),IFERROR($E111/$C111,"")))))</f>
        <v/>
      </c>
      <c r="E111" s="330" t="str">
        <f>IF($A111="","",IF($J111="DIESEL",SUMIFS(Table1[Amount],Table1[Customer],$M$3,Table1[Date],$A111,Table1[Bill No.],$B111),IF($J111="PETROL",SUMIFS(Table14[Amount],Table14[Customer],$M$3,Table14[Date],$A111,Table14[Bill No.],$B111),IF($J111="XtraGreen",SUMIFS(Table146[Amount],Table146[Company],$M$3,Table146[Date],$A111,Table146[Bill No.],$B111),SUMIFS('Other Sale'!$D:$D,'Other Sale'!$E:$E,$M$3,'Other Sale'!$C:$C,$J111,'Other Sale'!$A:$A,$A111)))))</f>
        <v/>
      </c>
      <c r="F111" s="330" t="str" cm="1">
        <f t="array" ref="F111">IF($A111="","",IF($J111="Payment",IFERROR(INDEX(_xlfn._xlws.FILTER(MasterPaid[Amount Paid],(MasterPaid[Customer]=$M$3)*(MasterPaid[Date]=$A111)),COUNTIFS($A$6:$A111,$A111,$J$6:$J111,"Payment")),0),0))</f>
        <v/>
      </c>
      <c r="G111" s="331"/>
      <c r="H111" s="331"/>
      <c r="I111" s="330" t="str">
        <f t="shared" si="11"/>
        <v/>
      </c>
      <c r="J111" s="318" t="str" cm="1">
        <f t="array" ref="J111">IFERROR(INDEX(_xlfn.ANCHORARRAY($P$6),ROW()-5,3),"")</f>
        <v/>
      </c>
      <c r="K111" s="432" t="str" cm="1">
        <f t="array" ref="K111">IF(OR($A111="",$J111&lt;&gt;"DIESEL"),"",_xlfn.LET(_xlpm.qty,N($C111),_xlpm.pos,$T$5:$T$54,_xlpm.alo,IF($U$5:$U$54="",0,$U$5:$U$54),_xlpm.usd,SUMIFS($C$6:$C110,$K$6:$K110,_xlpm.pos&amp;""),_xlpm.bal,_xlpm.alo-_xlpm.usd,IFERROR(INDEX(_xlfn._xlws.FILTER(_xlpm.pos,(_xlpm.pos&lt;&gt;"")*(_xlpm.qty&gt;0)*(_xlpm.bal&gt;=_xlpm.qty)),1),"")))</f>
        <v/>
      </c>
      <c r="L111" s="290"/>
    </row>
    <row r="112" spans="1:12" ht="23" x14ac:dyDescent="0.25">
      <c r="A112" s="221" t="str" cm="1">
        <f t="array" ref="A112">IFERROR(INDEX(_xlfn.ANCHORARRAY($P$6),ROW()-5,1),"")</f>
        <v/>
      </c>
      <c r="B112" s="317" t="str" cm="1">
        <f t="array" ref="B112">IFERROR(INDEX(_xlfn.ANCHORARRAY($P$6),ROW()-5,2),"")</f>
        <v/>
      </c>
      <c r="C112" s="222" t="str">
        <f>IF($A112="","",IF($J112="DIESEL",SUMIFS(Table1[Quantity],Table1[Customer],$M$3,Table1[Date],$A112,Table1[Bill No.],$B112),IF($J112="PETROL",SUMIFS(Table14[Quantity],Table14[Customer],$M$3,Table14[Date],$A112,Table14[Bill No.],$B112),IF($J112="XtraGreen",SUMIFS(Table146[Quantity],Table146[Company],$M$3,Table146[Date],$A112,Table146[Bill No.],$B112),""))))</f>
        <v/>
      </c>
      <c r="D112" s="223" t="str">
        <f>IF($A112="","",IF($J112="DIESEL",AVERAGEIFS(Table1[RSP],Table1[Customer],$M$3,Table1[Date],$A112,Table1[Bill No.],$B112),IF($J112="PETROL",AVERAGEIFS(Table14[RSP],Table14[Customer],$M$3,Table14[Date],$A112,Table14[Bill No.],$B112),IF($J112="XtraGreen",AVERAGEIFS(Table146[RSP],Table146[Company],$M$3,Table146[Date],$A112,Table146[Bill No.],$B112),IFERROR($E112/$C112,"")))))</f>
        <v/>
      </c>
      <c r="E112" s="330" t="str">
        <f>IF($A112="","",IF($J112="DIESEL",SUMIFS(Table1[Amount],Table1[Customer],$M$3,Table1[Date],$A112,Table1[Bill No.],$B112),IF($J112="PETROL",SUMIFS(Table14[Amount],Table14[Customer],$M$3,Table14[Date],$A112,Table14[Bill No.],$B112),IF($J112="XtraGreen",SUMIFS(Table146[Amount],Table146[Company],$M$3,Table146[Date],$A112,Table146[Bill No.],$B112),SUMIFS('Other Sale'!$D:$D,'Other Sale'!$E:$E,$M$3,'Other Sale'!$C:$C,$J112,'Other Sale'!$A:$A,$A112)))))</f>
        <v/>
      </c>
      <c r="F112" s="330" t="str" cm="1">
        <f t="array" ref="F112">IF($A112="","",IF($J112="Payment",IFERROR(INDEX(_xlfn._xlws.FILTER(MasterPaid[Amount Paid],(MasterPaid[Customer]=$M$3)*(MasterPaid[Date]=$A112)),COUNTIFS($A$6:$A112,$A112,$J$6:$J112,"Payment")),0),0))</f>
        <v/>
      </c>
      <c r="G112" s="331"/>
      <c r="H112" s="331"/>
      <c r="I112" s="330" t="str">
        <f t="shared" si="11"/>
        <v/>
      </c>
      <c r="J112" s="318" t="str" cm="1">
        <f t="array" ref="J112">IFERROR(INDEX(_xlfn.ANCHORARRAY($P$6),ROW()-5,3),"")</f>
        <v/>
      </c>
      <c r="K112" s="432" t="str" cm="1">
        <f t="array" ref="K112">IF(OR($A112="",$J112&lt;&gt;"DIESEL"),"",_xlfn.LET(_xlpm.qty,N($C112),_xlpm.pos,$T$5:$T$54,_xlpm.alo,IF($U$5:$U$54="",0,$U$5:$U$54),_xlpm.usd,SUMIFS($C$6:$C111,$K$6:$K111,_xlpm.pos&amp;""),_xlpm.bal,_xlpm.alo-_xlpm.usd,IFERROR(INDEX(_xlfn._xlws.FILTER(_xlpm.pos,(_xlpm.pos&lt;&gt;"")*(_xlpm.qty&gt;0)*(_xlpm.bal&gt;=_xlpm.qty)),1),"")))</f>
        <v/>
      </c>
      <c r="L112" s="290"/>
    </row>
    <row r="113" spans="1:12" ht="23" x14ac:dyDescent="0.25">
      <c r="A113" s="221" t="str" cm="1">
        <f t="array" ref="A113">IFERROR(INDEX(_xlfn.ANCHORARRAY($P$6),ROW()-5,1),"")</f>
        <v/>
      </c>
      <c r="B113" s="317" t="str" cm="1">
        <f t="array" ref="B113">IFERROR(INDEX(_xlfn.ANCHORARRAY($P$6),ROW()-5,2),"")</f>
        <v/>
      </c>
      <c r="C113" s="222" t="str">
        <f>IF($A113="","",IF($J113="DIESEL",SUMIFS(Table1[Quantity],Table1[Customer],$M$3,Table1[Date],$A113,Table1[Bill No.],$B113),IF($J113="PETROL",SUMIFS(Table14[Quantity],Table14[Customer],$M$3,Table14[Date],$A113,Table14[Bill No.],$B113),IF($J113="XtraGreen",SUMIFS(Table146[Quantity],Table146[Company],$M$3,Table146[Date],$A113,Table146[Bill No.],$B113),""))))</f>
        <v/>
      </c>
      <c r="D113" s="223" t="str">
        <f>IF($A113="","",IF($J113="DIESEL",AVERAGEIFS(Table1[RSP],Table1[Customer],$M$3,Table1[Date],$A113,Table1[Bill No.],$B113),IF($J113="PETROL",AVERAGEIFS(Table14[RSP],Table14[Customer],$M$3,Table14[Date],$A113,Table14[Bill No.],$B113),IF($J113="XtraGreen",AVERAGEIFS(Table146[RSP],Table146[Company],$M$3,Table146[Date],$A113,Table146[Bill No.],$B113),IFERROR($E113/$C113,"")))))</f>
        <v/>
      </c>
      <c r="E113" s="330" t="str">
        <f>IF($A113="","",IF($J113="DIESEL",SUMIFS(Table1[Amount],Table1[Customer],$M$3,Table1[Date],$A113,Table1[Bill No.],$B113),IF($J113="PETROL",SUMIFS(Table14[Amount],Table14[Customer],$M$3,Table14[Date],$A113,Table14[Bill No.],$B113),IF($J113="XtraGreen",SUMIFS(Table146[Amount],Table146[Company],$M$3,Table146[Date],$A113,Table146[Bill No.],$B113),SUMIFS('Other Sale'!$D:$D,'Other Sale'!$E:$E,$M$3,'Other Sale'!$C:$C,$J113,'Other Sale'!$A:$A,$A113)))))</f>
        <v/>
      </c>
      <c r="F113" s="330" t="str" cm="1">
        <f t="array" ref="F113">IF($A113="","",IF($J113="Payment",IFERROR(INDEX(_xlfn._xlws.FILTER(MasterPaid[Amount Paid],(MasterPaid[Customer]=$M$3)*(MasterPaid[Date]=$A113)),COUNTIFS($A$6:$A113,$A113,$J$6:$J113,"Payment")),0),0))</f>
        <v/>
      </c>
      <c r="G113" s="331"/>
      <c r="H113" s="331"/>
      <c r="I113" s="330" t="str">
        <f t="shared" si="11"/>
        <v/>
      </c>
      <c r="J113" s="318" t="str" cm="1">
        <f t="array" ref="J113">IFERROR(INDEX(_xlfn.ANCHORARRAY($P$6),ROW()-5,3),"")</f>
        <v/>
      </c>
      <c r="K113" s="432" t="str" cm="1">
        <f t="array" ref="K113">IF(OR($A113="",$J113&lt;&gt;"DIESEL"),"",_xlfn.LET(_xlpm.qty,N($C113),_xlpm.pos,$T$5:$T$54,_xlpm.alo,IF($U$5:$U$54="",0,$U$5:$U$54),_xlpm.usd,SUMIFS($C$6:$C112,$K$6:$K112,_xlpm.pos&amp;""),_xlpm.bal,_xlpm.alo-_xlpm.usd,IFERROR(INDEX(_xlfn._xlws.FILTER(_xlpm.pos,(_xlpm.pos&lt;&gt;"")*(_xlpm.qty&gt;0)*(_xlpm.bal&gt;=_xlpm.qty)),1),"")))</f>
        <v/>
      </c>
      <c r="L113" s="290"/>
    </row>
    <row r="114" spans="1:12" ht="23" x14ac:dyDescent="0.25">
      <c r="A114" s="221" t="str" cm="1">
        <f t="array" ref="A114">IFERROR(INDEX(_xlfn.ANCHORARRAY($P$6),ROW()-5,1),"")</f>
        <v/>
      </c>
      <c r="B114" s="317" t="str" cm="1">
        <f t="array" ref="B114">IFERROR(INDEX(_xlfn.ANCHORARRAY($P$6),ROW()-5,2),"")</f>
        <v/>
      </c>
      <c r="C114" s="222" t="str">
        <f>IF($A114="","",IF($J114="DIESEL",SUMIFS(Table1[Quantity],Table1[Customer],$M$3,Table1[Date],$A114,Table1[Bill No.],$B114),IF($J114="PETROL",SUMIFS(Table14[Quantity],Table14[Customer],$M$3,Table14[Date],$A114,Table14[Bill No.],$B114),IF($J114="XtraGreen",SUMIFS(Table146[Quantity],Table146[Company],$M$3,Table146[Date],$A114,Table146[Bill No.],$B114),""))))</f>
        <v/>
      </c>
      <c r="D114" s="223" t="str">
        <f>IF($A114="","",IF($J114="DIESEL",AVERAGEIFS(Table1[RSP],Table1[Customer],$M$3,Table1[Date],$A114,Table1[Bill No.],$B114),IF($J114="PETROL",AVERAGEIFS(Table14[RSP],Table14[Customer],$M$3,Table14[Date],$A114,Table14[Bill No.],$B114),IF($J114="XtraGreen",AVERAGEIFS(Table146[RSP],Table146[Company],$M$3,Table146[Date],$A114,Table146[Bill No.],$B114),IFERROR($E114/$C114,"")))))</f>
        <v/>
      </c>
      <c r="E114" s="330" t="str">
        <f>IF($A114="","",IF($J114="DIESEL",SUMIFS(Table1[Amount],Table1[Customer],$M$3,Table1[Date],$A114,Table1[Bill No.],$B114),IF($J114="PETROL",SUMIFS(Table14[Amount],Table14[Customer],$M$3,Table14[Date],$A114,Table14[Bill No.],$B114),IF($J114="XtraGreen",SUMIFS(Table146[Amount],Table146[Company],$M$3,Table146[Date],$A114,Table146[Bill No.],$B114),SUMIFS('Other Sale'!$D:$D,'Other Sale'!$E:$E,$M$3,'Other Sale'!$C:$C,$J114,'Other Sale'!$A:$A,$A114)))))</f>
        <v/>
      </c>
      <c r="F114" s="330" t="str" cm="1">
        <f t="array" ref="F114">IF($A114="","",IF($J114="Payment",IFERROR(INDEX(_xlfn._xlws.FILTER(MasterPaid[Amount Paid],(MasterPaid[Customer]=$M$3)*(MasterPaid[Date]=$A114)),COUNTIFS($A$6:$A114,$A114,$J$6:$J114,"Payment")),0),0))</f>
        <v/>
      </c>
      <c r="G114" s="331"/>
      <c r="H114" s="331"/>
      <c r="I114" s="330" t="str">
        <f t="shared" si="11"/>
        <v/>
      </c>
      <c r="J114" s="318" t="str" cm="1">
        <f t="array" ref="J114">IFERROR(INDEX(_xlfn.ANCHORARRAY($P$6),ROW()-5,3),"")</f>
        <v/>
      </c>
      <c r="K114" s="432" t="str" cm="1">
        <f t="array" ref="K114">IF(OR($A114="",$J114&lt;&gt;"DIESEL"),"",_xlfn.LET(_xlpm.qty,N($C114),_xlpm.pos,$T$5:$T$54,_xlpm.alo,IF($U$5:$U$54="",0,$U$5:$U$54),_xlpm.usd,SUMIFS($C$6:$C113,$K$6:$K113,_xlpm.pos&amp;""),_xlpm.bal,_xlpm.alo-_xlpm.usd,IFERROR(INDEX(_xlfn._xlws.FILTER(_xlpm.pos,(_xlpm.pos&lt;&gt;"")*(_xlpm.qty&gt;0)*(_xlpm.bal&gt;=_xlpm.qty)),1),"")))</f>
        <v/>
      </c>
      <c r="L114" s="290"/>
    </row>
    <row r="115" spans="1:12" ht="23" x14ac:dyDescent="0.25">
      <c r="A115" s="221" t="str" cm="1">
        <f t="array" ref="A115">IFERROR(INDEX(_xlfn.ANCHORARRAY($P$6),ROW()-5,1),"")</f>
        <v/>
      </c>
      <c r="B115" s="317" t="str" cm="1">
        <f t="array" ref="B115">IFERROR(INDEX(_xlfn.ANCHORARRAY($P$6),ROW()-5,2),"")</f>
        <v/>
      </c>
      <c r="C115" s="222" t="str">
        <f>IF($A115="","",IF($J115="DIESEL",SUMIFS(Table1[Quantity],Table1[Customer],$M$3,Table1[Date],$A115,Table1[Bill No.],$B115),IF($J115="PETROL",SUMIFS(Table14[Quantity],Table14[Customer],$M$3,Table14[Date],$A115,Table14[Bill No.],$B115),IF($J115="XtraGreen",SUMIFS(Table146[Quantity],Table146[Company],$M$3,Table146[Date],$A115,Table146[Bill No.],$B115),""))))</f>
        <v/>
      </c>
      <c r="D115" s="223" t="str">
        <f>IF($A115="","",IF($J115="DIESEL",AVERAGEIFS(Table1[RSP],Table1[Customer],$M$3,Table1[Date],$A115,Table1[Bill No.],$B115),IF($J115="PETROL",AVERAGEIFS(Table14[RSP],Table14[Customer],$M$3,Table14[Date],$A115,Table14[Bill No.],$B115),IF($J115="XtraGreen",AVERAGEIFS(Table146[RSP],Table146[Company],$M$3,Table146[Date],$A115,Table146[Bill No.],$B115),IFERROR($E115/$C115,"")))))</f>
        <v/>
      </c>
      <c r="E115" s="330" t="str">
        <f>IF($A115="","",IF($J115="DIESEL",SUMIFS(Table1[Amount],Table1[Customer],$M$3,Table1[Date],$A115,Table1[Bill No.],$B115),IF($J115="PETROL",SUMIFS(Table14[Amount],Table14[Customer],$M$3,Table14[Date],$A115,Table14[Bill No.],$B115),IF($J115="XtraGreen",SUMIFS(Table146[Amount],Table146[Company],$M$3,Table146[Date],$A115,Table146[Bill No.],$B115),SUMIFS('Other Sale'!$D:$D,'Other Sale'!$E:$E,$M$3,'Other Sale'!$C:$C,$J115,'Other Sale'!$A:$A,$A115)))))</f>
        <v/>
      </c>
      <c r="F115" s="330" t="str" cm="1">
        <f t="array" ref="F115">IF($A115="","",IF($J115="Payment",IFERROR(INDEX(_xlfn._xlws.FILTER(MasterPaid[Amount Paid],(MasterPaid[Customer]=$M$3)*(MasterPaid[Date]=$A115)),COUNTIFS($A$6:$A115,$A115,$J$6:$J115,"Payment")),0),0))</f>
        <v/>
      </c>
      <c r="G115" s="331"/>
      <c r="H115" s="331"/>
      <c r="I115" s="330" t="str">
        <f t="shared" si="11"/>
        <v/>
      </c>
      <c r="J115" s="318" t="str" cm="1">
        <f t="array" ref="J115">IFERROR(INDEX(_xlfn.ANCHORARRAY($P$6),ROW()-5,3),"")</f>
        <v/>
      </c>
      <c r="K115" s="432" t="str" cm="1">
        <f t="array" ref="K115">IF(OR($A115="",$J115&lt;&gt;"DIESEL"),"",_xlfn.LET(_xlpm.qty,N($C115),_xlpm.pos,$T$5:$T$54,_xlpm.alo,IF($U$5:$U$54="",0,$U$5:$U$54),_xlpm.usd,SUMIFS($C$6:$C114,$K$6:$K114,_xlpm.pos&amp;""),_xlpm.bal,_xlpm.alo-_xlpm.usd,IFERROR(INDEX(_xlfn._xlws.FILTER(_xlpm.pos,(_xlpm.pos&lt;&gt;"")*(_xlpm.qty&gt;0)*(_xlpm.bal&gt;=_xlpm.qty)),1),"")))</f>
        <v/>
      </c>
      <c r="L115" s="290"/>
    </row>
    <row r="116" spans="1:12" ht="23" x14ac:dyDescent="0.25">
      <c r="A116" s="221" t="str" cm="1">
        <f t="array" ref="A116">IFERROR(INDEX(_xlfn.ANCHORARRAY($P$6),ROW()-5,1),"")</f>
        <v/>
      </c>
      <c r="B116" s="317" t="str" cm="1">
        <f t="array" ref="B116">IFERROR(INDEX(_xlfn.ANCHORARRAY($P$6),ROW()-5,2),"")</f>
        <v/>
      </c>
      <c r="C116" s="222" t="str">
        <f>IF($A116="","",IF($J116="DIESEL",SUMIFS(Table1[Quantity],Table1[Customer],$M$3,Table1[Date],$A116,Table1[Bill No.],$B116),IF($J116="PETROL",SUMIFS(Table14[Quantity],Table14[Customer],$M$3,Table14[Date],$A116,Table14[Bill No.],$B116),IF($J116="XtraGreen",SUMIFS(Table146[Quantity],Table146[Company],$M$3,Table146[Date],$A116,Table146[Bill No.],$B116),""))))</f>
        <v/>
      </c>
      <c r="D116" s="223" t="str">
        <f>IF($A116="","",IF($J116="DIESEL",AVERAGEIFS(Table1[RSP],Table1[Customer],$M$3,Table1[Date],$A116,Table1[Bill No.],$B116),IF($J116="PETROL",AVERAGEIFS(Table14[RSP],Table14[Customer],$M$3,Table14[Date],$A116,Table14[Bill No.],$B116),IF($J116="XtraGreen",AVERAGEIFS(Table146[RSP],Table146[Company],$M$3,Table146[Date],$A116,Table146[Bill No.],$B116),IFERROR($E116/$C116,"")))))</f>
        <v/>
      </c>
      <c r="E116" s="330" t="str">
        <f>IF($A116="","",IF($J116="DIESEL",SUMIFS(Table1[Amount],Table1[Customer],$M$3,Table1[Date],$A116,Table1[Bill No.],$B116),IF($J116="PETROL",SUMIFS(Table14[Amount],Table14[Customer],$M$3,Table14[Date],$A116,Table14[Bill No.],$B116),IF($J116="XtraGreen",SUMIFS(Table146[Amount],Table146[Company],$M$3,Table146[Date],$A116,Table146[Bill No.],$B116),SUMIFS('Other Sale'!$D:$D,'Other Sale'!$E:$E,$M$3,'Other Sale'!$C:$C,$J116,'Other Sale'!$A:$A,$A116)))))</f>
        <v/>
      </c>
      <c r="F116" s="330" t="str" cm="1">
        <f t="array" ref="F116">IF($A116="","",IF($J116="Payment",IFERROR(INDEX(_xlfn._xlws.FILTER(MasterPaid[Amount Paid],(MasterPaid[Customer]=$M$3)*(MasterPaid[Date]=$A116)),COUNTIFS($A$6:$A116,$A116,$J$6:$J116,"Payment")),0),0))</f>
        <v/>
      </c>
      <c r="G116" s="331"/>
      <c r="H116" s="331"/>
      <c r="I116" s="330" t="str">
        <f t="shared" si="11"/>
        <v/>
      </c>
      <c r="J116" s="318" t="str" cm="1">
        <f t="array" ref="J116">IFERROR(INDEX(_xlfn.ANCHORARRAY($P$6),ROW()-5,3),"")</f>
        <v/>
      </c>
      <c r="K116" s="432" t="str" cm="1">
        <f t="array" ref="K116">IF(OR($A116="",$J116&lt;&gt;"DIESEL"),"",_xlfn.LET(_xlpm.qty,N($C116),_xlpm.pos,$T$5:$T$54,_xlpm.alo,IF($U$5:$U$54="",0,$U$5:$U$54),_xlpm.usd,SUMIFS($C$6:$C115,$K$6:$K115,_xlpm.pos&amp;""),_xlpm.bal,_xlpm.alo-_xlpm.usd,IFERROR(INDEX(_xlfn._xlws.FILTER(_xlpm.pos,(_xlpm.pos&lt;&gt;"")*(_xlpm.qty&gt;0)*(_xlpm.bal&gt;=_xlpm.qty)),1),"")))</f>
        <v/>
      </c>
      <c r="L116" s="290"/>
    </row>
    <row r="117" spans="1:12" ht="23" x14ac:dyDescent="0.25">
      <c r="A117" s="221" t="str" cm="1">
        <f t="array" ref="A117">IFERROR(INDEX(_xlfn.ANCHORARRAY($P$6),ROW()-5,1),"")</f>
        <v/>
      </c>
      <c r="B117" s="317" t="str" cm="1">
        <f t="array" ref="B117">IFERROR(INDEX(_xlfn.ANCHORARRAY($P$6),ROW()-5,2),"")</f>
        <v/>
      </c>
      <c r="C117" s="222" t="str">
        <f>IF($A117="","",IF($J117="DIESEL",SUMIFS(Table1[Quantity],Table1[Customer],$M$3,Table1[Date],$A117,Table1[Bill No.],$B117),IF($J117="PETROL",SUMIFS(Table14[Quantity],Table14[Customer],$M$3,Table14[Date],$A117,Table14[Bill No.],$B117),IF($J117="XtraGreen",SUMIFS(Table146[Quantity],Table146[Company],$M$3,Table146[Date],$A117,Table146[Bill No.],$B117),""))))</f>
        <v/>
      </c>
      <c r="D117" s="223" t="str">
        <f>IF($A117="","",IF($J117="DIESEL",AVERAGEIFS(Table1[RSP],Table1[Customer],$M$3,Table1[Date],$A117,Table1[Bill No.],$B117),IF($J117="PETROL",AVERAGEIFS(Table14[RSP],Table14[Customer],$M$3,Table14[Date],$A117,Table14[Bill No.],$B117),IF($J117="XtraGreen",AVERAGEIFS(Table146[RSP],Table146[Company],$M$3,Table146[Date],$A117,Table146[Bill No.],$B117),IFERROR($E117/$C117,"")))))</f>
        <v/>
      </c>
      <c r="E117" s="330" t="str">
        <f>IF($A117="","",IF($J117="DIESEL",SUMIFS(Table1[Amount],Table1[Customer],$M$3,Table1[Date],$A117,Table1[Bill No.],$B117),IF($J117="PETROL",SUMIFS(Table14[Amount],Table14[Customer],$M$3,Table14[Date],$A117,Table14[Bill No.],$B117),IF($J117="XtraGreen",SUMIFS(Table146[Amount],Table146[Company],$M$3,Table146[Date],$A117,Table146[Bill No.],$B117),SUMIFS('Other Sale'!$D:$D,'Other Sale'!$E:$E,$M$3,'Other Sale'!$C:$C,$J117,'Other Sale'!$A:$A,$A117)))))</f>
        <v/>
      </c>
      <c r="F117" s="330" t="str" cm="1">
        <f t="array" ref="F117">IF($A117="","",IF($J117="Payment",IFERROR(INDEX(_xlfn._xlws.FILTER(MasterPaid[Amount Paid],(MasterPaid[Customer]=$M$3)*(MasterPaid[Date]=$A117)),COUNTIFS($A$6:$A117,$A117,$J$6:$J117,"Payment")),0),0))</f>
        <v/>
      </c>
      <c r="G117" s="331"/>
      <c r="H117" s="331"/>
      <c r="I117" s="330" t="str">
        <f t="shared" si="11"/>
        <v/>
      </c>
      <c r="J117" s="318" t="str" cm="1">
        <f t="array" ref="J117">IFERROR(INDEX(_xlfn.ANCHORARRAY($P$6),ROW()-5,3),"")</f>
        <v/>
      </c>
      <c r="K117" s="432" t="str" cm="1">
        <f t="array" ref="K117">IF(OR($A117="",$J117&lt;&gt;"DIESEL"),"",_xlfn.LET(_xlpm.qty,N($C117),_xlpm.pos,$T$5:$T$54,_xlpm.alo,IF($U$5:$U$54="",0,$U$5:$U$54),_xlpm.usd,SUMIFS($C$6:$C116,$K$6:$K116,_xlpm.pos&amp;""),_xlpm.bal,_xlpm.alo-_xlpm.usd,IFERROR(INDEX(_xlfn._xlws.FILTER(_xlpm.pos,(_xlpm.pos&lt;&gt;"")*(_xlpm.qty&gt;0)*(_xlpm.bal&gt;=_xlpm.qty)),1),"")))</f>
        <v/>
      </c>
      <c r="L117" s="290"/>
    </row>
    <row r="118" spans="1:12" ht="23" x14ac:dyDescent="0.25">
      <c r="A118" s="221" t="str" cm="1">
        <f t="array" ref="A118">IFERROR(INDEX(_xlfn.ANCHORARRAY($P$6),ROW()-5,1),"")</f>
        <v/>
      </c>
      <c r="B118" s="317" t="str" cm="1">
        <f t="array" ref="B118">IFERROR(INDEX(_xlfn.ANCHORARRAY($P$6),ROW()-5,2),"")</f>
        <v/>
      </c>
      <c r="C118" s="222" t="str">
        <f>IF($A118="","",IF($J118="DIESEL",SUMIFS(Table1[Quantity],Table1[Customer],$M$3,Table1[Date],$A118,Table1[Bill No.],$B118),IF($J118="PETROL",SUMIFS(Table14[Quantity],Table14[Customer],$M$3,Table14[Date],$A118,Table14[Bill No.],$B118),IF($J118="XtraGreen",SUMIFS(Table146[Quantity],Table146[Company],$M$3,Table146[Date],$A118,Table146[Bill No.],$B118),""))))</f>
        <v/>
      </c>
      <c r="D118" s="223" t="str">
        <f>IF($A118="","",IF($J118="DIESEL",AVERAGEIFS(Table1[RSP],Table1[Customer],$M$3,Table1[Date],$A118,Table1[Bill No.],$B118),IF($J118="PETROL",AVERAGEIFS(Table14[RSP],Table14[Customer],$M$3,Table14[Date],$A118,Table14[Bill No.],$B118),IF($J118="XtraGreen",AVERAGEIFS(Table146[RSP],Table146[Company],$M$3,Table146[Date],$A118,Table146[Bill No.],$B118),IFERROR($E118/$C118,"")))))</f>
        <v/>
      </c>
      <c r="E118" s="330" t="str">
        <f>IF($A118="","",IF($J118="DIESEL",SUMIFS(Table1[Amount],Table1[Customer],$M$3,Table1[Date],$A118,Table1[Bill No.],$B118),IF($J118="PETROL",SUMIFS(Table14[Amount],Table14[Customer],$M$3,Table14[Date],$A118,Table14[Bill No.],$B118),IF($J118="XtraGreen",SUMIFS(Table146[Amount],Table146[Company],$M$3,Table146[Date],$A118,Table146[Bill No.],$B118),SUMIFS('Other Sale'!$D:$D,'Other Sale'!$E:$E,$M$3,'Other Sale'!$C:$C,$J118,'Other Sale'!$A:$A,$A118)))))</f>
        <v/>
      </c>
      <c r="F118" s="330" t="str" cm="1">
        <f t="array" ref="F118">IF($A118="","",IF($J118="Payment",IFERROR(INDEX(_xlfn._xlws.FILTER(MasterPaid[Amount Paid],(MasterPaid[Customer]=$M$3)*(MasterPaid[Date]=$A118)),COUNTIFS($A$6:$A118,$A118,$J$6:$J118,"Payment")),0),0))</f>
        <v/>
      </c>
      <c r="G118" s="331"/>
      <c r="H118" s="331"/>
      <c r="I118" s="330" t="str">
        <f t="shared" si="11"/>
        <v/>
      </c>
      <c r="J118" s="318" t="str" cm="1">
        <f t="array" ref="J118">IFERROR(INDEX(_xlfn.ANCHORARRAY($P$6),ROW()-5,3),"")</f>
        <v/>
      </c>
      <c r="K118" s="432" t="str" cm="1">
        <f t="array" ref="K118">IF(OR($A118="",$J118&lt;&gt;"DIESEL"),"",_xlfn.LET(_xlpm.qty,N($C118),_xlpm.pos,$T$5:$T$54,_xlpm.alo,IF($U$5:$U$54="",0,$U$5:$U$54),_xlpm.usd,SUMIFS($C$6:$C117,$K$6:$K117,_xlpm.pos&amp;""),_xlpm.bal,_xlpm.alo-_xlpm.usd,IFERROR(INDEX(_xlfn._xlws.FILTER(_xlpm.pos,(_xlpm.pos&lt;&gt;"")*(_xlpm.qty&gt;0)*(_xlpm.bal&gt;=_xlpm.qty)),1),"")))</f>
        <v/>
      </c>
      <c r="L118" s="290"/>
    </row>
    <row r="119" spans="1:12" ht="23" x14ac:dyDescent="0.25">
      <c r="A119" s="221" t="str" cm="1">
        <f t="array" ref="A119">IFERROR(INDEX(_xlfn.ANCHORARRAY($P$6),ROW()-5,1),"")</f>
        <v/>
      </c>
      <c r="B119" s="317" t="str" cm="1">
        <f t="array" ref="B119">IFERROR(INDEX(_xlfn.ANCHORARRAY($P$6),ROW()-5,2),"")</f>
        <v/>
      </c>
      <c r="C119" s="222" t="str">
        <f>IF($A119="","",IF($J119="DIESEL",SUMIFS(Table1[Quantity],Table1[Customer],$M$3,Table1[Date],$A119,Table1[Bill No.],$B119),IF($J119="PETROL",SUMIFS(Table14[Quantity],Table14[Customer],$M$3,Table14[Date],$A119,Table14[Bill No.],$B119),IF($J119="XtraGreen",SUMIFS(Table146[Quantity],Table146[Company],$M$3,Table146[Date],$A119,Table146[Bill No.],$B119),""))))</f>
        <v/>
      </c>
      <c r="D119" s="223" t="str">
        <f>IF($A119="","",IF($J119="DIESEL",AVERAGEIFS(Table1[RSP],Table1[Customer],$M$3,Table1[Date],$A119,Table1[Bill No.],$B119),IF($J119="PETROL",AVERAGEIFS(Table14[RSP],Table14[Customer],$M$3,Table14[Date],$A119,Table14[Bill No.],$B119),IF($J119="XtraGreen",AVERAGEIFS(Table146[RSP],Table146[Company],$M$3,Table146[Date],$A119,Table146[Bill No.],$B119),IFERROR($E119/$C119,"")))))</f>
        <v/>
      </c>
      <c r="E119" s="330" t="str">
        <f>IF($A119="","",IF($J119="DIESEL",SUMIFS(Table1[Amount],Table1[Customer],$M$3,Table1[Date],$A119,Table1[Bill No.],$B119),IF($J119="PETROL",SUMIFS(Table14[Amount],Table14[Customer],$M$3,Table14[Date],$A119,Table14[Bill No.],$B119),IF($J119="XtraGreen",SUMIFS(Table146[Amount],Table146[Company],$M$3,Table146[Date],$A119,Table146[Bill No.],$B119),SUMIFS('Other Sale'!$D:$D,'Other Sale'!$E:$E,$M$3,'Other Sale'!$C:$C,$J119,'Other Sale'!$A:$A,$A119)))))</f>
        <v/>
      </c>
      <c r="F119" s="330" t="str" cm="1">
        <f t="array" ref="F119">IF($A119="","",IF($J119="Payment",IFERROR(INDEX(_xlfn._xlws.FILTER(MasterPaid[Amount Paid],(MasterPaid[Customer]=$M$3)*(MasterPaid[Date]=$A119)),COUNTIFS($A$6:$A119,$A119,$J$6:$J119,"Payment")),0),0))</f>
        <v/>
      </c>
      <c r="G119" s="331"/>
      <c r="H119" s="331"/>
      <c r="I119" s="330" t="str">
        <f t="shared" si="11"/>
        <v/>
      </c>
      <c r="J119" s="318" t="str" cm="1">
        <f t="array" ref="J119">IFERROR(INDEX(_xlfn.ANCHORARRAY($P$6),ROW()-5,3),"")</f>
        <v/>
      </c>
      <c r="K119" s="432" t="str" cm="1">
        <f t="array" ref="K119">IF(OR($A119="",$J119&lt;&gt;"DIESEL"),"",_xlfn.LET(_xlpm.qty,N($C119),_xlpm.pos,$T$5:$T$54,_xlpm.alo,IF($U$5:$U$54="",0,$U$5:$U$54),_xlpm.usd,SUMIFS($C$6:$C118,$K$6:$K118,_xlpm.pos&amp;""),_xlpm.bal,_xlpm.alo-_xlpm.usd,IFERROR(INDEX(_xlfn._xlws.FILTER(_xlpm.pos,(_xlpm.pos&lt;&gt;"")*(_xlpm.qty&gt;0)*(_xlpm.bal&gt;=_xlpm.qty)),1),"")))</f>
        <v/>
      </c>
      <c r="L119" s="290"/>
    </row>
    <row r="120" spans="1:12" ht="23" x14ac:dyDescent="0.25">
      <c r="A120" s="221" t="str" cm="1">
        <f t="array" ref="A120">IFERROR(INDEX(_xlfn.ANCHORARRAY($P$6),ROW()-5,1),"")</f>
        <v/>
      </c>
      <c r="B120" s="317" t="str" cm="1">
        <f t="array" ref="B120">IFERROR(INDEX(_xlfn.ANCHORARRAY($P$6),ROW()-5,2),"")</f>
        <v/>
      </c>
      <c r="C120" s="222" t="str">
        <f>IF($A120="","",IF($J120="DIESEL",SUMIFS(Table1[Quantity],Table1[Customer],$M$3,Table1[Date],$A120,Table1[Bill No.],$B120),IF($J120="PETROL",SUMIFS(Table14[Quantity],Table14[Customer],$M$3,Table14[Date],$A120,Table14[Bill No.],$B120),IF($J120="XtraGreen",SUMIFS(Table146[Quantity],Table146[Company],$M$3,Table146[Date],$A120,Table146[Bill No.],$B120),""))))</f>
        <v/>
      </c>
      <c r="D120" s="223" t="str">
        <f>IF($A120="","",IF($J120="DIESEL",AVERAGEIFS(Table1[RSP],Table1[Customer],$M$3,Table1[Date],$A120,Table1[Bill No.],$B120),IF($J120="PETROL",AVERAGEIFS(Table14[RSP],Table14[Customer],$M$3,Table14[Date],$A120,Table14[Bill No.],$B120),IF($J120="XtraGreen",AVERAGEIFS(Table146[RSP],Table146[Company],$M$3,Table146[Date],$A120,Table146[Bill No.],$B120),IFERROR($E120/$C120,"")))))</f>
        <v/>
      </c>
      <c r="E120" s="330" t="str">
        <f>IF($A120="","",IF($J120="DIESEL",SUMIFS(Table1[Amount],Table1[Customer],$M$3,Table1[Date],$A120,Table1[Bill No.],$B120),IF($J120="PETROL",SUMIFS(Table14[Amount],Table14[Customer],$M$3,Table14[Date],$A120,Table14[Bill No.],$B120),IF($J120="XtraGreen",SUMIFS(Table146[Amount],Table146[Company],$M$3,Table146[Date],$A120,Table146[Bill No.],$B120),SUMIFS('Other Sale'!$D:$D,'Other Sale'!$E:$E,$M$3,'Other Sale'!$C:$C,$J120,'Other Sale'!$A:$A,$A120)))))</f>
        <v/>
      </c>
      <c r="F120" s="330" t="str" cm="1">
        <f t="array" ref="F120">IF($A120="","",IF($J120="Payment",IFERROR(INDEX(_xlfn._xlws.FILTER(MasterPaid[Amount Paid],(MasterPaid[Customer]=$M$3)*(MasterPaid[Date]=$A120)),COUNTIFS($A$6:$A120,$A120,$J$6:$J120,"Payment")),0),0))</f>
        <v/>
      </c>
      <c r="G120" s="331"/>
      <c r="H120" s="331"/>
      <c r="I120" s="330" t="str">
        <f t="shared" si="11"/>
        <v/>
      </c>
      <c r="J120" s="318" t="str" cm="1">
        <f t="array" ref="J120">IFERROR(INDEX(_xlfn.ANCHORARRAY($P$6),ROW()-5,3),"")</f>
        <v/>
      </c>
      <c r="K120" s="432" t="str" cm="1">
        <f t="array" ref="K120">IF(OR($A120="",$J120&lt;&gt;"DIESEL"),"",_xlfn.LET(_xlpm.qty,N($C120),_xlpm.pos,$T$5:$T$54,_xlpm.alo,IF($U$5:$U$54="",0,$U$5:$U$54),_xlpm.usd,SUMIFS($C$6:$C119,$K$6:$K119,_xlpm.pos&amp;""),_xlpm.bal,_xlpm.alo-_xlpm.usd,IFERROR(INDEX(_xlfn._xlws.FILTER(_xlpm.pos,(_xlpm.pos&lt;&gt;"")*(_xlpm.qty&gt;0)*(_xlpm.bal&gt;=_xlpm.qty)),1),"")))</f>
        <v/>
      </c>
      <c r="L120" s="290"/>
    </row>
    <row r="121" spans="1:12" ht="23" x14ac:dyDescent="0.25">
      <c r="A121" s="221" t="str" cm="1">
        <f t="array" ref="A121">IFERROR(INDEX(_xlfn.ANCHORARRAY($P$6),ROW()-5,1),"")</f>
        <v/>
      </c>
      <c r="B121" s="317" t="str" cm="1">
        <f t="array" ref="B121">IFERROR(INDEX(_xlfn.ANCHORARRAY($P$6),ROW()-5,2),"")</f>
        <v/>
      </c>
      <c r="C121" s="222" t="str">
        <f>IF($A121="","",IF($J121="DIESEL",SUMIFS(Table1[Quantity],Table1[Customer],$M$3,Table1[Date],$A121,Table1[Bill No.],$B121),IF($J121="PETROL",SUMIFS(Table14[Quantity],Table14[Customer],$M$3,Table14[Date],$A121,Table14[Bill No.],$B121),IF($J121="XtraGreen",SUMIFS(Table146[Quantity],Table146[Company],$M$3,Table146[Date],$A121,Table146[Bill No.],$B121),""))))</f>
        <v/>
      </c>
      <c r="D121" s="223" t="str">
        <f>IF($A121="","",IF($J121="DIESEL",AVERAGEIFS(Table1[RSP],Table1[Customer],$M$3,Table1[Date],$A121,Table1[Bill No.],$B121),IF($J121="PETROL",AVERAGEIFS(Table14[RSP],Table14[Customer],$M$3,Table14[Date],$A121,Table14[Bill No.],$B121),IF($J121="XtraGreen",AVERAGEIFS(Table146[RSP],Table146[Company],$M$3,Table146[Date],$A121,Table146[Bill No.],$B121),IFERROR($E121/$C121,"")))))</f>
        <v/>
      </c>
      <c r="E121" s="330" t="str">
        <f>IF($A121="","",IF($J121="DIESEL",SUMIFS(Table1[Amount],Table1[Customer],$M$3,Table1[Date],$A121,Table1[Bill No.],$B121),IF($J121="PETROL",SUMIFS(Table14[Amount],Table14[Customer],$M$3,Table14[Date],$A121,Table14[Bill No.],$B121),IF($J121="XtraGreen",SUMIFS(Table146[Amount],Table146[Company],$M$3,Table146[Date],$A121,Table146[Bill No.],$B121),SUMIFS('Other Sale'!$D:$D,'Other Sale'!$E:$E,$M$3,'Other Sale'!$C:$C,$J121,'Other Sale'!$A:$A,$A121)))))</f>
        <v/>
      </c>
      <c r="F121" s="330" t="str" cm="1">
        <f t="array" ref="F121">IF($A121="","",IF($J121="Payment",IFERROR(INDEX(_xlfn._xlws.FILTER(MasterPaid[Amount Paid],(MasterPaid[Customer]=$M$3)*(MasterPaid[Date]=$A121)),COUNTIFS($A$6:$A121,$A121,$J$6:$J121,"Payment")),0),0))</f>
        <v/>
      </c>
      <c r="G121" s="331"/>
      <c r="H121" s="331"/>
      <c r="I121" s="330" t="str">
        <f t="shared" si="11"/>
        <v/>
      </c>
      <c r="J121" s="318" t="str" cm="1">
        <f t="array" ref="J121">IFERROR(INDEX(_xlfn.ANCHORARRAY($P$6),ROW()-5,3),"")</f>
        <v/>
      </c>
      <c r="K121" s="432" t="str" cm="1">
        <f t="array" ref="K121">IF(OR($A121="",$J121&lt;&gt;"DIESEL"),"",_xlfn.LET(_xlpm.qty,N($C121),_xlpm.pos,$T$5:$T$54,_xlpm.alo,IF($U$5:$U$54="",0,$U$5:$U$54),_xlpm.usd,SUMIFS($C$6:$C120,$K$6:$K120,_xlpm.pos&amp;""),_xlpm.bal,_xlpm.alo-_xlpm.usd,IFERROR(INDEX(_xlfn._xlws.FILTER(_xlpm.pos,(_xlpm.pos&lt;&gt;"")*(_xlpm.qty&gt;0)*(_xlpm.bal&gt;=_xlpm.qty)),1),"")))</f>
        <v/>
      </c>
      <c r="L121" s="290"/>
    </row>
    <row r="122" spans="1:12" ht="23" x14ac:dyDescent="0.25">
      <c r="A122" s="221" t="str" cm="1">
        <f t="array" ref="A122">IFERROR(INDEX(_xlfn.ANCHORARRAY($P$6),ROW()-5,1),"")</f>
        <v/>
      </c>
      <c r="B122" s="317" t="str" cm="1">
        <f t="array" ref="B122">IFERROR(INDEX(_xlfn.ANCHORARRAY($P$6),ROW()-5,2),"")</f>
        <v/>
      </c>
      <c r="C122" s="222" t="str">
        <f>IF($A122="","",IF($J122="DIESEL",SUMIFS(Table1[Quantity],Table1[Customer],$M$3,Table1[Date],$A122,Table1[Bill No.],$B122),IF($J122="PETROL",SUMIFS(Table14[Quantity],Table14[Customer],$M$3,Table14[Date],$A122,Table14[Bill No.],$B122),IF($J122="XtraGreen",SUMIFS(Table146[Quantity],Table146[Company],$M$3,Table146[Date],$A122,Table146[Bill No.],$B122),""))))</f>
        <v/>
      </c>
      <c r="D122" s="223" t="str">
        <f>IF($A122="","",IF($J122="DIESEL",AVERAGEIFS(Table1[RSP],Table1[Customer],$M$3,Table1[Date],$A122,Table1[Bill No.],$B122),IF($J122="PETROL",AVERAGEIFS(Table14[RSP],Table14[Customer],$M$3,Table14[Date],$A122,Table14[Bill No.],$B122),IF($J122="XtraGreen",AVERAGEIFS(Table146[RSP],Table146[Company],$M$3,Table146[Date],$A122,Table146[Bill No.],$B122),IFERROR($E122/$C122,"")))))</f>
        <v/>
      </c>
      <c r="E122" s="330" t="str">
        <f>IF($A122="","",IF($J122="DIESEL",SUMIFS(Table1[Amount],Table1[Customer],$M$3,Table1[Date],$A122,Table1[Bill No.],$B122),IF($J122="PETROL",SUMIFS(Table14[Amount],Table14[Customer],$M$3,Table14[Date],$A122,Table14[Bill No.],$B122),IF($J122="XtraGreen",SUMIFS(Table146[Amount],Table146[Company],$M$3,Table146[Date],$A122,Table146[Bill No.],$B122),SUMIFS('Other Sale'!$D:$D,'Other Sale'!$E:$E,$M$3,'Other Sale'!$C:$C,$J122,'Other Sale'!$A:$A,$A122)))))</f>
        <v/>
      </c>
      <c r="F122" s="330" t="str" cm="1">
        <f t="array" ref="F122">IF($A122="","",IF($J122="Payment",IFERROR(INDEX(_xlfn._xlws.FILTER(MasterPaid[Amount Paid],(MasterPaid[Customer]=$M$3)*(MasterPaid[Date]=$A122)),COUNTIFS($A$6:$A122,$A122,$J$6:$J122,"Payment")),0),0))</f>
        <v/>
      </c>
      <c r="G122" s="331"/>
      <c r="H122" s="331"/>
      <c r="I122" s="330" t="str">
        <f t="shared" si="11"/>
        <v/>
      </c>
      <c r="J122" s="318" t="str" cm="1">
        <f t="array" ref="J122">IFERROR(INDEX(_xlfn.ANCHORARRAY($P$6),ROW()-5,3),"")</f>
        <v/>
      </c>
      <c r="K122" s="432" t="str" cm="1">
        <f t="array" ref="K122">IF(OR($A122="",$J122&lt;&gt;"DIESEL"),"",_xlfn.LET(_xlpm.qty,N($C122),_xlpm.pos,$T$5:$T$54,_xlpm.alo,IF($U$5:$U$54="",0,$U$5:$U$54),_xlpm.usd,SUMIFS($C$6:$C121,$K$6:$K121,_xlpm.pos&amp;""),_xlpm.bal,_xlpm.alo-_xlpm.usd,IFERROR(INDEX(_xlfn._xlws.FILTER(_xlpm.pos,(_xlpm.pos&lt;&gt;"")*(_xlpm.qty&gt;0)*(_xlpm.bal&gt;=_xlpm.qty)),1),"")))</f>
        <v/>
      </c>
      <c r="L122" s="290"/>
    </row>
    <row r="123" spans="1:12" ht="23" x14ac:dyDescent="0.25">
      <c r="A123" s="221" t="str" cm="1">
        <f t="array" ref="A123">IFERROR(INDEX(_xlfn.ANCHORARRAY($P$6),ROW()-5,1),"")</f>
        <v/>
      </c>
      <c r="B123" s="317" t="str" cm="1">
        <f t="array" ref="B123">IFERROR(INDEX(_xlfn.ANCHORARRAY($P$6),ROW()-5,2),"")</f>
        <v/>
      </c>
      <c r="C123" s="222" t="str">
        <f>IF($A123="","",IF($J123="DIESEL",SUMIFS(Table1[Quantity],Table1[Customer],$M$3,Table1[Date],$A123,Table1[Bill No.],$B123),IF($J123="PETROL",SUMIFS(Table14[Quantity],Table14[Customer],$M$3,Table14[Date],$A123,Table14[Bill No.],$B123),IF($J123="XtraGreen",SUMIFS(Table146[Quantity],Table146[Company],$M$3,Table146[Date],$A123,Table146[Bill No.],$B123),""))))</f>
        <v/>
      </c>
      <c r="D123" s="223" t="str">
        <f>IF($A123="","",IF($J123="DIESEL",AVERAGEIFS(Table1[RSP],Table1[Customer],$M$3,Table1[Date],$A123,Table1[Bill No.],$B123),IF($J123="PETROL",AVERAGEIFS(Table14[RSP],Table14[Customer],$M$3,Table14[Date],$A123,Table14[Bill No.],$B123),IF($J123="XtraGreen",AVERAGEIFS(Table146[RSP],Table146[Company],$M$3,Table146[Date],$A123,Table146[Bill No.],$B123),IFERROR($E123/$C123,"")))))</f>
        <v/>
      </c>
      <c r="E123" s="330" t="str">
        <f>IF($A123="","",IF($J123="DIESEL",SUMIFS(Table1[Amount],Table1[Customer],$M$3,Table1[Date],$A123,Table1[Bill No.],$B123),IF($J123="PETROL",SUMIFS(Table14[Amount],Table14[Customer],$M$3,Table14[Date],$A123,Table14[Bill No.],$B123),IF($J123="XtraGreen",SUMIFS(Table146[Amount],Table146[Company],$M$3,Table146[Date],$A123,Table146[Bill No.],$B123),SUMIFS('Other Sale'!$D:$D,'Other Sale'!$E:$E,$M$3,'Other Sale'!$C:$C,$J123,'Other Sale'!$A:$A,$A123)))))</f>
        <v/>
      </c>
      <c r="F123" s="330" t="str" cm="1">
        <f t="array" ref="F123">IF($A123="","",IF($J123="Payment",IFERROR(INDEX(_xlfn._xlws.FILTER(MasterPaid[Amount Paid],(MasterPaid[Customer]=$M$3)*(MasterPaid[Date]=$A123)),COUNTIFS($A$6:$A123,$A123,$J$6:$J123,"Payment")),0),0))</f>
        <v/>
      </c>
      <c r="G123" s="331"/>
      <c r="H123" s="331"/>
      <c r="I123" s="330" t="str">
        <f t="shared" si="11"/>
        <v/>
      </c>
      <c r="J123" s="318" t="str" cm="1">
        <f t="array" ref="J123">IFERROR(INDEX(_xlfn.ANCHORARRAY($P$6),ROW()-5,3),"")</f>
        <v/>
      </c>
      <c r="K123" s="432" t="str" cm="1">
        <f t="array" ref="K123">IF(OR($A123="",$J123&lt;&gt;"DIESEL"),"",_xlfn.LET(_xlpm.qty,N($C123),_xlpm.pos,$T$5:$T$54,_xlpm.alo,IF($U$5:$U$54="",0,$U$5:$U$54),_xlpm.usd,SUMIFS($C$6:$C122,$K$6:$K122,_xlpm.pos&amp;""),_xlpm.bal,_xlpm.alo-_xlpm.usd,IFERROR(INDEX(_xlfn._xlws.FILTER(_xlpm.pos,(_xlpm.pos&lt;&gt;"")*(_xlpm.qty&gt;0)*(_xlpm.bal&gt;=_xlpm.qty)),1),"")))</f>
        <v/>
      </c>
      <c r="L123" s="290"/>
    </row>
    <row r="124" spans="1:12" ht="23" x14ac:dyDescent="0.25">
      <c r="A124" s="221" t="str" cm="1">
        <f t="array" ref="A124">IFERROR(INDEX(_xlfn.ANCHORARRAY($P$6),ROW()-5,1),"")</f>
        <v/>
      </c>
      <c r="B124" s="317" t="str" cm="1">
        <f t="array" ref="B124">IFERROR(INDEX(_xlfn.ANCHORARRAY($P$6),ROW()-5,2),"")</f>
        <v/>
      </c>
      <c r="C124" s="222" t="str">
        <f>IF($A124="","",IF($J124="DIESEL",SUMIFS(Table1[Quantity],Table1[Customer],$M$3,Table1[Date],$A124,Table1[Bill No.],$B124),IF($J124="PETROL",SUMIFS(Table14[Quantity],Table14[Customer],$M$3,Table14[Date],$A124,Table14[Bill No.],$B124),IF($J124="XtraGreen",SUMIFS(Table146[Quantity],Table146[Company],$M$3,Table146[Date],$A124,Table146[Bill No.],$B124),""))))</f>
        <v/>
      </c>
      <c r="D124" s="223" t="str">
        <f>IF($A124="","",IF($J124="DIESEL",AVERAGEIFS(Table1[RSP],Table1[Customer],$M$3,Table1[Date],$A124,Table1[Bill No.],$B124),IF($J124="PETROL",AVERAGEIFS(Table14[RSP],Table14[Customer],$M$3,Table14[Date],$A124,Table14[Bill No.],$B124),IF($J124="XtraGreen",AVERAGEIFS(Table146[RSP],Table146[Company],$M$3,Table146[Date],$A124,Table146[Bill No.],$B124),IFERROR($E124/$C124,"")))))</f>
        <v/>
      </c>
      <c r="E124" s="330" t="str">
        <f>IF($A124="","",IF($J124="DIESEL",SUMIFS(Table1[Amount],Table1[Customer],$M$3,Table1[Date],$A124,Table1[Bill No.],$B124),IF($J124="PETROL",SUMIFS(Table14[Amount],Table14[Customer],$M$3,Table14[Date],$A124,Table14[Bill No.],$B124),IF($J124="XtraGreen",SUMIFS(Table146[Amount],Table146[Company],$M$3,Table146[Date],$A124,Table146[Bill No.],$B124),SUMIFS('Other Sale'!$D:$D,'Other Sale'!$E:$E,$M$3,'Other Sale'!$C:$C,$J124,'Other Sale'!$A:$A,$A124)))))</f>
        <v/>
      </c>
      <c r="F124" s="330" t="str" cm="1">
        <f t="array" ref="F124">IF($A124="","",IF($J124="Payment",IFERROR(INDEX(_xlfn._xlws.FILTER(MasterPaid[Amount Paid],(MasterPaid[Customer]=$M$3)*(MasterPaid[Date]=$A124)),COUNTIFS($A$6:$A124,$A124,$J$6:$J124,"Payment")),0),0))</f>
        <v/>
      </c>
      <c r="G124" s="331"/>
      <c r="H124" s="331"/>
      <c r="I124" s="330" t="str">
        <f t="shared" si="11"/>
        <v/>
      </c>
      <c r="J124" s="318" t="str" cm="1">
        <f t="array" ref="J124">IFERROR(INDEX(_xlfn.ANCHORARRAY($P$6),ROW()-5,3),"")</f>
        <v/>
      </c>
      <c r="K124" s="432" t="str" cm="1">
        <f t="array" ref="K124">IF(OR($A124="",$J124&lt;&gt;"DIESEL"),"",_xlfn.LET(_xlpm.qty,N($C124),_xlpm.pos,$T$5:$T$54,_xlpm.alo,IF($U$5:$U$54="",0,$U$5:$U$54),_xlpm.usd,SUMIFS($C$6:$C123,$K$6:$K123,_xlpm.pos&amp;""),_xlpm.bal,_xlpm.alo-_xlpm.usd,IFERROR(INDEX(_xlfn._xlws.FILTER(_xlpm.pos,(_xlpm.pos&lt;&gt;"")*(_xlpm.qty&gt;0)*(_xlpm.bal&gt;=_xlpm.qty)),1),"")))</f>
        <v/>
      </c>
      <c r="L124" s="290"/>
    </row>
    <row r="125" spans="1:12" ht="23" x14ac:dyDescent="0.25">
      <c r="A125" s="221" t="str" cm="1">
        <f t="array" ref="A125">IFERROR(INDEX(_xlfn.ANCHORARRAY($P$6),ROW()-5,1),"")</f>
        <v/>
      </c>
      <c r="B125" s="317" t="str" cm="1">
        <f t="array" ref="B125">IFERROR(INDEX(_xlfn.ANCHORARRAY($P$6),ROW()-5,2),"")</f>
        <v/>
      </c>
      <c r="C125" s="222" t="str">
        <f>IF($A125="","",IF($J125="DIESEL",SUMIFS(Table1[Quantity],Table1[Customer],$M$3,Table1[Date],$A125,Table1[Bill No.],$B125),IF($J125="PETROL",SUMIFS(Table14[Quantity],Table14[Customer],$M$3,Table14[Date],$A125,Table14[Bill No.],$B125),IF($J125="XtraGreen",SUMIFS(Table146[Quantity],Table146[Company],$M$3,Table146[Date],$A125,Table146[Bill No.],$B125),""))))</f>
        <v/>
      </c>
      <c r="D125" s="223" t="str">
        <f>IF($A125="","",IF($J125="DIESEL",AVERAGEIFS(Table1[RSP],Table1[Customer],$M$3,Table1[Date],$A125,Table1[Bill No.],$B125),IF($J125="PETROL",AVERAGEIFS(Table14[RSP],Table14[Customer],$M$3,Table14[Date],$A125,Table14[Bill No.],$B125),IF($J125="XtraGreen",AVERAGEIFS(Table146[RSP],Table146[Company],$M$3,Table146[Date],$A125,Table146[Bill No.],$B125),IFERROR($E125/$C125,"")))))</f>
        <v/>
      </c>
      <c r="E125" s="330" t="str">
        <f>IF($A125="","",IF($J125="DIESEL",SUMIFS(Table1[Amount],Table1[Customer],$M$3,Table1[Date],$A125,Table1[Bill No.],$B125),IF($J125="PETROL",SUMIFS(Table14[Amount],Table14[Customer],$M$3,Table14[Date],$A125,Table14[Bill No.],$B125),IF($J125="XtraGreen",SUMIFS(Table146[Amount],Table146[Company],$M$3,Table146[Date],$A125,Table146[Bill No.],$B125),SUMIFS('Other Sale'!$D:$D,'Other Sale'!$E:$E,$M$3,'Other Sale'!$C:$C,$J125,'Other Sale'!$A:$A,$A125)))))</f>
        <v/>
      </c>
      <c r="F125" s="330" t="str" cm="1">
        <f t="array" ref="F125">IF($A125="","",IF($J125="Payment",IFERROR(INDEX(_xlfn._xlws.FILTER(MasterPaid[Amount Paid],(MasterPaid[Customer]=$M$3)*(MasterPaid[Date]=$A125)),COUNTIFS($A$6:$A125,$A125,$J$6:$J125,"Payment")),0),0))</f>
        <v/>
      </c>
      <c r="G125" s="331"/>
      <c r="H125" s="331"/>
      <c r="I125" s="330" t="str">
        <f t="shared" si="11"/>
        <v/>
      </c>
      <c r="J125" s="318" t="str" cm="1">
        <f t="array" ref="J125">IFERROR(INDEX(_xlfn.ANCHORARRAY($P$6),ROW()-5,3),"")</f>
        <v/>
      </c>
      <c r="K125" s="432" t="str" cm="1">
        <f t="array" ref="K125">IF(OR($A125="",$J125&lt;&gt;"DIESEL"),"",_xlfn.LET(_xlpm.qty,N($C125),_xlpm.pos,$T$5:$T$54,_xlpm.alo,IF($U$5:$U$54="",0,$U$5:$U$54),_xlpm.usd,SUMIFS($C$6:$C124,$K$6:$K124,_xlpm.pos&amp;""),_xlpm.bal,_xlpm.alo-_xlpm.usd,IFERROR(INDEX(_xlfn._xlws.FILTER(_xlpm.pos,(_xlpm.pos&lt;&gt;"")*(_xlpm.qty&gt;0)*(_xlpm.bal&gt;=_xlpm.qty)),1),"")))</f>
        <v/>
      </c>
      <c r="L125" s="290"/>
    </row>
    <row r="126" spans="1:12" ht="23" x14ac:dyDescent="0.25">
      <c r="A126" s="221" t="str" cm="1">
        <f t="array" ref="A126">IFERROR(INDEX(_xlfn.ANCHORARRAY($P$6),ROW()-5,1),"")</f>
        <v/>
      </c>
      <c r="B126" s="317" t="str" cm="1">
        <f t="array" ref="B126">IFERROR(INDEX(_xlfn.ANCHORARRAY($P$6),ROW()-5,2),"")</f>
        <v/>
      </c>
      <c r="C126" s="222" t="str">
        <f>IF($A126="","",IF($J126="DIESEL",SUMIFS(Table1[Quantity],Table1[Customer],$M$3,Table1[Date],$A126,Table1[Bill No.],$B126),IF($J126="PETROL",SUMIFS(Table14[Quantity],Table14[Customer],$M$3,Table14[Date],$A126,Table14[Bill No.],$B126),IF($J126="XtraGreen",SUMIFS(Table146[Quantity],Table146[Company],$M$3,Table146[Date],$A126,Table146[Bill No.],$B126),""))))</f>
        <v/>
      </c>
      <c r="D126" s="223" t="str">
        <f>IF($A126="","",IF($J126="DIESEL",AVERAGEIFS(Table1[RSP],Table1[Customer],$M$3,Table1[Date],$A126,Table1[Bill No.],$B126),IF($J126="PETROL",AVERAGEIFS(Table14[RSP],Table14[Customer],$M$3,Table14[Date],$A126,Table14[Bill No.],$B126),IF($J126="XtraGreen",AVERAGEIFS(Table146[RSP],Table146[Company],$M$3,Table146[Date],$A126,Table146[Bill No.],$B126),IFERROR($E126/$C126,"")))))</f>
        <v/>
      </c>
      <c r="E126" s="330" t="str">
        <f>IF($A126="","",IF($J126="DIESEL",SUMIFS(Table1[Amount],Table1[Customer],$M$3,Table1[Date],$A126,Table1[Bill No.],$B126),IF($J126="PETROL",SUMIFS(Table14[Amount],Table14[Customer],$M$3,Table14[Date],$A126,Table14[Bill No.],$B126),IF($J126="XtraGreen",SUMIFS(Table146[Amount],Table146[Company],$M$3,Table146[Date],$A126,Table146[Bill No.],$B126),SUMIFS('Other Sale'!$D:$D,'Other Sale'!$E:$E,$M$3,'Other Sale'!$C:$C,$J126,'Other Sale'!$A:$A,$A126)))))</f>
        <v/>
      </c>
      <c r="F126" s="330" t="str" cm="1">
        <f t="array" ref="F126">IF($A126="","",IF($J126="Payment",IFERROR(INDEX(_xlfn._xlws.FILTER(MasterPaid[Amount Paid],(MasterPaid[Customer]=$M$3)*(MasterPaid[Date]=$A126)),COUNTIFS($A$6:$A126,$A126,$J$6:$J126,"Payment")),0),0))</f>
        <v/>
      </c>
      <c r="G126" s="331"/>
      <c r="H126" s="331"/>
      <c r="I126" s="330" t="str">
        <f t="shared" si="11"/>
        <v/>
      </c>
      <c r="J126" s="318" t="str" cm="1">
        <f t="array" ref="J126">IFERROR(INDEX(_xlfn.ANCHORARRAY($P$6),ROW()-5,3),"")</f>
        <v/>
      </c>
      <c r="K126" s="432" t="str" cm="1">
        <f t="array" ref="K126">IF(OR($A126="",$J126&lt;&gt;"DIESEL"),"",_xlfn.LET(_xlpm.qty,N($C126),_xlpm.pos,$T$5:$T$54,_xlpm.alo,IF($U$5:$U$54="",0,$U$5:$U$54),_xlpm.usd,SUMIFS($C$6:$C125,$K$6:$K125,_xlpm.pos&amp;""),_xlpm.bal,_xlpm.alo-_xlpm.usd,IFERROR(INDEX(_xlfn._xlws.FILTER(_xlpm.pos,(_xlpm.pos&lt;&gt;"")*(_xlpm.qty&gt;0)*(_xlpm.bal&gt;=_xlpm.qty)),1),"")))</f>
        <v/>
      </c>
      <c r="L126" s="290"/>
    </row>
    <row r="127" spans="1:12" ht="23" x14ac:dyDescent="0.25">
      <c r="A127" s="221" t="str" cm="1">
        <f t="array" ref="A127">IFERROR(INDEX(_xlfn.ANCHORARRAY($P$6),ROW()-5,1),"")</f>
        <v/>
      </c>
      <c r="B127" s="317" t="str" cm="1">
        <f t="array" ref="B127">IFERROR(INDEX(_xlfn.ANCHORARRAY($P$6),ROW()-5,2),"")</f>
        <v/>
      </c>
      <c r="C127" s="222" t="str">
        <f>IF($A127="","",IF($J127="DIESEL",SUMIFS(Table1[Quantity],Table1[Customer],$M$3,Table1[Date],$A127,Table1[Bill No.],$B127),IF($J127="PETROL",SUMIFS(Table14[Quantity],Table14[Customer],$M$3,Table14[Date],$A127,Table14[Bill No.],$B127),IF($J127="XtraGreen",SUMIFS(Table146[Quantity],Table146[Company],$M$3,Table146[Date],$A127,Table146[Bill No.],$B127),""))))</f>
        <v/>
      </c>
      <c r="D127" s="223" t="str">
        <f>IF($A127="","",IF($J127="DIESEL",AVERAGEIFS(Table1[RSP],Table1[Customer],$M$3,Table1[Date],$A127,Table1[Bill No.],$B127),IF($J127="PETROL",AVERAGEIFS(Table14[RSP],Table14[Customer],$M$3,Table14[Date],$A127,Table14[Bill No.],$B127),IF($J127="XtraGreen",AVERAGEIFS(Table146[RSP],Table146[Company],$M$3,Table146[Date],$A127,Table146[Bill No.],$B127),IFERROR($E127/$C127,"")))))</f>
        <v/>
      </c>
      <c r="E127" s="330" t="str">
        <f>IF($A127="","",IF($J127="DIESEL",SUMIFS(Table1[Amount],Table1[Customer],$M$3,Table1[Date],$A127,Table1[Bill No.],$B127),IF($J127="PETROL",SUMIFS(Table14[Amount],Table14[Customer],$M$3,Table14[Date],$A127,Table14[Bill No.],$B127),IF($J127="XtraGreen",SUMIFS(Table146[Amount],Table146[Company],$M$3,Table146[Date],$A127,Table146[Bill No.],$B127),SUMIFS('Other Sale'!$D:$D,'Other Sale'!$E:$E,$M$3,'Other Sale'!$C:$C,$J127,'Other Sale'!$A:$A,$A127)))))</f>
        <v/>
      </c>
      <c r="F127" s="330" t="str" cm="1">
        <f t="array" ref="F127">IF($A127="","",IF($J127="Payment",IFERROR(INDEX(_xlfn._xlws.FILTER(MasterPaid[Amount Paid],(MasterPaid[Customer]=$M$3)*(MasterPaid[Date]=$A127)),COUNTIFS($A$6:$A127,$A127,$J$6:$J127,"Payment")),0),0))</f>
        <v/>
      </c>
      <c r="G127" s="331"/>
      <c r="H127" s="331"/>
      <c r="I127" s="330" t="str">
        <f t="shared" si="11"/>
        <v/>
      </c>
      <c r="J127" s="318" t="str" cm="1">
        <f t="array" ref="J127">IFERROR(INDEX(_xlfn.ANCHORARRAY($P$6),ROW()-5,3),"")</f>
        <v/>
      </c>
      <c r="K127" s="432" t="str" cm="1">
        <f t="array" ref="K127">IF(OR($A127="",$J127&lt;&gt;"DIESEL"),"",_xlfn.LET(_xlpm.qty,N($C127),_xlpm.pos,$T$5:$T$54,_xlpm.alo,IF($U$5:$U$54="",0,$U$5:$U$54),_xlpm.usd,SUMIFS($C$6:$C126,$K$6:$K126,_xlpm.pos&amp;""),_xlpm.bal,_xlpm.alo-_xlpm.usd,IFERROR(INDEX(_xlfn._xlws.FILTER(_xlpm.pos,(_xlpm.pos&lt;&gt;"")*(_xlpm.qty&gt;0)*(_xlpm.bal&gt;=_xlpm.qty)),1),"")))</f>
        <v/>
      </c>
      <c r="L127" s="290"/>
    </row>
    <row r="128" spans="1:12" ht="23" x14ac:dyDescent="0.25">
      <c r="A128" s="221" t="str" cm="1">
        <f t="array" ref="A128">IFERROR(INDEX(_xlfn.ANCHORARRAY($P$6),ROW()-5,1),"")</f>
        <v/>
      </c>
      <c r="B128" s="317" t="str" cm="1">
        <f t="array" ref="B128">IFERROR(INDEX(_xlfn.ANCHORARRAY($P$6),ROW()-5,2),"")</f>
        <v/>
      </c>
      <c r="C128" s="222" t="str">
        <f>IF($A128="","",IF($J128="DIESEL",SUMIFS(Table1[Quantity],Table1[Customer],$M$3,Table1[Date],$A128,Table1[Bill No.],$B128),IF($J128="PETROL",SUMIFS(Table14[Quantity],Table14[Customer],$M$3,Table14[Date],$A128,Table14[Bill No.],$B128),IF($J128="XtraGreen",SUMIFS(Table146[Quantity],Table146[Company],$M$3,Table146[Date],$A128,Table146[Bill No.],$B128),""))))</f>
        <v/>
      </c>
      <c r="D128" s="223" t="str">
        <f>IF($A128="","",IF($J128="DIESEL",AVERAGEIFS(Table1[RSP],Table1[Customer],$M$3,Table1[Date],$A128,Table1[Bill No.],$B128),IF($J128="PETROL",AVERAGEIFS(Table14[RSP],Table14[Customer],$M$3,Table14[Date],$A128,Table14[Bill No.],$B128),IF($J128="XtraGreen",AVERAGEIFS(Table146[RSP],Table146[Company],$M$3,Table146[Date],$A128,Table146[Bill No.],$B128),IFERROR($E128/$C128,"")))))</f>
        <v/>
      </c>
      <c r="E128" s="330" t="str">
        <f>IF($A128="","",IF($J128="DIESEL",SUMIFS(Table1[Amount],Table1[Customer],$M$3,Table1[Date],$A128,Table1[Bill No.],$B128),IF($J128="PETROL",SUMIFS(Table14[Amount],Table14[Customer],$M$3,Table14[Date],$A128,Table14[Bill No.],$B128),IF($J128="XtraGreen",SUMIFS(Table146[Amount],Table146[Company],$M$3,Table146[Date],$A128,Table146[Bill No.],$B128),SUMIFS('Other Sale'!$D:$D,'Other Sale'!$E:$E,$M$3,'Other Sale'!$C:$C,$J128,'Other Sale'!$A:$A,$A128)))))</f>
        <v/>
      </c>
      <c r="F128" s="330" t="str" cm="1">
        <f t="array" ref="F128">IF($A128="","",IF($J128="Payment",IFERROR(INDEX(_xlfn._xlws.FILTER(MasterPaid[Amount Paid],(MasterPaid[Customer]=$M$3)*(MasterPaid[Date]=$A128)),COUNTIFS($A$6:$A128,$A128,$J$6:$J128,"Payment")),0),0))</f>
        <v/>
      </c>
      <c r="G128" s="331"/>
      <c r="H128" s="331"/>
      <c r="I128" s="330" t="str">
        <f t="shared" si="11"/>
        <v/>
      </c>
      <c r="J128" s="318" t="str" cm="1">
        <f t="array" ref="J128">IFERROR(INDEX(_xlfn.ANCHORARRAY($P$6),ROW()-5,3),"")</f>
        <v/>
      </c>
      <c r="K128" s="432" t="str" cm="1">
        <f t="array" ref="K128">IF(OR($A128="",$J128&lt;&gt;"DIESEL"),"",_xlfn.LET(_xlpm.qty,N($C128),_xlpm.pos,$T$5:$T$54,_xlpm.alo,IF($U$5:$U$54="",0,$U$5:$U$54),_xlpm.usd,SUMIFS($C$6:$C127,$K$6:$K127,_xlpm.pos&amp;""),_xlpm.bal,_xlpm.alo-_xlpm.usd,IFERROR(INDEX(_xlfn._xlws.FILTER(_xlpm.pos,(_xlpm.pos&lt;&gt;"")*(_xlpm.qty&gt;0)*(_xlpm.bal&gt;=_xlpm.qty)),1),"")))</f>
        <v/>
      </c>
      <c r="L128" s="290"/>
    </row>
    <row r="129" spans="1:12" ht="23" x14ac:dyDescent="0.25">
      <c r="A129" s="221" t="str" cm="1">
        <f t="array" ref="A129">IFERROR(INDEX(_xlfn.ANCHORARRAY($P$6),ROW()-5,1),"")</f>
        <v/>
      </c>
      <c r="B129" s="317" t="str" cm="1">
        <f t="array" ref="B129">IFERROR(INDEX(_xlfn.ANCHORARRAY($P$6),ROW()-5,2),"")</f>
        <v/>
      </c>
      <c r="C129" s="222" t="str">
        <f>IF($A129="","",IF($J129="DIESEL",SUMIFS(Table1[Quantity],Table1[Customer],$M$3,Table1[Date],$A129,Table1[Bill No.],$B129),IF($J129="PETROL",SUMIFS(Table14[Quantity],Table14[Customer],$M$3,Table14[Date],$A129,Table14[Bill No.],$B129),IF($J129="XtraGreen",SUMIFS(Table146[Quantity],Table146[Company],$M$3,Table146[Date],$A129,Table146[Bill No.],$B129),""))))</f>
        <v/>
      </c>
      <c r="D129" s="223" t="str">
        <f>IF($A129="","",IF($J129="DIESEL",AVERAGEIFS(Table1[RSP],Table1[Customer],$M$3,Table1[Date],$A129,Table1[Bill No.],$B129),IF($J129="PETROL",AVERAGEIFS(Table14[RSP],Table14[Customer],$M$3,Table14[Date],$A129,Table14[Bill No.],$B129),IF($J129="XtraGreen",AVERAGEIFS(Table146[RSP],Table146[Company],$M$3,Table146[Date],$A129,Table146[Bill No.],$B129),IFERROR($E129/$C129,"")))))</f>
        <v/>
      </c>
      <c r="E129" s="330" t="str">
        <f>IF($A129="","",IF($J129="DIESEL",SUMIFS(Table1[Amount],Table1[Customer],$M$3,Table1[Date],$A129,Table1[Bill No.],$B129),IF($J129="PETROL",SUMIFS(Table14[Amount],Table14[Customer],$M$3,Table14[Date],$A129,Table14[Bill No.],$B129),IF($J129="XtraGreen",SUMIFS(Table146[Amount],Table146[Company],$M$3,Table146[Date],$A129,Table146[Bill No.],$B129),SUMIFS('Other Sale'!$D:$D,'Other Sale'!$E:$E,$M$3,'Other Sale'!$C:$C,$J129,'Other Sale'!$A:$A,$A129)))))</f>
        <v/>
      </c>
      <c r="F129" s="330" t="str" cm="1">
        <f t="array" ref="F129">IF($A129="","",IF($J129="Payment",IFERROR(INDEX(_xlfn._xlws.FILTER(MasterPaid[Amount Paid],(MasterPaid[Customer]=$M$3)*(MasterPaid[Date]=$A129)),COUNTIFS($A$6:$A129,$A129,$J$6:$J129,"Payment")),0),0))</f>
        <v/>
      </c>
      <c r="G129" s="331"/>
      <c r="H129" s="331"/>
      <c r="I129" s="330" t="str">
        <f t="shared" si="11"/>
        <v/>
      </c>
      <c r="J129" s="318" t="str" cm="1">
        <f t="array" ref="J129">IFERROR(INDEX(_xlfn.ANCHORARRAY($P$6),ROW()-5,3),"")</f>
        <v/>
      </c>
      <c r="K129" s="432" t="str" cm="1">
        <f t="array" ref="K129">IF(OR($A129="",$J129&lt;&gt;"DIESEL"),"",_xlfn.LET(_xlpm.qty,N($C129),_xlpm.pos,$T$5:$T$54,_xlpm.alo,IF($U$5:$U$54="",0,$U$5:$U$54),_xlpm.usd,SUMIFS($C$6:$C128,$K$6:$K128,_xlpm.pos&amp;""),_xlpm.bal,_xlpm.alo-_xlpm.usd,IFERROR(INDEX(_xlfn._xlws.FILTER(_xlpm.pos,(_xlpm.pos&lt;&gt;"")*(_xlpm.qty&gt;0)*(_xlpm.bal&gt;=_xlpm.qty)),1),"")))</f>
        <v/>
      </c>
      <c r="L129" s="290"/>
    </row>
    <row r="130" spans="1:12" ht="23" x14ac:dyDescent="0.25">
      <c r="A130" s="221" t="str" cm="1">
        <f t="array" ref="A130">IFERROR(INDEX(_xlfn.ANCHORARRAY($P$6),ROW()-5,1),"")</f>
        <v/>
      </c>
      <c r="B130" s="317" t="str" cm="1">
        <f t="array" ref="B130">IFERROR(INDEX(_xlfn.ANCHORARRAY($P$6),ROW()-5,2),"")</f>
        <v/>
      </c>
      <c r="C130" s="222" t="str">
        <f>IF($A130="","",IF($J130="DIESEL",SUMIFS(Table1[Quantity],Table1[Customer],$M$3,Table1[Date],$A130,Table1[Bill No.],$B130),IF($J130="PETROL",SUMIFS(Table14[Quantity],Table14[Customer],$M$3,Table14[Date],$A130,Table14[Bill No.],$B130),IF($J130="XtraGreen",SUMIFS(Table146[Quantity],Table146[Company],$M$3,Table146[Date],$A130,Table146[Bill No.],$B130),""))))</f>
        <v/>
      </c>
      <c r="D130" s="223" t="str">
        <f>IF($A130="","",IF($J130="DIESEL",AVERAGEIFS(Table1[RSP],Table1[Customer],$M$3,Table1[Date],$A130,Table1[Bill No.],$B130),IF($J130="PETROL",AVERAGEIFS(Table14[RSP],Table14[Customer],$M$3,Table14[Date],$A130,Table14[Bill No.],$B130),IF($J130="XtraGreen",AVERAGEIFS(Table146[RSP],Table146[Company],$M$3,Table146[Date],$A130,Table146[Bill No.],$B130),IFERROR($E130/$C130,"")))))</f>
        <v/>
      </c>
      <c r="E130" s="330" t="str">
        <f>IF($A130="","",IF($J130="DIESEL",SUMIFS(Table1[Amount],Table1[Customer],$M$3,Table1[Date],$A130,Table1[Bill No.],$B130),IF($J130="PETROL",SUMIFS(Table14[Amount],Table14[Customer],$M$3,Table14[Date],$A130,Table14[Bill No.],$B130),IF($J130="XtraGreen",SUMIFS(Table146[Amount],Table146[Company],$M$3,Table146[Date],$A130,Table146[Bill No.],$B130),SUMIFS('Other Sale'!$D:$D,'Other Sale'!$E:$E,$M$3,'Other Sale'!$C:$C,$J130,'Other Sale'!$A:$A,$A130)))))</f>
        <v/>
      </c>
      <c r="F130" s="330" t="str" cm="1">
        <f t="array" ref="F130">IF($A130="","",IF($J130="Payment",IFERROR(INDEX(_xlfn._xlws.FILTER(MasterPaid[Amount Paid],(MasterPaid[Customer]=$M$3)*(MasterPaid[Date]=$A130)),COUNTIFS($A$6:$A130,$A130,$J$6:$J130,"Payment")),0),0))</f>
        <v/>
      </c>
      <c r="G130" s="331"/>
      <c r="H130" s="331"/>
      <c r="I130" s="330" t="str">
        <f t="shared" si="11"/>
        <v/>
      </c>
      <c r="J130" s="318" t="str" cm="1">
        <f t="array" ref="J130">IFERROR(INDEX(_xlfn.ANCHORARRAY($P$6),ROW()-5,3),"")</f>
        <v/>
      </c>
      <c r="K130" s="432" t="str" cm="1">
        <f t="array" ref="K130">IF(OR($A130="",$J130&lt;&gt;"DIESEL"),"",_xlfn.LET(_xlpm.qty,N($C130),_xlpm.pos,$T$5:$T$54,_xlpm.alo,IF($U$5:$U$54="",0,$U$5:$U$54),_xlpm.usd,SUMIFS($C$6:$C129,$K$6:$K129,_xlpm.pos&amp;""),_xlpm.bal,_xlpm.alo-_xlpm.usd,IFERROR(INDEX(_xlfn._xlws.FILTER(_xlpm.pos,(_xlpm.pos&lt;&gt;"")*(_xlpm.qty&gt;0)*(_xlpm.bal&gt;=_xlpm.qty)),1),"")))</f>
        <v/>
      </c>
      <c r="L130" s="290"/>
    </row>
    <row r="131" spans="1:12" ht="23" x14ac:dyDescent="0.25">
      <c r="A131" s="221" t="str" cm="1">
        <f t="array" ref="A131">IFERROR(INDEX(_xlfn.ANCHORARRAY($P$6),ROW()-5,1),"")</f>
        <v/>
      </c>
      <c r="B131" s="317" t="str" cm="1">
        <f t="array" ref="B131">IFERROR(INDEX(_xlfn.ANCHORARRAY($P$6),ROW()-5,2),"")</f>
        <v/>
      </c>
      <c r="C131" s="222" t="str">
        <f>IF($A131="","",IF($J131="DIESEL",SUMIFS(Table1[Quantity],Table1[Customer],$M$3,Table1[Date],$A131,Table1[Bill No.],$B131),IF($J131="PETROL",SUMIFS(Table14[Quantity],Table14[Customer],$M$3,Table14[Date],$A131,Table14[Bill No.],$B131),IF($J131="XtraGreen",SUMIFS(Table146[Quantity],Table146[Company],$M$3,Table146[Date],$A131,Table146[Bill No.],$B131),""))))</f>
        <v/>
      </c>
      <c r="D131" s="223" t="str">
        <f>IF($A131="","",IF($J131="DIESEL",AVERAGEIFS(Table1[RSP],Table1[Customer],$M$3,Table1[Date],$A131,Table1[Bill No.],$B131),IF($J131="PETROL",AVERAGEIFS(Table14[RSP],Table14[Customer],$M$3,Table14[Date],$A131,Table14[Bill No.],$B131),IF($J131="XtraGreen",AVERAGEIFS(Table146[RSP],Table146[Company],$M$3,Table146[Date],$A131,Table146[Bill No.],$B131),IFERROR($E131/$C131,"")))))</f>
        <v/>
      </c>
      <c r="E131" s="330" t="str">
        <f>IF($A131="","",IF($J131="DIESEL",SUMIFS(Table1[Amount],Table1[Customer],$M$3,Table1[Date],$A131,Table1[Bill No.],$B131),IF($J131="PETROL",SUMIFS(Table14[Amount],Table14[Customer],$M$3,Table14[Date],$A131,Table14[Bill No.],$B131),IF($J131="XtraGreen",SUMIFS(Table146[Amount],Table146[Company],$M$3,Table146[Date],$A131,Table146[Bill No.],$B131),SUMIFS('Other Sale'!$D:$D,'Other Sale'!$E:$E,$M$3,'Other Sale'!$C:$C,$J131,'Other Sale'!$A:$A,$A131)))))</f>
        <v/>
      </c>
      <c r="F131" s="330" t="str" cm="1">
        <f t="array" ref="F131">IF($A131="","",IF($J131="Payment",IFERROR(INDEX(_xlfn._xlws.FILTER(MasterPaid[Amount Paid],(MasterPaid[Customer]=$M$3)*(MasterPaid[Date]=$A131)),COUNTIFS($A$6:$A131,$A131,$J$6:$J131,"Payment")),0),0))</f>
        <v/>
      </c>
      <c r="G131" s="331"/>
      <c r="H131" s="331"/>
      <c r="I131" s="330" t="str">
        <f t="shared" si="11"/>
        <v/>
      </c>
      <c r="J131" s="318" t="str" cm="1">
        <f t="array" ref="J131">IFERROR(INDEX(_xlfn.ANCHORARRAY($P$6),ROW()-5,3),"")</f>
        <v/>
      </c>
      <c r="K131" s="432" t="str" cm="1">
        <f t="array" ref="K131">IF(OR($A131="",$J131&lt;&gt;"DIESEL"),"",_xlfn.LET(_xlpm.qty,N($C131),_xlpm.pos,$T$5:$T$54,_xlpm.alo,IF($U$5:$U$54="",0,$U$5:$U$54),_xlpm.usd,SUMIFS($C$6:$C130,$K$6:$K130,_xlpm.pos&amp;""),_xlpm.bal,_xlpm.alo-_xlpm.usd,IFERROR(INDEX(_xlfn._xlws.FILTER(_xlpm.pos,(_xlpm.pos&lt;&gt;"")*(_xlpm.qty&gt;0)*(_xlpm.bal&gt;=_xlpm.qty)),1),"")))</f>
        <v/>
      </c>
      <c r="L131" s="290"/>
    </row>
    <row r="132" spans="1:12" ht="23" x14ac:dyDescent="0.25">
      <c r="A132" s="221" t="str" cm="1">
        <f t="array" ref="A132">IFERROR(INDEX(_xlfn.ANCHORARRAY($P$6),ROW()-5,1),"")</f>
        <v/>
      </c>
      <c r="B132" s="317" t="str" cm="1">
        <f t="array" ref="B132">IFERROR(INDEX(_xlfn.ANCHORARRAY($P$6),ROW()-5,2),"")</f>
        <v/>
      </c>
      <c r="C132" s="222" t="str">
        <f>IF($A132="","",IF($J132="DIESEL",SUMIFS(Table1[Quantity],Table1[Customer],$M$3,Table1[Date],$A132,Table1[Bill No.],$B132),IF($J132="PETROL",SUMIFS(Table14[Quantity],Table14[Customer],$M$3,Table14[Date],$A132,Table14[Bill No.],$B132),IF($J132="XtraGreen",SUMIFS(Table146[Quantity],Table146[Company],$M$3,Table146[Date],$A132,Table146[Bill No.],$B132),""))))</f>
        <v/>
      </c>
      <c r="D132" s="223" t="str">
        <f>IF($A132="","",IF($J132="DIESEL",AVERAGEIFS(Table1[RSP],Table1[Customer],$M$3,Table1[Date],$A132,Table1[Bill No.],$B132),IF($J132="PETROL",AVERAGEIFS(Table14[RSP],Table14[Customer],$M$3,Table14[Date],$A132,Table14[Bill No.],$B132),IF($J132="XtraGreen",AVERAGEIFS(Table146[RSP],Table146[Company],$M$3,Table146[Date],$A132,Table146[Bill No.],$B132),IFERROR($E132/$C132,"")))))</f>
        <v/>
      </c>
      <c r="E132" s="330" t="str">
        <f>IF($A132="","",IF($J132="DIESEL",SUMIFS(Table1[Amount],Table1[Customer],$M$3,Table1[Date],$A132,Table1[Bill No.],$B132),IF($J132="PETROL",SUMIFS(Table14[Amount],Table14[Customer],$M$3,Table14[Date],$A132,Table14[Bill No.],$B132),IF($J132="XtraGreen",SUMIFS(Table146[Amount],Table146[Company],$M$3,Table146[Date],$A132,Table146[Bill No.],$B132),SUMIFS('Other Sale'!$D:$D,'Other Sale'!$E:$E,$M$3,'Other Sale'!$C:$C,$J132,'Other Sale'!$A:$A,$A132)))))</f>
        <v/>
      </c>
      <c r="F132" s="330" t="str" cm="1">
        <f t="array" ref="F132">IF($A132="","",IF($J132="Payment",IFERROR(INDEX(_xlfn._xlws.FILTER(MasterPaid[Amount Paid],(MasterPaid[Customer]=$M$3)*(MasterPaid[Date]=$A132)),COUNTIFS($A$6:$A132,$A132,$J$6:$J132,"Payment")),0),0))</f>
        <v/>
      </c>
      <c r="G132" s="331"/>
      <c r="H132" s="331"/>
      <c r="I132" s="330" t="str">
        <f t="shared" si="11"/>
        <v/>
      </c>
      <c r="J132" s="318" t="str" cm="1">
        <f t="array" ref="J132">IFERROR(INDEX(_xlfn.ANCHORARRAY($P$6),ROW()-5,3),"")</f>
        <v/>
      </c>
      <c r="K132" s="432" t="str" cm="1">
        <f t="array" ref="K132">IF(OR($A132="",$J132&lt;&gt;"DIESEL"),"",_xlfn.LET(_xlpm.qty,N($C132),_xlpm.pos,$T$5:$T$54,_xlpm.alo,IF($U$5:$U$54="",0,$U$5:$U$54),_xlpm.usd,SUMIFS($C$6:$C131,$K$6:$K131,_xlpm.pos&amp;""),_xlpm.bal,_xlpm.alo-_xlpm.usd,IFERROR(INDEX(_xlfn._xlws.FILTER(_xlpm.pos,(_xlpm.pos&lt;&gt;"")*(_xlpm.qty&gt;0)*(_xlpm.bal&gt;=_xlpm.qty)),1),"")))</f>
        <v/>
      </c>
      <c r="L132" s="290"/>
    </row>
    <row r="133" spans="1:12" ht="23" x14ac:dyDescent="0.25">
      <c r="A133" s="221" t="str" cm="1">
        <f t="array" ref="A133">IFERROR(INDEX(_xlfn.ANCHORARRAY($P$6),ROW()-5,1),"")</f>
        <v/>
      </c>
      <c r="B133" s="317" t="str" cm="1">
        <f t="array" ref="B133">IFERROR(INDEX(_xlfn.ANCHORARRAY($P$6),ROW()-5,2),"")</f>
        <v/>
      </c>
      <c r="C133" s="222" t="str">
        <f>IF($A133="","",IF($J133="DIESEL",SUMIFS(Table1[Quantity],Table1[Customer],$M$3,Table1[Date],$A133,Table1[Bill No.],$B133),IF($J133="PETROL",SUMIFS(Table14[Quantity],Table14[Customer],$M$3,Table14[Date],$A133,Table14[Bill No.],$B133),IF($J133="XtraGreen",SUMIFS(Table146[Quantity],Table146[Company],$M$3,Table146[Date],$A133,Table146[Bill No.],$B133),""))))</f>
        <v/>
      </c>
      <c r="D133" s="223" t="str">
        <f>IF($A133="","",IF($J133="DIESEL",AVERAGEIFS(Table1[RSP],Table1[Customer],$M$3,Table1[Date],$A133,Table1[Bill No.],$B133),IF($J133="PETROL",AVERAGEIFS(Table14[RSP],Table14[Customer],$M$3,Table14[Date],$A133,Table14[Bill No.],$B133),IF($J133="XtraGreen",AVERAGEIFS(Table146[RSP],Table146[Company],$M$3,Table146[Date],$A133,Table146[Bill No.],$B133),IFERROR($E133/$C133,"")))))</f>
        <v/>
      </c>
      <c r="E133" s="330" t="str">
        <f>IF($A133="","",IF($J133="DIESEL",SUMIFS(Table1[Amount],Table1[Customer],$M$3,Table1[Date],$A133,Table1[Bill No.],$B133),IF($J133="PETROL",SUMIFS(Table14[Amount],Table14[Customer],$M$3,Table14[Date],$A133,Table14[Bill No.],$B133),IF($J133="XtraGreen",SUMIFS(Table146[Amount],Table146[Company],$M$3,Table146[Date],$A133,Table146[Bill No.],$B133),SUMIFS('Other Sale'!$D:$D,'Other Sale'!$E:$E,$M$3,'Other Sale'!$C:$C,$J133,'Other Sale'!$A:$A,$A133)))))</f>
        <v/>
      </c>
      <c r="F133" s="330" t="str" cm="1">
        <f t="array" ref="F133">IF($A133="","",IF($J133="Payment",IFERROR(INDEX(_xlfn._xlws.FILTER(MasterPaid[Amount Paid],(MasterPaid[Customer]=$M$3)*(MasterPaid[Date]=$A133)),COUNTIFS($A$6:$A133,$A133,$J$6:$J133,"Payment")),0),0))</f>
        <v/>
      </c>
      <c r="G133" s="331"/>
      <c r="H133" s="331"/>
      <c r="I133" s="330" t="str">
        <f t="shared" si="11"/>
        <v/>
      </c>
      <c r="J133" s="318" t="str" cm="1">
        <f t="array" ref="J133">IFERROR(INDEX(_xlfn.ANCHORARRAY($P$6),ROW()-5,3),"")</f>
        <v/>
      </c>
      <c r="K133" s="432" t="str" cm="1">
        <f t="array" ref="K133">IF(OR($A133="",$J133&lt;&gt;"DIESEL"),"",_xlfn.LET(_xlpm.qty,N($C133),_xlpm.pos,$T$5:$T$54,_xlpm.alo,IF($U$5:$U$54="",0,$U$5:$U$54),_xlpm.usd,SUMIFS($C$6:$C132,$K$6:$K132,_xlpm.pos&amp;""),_xlpm.bal,_xlpm.alo-_xlpm.usd,IFERROR(INDEX(_xlfn._xlws.FILTER(_xlpm.pos,(_xlpm.pos&lt;&gt;"")*(_xlpm.qty&gt;0)*(_xlpm.bal&gt;=_xlpm.qty)),1),"")))</f>
        <v/>
      </c>
      <c r="L133" s="290"/>
    </row>
    <row r="134" spans="1:12" ht="23" x14ac:dyDescent="0.25">
      <c r="A134" s="221" t="str" cm="1">
        <f t="array" ref="A134">IFERROR(INDEX(_xlfn.ANCHORARRAY($P$6),ROW()-5,1),"")</f>
        <v/>
      </c>
      <c r="B134" s="317" t="str" cm="1">
        <f t="array" ref="B134">IFERROR(INDEX(_xlfn.ANCHORARRAY($P$6),ROW()-5,2),"")</f>
        <v/>
      </c>
      <c r="C134" s="222" t="str">
        <f>IF($A134="","",IF($J134="DIESEL",SUMIFS(Table1[Quantity],Table1[Customer],$M$3,Table1[Date],$A134,Table1[Bill No.],$B134),IF($J134="PETROL",SUMIFS(Table14[Quantity],Table14[Customer],$M$3,Table14[Date],$A134,Table14[Bill No.],$B134),IF($J134="XtraGreen",SUMIFS(Table146[Quantity],Table146[Company],$M$3,Table146[Date],$A134,Table146[Bill No.],$B134),""))))</f>
        <v/>
      </c>
      <c r="D134" s="223" t="str">
        <f>IF($A134="","",IF($J134="DIESEL",AVERAGEIFS(Table1[RSP],Table1[Customer],$M$3,Table1[Date],$A134,Table1[Bill No.],$B134),IF($J134="PETROL",AVERAGEIFS(Table14[RSP],Table14[Customer],$M$3,Table14[Date],$A134,Table14[Bill No.],$B134),IF($J134="XtraGreen",AVERAGEIFS(Table146[RSP],Table146[Company],$M$3,Table146[Date],$A134,Table146[Bill No.],$B134),IFERROR($E134/$C134,"")))))</f>
        <v/>
      </c>
      <c r="E134" s="330" t="str">
        <f>IF($A134="","",IF($J134="DIESEL",SUMIFS(Table1[Amount],Table1[Customer],$M$3,Table1[Date],$A134,Table1[Bill No.],$B134),IF($J134="PETROL",SUMIFS(Table14[Amount],Table14[Customer],$M$3,Table14[Date],$A134,Table14[Bill No.],$B134),IF($J134="XtraGreen",SUMIFS(Table146[Amount],Table146[Company],$M$3,Table146[Date],$A134,Table146[Bill No.],$B134),SUMIFS('Other Sale'!$D:$D,'Other Sale'!$E:$E,$M$3,'Other Sale'!$C:$C,$J134,'Other Sale'!$A:$A,$A134)))))</f>
        <v/>
      </c>
      <c r="F134" s="330" t="str" cm="1">
        <f t="array" ref="F134">IF($A134="","",IF($J134="Payment",IFERROR(INDEX(_xlfn._xlws.FILTER(MasterPaid[Amount Paid],(MasterPaid[Customer]=$M$3)*(MasterPaid[Date]=$A134)),COUNTIFS($A$6:$A134,$A134,$J$6:$J134,"Payment")),0),0))</f>
        <v/>
      </c>
      <c r="G134" s="331"/>
      <c r="H134" s="331"/>
      <c r="I134" s="330" t="str">
        <f t="shared" si="11"/>
        <v/>
      </c>
      <c r="J134" s="318" t="str" cm="1">
        <f t="array" ref="J134">IFERROR(INDEX(_xlfn.ANCHORARRAY($P$6),ROW()-5,3),"")</f>
        <v/>
      </c>
      <c r="K134" s="432" t="str" cm="1">
        <f t="array" ref="K134">IF(OR($A134="",$J134&lt;&gt;"DIESEL"),"",_xlfn.LET(_xlpm.qty,N($C134),_xlpm.pos,$T$5:$T$54,_xlpm.alo,IF($U$5:$U$54="",0,$U$5:$U$54),_xlpm.usd,SUMIFS($C$6:$C133,$K$6:$K133,_xlpm.pos&amp;""),_xlpm.bal,_xlpm.alo-_xlpm.usd,IFERROR(INDEX(_xlfn._xlws.FILTER(_xlpm.pos,(_xlpm.pos&lt;&gt;"")*(_xlpm.qty&gt;0)*(_xlpm.bal&gt;=_xlpm.qty)),1),"")))</f>
        <v/>
      </c>
      <c r="L134" s="290"/>
    </row>
    <row r="135" spans="1:12" ht="23" x14ac:dyDescent="0.25">
      <c r="A135" s="221" t="str" cm="1">
        <f t="array" ref="A135">IFERROR(INDEX(_xlfn.ANCHORARRAY($P$6),ROW()-5,1),"")</f>
        <v/>
      </c>
      <c r="B135" s="317" t="str" cm="1">
        <f t="array" ref="B135">IFERROR(INDEX(_xlfn.ANCHORARRAY($P$6),ROW()-5,2),"")</f>
        <v/>
      </c>
      <c r="C135" s="222" t="str">
        <f>IF($A135="","",IF($J135="DIESEL",SUMIFS(Table1[Quantity],Table1[Customer],$M$3,Table1[Date],$A135,Table1[Bill No.],$B135),IF($J135="PETROL",SUMIFS(Table14[Quantity],Table14[Customer],$M$3,Table14[Date],$A135,Table14[Bill No.],$B135),IF($J135="XtraGreen",SUMIFS(Table146[Quantity],Table146[Company],$M$3,Table146[Date],$A135,Table146[Bill No.],$B135),""))))</f>
        <v/>
      </c>
      <c r="D135" s="223" t="str">
        <f>IF($A135="","",IF($J135="DIESEL",AVERAGEIFS(Table1[RSP],Table1[Customer],$M$3,Table1[Date],$A135,Table1[Bill No.],$B135),IF($J135="PETROL",AVERAGEIFS(Table14[RSP],Table14[Customer],$M$3,Table14[Date],$A135,Table14[Bill No.],$B135),IF($J135="XtraGreen",AVERAGEIFS(Table146[RSP],Table146[Company],$M$3,Table146[Date],$A135,Table146[Bill No.],$B135),IFERROR($E135/$C135,"")))))</f>
        <v/>
      </c>
      <c r="E135" s="330" t="str">
        <f>IF($A135="","",IF($J135="DIESEL",SUMIFS(Table1[Amount],Table1[Customer],$M$3,Table1[Date],$A135,Table1[Bill No.],$B135),IF($J135="PETROL",SUMIFS(Table14[Amount],Table14[Customer],$M$3,Table14[Date],$A135,Table14[Bill No.],$B135),IF($J135="XtraGreen",SUMIFS(Table146[Amount],Table146[Company],$M$3,Table146[Date],$A135,Table146[Bill No.],$B135),SUMIFS('Other Sale'!$D:$D,'Other Sale'!$E:$E,$M$3,'Other Sale'!$C:$C,$J135,'Other Sale'!$A:$A,$A135)))))</f>
        <v/>
      </c>
      <c r="F135" s="330" t="str" cm="1">
        <f t="array" ref="F135">IF($A135="","",IF($J135="Payment",IFERROR(INDEX(_xlfn._xlws.FILTER(MasterPaid[Amount Paid],(MasterPaid[Customer]=$M$3)*(MasterPaid[Date]=$A135)),COUNTIFS($A$6:$A135,$A135,$J$6:$J135,"Payment")),0),0))</f>
        <v/>
      </c>
      <c r="G135" s="331"/>
      <c r="H135" s="331"/>
      <c r="I135" s="330" t="str">
        <f t="shared" si="11"/>
        <v/>
      </c>
      <c r="J135" s="318" t="str" cm="1">
        <f t="array" ref="J135">IFERROR(INDEX(_xlfn.ANCHORARRAY($P$6),ROW()-5,3),"")</f>
        <v/>
      </c>
      <c r="K135" s="432" t="str" cm="1">
        <f t="array" ref="K135">IF(OR($A135="",$J135&lt;&gt;"DIESEL"),"",_xlfn.LET(_xlpm.qty,N($C135),_xlpm.pos,$T$5:$T$54,_xlpm.alo,IF($U$5:$U$54="",0,$U$5:$U$54),_xlpm.usd,SUMIFS($C$6:$C134,$K$6:$K134,_xlpm.pos&amp;""),_xlpm.bal,_xlpm.alo-_xlpm.usd,IFERROR(INDEX(_xlfn._xlws.FILTER(_xlpm.pos,(_xlpm.pos&lt;&gt;"")*(_xlpm.qty&gt;0)*(_xlpm.bal&gt;=_xlpm.qty)),1),"")))</f>
        <v/>
      </c>
      <c r="L135" s="290"/>
    </row>
    <row r="136" spans="1:12" ht="23" x14ac:dyDescent="0.25">
      <c r="A136" s="221" t="str" cm="1">
        <f t="array" ref="A136">IFERROR(INDEX(_xlfn.ANCHORARRAY($P$6),ROW()-5,1),"")</f>
        <v/>
      </c>
      <c r="B136" s="317" t="str" cm="1">
        <f t="array" ref="B136">IFERROR(INDEX(_xlfn.ANCHORARRAY($P$6),ROW()-5,2),"")</f>
        <v/>
      </c>
      <c r="C136" s="222" t="str">
        <f>IF($A136="","",IF($J136="DIESEL",SUMIFS(Table1[Quantity],Table1[Customer],$M$3,Table1[Date],$A136,Table1[Bill No.],$B136),IF($J136="PETROL",SUMIFS(Table14[Quantity],Table14[Customer],$M$3,Table14[Date],$A136,Table14[Bill No.],$B136),IF($J136="XtraGreen",SUMIFS(Table146[Quantity],Table146[Company],$M$3,Table146[Date],$A136,Table146[Bill No.],$B136),""))))</f>
        <v/>
      </c>
      <c r="D136" s="223" t="str">
        <f>IF($A136="","",IF($J136="DIESEL",AVERAGEIFS(Table1[RSP],Table1[Customer],$M$3,Table1[Date],$A136,Table1[Bill No.],$B136),IF($J136="PETROL",AVERAGEIFS(Table14[RSP],Table14[Customer],$M$3,Table14[Date],$A136,Table14[Bill No.],$B136),IF($J136="XtraGreen",AVERAGEIFS(Table146[RSP],Table146[Company],$M$3,Table146[Date],$A136,Table146[Bill No.],$B136),IFERROR($E136/$C136,"")))))</f>
        <v/>
      </c>
      <c r="E136" s="330" t="str">
        <f>IF($A136="","",IF($J136="DIESEL",SUMIFS(Table1[Amount],Table1[Customer],$M$3,Table1[Date],$A136,Table1[Bill No.],$B136),IF($J136="PETROL",SUMIFS(Table14[Amount],Table14[Customer],$M$3,Table14[Date],$A136,Table14[Bill No.],$B136),IF($J136="XtraGreen",SUMIFS(Table146[Amount],Table146[Company],$M$3,Table146[Date],$A136,Table146[Bill No.],$B136),SUMIFS('Other Sale'!$D:$D,'Other Sale'!$E:$E,$M$3,'Other Sale'!$C:$C,$J136,'Other Sale'!$A:$A,$A136)))))</f>
        <v/>
      </c>
      <c r="F136" s="330" t="str" cm="1">
        <f t="array" ref="F136">IF($A136="","",IF($J136="Payment",IFERROR(INDEX(_xlfn._xlws.FILTER(MasterPaid[Amount Paid],(MasterPaid[Customer]=$M$3)*(MasterPaid[Date]=$A136)),COUNTIFS($A$6:$A136,$A136,$J$6:$J136,"Payment")),0),0))</f>
        <v/>
      </c>
      <c r="G136" s="331"/>
      <c r="H136" s="331"/>
      <c r="I136" s="330" t="str">
        <f t="shared" si="11"/>
        <v/>
      </c>
      <c r="J136" s="318" t="str" cm="1">
        <f t="array" ref="J136">IFERROR(INDEX(_xlfn.ANCHORARRAY($P$6),ROW()-5,3),"")</f>
        <v/>
      </c>
      <c r="K136" s="432" t="str" cm="1">
        <f t="array" ref="K136">IF(OR($A136="",$J136&lt;&gt;"DIESEL"),"",_xlfn.LET(_xlpm.qty,N($C136),_xlpm.pos,$T$5:$T$54,_xlpm.alo,IF($U$5:$U$54="",0,$U$5:$U$54),_xlpm.usd,SUMIFS($C$6:$C135,$K$6:$K135,_xlpm.pos&amp;""),_xlpm.bal,_xlpm.alo-_xlpm.usd,IFERROR(INDEX(_xlfn._xlws.FILTER(_xlpm.pos,(_xlpm.pos&lt;&gt;"")*(_xlpm.qty&gt;0)*(_xlpm.bal&gt;=_xlpm.qty)),1),"")))</f>
        <v/>
      </c>
      <c r="L136" s="290"/>
    </row>
    <row r="137" spans="1:12" ht="23" x14ac:dyDescent="0.25">
      <c r="A137" s="221" t="str" cm="1">
        <f t="array" ref="A137">IFERROR(INDEX(_xlfn.ANCHORARRAY($P$6),ROW()-5,1),"")</f>
        <v/>
      </c>
      <c r="B137" s="317" t="str" cm="1">
        <f t="array" ref="B137">IFERROR(INDEX(_xlfn.ANCHORARRAY($P$6),ROW()-5,2),"")</f>
        <v/>
      </c>
      <c r="C137" s="222" t="str">
        <f>IF($A137="","",IF($J137="DIESEL",SUMIFS(Table1[Quantity],Table1[Customer],$M$3,Table1[Date],$A137,Table1[Bill No.],$B137),IF($J137="PETROL",SUMIFS(Table14[Quantity],Table14[Customer],$M$3,Table14[Date],$A137,Table14[Bill No.],$B137),IF($J137="XtraGreen",SUMIFS(Table146[Quantity],Table146[Company],$M$3,Table146[Date],$A137,Table146[Bill No.],$B137),""))))</f>
        <v/>
      </c>
      <c r="D137" s="223" t="str">
        <f>IF($A137="","",IF($J137="DIESEL",AVERAGEIFS(Table1[RSP],Table1[Customer],$M$3,Table1[Date],$A137,Table1[Bill No.],$B137),IF($J137="PETROL",AVERAGEIFS(Table14[RSP],Table14[Customer],$M$3,Table14[Date],$A137,Table14[Bill No.],$B137),IF($J137="XtraGreen",AVERAGEIFS(Table146[RSP],Table146[Company],$M$3,Table146[Date],$A137,Table146[Bill No.],$B137),IFERROR($E137/$C137,"")))))</f>
        <v/>
      </c>
      <c r="E137" s="330" t="str">
        <f>IF($A137="","",IF($J137="DIESEL",SUMIFS(Table1[Amount],Table1[Customer],$M$3,Table1[Date],$A137,Table1[Bill No.],$B137),IF($J137="PETROL",SUMIFS(Table14[Amount],Table14[Customer],$M$3,Table14[Date],$A137,Table14[Bill No.],$B137),IF($J137="XtraGreen",SUMIFS(Table146[Amount],Table146[Company],$M$3,Table146[Date],$A137,Table146[Bill No.],$B137),SUMIFS('Other Sale'!$D:$D,'Other Sale'!$E:$E,$M$3,'Other Sale'!$C:$C,$J137,'Other Sale'!$A:$A,$A137)))))</f>
        <v/>
      </c>
      <c r="F137" s="330" t="str" cm="1">
        <f t="array" ref="F137">IF($A137="","",IF($J137="Payment",IFERROR(INDEX(_xlfn._xlws.FILTER(MasterPaid[Amount Paid],(MasterPaid[Customer]=$M$3)*(MasterPaid[Date]=$A137)),COUNTIFS($A$6:$A137,$A137,$J$6:$J137,"Payment")),0),0))</f>
        <v/>
      </c>
      <c r="G137" s="331"/>
      <c r="H137" s="331"/>
      <c r="I137" s="330" t="str">
        <f t="shared" si="11"/>
        <v/>
      </c>
      <c r="J137" s="318" t="str" cm="1">
        <f t="array" ref="J137">IFERROR(INDEX(_xlfn.ANCHORARRAY($P$6),ROW()-5,3),"")</f>
        <v/>
      </c>
      <c r="K137" s="432" t="str" cm="1">
        <f t="array" ref="K137">IF(OR($A137="",$J137&lt;&gt;"DIESEL"),"",_xlfn.LET(_xlpm.qty,N($C137),_xlpm.pos,$T$5:$T$54,_xlpm.alo,IF($U$5:$U$54="",0,$U$5:$U$54),_xlpm.usd,SUMIFS($C$6:$C136,$K$6:$K136,_xlpm.pos&amp;""),_xlpm.bal,_xlpm.alo-_xlpm.usd,IFERROR(INDEX(_xlfn._xlws.FILTER(_xlpm.pos,(_xlpm.pos&lt;&gt;"")*(_xlpm.qty&gt;0)*(_xlpm.bal&gt;=_xlpm.qty)),1),"")))</f>
        <v/>
      </c>
      <c r="L137" s="290"/>
    </row>
    <row r="138" spans="1:12" ht="23" x14ac:dyDescent="0.25">
      <c r="A138" s="221" t="str" cm="1">
        <f t="array" ref="A138">IFERROR(INDEX(_xlfn.ANCHORARRAY($P$6),ROW()-5,1),"")</f>
        <v/>
      </c>
      <c r="B138" s="317" t="str" cm="1">
        <f t="array" ref="B138">IFERROR(INDEX(_xlfn.ANCHORARRAY($P$6),ROW()-5,2),"")</f>
        <v/>
      </c>
      <c r="C138" s="222" t="str">
        <f>IF($A138="","",IF($J138="DIESEL",SUMIFS(Table1[Quantity],Table1[Customer],$M$3,Table1[Date],$A138,Table1[Bill No.],$B138),IF($J138="PETROL",SUMIFS(Table14[Quantity],Table14[Customer],$M$3,Table14[Date],$A138,Table14[Bill No.],$B138),IF($J138="XtraGreen",SUMIFS(Table146[Quantity],Table146[Company],$M$3,Table146[Date],$A138,Table146[Bill No.],$B138),""))))</f>
        <v/>
      </c>
      <c r="D138" s="223" t="str">
        <f>IF($A138="","",IF($J138="DIESEL",AVERAGEIFS(Table1[RSP],Table1[Customer],$M$3,Table1[Date],$A138,Table1[Bill No.],$B138),IF($J138="PETROL",AVERAGEIFS(Table14[RSP],Table14[Customer],$M$3,Table14[Date],$A138,Table14[Bill No.],$B138),IF($J138="XtraGreen",AVERAGEIFS(Table146[RSP],Table146[Company],$M$3,Table146[Date],$A138,Table146[Bill No.],$B138),IFERROR($E138/$C138,"")))))</f>
        <v/>
      </c>
      <c r="E138" s="330" t="str">
        <f>IF($A138="","",IF($J138="DIESEL",SUMIFS(Table1[Amount],Table1[Customer],$M$3,Table1[Date],$A138,Table1[Bill No.],$B138),IF($J138="PETROL",SUMIFS(Table14[Amount],Table14[Customer],$M$3,Table14[Date],$A138,Table14[Bill No.],$B138),IF($J138="XtraGreen",SUMIFS(Table146[Amount],Table146[Company],$M$3,Table146[Date],$A138,Table146[Bill No.],$B138),SUMIFS('Other Sale'!$D:$D,'Other Sale'!$E:$E,$M$3,'Other Sale'!$C:$C,$J138,'Other Sale'!$A:$A,$A138)))))</f>
        <v/>
      </c>
      <c r="F138" s="330" t="str" cm="1">
        <f t="array" ref="F138">IF($A138="","",IF($J138="Payment",IFERROR(INDEX(_xlfn._xlws.FILTER(MasterPaid[Amount Paid],(MasterPaid[Customer]=$M$3)*(MasterPaid[Date]=$A138)),COUNTIFS($A$6:$A138,$A138,$J$6:$J138,"Payment")),0),0))</f>
        <v/>
      </c>
      <c r="G138" s="331"/>
      <c r="H138" s="331"/>
      <c r="I138" s="330" t="str">
        <f t="shared" si="11"/>
        <v/>
      </c>
      <c r="J138" s="318" t="str" cm="1">
        <f t="array" ref="J138">IFERROR(INDEX(_xlfn.ANCHORARRAY($P$6),ROW()-5,3),"")</f>
        <v/>
      </c>
      <c r="K138" s="432" t="str" cm="1">
        <f t="array" ref="K138">IF(OR($A138="",$J138&lt;&gt;"DIESEL"),"",_xlfn.LET(_xlpm.qty,N($C138),_xlpm.pos,$T$5:$T$54,_xlpm.alo,IF($U$5:$U$54="",0,$U$5:$U$54),_xlpm.usd,SUMIFS($C$6:$C137,$K$6:$K137,_xlpm.pos&amp;""),_xlpm.bal,_xlpm.alo-_xlpm.usd,IFERROR(INDEX(_xlfn._xlws.FILTER(_xlpm.pos,(_xlpm.pos&lt;&gt;"")*(_xlpm.qty&gt;0)*(_xlpm.bal&gt;=_xlpm.qty)),1),"")))</f>
        <v/>
      </c>
      <c r="L138" s="290"/>
    </row>
    <row r="139" spans="1:12" ht="23" x14ac:dyDescent="0.25">
      <c r="A139" s="221" t="str" cm="1">
        <f t="array" ref="A139">IFERROR(INDEX(_xlfn.ANCHORARRAY($P$6),ROW()-5,1),"")</f>
        <v/>
      </c>
      <c r="B139" s="317" t="str" cm="1">
        <f t="array" ref="B139">IFERROR(INDEX(_xlfn.ANCHORARRAY($P$6),ROW()-5,2),"")</f>
        <v/>
      </c>
      <c r="C139" s="222" t="str">
        <f>IF($A139="","",IF($J139="DIESEL",SUMIFS(Table1[Quantity],Table1[Customer],$M$3,Table1[Date],$A139,Table1[Bill No.],$B139),IF($J139="PETROL",SUMIFS(Table14[Quantity],Table14[Customer],$M$3,Table14[Date],$A139,Table14[Bill No.],$B139),IF($J139="XtraGreen",SUMIFS(Table146[Quantity],Table146[Company],$M$3,Table146[Date],$A139,Table146[Bill No.],$B139),""))))</f>
        <v/>
      </c>
      <c r="D139" s="223" t="str">
        <f>IF($A139="","",IF($J139="DIESEL",AVERAGEIFS(Table1[RSP],Table1[Customer],$M$3,Table1[Date],$A139,Table1[Bill No.],$B139),IF($J139="PETROL",AVERAGEIFS(Table14[RSP],Table14[Customer],$M$3,Table14[Date],$A139,Table14[Bill No.],$B139),IF($J139="XtraGreen",AVERAGEIFS(Table146[RSP],Table146[Company],$M$3,Table146[Date],$A139,Table146[Bill No.],$B139),IFERROR($E139/$C139,"")))))</f>
        <v/>
      </c>
      <c r="E139" s="330" t="str">
        <f>IF($A139="","",IF($J139="DIESEL",SUMIFS(Table1[Amount],Table1[Customer],$M$3,Table1[Date],$A139,Table1[Bill No.],$B139),IF($J139="PETROL",SUMIFS(Table14[Amount],Table14[Customer],$M$3,Table14[Date],$A139,Table14[Bill No.],$B139),IF($J139="XtraGreen",SUMIFS(Table146[Amount],Table146[Company],$M$3,Table146[Date],$A139,Table146[Bill No.],$B139),SUMIFS('Other Sale'!$D:$D,'Other Sale'!$E:$E,$M$3,'Other Sale'!$C:$C,$J139,'Other Sale'!$A:$A,$A139)))))</f>
        <v/>
      </c>
      <c r="F139" s="330" t="str" cm="1">
        <f t="array" ref="F139">IF($A139="","",IF($J139="Payment",IFERROR(INDEX(_xlfn._xlws.FILTER(MasterPaid[Amount Paid],(MasterPaid[Customer]=$M$3)*(MasterPaid[Date]=$A139)),COUNTIFS($A$6:$A139,$A139,$J$6:$J139,"Payment")),0),0))</f>
        <v/>
      </c>
      <c r="G139" s="331"/>
      <c r="H139" s="331"/>
      <c r="I139" s="330" t="str">
        <f t="shared" si="11"/>
        <v/>
      </c>
      <c r="J139" s="318" t="str" cm="1">
        <f t="array" ref="J139">IFERROR(INDEX(_xlfn.ANCHORARRAY($P$6),ROW()-5,3),"")</f>
        <v/>
      </c>
      <c r="K139" s="432" t="str" cm="1">
        <f t="array" ref="K139">IF(OR($A139="",$J139&lt;&gt;"DIESEL"),"",_xlfn.LET(_xlpm.qty,N($C139),_xlpm.pos,$T$5:$T$54,_xlpm.alo,IF($U$5:$U$54="",0,$U$5:$U$54),_xlpm.usd,SUMIFS($C$6:$C138,$K$6:$K138,_xlpm.pos&amp;""),_xlpm.bal,_xlpm.alo-_xlpm.usd,IFERROR(INDEX(_xlfn._xlws.FILTER(_xlpm.pos,(_xlpm.pos&lt;&gt;"")*(_xlpm.qty&gt;0)*(_xlpm.bal&gt;=_xlpm.qty)),1),"")))</f>
        <v/>
      </c>
      <c r="L139" s="290"/>
    </row>
    <row r="140" spans="1:12" ht="23" x14ac:dyDescent="0.25">
      <c r="A140" s="221" t="str" cm="1">
        <f t="array" ref="A140">IFERROR(INDEX(_xlfn.ANCHORARRAY($P$6),ROW()-5,1),"")</f>
        <v/>
      </c>
      <c r="B140" s="317" t="str" cm="1">
        <f t="array" ref="B140">IFERROR(INDEX(_xlfn.ANCHORARRAY($P$6),ROW()-5,2),"")</f>
        <v/>
      </c>
      <c r="C140" s="222" t="str">
        <f>IF($A140="","",IF($J140="DIESEL",SUMIFS(Table1[Quantity],Table1[Customer],$M$3,Table1[Date],$A140,Table1[Bill No.],$B140),IF($J140="PETROL",SUMIFS(Table14[Quantity],Table14[Customer],$M$3,Table14[Date],$A140,Table14[Bill No.],$B140),IF($J140="XtraGreen",SUMIFS(Table146[Quantity],Table146[Company],$M$3,Table146[Date],$A140,Table146[Bill No.],$B140),""))))</f>
        <v/>
      </c>
      <c r="D140" s="223" t="str">
        <f>IF($A140="","",IF($J140="DIESEL",AVERAGEIFS(Table1[RSP],Table1[Customer],$M$3,Table1[Date],$A140,Table1[Bill No.],$B140),IF($J140="PETROL",AVERAGEIFS(Table14[RSP],Table14[Customer],$M$3,Table14[Date],$A140,Table14[Bill No.],$B140),IF($J140="XtraGreen",AVERAGEIFS(Table146[RSP],Table146[Company],$M$3,Table146[Date],$A140,Table146[Bill No.],$B140),IFERROR($E140/$C140,"")))))</f>
        <v/>
      </c>
      <c r="E140" s="330" t="str">
        <f>IF($A140="","",IF($J140="DIESEL",SUMIFS(Table1[Amount],Table1[Customer],$M$3,Table1[Date],$A140,Table1[Bill No.],$B140),IF($J140="PETROL",SUMIFS(Table14[Amount],Table14[Customer],$M$3,Table14[Date],$A140,Table14[Bill No.],$B140),IF($J140="XtraGreen",SUMIFS(Table146[Amount],Table146[Company],$M$3,Table146[Date],$A140,Table146[Bill No.],$B140),SUMIFS('Other Sale'!$D:$D,'Other Sale'!$E:$E,$M$3,'Other Sale'!$C:$C,$J140,'Other Sale'!$A:$A,$A140)))))</f>
        <v/>
      </c>
      <c r="F140" s="330" t="str" cm="1">
        <f t="array" ref="F140">IF($A140="","",IF($J140="Payment",IFERROR(INDEX(_xlfn._xlws.FILTER(MasterPaid[Amount Paid],(MasterPaid[Customer]=$M$3)*(MasterPaid[Date]=$A140)),COUNTIFS($A$6:$A140,$A140,$J$6:$J140,"Payment")),0),0))</f>
        <v/>
      </c>
      <c r="G140" s="331"/>
      <c r="H140" s="331"/>
      <c r="I140" s="330" t="str">
        <f t="shared" si="11"/>
        <v/>
      </c>
      <c r="J140" s="318" t="str" cm="1">
        <f t="array" ref="J140">IFERROR(INDEX(_xlfn.ANCHORARRAY($P$6),ROW()-5,3),"")</f>
        <v/>
      </c>
      <c r="K140" s="432" t="str" cm="1">
        <f t="array" ref="K140">IF(OR($A140="",$J140&lt;&gt;"DIESEL"),"",_xlfn.LET(_xlpm.qty,N($C140),_xlpm.pos,$T$5:$T$54,_xlpm.alo,IF($U$5:$U$54="",0,$U$5:$U$54),_xlpm.usd,SUMIFS($C$6:$C139,$K$6:$K139,_xlpm.pos&amp;""),_xlpm.bal,_xlpm.alo-_xlpm.usd,IFERROR(INDEX(_xlfn._xlws.FILTER(_xlpm.pos,(_xlpm.pos&lt;&gt;"")*(_xlpm.qty&gt;0)*(_xlpm.bal&gt;=_xlpm.qty)),1),"")))</f>
        <v/>
      </c>
      <c r="L140" s="290"/>
    </row>
    <row r="141" spans="1:12" ht="23" x14ac:dyDescent="0.25">
      <c r="A141" s="221" t="str" cm="1">
        <f t="array" ref="A141">IFERROR(INDEX(_xlfn.ANCHORARRAY($P$6),ROW()-5,1),"")</f>
        <v/>
      </c>
      <c r="B141" s="317" t="str" cm="1">
        <f t="array" ref="B141">IFERROR(INDEX(_xlfn.ANCHORARRAY($P$6),ROW()-5,2),"")</f>
        <v/>
      </c>
      <c r="C141" s="222" t="str">
        <f>IF($A141="","",IF($J141="DIESEL",SUMIFS(Table1[Quantity],Table1[Customer],$M$3,Table1[Date],$A141,Table1[Bill No.],$B141),IF($J141="PETROL",SUMIFS(Table14[Quantity],Table14[Customer],$M$3,Table14[Date],$A141,Table14[Bill No.],$B141),IF($J141="XtraGreen",SUMIFS(Table146[Quantity],Table146[Company],$M$3,Table146[Date],$A141,Table146[Bill No.],$B141),""))))</f>
        <v/>
      </c>
      <c r="D141" s="223" t="str">
        <f>IF($A141="","",IF($J141="DIESEL",AVERAGEIFS(Table1[RSP],Table1[Customer],$M$3,Table1[Date],$A141,Table1[Bill No.],$B141),IF($J141="PETROL",AVERAGEIFS(Table14[RSP],Table14[Customer],$M$3,Table14[Date],$A141,Table14[Bill No.],$B141),IF($J141="XtraGreen",AVERAGEIFS(Table146[RSP],Table146[Company],$M$3,Table146[Date],$A141,Table146[Bill No.],$B141),IFERROR($E141/$C141,"")))))</f>
        <v/>
      </c>
      <c r="E141" s="330" t="str">
        <f>IF($A141="","",IF($J141="DIESEL",SUMIFS(Table1[Amount],Table1[Customer],$M$3,Table1[Date],$A141,Table1[Bill No.],$B141),IF($J141="PETROL",SUMIFS(Table14[Amount],Table14[Customer],$M$3,Table14[Date],$A141,Table14[Bill No.],$B141),IF($J141="XtraGreen",SUMIFS(Table146[Amount],Table146[Company],$M$3,Table146[Date],$A141,Table146[Bill No.],$B141),SUMIFS('Other Sale'!$D:$D,'Other Sale'!$E:$E,$M$3,'Other Sale'!$C:$C,$J141,'Other Sale'!$A:$A,$A141)))))</f>
        <v/>
      </c>
      <c r="F141" s="330" t="str" cm="1">
        <f t="array" ref="F141">IF($A141="","",IF($J141="Payment",IFERROR(INDEX(_xlfn._xlws.FILTER(MasterPaid[Amount Paid],(MasterPaid[Customer]=$M$3)*(MasterPaid[Date]=$A141)),COUNTIFS($A$6:$A141,$A141,$J$6:$J141,"Payment")),0),0))</f>
        <v/>
      </c>
      <c r="G141" s="331"/>
      <c r="H141" s="331"/>
      <c r="I141" s="330" t="str">
        <f t="shared" si="11"/>
        <v/>
      </c>
      <c r="J141" s="318" t="str" cm="1">
        <f t="array" ref="J141">IFERROR(INDEX(_xlfn.ANCHORARRAY($P$6),ROW()-5,3),"")</f>
        <v/>
      </c>
      <c r="K141" s="432" t="str" cm="1">
        <f t="array" ref="K141">IF(OR($A141="",$J141&lt;&gt;"DIESEL"),"",_xlfn.LET(_xlpm.qty,N($C141),_xlpm.pos,$T$5:$T$54,_xlpm.alo,IF($U$5:$U$54="",0,$U$5:$U$54),_xlpm.usd,SUMIFS($C$6:$C140,$K$6:$K140,_xlpm.pos&amp;""),_xlpm.bal,_xlpm.alo-_xlpm.usd,IFERROR(INDEX(_xlfn._xlws.FILTER(_xlpm.pos,(_xlpm.pos&lt;&gt;"")*(_xlpm.qty&gt;0)*(_xlpm.bal&gt;=_xlpm.qty)),1),"")))</f>
        <v/>
      </c>
      <c r="L141" s="290"/>
    </row>
    <row r="142" spans="1:12" ht="23" x14ac:dyDescent="0.25">
      <c r="A142" s="221" t="str" cm="1">
        <f t="array" ref="A142">IFERROR(INDEX(_xlfn.ANCHORARRAY($P$6),ROW()-5,1),"")</f>
        <v/>
      </c>
      <c r="B142" s="317" t="str" cm="1">
        <f t="array" ref="B142">IFERROR(INDEX(_xlfn.ANCHORARRAY($P$6),ROW()-5,2),"")</f>
        <v/>
      </c>
      <c r="C142" s="222" t="str">
        <f>IF($A142="","",IF($J142="DIESEL",SUMIFS(Table1[Quantity],Table1[Customer],$M$3,Table1[Date],$A142,Table1[Bill No.],$B142),IF($J142="PETROL",SUMIFS(Table14[Quantity],Table14[Customer],$M$3,Table14[Date],$A142,Table14[Bill No.],$B142),IF($J142="XtraGreen",SUMIFS(Table146[Quantity],Table146[Company],$M$3,Table146[Date],$A142,Table146[Bill No.],$B142),""))))</f>
        <v/>
      </c>
      <c r="D142" s="223" t="str">
        <f>IF($A142="","",IF($J142="DIESEL",AVERAGEIFS(Table1[RSP],Table1[Customer],$M$3,Table1[Date],$A142,Table1[Bill No.],$B142),IF($J142="PETROL",AVERAGEIFS(Table14[RSP],Table14[Customer],$M$3,Table14[Date],$A142,Table14[Bill No.],$B142),IF($J142="XtraGreen",AVERAGEIFS(Table146[RSP],Table146[Company],$M$3,Table146[Date],$A142,Table146[Bill No.],$B142),IFERROR($E142/$C142,"")))))</f>
        <v/>
      </c>
      <c r="E142" s="330" t="str">
        <f>IF($A142="","",IF($J142="DIESEL",SUMIFS(Table1[Amount],Table1[Customer],$M$3,Table1[Date],$A142,Table1[Bill No.],$B142),IF($J142="PETROL",SUMIFS(Table14[Amount],Table14[Customer],$M$3,Table14[Date],$A142,Table14[Bill No.],$B142),IF($J142="XtraGreen",SUMIFS(Table146[Amount],Table146[Company],$M$3,Table146[Date],$A142,Table146[Bill No.],$B142),SUMIFS('Other Sale'!$D:$D,'Other Sale'!$E:$E,$M$3,'Other Sale'!$C:$C,$J142,'Other Sale'!$A:$A,$A142)))))</f>
        <v/>
      </c>
      <c r="F142" s="330" t="str" cm="1">
        <f t="array" ref="F142">IF($A142="","",IF($J142="Payment",IFERROR(INDEX(_xlfn._xlws.FILTER(MasterPaid[Amount Paid],(MasterPaid[Customer]=$M$3)*(MasterPaid[Date]=$A142)),COUNTIFS($A$6:$A142,$A142,$J$6:$J142,"Payment")),0),0))</f>
        <v/>
      </c>
      <c r="G142" s="331"/>
      <c r="H142" s="331"/>
      <c r="I142" s="330" t="str">
        <f t="shared" si="11"/>
        <v/>
      </c>
      <c r="J142" s="318" t="str" cm="1">
        <f t="array" ref="J142">IFERROR(INDEX(_xlfn.ANCHORARRAY($P$6),ROW()-5,3),"")</f>
        <v/>
      </c>
      <c r="K142" s="432" t="str" cm="1">
        <f t="array" ref="K142">IF(OR($A142="",$J142&lt;&gt;"DIESEL"),"",_xlfn.LET(_xlpm.qty,N($C142),_xlpm.pos,$T$5:$T$54,_xlpm.alo,IF($U$5:$U$54="",0,$U$5:$U$54),_xlpm.usd,SUMIFS($C$6:$C141,$K$6:$K141,_xlpm.pos&amp;""),_xlpm.bal,_xlpm.alo-_xlpm.usd,IFERROR(INDEX(_xlfn._xlws.FILTER(_xlpm.pos,(_xlpm.pos&lt;&gt;"")*(_xlpm.qty&gt;0)*(_xlpm.bal&gt;=_xlpm.qty)),1),"")))</f>
        <v/>
      </c>
      <c r="L142" s="290"/>
    </row>
    <row r="143" spans="1:12" ht="23" x14ac:dyDescent="0.25">
      <c r="A143" s="221" t="str" cm="1">
        <f t="array" ref="A143">IFERROR(INDEX(_xlfn.ANCHORARRAY($P$6),ROW()-5,1),"")</f>
        <v/>
      </c>
      <c r="B143" s="317" t="str" cm="1">
        <f t="array" ref="B143">IFERROR(INDEX(_xlfn.ANCHORARRAY($P$6),ROW()-5,2),"")</f>
        <v/>
      </c>
      <c r="C143" s="222" t="str">
        <f>IF($A143="","",IF($J143="DIESEL",SUMIFS(Table1[Quantity],Table1[Customer],$M$3,Table1[Date],$A143,Table1[Bill No.],$B143),IF($J143="PETROL",SUMIFS(Table14[Quantity],Table14[Customer],$M$3,Table14[Date],$A143,Table14[Bill No.],$B143),IF($J143="XtraGreen",SUMIFS(Table146[Quantity],Table146[Company],$M$3,Table146[Date],$A143,Table146[Bill No.],$B143),""))))</f>
        <v/>
      </c>
      <c r="D143" s="223" t="str">
        <f>IF($A143="","",IF($J143="DIESEL",AVERAGEIFS(Table1[RSP],Table1[Customer],$M$3,Table1[Date],$A143,Table1[Bill No.],$B143),IF($J143="PETROL",AVERAGEIFS(Table14[RSP],Table14[Customer],$M$3,Table14[Date],$A143,Table14[Bill No.],$B143),IF($J143="XtraGreen",AVERAGEIFS(Table146[RSP],Table146[Company],$M$3,Table146[Date],$A143,Table146[Bill No.],$B143),IFERROR($E143/$C143,"")))))</f>
        <v/>
      </c>
      <c r="E143" s="330" t="str">
        <f>IF($A143="","",IF($J143="DIESEL",SUMIFS(Table1[Amount],Table1[Customer],$M$3,Table1[Date],$A143,Table1[Bill No.],$B143),IF($J143="PETROL",SUMIFS(Table14[Amount],Table14[Customer],$M$3,Table14[Date],$A143,Table14[Bill No.],$B143),IF($J143="XtraGreen",SUMIFS(Table146[Amount],Table146[Company],$M$3,Table146[Date],$A143,Table146[Bill No.],$B143),SUMIFS('Other Sale'!$D:$D,'Other Sale'!$E:$E,$M$3,'Other Sale'!$C:$C,$J143,'Other Sale'!$A:$A,$A143)))))</f>
        <v/>
      </c>
      <c r="F143" s="330" t="str" cm="1">
        <f t="array" ref="F143">IF($A143="","",IF($J143="Payment",IFERROR(INDEX(_xlfn._xlws.FILTER(MasterPaid[Amount Paid],(MasterPaid[Customer]=$M$3)*(MasterPaid[Date]=$A143)),COUNTIFS($A$6:$A143,$A143,$J$6:$J143,"Payment")),0),0))</f>
        <v/>
      </c>
      <c r="G143" s="331"/>
      <c r="H143" s="331"/>
      <c r="I143" s="330" t="str">
        <f t="shared" si="11"/>
        <v/>
      </c>
      <c r="J143" s="318" t="str" cm="1">
        <f t="array" ref="J143">IFERROR(INDEX(_xlfn.ANCHORARRAY($P$6),ROW()-5,3),"")</f>
        <v/>
      </c>
      <c r="K143" s="432" t="str" cm="1">
        <f t="array" ref="K143">IF(OR($A143="",$J143&lt;&gt;"DIESEL"),"",_xlfn.LET(_xlpm.qty,N($C143),_xlpm.pos,$T$5:$T$54,_xlpm.alo,IF($U$5:$U$54="",0,$U$5:$U$54),_xlpm.usd,SUMIFS($C$6:$C142,$K$6:$K142,_xlpm.pos&amp;""),_xlpm.bal,_xlpm.alo-_xlpm.usd,IFERROR(INDEX(_xlfn._xlws.FILTER(_xlpm.pos,(_xlpm.pos&lt;&gt;"")*(_xlpm.qty&gt;0)*(_xlpm.bal&gt;=_xlpm.qty)),1),"")))</f>
        <v/>
      </c>
      <c r="L143" s="290"/>
    </row>
    <row r="144" spans="1:12" ht="23" x14ac:dyDescent="0.25">
      <c r="A144" s="221" t="str" cm="1">
        <f t="array" ref="A144">IFERROR(INDEX(_xlfn.ANCHORARRAY($P$6),ROW()-5,1),"")</f>
        <v/>
      </c>
      <c r="B144" s="317" t="str" cm="1">
        <f t="array" ref="B144">IFERROR(INDEX(_xlfn.ANCHORARRAY($P$6),ROW()-5,2),"")</f>
        <v/>
      </c>
      <c r="C144" s="222" t="str">
        <f>IF($A144="","",IF($J144="DIESEL",SUMIFS(Table1[Quantity],Table1[Customer],$M$3,Table1[Date],$A144,Table1[Bill No.],$B144),IF($J144="PETROL",SUMIFS(Table14[Quantity],Table14[Customer],$M$3,Table14[Date],$A144,Table14[Bill No.],$B144),IF($J144="XtraGreen",SUMIFS(Table146[Quantity],Table146[Company],$M$3,Table146[Date],$A144,Table146[Bill No.],$B144),""))))</f>
        <v/>
      </c>
      <c r="D144" s="223" t="str">
        <f>IF($A144="","",IF($J144="DIESEL",AVERAGEIFS(Table1[RSP],Table1[Customer],$M$3,Table1[Date],$A144,Table1[Bill No.],$B144),IF($J144="PETROL",AVERAGEIFS(Table14[RSP],Table14[Customer],$M$3,Table14[Date],$A144,Table14[Bill No.],$B144),IF($J144="XtraGreen",AVERAGEIFS(Table146[RSP],Table146[Company],$M$3,Table146[Date],$A144,Table146[Bill No.],$B144),IFERROR($E144/$C144,"")))))</f>
        <v/>
      </c>
      <c r="E144" s="330" t="str">
        <f>IF($A144="","",IF($J144="DIESEL",SUMIFS(Table1[Amount],Table1[Customer],$M$3,Table1[Date],$A144,Table1[Bill No.],$B144),IF($J144="PETROL",SUMIFS(Table14[Amount],Table14[Customer],$M$3,Table14[Date],$A144,Table14[Bill No.],$B144),IF($J144="XtraGreen",SUMIFS(Table146[Amount],Table146[Company],$M$3,Table146[Date],$A144,Table146[Bill No.],$B144),SUMIFS('Other Sale'!$D:$D,'Other Sale'!$E:$E,$M$3,'Other Sale'!$C:$C,$J144,'Other Sale'!$A:$A,$A144)))))</f>
        <v/>
      </c>
      <c r="F144" s="330" t="str" cm="1">
        <f t="array" ref="F144">IF($A144="","",IF($J144="Payment",IFERROR(INDEX(_xlfn._xlws.FILTER(MasterPaid[Amount Paid],(MasterPaid[Customer]=$M$3)*(MasterPaid[Date]=$A144)),COUNTIFS($A$6:$A144,$A144,$J$6:$J144,"Payment")),0),0))</f>
        <v/>
      </c>
      <c r="G144" s="331"/>
      <c r="H144" s="331"/>
      <c r="I144" s="330" t="str">
        <f t="shared" si="11"/>
        <v/>
      </c>
      <c r="J144" s="318" t="str" cm="1">
        <f t="array" ref="J144">IFERROR(INDEX(_xlfn.ANCHORARRAY($P$6),ROW()-5,3),"")</f>
        <v/>
      </c>
      <c r="K144" s="432" t="str" cm="1">
        <f t="array" ref="K144">IF(OR($A144="",$J144&lt;&gt;"DIESEL"),"",_xlfn.LET(_xlpm.qty,N($C144),_xlpm.pos,$T$5:$T$54,_xlpm.alo,IF($U$5:$U$54="",0,$U$5:$U$54),_xlpm.usd,SUMIFS($C$6:$C143,$K$6:$K143,_xlpm.pos&amp;""),_xlpm.bal,_xlpm.alo-_xlpm.usd,IFERROR(INDEX(_xlfn._xlws.FILTER(_xlpm.pos,(_xlpm.pos&lt;&gt;"")*(_xlpm.qty&gt;0)*(_xlpm.bal&gt;=_xlpm.qty)),1),"")))</f>
        <v/>
      </c>
      <c r="L144" s="290"/>
    </row>
    <row r="145" spans="1:12" ht="23" x14ac:dyDescent="0.25">
      <c r="A145" s="221" t="str" cm="1">
        <f t="array" ref="A145">IFERROR(INDEX(_xlfn.ANCHORARRAY($P$6),ROW()-5,1),"")</f>
        <v/>
      </c>
      <c r="B145" s="317" t="str" cm="1">
        <f t="array" ref="B145">IFERROR(INDEX(_xlfn.ANCHORARRAY($P$6),ROW()-5,2),"")</f>
        <v/>
      </c>
      <c r="C145" s="222" t="str">
        <f>IF($A145="","",IF($J145="DIESEL",SUMIFS(Table1[Quantity],Table1[Customer],$M$3,Table1[Date],$A145,Table1[Bill No.],$B145),IF($J145="PETROL",SUMIFS(Table14[Quantity],Table14[Customer],$M$3,Table14[Date],$A145,Table14[Bill No.],$B145),IF($J145="XtraGreen",SUMIFS(Table146[Quantity],Table146[Company],$M$3,Table146[Date],$A145,Table146[Bill No.],$B145),""))))</f>
        <v/>
      </c>
      <c r="D145" s="223" t="str">
        <f>IF($A145="","",IF($J145="DIESEL",AVERAGEIFS(Table1[RSP],Table1[Customer],$M$3,Table1[Date],$A145,Table1[Bill No.],$B145),IF($J145="PETROL",AVERAGEIFS(Table14[RSP],Table14[Customer],$M$3,Table14[Date],$A145,Table14[Bill No.],$B145),IF($J145="XtraGreen",AVERAGEIFS(Table146[RSP],Table146[Company],$M$3,Table146[Date],$A145,Table146[Bill No.],$B145),IFERROR($E145/$C145,"")))))</f>
        <v/>
      </c>
      <c r="E145" s="330" t="str">
        <f>IF($A145="","",IF($J145="DIESEL",SUMIFS(Table1[Amount],Table1[Customer],$M$3,Table1[Date],$A145,Table1[Bill No.],$B145),IF($J145="PETROL",SUMIFS(Table14[Amount],Table14[Customer],$M$3,Table14[Date],$A145,Table14[Bill No.],$B145),IF($J145="XtraGreen",SUMIFS(Table146[Amount],Table146[Company],$M$3,Table146[Date],$A145,Table146[Bill No.],$B145),SUMIFS('Other Sale'!$D:$D,'Other Sale'!$E:$E,$M$3,'Other Sale'!$C:$C,$J145,'Other Sale'!$A:$A,$A145)))))</f>
        <v/>
      </c>
      <c r="F145" s="330" t="str" cm="1">
        <f t="array" ref="F145">IF($A145="","",IF($J145="Payment",IFERROR(INDEX(_xlfn._xlws.FILTER(MasterPaid[Amount Paid],(MasterPaid[Customer]=$M$3)*(MasterPaid[Date]=$A145)),COUNTIFS($A$6:$A145,$A145,$J$6:$J145,"Payment")),0),0))</f>
        <v/>
      </c>
      <c r="G145" s="331"/>
      <c r="H145" s="331"/>
      <c r="I145" s="330" t="str">
        <f t="shared" si="11"/>
        <v/>
      </c>
      <c r="J145" s="318" t="str" cm="1">
        <f t="array" ref="J145">IFERROR(INDEX(_xlfn.ANCHORARRAY($P$6),ROW()-5,3),"")</f>
        <v/>
      </c>
      <c r="K145" s="432" t="str" cm="1">
        <f t="array" ref="K145">IF(OR($A145="",$J145&lt;&gt;"DIESEL"),"",_xlfn.LET(_xlpm.qty,N($C145),_xlpm.pos,$T$5:$T$54,_xlpm.alo,IF($U$5:$U$54="",0,$U$5:$U$54),_xlpm.usd,SUMIFS($C$6:$C144,$K$6:$K144,_xlpm.pos&amp;""),_xlpm.bal,_xlpm.alo-_xlpm.usd,IFERROR(INDEX(_xlfn._xlws.FILTER(_xlpm.pos,(_xlpm.pos&lt;&gt;"")*(_xlpm.qty&gt;0)*(_xlpm.bal&gt;=_xlpm.qty)),1),"")))</f>
        <v/>
      </c>
      <c r="L145" s="290"/>
    </row>
    <row r="146" spans="1:12" ht="23" x14ac:dyDescent="0.25">
      <c r="A146" s="221" t="str" cm="1">
        <f t="array" ref="A146">IFERROR(INDEX(_xlfn.ANCHORARRAY($P$6),ROW()-5,1),"")</f>
        <v/>
      </c>
      <c r="B146" s="317" t="str" cm="1">
        <f t="array" ref="B146">IFERROR(INDEX(_xlfn.ANCHORARRAY($P$6),ROW()-5,2),"")</f>
        <v/>
      </c>
      <c r="C146" s="222" t="str">
        <f>IF($A146="","",IF($J146="DIESEL",SUMIFS(Table1[Quantity],Table1[Customer],$M$3,Table1[Date],$A146,Table1[Bill No.],$B146),IF($J146="PETROL",SUMIFS(Table14[Quantity],Table14[Customer],$M$3,Table14[Date],$A146,Table14[Bill No.],$B146),IF($J146="XtraGreen",SUMIFS(Table146[Quantity],Table146[Company],$M$3,Table146[Date],$A146,Table146[Bill No.],$B146),""))))</f>
        <v/>
      </c>
      <c r="D146" s="223" t="str">
        <f>IF($A146="","",IF($J146="DIESEL",AVERAGEIFS(Table1[RSP],Table1[Customer],$M$3,Table1[Date],$A146,Table1[Bill No.],$B146),IF($J146="PETROL",AVERAGEIFS(Table14[RSP],Table14[Customer],$M$3,Table14[Date],$A146,Table14[Bill No.],$B146),IF($J146="XtraGreen",AVERAGEIFS(Table146[RSP],Table146[Company],$M$3,Table146[Date],$A146,Table146[Bill No.],$B146),IFERROR($E146/$C146,"")))))</f>
        <v/>
      </c>
      <c r="E146" s="330" t="str">
        <f>IF($A146="","",IF($J146="DIESEL",SUMIFS(Table1[Amount],Table1[Customer],$M$3,Table1[Date],$A146,Table1[Bill No.],$B146),IF($J146="PETROL",SUMIFS(Table14[Amount],Table14[Customer],$M$3,Table14[Date],$A146,Table14[Bill No.],$B146),IF($J146="XtraGreen",SUMIFS(Table146[Amount],Table146[Company],$M$3,Table146[Date],$A146,Table146[Bill No.],$B146),SUMIFS('Other Sale'!$D:$D,'Other Sale'!$E:$E,$M$3,'Other Sale'!$C:$C,$J146,'Other Sale'!$A:$A,$A146)))))</f>
        <v/>
      </c>
      <c r="F146" s="330" t="str" cm="1">
        <f t="array" ref="F146">IF($A146="","",IF($J146="Payment",IFERROR(INDEX(_xlfn._xlws.FILTER(MasterPaid[Amount Paid],(MasterPaid[Customer]=$M$3)*(MasterPaid[Date]=$A146)),COUNTIFS($A$6:$A146,$A146,$J$6:$J146,"Payment")),0),0))</f>
        <v/>
      </c>
      <c r="G146" s="331"/>
      <c r="H146" s="331"/>
      <c r="I146" s="330" t="str">
        <f t="shared" si="11"/>
        <v/>
      </c>
      <c r="J146" s="318" t="str" cm="1">
        <f t="array" ref="J146">IFERROR(INDEX(_xlfn.ANCHORARRAY($P$6),ROW()-5,3),"")</f>
        <v/>
      </c>
      <c r="K146" s="432" t="str" cm="1">
        <f t="array" ref="K146">IF(OR($A146="",$J146&lt;&gt;"DIESEL"),"",_xlfn.LET(_xlpm.qty,N($C146),_xlpm.pos,$T$5:$T$54,_xlpm.alo,IF($U$5:$U$54="",0,$U$5:$U$54),_xlpm.usd,SUMIFS($C$6:$C145,$K$6:$K145,_xlpm.pos&amp;""),_xlpm.bal,_xlpm.alo-_xlpm.usd,IFERROR(INDEX(_xlfn._xlws.FILTER(_xlpm.pos,(_xlpm.pos&lt;&gt;"")*(_xlpm.qty&gt;0)*(_xlpm.bal&gt;=_xlpm.qty)),1),"")))</f>
        <v/>
      </c>
      <c r="L146" s="290"/>
    </row>
    <row r="147" spans="1:12" ht="23" x14ac:dyDescent="0.25">
      <c r="A147" s="221" t="str" cm="1">
        <f t="array" ref="A147">IFERROR(INDEX(_xlfn.ANCHORARRAY($P$6),ROW()-5,1),"")</f>
        <v/>
      </c>
      <c r="B147" s="317" t="str" cm="1">
        <f t="array" ref="B147">IFERROR(INDEX(_xlfn.ANCHORARRAY($P$6),ROW()-5,2),"")</f>
        <v/>
      </c>
      <c r="C147" s="222" t="str">
        <f>IF($A147="","",IF($J147="DIESEL",SUMIFS(Table1[Quantity],Table1[Customer],$M$3,Table1[Date],$A147,Table1[Bill No.],$B147),IF($J147="PETROL",SUMIFS(Table14[Quantity],Table14[Customer],$M$3,Table14[Date],$A147,Table14[Bill No.],$B147),IF($J147="XtraGreen",SUMIFS(Table146[Quantity],Table146[Company],$M$3,Table146[Date],$A147,Table146[Bill No.],$B147),""))))</f>
        <v/>
      </c>
      <c r="D147" s="223" t="str">
        <f>IF($A147="","",IF($J147="DIESEL",AVERAGEIFS(Table1[RSP],Table1[Customer],$M$3,Table1[Date],$A147,Table1[Bill No.],$B147),IF($J147="PETROL",AVERAGEIFS(Table14[RSP],Table14[Customer],$M$3,Table14[Date],$A147,Table14[Bill No.],$B147),IF($J147="XtraGreen",AVERAGEIFS(Table146[RSP],Table146[Company],$M$3,Table146[Date],$A147,Table146[Bill No.],$B147),IFERROR($E147/$C147,"")))))</f>
        <v/>
      </c>
      <c r="E147" s="330" t="str">
        <f>IF($A147="","",IF($J147="DIESEL",SUMIFS(Table1[Amount],Table1[Customer],$M$3,Table1[Date],$A147,Table1[Bill No.],$B147),IF($J147="PETROL",SUMIFS(Table14[Amount],Table14[Customer],$M$3,Table14[Date],$A147,Table14[Bill No.],$B147),IF($J147="XtraGreen",SUMIFS(Table146[Amount],Table146[Company],$M$3,Table146[Date],$A147,Table146[Bill No.],$B147),SUMIFS('Other Sale'!$D:$D,'Other Sale'!$E:$E,$M$3,'Other Sale'!$C:$C,$J147,'Other Sale'!$A:$A,$A147)))))</f>
        <v/>
      </c>
      <c r="F147" s="330" t="str" cm="1">
        <f t="array" ref="F147">IF($A147="","",IF($J147="Payment",IFERROR(INDEX(_xlfn._xlws.FILTER(MasterPaid[Amount Paid],(MasterPaid[Customer]=$M$3)*(MasterPaid[Date]=$A147)),COUNTIFS($A$6:$A147,$A147,$J$6:$J147,"Payment")),0),0))</f>
        <v/>
      </c>
      <c r="G147" s="331"/>
      <c r="H147" s="331"/>
      <c r="I147" s="330" t="str">
        <f t="shared" si="11"/>
        <v/>
      </c>
      <c r="J147" s="318" t="str" cm="1">
        <f t="array" ref="J147">IFERROR(INDEX(_xlfn.ANCHORARRAY($P$6),ROW()-5,3),"")</f>
        <v/>
      </c>
      <c r="K147" s="432" t="str" cm="1">
        <f t="array" ref="K147">IF(OR($A147="",$J147&lt;&gt;"DIESEL"),"",_xlfn.LET(_xlpm.qty,N($C147),_xlpm.pos,$T$5:$T$54,_xlpm.alo,IF($U$5:$U$54="",0,$U$5:$U$54),_xlpm.usd,SUMIFS($C$6:$C146,$K$6:$K146,_xlpm.pos&amp;""),_xlpm.bal,_xlpm.alo-_xlpm.usd,IFERROR(INDEX(_xlfn._xlws.FILTER(_xlpm.pos,(_xlpm.pos&lt;&gt;"")*(_xlpm.qty&gt;0)*(_xlpm.bal&gt;=_xlpm.qty)),1),"")))</f>
        <v/>
      </c>
      <c r="L147" s="290"/>
    </row>
    <row r="148" spans="1:12" ht="23" x14ac:dyDescent="0.25">
      <c r="A148" s="221" t="str" cm="1">
        <f t="array" ref="A148">IFERROR(INDEX(_xlfn.ANCHORARRAY($P$6),ROW()-5,1),"")</f>
        <v/>
      </c>
      <c r="B148" s="317" t="str" cm="1">
        <f t="array" ref="B148">IFERROR(INDEX(_xlfn.ANCHORARRAY($P$6),ROW()-5,2),"")</f>
        <v/>
      </c>
      <c r="C148" s="222" t="str">
        <f>IF($A148="","",IF($J148="DIESEL",SUMIFS(Table1[Quantity],Table1[Customer],$M$3,Table1[Date],$A148,Table1[Bill No.],$B148),IF($J148="PETROL",SUMIFS(Table14[Quantity],Table14[Customer],$M$3,Table14[Date],$A148,Table14[Bill No.],$B148),IF($J148="XtraGreen",SUMIFS(Table146[Quantity],Table146[Company],$M$3,Table146[Date],$A148,Table146[Bill No.],$B148),""))))</f>
        <v/>
      </c>
      <c r="D148" s="223" t="str">
        <f>IF($A148="","",IF($J148="DIESEL",AVERAGEIFS(Table1[RSP],Table1[Customer],$M$3,Table1[Date],$A148,Table1[Bill No.],$B148),IF($J148="PETROL",AVERAGEIFS(Table14[RSP],Table14[Customer],$M$3,Table14[Date],$A148,Table14[Bill No.],$B148),IF($J148="XtraGreen",AVERAGEIFS(Table146[RSP],Table146[Company],$M$3,Table146[Date],$A148,Table146[Bill No.],$B148),IFERROR($E148/$C148,"")))))</f>
        <v/>
      </c>
      <c r="E148" s="330" t="str">
        <f>IF($A148="","",IF($J148="DIESEL",SUMIFS(Table1[Amount],Table1[Customer],$M$3,Table1[Date],$A148,Table1[Bill No.],$B148),IF($J148="PETROL",SUMIFS(Table14[Amount],Table14[Customer],$M$3,Table14[Date],$A148,Table14[Bill No.],$B148),IF($J148="XtraGreen",SUMIFS(Table146[Amount],Table146[Company],$M$3,Table146[Date],$A148,Table146[Bill No.],$B148),SUMIFS('Other Sale'!$D:$D,'Other Sale'!$E:$E,$M$3,'Other Sale'!$C:$C,$J148,'Other Sale'!$A:$A,$A148)))))</f>
        <v/>
      </c>
      <c r="F148" s="330" t="str" cm="1">
        <f t="array" ref="F148">IF($A148="","",IF($J148="Payment",IFERROR(INDEX(_xlfn._xlws.FILTER(MasterPaid[Amount Paid],(MasterPaid[Customer]=$M$3)*(MasterPaid[Date]=$A148)),COUNTIFS($A$6:$A148,$A148,$J$6:$J148,"Payment")),0),0))</f>
        <v/>
      </c>
      <c r="G148" s="331"/>
      <c r="H148" s="331"/>
      <c r="I148" s="330" t="str">
        <f t="shared" si="11"/>
        <v/>
      </c>
      <c r="J148" s="318" t="str" cm="1">
        <f t="array" ref="J148">IFERROR(INDEX(_xlfn.ANCHORARRAY($P$6),ROW()-5,3),"")</f>
        <v/>
      </c>
      <c r="K148" s="432" t="str" cm="1">
        <f t="array" ref="K148">IF(OR($A148="",$J148&lt;&gt;"DIESEL"),"",_xlfn.LET(_xlpm.qty,N($C148),_xlpm.pos,$T$5:$T$54,_xlpm.alo,IF($U$5:$U$54="",0,$U$5:$U$54),_xlpm.usd,SUMIFS($C$6:$C147,$K$6:$K147,_xlpm.pos&amp;""),_xlpm.bal,_xlpm.alo-_xlpm.usd,IFERROR(INDEX(_xlfn._xlws.FILTER(_xlpm.pos,(_xlpm.pos&lt;&gt;"")*(_xlpm.qty&gt;0)*(_xlpm.bal&gt;=_xlpm.qty)),1),"")))</f>
        <v/>
      </c>
      <c r="L148" s="290"/>
    </row>
    <row r="149" spans="1:12" ht="23" x14ac:dyDescent="0.25">
      <c r="A149" s="221" t="str" cm="1">
        <f t="array" ref="A149">IFERROR(INDEX(_xlfn.ANCHORARRAY($P$6),ROW()-5,1),"")</f>
        <v/>
      </c>
      <c r="B149" s="317" t="str" cm="1">
        <f t="array" ref="B149">IFERROR(INDEX(_xlfn.ANCHORARRAY($P$6),ROW()-5,2),"")</f>
        <v/>
      </c>
      <c r="C149" s="222" t="str">
        <f>IF($A149="","",IF($J149="DIESEL",SUMIFS(Table1[Quantity],Table1[Customer],$M$3,Table1[Date],$A149,Table1[Bill No.],$B149),IF($J149="PETROL",SUMIFS(Table14[Quantity],Table14[Customer],$M$3,Table14[Date],$A149,Table14[Bill No.],$B149),IF($J149="XtraGreen",SUMIFS(Table146[Quantity],Table146[Company],$M$3,Table146[Date],$A149,Table146[Bill No.],$B149),""))))</f>
        <v/>
      </c>
      <c r="D149" s="223" t="str">
        <f>IF($A149="","",IF($J149="DIESEL",AVERAGEIFS(Table1[RSP],Table1[Customer],$M$3,Table1[Date],$A149,Table1[Bill No.],$B149),IF($J149="PETROL",AVERAGEIFS(Table14[RSP],Table14[Customer],$M$3,Table14[Date],$A149,Table14[Bill No.],$B149),IF($J149="XtraGreen",AVERAGEIFS(Table146[RSP],Table146[Company],$M$3,Table146[Date],$A149,Table146[Bill No.],$B149),IFERROR($E149/$C149,"")))))</f>
        <v/>
      </c>
      <c r="E149" s="330" t="str">
        <f>IF($A149="","",IF($J149="DIESEL",SUMIFS(Table1[Amount],Table1[Customer],$M$3,Table1[Date],$A149,Table1[Bill No.],$B149),IF($J149="PETROL",SUMIFS(Table14[Amount],Table14[Customer],$M$3,Table14[Date],$A149,Table14[Bill No.],$B149),IF($J149="XtraGreen",SUMIFS(Table146[Amount],Table146[Company],$M$3,Table146[Date],$A149,Table146[Bill No.],$B149),SUMIFS('Other Sale'!$D:$D,'Other Sale'!$E:$E,$M$3,'Other Sale'!$C:$C,$J149,'Other Sale'!$A:$A,$A149)))))</f>
        <v/>
      </c>
      <c r="F149" s="330" t="str" cm="1">
        <f t="array" ref="F149">IF($A149="","",IF($J149="Payment",IFERROR(INDEX(_xlfn._xlws.FILTER(MasterPaid[Amount Paid],(MasterPaid[Customer]=$M$3)*(MasterPaid[Date]=$A149)),COUNTIFS($A$6:$A149,$A149,$J$6:$J149,"Payment")),0),0))</f>
        <v/>
      </c>
      <c r="G149" s="331"/>
      <c r="H149" s="331"/>
      <c r="I149" s="330" t="str">
        <f t="shared" si="11"/>
        <v/>
      </c>
      <c r="J149" s="318" t="str" cm="1">
        <f t="array" ref="J149">IFERROR(INDEX(_xlfn.ANCHORARRAY($P$6),ROW()-5,3),"")</f>
        <v/>
      </c>
      <c r="K149" s="432" t="str" cm="1">
        <f t="array" ref="K149">IF(OR($A149="",$J149&lt;&gt;"DIESEL"),"",_xlfn.LET(_xlpm.qty,N($C149),_xlpm.pos,$T$5:$T$54,_xlpm.alo,IF($U$5:$U$54="",0,$U$5:$U$54),_xlpm.usd,SUMIFS($C$6:$C148,$K$6:$K148,_xlpm.pos&amp;""),_xlpm.bal,_xlpm.alo-_xlpm.usd,IFERROR(INDEX(_xlfn._xlws.FILTER(_xlpm.pos,(_xlpm.pos&lt;&gt;"")*(_xlpm.qty&gt;0)*(_xlpm.bal&gt;=_xlpm.qty)),1),"")))</f>
        <v/>
      </c>
      <c r="L149" s="290"/>
    </row>
    <row r="150" spans="1:12" ht="23" x14ac:dyDescent="0.25">
      <c r="A150" s="221" t="str" cm="1">
        <f t="array" ref="A150">IFERROR(INDEX(_xlfn.ANCHORARRAY($P$6),ROW()-5,1),"")</f>
        <v/>
      </c>
      <c r="B150" s="317" t="str" cm="1">
        <f t="array" ref="B150">IFERROR(INDEX(_xlfn.ANCHORARRAY($P$6),ROW()-5,2),"")</f>
        <v/>
      </c>
      <c r="C150" s="222" t="str">
        <f>IF($A150="","",IF($J150="DIESEL",SUMIFS(Table1[Quantity],Table1[Customer],$M$3,Table1[Date],$A150,Table1[Bill No.],$B150),IF($J150="PETROL",SUMIFS(Table14[Quantity],Table14[Customer],$M$3,Table14[Date],$A150,Table14[Bill No.],$B150),IF($J150="XtraGreen",SUMIFS(Table146[Quantity],Table146[Company],$M$3,Table146[Date],$A150,Table146[Bill No.],$B150),""))))</f>
        <v/>
      </c>
      <c r="D150" s="223" t="str">
        <f>IF($A150="","",IF($J150="DIESEL",AVERAGEIFS(Table1[RSP],Table1[Customer],$M$3,Table1[Date],$A150,Table1[Bill No.],$B150),IF($J150="PETROL",AVERAGEIFS(Table14[RSP],Table14[Customer],$M$3,Table14[Date],$A150,Table14[Bill No.],$B150),IF($J150="XtraGreen",AVERAGEIFS(Table146[RSP],Table146[Company],$M$3,Table146[Date],$A150,Table146[Bill No.],$B150),IFERROR($E150/$C150,"")))))</f>
        <v/>
      </c>
      <c r="E150" s="330" t="str">
        <f>IF($A150="","",IF($J150="DIESEL",SUMIFS(Table1[Amount],Table1[Customer],$M$3,Table1[Date],$A150,Table1[Bill No.],$B150),IF($J150="PETROL",SUMIFS(Table14[Amount],Table14[Customer],$M$3,Table14[Date],$A150,Table14[Bill No.],$B150),IF($J150="XtraGreen",SUMIFS(Table146[Amount],Table146[Company],$M$3,Table146[Date],$A150,Table146[Bill No.],$B150),SUMIFS('Other Sale'!$D:$D,'Other Sale'!$E:$E,$M$3,'Other Sale'!$C:$C,$J150,'Other Sale'!$A:$A,$A150)))))</f>
        <v/>
      </c>
      <c r="F150" s="330" t="str" cm="1">
        <f t="array" ref="F150">IF($A150="","",IF($J150="Payment",IFERROR(INDEX(_xlfn._xlws.FILTER(MasterPaid[Amount Paid],(MasterPaid[Customer]=$M$3)*(MasterPaid[Date]=$A150)),COUNTIFS($A$6:$A150,$A150,$J$6:$J150,"Payment")),0),0))</f>
        <v/>
      </c>
      <c r="G150" s="331"/>
      <c r="H150" s="331"/>
      <c r="I150" s="330" t="str">
        <f t="shared" ref="I150:I213" si="12">IF($A150="","",I149+N(E150)-N(F150)-N(G150)-N(H150))</f>
        <v/>
      </c>
      <c r="J150" s="318" t="str" cm="1">
        <f t="array" ref="J150">IFERROR(INDEX(_xlfn.ANCHORARRAY($P$6),ROW()-5,3),"")</f>
        <v/>
      </c>
      <c r="K150" s="432" t="str" cm="1">
        <f t="array" ref="K150">IF(OR($A150="",$J150&lt;&gt;"DIESEL"),"",_xlfn.LET(_xlpm.qty,N($C150),_xlpm.pos,$T$5:$T$54,_xlpm.alo,IF($U$5:$U$54="",0,$U$5:$U$54),_xlpm.usd,SUMIFS($C$6:$C149,$K$6:$K149,_xlpm.pos&amp;""),_xlpm.bal,_xlpm.alo-_xlpm.usd,IFERROR(INDEX(_xlfn._xlws.FILTER(_xlpm.pos,(_xlpm.pos&lt;&gt;"")*(_xlpm.qty&gt;0)*(_xlpm.bal&gt;=_xlpm.qty)),1),"")))</f>
        <v/>
      </c>
      <c r="L150" s="290"/>
    </row>
    <row r="151" spans="1:12" ht="23" x14ac:dyDescent="0.25">
      <c r="A151" s="221" t="str" cm="1">
        <f t="array" ref="A151">IFERROR(INDEX(_xlfn.ANCHORARRAY($P$6),ROW()-5,1),"")</f>
        <v/>
      </c>
      <c r="B151" s="317" t="str" cm="1">
        <f t="array" ref="B151">IFERROR(INDEX(_xlfn.ANCHORARRAY($P$6),ROW()-5,2),"")</f>
        <v/>
      </c>
      <c r="C151" s="222" t="str">
        <f>IF($A151="","",IF($J151="DIESEL",SUMIFS(Table1[Quantity],Table1[Customer],$M$3,Table1[Date],$A151,Table1[Bill No.],$B151),IF($J151="PETROL",SUMIFS(Table14[Quantity],Table14[Customer],$M$3,Table14[Date],$A151,Table14[Bill No.],$B151),IF($J151="XtraGreen",SUMIFS(Table146[Quantity],Table146[Company],$M$3,Table146[Date],$A151,Table146[Bill No.],$B151),""))))</f>
        <v/>
      </c>
      <c r="D151" s="223" t="str">
        <f>IF($A151="","",IF($J151="DIESEL",AVERAGEIFS(Table1[RSP],Table1[Customer],$M$3,Table1[Date],$A151,Table1[Bill No.],$B151),IF($J151="PETROL",AVERAGEIFS(Table14[RSP],Table14[Customer],$M$3,Table14[Date],$A151,Table14[Bill No.],$B151),IF($J151="XtraGreen",AVERAGEIFS(Table146[RSP],Table146[Company],$M$3,Table146[Date],$A151,Table146[Bill No.],$B151),IFERROR($E151/$C151,"")))))</f>
        <v/>
      </c>
      <c r="E151" s="330" t="str">
        <f>IF($A151="","",IF($J151="DIESEL",SUMIFS(Table1[Amount],Table1[Customer],$M$3,Table1[Date],$A151,Table1[Bill No.],$B151),IF($J151="PETROL",SUMIFS(Table14[Amount],Table14[Customer],$M$3,Table14[Date],$A151,Table14[Bill No.],$B151),IF($J151="XtraGreen",SUMIFS(Table146[Amount],Table146[Company],$M$3,Table146[Date],$A151,Table146[Bill No.],$B151),SUMIFS('Other Sale'!$D:$D,'Other Sale'!$E:$E,$M$3,'Other Sale'!$C:$C,$J151,'Other Sale'!$A:$A,$A151)))))</f>
        <v/>
      </c>
      <c r="F151" s="330" t="str" cm="1">
        <f t="array" ref="F151">IF($A151="","",IF($J151="Payment",IFERROR(INDEX(_xlfn._xlws.FILTER(MasterPaid[Amount Paid],(MasterPaid[Customer]=$M$3)*(MasterPaid[Date]=$A151)),COUNTIFS($A$6:$A151,$A151,$J$6:$J151,"Payment")),0),0))</f>
        <v/>
      </c>
      <c r="G151" s="331"/>
      <c r="H151" s="331"/>
      <c r="I151" s="330" t="str">
        <f t="shared" si="12"/>
        <v/>
      </c>
      <c r="J151" s="318" t="str" cm="1">
        <f t="array" ref="J151">IFERROR(INDEX(_xlfn.ANCHORARRAY($P$6),ROW()-5,3),"")</f>
        <v/>
      </c>
      <c r="K151" s="432" t="str" cm="1">
        <f t="array" ref="K151">IF(OR($A151="",$J151&lt;&gt;"DIESEL"),"",_xlfn.LET(_xlpm.qty,N($C151),_xlpm.pos,$T$5:$T$54,_xlpm.alo,IF($U$5:$U$54="",0,$U$5:$U$54),_xlpm.usd,SUMIFS($C$6:$C150,$K$6:$K150,_xlpm.pos&amp;""),_xlpm.bal,_xlpm.alo-_xlpm.usd,IFERROR(INDEX(_xlfn._xlws.FILTER(_xlpm.pos,(_xlpm.pos&lt;&gt;"")*(_xlpm.qty&gt;0)*(_xlpm.bal&gt;=_xlpm.qty)),1),"")))</f>
        <v/>
      </c>
      <c r="L151" s="290"/>
    </row>
    <row r="152" spans="1:12" ht="23" x14ac:dyDescent="0.25">
      <c r="A152" s="221" t="str" cm="1">
        <f t="array" ref="A152">IFERROR(INDEX(_xlfn.ANCHORARRAY($P$6),ROW()-5,1),"")</f>
        <v/>
      </c>
      <c r="B152" s="317" t="str" cm="1">
        <f t="array" ref="B152">IFERROR(INDEX(_xlfn.ANCHORARRAY($P$6),ROW()-5,2),"")</f>
        <v/>
      </c>
      <c r="C152" s="222" t="str">
        <f>IF($A152="","",IF($J152="DIESEL",SUMIFS(Table1[Quantity],Table1[Customer],$M$3,Table1[Date],$A152,Table1[Bill No.],$B152),IF($J152="PETROL",SUMIFS(Table14[Quantity],Table14[Customer],$M$3,Table14[Date],$A152,Table14[Bill No.],$B152),IF($J152="XtraGreen",SUMIFS(Table146[Quantity],Table146[Company],$M$3,Table146[Date],$A152,Table146[Bill No.],$B152),""))))</f>
        <v/>
      </c>
      <c r="D152" s="223" t="str">
        <f>IF($A152="","",IF($J152="DIESEL",AVERAGEIFS(Table1[RSP],Table1[Customer],$M$3,Table1[Date],$A152,Table1[Bill No.],$B152),IF($J152="PETROL",AVERAGEIFS(Table14[RSP],Table14[Customer],$M$3,Table14[Date],$A152,Table14[Bill No.],$B152),IF($J152="XtraGreen",AVERAGEIFS(Table146[RSP],Table146[Company],$M$3,Table146[Date],$A152,Table146[Bill No.],$B152),IFERROR($E152/$C152,"")))))</f>
        <v/>
      </c>
      <c r="E152" s="330" t="str">
        <f>IF($A152="","",IF($J152="DIESEL",SUMIFS(Table1[Amount],Table1[Customer],$M$3,Table1[Date],$A152,Table1[Bill No.],$B152),IF($J152="PETROL",SUMIFS(Table14[Amount],Table14[Customer],$M$3,Table14[Date],$A152,Table14[Bill No.],$B152),IF($J152="XtraGreen",SUMIFS(Table146[Amount],Table146[Company],$M$3,Table146[Date],$A152,Table146[Bill No.],$B152),SUMIFS('Other Sale'!$D:$D,'Other Sale'!$E:$E,$M$3,'Other Sale'!$C:$C,$J152,'Other Sale'!$A:$A,$A152)))))</f>
        <v/>
      </c>
      <c r="F152" s="330" t="str" cm="1">
        <f t="array" ref="F152">IF($A152="","",IF($J152="Payment",IFERROR(INDEX(_xlfn._xlws.FILTER(MasterPaid[Amount Paid],(MasterPaid[Customer]=$M$3)*(MasterPaid[Date]=$A152)),COUNTIFS($A$6:$A152,$A152,$J$6:$J152,"Payment")),0),0))</f>
        <v/>
      </c>
      <c r="G152" s="331"/>
      <c r="H152" s="331"/>
      <c r="I152" s="330" t="str">
        <f t="shared" si="12"/>
        <v/>
      </c>
      <c r="J152" s="318" t="str" cm="1">
        <f t="array" ref="J152">IFERROR(INDEX(_xlfn.ANCHORARRAY($P$6),ROW()-5,3),"")</f>
        <v/>
      </c>
      <c r="K152" s="432" t="str" cm="1">
        <f t="array" ref="K152">IF(OR($A152="",$J152&lt;&gt;"DIESEL"),"",_xlfn.LET(_xlpm.qty,N($C152),_xlpm.pos,$T$5:$T$54,_xlpm.alo,IF($U$5:$U$54="",0,$U$5:$U$54),_xlpm.usd,SUMIFS($C$6:$C151,$K$6:$K151,_xlpm.pos&amp;""),_xlpm.bal,_xlpm.alo-_xlpm.usd,IFERROR(INDEX(_xlfn._xlws.FILTER(_xlpm.pos,(_xlpm.pos&lt;&gt;"")*(_xlpm.qty&gt;0)*(_xlpm.bal&gt;=_xlpm.qty)),1),"")))</f>
        <v/>
      </c>
      <c r="L152" s="290"/>
    </row>
    <row r="153" spans="1:12" ht="23" x14ac:dyDescent="0.25">
      <c r="A153" s="221" t="str" cm="1">
        <f t="array" ref="A153">IFERROR(INDEX(_xlfn.ANCHORARRAY($P$6),ROW()-5,1),"")</f>
        <v/>
      </c>
      <c r="B153" s="317" t="str" cm="1">
        <f t="array" ref="B153">IFERROR(INDEX(_xlfn.ANCHORARRAY($P$6),ROW()-5,2),"")</f>
        <v/>
      </c>
      <c r="C153" s="222" t="str">
        <f>IF($A153="","",IF($J153="DIESEL",SUMIFS(Table1[Quantity],Table1[Customer],$M$3,Table1[Date],$A153,Table1[Bill No.],$B153),IF($J153="PETROL",SUMIFS(Table14[Quantity],Table14[Customer],$M$3,Table14[Date],$A153,Table14[Bill No.],$B153),IF($J153="XtraGreen",SUMIFS(Table146[Quantity],Table146[Company],$M$3,Table146[Date],$A153,Table146[Bill No.],$B153),""))))</f>
        <v/>
      </c>
      <c r="D153" s="223" t="str">
        <f>IF($A153="","",IF($J153="DIESEL",AVERAGEIFS(Table1[RSP],Table1[Customer],$M$3,Table1[Date],$A153,Table1[Bill No.],$B153),IF($J153="PETROL",AVERAGEIFS(Table14[RSP],Table14[Customer],$M$3,Table14[Date],$A153,Table14[Bill No.],$B153),IF($J153="XtraGreen",AVERAGEIFS(Table146[RSP],Table146[Company],$M$3,Table146[Date],$A153,Table146[Bill No.],$B153),IFERROR($E153/$C153,"")))))</f>
        <v/>
      </c>
      <c r="E153" s="330" t="str">
        <f>IF($A153="","",IF($J153="DIESEL",SUMIFS(Table1[Amount],Table1[Customer],$M$3,Table1[Date],$A153,Table1[Bill No.],$B153),IF($J153="PETROL",SUMIFS(Table14[Amount],Table14[Customer],$M$3,Table14[Date],$A153,Table14[Bill No.],$B153),IF($J153="XtraGreen",SUMIFS(Table146[Amount],Table146[Company],$M$3,Table146[Date],$A153,Table146[Bill No.],$B153),SUMIFS('Other Sale'!$D:$D,'Other Sale'!$E:$E,$M$3,'Other Sale'!$C:$C,$J153,'Other Sale'!$A:$A,$A153)))))</f>
        <v/>
      </c>
      <c r="F153" s="330" t="str" cm="1">
        <f t="array" ref="F153">IF($A153="","",IF($J153="Payment",IFERROR(INDEX(_xlfn._xlws.FILTER(MasterPaid[Amount Paid],(MasterPaid[Customer]=$M$3)*(MasterPaid[Date]=$A153)),COUNTIFS($A$6:$A153,$A153,$J$6:$J153,"Payment")),0),0))</f>
        <v/>
      </c>
      <c r="G153" s="331"/>
      <c r="H153" s="331"/>
      <c r="I153" s="330" t="str">
        <f t="shared" si="12"/>
        <v/>
      </c>
      <c r="J153" s="318" t="str" cm="1">
        <f t="array" ref="J153">IFERROR(INDEX(_xlfn.ANCHORARRAY($P$6),ROW()-5,3),"")</f>
        <v/>
      </c>
      <c r="K153" s="432" t="str" cm="1">
        <f t="array" ref="K153">IF(OR($A153="",$J153&lt;&gt;"DIESEL"),"",_xlfn.LET(_xlpm.qty,N($C153),_xlpm.pos,$T$5:$T$54,_xlpm.alo,IF($U$5:$U$54="",0,$U$5:$U$54),_xlpm.usd,SUMIFS($C$6:$C152,$K$6:$K152,_xlpm.pos&amp;""),_xlpm.bal,_xlpm.alo-_xlpm.usd,IFERROR(INDEX(_xlfn._xlws.FILTER(_xlpm.pos,(_xlpm.pos&lt;&gt;"")*(_xlpm.qty&gt;0)*(_xlpm.bal&gt;=_xlpm.qty)),1),"")))</f>
        <v/>
      </c>
      <c r="L153" s="290"/>
    </row>
    <row r="154" spans="1:12" ht="23" x14ac:dyDescent="0.25">
      <c r="A154" s="221" t="str" cm="1">
        <f t="array" ref="A154">IFERROR(INDEX(_xlfn.ANCHORARRAY($P$6),ROW()-5,1),"")</f>
        <v/>
      </c>
      <c r="B154" s="317" t="str" cm="1">
        <f t="array" ref="B154">IFERROR(INDEX(_xlfn.ANCHORARRAY($P$6),ROW()-5,2),"")</f>
        <v/>
      </c>
      <c r="C154" s="222" t="str">
        <f>IF($A154="","",IF($J154="DIESEL",SUMIFS(Table1[Quantity],Table1[Customer],$M$3,Table1[Date],$A154,Table1[Bill No.],$B154),IF($J154="PETROL",SUMIFS(Table14[Quantity],Table14[Customer],$M$3,Table14[Date],$A154,Table14[Bill No.],$B154),IF($J154="XtraGreen",SUMIFS(Table146[Quantity],Table146[Company],$M$3,Table146[Date],$A154,Table146[Bill No.],$B154),""))))</f>
        <v/>
      </c>
      <c r="D154" s="223" t="str">
        <f>IF($A154="","",IF($J154="DIESEL",AVERAGEIFS(Table1[RSP],Table1[Customer],$M$3,Table1[Date],$A154,Table1[Bill No.],$B154),IF($J154="PETROL",AVERAGEIFS(Table14[RSP],Table14[Customer],$M$3,Table14[Date],$A154,Table14[Bill No.],$B154),IF($J154="XtraGreen",AVERAGEIFS(Table146[RSP],Table146[Company],$M$3,Table146[Date],$A154,Table146[Bill No.],$B154),IFERROR($E154/$C154,"")))))</f>
        <v/>
      </c>
      <c r="E154" s="330" t="str">
        <f>IF($A154="","",IF($J154="DIESEL",SUMIFS(Table1[Amount],Table1[Customer],$M$3,Table1[Date],$A154,Table1[Bill No.],$B154),IF($J154="PETROL",SUMIFS(Table14[Amount],Table14[Customer],$M$3,Table14[Date],$A154,Table14[Bill No.],$B154),IF($J154="XtraGreen",SUMIFS(Table146[Amount],Table146[Company],$M$3,Table146[Date],$A154,Table146[Bill No.],$B154),SUMIFS('Other Sale'!$D:$D,'Other Sale'!$E:$E,$M$3,'Other Sale'!$C:$C,$J154,'Other Sale'!$A:$A,$A154)))))</f>
        <v/>
      </c>
      <c r="F154" s="330" t="str" cm="1">
        <f t="array" ref="F154">IF($A154="","",IF($J154="Payment",IFERROR(INDEX(_xlfn._xlws.FILTER(MasterPaid[Amount Paid],(MasterPaid[Customer]=$M$3)*(MasterPaid[Date]=$A154)),COUNTIFS($A$6:$A154,$A154,$J$6:$J154,"Payment")),0),0))</f>
        <v/>
      </c>
      <c r="G154" s="331"/>
      <c r="H154" s="331"/>
      <c r="I154" s="330" t="str">
        <f t="shared" si="12"/>
        <v/>
      </c>
      <c r="J154" s="318" t="str" cm="1">
        <f t="array" ref="J154">IFERROR(INDEX(_xlfn.ANCHORARRAY($P$6),ROW()-5,3),"")</f>
        <v/>
      </c>
      <c r="K154" s="432" t="str" cm="1">
        <f t="array" ref="K154">IF(OR($A154="",$J154&lt;&gt;"DIESEL"),"",_xlfn.LET(_xlpm.qty,N($C154),_xlpm.pos,$T$5:$T$54,_xlpm.alo,IF($U$5:$U$54="",0,$U$5:$U$54),_xlpm.usd,SUMIFS($C$6:$C153,$K$6:$K153,_xlpm.pos&amp;""),_xlpm.bal,_xlpm.alo-_xlpm.usd,IFERROR(INDEX(_xlfn._xlws.FILTER(_xlpm.pos,(_xlpm.pos&lt;&gt;"")*(_xlpm.qty&gt;0)*(_xlpm.bal&gt;=_xlpm.qty)),1),"")))</f>
        <v/>
      </c>
      <c r="L154" s="290"/>
    </row>
    <row r="155" spans="1:12" ht="23" x14ac:dyDescent="0.25">
      <c r="A155" s="221" t="str" cm="1">
        <f t="array" ref="A155">IFERROR(INDEX(_xlfn.ANCHORARRAY($P$6),ROW()-5,1),"")</f>
        <v/>
      </c>
      <c r="B155" s="317" t="str" cm="1">
        <f t="array" ref="B155">IFERROR(INDEX(_xlfn.ANCHORARRAY($P$6),ROW()-5,2),"")</f>
        <v/>
      </c>
      <c r="C155" s="222" t="str">
        <f>IF($A155="","",IF($J155="DIESEL",SUMIFS(Table1[Quantity],Table1[Customer],$M$3,Table1[Date],$A155,Table1[Bill No.],$B155),IF($J155="PETROL",SUMIFS(Table14[Quantity],Table14[Customer],$M$3,Table14[Date],$A155,Table14[Bill No.],$B155),IF($J155="XtraGreen",SUMIFS(Table146[Quantity],Table146[Company],$M$3,Table146[Date],$A155,Table146[Bill No.],$B155),""))))</f>
        <v/>
      </c>
      <c r="D155" s="223" t="str">
        <f>IF($A155="","",IF($J155="DIESEL",AVERAGEIFS(Table1[RSP],Table1[Customer],$M$3,Table1[Date],$A155,Table1[Bill No.],$B155),IF($J155="PETROL",AVERAGEIFS(Table14[RSP],Table14[Customer],$M$3,Table14[Date],$A155,Table14[Bill No.],$B155),IF($J155="XtraGreen",AVERAGEIFS(Table146[RSP],Table146[Company],$M$3,Table146[Date],$A155,Table146[Bill No.],$B155),IFERROR($E155/$C155,"")))))</f>
        <v/>
      </c>
      <c r="E155" s="330" t="str">
        <f>IF($A155="","",IF($J155="DIESEL",SUMIFS(Table1[Amount],Table1[Customer],$M$3,Table1[Date],$A155,Table1[Bill No.],$B155),IF($J155="PETROL",SUMIFS(Table14[Amount],Table14[Customer],$M$3,Table14[Date],$A155,Table14[Bill No.],$B155),IF($J155="XtraGreen",SUMIFS(Table146[Amount],Table146[Company],$M$3,Table146[Date],$A155,Table146[Bill No.],$B155),SUMIFS('Other Sale'!$D:$D,'Other Sale'!$E:$E,$M$3,'Other Sale'!$C:$C,$J155,'Other Sale'!$A:$A,$A155)))))</f>
        <v/>
      </c>
      <c r="F155" s="330" t="str" cm="1">
        <f t="array" ref="F155">IF($A155="","",IF($J155="Payment",IFERROR(INDEX(_xlfn._xlws.FILTER(MasterPaid[Amount Paid],(MasterPaid[Customer]=$M$3)*(MasterPaid[Date]=$A155)),COUNTIFS($A$6:$A155,$A155,$J$6:$J155,"Payment")),0),0))</f>
        <v/>
      </c>
      <c r="G155" s="331"/>
      <c r="H155" s="331"/>
      <c r="I155" s="330" t="str">
        <f t="shared" si="12"/>
        <v/>
      </c>
      <c r="J155" s="318" t="str" cm="1">
        <f t="array" ref="J155">IFERROR(INDEX(_xlfn.ANCHORARRAY($P$6),ROW()-5,3),"")</f>
        <v/>
      </c>
      <c r="K155" s="432" t="str" cm="1">
        <f t="array" ref="K155">IF(OR($A155="",$J155&lt;&gt;"DIESEL"),"",_xlfn.LET(_xlpm.qty,N($C155),_xlpm.pos,$T$5:$T$54,_xlpm.alo,IF($U$5:$U$54="",0,$U$5:$U$54),_xlpm.usd,SUMIFS($C$6:$C154,$K$6:$K154,_xlpm.pos&amp;""),_xlpm.bal,_xlpm.alo-_xlpm.usd,IFERROR(INDEX(_xlfn._xlws.FILTER(_xlpm.pos,(_xlpm.pos&lt;&gt;"")*(_xlpm.qty&gt;0)*(_xlpm.bal&gt;=_xlpm.qty)),1),"")))</f>
        <v/>
      </c>
      <c r="L155" s="290"/>
    </row>
    <row r="156" spans="1:12" ht="23" x14ac:dyDescent="0.25">
      <c r="A156" s="221" t="str" cm="1">
        <f t="array" ref="A156">IFERROR(INDEX(_xlfn.ANCHORARRAY($P$6),ROW()-5,1),"")</f>
        <v/>
      </c>
      <c r="B156" s="317" t="str" cm="1">
        <f t="array" ref="B156">IFERROR(INDEX(_xlfn.ANCHORARRAY($P$6),ROW()-5,2),"")</f>
        <v/>
      </c>
      <c r="C156" s="222" t="str">
        <f>IF($A156="","",IF($J156="DIESEL",SUMIFS(Table1[Quantity],Table1[Customer],$M$3,Table1[Date],$A156,Table1[Bill No.],$B156),IF($J156="PETROL",SUMIFS(Table14[Quantity],Table14[Customer],$M$3,Table14[Date],$A156,Table14[Bill No.],$B156),IF($J156="XtraGreen",SUMIFS(Table146[Quantity],Table146[Company],$M$3,Table146[Date],$A156,Table146[Bill No.],$B156),""))))</f>
        <v/>
      </c>
      <c r="D156" s="223" t="str">
        <f>IF($A156="","",IF($J156="DIESEL",AVERAGEIFS(Table1[RSP],Table1[Customer],$M$3,Table1[Date],$A156,Table1[Bill No.],$B156),IF($J156="PETROL",AVERAGEIFS(Table14[RSP],Table14[Customer],$M$3,Table14[Date],$A156,Table14[Bill No.],$B156),IF($J156="XtraGreen",AVERAGEIFS(Table146[RSP],Table146[Company],$M$3,Table146[Date],$A156,Table146[Bill No.],$B156),IFERROR($E156/$C156,"")))))</f>
        <v/>
      </c>
      <c r="E156" s="330" t="str">
        <f>IF($A156="","",IF($J156="DIESEL",SUMIFS(Table1[Amount],Table1[Customer],$M$3,Table1[Date],$A156,Table1[Bill No.],$B156),IF($J156="PETROL",SUMIFS(Table14[Amount],Table14[Customer],$M$3,Table14[Date],$A156,Table14[Bill No.],$B156),IF($J156="XtraGreen",SUMIFS(Table146[Amount],Table146[Company],$M$3,Table146[Date],$A156,Table146[Bill No.],$B156),SUMIFS('Other Sale'!$D:$D,'Other Sale'!$E:$E,$M$3,'Other Sale'!$C:$C,$J156,'Other Sale'!$A:$A,$A156)))))</f>
        <v/>
      </c>
      <c r="F156" s="330" t="str" cm="1">
        <f t="array" ref="F156">IF($A156="","",IF($J156="Payment",IFERROR(INDEX(_xlfn._xlws.FILTER(MasterPaid[Amount Paid],(MasterPaid[Customer]=$M$3)*(MasterPaid[Date]=$A156)),COUNTIFS($A$6:$A156,$A156,$J$6:$J156,"Payment")),0),0))</f>
        <v/>
      </c>
      <c r="G156" s="331"/>
      <c r="H156" s="331"/>
      <c r="I156" s="330" t="str">
        <f t="shared" si="12"/>
        <v/>
      </c>
      <c r="J156" s="318" t="str" cm="1">
        <f t="array" ref="J156">IFERROR(INDEX(_xlfn.ANCHORARRAY($P$6),ROW()-5,3),"")</f>
        <v/>
      </c>
      <c r="K156" s="432" t="str" cm="1">
        <f t="array" ref="K156">IF(OR($A156="",$J156&lt;&gt;"DIESEL"),"",_xlfn.LET(_xlpm.qty,N($C156),_xlpm.pos,$T$5:$T$54,_xlpm.alo,IF($U$5:$U$54="",0,$U$5:$U$54),_xlpm.usd,SUMIFS($C$6:$C155,$K$6:$K155,_xlpm.pos&amp;""),_xlpm.bal,_xlpm.alo-_xlpm.usd,IFERROR(INDEX(_xlfn._xlws.FILTER(_xlpm.pos,(_xlpm.pos&lt;&gt;"")*(_xlpm.qty&gt;0)*(_xlpm.bal&gt;=_xlpm.qty)),1),"")))</f>
        <v/>
      </c>
      <c r="L156" s="290"/>
    </row>
    <row r="157" spans="1:12" ht="23" x14ac:dyDescent="0.25">
      <c r="A157" s="221" t="str" cm="1">
        <f t="array" ref="A157">IFERROR(INDEX(_xlfn.ANCHORARRAY($P$6),ROW()-5,1),"")</f>
        <v/>
      </c>
      <c r="B157" s="317" t="str" cm="1">
        <f t="array" ref="B157">IFERROR(INDEX(_xlfn.ANCHORARRAY($P$6),ROW()-5,2),"")</f>
        <v/>
      </c>
      <c r="C157" s="222" t="str">
        <f>IF($A157="","",IF($J157="DIESEL",SUMIFS(Table1[Quantity],Table1[Customer],$M$3,Table1[Date],$A157,Table1[Bill No.],$B157),IF($J157="PETROL",SUMIFS(Table14[Quantity],Table14[Customer],$M$3,Table14[Date],$A157,Table14[Bill No.],$B157),IF($J157="XtraGreen",SUMIFS(Table146[Quantity],Table146[Company],$M$3,Table146[Date],$A157,Table146[Bill No.],$B157),""))))</f>
        <v/>
      </c>
      <c r="D157" s="223" t="str">
        <f>IF($A157="","",IF($J157="DIESEL",AVERAGEIFS(Table1[RSP],Table1[Customer],$M$3,Table1[Date],$A157,Table1[Bill No.],$B157),IF($J157="PETROL",AVERAGEIFS(Table14[RSP],Table14[Customer],$M$3,Table14[Date],$A157,Table14[Bill No.],$B157),IF($J157="XtraGreen",AVERAGEIFS(Table146[RSP],Table146[Company],$M$3,Table146[Date],$A157,Table146[Bill No.],$B157),IFERROR($E157/$C157,"")))))</f>
        <v/>
      </c>
      <c r="E157" s="330" t="str">
        <f>IF($A157="","",IF($J157="DIESEL",SUMIFS(Table1[Amount],Table1[Customer],$M$3,Table1[Date],$A157,Table1[Bill No.],$B157),IF($J157="PETROL",SUMIFS(Table14[Amount],Table14[Customer],$M$3,Table14[Date],$A157,Table14[Bill No.],$B157),IF($J157="XtraGreen",SUMIFS(Table146[Amount],Table146[Company],$M$3,Table146[Date],$A157,Table146[Bill No.],$B157),SUMIFS('Other Sale'!$D:$D,'Other Sale'!$E:$E,$M$3,'Other Sale'!$C:$C,$J157,'Other Sale'!$A:$A,$A157)))))</f>
        <v/>
      </c>
      <c r="F157" s="330" t="str" cm="1">
        <f t="array" ref="F157">IF($A157="","",IF($J157="Payment",IFERROR(INDEX(_xlfn._xlws.FILTER(MasterPaid[Amount Paid],(MasterPaid[Customer]=$M$3)*(MasterPaid[Date]=$A157)),COUNTIFS($A$6:$A157,$A157,$J$6:$J157,"Payment")),0),0))</f>
        <v/>
      </c>
      <c r="G157" s="331"/>
      <c r="H157" s="331"/>
      <c r="I157" s="330" t="str">
        <f t="shared" si="12"/>
        <v/>
      </c>
      <c r="J157" s="318" t="str" cm="1">
        <f t="array" ref="J157">IFERROR(INDEX(_xlfn.ANCHORARRAY($P$6),ROW()-5,3),"")</f>
        <v/>
      </c>
      <c r="K157" s="432" t="str" cm="1">
        <f t="array" ref="K157">IF(OR($A157="",$J157&lt;&gt;"DIESEL"),"",_xlfn.LET(_xlpm.qty,N($C157),_xlpm.pos,$T$5:$T$54,_xlpm.alo,IF($U$5:$U$54="",0,$U$5:$U$54),_xlpm.usd,SUMIFS($C$6:$C156,$K$6:$K156,_xlpm.pos&amp;""),_xlpm.bal,_xlpm.alo-_xlpm.usd,IFERROR(INDEX(_xlfn._xlws.FILTER(_xlpm.pos,(_xlpm.pos&lt;&gt;"")*(_xlpm.qty&gt;0)*(_xlpm.bal&gt;=_xlpm.qty)),1),"")))</f>
        <v/>
      </c>
      <c r="L157" s="290"/>
    </row>
    <row r="158" spans="1:12" ht="23" x14ac:dyDescent="0.25">
      <c r="A158" s="221" t="str" cm="1">
        <f t="array" ref="A158">IFERROR(INDEX(_xlfn.ANCHORARRAY($P$6),ROW()-5,1),"")</f>
        <v/>
      </c>
      <c r="B158" s="317" t="str" cm="1">
        <f t="array" ref="B158">IFERROR(INDEX(_xlfn.ANCHORARRAY($P$6),ROW()-5,2),"")</f>
        <v/>
      </c>
      <c r="C158" s="222" t="str">
        <f>IF($A158="","",IF($J158="DIESEL",SUMIFS(Table1[Quantity],Table1[Customer],$M$3,Table1[Date],$A158,Table1[Bill No.],$B158),IF($J158="PETROL",SUMIFS(Table14[Quantity],Table14[Customer],$M$3,Table14[Date],$A158,Table14[Bill No.],$B158),IF($J158="XtraGreen",SUMIFS(Table146[Quantity],Table146[Company],$M$3,Table146[Date],$A158,Table146[Bill No.],$B158),""))))</f>
        <v/>
      </c>
      <c r="D158" s="223" t="str">
        <f>IF($A158="","",IF($J158="DIESEL",AVERAGEIFS(Table1[RSP],Table1[Customer],$M$3,Table1[Date],$A158,Table1[Bill No.],$B158),IF($J158="PETROL",AVERAGEIFS(Table14[RSP],Table14[Customer],$M$3,Table14[Date],$A158,Table14[Bill No.],$B158),IF($J158="XtraGreen",AVERAGEIFS(Table146[RSP],Table146[Company],$M$3,Table146[Date],$A158,Table146[Bill No.],$B158),IFERROR($E158/$C158,"")))))</f>
        <v/>
      </c>
      <c r="E158" s="330" t="str">
        <f>IF($A158="","",IF($J158="DIESEL",SUMIFS(Table1[Amount],Table1[Customer],$M$3,Table1[Date],$A158,Table1[Bill No.],$B158),IF($J158="PETROL",SUMIFS(Table14[Amount],Table14[Customer],$M$3,Table14[Date],$A158,Table14[Bill No.],$B158),IF($J158="XtraGreen",SUMIFS(Table146[Amount],Table146[Company],$M$3,Table146[Date],$A158,Table146[Bill No.],$B158),SUMIFS('Other Sale'!$D:$D,'Other Sale'!$E:$E,$M$3,'Other Sale'!$C:$C,$J158,'Other Sale'!$A:$A,$A158)))))</f>
        <v/>
      </c>
      <c r="F158" s="330" t="str" cm="1">
        <f t="array" ref="F158">IF($A158="","",IF($J158="Payment",IFERROR(INDEX(_xlfn._xlws.FILTER(MasterPaid[Amount Paid],(MasterPaid[Customer]=$M$3)*(MasterPaid[Date]=$A158)),COUNTIFS($A$6:$A158,$A158,$J$6:$J158,"Payment")),0),0))</f>
        <v/>
      </c>
      <c r="G158" s="331"/>
      <c r="H158" s="331"/>
      <c r="I158" s="330" t="str">
        <f t="shared" si="12"/>
        <v/>
      </c>
      <c r="J158" s="318" t="str" cm="1">
        <f t="array" ref="J158">IFERROR(INDEX(_xlfn.ANCHORARRAY($P$6),ROW()-5,3),"")</f>
        <v/>
      </c>
      <c r="K158" s="432" t="str" cm="1">
        <f t="array" ref="K158">IF(OR($A158="",$J158&lt;&gt;"DIESEL"),"",_xlfn.LET(_xlpm.qty,N($C158),_xlpm.pos,$T$5:$T$54,_xlpm.alo,IF($U$5:$U$54="",0,$U$5:$U$54),_xlpm.usd,SUMIFS($C$6:$C157,$K$6:$K157,_xlpm.pos&amp;""),_xlpm.bal,_xlpm.alo-_xlpm.usd,IFERROR(INDEX(_xlfn._xlws.FILTER(_xlpm.pos,(_xlpm.pos&lt;&gt;"")*(_xlpm.qty&gt;0)*(_xlpm.bal&gt;=_xlpm.qty)),1),"")))</f>
        <v/>
      </c>
      <c r="L158" s="290"/>
    </row>
    <row r="159" spans="1:12" ht="23" x14ac:dyDescent="0.25">
      <c r="A159" s="221" t="str" cm="1">
        <f t="array" ref="A159">IFERROR(INDEX(_xlfn.ANCHORARRAY($P$6),ROW()-5,1),"")</f>
        <v/>
      </c>
      <c r="B159" s="317" t="str" cm="1">
        <f t="array" ref="B159">IFERROR(INDEX(_xlfn.ANCHORARRAY($P$6),ROW()-5,2),"")</f>
        <v/>
      </c>
      <c r="C159" s="222" t="str">
        <f>IF($A159="","",IF($J159="DIESEL",SUMIFS(Table1[Quantity],Table1[Customer],$M$3,Table1[Date],$A159,Table1[Bill No.],$B159),IF($J159="PETROL",SUMIFS(Table14[Quantity],Table14[Customer],$M$3,Table14[Date],$A159,Table14[Bill No.],$B159),IF($J159="XtraGreen",SUMIFS(Table146[Quantity],Table146[Company],$M$3,Table146[Date],$A159,Table146[Bill No.],$B159),""))))</f>
        <v/>
      </c>
      <c r="D159" s="223" t="str">
        <f>IF($A159="","",IF($J159="DIESEL",AVERAGEIFS(Table1[RSP],Table1[Customer],$M$3,Table1[Date],$A159,Table1[Bill No.],$B159),IF($J159="PETROL",AVERAGEIFS(Table14[RSP],Table14[Customer],$M$3,Table14[Date],$A159,Table14[Bill No.],$B159),IF($J159="XtraGreen",AVERAGEIFS(Table146[RSP],Table146[Company],$M$3,Table146[Date],$A159,Table146[Bill No.],$B159),IFERROR($E159/$C159,"")))))</f>
        <v/>
      </c>
      <c r="E159" s="330" t="str">
        <f>IF($A159="","",IF($J159="DIESEL",SUMIFS(Table1[Amount],Table1[Customer],$M$3,Table1[Date],$A159,Table1[Bill No.],$B159),IF($J159="PETROL",SUMIFS(Table14[Amount],Table14[Customer],$M$3,Table14[Date],$A159,Table14[Bill No.],$B159),IF($J159="XtraGreen",SUMIFS(Table146[Amount],Table146[Company],$M$3,Table146[Date],$A159,Table146[Bill No.],$B159),SUMIFS('Other Sale'!$D:$D,'Other Sale'!$E:$E,$M$3,'Other Sale'!$C:$C,$J159,'Other Sale'!$A:$A,$A159)))))</f>
        <v/>
      </c>
      <c r="F159" s="330" t="str" cm="1">
        <f t="array" ref="F159">IF($A159="","",IF($J159="Payment",IFERROR(INDEX(_xlfn._xlws.FILTER(MasterPaid[Amount Paid],(MasterPaid[Customer]=$M$3)*(MasterPaid[Date]=$A159)),COUNTIFS($A$6:$A159,$A159,$J$6:$J159,"Payment")),0),0))</f>
        <v/>
      </c>
      <c r="G159" s="331"/>
      <c r="H159" s="331"/>
      <c r="I159" s="330" t="str">
        <f t="shared" si="12"/>
        <v/>
      </c>
      <c r="J159" s="318" t="str" cm="1">
        <f t="array" ref="J159">IFERROR(INDEX(_xlfn.ANCHORARRAY($P$6),ROW()-5,3),"")</f>
        <v/>
      </c>
      <c r="K159" s="432" t="str" cm="1">
        <f t="array" ref="K159">IF(OR($A159="",$J159&lt;&gt;"DIESEL"),"",_xlfn.LET(_xlpm.qty,N($C159),_xlpm.pos,$T$5:$T$54,_xlpm.alo,IF($U$5:$U$54="",0,$U$5:$U$54),_xlpm.usd,SUMIFS($C$6:$C158,$K$6:$K158,_xlpm.pos&amp;""),_xlpm.bal,_xlpm.alo-_xlpm.usd,IFERROR(INDEX(_xlfn._xlws.FILTER(_xlpm.pos,(_xlpm.pos&lt;&gt;"")*(_xlpm.qty&gt;0)*(_xlpm.bal&gt;=_xlpm.qty)),1),"")))</f>
        <v/>
      </c>
      <c r="L159" s="290"/>
    </row>
    <row r="160" spans="1:12" ht="23" x14ac:dyDescent="0.25">
      <c r="A160" s="221" t="str" cm="1">
        <f t="array" ref="A160">IFERROR(INDEX(_xlfn.ANCHORARRAY($P$6),ROW()-5,1),"")</f>
        <v/>
      </c>
      <c r="B160" s="317" t="str" cm="1">
        <f t="array" ref="B160">IFERROR(INDEX(_xlfn.ANCHORARRAY($P$6),ROW()-5,2),"")</f>
        <v/>
      </c>
      <c r="C160" s="222" t="str">
        <f>IF($A160="","",IF($J160="DIESEL",SUMIFS(Table1[Quantity],Table1[Customer],$M$3,Table1[Date],$A160,Table1[Bill No.],$B160),IF($J160="PETROL",SUMIFS(Table14[Quantity],Table14[Customer],$M$3,Table14[Date],$A160,Table14[Bill No.],$B160),IF($J160="XtraGreen",SUMIFS(Table146[Quantity],Table146[Company],$M$3,Table146[Date],$A160,Table146[Bill No.],$B160),""))))</f>
        <v/>
      </c>
      <c r="D160" s="223" t="str">
        <f>IF($A160="","",IF($J160="DIESEL",AVERAGEIFS(Table1[RSP],Table1[Customer],$M$3,Table1[Date],$A160,Table1[Bill No.],$B160),IF($J160="PETROL",AVERAGEIFS(Table14[RSP],Table14[Customer],$M$3,Table14[Date],$A160,Table14[Bill No.],$B160),IF($J160="XtraGreen",AVERAGEIFS(Table146[RSP],Table146[Company],$M$3,Table146[Date],$A160,Table146[Bill No.],$B160),IFERROR($E160/$C160,"")))))</f>
        <v/>
      </c>
      <c r="E160" s="330" t="str">
        <f>IF($A160="","",IF($J160="DIESEL",SUMIFS(Table1[Amount],Table1[Customer],$M$3,Table1[Date],$A160,Table1[Bill No.],$B160),IF($J160="PETROL",SUMIFS(Table14[Amount],Table14[Customer],$M$3,Table14[Date],$A160,Table14[Bill No.],$B160),IF($J160="XtraGreen",SUMIFS(Table146[Amount],Table146[Company],$M$3,Table146[Date],$A160,Table146[Bill No.],$B160),SUMIFS('Other Sale'!$D:$D,'Other Sale'!$E:$E,$M$3,'Other Sale'!$C:$C,$J160,'Other Sale'!$A:$A,$A160)))))</f>
        <v/>
      </c>
      <c r="F160" s="330" t="str" cm="1">
        <f t="array" ref="F160">IF($A160="","",IF($J160="Payment",IFERROR(INDEX(_xlfn._xlws.FILTER(MasterPaid[Amount Paid],(MasterPaid[Customer]=$M$3)*(MasterPaid[Date]=$A160)),COUNTIFS($A$6:$A160,$A160,$J$6:$J160,"Payment")),0),0))</f>
        <v/>
      </c>
      <c r="G160" s="331"/>
      <c r="H160" s="331"/>
      <c r="I160" s="330" t="str">
        <f t="shared" si="12"/>
        <v/>
      </c>
      <c r="J160" s="318" t="str" cm="1">
        <f t="array" ref="J160">IFERROR(INDEX(_xlfn.ANCHORARRAY($P$6),ROW()-5,3),"")</f>
        <v/>
      </c>
      <c r="K160" s="432" t="str" cm="1">
        <f t="array" ref="K160">IF(OR($A160="",$J160&lt;&gt;"DIESEL"),"",_xlfn.LET(_xlpm.qty,N($C160),_xlpm.pos,$T$5:$T$54,_xlpm.alo,IF($U$5:$U$54="",0,$U$5:$U$54),_xlpm.usd,SUMIFS($C$6:$C159,$K$6:$K159,_xlpm.pos&amp;""),_xlpm.bal,_xlpm.alo-_xlpm.usd,IFERROR(INDEX(_xlfn._xlws.FILTER(_xlpm.pos,(_xlpm.pos&lt;&gt;"")*(_xlpm.qty&gt;0)*(_xlpm.bal&gt;=_xlpm.qty)),1),"")))</f>
        <v/>
      </c>
      <c r="L160" s="290"/>
    </row>
    <row r="161" spans="1:12" ht="23" x14ac:dyDescent="0.25">
      <c r="A161" s="221" t="str" cm="1">
        <f t="array" ref="A161">IFERROR(INDEX(_xlfn.ANCHORARRAY($P$6),ROW()-5,1),"")</f>
        <v/>
      </c>
      <c r="B161" s="317" t="str" cm="1">
        <f t="array" ref="B161">IFERROR(INDEX(_xlfn.ANCHORARRAY($P$6),ROW()-5,2),"")</f>
        <v/>
      </c>
      <c r="C161" s="222" t="str">
        <f>IF($A161="","",IF($J161="DIESEL",SUMIFS(Table1[Quantity],Table1[Customer],$M$3,Table1[Date],$A161,Table1[Bill No.],$B161),IF($J161="PETROL",SUMIFS(Table14[Quantity],Table14[Customer],$M$3,Table14[Date],$A161,Table14[Bill No.],$B161),IF($J161="XtraGreen",SUMIFS(Table146[Quantity],Table146[Company],$M$3,Table146[Date],$A161,Table146[Bill No.],$B161),""))))</f>
        <v/>
      </c>
      <c r="D161" s="223" t="str">
        <f>IF($A161="","",IF($J161="DIESEL",AVERAGEIFS(Table1[RSP],Table1[Customer],$M$3,Table1[Date],$A161,Table1[Bill No.],$B161),IF($J161="PETROL",AVERAGEIFS(Table14[RSP],Table14[Customer],$M$3,Table14[Date],$A161,Table14[Bill No.],$B161),IF($J161="XtraGreen",AVERAGEIFS(Table146[RSP],Table146[Company],$M$3,Table146[Date],$A161,Table146[Bill No.],$B161),IFERROR($E161/$C161,"")))))</f>
        <v/>
      </c>
      <c r="E161" s="330" t="str">
        <f>IF($A161="","",IF($J161="DIESEL",SUMIFS(Table1[Amount],Table1[Customer],$M$3,Table1[Date],$A161,Table1[Bill No.],$B161),IF($J161="PETROL",SUMIFS(Table14[Amount],Table14[Customer],$M$3,Table14[Date],$A161,Table14[Bill No.],$B161),IF($J161="XtraGreen",SUMIFS(Table146[Amount],Table146[Company],$M$3,Table146[Date],$A161,Table146[Bill No.],$B161),SUMIFS('Other Sale'!$D:$D,'Other Sale'!$E:$E,$M$3,'Other Sale'!$C:$C,$J161,'Other Sale'!$A:$A,$A161)))))</f>
        <v/>
      </c>
      <c r="F161" s="330" t="str" cm="1">
        <f t="array" ref="F161">IF($A161="","",IF($J161="Payment",IFERROR(INDEX(_xlfn._xlws.FILTER(MasterPaid[Amount Paid],(MasterPaid[Customer]=$M$3)*(MasterPaid[Date]=$A161)),COUNTIFS($A$6:$A161,$A161,$J$6:$J161,"Payment")),0),0))</f>
        <v/>
      </c>
      <c r="G161" s="331"/>
      <c r="H161" s="331"/>
      <c r="I161" s="330" t="str">
        <f t="shared" si="12"/>
        <v/>
      </c>
      <c r="J161" s="318" t="str" cm="1">
        <f t="array" ref="J161">IFERROR(INDEX(_xlfn.ANCHORARRAY($P$6),ROW()-5,3),"")</f>
        <v/>
      </c>
      <c r="K161" s="432" t="str" cm="1">
        <f t="array" ref="K161">IF(OR($A161="",$J161&lt;&gt;"DIESEL"),"",_xlfn.LET(_xlpm.qty,N($C161),_xlpm.pos,$T$5:$T$54,_xlpm.alo,IF($U$5:$U$54="",0,$U$5:$U$54),_xlpm.usd,SUMIFS($C$6:$C160,$K$6:$K160,_xlpm.pos&amp;""),_xlpm.bal,_xlpm.alo-_xlpm.usd,IFERROR(INDEX(_xlfn._xlws.FILTER(_xlpm.pos,(_xlpm.pos&lt;&gt;"")*(_xlpm.qty&gt;0)*(_xlpm.bal&gt;=_xlpm.qty)),1),"")))</f>
        <v/>
      </c>
      <c r="L161" s="290"/>
    </row>
    <row r="162" spans="1:12" ht="23" x14ac:dyDescent="0.25">
      <c r="A162" s="221" t="str" cm="1">
        <f t="array" ref="A162">IFERROR(INDEX(_xlfn.ANCHORARRAY($P$6),ROW()-5,1),"")</f>
        <v/>
      </c>
      <c r="B162" s="317" t="str" cm="1">
        <f t="array" ref="B162">IFERROR(INDEX(_xlfn.ANCHORARRAY($P$6),ROW()-5,2),"")</f>
        <v/>
      </c>
      <c r="C162" s="222" t="str">
        <f>IF($A162="","",IF($J162="DIESEL",SUMIFS(Table1[Quantity],Table1[Customer],$M$3,Table1[Date],$A162,Table1[Bill No.],$B162),IF($J162="PETROL",SUMIFS(Table14[Quantity],Table14[Customer],$M$3,Table14[Date],$A162,Table14[Bill No.],$B162),IF($J162="XtraGreen",SUMIFS(Table146[Quantity],Table146[Company],$M$3,Table146[Date],$A162,Table146[Bill No.],$B162),""))))</f>
        <v/>
      </c>
      <c r="D162" s="223" t="str">
        <f>IF($A162="","",IF($J162="DIESEL",AVERAGEIFS(Table1[RSP],Table1[Customer],$M$3,Table1[Date],$A162,Table1[Bill No.],$B162),IF($J162="PETROL",AVERAGEIFS(Table14[RSP],Table14[Customer],$M$3,Table14[Date],$A162,Table14[Bill No.],$B162),IF($J162="XtraGreen",AVERAGEIFS(Table146[RSP],Table146[Company],$M$3,Table146[Date],$A162,Table146[Bill No.],$B162),IFERROR($E162/$C162,"")))))</f>
        <v/>
      </c>
      <c r="E162" s="330" t="str">
        <f>IF($A162="","",IF($J162="DIESEL",SUMIFS(Table1[Amount],Table1[Customer],$M$3,Table1[Date],$A162,Table1[Bill No.],$B162),IF($J162="PETROL",SUMIFS(Table14[Amount],Table14[Customer],$M$3,Table14[Date],$A162,Table14[Bill No.],$B162),IF($J162="XtraGreen",SUMIFS(Table146[Amount],Table146[Company],$M$3,Table146[Date],$A162,Table146[Bill No.],$B162),SUMIFS('Other Sale'!$D:$D,'Other Sale'!$E:$E,$M$3,'Other Sale'!$C:$C,$J162,'Other Sale'!$A:$A,$A162)))))</f>
        <v/>
      </c>
      <c r="F162" s="330" t="str" cm="1">
        <f t="array" ref="F162">IF($A162="","",IF($J162="Payment",IFERROR(INDEX(_xlfn._xlws.FILTER(MasterPaid[Amount Paid],(MasterPaid[Customer]=$M$3)*(MasterPaid[Date]=$A162)),COUNTIFS($A$6:$A162,$A162,$J$6:$J162,"Payment")),0),0))</f>
        <v/>
      </c>
      <c r="G162" s="331"/>
      <c r="H162" s="331"/>
      <c r="I162" s="330" t="str">
        <f t="shared" si="12"/>
        <v/>
      </c>
      <c r="J162" s="318" t="str" cm="1">
        <f t="array" ref="J162">IFERROR(INDEX(_xlfn.ANCHORARRAY($P$6),ROW()-5,3),"")</f>
        <v/>
      </c>
      <c r="K162" s="432" t="str" cm="1">
        <f t="array" ref="K162">IF(OR($A162="",$J162&lt;&gt;"DIESEL"),"",_xlfn.LET(_xlpm.qty,N($C162),_xlpm.pos,$T$5:$T$54,_xlpm.alo,IF($U$5:$U$54="",0,$U$5:$U$54),_xlpm.usd,SUMIFS($C$6:$C161,$K$6:$K161,_xlpm.pos&amp;""),_xlpm.bal,_xlpm.alo-_xlpm.usd,IFERROR(INDEX(_xlfn._xlws.FILTER(_xlpm.pos,(_xlpm.pos&lt;&gt;"")*(_xlpm.qty&gt;0)*(_xlpm.bal&gt;=_xlpm.qty)),1),"")))</f>
        <v/>
      </c>
      <c r="L162" s="290"/>
    </row>
    <row r="163" spans="1:12" ht="23" x14ac:dyDescent="0.25">
      <c r="A163" s="221" t="str" cm="1">
        <f t="array" ref="A163">IFERROR(INDEX(_xlfn.ANCHORARRAY($P$6),ROW()-5,1),"")</f>
        <v/>
      </c>
      <c r="B163" s="317" t="str" cm="1">
        <f t="array" ref="B163">IFERROR(INDEX(_xlfn.ANCHORARRAY($P$6),ROW()-5,2),"")</f>
        <v/>
      </c>
      <c r="C163" s="222" t="str">
        <f>IF($A163="","",IF($J163="DIESEL",SUMIFS(Table1[Quantity],Table1[Customer],$M$3,Table1[Date],$A163,Table1[Bill No.],$B163),IF($J163="PETROL",SUMIFS(Table14[Quantity],Table14[Customer],$M$3,Table14[Date],$A163,Table14[Bill No.],$B163),IF($J163="XtraGreen",SUMIFS(Table146[Quantity],Table146[Company],$M$3,Table146[Date],$A163,Table146[Bill No.],$B163),""))))</f>
        <v/>
      </c>
      <c r="D163" s="223" t="str">
        <f>IF($A163="","",IF($J163="DIESEL",AVERAGEIFS(Table1[RSP],Table1[Customer],$M$3,Table1[Date],$A163,Table1[Bill No.],$B163),IF($J163="PETROL",AVERAGEIFS(Table14[RSP],Table14[Customer],$M$3,Table14[Date],$A163,Table14[Bill No.],$B163),IF($J163="XtraGreen",AVERAGEIFS(Table146[RSP],Table146[Company],$M$3,Table146[Date],$A163,Table146[Bill No.],$B163),IFERROR($E163/$C163,"")))))</f>
        <v/>
      </c>
      <c r="E163" s="330" t="str">
        <f>IF($A163="","",IF($J163="DIESEL",SUMIFS(Table1[Amount],Table1[Customer],$M$3,Table1[Date],$A163,Table1[Bill No.],$B163),IF($J163="PETROL",SUMIFS(Table14[Amount],Table14[Customer],$M$3,Table14[Date],$A163,Table14[Bill No.],$B163),IF($J163="XtraGreen",SUMIFS(Table146[Amount],Table146[Company],$M$3,Table146[Date],$A163,Table146[Bill No.],$B163),SUMIFS('Other Sale'!$D:$D,'Other Sale'!$E:$E,$M$3,'Other Sale'!$C:$C,$J163,'Other Sale'!$A:$A,$A163)))))</f>
        <v/>
      </c>
      <c r="F163" s="330" t="str" cm="1">
        <f t="array" ref="F163">IF($A163="","",IF($J163="Payment",IFERROR(INDEX(_xlfn._xlws.FILTER(MasterPaid[Amount Paid],(MasterPaid[Customer]=$M$3)*(MasterPaid[Date]=$A163)),COUNTIFS($A$6:$A163,$A163,$J$6:$J163,"Payment")),0),0))</f>
        <v/>
      </c>
      <c r="G163" s="331"/>
      <c r="H163" s="331"/>
      <c r="I163" s="330" t="str">
        <f t="shared" si="12"/>
        <v/>
      </c>
      <c r="J163" s="318" t="str" cm="1">
        <f t="array" ref="J163">IFERROR(INDEX(_xlfn.ANCHORARRAY($P$6),ROW()-5,3),"")</f>
        <v/>
      </c>
      <c r="K163" s="432" t="str" cm="1">
        <f t="array" ref="K163">IF(OR($A163="",$J163&lt;&gt;"DIESEL"),"",_xlfn.LET(_xlpm.qty,N($C163),_xlpm.pos,$T$5:$T$54,_xlpm.alo,IF($U$5:$U$54="",0,$U$5:$U$54),_xlpm.usd,SUMIFS($C$6:$C162,$K$6:$K162,_xlpm.pos&amp;""),_xlpm.bal,_xlpm.alo-_xlpm.usd,IFERROR(INDEX(_xlfn._xlws.FILTER(_xlpm.pos,(_xlpm.pos&lt;&gt;"")*(_xlpm.qty&gt;0)*(_xlpm.bal&gt;=_xlpm.qty)),1),"")))</f>
        <v/>
      </c>
      <c r="L163" s="290"/>
    </row>
    <row r="164" spans="1:12" ht="23" x14ac:dyDescent="0.25">
      <c r="A164" s="221" t="str" cm="1">
        <f t="array" ref="A164">IFERROR(INDEX(_xlfn.ANCHORARRAY($P$6),ROW()-5,1),"")</f>
        <v/>
      </c>
      <c r="B164" s="317" t="str" cm="1">
        <f t="array" ref="B164">IFERROR(INDEX(_xlfn.ANCHORARRAY($P$6),ROW()-5,2),"")</f>
        <v/>
      </c>
      <c r="C164" s="222" t="str">
        <f>IF($A164="","",IF($J164="DIESEL",SUMIFS(Table1[Quantity],Table1[Customer],$M$3,Table1[Date],$A164,Table1[Bill No.],$B164),IF($J164="PETROL",SUMIFS(Table14[Quantity],Table14[Customer],$M$3,Table14[Date],$A164,Table14[Bill No.],$B164),IF($J164="XtraGreen",SUMIFS(Table146[Quantity],Table146[Company],$M$3,Table146[Date],$A164,Table146[Bill No.],$B164),""))))</f>
        <v/>
      </c>
      <c r="D164" s="223" t="str">
        <f>IF($A164="","",IF($J164="DIESEL",AVERAGEIFS(Table1[RSP],Table1[Customer],$M$3,Table1[Date],$A164,Table1[Bill No.],$B164),IF($J164="PETROL",AVERAGEIFS(Table14[RSP],Table14[Customer],$M$3,Table14[Date],$A164,Table14[Bill No.],$B164),IF($J164="XtraGreen",AVERAGEIFS(Table146[RSP],Table146[Company],$M$3,Table146[Date],$A164,Table146[Bill No.],$B164),IFERROR($E164/$C164,"")))))</f>
        <v/>
      </c>
      <c r="E164" s="330" t="str">
        <f>IF($A164="","",IF($J164="DIESEL",SUMIFS(Table1[Amount],Table1[Customer],$M$3,Table1[Date],$A164,Table1[Bill No.],$B164),IF($J164="PETROL",SUMIFS(Table14[Amount],Table14[Customer],$M$3,Table14[Date],$A164,Table14[Bill No.],$B164),IF($J164="XtraGreen",SUMIFS(Table146[Amount],Table146[Company],$M$3,Table146[Date],$A164,Table146[Bill No.],$B164),SUMIFS('Other Sale'!$D:$D,'Other Sale'!$E:$E,$M$3,'Other Sale'!$C:$C,$J164,'Other Sale'!$A:$A,$A164)))))</f>
        <v/>
      </c>
      <c r="F164" s="330" t="str" cm="1">
        <f t="array" ref="F164">IF($A164="","",IF($J164="Payment",IFERROR(INDEX(_xlfn._xlws.FILTER(MasterPaid[Amount Paid],(MasterPaid[Customer]=$M$3)*(MasterPaid[Date]=$A164)),COUNTIFS($A$6:$A164,$A164,$J$6:$J164,"Payment")),0),0))</f>
        <v/>
      </c>
      <c r="G164" s="331"/>
      <c r="H164" s="331"/>
      <c r="I164" s="330" t="str">
        <f t="shared" si="12"/>
        <v/>
      </c>
      <c r="J164" s="318" t="str" cm="1">
        <f t="array" ref="J164">IFERROR(INDEX(_xlfn.ANCHORARRAY($P$6),ROW()-5,3),"")</f>
        <v/>
      </c>
      <c r="K164" s="432" t="str" cm="1">
        <f t="array" ref="K164">IF(OR($A164="",$J164&lt;&gt;"DIESEL"),"",_xlfn.LET(_xlpm.qty,N($C164),_xlpm.pos,$T$5:$T$54,_xlpm.alo,IF($U$5:$U$54="",0,$U$5:$U$54),_xlpm.usd,SUMIFS($C$6:$C163,$K$6:$K163,_xlpm.pos&amp;""),_xlpm.bal,_xlpm.alo-_xlpm.usd,IFERROR(INDEX(_xlfn._xlws.FILTER(_xlpm.pos,(_xlpm.pos&lt;&gt;"")*(_xlpm.qty&gt;0)*(_xlpm.bal&gt;=_xlpm.qty)),1),"")))</f>
        <v/>
      </c>
      <c r="L164" s="290"/>
    </row>
    <row r="165" spans="1:12" ht="23" x14ac:dyDescent="0.25">
      <c r="A165" s="221" t="str" cm="1">
        <f t="array" ref="A165">IFERROR(INDEX(_xlfn.ANCHORARRAY($P$6),ROW()-5,1),"")</f>
        <v/>
      </c>
      <c r="B165" s="317" t="str" cm="1">
        <f t="array" ref="B165">IFERROR(INDEX(_xlfn.ANCHORARRAY($P$6),ROW()-5,2),"")</f>
        <v/>
      </c>
      <c r="C165" s="222" t="str">
        <f>IF($A165="","",IF($J165="DIESEL",SUMIFS(Table1[Quantity],Table1[Customer],$M$3,Table1[Date],$A165,Table1[Bill No.],$B165),IF($J165="PETROL",SUMIFS(Table14[Quantity],Table14[Customer],$M$3,Table14[Date],$A165,Table14[Bill No.],$B165),IF($J165="XtraGreen",SUMIFS(Table146[Quantity],Table146[Company],$M$3,Table146[Date],$A165,Table146[Bill No.],$B165),""))))</f>
        <v/>
      </c>
      <c r="D165" s="223" t="str">
        <f>IF($A165="","",IF($J165="DIESEL",AVERAGEIFS(Table1[RSP],Table1[Customer],$M$3,Table1[Date],$A165,Table1[Bill No.],$B165),IF($J165="PETROL",AVERAGEIFS(Table14[RSP],Table14[Customer],$M$3,Table14[Date],$A165,Table14[Bill No.],$B165),IF($J165="XtraGreen",AVERAGEIFS(Table146[RSP],Table146[Company],$M$3,Table146[Date],$A165,Table146[Bill No.],$B165),IFERROR($E165/$C165,"")))))</f>
        <v/>
      </c>
      <c r="E165" s="330" t="str">
        <f>IF($A165="","",IF($J165="DIESEL",SUMIFS(Table1[Amount],Table1[Customer],$M$3,Table1[Date],$A165,Table1[Bill No.],$B165),IF($J165="PETROL",SUMIFS(Table14[Amount],Table14[Customer],$M$3,Table14[Date],$A165,Table14[Bill No.],$B165),IF($J165="XtraGreen",SUMIFS(Table146[Amount],Table146[Company],$M$3,Table146[Date],$A165,Table146[Bill No.],$B165),SUMIFS('Other Sale'!$D:$D,'Other Sale'!$E:$E,$M$3,'Other Sale'!$C:$C,$J165,'Other Sale'!$A:$A,$A165)))))</f>
        <v/>
      </c>
      <c r="F165" s="330" t="str" cm="1">
        <f t="array" ref="F165">IF($A165="","",IF($J165="Payment",IFERROR(INDEX(_xlfn._xlws.FILTER(MasterPaid[Amount Paid],(MasterPaid[Customer]=$M$3)*(MasterPaid[Date]=$A165)),COUNTIFS($A$6:$A165,$A165,$J$6:$J165,"Payment")),0),0))</f>
        <v/>
      </c>
      <c r="G165" s="331"/>
      <c r="H165" s="331"/>
      <c r="I165" s="330" t="str">
        <f t="shared" si="12"/>
        <v/>
      </c>
      <c r="J165" s="318" t="str" cm="1">
        <f t="array" ref="J165">IFERROR(INDEX(_xlfn.ANCHORARRAY($P$6),ROW()-5,3),"")</f>
        <v/>
      </c>
      <c r="K165" s="432" t="str" cm="1">
        <f t="array" ref="K165">IF(OR($A165="",$J165&lt;&gt;"DIESEL"),"",_xlfn.LET(_xlpm.qty,N($C165),_xlpm.pos,$T$5:$T$54,_xlpm.alo,IF($U$5:$U$54="",0,$U$5:$U$54),_xlpm.usd,SUMIFS($C$6:$C164,$K$6:$K164,_xlpm.pos&amp;""),_xlpm.bal,_xlpm.alo-_xlpm.usd,IFERROR(INDEX(_xlfn._xlws.FILTER(_xlpm.pos,(_xlpm.pos&lt;&gt;"")*(_xlpm.qty&gt;0)*(_xlpm.bal&gt;=_xlpm.qty)),1),"")))</f>
        <v/>
      </c>
      <c r="L165" s="290"/>
    </row>
    <row r="166" spans="1:12" ht="23" x14ac:dyDescent="0.25">
      <c r="A166" s="221" t="str" cm="1">
        <f t="array" ref="A166">IFERROR(INDEX(_xlfn.ANCHORARRAY($P$6),ROW()-5,1),"")</f>
        <v/>
      </c>
      <c r="B166" s="317" t="str" cm="1">
        <f t="array" ref="B166">IFERROR(INDEX(_xlfn.ANCHORARRAY($P$6),ROW()-5,2),"")</f>
        <v/>
      </c>
      <c r="C166" s="222" t="str">
        <f>IF($A166="","",IF($J166="DIESEL",SUMIFS(Table1[Quantity],Table1[Customer],$M$3,Table1[Date],$A166,Table1[Bill No.],$B166),IF($J166="PETROL",SUMIFS(Table14[Quantity],Table14[Customer],$M$3,Table14[Date],$A166,Table14[Bill No.],$B166),IF($J166="XtraGreen",SUMIFS(Table146[Quantity],Table146[Company],$M$3,Table146[Date],$A166,Table146[Bill No.],$B166),""))))</f>
        <v/>
      </c>
      <c r="D166" s="223" t="str">
        <f>IF($A166="","",IF($J166="DIESEL",AVERAGEIFS(Table1[RSP],Table1[Customer],$M$3,Table1[Date],$A166,Table1[Bill No.],$B166),IF($J166="PETROL",AVERAGEIFS(Table14[RSP],Table14[Customer],$M$3,Table14[Date],$A166,Table14[Bill No.],$B166),IF($J166="XtraGreen",AVERAGEIFS(Table146[RSP],Table146[Company],$M$3,Table146[Date],$A166,Table146[Bill No.],$B166),IFERROR($E166/$C166,"")))))</f>
        <v/>
      </c>
      <c r="E166" s="330" t="str">
        <f>IF($A166="","",IF($J166="DIESEL",SUMIFS(Table1[Amount],Table1[Customer],$M$3,Table1[Date],$A166,Table1[Bill No.],$B166),IF($J166="PETROL",SUMIFS(Table14[Amount],Table14[Customer],$M$3,Table14[Date],$A166,Table14[Bill No.],$B166),IF($J166="XtraGreen",SUMIFS(Table146[Amount],Table146[Company],$M$3,Table146[Date],$A166,Table146[Bill No.],$B166),SUMIFS('Other Sale'!$D:$D,'Other Sale'!$E:$E,$M$3,'Other Sale'!$C:$C,$J166,'Other Sale'!$A:$A,$A166)))))</f>
        <v/>
      </c>
      <c r="F166" s="330" t="str" cm="1">
        <f t="array" ref="F166">IF($A166="","",IF($J166="Payment",IFERROR(INDEX(_xlfn._xlws.FILTER(MasterPaid[Amount Paid],(MasterPaid[Customer]=$M$3)*(MasterPaid[Date]=$A166)),COUNTIFS($A$6:$A166,$A166,$J$6:$J166,"Payment")),0),0))</f>
        <v/>
      </c>
      <c r="G166" s="331"/>
      <c r="H166" s="331"/>
      <c r="I166" s="330" t="str">
        <f t="shared" si="12"/>
        <v/>
      </c>
      <c r="J166" s="318" t="str" cm="1">
        <f t="array" ref="J166">IFERROR(INDEX(_xlfn.ANCHORARRAY($P$6),ROW()-5,3),"")</f>
        <v/>
      </c>
      <c r="K166" s="432" t="str" cm="1">
        <f t="array" ref="K166">IF(OR($A166="",$J166&lt;&gt;"DIESEL"),"",_xlfn.LET(_xlpm.qty,N($C166),_xlpm.pos,$T$5:$T$54,_xlpm.alo,IF($U$5:$U$54="",0,$U$5:$U$54),_xlpm.usd,SUMIFS($C$6:$C165,$K$6:$K165,_xlpm.pos&amp;""),_xlpm.bal,_xlpm.alo-_xlpm.usd,IFERROR(INDEX(_xlfn._xlws.FILTER(_xlpm.pos,(_xlpm.pos&lt;&gt;"")*(_xlpm.qty&gt;0)*(_xlpm.bal&gt;=_xlpm.qty)),1),"")))</f>
        <v/>
      </c>
      <c r="L166" s="290"/>
    </row>
    <row r="167" spans="1:12" ht="23" x14ac:dyDescent="0.25">
      <c r="A167" s="221" t="str" cm="1">
        <f t="array" ref="A167">IFERROR(INDEX(_xlfn.ANCHORARRAY($P$6),ROW()-5,1),"")</f>
        <v/>
      </c>
      <c r="B167" s="317" t="str" cm="1">
        <f t="array" ref="B167">IFERROR(INDEX(_xlfn.ANCHORARRAY($P$6),ROW()-5,2),"")</f>
        <v/>
      </c>
      <c r="C167" s="222" t="str">
        <f>IF($A167="","",IF($J167="DIESEL",SUMIFS(Table1[Quantity],Table1[Customer],$M$3,Table1[Date],$A167,Table1[Bill No.],$B167),IF($J167="PETROL",SUMIFS(Table14[Quantity],Table14[Customer],$M$3,Table14[Date],$A167,Table14[Bill No.],$B167),IF($J167="XtraGreen",SUMIFS(Table146[Quantity],Table146[Company],$M$3,Table146[Date],$A167,Table146[Bill No.],$B167),""))))</f>
        <v/>
      </c>
      <c r="D167" s="223" t="str">
        <f>IF($A167="","",IF($J167="DIESEL",AVERAGEIFS(Table1[RSP],Table1[Customer],$M$3,Table1[Date],$A167,Table1[Bill No.],$B167),IF($J167="PETROL",AVERAGEIFS(Table14[RSP],Table14[Customer],$M$3,Table14[Date],$A167,Table14[Bill No.],$B167),IF($J167="XtraGreen",AVERAGEIFS(Table146[RSP],Table146[Company],$M$3,Table146[Date],$A167,Table146[Bill No.],$B167),IFERROR($E167/$C167,"")))))</f>
        <v/>
      </c>
      <c r="E167" s="330" t="str">
        <f>IF($A167="","",IF($J167="DIESEL",SUMIFS(Table1[Amount],Table1[Customer],$M$3,Table1[Date],$A167,Table1[Bill No.],$B167),IF($J167="PETROL",SUMIFS(Table14[Amount],Table14[Customer],$M$3,Table14[Date],$A167,Table14[Bill No.],$B167),IF($J167="XtraGreen",SUMIFS(Table146[Amount],Table146[Company],$M$3,Table146[Date],$A167,Table146[Bill No.],$B167),SUMIFS('Other Sale'!$D:$D,'Other Sale'!$E:$E,$M$3,'Other Sale'!$C:$C,$J167,'Other Sale'!$A:$A,$A167)))))</f>
        <v/>
      </c>
      <c r="F167" s="330" t="str" cm="1">
        <f t="array" ref="F167">IF($A167="","",IF($J167="Payment",IFERROR(INDEX(_xlfn._xlws.FILTER(MasterPaid[Amount Paid],(MasterPaid[Customer]=$M$3)*(MasterPaid[Date]=$A167)),COUNTIFS($A$6:$A167,$A167,$J$6:$J167,"Payment")),0),0))</f>
        <v/>
      </c>
      <c r="G167" s="331"/>
      <c r="H167" s="331"/>
      <c r="I167" s="330" t="str">
        <f t="shared" si="12"/>
        <v/>
      </c>
      <c r="J167" s="318" t="str" cm="1">
        <f t="array" ref="J167">IFERROR(INDEX(_xlfn.ANCHORARRAY($P$6),ROW()-5,3),"")</f>
        <v/>
      </c>
      <c r="K167" s="432" t="str" cm="1">
        <f t="array" ref="K167">IF(OR($A167="",$J167&lt;&gt;"DIESEL"),"",_xlfn.LET(_xlpm.qty,N($C167),_xlpm.pos,$T$5:$T$54,_xlpm.alo,IF($U$5:$U$54="",0,$U$5:$U$54),_xlpm.usd,SUMIFS($C$6:$C166,$K$6:$K166,_xlpm.pos&amp;""),_xlpm.bal,_xlpm.alo-_xlpm.usd,IFERROR(INDEX(_xlfn._xlws.FILTER(_xlpm.pos,(_xlpm.pos&lt;&gt;"")*(_xlpm.qty&gt;0)*(_xlpm.bal&gt;=_xlpm.qty)),1),"")))</f>
        <v/>
      </c>
      <c r="L167" s="290"/>
    </row>
    <row r="168" spans="1:12" ht="23" x14ac:dyDescent="0.25">
      <c r="A168" s="221" t="str" cm="1">
        <f t="array" ref="A168">IFERROR(INDEX(_xlfn.ANCHORARRAY($P$6),ROW()-5,1),"")</f>
        <v/>
      </c>
      <c r="B168" s="317" t="str" cm="1">
        <f t="array" ref="B168">IFERROR(INDEX(_xlfn.ANCHORARRAY($P$6),ROW()-5,2),"")</f>
        <v/>
      </c>
      <c r="C168" s="222" t="str">
        <f>IF($A168="","",IF($J168="DIESEL",SUMIFS(Table1[Quantity],Table1[Customer],$M$3,Table1[Date],$A168,Table1[Bill No.],$B168),IF($J168="PETROL",SUMIFS(Table14[Quantity],Table14[Customer],$M$3,Table14[Date],$A168,Table14[Bill No.],$B168),IF($J168="XtraGreen",SUMIFS(Table146[Quantity],Table146[Company],$M$3,Table146[Date],$A168,Table146[Bill No.],$B168),""))))</f>
        <v/>
      </c>
      <c r="D168" s="223" t="str">
        <f>IF($A168="","",IF($J168="DIESEL",AVERAGEIFS(Table1[RSP],Table1[Customer],$M$3,Table1[Date],$A168,Table1[Bill No.],$B168),IF($J168="PETROL",AVERAGEIFS(Table14[RSP],Table14[Customer],$M$3,Table14[Date],$A168,Table14[Bill No.],$B168),IF($J168="XtraGreen",AVERAGEIFS(Table146[RSP],Table146[Company],$M$3,Table146[Date],$A168,Table146[Bill No.],$B168),IFERROR($E168/$C168,"")))))</f>
        <v/>
      </c>
      <c r="E168" s="330" t="str">
        <f>IF($A168="","",IF($J168="DIESEL",SUMIFS(Table1[Amount],Table1[Customer],$M$3,Table1[Date],$A168,Table1[Bill No.],$B168),IF($J168="PETROL",SUMIFS(Table14[Amount],Table14[Customer],$M$3,Table14[Date],$A168,Table14[Bill No.],$B168),IF($J168="XtraGreen",SUMIFS(Table146[Amount],Table146[Company],$M$3,Table146[Date],$A168,Table146[Bill No.],$B168),SUMIFS('Other Sale'!$D:$D,'Other Sale'!$E:$E,$M$3,'Other Sale'!$C:$C,$J168,'Other Sale'!$A:$A,$A168)))))</f>
        <v/>
      </c>
      <c r="F168" s="330" t="str" cm="1">
        <f t="array" ref="F168">IF($A168="","",IF($J168="Payment",IFERROR(INDEX(_xlfn._xlws.FILTER(MasterPaid[Amount Paid],(MasterPaid[Customer]=$M$3)*(MasterPaid[Date]=$A168)),COUNTIFS($A$6:$A168,$A168,$J$6:$J168,"Payment")),0),0))</f>
        <v/>
      </c>
      <c r="G168" s="331"/>
      <c r="H168" s="331"/>
      <c r="I168" s="330" t="str">
        <f t="shared" si="12"/>
        <v/>
      </c>
      <c r="J168" s="318" t="str" cm="1">
        <f t="array" ref="J168">IFERROR(INDEX(_xlfn.ANCHORARRAY($P$6),ROW()-5,3),"")</f>
        <v/>
      </c>
      <c r="K168" s="432" t="str" cm="1">
        <f t="array" ref="K168">IF(OR($A168="",$J168&lt;&gt;"DIESEL"),"",_xlfn.LET(_xlpm.qty,N($C168),_xlpm.pos,$T$5:$T$54,_xlpm.alo,IF($U$5:$U$54="",0,$U$5:$U$54),_xlpm.usd,SUMIFS($C$6:$C167,$K$6:$K167,_xlpm.pos&amp;""),_xlpm.bal,_xlpm.alo-_xlpm.usd,IFERROR(INDEX(_xlfn._xlws.FILTER(_xlpm.pos,(_xlpm.pos&lt;&gt;"")*(_xlpm.qty&gt;0)*(_xlpm.bal&gt;=_xlpm.qty)),1),"")))</f>
        <v/>
      </c>
      <c r="L168" s="290"/>
    </row>
    <row r="169" spans="1:12" ht="23" x14ac:dyDescent="0.25">
      <c r="A169" s="221" t="str" cm="1">
        <f t="array" ref="A169">IFERROR(INDEX(_xlfn.ANCHORARRAY($P$6),ROW()-5,1),"")</f>
        <v/>
      </c>
      <c r="B169" s="317" t="str" cm="1">
        <f t="array" ref="B169">IFERROR(INDEX(_xlfn.ANCHORARRAY($P$6),ROW()-5,2),"")</f>
        <v/>
      </c>
      <c r="C169" s="222" t="str">
        <f>IF($A169="","",IF($J169="DIESEL",SUMIFS(Table1[Quantity],Table1[Customer],$M$3,Table1[Date],$A169,Table1[Bill No.],$B169),IF($J169="PETROL",SUMIFS(Table14[Quantity],Table14[Customer],$M$3,Table14[Date],$A169,Table14[Bill No.],$B169),IF($J169="XtraGreen",SUMIFS(Table146[Quantity],Table146[Company],$M$3,Table146[Date],$A169,Table146[Bill No.],$B169),""))))</f>
        <v/>
      </c>
      <c r="D169" s="223" t="str">
        <f>IF($A169="","",IF($J169="DIESEL",AVERAGEIFS(Table1[RSP],Table1[Customer],$M$3,Table1[Date],$A169,Table1[Bill No.],$B169),IF($J169="PETROL",AVERAGEIFS(Table14[RSP],Table14[Customer],$M$3,Table14[Date],$A169,Table14[Bill No.],$B169),IF($J169="XtraGreen",AVERAGEIFS(Table146[RSP],Table146[Company],$M$3,Table146[Date],$A169,Table146[Bill No.],$B169),IFERROR($E169/$C169,"")))))</f>
        <v/>
      </c>
      <c r="E169" s="330" t="str">
        <f>IF($A169="","",IF($J169="DIESEL",SUMIFS(Table1[Amount],Table1[Customer],$M$3,Table1[Date],$A169,Table1[Bill No.],$B169),IF($J169="PETROL",SUMIFS(Table14[Amount],Table14[Customer],$M$3,Table14[Date],$A169,Table14[Bill No.],$B169),IF($J169="XtraGreen",SUMIFS(Table146[Amount],Table146[Company],$M$3,Table146[Date],$A169,Table146[Bill No.],$B169),SUMIFS('Other Sale'!$D:$D,'Other Sale'!$E:$E,$M$3,'Other Sale'!$C:$C,$J169,'Other Sale'!$A:$A,$A169)))))</f>
        <v/>
      </c>
      <c r="F169" s="330" t="str" cm="1">
        <f t="array" ref="F169">IF($A169="","",IF($J169="Payment",IFERROR(INDEX(_xlfn._xlws.FILTER(MasterPaid[Amount Paid],(MasterPaid[Customer]=$M$3)*(MasterPaid[Date]=$A169)),COUNTIFS($A$6:$A169,$A169,$J$6:$J169,"Payment")),0),0))</f>
        <v/>
      </c>
      <c r="G169" s="331"/>
      <c r="H169" s="331"/>
      <c r="I169" s="330" t="str">
        <f t="shared" si="12"/>
        <v/>
      </c>
      <c r="J169" s="318" t="str" cm="1">
        <f t="array" ref="J169">IFERROR(INDEX(_xlfn.ANCHORARRAY($P$6),ROW()-5,3),"")</f>
        <v/>
      </c>
      <c r="K169" s="432" t="str" cm="1">
        <f t="array" ref="K169">IF(OR($A169="",$J169&lt;&gt;"DIESEL"),"",_xlfn.LET(_xlpm.qty,N($C169),_xlpm.pos,$T$5:$T$54,_xlpm.alo,IF($U$5:$U$54="",0,$U$5:$U$54),_xlpm.usd,SUMIFS($C$6:$C168,$K$6:$K168,_xlpm.pos&amp;""),_xlpm.bal,_xlpm.alo-_xlpm.usd,IFERROR(INDEX(_xlfn._xlws.FILTER(_xlpm.pos,(_xlpm.pos&lt;&gt;"")*(_xlpm.qty&gt;0)*(_xlpm.bal&gt;=_xlpm.qty)),1),"")))</f>
        <v/>
      </c>
      <c r="L169" s="290"/>
    </row>
    <row r="170" spans="1:12" ht="23" x14ac:dyDescent="0.25">
      <c r="A170" s="221" t="str" cm="1">
        <f t="array" ref="A170">IFERROR(INDEX(_xlfn.ANCHORARRAY($P$6),ROW()-5,1),"")</f>
        <v/>
      </c>
      <c r="B170" s="317" t="str" cm="1">
        <f t="array" ref="B170">IFERROR(INDEX(_xlfn.ANCHORARRAY($P$6),ROW()-5,2),"")</f>
        <v/>
      </c>
      <c r="C170" s="222" t="str">
        <f>IF($A170="","",IF($J170="DIESEL",SUMIFS(Table1[Quantity],Table1[Customer],$M$3,Table1[Date],$A170,Table1[Bill No.],$B170),IF($J170="PETROL",SUMIFS(Table14[Quantity],Table14[Customer],$M$3,Table14[Date],$A170,Table14[Bill No.],$B170),IF($J170="XtraGreen",SUMIFS(Table146[Quantity],Table146[Company],$M$3,Table146[Date],$A170,Table146[Bill No.],$B170),""))))</f>
        <v/>
      </c>
      <c r="D170" s="223" t="str">
        <f>IF($A170="","",IF($J170="DIESEL",AVERAGEIFS(Table1[RSP],Table1[Customer],$M$3,Table1[Date],$A170,Table1[Bill No.],$B170),IF($J170="PETROL",AVERAGEIFS(Table14[RSP],Table14[Customer],$M$3,Table14[Date],$A170,Table14[Bill No.],$B170),IF($J170="XtraGreen",AVERAGEIFS(Table146[RSP],Table146[Company],$M$3,Table146[Date],$A170,Table146[Bill No.],$B170),IFERROR($E170/$C170,"")))))</f>
        <v/>
      </c>
      <c r="E170" s="330" t="str">
        <f>IF($A170="","",IF($J170="DIESEL",SUMIFS(Table1[Amount],Table1[Customer],$M$3,Table1[Date],$A170,Table1[Bill No.],$B170),IF($J170="PETROL",SUMIFS(Table14[Amount],Table14[Customer],$M$3,Table14[Date],$A170,Table14[Bill No.],$B170),IF($J170="XtraGreen",SUMIFS(Table146[Amount],Table146[Company],$M$3,Table146[Date],$A170,Table146[Bill No.],$B170),SUMIFS('Other Sale'!$D:$D,'Other Sale'!$E:$E,$M$3,'Other Sale'!$C:$C,$J170,'Other Sale'!$A:$A,$A170)))))</f>
        <v/>
      </c>
      <c r="F170" s="330" t="str" cm="1">
        <f t="array" ref="F170">IF($A170="","",IF($J170="Payment",IFERROR(INDEX(_xlfn._xlws.FILTER(MasterPaid[Amount Paid],(MasterPaid[Customer]=$M$3)*(MasterPaid[Date]=$A170)),COUNTIFS($A$6:$A170,$A170,$J$6:$J170,"Payment")),0),0))</f>
        <v/>
      </c>
      <c r="G170" s="331"/>
      <c r="H170" s="331"/>
      <c r="I170" s="330" t="str">
        <f t="shared" si="12"/>
        <v/>
      </c>
      <c r="J170" s="318" t="str" cm="1">
        <f t="array" ref="J170">IFERROR(INDEX(_xlfn.ANCHORARRAY($P$6),ROW()-5,3),"")</f>
        <v/>
      </c>
      <c r="K170" s="432" t="str" cm="1">
        <f t="array" ref="K170">IF(OR($A170="",$J170&lt;&gt;"DIESEL"),"",_xlfn.LET(_xlpm.qty,N($C170),_xlpm.pos,$T$5:$T$54,_xlpm.alo,IF($U$5:$U$54="",0,$U$5:$U$54),_xlpm.usd,SUMIFS($C$6:$C169,$K$6:$K169,_xlpm.pos&amp;""),_xlpm.bal,_xlpm.alo-_xlpm.usd,IFERROR(INDEX(_xlfn._xlws.FILTER(_xlpm.pos,(_xlpm.pos&lt;&gt;"")*(_xlpm.qty&gt;0)*(_xlpm.bal&gt;=_xlpm.qty)),1),"")))</f>
        <v/>
      </c>
      <c r="L170" s="290"/>
    </row>
    <row r="171" spans="1:12" ht="23" x14ac:dyDescent="0.25">
      <c r="A171" s="221" t="str" cm="1">
        <f t="array" ref="A171">IFERROR(INDEX(_xlfn.ANCHORARRAY($P$6),ROW()-5,1),"")</f>
        <v/>
      </c>
      <c r="B171" s="317" t="str" cm="1">
        <f t="array" ref="B171">IFERROR(INDEX(_xlfn.ANCHORARRAY($P$6),ROW()-5,2),"")</f>
        <v/>
      </c>
      <c r="C171" s="222" t="str">
        <f>IF($A171="","",IF($J171="DIESEL",SUMIFS(Table1[Quantity],Table1[Customer],$M$3,Table1[Date],$A171,Table1[Bill No.],$B171),IF($J171="PETROL",SUMIFS(Table14[Quantity],Table14[Customer],$M$3,Table14[Date],$A171,Table14[Bill No.],$B171),IF($J171="XtraGreen",SUMIFS(Table146[Quantity],Table146[Company],$M$3,Table146[Date],$A171,Table146[Bill No.],$B171),""))))</f>
        <v/>
      </c>
      <c r="D171" s="223" t="str">
        <f>IF($A171="","",IF($J171="DIESEL",AVERAGEIFS(Table1[RSP],Table1[Customer],$M$3,Table1[Date],$A171,Table1[Bill No.],$B171),IF($J171="PETROL",AVERAGEIFS(Table14[RSP],Table14[Customer],$M$3,Table14[Date],$A171,Table14[Bill No.],$B171),IF($J171="XtraGreen",AVERAGEIFS(Table146[RSP],Table146[Company],$M$3,Table146[Date],$A171,Table146[Bill No.],$B171),IFERROR($E171/$C171,"")))))</f>
        <v/>
      </c>
      <c r="E171" s="330" t="str">
        <f>IF($A171="","",IF($J171="DIESEL",SUMIFS(Table1[Amount],Table1[Customer],$M$3,Table1[Date],$A171,Table1[Bill No.],$B171),IF($J171="PETROL",SUMIFS(Table14[Amount],Table14[Customer],$M$3,Table14[Date],$A171,Table14[Bill No.],$B171),IF($J171="XtraGreen",SUMIFS(Table146[Amount],Table146[Company],$M$3,Table146[Date],$A171,Table146[Bill No.],$B171),SUMIFS('Other Sale'!$D:$D,'Other Sale'!$E:$E,$M$3,'Other Sale'!$C:$C,$J171,'Other Sale'!$A:$A,$A171)))))</f>
        <v/>
      </c>
      <c r="F171" s="330" t="str" cm="1">
        <f t="array" ref="F171">IF($A171="","",IF($J171="Payment",IFERROR(INDEX(_xlfn._xlws.FILTER(MasterPaid[Amount Paid],(MasterPaid[Customer]=$M$3)*(MasterPaid[Date]=$A171)),COUNTIFS($A$6:$A171,$A171,$J$6:$J171,"Payment")),0),0))</f>
        <v/>
      </c>
      <c r="G171" s="331"/>
      <c r="H171" s="331"/>
      <c r="I171" s="330" t="str">
        <f t="shared" si="12"/>
        <v/>
      </c>
      <c r="J171" s="318" t="str" cm="1">
        <f t="array" ref="J171">IFERROR(INDEX(_xlfn.ANCHORARRAY($P$6),ROW()-5,3),"")</f>
        <v/>
      </c>
      <c r="K171" s="432" t="str" cm="1">
        <f t="array" ref="K171">IF(OR($A171="",$J171&lt;&gt;"DIESEL"),"",_xlfn.LET(_xlpm.qty,N($C171),_xlpm.pos,$T$5:$T$54,_xlpm.alo,IF($U$5:$U$54="",0,$U$5:$U$54),_xlpm.usd,SUMIFS($C$6:$C170,$K$6:$K170,_xlpm.pos&amp;""),_xlpm.bal,_xlpm.alo-_xlpm.usd,IFERROR(INDEX(_xlfn._xlws.FILTER(_xlpm.pos,(_xlpm.pos&lt;&gt;"")*(_xlpm.qty&gt;0)*(_xlpm.bal&gt;=_xlpm.qty)),1),"")))</f>
        <v/>
      </c>
      <c r="L171" s="290"/>
    </row>
    <row r="172" spans="1:12" ht="23" x14ac:dyDescent="0.25">
      <c r="A172" s="221" t="str" cm="1">
        <f t="array" ref="A172">IFERROR(INDEX(_xlfn.ANCHORARRAY($P$6),ROW()-5,1),"")</f>
        <v/>
      </c>
      <c r="B172" s="317" t="str" cm="1">
        <f t="array" ref="B172">IFERROR(INDEX(_xlfn.ANCHORARRAY($P$6),ROW()-5,2),"")</f>
        <v/>
      </c>
      <c r="C172" s="222" t="str">
        <f>IF($A172="","",IF($J172="DIESEL",SUMIFS(Table1[Quantity],Table1[Customer],$M$3,Table1[Date],$A172,Table1[Bill No.],$B172),IF($J172="PETROL",SUMIFS(Table14[Quantity],Table14[Customer],$M$3,Table14[Date],$A172,Table14[Bill No.],$B172),IF($J172="XtraGreen",SUMIFS(Table146[Quantity],Table146[Company],$M$3,Table146[Date],$A172,Table146[Bill No.],$B172),""))))</f>
        <v/>
      </c>
      <c r="D172" s="223" t="str">
        <f>IF($A172="","",IF($J172="DIESEL",AVERAGEIFS(Table1[RSP],Table1[Customer],$M$3,Table1[Date],$A172,Table1[Bill No.],$B172),IF($J172="PETROL",AVERAGEIFS(Table14[RSP],Table14[Customer],$M$3,Table14[Date],$A172,Table14[Bill No.],$B172),IF($J172="XtraGreen",AVERAGEIFS(Table146[RSP],Table146[Company],$M$3,Table146[Date],$A172,Table146[Bill No.],$B172),IFERROR($E172/$C172,"")))))</f>
        <v/>
      </c>
      <c r="E172" s="330" t="str">
        <f>IF($A172="","",IF($J172="DIESEL",SUMIFS(Table1[Amount],Table1[Customer],$M$3,Table1[Date],$A172,Table1[Bill No.],$B172),IF($J172="PETROL",SUMIFS(Table14[Amount],Table14[Customer],$M$3,Table14[Date],$A172,Table14[Bill No.],$B172),IF($J172="XtraGreen",SUMIFS(Table146[Amount],Table146[Company],$M$3,Table146[Date],$A172,Table146[Bill No.],$B172),SUMIFS('Other Sale'!$D:$D,'Other Sale'!$E:$E,$M$3,'Other Sale'!$C:$C,$J172,'Other Sale'!$A:$A,$A172)))))</f>
        <v/>
      </c>
      <c r="F172" s="330" t="str" cm="1">
        <f t="array" ref="F172">IF($A172="","",IF($J172="Payment",IFERROR(INDEX(_xlfn._xlws.FILTER(MasterPaid[Amount Paid],(MasterPaid[Customer]=$M$3)*(MasterPaid[Date]=$A172)),COUNTIFS($A$6:$A172,$A172,$J$6:$J172,"Payment")),0),0))</f>
        <v/>
      </c>
      <c r="G172" s="331"/>
      <c r="H172" s="331"/>
      <c r="I172" s="330" t="str">
        <f t="shared" si="12"/>
        <v/>
      </c>
      <c r="J172" s="318" t="str" cm="1">
        <f t="array" ref="J172">IFERROR(INDEX(_xlfn.ANCHORARRAY($P$6),ROW()-5,3),"")</f>
        <v/>
      </c>
      <c r="K172" s="432" t="str" cm="1">
        <f t="array" ref="K172">IF(OR($A172="",$J172&lt;&gt;"DIESEL"),"",_xlfn.LET(_xlpm.qty,N($C172),_xlpm.pos,$T$5:$T$54,_xlpm.alo,IF($U$5:$U$54="",0,$U$5:$U$54),_xlpm.usd,SUMIFS($C$6:$C171,$K$6:$K171,_xlpm.pos&amp;""),_xlpm.bal,_xlpm.alo-_xlpm.usd,IFERROR(INDEX(_xlfn._xlws.FILTER(_xlpm.pos,(_xlpm.pos&lt;&gt;"")*(_xlpm.qty&gt;0)*(_xlpm.bal&gt;=_xlpm.qty)),1),"")))</f>
        <v/>
      </c>
      <c r="L172" s="290"/>
    </row>
    <row r="173" spans="1:12" ht="23" x14ac:dyDescent="0.25">
      <c r="A173" s="221" t="str" cm="1">
        <f t="array" ref="A173">IFERROR(INDEX(_xlfn.ANCHORARRAY($P$6),ROW()-5,1),"")</f>
        <v/>
      </c>
      <c r="B173" s="317" t="str" cm="1">
        <f t="array" ref="B173">IFERROR(INDEX(_xlfn.ANCHORARRAY($P$6),ROW()-5,2),"")</f>
        <v/>
      </c>
      <c r="C173" s="222" t="str">
        <f>IF($A173="","",IF($J173="DIESEL",SUMIFS(Table1[Quantity],Table1[Customer],$M$3,Table1[Date],$A173,Table1[Bill No.],$B173),IF($J173="PETROL",SUMIFS(Table14[Quantity],Table14[Customer],$M$3,Table14[Date],$A173,Table14[Bill No.],$B173),IF($J173="XtraGreen",SUMIFS(Table146[Quantity],Table146[Company],$M$3,Table146[Date],$A173,Table146[Bill No.],$B173),""))))</f>
        <v/>
      </c>
      <c r="D173" s="223" t="str">
        <f>IF($A173="","",IF($J173="DIESEL",AVERAGEIFS(Table1[RSP],Table1[Customer],$M$3,Table1[Date],$A173,Table1[Bill No.],$B173),IF($J173="PETROL",AVERAGEIFS(Table14[RSP],Table14[Customer],$M$3,Table14[Date],$A173,Table14[Bill No.],$B173),IF($J173="XtraGreen",AVERAGEIFS(Table146[RSP],Table146[Company],$M$3,Table146[Date],$A173,Table146[Bill No.],$B173),IFERROR($E173/$C173,"")))))</f>
        <v/>
      </c>
      <c r="E173" s="330" t="str">
        <f>IF($A173="","",IF($J173="DIESEL",SUMIFS(Table1[Amount],Table1[Customer],$M$3,Table1[Date],$A173,Table1[Bill No.],$B173),IF($J173="PETROL",SUMIFS(Table14[Amount],Table14[Customer],$M$3,Table14[Date],$A173,Table14[Bill No.],$B173),IF($J173="XtraGreen",SUMIFS(Table146[Amount],Table146[Company],$M$3,Table146[Date],$A173,Table146[Bill No.],$B173),SUMIFS('Other Sale'!$D:$D,'Other Sale'!$E:$E,$M$3,'Other Sale'!$C:$C,$J173,'Other Sale'!$A:$A,$A173)))))</f>
        <v/>
      </c>
      <c r="F173" s="330" t="str" cm="1">
        <f t="array" ref="F173">IF($A173="","",IF($J173="Payment",IFERROR(INDEX(_xlfn._xlws.FILTER(MasterPaid[Amount Paid],(MasterPaid[Customer]=$M$3)*(MasterPaid[Date]=$A173)),COUNTIFS($A$6:$A173,$A173,$J$6:$J173,"Payment")),0),0))</f>
        <v/>
      </c>
      <c r="G173" s="331"/>
      <c r="H173" s="331"/>
      <c r="I173" s="330" t="str">
        <f t="shared" si="12"/>
        <v/>
      </c>
      <c r="J173" s="318" t="str" cm="1">
        <f t="array" ref="J173">IFERROR(INDEX(_xlfn.ANCHORARRAY($P$6),ROW()-5,3),"")</f>
        <v/>
      </c>
      <c r="K173" s="432" t="str" cm="1">
        <f t="array" ref="K173">IF(OR($A173="",$J173&lt;&gt;"DIESEL"),"",_xlfn.LET(_xlpm.qty,N($C173),_xlpm.pos,$T$5:$T$54,_xlpm.alo,IF($U$5:$U$54="",0,$U$5:$U$54),_xlpm.usd,SUMIFS($C$6:$C172,$K$6:$K172,_xlpm.pos&amp;""),_xlpm.bal,_xlpm.alo-_xlpm.usd,IFERROR(INDEX(_xlfn._xlws.FILTER(_xlpm.pos,(_xlpm.pos&lt;&gt;"")*(_xlpm.qty&gt;0)*(_xlpm.bal&gt;=_xlpm.qty)),1),"")))</f>
        <v/>
      </c>
      <c r="L173" s="290"/>
    </row>
    <row r="174" spans="1:12" ht="23" x14ac:dyDescent="0.25">
      <c r="A174" s="221" t="str" cm="1">
        <f t="array" ref="A174">IFERROR(INDEX(_xlfn.ANCHORARRAY($P$6),ROW()-5,1),"")</f>
        <v/>
      </c>
      <c r="B174" s="317" t="str" cm="1">
        <f t="array" ref="B174">IFERROR(INDEX(_xlfn.ANCHORARRAY($P$6),ROW()-5,2),"")</f>
        <v/>
      </c>
      <c r="C174" s="222" t="str">
        <f>IF($A174="","",IF($J174="DIESEL",SUMIFS(Table1[Quantity],Table1[Customer],$M$3,Table1[Date],$A174,Table1[Bill No.],$B174),IF($J174="PETROL",SUMIFS(Table14[Quantity],Table14[Customer],$M$3,Table14[Date],$A174,Table14[Bill No.],$B174),IF($J174="XtraGreen",SUMIFS(Table146[Quantity],Table146[Company],$M$3,Table146[Date],$A174,Table146[Bill No.],$B174),""))))</f>
        <v/>
      </c>
      <c r="D174" s="223" t="str">
        <f>IF($A174="","",IF($J174="DIESEL",AVERAGEIFS(Table1[RSP],Table1[Customer],$M$3,Table1[Date],$A174,Table1[Bill No.],$B174),IF($J174="PETROL",AVERAGEIFS(Table14[RSP],Table14[Customer],$M$3,Table14[Date],$A174,Table14[Bill No.],$B174),IF($J174="XtraGreen",AVERAGEIFS(Table146[RSP],Table146[Company],$M$3,Table146[Date],$A174,Table146[Bill No.],$B174),IFERROR($E174/$C174,"")))))</f>
        <v/>
      </c>
      <c r="E174" s="330" t="str">
        <f>IF($A174="","",IF($J174="DIESEL",SUMIFS(Table1[Amount],Table1[Customer],$M$3,Table1[Date],$A174,Table1[Bill No.],$B174),IF($J174="PETROL",SUMIFS(Table14[Amount],Table14[Customer],$M$3,Table14[Date],$A174,Table14[Bill No.],$B174),IF($J174="XtraGreen",SUMIFS(Table146[Amount],Table146[Company],$M$3,Table146[Date],$A174,Table146[Bill No.],$B174),SUMIFS('Other Sale'!$D:$D,'Other Sale'!$E:$E,$M$3,'Other Sale'!$C:$C,$J174,'Other Sale'!$A:$A,$A174)))))</f>
        <v/>
      </c>
      <c r="F174" s="330" t="str" cm="1">
        <f t="array" ref="F174">IF($A174="","",IF($J174="Payment",IFERROR(INDEX(_xlfn._xlws.FILTER(MasterPaid[Amount Paid],(MasterPaid[Customer]=$M$3)*(MasterPaid[Date]=$A174)),COUNTIFS($A$6:$A174,$A174,$J$6:$J174,"Payment")),0),0))</f>
        <v/>
      </c>
      <c r="G174" s="331"/>
      <c r="H174" s="331"/>
      <c r="I174" s="330" t="str">
        <f t="shared" si="12"/>
        <v/>
      </c>
      <c r="J174" s="318" t="str" cm="1">
        <f t="array" ref="J174">IFERROR(INDEX(_xlfn.ANCHORARRAY($P$6),ROW()-5,3),"")</f>
        <v/>
      </c>
      <c r="K174" s="432" t="str" cm="1">
        <f t="array" ref="K174">IF(OR($A174="",$J174&lt;&gt;"DIESEL"),"",_xlfn.LET(_xlpm.qty,N($C174),_xlpm.pos,$T$5:$T$54,_xlpm.alo,IF($U$5:$U$54="",0,$U$5:$U$54),_xlpm.usd,SUMIFS($C$6:$C173,$K$6:$K173,_xlpm.pos&amp;""),_xlpm.bal,_xlpm.alo-_xlpm.usd,IFERROR(INDEX(_xlfn._xlws.FILTER(_xlpm.pos,(_xlpm.pos&lt;&gt;"")*(_xlpm.qty&gt;0)*(_xlpm.bal&gt;=_xlpm.qty)),1),"")))</f>
        <v/>
      </c>
      <c r="L174" s="290"/>
    </row>
    <row r="175" spans="1:12" ht="23" x14ac:dyDescent="0.25">
      <c r="A175" s="221" t="str" cm="1">
        <f t="array" ref="A175">IFERROR(INDEX(_xlfn.ANCHORARRAY($P$6),ROW()-5,1),"")</f>
        <v/>
      </c>
      <c r="B175" s="317" t="str" cm="1">
        <f t="array" ref="B175">IFERROR(INDEX(_xlfn.ANCHORARRAY($P$6),ROW()-5,2),"")</f>
        <v/>
      </c>
      <c r="C175" s="222" t="str">
        <f>IF($A175="","",IF($J175="DIESEL",SUMIFS(Table1[Quantity],Table1[Customer],$M$3,Table1[Date],$A175,Table1[Bill No.],$B175),IF($J175="PETROL",SUMIFS(Table14[Quantity],Table14[Customer],$M$3,Table14[Date],$A175,Table14[Bill No.],$B175),IF($J175="XtraGreen",SUMIFS(Table146[Quantity],Table146[Company],$M$3,Table146[Date],$A175,Table146[Bill No.],$B175),""))))</f>
        <v/>
      </c>
      <c r="D175" s="223" t="str">
        <f>IF($A175="","",IF($J175="DIESEL",AVERAGEIFS(Table1[RSP],Table1[Customer],$M$3,Table1[Date],$A175,Table1[Bill No.],$B175),IF($J175="PETROL",AVERAGEIFS(Table14[RSP],Table14[Customer],$M$3,Table14[Date],$A175,Table14[Bill No.],$B175),IF($J175="XtraGreen",AVERAGEIFS(Table146[RSP],Table146[Company],$M$3,Table146[Date],$A175,Table146[Bill No.],$B175),IFERROR($E175/$C175,"")))))</f>
        <v/>
      </c>
      <c r="E175" s="330" t="str">
        <f>IF($A175="","",IF($J175="DIESEL",SUMIFS(Table1[Amount],Table1[Customer],$M$3,Table1[Date],$A175,Table1[Bill No.],$B175),IF($J175="PETROL",SUMIFS(Table14[Amount],Table14[Customer],$M$3,Table14[Date],$A175,Table14[Bill No.],$B175),IF($J175="XtraGreen",SUMIFS(Table146[Amount],Table146[Company],$M$3,Table146[Date],$A175,Table146[Bill No.],$B175),SUMIFS('Other Sale'!$D:$D,'Other Sale'!$E:$E,$M$3,'Other Sale'!$C:$C,$J175,'Other Sale'!$A:$A,$A175)))))</f>
        <v/>
      </c>
      <c r="F175" s="330" t="str" cm="1">
        <f t="array" ref="F175">IF($A175="","",IF($J175="Payment",IFERROR(INDEX(_xlfn._xlws.FILTER(MasterPaid[Amount Paid],(MasterPaid[Customer]=$M$3)*(MasterPaid[Date]=$A175)),COUNTIFS($A$6:$A175,$A175,$J$6:$J175,"Payment")),0),0))</f>
        <v/>
      </c>
      <c r="G175" s="331"/>
      <c r="H175" s="331"/>
      <c r="I175" s="330" t="str">
        <f t="shared" si="12"/>
        <v/>
      </c>
      <c r="J175" s="318" t="str" cm="1">
        <f t="array" ref="J175">IFERROR(INDEX(_xlfn.ANCHORARRAY($P$6),ROW()-5,3),"")</f>
        <v/>
      </c>
      <c r="K175" s="432" t="str" cm="1">
        <f t="array" ref="K175">IF(OR($A175="",$J175&lt;&gt;"DIESEL"),"",_xlfn.LET(_xlpm.qty,N($C175),_xlpm.pos,$T$5:$T$54,_xlpm.alo,IF($U$5:$U$54="",0,$U$5:$U$54),_xlpm.usd,SUMIFS($C$6:$C174,$K$6:$K174,_xlpm.pos&amp;""),_xlpm.bal,_xlpm.alo-_xlpm.usd,IFERROR(INDEX(_xlfn._xlws.FILTER(_xlpm.pos,(_xlpm.pos&lt;&gt;"")*(_xlpm.qty&gt;0)*(_xlpm.bal&gt;=_xlpm.qty)),1),"")))</f>
        <v/>
      </c>
      <c r="L175" s="290"/>
    </row>
    <row r="176" spans="1:12" ht="23" x14ac:dyDescent="0.25">
      <c r="A176" s="221" t="str" cm="1">
        <f t="array" ref="A176">IFERROR(INDEX(_xlfn.ANCHORARRAY($P$6),ROW()-5,1),"")</f>
        <v/>
      </c>
      <c r="B176" s="317" t="str" cm="1">
        <f t="array" ref="B176">IFERROR(INDEX(_xlfn.ANCHORARRAY($P$6),ROW()-5,2),"")</f>
        <v/>
      </c>
      <c r="C176" s="222" t="str">
        <f>IF($A176="","",IF($J176="DIESEL",SUMIFS(Table1[Quantity],Table1[Customer],$M$3,Table1[Date],$A176,Table1[Bill No.],$B176),IF($J176="PETROL",SUMIFS(Table14[Quantity],Table14[Customer],$M$3,Table14[Date],$A176,Table14[Bill No.],$B176),IF($J176="XtraGreen",SUMIFS(Table146[Quantity],Table146[Company],$M$3,Table146[Date],$A176,Table146[Bill No.],$B176),""))))</f>
        <v/>
      </c>
      <c r="D176" s="223" t="str">
        <f>IF($A176="","",IF($J176="DIESEL",AVERAGEIFS(Table1[RSP],Table1[Customer],$M$3,Table1[Date],$A176,Table1[Bill No.],$B176),IF($J176="PETROL",AVERAGEIFS(Table14[RSP],Table14[Customer],$M$3,Table14[Date],$A176,Table14[Bill No.],$B176),IF($J176="XtraGreen",AVERAGEIFS(Table146[RSP],Table146[Company],$M$3,Table146[Date],$A176,Table146[Bill No.],$B176),IFERROR($E176/$C176,"")))))</f>
        <v/>
      </c>
      <c r="E176" s="330" t="str">
        <f>IF($A176="","",IF($J176="DIESEL",SUMIFS(Table1[Amount],Table1[Customer],$M$3,Table1[Date],$A176,Table1[Bill No.],$B176),IF($J176="PETROL",SUMIFS(Table14[Amount],Table14[Customer],$M$3,Table14[Date],$A176,Table14[Bill No.],$B176),IF($J176="XtraGreen",SUMIFS(Table146[Amount],Table146[Company],$M$3,Table146[Date],$A176,Table146[Bill No.],$B176),SUMIFS('Other Sale'!$D:$D,'Other Sale'!$E:$E,$M$3,'Other Sale'!$C:$C,$J176,'Other Sale'!$A:$A,$A176)))))</f>
        <v/>
      </c>
      <c r="F176" s="330" t="str" cm="1">
        <f t="array" ref="F176">IF($A176="","",IF($J176="Payment",IFERROR(INDEX(_xlfn._xlws.FILTER(MasterPaid[Amount Paid],(MasterPaid[Customer]=$M$3)*(MasterPaid[Date]=$A176)),COUNTIFS($A$6:$A176,$A176,$J$6:$J176,"Payment")),0),0))</f>
        <v/>
      </c>
      <c r="G176" s="331"/>
      <c r="H176" s="331"/>
      <c r="I176" s="330" t="str">
        <f t="shared" si="12"/>
        <v/>
      </c>
      <c r="J176" s="318" t="str" cm="1">
        <f t="array" ref="J176">IFERROR(INDEX(_xlfn.ANCHORARRAY($P$6),ROW()-5,3),"")</f>
        <v/>
      </c>
      <c r="K176" s="432" t="str" cm="1">
        <f t="array" ref="K176">IF(OR($A176="",$J176&lt;&gt;"DIESEL"),"",_xlfn.LET(_xlpm.qty,N($C176),_xlpm.pos,$T$5:$T$54,_xlpm.alo,IF($U$5:$U$54="",0,$U$5:$U$54),_xlpm.usd,SUMIFS($C$6:$C175,$K$6:$K175,_xlpm.pos&amp;""),_xlpm.bal,_xlpm.alo-_xlpm.usd,IFERROR(INDEX(_xlfn._xlws.FILTER(_xlpm.pos,(_xlpm.pos&lt;&gt;"")*(_xlpm.qty&gt;0)*(_xlpm.bal&gt;=_xlpm.qty)),1),"")))</f>
        <v/>
      </c>
      <c r="L176" s="290"/>
    </row>
    <row r="177" spans="1:12" ht="23" x14ac:dyDescent="0.25">
      <c r="A177" s="221" t="str" cm="1">
        <f t="array" ref="A177">IFERROR(INDEX(_xlfn.ANCHORARRAY($P$6),ROW()-5,1),"")</f>
        <v/>
      </c>
      <c r="B177" s="317" t="str" cm="1">
        <f t="array" ref="B177">IFERROR(INDEX(_xlfn.ANCHORARRAY($P$6),ROW()-5,2),"")</f>
        <v/>
      </c>
      <c r="C177" s="222" t="str">
        <f>IF($A177="","",IF($J177="DIESEL",SUMIFS(Table1[Quantity],Table1[Customer],$M$3,Table1[Date],$A177,Table1[Bill No.],$B177),IF($J177="PETROL",SUMIFS(Table14[Quantity],Table14[Customer],$M$3,Table14[Date],$A177,Table14[Bill No.],$B177),IF($J177="XtraGreen",SUMIFS(Table146[Quantity],Table146[Company],$M$3,Table146[Date],$A177,Table146[Bill No.],$B177),""))))</f>
        <v/>
      </c>
      <c r="D177" s="223" t="str">
        <f>IF($A177="","",IF($J177="DIESEL",AVERAGEIFS(Table1[RSP],Table1[Customer],$M$3,Table1[Date],$A177,Table1[Bill No.],$B177),IF($J177="PETROL",AVERAGEIFS(Table14[RSP],Table14[Customer],$M$3,Table14[Date],$A177,Table14[Bill No.],$B177),IF($J177="XtraGreen",AVERAGEIFS(Table146[RSP],Table146[Company],$M$3,Table146[Date],$A177,Table146[Bill No.],$B177),IFERROR($E177/$C177,"")))))</f>
        <v/>
      </c>
      <c r="E177" s="330" t="str">
        <f>IF($A177="","",IF($J177="DIESEL",SUMIFS(Table1[Amount],Table1[Customer],$M$3,Table1[Date],$A177,Table1[Bill No.],$B177),IF($J177="PETROL",SUMIFS(Table14[Amount],Table14[Customer],$M$3,Table14[Date],$A177,Table14[Bill No.],$B177),IF($J177="XtraGreen",SUMIFS(Table146[Amount],Table146[Company],$M$3,Table146[Date],$A177,Table146[Bill No.],$B177),SUMIFS('Other Sale'!$D:$D,'Other Sale'!$E:$E,$M$3,'Other Sale'!$C:$C,$J177,'Other Sale'!$A:$A,$A177)))))</f>
        <v/>
      </c>
      <c r="F177" s="330" t="str" cm="1">
        <f t="array" ref="F177">IF($A177="","",IF($J177="Payment",IFERROR(INDEX(_xlfn._xlws.FILTER(MasterPaid[Amount Paid],(MasterPaid[Customer]=$M$3)*(MasterPaid[Date]=$A177)),COUNTIFS($A$6:$A177,$A177,$J$6:$J177,"Payment")),0),0))</f>
        <v/>
      </c>
      <c r="G177" s="331"/>
      <c r="H177" s="331"/>
      <c r="I177" s="330" t="str">
        <f t="shared" si="12"/>
        <v/>
      </c>
      <c r="J177" s="318" t="str" cm="1">
        <f t="array" ref="J177">IFERROR(INDEX(_xlfn.ANCHORARRAY($P$6),ROW()-5,3),"")</f>
        <v/>
      </c>
      <c r="K177" s="432" t="str" cm="1">
        <f t="array" ref="K177">IF(OR($A177="",$J177&lt;&gt;"DIESEL"),"",_xlfn.LET(_xlpm.qty,N($C177),_xlpm.pos,$T$5:$T$54,_xlpm.alo,IF($U$5:$U$54="",0,$U$5:$U$54),_xlpm.usd,SUMIFS($C$6:$C176,$K$6:$K176,_xlpm.pos&amp;""),_xlpm.bal,_xlpm.alo-_xlpm.usd,IFERROR(INDEX(_xlfn._xlws.FILTER(_xlpm.pos,(_xlpm.pos&lt;&gt;"")*(_xlpm.qty&gt;0)*(_xlpm.bal&gt;=_xlpm.qty)),1),"")))</f>
        <v/>
      </c>
      <c r="L177" s="290"/>
    </row>
    <row r="178" spans="1:12" ht="23" x14ac:dyDescent="0.25">
      <c r="A178" s="221" t="str" cm="1">
        <f t="array" ref="A178">IFERROR(INDEX(_xlfn.ANCHORARRAY($P$6),ROW()-5,1),"")</f>
        <v/>
      </c>
      <c r="B178" s="317" t="str" cm="1">
        <f t="array" ref="B178">IFERROR(INDEX(_xlfn.ANCHORARRAY($P$6),ROW()-5,2),"")</f>
        <v/>
      </c>
      <c r="C178" s="222" t="str">
        <f>IF($A178="","",IF($J178="DIESEL",SUMIFS(Table1[Quantity],Table1[Customer],$M$3,Table1[Date],$A178,Table1[Bill No.],$B178),IF($J178="PETROL",SUMIFS(Table14[Quantity],Table14[Customer],$M$3,Table14[Date],$A178,Table14[Bill No.],$B178),IF($J178="XtraGreen",SUMIFS(Table146[Quantity],Table146[Company],$M$3,Table146[Date],$A178,Table146[Bill No.],$B178),""))))</f>
        <v/>
      </c>
      <c r="D178" s="223" t="str">
        <f>IF($A178="","",IF($J178="DIESEL",AVERAGEIFS(Table1[RSP],Table1[Customer],$M$3,Table1[Date],$A178,Table1[Bill No.],$B178),IF($J178="PETROL",AVERAGEIFS(Table14[RSP],Table14[Customer],$M$3,Table14[Date],$A178,Table14[Bill No.],$B178),IF($J178="XtraGreen",AVERAGEIFS(Table146[RSP],Table146[Company],$M$3,Table146[Date],$A178,Table146[Bill No.],$B178),IFERROR($E178/$C178,"")))))</f>
        <v/>
      </c>
      <c r="E178" s="330" t="str">
        <f>IF($A178="","",IF($J178="DIESEL",SUMIFS(Table1[Amount],Table1[Customer],$M$3,Table1[Date],$A178,Table1[Bill No.],$B178),IF($J178="PETROL",SUMIFS(Table14[Amount],Table14[Customer],$M$3,Table14[Date],$A178,Table14[Bill No.],$B178),IF($J178="XtraGreen",SUMIFS(Table146[Amount],Table146[Company],$M$3,Table146[Date],$A178,Table146[Bill No.],$B178),SUMIFS('Other Sale'!$D:$D,'Other Sale'!$E:$E,$M$3,'Other Sale'!$C:$C,$J178,'Other Sale'!$A:$A,$A178)))))</f>
        <v/>
      </c>
      <c r="F178" s="330" t="str" cm="1">
        <f t="array" ref="F178">IF($A178="","",IF($J178="Payment",IFERROR(INDEX(_xlfn._xlws.FILTER(MasterPaid[Amount Paid],(MasterPaid[Customer]=$M$3)*(MasterPaid[Date]=$A178)),COUNTIFS($A$6:$A178,$A178,$J$6:$J178,"Payment")),0),0))</f>
        <v/>
      </c>
      <c r="G178" s="331"/>
      <c r="H178" s="331"/>
      <c r="I178" s="330" t="str">
        <f t="shared" si="12"/>
        <v/>
      </c>
      <c r="J178" s="318" t="str" cm="1">
        <f t="array" ref="J178">IFERROR(INDEX(_xlfn.ANCHORARRAY($P$6),ROW()-5,3),"")</f>
        <v/>
      </c>
      <c r="K178" s="432" t="str" cm="1">
        <f t="array" ref="K178">IF(OR($A178="",$J178&lt;&gt;"DIESEL"),"",_xlfn.LET(_xlpm.qty,N($C178),_xlpm.pos,$T$5:$T$54,_xlpm.alo,IF($U$5:$U$54="",0,$U$5:$U$54),_xlpm.usd,SUMIFS($C$6:$C177,$K$6:$K177,_xlpm.pos&amp;""),_xlpm.bal,_xlpm.alo-_xlpm.usd,IFERROR(INDEX(_xlfn._xlws.FILTER(_xlpm.pos,(_xlpm.pos&lt;&gt;"")*(_xlpm.qty&gt;0)*(_xlpm.bal&gt;=_xlpm.qty)),1),"")))</f>
        <v/>
      </c>
      <c r="L178" s="290"/>
    </row>
    <row r="179" spans="1:12" ht="23" x14ac:dyDescent="0.25">
      <c r="A179" s="221" t="str" cm="1">
        <f t="array" ref="A179">IFERROR(INDEX(_xlfn.ANCHORARRAY($P$6),ROW()-5,1),"")</f>
        <v/>
      </c>
      <c r="B179" s="317" t="str" cm="1">
        <f t="array" ref="B179">IFERROR(INDEX(_xlfn.ANCHORARRAY($P$6),ROW()-5,2),"")</f>
        <v/>
      </c>
      <c r="C179" s="222" t="str">
        <f>IF($A179="","",IF($J179="DIESEL",SUMIFS(Table1[Quantity],Table1[Customer],$M$3,Table1[Date],$A179,Table1[Bill No.],$B179),IF($J179="PETROL",SUMIFS(Table14[Quantity],Table14[Customer],$M$3,Table14[Date],$A179,Table14[Bill No.],$B179),IF($J179="XtraGreen",SUMIFS(Table146[Quantity],Table146[Company],$M$3,Table146[Date],$A179,Table146[Bill No.],$B179),""))))</f>
        <v/>
      </c>
      <c r="D179" s="223" t="str">
        <f>IF($A179="","",IF($J179="DIESEL",AVERAGEIFS(Table1[RSP],Table1[Customer],$M$3,Table1[Date],$A179,Table1[Bill No.],$B179),IF($J179="PETROL",AVERAGEIFS(Table14[RSP],Table14[Customer],$M$3,Table14[Date],$A179,Table14[Bill No.],$B179),IF($J179="XtraGreen",AVERAGEIFS(Table146[RSP],Table146[Company],$M$3,Table146[Date],$A179,Table146[Bill No.],$B179),IFERROR($E179/$C179,"")))))</f>
        <v/>
      </c>
      <c r="E179" s="330" t="str">
        <f>IF($A179="","",IF($J179="DIESEL",SUMIFS(Table1[Amount],Table1[Customer],$M$3,Table1[Date],$A179,Table1[Bill No.],$B179),IF($J179="PETROL",SUMIFS(Table14[Amount],Table14[Customer],$M$3,Table14[Date],$A179,Table14[Bill No.],$B179),IF($J179="XtraGreen",SUMIFS(Table146[Amount],Table146[Company],$M$3,Table146[Date],$A179,Table146[Bill No.],$B179),SUMIFS('Other Sale'!$D:$D,'Other Sale'!$E:$E,$M$3,'Other Sale'!$C:$C,$J179,'Other Sale'!$A:$A,$A179)))))</f>
        <v/>
      </c>
      <c r="F179" s="330" t="str" cm="1">
        <f t="array" ref="F179">IF($A179="","",IF($J179="Payment",IFERROR(INDEX(_xlfn._xlws.FILTER(MasterPaid[Amount Paid],(MasterPaid[Customer]=$M$3)*(MasterPaid[Date]=$A179)),COUNTIFS($A$6:$A179,$A179,$J$6:$J179,"Payment")),0),0))</f>
        <v/>
      </c>
      <c r="G179" s="331"/>
      <c r="H179" s="331"/>
      <c r="I179" s="330" t="str">
        <f t="shared" si="12"/>
        <v/>
      </c>
      <c r="J179" s="318" t="str" cm="1">
        <f t="array" ref="J179">IFERROR(INDEX(_xlfn.ANCHORARRAY($P$6),ROW()-5,3),"")</f>
        <v/>
      </c>
      <c r="K179" s="432" t="str" cm="1">
        <f t="array" ref="K179">IF(OR($A179="",$J179&lt;&gt;"DIESEL"),"",_xlfn.LET(_xlpm.qty,N($C179),_xlpm.pos,$T$5:$T$54,_xlpm.alo,IF($U$5:$U$54="",0,$U$5:$U$54),_xlpm.usd,SUMIFS($C$6:$C178,$K$6:$K178,_xlpm.pos&amp;""),_xlpm.bal,_xlpm.alo-_xlpm.usd,IFERROR(INDEX(_xlfn._xlws.FILTER(_xlpm.pos,(_xlpm.pos&lt;&gt;"")*(_xlpm.qty&gt;0)*(_xlpm.bal&gt;=_xlpm.qty)),1),"")))</f>
        <v/>
      </c>
      <c r="L179" s="290"/>
    </row>
    <row r="180" spans="1:12" ht="23" x14ac:dyDescent="0.25">
      <c r="A180" s="221" t="str" cm="1">
        <f t="array" ref="A180">IFERROR(INDEX(_xlfn.ANCHORARRAY($P$6),ROW()-5,1),"")</f>
        <v/>
      </c>
      <c r="B180" s="317" t="str" cm="1">
        <f t="array" ref="B180">IFERROR(INDEX(_xlfn.ANCHORARRAY($P$6),ROW()-5,2),"")</f>
        <v/>
      </c>
      <c r="C180" s="222" t="str">
        <f>IF($A180="","",IF($J180="DIESEL",SUMIFS(Table1[Quantity],Table1[Customer],$M$3,Table1[Date],$A180,Table1[Bill No.],$B180),IF($J180="PETROL",SUMIFS(Table14[Quantity],Table14[Customer],$M$3,Table14[Date],$A180,Table14[Bill No.],$B180),IF($J180="XtraGreen",SUMIFS(Table146[Quantity],Table146[Company],$M$3,Table146[Date],$A180,Table146[Bill No.],$B180),""))))</f>
        <v/>
      </c>
      <c r="D180" s="223" t="str">
        <f>IF($A180="","",IF($J180="DIESEL",AVERAGEIFS(Table1[RSP],Table1[Customer],$M$3,Table1[Date],$A180,Table1[Bill No.],$B180),IF($J180="PETROL",AVERAGEIFS(Table14[RSP],Table14[Customer],$M$3,Table14[Date],$A180,Table14[Bill No.],$B180),IF($J180="XtraGreen",AVERAGEIFS(Table146[RSP],Table146[Company],$M$3,Table146[Date],$A180,Table146[Bill No.],$B180),IFERROR($E180/$C180,"")))))</f>
        <v/>
      </c>
      <c r="E180" s="330" t="str">
        <f>IF($A180="","",IF($J180="DIESEL",SUMIFS(Table1[Amount],Table1[Customer],$M$3,Table1[Date],$A180,Table1[Bill No.],$B180),IF($J180="PETROL",SUMIFS(Table14[Amount],Table14[Customer],$M$3,Table14[Date],$A180,Table14[Bill No.],$B180),IF($J180="XtraGreen",SUMIFS(Table146[Amount],Table146[Company],$M$3,Table146[Date],$A180,Table146[Bill No.],$B180),SUMIFS('Other Sale'!$D:$D,'Other Sale'!$E:$E,$M$3,'Other Sale'!$C:$C,$J180,'Other Sale'!$A:$A,$A180)))))</f>
        <v/>
      </c>
      <c r="F180" s="330" t="str" cm="1">
        <f t="array" ref="F180">IF($A180="","",IF($J180="Payment",IFERROR(INDEX(_xlfn._xlws.FILTER(MasterPaid[Amount Paid],(MasterPaid[Customer]=$M$3)*(MasterPaid[Date]=$A180)),COUNTIFS($A$6:$A180,$A180,$J$6:$J180,"Payment")),0),0))</f>
        <v/>
      </c>
      <c r="G180" s="331"/>
      <c r="H180" s="331"/>
      <c r="I180" s="330" t="str">
        <f t="shared" si="12"/>
        <v/>
      </c>
      <c r="J180" s="318" t="str" cm="1">
        <f t="array" ref="J180">IFERROR(INDEX(_xlfn.ANCHORARRAY($P$6),ROW()-5,3),"")</f>
        <v/>
      </c>
      <c r="K180" s="432" t="str" cm="1">
        <f t="array" ref="K180">IF(OR($A180="",$J180&lt;&gt;"DIESEL"),"",_xlfn.LET(_xlpm.qty,N($C180),_xlpm.pos,$T$5:$T$54,_xlpm.alo,IF($U$5:$U$54="",0,$U$5:$U$54),_xlpm.usd,SUMIFS($C$6:$C179,$K$6:$K179,_xlpm.pos&amp;""),_xlpm.bal,_xlpm.alo-_xlpm.usd,IFERROR(INDEX(_xlfn._xlws.FILTER(_xlpm.pos,(_xlpm.pos&lt;&gt;"")*(_xlpm.qty&gt;0)*(_xlpm.bal&gt;=_xlpm.qty)),1),"")))</f>
        <v/>
      </c>
      <c r="L180" s="290"/>
    </row>
    <row r="181" spans="1:12" ht="23" x14ac:dyDescent="0.25">
      <c r="A181" s="221" t="str" cm="1">
        <f t="array" ref="A181">IFERROR(INDEX(_xlfn.ANCHORARRAY($P$6),ROW()-5,1),"")</f>
        <v/>
      </c>
      <c r="B181" s="317" t="str" cm="1">
        <f t="array" ref="B181">IFERROR(INDEX(_xlfn.ANCHORARRAY($P$6),ROW()-5,2),"")</f>
        <v/>
      </c>
      <c r="C181" s="222" t="str">
        <f>IF($A181="","",IF($J181="DIESEL",SUMIFS(Table1[Quantity],Table1[Customer],$M$3,Table1[Date],$A181,Table1[Bill No.],$B181),IF($J181="PETROL",SUMIFS(Table14[Quantity],Table14[Customer],$M$3,Table14[Date],$A181,Table14[Bill No.],$B181),IF($J181="XtraGreen",SUMIFS(Table146[Quantity],Table146[Company],$M$3,Table146[Date],$A181,Table146[Bill No.],$B181),""))))</f>
        <v/>
      </c>
      <c r="D181" s="223" t="str">
        <f>IF($A181="","",IF($J181="DIESEL",AVERAGEIFS(Table1[RSP],Table1[Customer],$M$3,Table1[Date],$A181,Table1[Bill No.],$B181),IF($J181="PETROL",AVERAGEIFS(Table14[RSP],Table14[Customer],$M$3,Table14[Date],$A181,Table14[Bill No.],$B181),IF($J181="XtraGreen",AVERAGEIFS(Table146[RSP],Table146[Company],$M$3,Table146[Date],$A181,Table146[Bill No.],$B181),IFERROR($E181/$C181,"")))))</f>
        <v/>
      </c>
      <c r="E181" s="330" t="str">
        <f>IF($A181="","",IF($J181="DIESEL",SUMIFS(Table1[Amount],Table1[Customer],$M$3,Table1[Date],$A181,Table1[Bill No.],$B181),IF($J181="PETROL",SUMIFS(Table14[Amount],Table14[Customer],$M$3,Table14[Date],$A181,Table14[Bill No.],$B181),IF($J181="XtraGreen",SUMIFS(Table146[Amount],Table146[Company],$M$3,Table146[Date],$A181,Table146[Bill No.],$B181),SUMIFS('Other Sale'!$D:$D,'Other Sale'!$E:$E,$M$3,'Other Sale'!$C:$C,$J181,'Other Sale'!$A:$A,$A181)))))</f>
        <v/>
      </c>
      <c r="F181" s="330" t="str" cm="1">
        <f t="array" ref="F181">IF($A181="","",IF($J181="Payment",IFERROR(INDEX(_xlfn._xlws.FILTER(MasterPaid[Amount Paid],(MasterPaid[Customer]=$M$3)*(MasterPaid[Date]=$A181)),COUNTIFS($A$6:$A181,$A181,$J$6:$J181,"Payment")),0),0))</f>
        <v/>
      </c>
      <c r="G181" s="331"/>
      <c r="H181" s="331"/>
      <c r="I181" s="330" t="str">
        <f t="shared" si="12"/>
        <v/>
      </c>
      <c r="J181" s="318" t="str" cm="1">
        <f t="array" ref="J181">IFERROR(INDEX(_xlfn.ANCHORARRAY($P$6),ROW()-5,3),"")</f>
        <v/>
      </c>
      <c r="K181" s="432" t="str" cm="1">
        <f t="array" ref="K181">IF(OR($A181="",$J181&lt;&gt;"DIESEL"),"",_xlfn.LET(_xlpm.qty,N($C181),_xlpm.pos,$T$5:$T$54,_xlpm.alo,IF($U$5:$U$54="",0,$U$5:$U$54),_xlpm.usd,SUMIFS($C$6:$C180,$K$6:$K180,_xlpm.pos&amp;""),_xlpm.bal,_xlpm.alo-_xlpm.usd,IFERROR(INDEX(_xlfn._xlws.FILTER(_xlpm.pos,(_xlpm.pos&lt;&gt;"")*(_xlpm.qty&gt;0)*(_xlpm.bal&gt;=_xlpm.qty)),1),"")))</f>
        <v/>
      </c>
      <c r="L181" s="290"/>
    </row>
    <row r="182" spans="1:12" ht="23" x14ac:dyDescent="0.25">
      <c r="A182" s="221" t="str" cm="1">
        <f t="array" ref="A182">IFERROR(INDEX(_xlfn.ANCHORARRAY($P$6),ROW()-5,1),"")</f>
        <v/>
      </c>
      <c r="B182" s="317" t="str" cm="1">
        <f t="array" ref="B182">IFERROR(INDEX(_xlfn.ANCHORARRAY($P$6),ROW()-5,2),"")</f>
        <v/>
      </c>
      <c r="C182" s="222" t="str">
        <f>IF($A182="","",IF($J182="DIESEL",SUMIFS(Table1[Quantity],Table1[Customer],$M$3,Table1[Date],$A182,Table1[Bill No.],$B182),IF($J182="PETROL",SUMIFS(Table14[Quantity],Table14[Customer],$M$3,Table14[Date],$A182,Table14[Bill No.],$B182),IF($J182="XtraGreen",SUMIFS(Table146[Quantity],Table146[Company],$M$3,Table146[Date],$A182,Table146[Bill No.],$B182),""))))</f>
        <v/>
      </c>
      <c r="D182" s="223" t="str">
        <f>IF($A182="","",IF($J182="DIESEL",AVERAGEIFS(Table1[RSP],Table1[Customer],$M$3,Table1[Date],$A182,Table1[Bill No.],$B182),IF($J182="PETROL",AVERAGEIFS(Table14[RSP],Table14[Customer],$M$3,Table14[Date],$A182,Table14[Bill No.],$B182),IF($J182="XtraGreen",AVERAGEIFS(Table146[RSP],Table146[Company],$M$3,Table146[Date],$A182,Table146[Bill No.],$B182),IFERROR($E182/$C182,"")))))</f>
        <v/>
      </c>
      <c r="E182" s="330" t="str">
        <f>IF($A182="","",IF($J182="DIESEL",SUMIFS(Table1[Amount],Table1[Customer],$M$3,Table1[Date],$A182,Table1[Bill No.],$B182),IF($J182="PETROL",SUMIFS(Table14[Amount],Table14[Customer],$M$3,Table14[Date],$A182,Table14[Bill No.],$B182),IF($J182="XtraGreen",SUMIFS(Table146[Amount],Table146[Company],$M$3,Table146[Date],$A182,Table146[Bill No.],$B182),SUMIFS('Other Sale'!$D:$D,'Other Sale'!$E:$E,$M$3,'Other Sale'!$C:$C,$J182,'Other Sale'!$A:$A,$A182)))))</f>
        <v/>
      </c>
      <c r="F182" s="330" t="str" cm="1">
        <f t="array" ref="F182">IF($A182="","",IF($J182="Payment",IFERROR(INDEX(_xlfn._xlws.FILTER(MasterPaid[Amount Paid],(MasterPaid[Customer]=$M$3)*(MasterPaid[Date]=$A182)),COUNTIFS($A$6:$A182,$A182,$J$6:$J182,"Payment")),0),0))</f>
        <v/>
      </c>
      <c r="G182" s="331"/>
      <c r="H182" s="331"/>
      <c r="I182" s="330" t="str">
        <f t="shared" si="12"/>
        <v/>
      </c>
      <c r="J182" s="318" t="str" cm="1">
        <f t="array" ref="J182">IFERROR(INDEX(_xlfn.ANCHORARRAY($P$6),ROW()-5,3),"")</f>
        <v/>
      </c>
      <c r="K182" s="432" t="str" cm="1">
        <f t="array" ref="K182">IF(OR($A182="",$J182&lt;&gt;"DIESEL"),"",_xlfn.LET(_xlpm.qty,N($C182),_xlpm.pos,$T$5:$T$54,_xlpm.alo,IF($U$5:$U$54="",0,$U$5:$U$54),_xlpm.usd,SUMIFS($C$6:$C181,$K$6:$K181,_xlpm.pos&amp;""),_xlpm.bal,_xlpm.alo-_xlpm.usd,IFERROR(INDEX(_xlfn._xlws.FILTER(_xlpm.pos,(_xlpm.pos&lt;&gt;"")*(_xlpm.qty&gt;0)*(_xlpm.bal&gt;=_xlpm.qty)),1),"")))</f>
        <v/>
      </c>
      <c r="L182" s="290"/>
    </row>
    <row r="183" spans="1:12" ht="23" x14ac:dyDescent="0.25">
      <c r="A183" s="221" t="str" cm="1">
        <f t="array" ref="A183">IFERROR(INDEX(_xlfn.ANCHORARRAY($P$6),ROW()-5,1),"")</f>
        <v/>
      </c>
      <c r="B183" s="317" t="str" cm="1">
        <f t="array" ref="B183">IFERROR(INDEX(_xlfn.ANCHORARRAY($P$6),ROW()-5,2),"")</f>
        <v/>
      </c>
      <c r="C183" s="222" t="str">
        <f>IF($A183="","",IF($J183="DIESEL",SUMIFS(Table1[Quantity],Table1[Customer],$M$3,Table1[Date],$A183,Table1[Bill No.],$B183),IF($J183="PETROL",SUMIFS(Table14[Quantity],Table14[Customer],$M$3,Table14[Date],$A183,Table14[Bill No.],$B183),IF($J183="XtraGreen",SUMIFS(Table146[Quantity],Table146[Company],$M$3,Table146[Date],$A183,Table146[Bill No.],$B183),""))))</f>
        <v/>
      </c>
      <c r="D183" s="223" t="str">
        <f>IF($A183="","",IF($J183="DIESEL",AVERAGEIFS(Table1[RSP],Table1[Customer],$M$3,Table1[Date],$A183,Table1[Bill No.],$B183),IF($J183="PETROL",AVERAGEIFS(Table14[RSP],Table14[Customer],$M$3,Table14[Date],$A183,Table14[Bill No.],$B183),IF($J183="XtraGreen",AVERAGEIFS(Table146[RSP],Table146[Company],$M$3,Table146[Date],$A183,Table146[Bill No.],$B183),IFERROR($E183/$C183,"")))))</f>
        <v/>
      </c>
      <c r="E183" s="330" t="str">
        <f>IF($A183="","",IF($J183="DIESEL",SUMIFS(Table1[Amount],Table1[Customer],$M$3,Table1[Date],$A183,Table1[Bill No.],$B183),IF($J183="PETROL",SUMIFS(Table14[Amount],Table14[Customer],$M$3,Table14[Date],$A183,Table14[Bill No.],$B183),IF($J183="XtraGreen",SUMIFS(Table146[Amount],Table146[Company],$M$3,Table146[Date],$A183,Table146[Bill No.],$B183),SUMIFS('Other Sale'!$D:$D,'Other Sale'!$E:$E,$M$3,'Other Sale'!$C:$C,$J183,'Other Sale'!$A:$A,$A183)))))</f>
        <v/>
      </c>
      <c r="F183" s="330" t="str" cm="1">
        <f t="array" ref="F183">IF($A183="","",IF($J183="Payment",IFERROR(INDEX(_xlfn._xlws.FILTER(MasterPaid[Amount Paid],(MasterPaid[Customer]=$M$3)*(MasterPaid[Date]=$A183)),COUNTIFS($A$6:$A183,$A183,$J$6:$J183,"Payment")),0),0))</f>
        <v/>
      </c>
      <c r="G183" s="331"/>
      <c r="H183" s="331"/>
      <c r="I183" s="330" t="str">
        <f t="shared" si="12"/>
        <v/>
      </c>
      <c r="J183" s="318" t="str" cm="1">
        <f t="array" ref="J183">IFERROR(INDEX(_xlfn.ANCHORARRAY($P$6),ROW()-5,3),"")</f>
        <v/>
      </c>
      <c r="K183" s="432" t="str" cm="1">
        <f t="array" ref="K183">IF(OR($A183="",$J183&lt;&gt;"DIESEL"),"",_xlfn.LET(_xlpm.qty,N($C183),_xlpm.pos,$T$5:$T$54,_xlpm.alo,IF($U$5:$U$54="",0,$U$5:$U$54),_xlpm.usd,SUMIFS($C$6:$C182,$K$6:$K182,_xlpm.pos&amp;""),_xlpm.bal,_xlpm.alo-_xlpm.usd,IFERROR(INDEX(_xlfn._xlws.FILTER(_xlpm.pos,(_xlpm.pos&lt;&gt;"")*(_xlpm.qty&gt;0)*(_xlpm.bal&gt;=_xlpm.qty)),1),"")))</f>
        <v/>
      </c>
      <c r="L183" s="290"/>
    </row>
    <row r="184" spans="1:12" ht="23" x14ac:dyDescent="0.25">
      <c r="A184" s="221" t="str" cm="1">
        <f t="array" ref="A184">IFERROR(INDEX(_xlfn.ANCHORARRAY($P$6),ROW()-5,1),"")</f>
        <v/>
      </c>
      <c r="B184" s="317" t="str" cm="1">
        <f t="array" ref="B184">IFERROR(INDEX(_xlfn.ANCHORARRAY($P$6),ROW()-5,2),"")</f>
        <v/>
      </c>
      <c r="C184" s="222" t="str">
        <f>IF($A184="","",IF($J184="DIESEL",SUMIFS(Table1[Quantity],Table1[Customer],$M$3,Table1[Date],$A184,Table1[Bill No.],$B184),IF($J184="PETROL",SUMIFS(Table14[Quantity],Table14[Customer],$M$3,Table14[Date],$A184,Table14[Bill No.],$B184),IF($J184="XtraGreen",SUMIFS(Table146[Quantity],Table146[Company],$M$3,Table146[Date],$A184,Table146[Bill No.],$B184),""))))</f>
        <v/>
      </c>
      <c r="D184" s="223" t="str">
        <f>IF($A184="","",IF($J184="DIESEL",AVERAGEIFS(Table1[RSP],Table1[Customer],$M$3,Table1[Date],$A184,Table1[Bill No.],$B184),IF($J184="PETROL",AVERAGEIFS(Table14[RSP],Table14[Customer],$M$3,Table14[Date],$A184,Table14[Bill No.],$B184),IF($J184="XtraGreen",AVERAGEIFS(Table146[RSP],Table146[Company],$M$3,Table146[Date],$A184,Table146[Bill No.],$B184),IFERROR($E184/$C184,"")))))</f>
        <v/>
      </c>
      <c r="E184" s="330" t="str">
        <f>IF($A184="","",IF($J184="DIESEL",SUMIFS(Table1[Amount],Table1[Customer],$M$3,Table1[Date],$A184,Table1[Bill No.],$B184),IF($J184="PETROL",SUMIFS(Table14[Amount],Table14[Customer],$M$3,Table14[Date],$A184,Table14[Bill No.],$B184),IF($J184="XtraGreen",SUMIFS(Table146[Amount],Table146[Company],$M$3,Table146[Date],$A184,Table146[Bill No.],$B184),SUMIFS('Other Sale'!$D:$D,'Other Sale'!$E:$E,$M$3,'Other Sale'!$C:$C,$J184,'Other Sale'!$A:$A,$A184)))))</f>
        <v/>
      </c>
      <c r="F184" s="330" t="str" cm="1">
        <f t="array" ref="F184">IF($A184="","",IF($J184="Payment",IFERROR(INDEX(_xlfn._xlws.FILTER(MasterPaid[Amount Paid],(MasterPaid[Customer]=$M$3)*(MasterPaid[Date]=$A184)),COUNTIFS($A$6:$A184,$A184,$J$6:$J184,"Payment")),0),0))</f>
        <v/>
      </c>
      <c r="G184" s="331"/>
      <c r="H184" s="331"/>
      <c r="I184" s="330" t="str">
        <f t="shared" si="12"/>
        <v/>
      </c>
      <c r="J184" s="318" t="str" cm="1">
        <f t="array" ref="J184">IFERROR(INDEX(_xlfn.ANCHORARRAY($P$6),ROW()-5,3),"")</f>
        <v/>
      </c>
      <c r="K184" s="432" t="str" cm="1">
        <f t="array" ref="K184">IF(OR($A184="",$J184&lt;&gt;"DIESEL"),"",_xlfn.LET(_xlpm.qty,N($C184),_xlpm.pos,$T$5:$T$54,_xlpm.alo,IF($U$5:$U$54="",0,$U$5:$U$54),_xlpm.usd,SUMIFS($C$6:$C183,$K$6:$K183,_xlpm.pos&amp;""),_xlpm.bal,_xlpm.alo-_xlpm.usd,IFERROR(INDEX(_xlfn._xlws.FILTER(_xlpm.pos,(_xlpm.pos&lt;&gt;"")*(_xlpm.qty&gt;0)*(_xlpm.bal&gt;=_xlpm.qty)),1),"")))</f>
        <v/>
      </c>
      <c r="L184" s="290"/>
    </row>
    <row r="185" spans="1:12" ht="23" x14ac:dyDescent="0.25">
      <c r="A185" s="221" t="str" cm="1">
        <f t="array" ref="A185">IFERROR(INDEX(_xlfn.ANCHORARRAY($P$6),ROW()-5,1),"")</f>
        <v/>
      </c>
      <c r="B185" s="317" t="str" cm="1">
        <f t="array" ref="B185">IFERROR(INDEX(_xlfn.ANCHORARRAY($P$6),ROW()-5,2),"")</f>
        <v/>
      </c>
      <c r="C185" s="222" t="str">
        <f>IF($A185="","",IF($J185="DIESEL",SUMIFS(Table1[Quantity],Table1[Customer],$M$3,Table1[Date],$A185,Table1[Bill No.],$B185),IF($J185="PETROL",SUMIFS(Table14[Quantity],Table14[Customer],$M$3,Table14[Date],$A185,Table14[Bill No.],$B185),IF($J185="XtraGreen",SUMIFS(Table146[Quantity],Table146[Company],$M$3,Table146[Date],$A185,Table146[Bill No.],$B185),""))))</f>
        <v/>
      </c>
      <c r="D185" s="223" t="str">
        <f>IF($A185="","",IF($J185="DIESEL",AVERAGEIFS(Table1[RSP],Table1[Customer],$M$3,Table1[Date],$A185,Table1[Bill No.],$B185),IF($J185="PETROL",AVERAGEIFS(Table14[RSP],Table14[Customer],$M$3,Table14[Date],$A185,Table14[Bill No.],$B185),IF($J185="XtraGreen",AVERAGEIFS(Table146[RSP],Table146[Company],$M$3,Table146[Date],$A185,Table146[Bill No.],$B185),IFERROR($E185/$C185,"")))))</f>
        <v/>
      </c>
      <c r="E185" s="330" t="str">
        <f>IF($A185="","",IF($J185="DIESEL",SUMIFS(Table1[Amount],Table1[Customer],$M$3,Table1[Date],$A185,Table1[Bill No.],$B185),IF($J185="PETROL",SUMIFS(Table14[Amount],Table14[Customer],$M$3,Table14[Date],$A185,Table14[Bill No.],$B185),IF($J185="XtraGreen",SUMIFS(Table146[Amount],Table146[Company],$M$3,Table146[Date],$A185,Table146[Bill No.],$B185),SUMIFS('Other Sale'!$D:$D,'Other Sale'!$E:$E,$M$3,'Other Sale'!$C:$C,$J185,'Other Sale'!$A:$A,$A185)))))</f>
        <v/>
      </c>
      <c r="F185" s="330" t="str" cm="1">
        <f t="array" ref="F185">IF($A185="","",IF($J185="Payment",IFERROR(INDEX(_xlfn._xlws.FILTER(MasterPaid[Amount Paid],(MasterPaid[Customer]=$M$3)*(MasterPaid[Date]=$A185)),COUNTIFS($A$6:$A185,$A185,$J$6:$J185,"Payment")),0),0))</f>
        <v/>
      </c>
      <c r="G185" s="331"/>
      <c r="H185" s="331"/>
      <c r="I185" s="330" t="str">
        <f t="shared" si="12"/>
        <v/>
      </c>
      <c r="J185" s="318" t="str" cm="1">
        <f t="array" ref="J185">IFERROR(INDEX(_xlfn.ANCHORARRAY($P$6),ROW()-5,3),"")</f>
        <v/>
      </c>
      <c r="K185" s="432" t="str" cm="1">
        <f t="array" ref="K185">IF(OR($A185="",$J185&lt;&gt;"DIESEL"),"",_xlfn.LET(_xlpm.qty,N($C185),_xlpm.pos,$T$5:$T$54,_xlpm.alo,IF($U$5:$U$54="",0,$U$5:$U$54),_xlpm.usd,SUMIFS($C$6:$C184,$K$6:$K184,_xlpm.pos&amp;""),_xlpm.bal,_xlpm.alo-_xlpm.usd,IFERROR(INDEX(_xlfn._xlws.FILTER(_xlpm.pos,(_xlpm.pos&lt;&gt;"")*(_xlpm.qty&gt;0)*(_xlpm.bal&gt;=_xlpm.qty)),1),"")))</f>
        <v/>
      </c>
      <c r="L185" s="290"/>
    </row>
    <row r="186" spans="1:12" ht="23" x14ac:dyDescent="0.25">
      <c r="A186" s="221" t="str" cm="1">
        <f t="array" ref="A186">IFERROR(INDEX(_xlfn.ANCHORARRAY($P$6),ROW()-5,1),"")</f>
        <v/>
      </c>
      <c r="B186" s="317" t="str" cm="1">
        <f t="array" ref="B186">IFERROR(INDEX(_xlfn.ANCHORARRAY($P$6),ROW()-5,2),"")</f>
        <v/>
      </c>
      <c r="C186" s="222" t="str">
        <f>IF($A186="","",IF($J186="DIESEL",SUMIFS(Table1[Quantity],Table1[Customer],$M$3,Table1[Date],$A186,Table1[Bill No.],$B186),IF($J186="PETROL",SUMIFS(Table14[Quantity],Table14[Customer],$M$3,Table14[Date],$A186,Table14[Bill No.],$B186),IF($J186="XtraGreen",SUMIFS(Table146[Quantity],Table146[Company],$M$3,Table146[Date],$A186,Table146[Bill No.],$B186),""))))</f>
        <v/>
      </c>
      <c r="D186" s="223" t="str">
        <f>IF($A186="","",IF($J186="DIESEL",AVERAGEIFS(Table1[RSP],Table1[Customer],$M$3,Table1[Date],$A186,Table1[Bill No.],$B186),IF($J186="PETROL",AVERAGEIFS(Table14[RSP],Table14[Customer],$M$3,Table14[Date],$A186,Table14[Bill No.],$B186),IF($J186="XtraGreen",AVERAGEIFS(Table146[RSP],Table146[Company],$M$3,Table146[Date],$A186,Table146[Bill No.],$B186),IFERROR($E186/$C186,"")))))</f>
        <v/>
      </c>
      <c r="E186" s="330" t="str">
        <f>IF($A186="","",IF($J186="DIESEL",SUMIFS(Table1[Amount],Table1[Customer],$M$3,Table1[Date],$A186,Table1[Bill No.],$B186),IF($J186="PETROL",SUMIFS(Table14[Amount],Table14[Customer],$M$3,Table14[Date],$A186,Table14[Bill No.],$B186),IF($J186="XtraGreen",SUMIFS(Table146[Amount],Table146[Company],$M$3,Table146[Date],$A186,Table146[Bill No.],$B186),SUMIFS('Other Sale'!$D:$D,'Other Sale'!$E:$E,$M$3,'Other Sale'!$C:$C,$J186,'Other Sale'!$A:$A,$A186)))))</f>
        <v/>
      </c>
      <c r="F186" s="330" t="str" cm="1">
        <f t="array" ref="F186">IF($A186="","",IF($J186="Payment",IFERROR(INDEX(_xlfn._xlws.FILTER(MasterPaid[Amount Paid],(MasterPaid[Customer]=$M$3)*(MasterPaid[Date]=$A186)),COUNTIFS($A$6:$A186,$A186,$J$6:$J186,"Payment")),0),0))</f>
        <v/>
      </c>
      <c r="G186" s="331"/>
      <c r="H186" s="331"/>
      <c r="I186" s="330" t="str">
        <f t="shared" si="12"/>
        <v/>
      </c>
      <c r="J186" s="318" t="str" cm="1">
        <f t="array" ref="J186">IFERROR(INDEX(_xlfn.ANCHORARRAY($P$6),ROW()-5,3),"")</f>
        <v/>
      </c>
      <c r="K186" s="432" t="str" cm="1">
        <f t="array" ref="K186">IF(OR($A186="",$J186&lt;&gt;"DIESEL"),"",_xlfn.LET(_xlpm.qty,N($C186),_xlpm.pos,$T$5:$T$54,_xlpm.alo,IF($U$5:$U$54="",0,$U$5:$U$54),_xlpm.usd,SUMIFS($C$6:$C185,$K$6:$K185,_xlpm.pos&amp;""),_xlpm.bal,_xlpm.alo-_xlpm.usd,IFERROR(INDEX(_xlfn._xlws.FILTER(_xlpm.pos,(_xlpm.pos&lt;&gt;"")*(_xlpm.qty&gt;0)*(_xlpm.bal&gt;=_xlpm.qty)),1),"")))</f>
        <v/>
      </c>
      <c r="L186" s="290"/>
    </row>
    <row r="187" spans="1:12" ht="23" x14ac:dyDescent="0.25">
      <c r="A187" s="221" t="str" cm="1">
        <f t="array" ref="A187">IFERROR(INDEX(_xlfn.ANCHORARRAY($P$6),ROW()-5,1),"")</f>
        <v/>
      </c>
      <c r="B187" s="317" t="str" cm="1">
        <f t="array" ref="B187">IFERROR(INDEX(_xlfn.ANCHORARRAY($P$6),ROW()-5,2),"")</f>
        <v/>
      </c>
      <c r="C187" s="222" t="str">
        <f>IF($A187="","",IF($J187="DIESEL",SUMIFS(Table1[Quantity],Table1[Customer],$M$3,Table1[Date],$A187,Table1[Bill No.],$B187),IF($J187="PETROL",SUMIFS(Table14[Quantity],Table14[Customer],$M$3,Table14[Date],$A187,Table14[Bill No.],$B187),IF($J187="XtraGreen",SUMIFS(Table146[Quantity],Table146[Company],$M$3,Table146[Date],$A187,Table146[Bill No.],$B187),""))))</f>
        <v/>
      </c>
      <c r="D187" s="223" t="str">
        <f>IF($A187="","",IF($J187="DIESEL",AVERAGEIFS(Table1[RSP],Table1[Customer],$M$3,Table1[Date],$A187,Table1[Bill No.],$B187),IF($J187="PETROL",AVERAGEIFS(Table14[RSP],Table14[Customer],$M$3,Table14[Date],$A187,Table14[Bill No.],$B187),IF($J187="XtraGreen",AVERAGEIFS(Table146[RSP],Table146[Company],$M$3,Table146[Date],$A187,Table146[Bill No.],$B187),IFERROR($E187/$C187,"")))))</f>
        <v/>
      </c>
      <c r="E187" s="330" t="str">
        <f>IF($A187="","",IF($J187="DIESEL",SUMIFS(Table1[Amount],Table1[Customer],$M$3,Table1[Date],$A187,Table1[Bill No.],$B187),IF($J187="PETROL",SUMIFS(Table14[Amount],Table14[Customer],$M$3,Table14[Date],$A187,Table14[Bill No.],$B187),IF($J187="XtraGreen",SUMIFS(Table146[Amount],Table146[Company],$M$3,Table146[Date],$A187,Table146[Bill No.],$B187),SUMIFS('Other Sale'!$D:$D,'Other Sale'!$E:$E,$M$3,'Other Sale'!$C:$C,$J187,'Other Sale'!$A:$A,$A187)))))</f>
        <v/>
      </c>
      <c r="F187" s="330" t="str" cm="1">
        <f t="array" ref="F187">IF($A187="","",IF($J187="Payment",IFERROR(INDEX(_xlfn._xlws.FILTER(MasterPaid[Amount Paid],(MasterPaid[Customer]=$M$3)*(MasterPaid[Date]=$A187)),COUNTIFS($A$6:$A187,$A187,$J$6:$J187,"Payment")),0),0))</f>
        <v/>
      </c>
      <c r="G187" s="331"/>
      <c r="H187" s="331"/>
      <c r="I187" s="330" t="str">
        <f t="shared" si="12"/>
        <v/>
      </c>
      <c r="J187" s="318" t="str" cm="1">
        <f t="array" ref="J187">IFERROR(INDEX(_xlfn.ANCHORARRAY($P$6),ROW()-5,3),"")</f>
        <v/>
      </c>
      <c r="K187" s="432" t="str" cm="1">
        <f t="array" ref="K187">IF(OR($A187="",$J187&lt;&gt;"DIESEL"),"",_xlfn.LET(_xlpm.qty,N($C187),_xlpm.pos,$T$5:$T$54,_xlpm.alo,IF($U$5:$U$54="",0,$U$5:$U$54),_xlpm.usd,SUMIFS($C$6:$C186,$K$6:$K186,_xlpm.pos&amp;""),_xlpm.bal,_xlpm.alo-_xlpm.usd,IFERROR(INDEX(_xlfn._xlws.FILTER(_xlpm.pos,(_xlpm.pos&lt;&gt;"")*(_xlpm.qty&gt;0)*(_xlpm.bal&gt;=_xlpm.qty)),1),"")))</f>
        <v/>
      </c>
      <c r="L187" s="290"/>
    </row>
    <row r="188" spans="1:12" ht="23" x14ac:dyDescent="0.25">
      <c r="A188" s="221" t="str" cm="1">
        <f t="array" ref="A188">IFERROR(INDEX(_xlfn.ANCHORARRAY($P$6),ROW()-5,1),"")</f>
        <v/>
      </c>
      <c r="B188" s="317" t="str" cm="1">
        <f t="array" ref="B188">IFERROR(INDEX(_xlfn.ANCHORARRAY($P$6),ROW()-5,2),"")</f>
        <v/>
      </c>
      <c r="C188" s="222" t="str">
        <f>IF($A188="","",IF($J188="DIESEL",SUMIFS(Table1[Quantity],Table1[Customer],$M$3,Table1[Date],$A188,Table1[Bill No.],$B188),IF($J188="PETROL",SUMIFS(Table14[Quantity],Table14[Customer],$M$3,Table14[Date],$A188,Table14[Bill No.],$B188),IF($J188="XtraGreen",SUMIFS(Table146[Quantity],Table146[Company],$M$3,Table146[Date],$A188,Table146[Bill No.],$B188),""))))</f>
        <v/>
      </c>
      <c r="D188" s="223" t="str">
        <f>IF($A188="","",IF($J188="DIESEL",AVERAGEIFS(Table1[RSP],Table1[Customer],$M$3,Table1[Date],$A188,Table1[Bill No.],$B188),IF($J188="PETROL",AVERAGEIFS(Table14[RSP],Table14[Customer],$M$3,Table14[Date],$A188,Table14[Bill No.],$B188),IF($J188="XtraGreen",AVERAGEIFS(Table146[RSP],Table146[Company],$M$3,Table146[Date],$A188,Table146[Bill No.],$B188),IFERROR($E188/$C188,"")))))</f>
        <v/>
      </c>
      <c r="E188" s="330" t="str">
        <f>IF($A188="","",IF($J188="DIESEL",SUMIFS(Table1[Amount],Table1[Customer],$M$3,Table1[Date],$A188,Table1[Bill No.],$B188),IF($J188="PETROL",SUMIFS(Table14[Amount],Table14[Customer],$M$3,Table14[Date],$A188,Table14[Bill No.],$B188),IF($J188="XtraGreen",SUMIFS(Table146[Amount],Table146[Company],$M$3,Table146[Date],$A188,Table146[Bill No.],$B188),SUMIFS('Other Sale'!$D:$D,'Other Sale'!$E:$E,$M$3,'Other Sale'!$C:$C,$J188,'Other Sale'!$A:$A,$A188)))))</f>
        <v/>
      </c>
      <c r="F188" s="330" t="str" cm="1">
        <f t="array" ref="F188">IF($A188="","",IF($J188="Payment",IFERROR(INDEX(_xlfn._xlws.FILTER(MasterPaid[Amount Paid],(MasterPaid[Customer]=$M$3)*(MasterPaid[Date]=$A188)),COUNTIFS($A$6:$A188,$A188,$J$6:$J188,"Payment")),0),0))</f>
        <v/>
      </c>
      <c r="G188" s="331"/>
      <c r="H188" s="331"/>
      <c r="I188" s="330" t="str">
        <f t="shared" si="12"/>
        <v/>
      </c>
      <c r="J188" s="318" t="str" cm="1">
        <f t="array" ref="J188">IFERROR(INDEX(_xlfn.ANCHORARRAY($P$6),ROW()-5,3),"")</f>
        <v/>
      </c>
      <c r="K188" s="432" t="str" cm="1">
        <f t="array" ref="K188">IF(OR($A188="",$J188&lt;&gt;"DIESEL"),"",_xlfn.LET(_xlpm.qty,N($C188),_xlpm.pos,$T$5:$T$54,_xlpm.alo,IF($U$5:$U$54="",0,$U$5:$U$54),_xlpm.usd,SUMIFS($C$6:$C187,$K$6:$K187,_xlpm.pos&amp;""),_xlpm.bal,_xlpm.alo-_xlpm.usd,IFERROR(INDEX(_xlfn._xlws.FILTER(_xlpm.pos,(_xlpm.pos&lt;&gt;"")*(_xlpm.qty&gt;0)*(_xlpm.bal&gt;=_xlpm.qty)),1),"")))</f>
        <v/>
      </c>
      <c r="L188" s="290"/>
    </row>
    <row r="189" spans="1:12" ht="23" x14ac:dyDescent="0.25">
      <c r="A189" s="221" t="str" cm="1">
        <f t="array" ref="A189">IFERROR(INDEX(_xlfn.ANCHORARRAY($P$6),ROW()-5,1),"")</f>
        <v/>
      </c>
      <c r="B189" s="317" t="str" cm="1">
        <f t="array" ref="B189">IFERROR(INDEX(_xlfn.ANCHORARRAY($P$6),ROW()-5,2),"")</f>
        <v/>
      </c>
      <c r="C189" s="222" t="str">
        <f>IF($A189="","",IF($J189="DIESEL",SUMIFS(Table1[Quantity],Table1[Customer],$M$3,Table1[Date],$A189,Table1[Bill No.],$B189),IF($J189="PETROL",SUMIFS(Table14[Quantity],Table14[Customer],$M$3,Table14[Date],$A189,Table14[Bill No.],$B189),IF($J189="XtraGreen",SUMIFS(Table146[Quantity],Table146[Company],$M$3,Table146[Date],$A189,Table146[Bill No.],$B189),""))))</f>
        <v/>
      </c>
      <c r="D189" s="223" t="str">
        <f>IF($A189="","",IF($J189="DIESEL",AVERAGEIFS(Table1[RSP],Table1[Customer],$M$3,Table1[Date],$A189,Table1[Bill No.],$B189),IF($J189="PETROL",AVERAGEIFS(Table14[RSP],Table14[Customer],$M$3,Table14[Date],$A189,Table14[Bill No.],$B189),IF($J189="XtraGreen",AVERAGEIFS(Table146[RSP],Table146[Company],$M$3,Table146[Date],$A189,Table146[Bill No.],$B189),IFERROR($E189/$C189,"")))))</f>
        <v/>
      </c>
      <c r="E189" s="330" t="str">
        <f>IF($A189="","",IF($J189="DIESEL",SUMIFS(Table1[Amount],Table1[Customer],$M$3,Table1[Date],$A189,Table1[Bill No.],$B189),IF($J189="PETROL",SUMIFS(Table14[Amount],Table14[Customer],$M$3,Table14[Date],$A189,Table14[Bill No.],$B189),IF($J189="XtraGreen",SUMIFS(Table146[Amount],Table146[Company],$M$3,Table146[Date],$A189,Table146[Bill No.],$B189),SUMIFS('Other Sale'!$D:$D,'Other Sale'!$E:$E,$M$3,'Other Sale'!$C:$C,$J189,'Other Sale'!$A:$A,$A189)))))</f>
        <v/>
      </c>
      <c r="F189" s="330" t="str" cm="1">
        <f t="array" ref="F189">IF($A189="","",IF($J189="Payment",IFERROR(INDEX(_xlfn._xlws.FILTER(MasterPaid[Amount Paid],(MasterPaid[Customer]=$M$3)*(MasterPaid[Date]=$A189)),COUNTIFS($A$6:$A189,$A189,$J$6:$J189,"Payment")),0),0))</f>
        <v/>
      </c>
      <c r="G189" s="331"/>
      <c r="H189" s="331"/>
      <c r="I189" s="330" t="str">
        <f t="shared" si="12"/>
        <v/>
      </c>
      <c r="J189" s="318" t="str" cm="1">
        <f t="array" ref="J189">IFERROR(INDEX(_xlfn.ANCHORARRAY($P$6),ROW()-5,3),"")</f>
        <v/>
      </c>
      <c r="K189" s="432" t="str" cm="1">
        <f t="array" ref="K189">IF(OR($A189="",$J189&lt;&gt;"DIESEL"),"",_xlfn.LET(_xlpm.qty,N($C189),_xlpm.pos,$T$5:$T$54,_xlpm.alo,IF($U$5:$U$54="",0,$U$5:$U$54),_xlpm.usd,SUMIFS($C$6:$C188,$K$6:$K188,_xlpm.pos&amp;""),_xlpm.bal,_xlpm.alo-_xlpm.usd,IFERROR(INDEX(_xlfn._xlws.FILTER(_xlpm.pos,(_xlpm.pos&lt;&gt;"")*(_xlpm.qty&gt;0)*(_xlpm.bal&gt;=_xlpm.qty)),1),"")))</f>
        <v/>
      </c>
      <c r="L189" s="290"/>
    </row>
    <row r="190" spans="1:12" ht="23" x14ac:dyDescent="0.25">
      <c r="A190" s="221" t="str" cm="1">
        <f t="array" ref="A190">IFERROR(INDEX(_xlfn.ANCHORARRAY($P$6),ROW()-5,1),"")</f>
        <v/>
      </c>
      <c r="B190" s="317" t="str" cm="1">
        <f t="array" ref="B190">IFERROR(INDEX(_xlfn.ANCHORARRAY($P$6),ROW()-5,2),"")</f>
        <v/>
      </c>
      <c r="C190" s="222" t="str">
        <f>IF($A190="","",IF($J190="DIESEL",SUMIFS(Table1[Quantity],Table1[Customer],$M$3,Table1[Date],$A190,Table1[Bill No.],$B190),IF($J190="PETROL",SUMIFS(Table14[Quantity],Table14[Customer],$M$3,Table14[Date],$A190,Table14[Bill No.],$B190),IF($J190="XtraGreen",SUMIFS(Table146[Quantity],Table146[Company],$M$3,Table146[Date],$A190,Table146[Bill No.],$B190),""))))</f>
        <v/>
      </c>
      <c r="D190" s="223" t="str">
        <f>IF($A190="","",IF($J190="DIESEL",AVERAGEIFS(Table1[RSP],Table1[Customer],$M$3,Table1[Date],$A190,Table1[Bill No.],$B190),IF($J190="PETROL",AVERAGEIFS(Table14[RSP],Table14[Customer],$M$3,Table14[Date],$A190,Table14[Bill No.],$B190),IF($J190="XtraGreen",AVERAGEIFS(Table146[RSP],Table146[Company],$M$3,Table146[Date],$A190,Table146[Bill No.],$B190),IFERROR($E190/$C190,"")))))</f>
        <v/>
      </c>
      <c r="E190" s="330" t="str">
        <f>IF($A190="","",IF($J190="DIESEL",SUMIFS(Table1[Amount],Table1[Customer],$M$3,Table1[Date],$A190,Table1[Bill No.],$B190),IF($J190="PETROL",SUMIFS(Table14[Amount],Table14[Customer],$M$3,Table14[Date],$A190,Table14[Bill No.],$B190),IF($J190="XtraGreen",SUMIFS(Table146[Amount],Table146[Company],$M$3,Table146[Date],$A190,Table146[Bill No.],$B190),SUMIFS('Other Sale'!$D:$D,'Other Sale'!$E:$E,$M$3,'Other Sale'!$C:$C,$J190,'Other Sale'!$A:$A,$A190)))))</f>
        <v/>
      </c>
      <c r="F190" s="330" t="str" cm="1">
        <f t="array" ref="F190">IF($A190="","",IF($J190="Payment",IFERROR(INDEX(_xlfn._xlws.FILTER(MasterPaid[Amount Paid],(MasterPaid[Customer]=$M$3)*(MasterPaid[Date]=$A190)),COUNTIFS($A$6:$A190,$A190,$J$6:$J190,"Payment")),0),0))</f>
        <v/>
      </c>
      <c r="G190" s="331"/>
      <c r="H190" s="331"/>
      <c r="I190" s="330" t="str">
        <f t="shared" si="12"/>
        <v/>
      </c>
      <c r="J190" s="318" t="str" cm="1">
        <f t="array" ref="J190">IFERROR(INDEX(_xlfn.ANCHORARRAY($P$6),ROW()-5,3),"")</f>
        <v/>
      </c>
      <c r="K190" s="432" t="str" cm="1">
        <f t="array" ref="K190">IF(OR($A190="",$J190&lt;&gt;"DIESEL"),"",_xlfn.LET(_xlpm.qty,N($C190),_xlpm.pos,$T$5:$T$54,_xlpm.alo,IF($U$5:$U$54="",0,$U$5:$U$54),_xlpm.usd,SUMIFS($C$6:$C189,$K$6:$K189,_xlpm.pos&amp;""),_xlpm.bal,_xlpm.alo-_xlpm.usd,IFERROR(INDEX(_xlfn._xlws.FILTER(_xlpm.pos,(_xlpm.pos&lt;&gt;"")*(_xlpm.qty&gt;0)*(_xlpm.bal&gt;=_xlpm.qty)),1),"")))</f>
        <v/>
      </c>
      <c r="L190" s="290"/>
    </row>
    <row r="191" spans="1:12" ht="23" x14ac:dyDescent="0.25">
      <c r="A191" s="221" t="str" cm="1">
        <f t="array" ref="A191">IFERROR(INDEX(_xlfn.ANCHORARRAY($P$6),ROW()-5,1),"")</f>
        <v/>
      </c>
      <c r="B191" s="317" t="str" cm="1">
        <f t="array" ref="B191">IFERROR(INDEX(_xlfn.ANCHORARRAY($P$6),ROW()-5,2),"")</f>
        <v/>
      </c>
      <c r="C191" s="222" t="str">
        <f>IF($A191="","",IF($J191="DIESEL",SUMIFS(Table1[Quantity],Table1[Customer],$M$3,Table1[Date],$A191,Table1[Bill No.],$B191),IF($J191="PETROL",SUMIFS(Table14[Quantity],Table14[Customer],$M$3,Table14[Date],$A191,Table14[Bill No.],$B191),IF($J191="XtraGreen",SUMIFS(Table146[Quantity],Table146[Company],$M$3,Table146[Date],$A191,Table146[Bill No.],$B191),""))))</f>
        <v/>
      </c>
      <c r="D191" s="223" t="str">
        <f>IF($A191="","",IF($J191="DIESEL",AVERAGEIFS(Table1[RSP],Table1[Customer],$M$3,Table1[Date],$A191,Table1[Bill No.],$B191),IF($J191="PETROL",AVERAGEIFS(Table14[RSP],Table14[Customer],$M$3,Table14[Date],$A191,Table14[Bill No.],$B191),IF($J191="XtraGreen",AVERAGEIFS(Table146[RSP],Table146[Company],$M$3,Table146[Date],$A191,Table146[Bill No.],$B191),IFERROR($E191/$C191,"")))))</f>
        <v/>
      </c>
      <c r="E191" s="330" t="str">
        <f>IF($A191="","",IF($J191="DIESEL",SUMIFS(Table1[Amount],Table1[Customer],$M$3,Table1[Date],$A191,Table1[Bill No.],$B191),IF($J191="PETROL",SUMIFS(Table14[Amount],Table14[Customer],$M$3,Table14[Date],$A191,Table14[Bill No.],$B191),IF($J191="XtraGreen",SUMIFS(Table146[Amount],Table146[Company],$M$3,Table146[Date],$A191,Table146[Bill No.],$B191),SUMIFS('Other Sale'!$D:$D,'Other Sale'!$E:$E,$M$3,'Other Sale'!$C:$C,$J191,'Other Sale'!$A:$A,$A191)))))</f>
        <v/>
      </c>
      <c r="F191" s="330" t="str" cm="1">
        <f t="array" ref="F191">IF($A191="","",IF($J191="Payment",IFERROR(INDEX(_xlfn._xlws.FILTER(MasterPaid[Amount Paid],(MasterPaid[Customer]=$M$3)*(MasterPaid[Date]=$A191)),COUNTIFS($A$6:$A191,$A191,$J$6:$J191,"Payment")),0),0))</f>
        <v/>
      </c>
      <c r="G191" s="331"/>
      <c r="H191" s="331"/>
      <c r="I191" s="330" t="str">
        <f t="shared" si="12"/>
        <v/>
      </c>
      <c r="J191" s="318" t="str" cm="1">
        <f t="array" ref="J191">IFERROR(INDEX(_xlfn.ANCHORARRAY($P$6),ROW()-5,3),"")</f>
        <v/>
      </c>
      <c r="K191" s="432" t="str" cm="1">
        <f t="array" ref="K191">IF(OR($A191="",$J191&lt;&gt;"DIESEL"),"",_xlfn.LET(_xlpm.qty,N($C191),_xlpm.pos,$T$5:$T$54,_xlpm.alo,IF($U$5:$U$54="",0,$U$5:$U$54),_xlpm.usd,SUMIFS($C$6:$C190,$K$6:$K190,_xlpm.pos&amp;""),_xlpm.bal,_xlpm.alo-_xlpm.usd,IFERROR(INDEX(_xlfn._xlws.FILTER(_xlpm.pos,(_xlpm.pos&lt;&gt;"")*(_xlpm.qty&gt;0)*(_xlpm.bal&gt;=_xlpm.qty)),1),"")))</f>
        <v/>
      </c>
      <c r="L191" s="290"/>
    </row>
    <row r="192" spans="1:12" ht="23" x14ac:dyDescent="0.25">
      <c r="A192" s="221" t="str" cm="1">
        <f t="array" ref="A192">IFERROR(INDEX(_xlfn.ANCHORARRAY($P$6),ROW()-5,1),"")</f>
        <v/>
      </c>
      <c r="B192" s="317" t="str" cm="1">
        <f t="array" ref="B192">IFERROR(INDEX(_xlfn.ANCHORARRAY($P$6),ROW()-5,2),"")</f>
        <v/>
      </c>
      <c r="C192" s="222" t="str">
        <f>IF($A192="","",IF($J192="DIESEL",SUMIFS(Table1[Quantity],Table1[Customer],$M$3,Table1[Date],$A192,Table1[Bill No.],$B192),IF($J192="PETROL",SUMIFS(Table14[Quantity],Table14[Customer],$M$3,Table14[Date],$A192,Table14[Bill No.],$B192),IF($J192="XtraGreen",SUMIFS(Table146[Quantity],Table146[Company],$M$3,Table146[Date],$A192,Table146[Bill No.],$B192),""))))</f>
        <v/>
      </c>
      <c r="D192" s="223" t="str">
        <f>IF($A192="","",IF($J192="DIESEL",AVERAGEIFS(Table1[RSP],Table1[Customer],$M$3,Table1[Date],$A192,Table1[Bill No.],$B192),IF($J192="PETROL",AVERAGEIFS(Table14[RSP],Table14[Customer],$M$3,Table14[Date],$A192,Table14[Bill No.],$B192),IF($J192="XtraGreen",AVERAGEIFS(Table146[RSP],Table146[Company],$M$3,Table146[Date],$A192,Table146[Bill No.],$B192),IFERROR($E192/$C192,"")))))</f>
        <v/>
      </c>
      <c r="E192" s="330" t="str">
        <f>IF($A192="","",IF($J192="DIESEL",SUMIFS(Table1[Amount],Table1[Customer],$M$3,Table1[Date],$A192,Table1[Bill No.],$B192),IF($J192="PETROL",SUMIFS(Table14[Amount],Table14[Customer],$M$3,Table14[Date],$A192,Table14[Bill No.],$B192),IF($J192="XtraGreen",SUMIFS(Table146[Amount],Table146[Company],$M$3,Table146[Date],$A192,Table146[Bill No.],$B192),SUMIFS('Other Sale'!$D:$D,'Other Sale'!$E:$E,$M$3,'Other Sale'!$C:$C,$J192,'Other Sale'!$A:$A,$A192)))))</f>
        <v/>
      </c>
      <c r="F192" s="330" t="str" cm="1">
        <f t="array" ref="F192">IF($A192="","",IF($J192="Payment",IFERROR(INDEX(_xlfn._xlws.FILTER(MasterPaid[Amount Paid],(MasterPaid[Customer]=$M$3)*(MasterPaid[Date]=$A192)),COUNTIFS($A$6:$A192,$A192,$J$6:$J192,"Payment")),0),0))</f>
        <v/>
      </c>
      <c r="G192" s="331"/>
      <c r="H192" s="331"/>
      <c r="I192" s="330" t="str">
        <f t="shared" si="12"/>
        <v/>
      </c>
      <c r="J192" s="318" t="str" cm="1">
        <f t="array" ref="J192">IFERROR(INDEX(_xlfn.ANCHORARRAY($P$6),ROW()-5,3),"")</f>
        <v/>
      </c>
      <c r="K192" s="432" t="str" cm="1">
        <f t="array" ref="K192">IF(OR($A192="",$J192&lt;&gt;"DIESEL"),"",_xlfn.LET(_xlpm.qty,N($C192),_xlpm.pos,$T$5:$T$54,_xlpm.alo,IF($U$5:$U$54="",0,$U$5:$U$54),_xlpm.usd,SUMIFS($C$6:$C191,$K$6:$K191,_xlpm.pos&amp;""),_xlpm.bal,_xlpm.alo-_xlpm.usd,IFERROR(INDEX(_xlfn._xlws.FILTER(_xlpm.pos,(_xlpm.pos&lt;&gt;"")*(_xlpm.qty&gt;0)*(_xlpm.bal&gt;=_xlpm.qty)),1),"")))</f>
        <v/>
      </c>
      <c r="L192" s="290"/>
    </row>
    <row r="193" spans="1:12" ht="23" x14ac:dyDescent="0.25">
      <c r="A193" s="221" t="str" cm="1">
        <f t="array" ref="A193">IFERROR(INDEX(_xlfn.ANCHORARRAY($P$6),ROW()-5,1),"")</f>
        <v/>
      </c>
      <c r="B193" s="317" t="str" cm="1">
        <f t="array" ref="B193">IFERROR(INDEX(_xlfn.ANCHORARRAY($P$6),ROW()-5,2),"")</f>
        <v/>
      </c>
      <c r="C193" s="222" t="str">
        <f>IF($A193="","",IF($J193="DIESEL",SUMIFS(Table1[Quantity],Table1[Customer],$M$3,Table1[Date],$A193,Table1[Bill No.],$B193),IF($J193="PETROL",SUMIFS(Table14[Quantity],Table14[Customer],$M$3,Table14[Date],$A193,Table14[Bill No.],$B193),IF($J193="XtraGreen",SUMIFS(Table146[Quantity],Table146[Company],$M$3,Table146[Date],$A193,Table146[Bill No.],$B193),""))))</f>
        <v/>
      </c>
      <c r="D193" s="223" t="str">
        <f>IF($A193="","",IF($J193="DIESEL",AVERAGEIFS(Table1[RSP],Table1[Customer],$M$3,Table1[Date],$A193,Table1[Bill No.],$B193),IF($J193="PETROL",AVERAGEIFS(Table14[RSP],Table14[Customer],$M$3,Table14[Date],$A193,Table14[Bill No.],$B193),IF($J193="XtraGreen",AVERAGEIFS(Table146[RSP],Table146[Company],$M$3,Table146[Date],$A193,Table146[Bill No.],$B193),IFERROR($E193/$C193,"")))))</f>
        <v/>
      </c>
      <c r="E193" s="330" t="str">
        <f>IF($A193="","",IF($J193="DIESEL",SUMIFS(Table1[Amount],Table1[Customer],$M$3,Table1[Date],$A193,Table1[Bill No.],$B193),IF($J193="PETROL",SUMIFS(Table14[Amount],Table14[Customer],$M$3,Table14[Date],$A193,Table14[Bill No.],$B193),IF($J193="XtraGreen",SUMIFS(Table146[Amount],Table146[Company],$M$3,Table146[Date],$A193,Table146[Bill No.],$B193),SUMIFS('Other Sale'!$D:$D,'Other Sale'!$E:$E,$M$3,'Other Sale'!$C:$C,$J193,'Other Sale'!$A:$A,$A193)))))</f>
        <v/>
      </c>
      <c r="F193" s="330" t="str" cm="1">
        <f t="array" ref="F193">IF($A193="","",IF($J193="Payment",IFERROR(INDEX(_xlfn._xlws.FILTER(MasterPaid[Amount Paid],(MasterPaid[Customer]=$M$3)*(MasterPaid[Date]=$A193)),COUNTIFS($A$6:$A193,$A193,$J$6:$J193,"Payment")),0),0))</f>
        <v/>
      </c>
      <c r="G193" s="331"/>
      <c r="H193" s="331"/>
      <c r="I193" s="330" t="str">
        <f t="shared" si="12"/>
        <v/>
      </c>
      <c r="J193" s="318" t="str" cm="1">
        <f t="array" ref="J193">IFERROR(INDEX(_xlfn.ANCHORARRAY($P$6),ROW()-5,3),"")</f>
        <v/>
      </c>
      <c r="K193" s="432" t="str" cm="1">
        <f t="array" ref="K193">IF(OR($A193="",$J193&lt;&gt;"DIESEL"),"",_xlfn.LET(_xlpm.qty,N($C193),_xlpm.pos,$T$5:$T$54,_xlpm.alo,IF($U$5:$U$54="",0,$U$5:$U$54),_xlpm.usd,SUMIFS($C$6:$C192,$K$6:$K192,_xlpm.pos&amp;""),_xlpm.bal,_xlpm.alo-_xlpm.usd,IFERROR(INDEX(_xlfn._xlws.FILTER(_xlpm.pos,(_xlpm.pos&lt;&gt;"")*(_xlpm.qty&gt;0)*(_xlpm.bal&gt;=_xlpm.qty)),1),"")))</f>
        <v/>
      </c>
      <c r="L193" s="290"/>
    </row>
    <row r="194" spans="1:12" ht="23" x14ac:dyDescent="0.25">
      <c r="A194" s="221" t="str" cm="1">
        <f t="array" ref="A194">IFERROR(INDEX(_xlfn.ANCHORARRAY($P$6),ROW()-5,1),"")</f>
        <v/>
      </c>
      <c r="B194" s="317" t="str" cm="1">
        <f t="array" ref="B194">IFERROR(INDEX(_xlfn.ANCHORARRAY($P$6),ROW()-5,2),"")</f>
        <v/>
      </c>
      <c r="C194" s="222" t="str">
        <f>IF($A194="","",IF($J194="DIESEL",SUMIFS(Table1[Quantity],Table1[Customer],$M$3,Table1[Date],$A194,Table1[Bill No.],$B194),IF($J194="PETROL",SUMIFS(Table14[Quantity],Table14[Customer],$M$3,Table14[Date],$A194,Table14[Bill No.],$B194),IF($J194="XtraGreen",SUMIFS(Table146[Quantity],Table146[Company],$M$3,Table146[Date],$A194,Table146[Bill No.],$B194),""))))</f>
        <v/>
      </c>
      <c r="D194" s="223" t="str">
        <f>IF($A194="","",IF($J194="DIESEL",AVERAGEIFS(Table1[RSP],Table1[Customer],$M$3,Table1[Date],$A194,Table1[Bill No.],$B194),IF($J194="PETROL",AVERAGEIFS(Table14[RSP],Table14[Customer],$M$3,Table14[Date],$A194,Table14[Bill No.],$B194),IF($J194="XtraGreen",AVERAGEIFS(Table146[RSP],Table146[Company],$M$3,Table146[Date],$A194,Table146[Bill No.],$B194),IFERROR($E194/$C194,"")))))</f>
        <v/>
      </c>
      <c r="E194" s="330" t="str">
        <f>IF($A194="","",IF($J194="DIESEL",SUMIFS(Table1[Amount],Table1[Customer],$M$3,Table1[Date],$A194,Table1[Bill No.],$B194),IF($J194="PETROL",SUMIFS(Table14[Amount],Table14[Customer],$M$3,Table14[Date],$A194,Table14[Bill No.],$B194),IF($J194="XtraGreen",SUMIFS(Table146[Amount],Table146[Company],$M$3,Table146[Date],$A194,Table146[Bill No.],$B194),SUMIFS('Other Sale'!$D:$D,'Other Sale'!$E:$E,$M$3,'Other Sale'!$C:$C,$J194,'Other Sale'!$A:$A,$A194)))))</f>
        <v/>
      </c>
      <c r="F194" s="330" t="str" cm="1">
        <f t="array" ref="F194">IF($A194="","",IF($J194="Payment",IFERROR(INDEX(_xlfn._xlws.FILTER(MasterPaid[Amount Paid],(MasterPaid[Customer]=$M$3)*(MasterPaid[Date]=$A194)),COUNTIFS($A$6:$A194,$A194,$J$6:$J194,"Payment")),0),0))</f>
        <v/>
      </c>
      <c r="G194" s="331"/>
      <c r="H194" s="331"/>
      <c r="I194" s="330" t="str">
        <f t="shared" si="12"/>
        <v/>
      </c>
      <c r="J194" s="318" t="str" cm="1">
        <f t="array" ref="J194">IFERROR(INDEX(_xlfn.ANCHORARRAY($P$6),ROW()-5,3),"")</f>
        <v/>
      </c>
      <c r="K194" s="432" t="str" cm="1">
        <f t="array" ref="K194">IF(OR($A194="",$J194&lt;&gt;"DIESEL"),"",_xlfn.LET(_xlpm.qty,N($C194),_xlpm.pos,$T$5:$T$54,_xlpm.alo,IF($U$5:$U$54="",0,$U$5:$U$54),_xlpm.usd,SUMIFS($C$6:$C193,$K$6:$K193,_xlpm.pos&amp;""),_xlpm.bal,_xlpm.alo-_xlpm.usd,IFERROR(INDEX(_xlfn._xlws.FILTER(_xlpm.pos,(_xlpm.pos&lt;&gt;"")*(_xlpm.qty&gt;0)*(_xlpm.bal&gt;=_xlpm.qty)),1),"")))</f>
        <v/>
      </c>
      <c r="L194" s="290"/>
    </row>
    <row r="195" spans="1:12" ht="23" x14ac:dyDescent="0.25">
      <c r="A195" s="221" t="str" cm="1">
        <f t="array" ref="A195">IFERROR(INDEX(_xlfn.ANCHORARRAY($P$6),ROW()-5,1),"")</f>
        <v/>
      </c>
      <c r="B195" s="317" t="str" cm="1">
        <f t="array" ref="B195">IFERROR(INDEX(_xlfn.ANCHORARRAY($P$6),ROW()-5,2),"")</f>
        <v/>
      </c>
      <c r="C195" s="222" t="str">
        <f>IF($A195="","",IF($J195="DIESEL",SUMIFS(Table1[Quantity],Table1[Customer],$M$3,Table1[Date],$A195,Table1[Bill No.],$B195),IF($J195="PETROL",SUMIFS(Table14[Quantity],Table14[Customer],$M$3,Table14[Date],$A195,Table14[Bill No.],$B195),IF($J195="XtraGreen",SUMIFS(Table146[Quantity],Table146[Company],$M$3,Table146[Date],$A195,Table146[Bill No.],$B195),""))))</f>
        <v/>
      </c>
      <c r="D195" s="223" t="str">
        <f>IF($A195="","",IF($J195="DIESEL",AVERAGEIFS(Table1[RSP],Table1[Customer],$M$3,Table1[Date],$A195,Table1[Bill No.],$B195),IF($J195="PETROL",AVERAGEIFS(Table14[RSP],Table14[Customer],$M$3,Table14[Date],$A195,Table14[Bill No.],$B195),IF($J195="XtraGreen",AVERAGEIFS(Table146[RSP],Table146[Company],$M$3,Table146[Date],$A195,Table146[Bill No.],$B195),IFERROR($E195/$C195,"")))))</f>
        <v/>
      </c>
      <c r="E195" s="330" t="str">
        <f>IF($A195="","",IF($J195="DIESEL",SUMIFS(Table1[Amount],Table1[Customer],$M$3,Table1[Date],$A195,Table1[Bill No.],$B195),IF($J195="PETROL",SUMIFS(Table14[Amount],Table14[Customer],$M$3,Table14[Date],$A195,Table14[Bill No.],$B195),IF($J195="XtraGreen",SUMIFS(Table146[Amount],Table146[Company],$M$3,Table146[Date],$A195,Table146[Bill No.],$B195),SUMIFS('Other Sale'!$D:$D,'Other Sale'!$E:$E,$M$3,'Other Sale'!$C:$C,$J195,'Other Sale'!$A:$A,$A195)))))</f>
        <v/>
      </c>
      <c r="F195" s="330" t="str" cm="1">
        <f t="array" ref="F195">IF($A195="","",IF($J195="Payment",IFERROR(INDEX(_xlfn._xlws.FILTER(MasterPaid[Amount Paid],(MasterPaid[Customer]=$M$3)*(MasterPaid[Date]=$A195)),COUNTIFS($A$6:$A195,$A195,$J$6:$J195,"Payment")),0),0))</f>
        <v/>
      </c>
      <c r="G195" s="331"/>
      <c r="H195" s="331"/>
      <c r="I195" s="330" t="str">
        <f t="shared" si="12"/>
        <v/>
      </c>
      <c r="J195" s="318" t="str" cm="1">
        <f t="array" ref="J195">IFERROR(INDEX(_xlfn.ANCHORARRAY($P$6),ROW()-5,3),"")</f>
        <v/>
      </c>
      <c r="K195" s="432" t="str" cm="1">
        <f t="array" ref="K195">IF(OR($A195="",$J195&lt;&gt;"DIESEL"),"",_xlfn.LET(_xlpm.qty,N($C195),_xlpm.pos,$T$5:$T$54,_xlpm.alo,IF($U$5:$U$54="",0,$U$5:$U$54),_xlpm.usd,SUMIFS($C$6:$C194,$K$6:$K194,_xlpm.pos&amp;""),_xlpm.bal,_xlpm.alo-_xlpm.usd,IFERROR(INDEX(_xlfn._xlws.FILTER(_xlpm.pos,(_xlpm.pos&lt;&gt;"")*(_xlpm.qty&gt;0)*(_xlpm.bal&gt;=_xlpm.qty)),1),"")))</f>
        <v/>
      </c>
      <c r="L195" s="290"/>
    </row>
    <row r="196" spans="1:12" ht="23" x14ac:dyDescent="0.25">
      <c r="A196" s="221" t="str" cm="1">
        <f t="array" ref="A196">IFERROR(INDEX(_xlfn.ANCHORARRAY($P$6),ROW()-5,1),"")</f>
        <v/>
      </c>
      <c r="B196" s="317" t="str" cm="1">
        <f t="array" ref="B196">IFERROR(INDEX(_xlfn.ANCHORARRAY($P$6),ROW()-5,2),"")</f>
        <v/>
      </c>
      <c r="C196" s="222" t="str">
        <f>IF($A196="","",IF($J196="DIESEL",SUMIFS(Table1[Quantity],Table1[Customer],$M$3,Table1[Date],$A196,Table1[Bill No.],$B196),IF($J196="PETROL",SUMIFS(Table14[Quantity],Table14[Customer],$M$3,Table14[Date],$A196,Table14[Bill No.],$B196),IF($J196="XtraGreen",SUMIFS(Table146[Quantity],Table146[Company],$M$3,Table146[Date],$A196,Table146[Bill No.],$B196),""))))</f>
        <v/>
      </c>
      <c r="D196" s="223" t="str">
        <f>IF($A196="","",IF($J196="DIESEL",AVERAGEIFS(Table1[RSP],Table1[Customer],$M$3,Table1[Date],$A196,Table1[Bill No.],$B196),IF($J196="PETROL",AVERAGEIFS(Table14[RSP],Table14[Customer],$M$3,Table14[Date],$A196,Table14[Bill No.],$B196),IF($J196="XtraGreen",AVERAGEIFS(Table146[RSP],Table146[Company],$M$3,Table146[Date],$A196,Table146[Bill No.],$B196),IFERROR($E196/$C196,"")))))</f>
        <v/>
      </c>
      <c r="E196" s="330" t="str">
        <f>IF($A196="","",IF($J196="DIESEL",SUMIFS(Table1[Amount],Table1[Customer],$M$3,Table1[Date],$A196,Table1[Bill No.],$B196),IF($J196="PETROL",SUMIFS(Table14[Amount],Table14[Customer],$M$3,Table14[Date],$A196,Table14[Bill No.],$B196),IF($J196="XtraGreen",SUMIFS(Table146[Amount],Table146[Company],$M$3,Table146[Date],$A196,Table146[Bill No.],$B196),SUMIFS('Other Sale'!$D:$D,'Other Sale'!$E:$E,$M$3,'Other Sale'!$C:$C,$J196,'Other Sale'!$A:$A,$A196)))))</f>
        <v/>
      </c>
      <c r="F196" s="330" t="str" cm="1">
        <f t="array" ref="F196">IF($A196="","",IF($J196="Payment",IFERROR(INDEX(_xlfn._xlws.FILTER(MasterPaid[Amount Paid],(MasterPaid[Customer]=$M$3)*(MasterPaid[Date]=$A196)),COUNTIFS($A$6:$A196,$A196,$J$6:$J196,"Payment")),0),0))</f>
        <v/>
      </c>
      <c r="G196" s="331"/>
      <c r="H196" s="331"/>
      <c r="I196" s="330" t="str">
        <f t="shared" si="12"/>
        <v/>
      </c>
      <c r="J196" s="318" t="str" cm="1">
        <f t="array" ref="J196">IFERROR(INDEX(_xlfn.ANCHORARRAY($P$6),ROW()-5,3),"")</f>
        <v/>
      </c>
      <c r="K196" s="432" t="str" cm="1">
        <f t="array" ref="K196">IF(OR($A196="",$J196&lt;&gt;"DIESEL"),"",_xlfn.LET(_xlpm.qty,N($C196),_xlpm.pos,$T$5:$T$54,_xlpm.alo,IF($U$5:$U$54="",0,$U$5:$U$54),_xlpm.usd,SUMIFS($C$6:$C195,$K$6:$K195,_xlpm.pos&amp;""),_xlpm.bal,_xlpm.alo-_xlpm.usd,IFERROR(INDEX(_xlfn._xlws.FILTER(_xlpm.pos,(_xlpm.pos&lt;&gt;"")*(_xlpm.qty&gt;0)*(_xlpm.bal&gt;=_xlpm.qty)),1),"")))</f>
        <v/>
      </c>
      <c r="L196" s="290"/>
    </row>
    <row r="197" spans="1:12" ht="23" x14ac:dyDescent="0.25">
      <c r="A197" s="221" t="str" cm="1">
        <f t="array" ref="A197">IFERROR(INDEX(_xlfn.ANCHORARRAY($P$6),ROW()-5,1),"")</f>
        <v/>
      </c>
      <c r="B197" s="317" t="str" cm="1">
        <f t="array" ref="B197">IFERROR(INDEX(_xlfn.ANCHORARRAY($P$6),ROW()-5,2),"")</f>
        <v/>
      </c>
      <c r="C197" s="222" t="str">
        <f>IF($A197="","",IF($J197="DIESEL",SUMIFS(Table1[Quantity],Table1[Customer],$M$3,Table1[Date],$A197,Table1[Bill No.],$B197),IF($J197="PETROL",SUMIFS(Table14[Quantity],Table14[Customer],$M$3,Table14[Date],$A197,Table14[Bill No.],$B197),IF($J197="XtraGreen",SUMIFS(Table146[Quantity],Table146[Company],$M$3,Table146[Date],$A197,Table146[Bill No.],$B197),""))))</f>
        <v/>
      </c>
      <c r="D197" s="223" t="str">
        <f>IF($A197="","",IF($J197="DIESEL",AVERAGEIFS(Table1[RSP],Table1[Customer],$M$3,Table1[Date],$A197,Table1[Bill No.],$B197),IF($J197="PETROL",AVERAGEIFS(Table14[RSP],Table14[Customer],$M$3,Table14[Date],$A197,Table14[Bill No.],$B197),IF($J197="XtraGreen",AVERAGEIFS(Table146[RSP],Table146[Company],$M$3,Table146[Date],$A197,Table146[Bill No.],$B197),IFERROR($E197/$C197,"")))))</f>
        <v/>
      </c>
      <c r="E197" s="330" t="str">
        <f>IF($A197="","",IF($J197="DIESEL",SUMIFS(Table1[Amount],Table1[Customer],$M$3,Table1[Date],$A197,Table1[Bill No.],$B197),IF($J197="PETROL",SUMIFS(Table14[Amount],Table14[Customer],$M$3,Table14[Date],$A197,Table14[Bill No.],$B197),IF($J197="XtraGreen",SUMIFS(Table146[Amount],Table146[Company],$M$3,Table146[Date],$A197,Table146[Bill No.],$B197),SUMIFS('Other Sale'!$D:$D,'Other Sale'!$E:$E,$M$3,'Other Sale'!$C:$C,$J197,'Other Sale'!$A:$A,$A197)))))</f>
        <v/>
      </c>
      <c r="F197" s="330" t="str" cm="1">
        <f t="array" ref="F197">IF($A197="","",IF($J197="Payment",IFERROR(INDEX(_xlfn._xlws.FILTER(MasterPaid[Amount Paid],(MasterPaid[Customer]=$M$3)*(MasterPaid[Date]=$A197)),COUNTIFS($A$6:$A197,$A197,$J$6:$J197,"Payment")),0),0))</f>
        <v/>
      </c>
      <c r="G197" s="331"/>
      <c r="H197" s="331"/>
      <c r="I197" s="330" t="str">
        <f t="shared" si="12"/>
        <v/>
      </c>
      <c r="J197" s="318" t="str" cm="1">
        <f t="array" ref="J197">IFERROR(INDEX(_xlfn.ANCHORARRAY($P$6),ROW()-5,3),"")</f>
        <v/>
      </c>
      <c r="K197" s="432" t="str" cm="1">
        <f t="array" ref="K197">IF(OR($A197="",$J197&lt;&gt;"DIESEL"),"",_xlfn.LET(_xlpm.qty,N($C197),_xlpm.pos,$T$5:$T$54,_xlpm.alo,IF($U$5:$U$54="",0,$U$5:$U$54),_xlpm.usd,SUMIFS($C$6:$C196,$K$6:$K196,_xlpm.pos&amp;""),_xlpm.bal,_xlpm.alo-_xlpm.usd,IFERROR(INDEX(_xlfn._xlws.FILTER(_xlpm.pos,(_xlpm.pos&lt;&gt;"")*(_xlpm.qty&gt;0)*(_xlpm.bal&gt;=_xlpm.qty)),1),"")))</f>
        <v/>
      </c>
      <c r="L197" s="290"/>
    </row>
    <row r="198" spans="1:12" ht="23" x14ac:dyDescent="0.25">
      <c r="A198" s="221" t="str" cm="1">
        <f t="array" ref="A198">IFERROR(INDEX(_xlfn.ANCHORARRAY($P$6),ROW()-5,1),"")</f>
        <v/>
      </c>
      <c r="B198" s="317" t="str" cm="1">
        <f t="array" ref="B198">IFERROR(INDEX(_xlfn.ANCHORARRAY($P$6),ROW()-5,2),"")</f>
        <v/>
      </c>
      <c r="C198" s="222" t="str">
        <f>IF($A198="","",IF($J198="DIESEL",SUMIFS(Table1[Quantity],Table1[Customer],$M$3,Table1[Date],$A198,Table1[Bill No.],$B198),IF($J198="PETROL",SUMIFS(Table14[Quantity],Table14[Customer],$M$3,Table14[Date],$A198,Table14[Bill No.],$B198),IF($J198="XtraGreen",SUMIFS(Table146[Quantity],Table146[Company],$M$3,Table146[Date],$A198,Table146[Bill No.],$B198),""))))</f>
        <v/>
      </c>
      <c r="D198" s="223" t="str">
        <f>IF($A198="","",IF($J198="DIESEL",AVERAGEIFS(Table1[RSP],Table1[Customer],$M$3,Table1[Date],$A198,Table1[Bill No.],$B198),IF($J198="PETROL",AVERAGEIFS(Table14[RSP],Table14[Customer],$M$3,Table14[Date],$A198,Table14[Bill No.],$B198),IF($J198="XtraGreen",AVERAGEIFS(Table146[RSP],Table146[Company],$M$3,Table146[Date],$A198,Table146[Bill No.],$B198),IFERROR($E198/$C198,"")))))</f>
        <v/>
      </c>
      <c r="E198" s="330" t="str">
        <f>IF($A198="","",IF($J198="DIESEL",SUMIFS(Table1[Amount],Table1[Customer],$M$3,Table1[Date],$A198,Table1[Bill No.],$B198),IF($J198="PETROL",SUMIFS(Table14[Amount],Table14[Customer],$M$3,Table14[Date],$A198,Table14[Bill No.],$B198),IF($J198="XtraGreen",SUMIFS(Table146[Amount],Table146[Company],$M$3,Table146[Date],$A198,Table146[Bill No.],$B198),SUMIFS('Other Sale'!$D:$D,'Other Sale'!$E:$E,$M$3,'Other Sale'!$C:$C,$J198,'Other Sale'!$A:$A,$A198)))))</f>
        <v/>
      </c>
      <c r="F198" s="330" t="str" cm="1">
        <f t="array" ref="F198">IF($A198="","",IF($J198="Payment",IFERROR(INDEX(_xlfn._xlws.FILTER(MasterPaid[Amount Paid],(MasterPaid[Customer]=$M$3)*(MasterPaid[Date]=$A198)),COUNTIFS($A$6:$A198,$A198,$J$6:$J198,"Payment")),0),0))</f>
        <v/>
      </c>
      <c r="G198" s="331"/>
      <c r="H198" s="331"/>
      <c r="I198" s="330" t="str">
        <f t="shared" si="12"/>
        <v/>
      </c>
      <c r="J198" s="318" t="str" cm="1">
        <f t="array" ref="J198">IFERROR(INDEX(_xlfn.ANCHORARRAY($P$6),ROW()-5,3),"")</f>
        <v/>
      </c>
      <c r="K198" s="432" t="str" cm="1">
        <f t="array" ref="K198">IF(OR($A198="",$J198&lt;&gt;"DIESEL"),"",_xlfn.LET(_xlpm.qty,N($C198),_xlpm.pos,$T$5:$T$54,_xlpm.alo,IF($U$5:$U$54="",0,$U$5:$U$54),_xlpm.usd,SUMIFS($C$6:$C197,$K$6:$K197,_xlpm.pos&amp;""),_xlpm.bal,_xlpm.alo-_xlpm.usd,IFERROR(INDEX(_xlfn._xlws.FILTER(_xlpm.pos,(_xlpm.pos&lt;&gt;"")*(_xlpm.qty&gt;0)*(_xlpm.bal&gt;=_xlpm.qty)),1),"")))</f>
        <v/>
      </c>
      <c r="L198" s="290"/>
    </row>
    <row r="199" spans="1:12" ht="23" x14ac:dyDescent="0.25">
      <c r="A199" s="221" t="str" cm="1">
        <f t="array" ref="A199">IFERROR(INDEX(_xlfn.ANCHORARRAY($P$6),ROW()-5,1),"")</f>
        <v/>
      </c>
      <c r="B199" s="317" t="str" cm="1">
        <f t="array" ref="B199">IFERROR(INDEX(_xlfn.ANCHORARRAY($P$6),ROW()-5,2),"")</f>
        <v/>
      </c>
      <c r="C199" s="222" t="str">
        <f>IF($A199="","",IF($J199="DIESEL",SUMIFS(Table1[Quantity],Table1[Customer],$M$3,Table1[Date],$A199,Table1[Bill No.],$B199),IF($J199="PETROL",SUMIFS(Table14[Quantity],Table14[Customer],$M$3,Table14[Date],$A199,Table14[Bill No.],$B199),IF($J199="XtraGreen",SUMIFS(Table146[Quantity],Table146[Company],$M$3,Table146[Date],$A199,Table146[Bill No.],$B199),""))))</f>
        <v/>
      </c>
      <c r="D199" s="223" t="str">
        <f>IF($A199="","",IF($J199="DIESEL",AVERAGEIFS(Table1[RSP],Table1[Customer],$M$3,Table1[Date],$A199,Table1[Bill No.],$B199),IF($J199="PETROL",AVERAGEIFS(Table14[RSP],Table14[Customer],$M$3,Table14[Date],$A199,Table14[Bill No.],$B199),IF($J199="XtraGreen",AVERAGEIFS(Table146[RSP],Table146[Company],$M$3,Table146[Date],$A199,Table146[Bill No.],$B199),IFERROR($E199/$C199,"")))))</f>
        <v/>
      </c>
      <c r="E199" s="330" t="str">
        <f>IF($A199="","",IF($J199="DIESEL",SUMIFS(Table1[Amount],Table1[Customer],$M$3,Table1[Date],$A199,Table1[Bill No.],$B199),IF($J199="PETROL",SUMIFS(Table14[Amount],Table14[Customer],$M$3,Table14[Date],$A199,Table14[Bill No.],$B199),IF($J199="XtraGreen",SUMIFS(Table146[Amount],Table146[Company],$M$3,Table146[Date],$A199,Table146[Bill No.],$B199),SUMIFS('Other Sale'!$D:$D,'Other Sale'!$E:$E,$M$3,'Other Sale'!$C:$C,$J199,'Other Sale'!$A:$A,$A199)))))</f>
        <v/>
      </c>
      <c r="F199" s="330" t="str" cm="1">
        <f t="array" ref="F199">IF($A199="","",IF($J199="Payment",IFERROR(INDEX(_xlfn._xlws.FILTER(MasterPaid[Amount Paid],(MasterPaid[Customer]=$M$3)*(MasterPaid[Date]=$A199)),COUNTIFS($A$6:$A199,$A199,$J$6:$J199,"Payment")),0),0))</f>
        <v/>
      </c>
      <c r="G199" s="331"/>
      <c r="H199" s="331"/>
      <c r="I199" s="330" t="str">
        <f t="shared" si="12"/>
        <v/>
      </c>
      <c r="J199" s="318" t="str" cm="1">
        <f t="array" ref="J199">IFERROR(INDEX(_xlfn.ANCHORARRAY($P$6),ROW()-5,3),"")</f>
        <v/>
      </c>
      <c r="K199" s="432" t="str" cm="1">
        <f t="array" ref="K199">IF(OR($A199="",$J199&lt;&gt;"DIESEL"),"",_xlfn.LET(_xlpm.qty,N($C199),_xlpm.pos,$T$5:$T$54,_xlpm.alo,IF($U$5:$U$54="",0,$U$5:$U$54),_xlpm.usd,SUMIFS($C$6:$C198,$K$6:$K198,_xlpm.pos&amp;""),_xlpm.bal,_xlpm.alo-_xlpm.usd,IFERROR(INDEX(_xlfn._xlws.FILTER(_xlpm.pos,(_xlpm.pos&lt;&gt;"")*(_xlpm.qty&gt;0)*(_xlpm.bal&gt;=_xlpm.qty)),1),"")))</f>
        <v/>
      </c>
      <c r="L199" s="290"/>
    </row>
    <row r="200" spans="1:12" ht="23" x14ac:dyDescent="0.25">
      <c r="A200" s="221" t="str" cm="1">
        <f t="array" ref="A200">IFERROR(INDEX(_xlfn.ANCHORARRAY($P$6),ROW()-5,1),"")</f>
        <v/>
      </c>
      <c r="B200" s="317" t="str" cm="1">
        <f t="array" ref="B200">IFERROR(INDEX(_xlfn.ANCHORARRAY($P$6),ROW()-5,2),"")</f>
        <v/>
      </c>
      <c r="C200" s="222" t="str">
        <f>IF($A200="","",IF($J200="DIESEL",SUMIFS(Table1[Quantity],Table1[Customer],$M$3,Table1[Date],$A200,Table1[Bill No.],$B200),IF($J200="PETROL",SUMIFS(Table14[Quantity],Table14[Customer],$M$3,Table14[Date],$A200,Table14[Bill No.],$B200),IF($J200="XtraGreen",SUMIFS(Table146[Quantity],Table146[Company],$M$3,Table146[Date],$A200,Table146[Bill No.],$B200),""))))</f>
        <v/>
      </c>
      <c r="D200" s="223" t="str">
        <f>IF($A200="","",IF($J200="DIESEL",AVERAGEIFS(Table1[RSP],Table1[Customer],$M$3,Table1[Date],$A200,Table1[Bill No.],$B200),IF($J200="PETROL",AVERAGEIFS(Table14[RSP],Table14[Customer],$M$3,Table14[Date],$A200,Table14[Bill No.],$B200),IF($J200="XtraGreen",AVERAGEIFS(Table146[RSP],Table146[Company],$M$3,Table146[Date],$A200,Table146[Bill No.],$B200),IFERROR($E200/$C200,"")))))</f>
        <v/>
      </c>
      <c r="E200" s="330" t="str">
        <f>IF($A200="","",IF($J200="DIESEL",SUMIFS(Table1[Amount],Table1[Customer],$M$3,Table1[Date],$A200,Table1[Bill No.],$B200),IF($J200="PETROL",SUMIFS(Table14[Amount],Table14[Customer],$M$3,Table14[Date],$A200,Table14[Bill No.],$B200),IF($J200="XtraGreen",SUMIFS(Table146[Amount],Table146[Company],$M$3,Table146[Date],$A200,Table146[Bill No.],$B200),SUMIFS('Other Sale'!$D:$D,'Other Sale'!$E:$E,$M$3,'Other Sale'!$C:$C,$J200,'Other Sale'!$A:$A,$A200)))))</f>
        <v/>
      </c>
      <c r="F200" s="330" t="str" cm="1">
        <f t="array" ref="F200">IF($A200="","",IF($J200="Payment",IFERROR(INDEX(_xlfn._xlws.FILTER(MasterPaid[Amount Paid],(MasterPaid[Customer]=$M$3)*(MasterPaid[Date]=$A200)),COUNTIFS($A$6:$A200,$A200,$J$6:$J200,"Payment")),0),0))</f>
        <v/>
      </c>
      <c r="G200" s="331"/>
      <c r="H200" s="331"/>
      <c r="I200" s="330" t="str">
        <f t="shared" si="12"/>
        <v/>
      </c>
      <c r="J200" s="318" t="str" cm="1">
        <f t="array" ref="J200">IFERROR(INDEX(_xlfn.ANCHORARRAY($P$6),ROW()-5,3),"")</f>
        <v/>
      </c>
      <c r="K200" s="432" t="str" cm="1">
        <f t="array" ref="K200">IF(OR($A200="",$J200&lt;&gt;"DIESEL"),"",_xlfn.LET(_xlpm.qty,N($C200),_xlpm.pos,$T$5:$T$54,_xlpm.alo,IF($U$5:$U$54="",0,$U$5:$U$54),_xlpm.usd,SUMIFS($C$6:$C199,$K$6:$K199,_xlpm.pos&amp;""),_xlpm.bal,_xlpm.alo-_xlpm.usd,IFERROR(INDEX(_xlfn._xlws.FILTER(_xlpm.pos,(_xlpm.pos&lt;&gt;"")*(_xlpm.qty&gt;0)*(_xlpm.bal&gt;=_xlpm.qty)),1),"")))</f>
        <v/>
      </c>
      <c r="L200" s="290"/>
    </row>
    <row r="201" spans="1:12" ht="23" x14ac:dyDescent="0.25">
      <c r="A201" s="221" t="str" cm="1">
        <f t="array" ref="A201">IFERROR(INDEX(_xlfn.ANCHORARRAY($P$6),ROW()-5,1),"")</f>
        <v/>
      </c>
      <c r="B201" s="317" t="str" cm="1">
        <f t="array" ref="B201">IFERROR(INDEX(_xlfn.ANCHORARRAY($P$6),ROW()-5,2),"")</f>
        <v/>
      </c>
      <c r="C201" s="222" t="str">
        <f>IF($A201="","",IF($J201="DIESEL",SUMIFS(Table1[Quantity],Table1[Customer],$M$3,Table1[Date],$A201,Table1[Bill No.],$B201),IF($J201="PETROL",SUMIFS(Table14[Quantity],Table14[Customer],$M$3,Table14[Date],$A201,Table14[Bill No.],$B201),IF($J201="XtraGreen",SUMIFS(Table146[Quantity],Table146[Company],$M$3,Table146[Date],$A201,Table146[Bill No.],$B201),""))))</f>
        <v/>
      </c>
      <c r="D201" s="223" t="str">
        <f>IF($A201="","",IF($J201="DIESEL",AVERAGEIFS(Table1[RSP],Table1[Customer],$M$3,Table1[Date],$A201,Table1[Bill No.],$B201),IF($J201="PETROL",AVERAGEIFS(Table14[RSP],Table14[Customer],$M$3,Table14[Date],$A201,Table14[Bill No.],$B201),IF($J201="XtraGreen",AVERAGEIFS(Table146[RSP],Table146[Company],$M$3,Table146[Date],$A201,Table146[Bill No.],$B201),IFERROR($E201/$C201,"")))))</f>
        <v/>
      </c>
      <c r="E201" s="330" t="str">
        <f>IF($A201="","",IF($J201="DIESEL",SUMIFS(Table1[Amount],Table1[Customer],$M$3,Table1[Date],$A201,Table1[Bill No.],$B201),IF($J201="PETROL",SUMIFS(Table14[Amount],Table14[Customer],$M$3,Table14[Date],$A201,Table14[Bill No.],$B201),IF($J201="XtraGreen",SUMIFS(Table146[Amount],Table146[Company],$M$3,Table146[Date],$A201,Table146[Bill No.],$B201),SUMIFS('Other Sale'!$D:$D,'Other Sale'!$E:$E,$M$3,'Other Sale'!$C:$C,$J201,'Other Sale'!$A:$A,$A201)))))</f>
        <v/>
      </c>
      <c r="F201" s="330" t="str" cm="1">
        <f t="array" ref="F201">IF($A201="","",IF($J201="Payment",IFERROR(INDEX(_xlfn._xlws.FILTER(MasterPaid[Amount Paid],(MasterPaid[Customer]=$M$3)*(MasterPaid[Date]=$A201)),COUNTIFS($A$6:$A201,$A201,$J$6:$J201,"Payment")),0),0))</f>
        <v/>
      </c>
      <c r="G201" s="331"/>
      <c r="H201" s="331"/>
      <c r="I201" s="330" t="str">
        <f t="shared" si="12"/>
        <v/>
      </c>
      <c r="J201" s="318" t="str" cm="1">
        <f t="array" ref="J201">IFERROR(INDEX(_xlfn.ANCHORARRAY($P$6),ROW()-5,3),"")</f>
        <v/>
      </c>
      <c r="K201" s="432" t="str" cm="1">
        <f t="array" ref="K201">IF(OR($A201="",$J201&lt;&gt;"DIESEL"),"",_xlfn.LET(_xlpm.qty,N($C201),_xlpm.pos,$T$5:$T$54,_xlpm.alo,IF($U$5:$U$54="",0,$U$5:$U$54),_xlpm.usd,SUMIFS($C$6:$C200,$K$6:$K200,_xlpm.pos&amp;""),_xlpm.bal,_xlpm.alo-_xlpm.usd,IFERROR(INDEX(_xlfn._xlws.FILTER(_xlpm.pos,(_xlpm.pos&lt;&gt;"")*(_xlpm.qty&gt;0)*(_xlpm.bal&gt;=_xlpm.qty)),1),"")))</f>
        <v/>
      </c>
      <c r="L201" s="290"/>
    </row>
    <row r="202" spans="1:12" ht="23" x14ac:dyDescent="0.25">
      <c r="A202" s="221" t="str" cm="1">
        <f t="array" ref="A202">IFERROR(INDEX(_xlfn.ANCHORARRAY($P$6),ROW()-5,1),"")</f>
        <v/>
      </c>
      <c r="B202" s="317" t="str" cm="1">
        <f t="array" ref="B202">IFERROR(INDEX(_xlfn.ANCHORARRAY($P$6),ROW()-5,2),"")</f>
        <v/>
      </c>
      <c r="C202" s="222" t="str">
        <f>IF($A202="","",IF($J202="DIESEL",SUMIFS(Table1[Quantity],Table1[Customer],$M$3,Table1[Date],$A202,Table1[Bill No.],$B202),IF($J202="PETROL",SUMIFS(Table14[Quantity],Table14[Customer],$M$3,Table14[Date],$A202,Table14[Bill No.],$B202),IF($J202="XtraGreen",SUMIFS(Table146[Quantity],Table146[Company],$M$3,Table146[Date],$A202,Table146[Bill No.],$B202),""))))</f>
        <v/>
      </c>
      <c r="D202" s="223" t="str">
        <f>IF($A202="","",IF($J202="DIESEL",AVERAGEIFS(Table1[RSP],Table1[Customer],$M$3,Table1[Date],$A202,Table1[Bill No.],$B202),IF($J202="PETROL",AVERAGEIFS(Table14[RSP],Table14[Customer],$M$3,Table14[Date],$A202,Table14[Bill No.],$B202),IF($J202="XtraGreen",AVERAGEIFS(Table146[RSP],Table146[Company],$M$3,Table146[Date],$A202,Table146[Bill No.],$B202),IFERROR($E202/$C202,"")))))</f>
        <v/>
      </c>
      <c r="E202" s="330" t="str">
        <f>IF($A202="","",IF($J202="DIESEL",SUMIFS(Table1[Amount],Table1[Customer],$M$3,Table1[Date],$A202,Table1[Bill No.],$B202),IF($J202="PETROL",SUMIFS(Table14[Amount],Table14[Customer],$M$3,Table14[Date],$A202,Table14[Bill No.],$B202),IF($J202="XtraGreen",SUMIFS(Table146[Amount],Table146[Company],$M$3,Table146[Date],$A202,Table146[Bill No.],$B202),SUMIFS('Other Sale'!$D:$D,'Other Sale'!$E:$E,$M$3,'Other Sale'!$C:$C,$J202,'Other Sale'!$A:$A,$A202)))))</f>
        <v/>
      </c>
      <c r="F202" s="330" t="str" cm="1">
        <f t="array" ref="F202">IF($A202="","",IF($J202="Payment",IFERROR(INDEX(_xlfn._xlws.FILTER(MasterPaid[Amount Paid],(MasterPaid[Customer]=$M$3)*(MasterPaid[Date]=$A202)),COUNTIFS($A$6:$A202,$A202,$J$6:$J202,"Payment")),0),0))</f>
        <v/>
      </c>
      <c r="G202" s="331"/>
      <c r="H202" s="331"/>
      <c r="I202" s="330" t="str">
        <f t="shared" si="12"/>
        <v/>
      </c>
      <c r="J202" s="318" t="str" cm="1">
        <f t="array" ref="J202">IFERROR(INDEX(_xlfn.ANCHORARRAY($P$6),ROW()-5,3),"")</f>
        <v/>
      </c>
      <c r="K202" s="432" t="str" cm="1">
        <f t="array" ref="K202">IF(OR($A202="",$J202&lt;&gt;"DIESEL"),"",_xlfn.LET(_xlpm.qty,N($C202),_xlpm.pos,$T$5:$T$54,_xlpm.alo,IF($U$5:$U$54="",0,$U$5:$U$54),_xlpm.usd,SUMIFS($C$6:$C201,$K$6:$K201,_xlpm.pos&amp;""),_xlpm.bal,_xlpm.alo-_xlpm.usd,IFERROR(INDEX(_xlfn._xlws.FILTER(_xlpm.pos,(_xlpm.pos&lt;&gt;"")*(_xlpm.qty&gt;0)*(_xlpm.bal&gt;=_xlpm.qty)),1),"")))</f>
        <v/>
      </c>
      <c r="L202" s="290"/>
    </row>
    <row r="203" spans="1:12" ht="23" x14ac:dyDescent="0.25">
      <c r="A203" s="221" t="str" cm="1">
        <f t="array" ref="A203">IFERROR(INDEX(_xlfn.ANCHORARRAY($P$6),ROW()-5,1),"")</f>
        <v/>
      </c>
      <c r="B203" s="317" t="str" cm="1">
        <f t="array" ref="B203">IFERROR(INDEX(_xlfn.ANCHORARRAY($P$6),ROW()-5,2),"")</f>
        <v/>
      </c>
      <c r="C203" s="222" t="str">
        <f>IF($A203="","",IF($J203="DIESEL",SUMIFS(Table1[Quantity],Table1[Customer],$M$3,Table1[Date],$A203,Table1[Bill No.],$B203),IF($J203="PETROL",SUMIFS(Table14[Quantity],Table14[Customer],$M$3,Table14[Date],$A203,Table14[Bill No.],$B203),IF($J203="XtraGreen",SUMIFS(Table146[Quantity],Table146[Company],$M$3,Table146[Date],$A203,Table146[Bill No.],$B203),""))))</f>
        <v/>
      </c>
      <c r="D203" s="223" t="str">
        <f>IF($A203="","",IF($J203="DIESEL",AVERAGEIFS(Table1[RSP],Table1[Customer],$M$3,Table1[Date],$A203,Table1[Bill No.],$B203),IF($J203="PETROL",AVERAGEIFS(Table14[RSP],Table14[Customer],$M$3,Table14[Date],$A203,Table14[Bill No.],$B203),IF($J203="XtraGreen",AVERAGEIFS(Table146[RSP],Table146[Company],$M$3,Table146[Date],$A203,Table146[Bill No.],$B203),IFERROR($E203/$C203,"")))))</f>
        <v/>
      </c>
      <c r="E203" s="330" t="str">
        <f>IF($A203="","",IF($J203="DIESEL",SUMIFS(Table1[Amount],Table1[Customer],$M$3,Table1[Date],$A203,Table1[Bill No.],$B203),IF($J203="PETROL",SUMIFS(Table14[Amount],Table14[Customer],$M$3,Table14[Date],$A203,Table14[Bill No.],$B203),IF($J203="XtraGreen",SUMIFS(Table146[Amount],Table146[Company],$M$3,Table146[Date],$A203,Table146[Bill No.],$B203),SUMIFS('Other Sale'!$D:$D,'Other Sale'!$E:$E,$M$3,'Other Sale'!$C:$C,$J203,'Other Sale'!$A:$A,$A203)))))</f>
        <v/>
      </c>
      <c r="F203" s="330" t="str" cm="1">
        <f t="array" ref="F203">IF($A203="","",IF($J203="Payment",IFERROR(INDEX(_xlfn._xlws.FILTER(MasterPaid[Amount Paid],(MasterPaid[Customer]=$M$3)*(MasterPaid[Date]=$A203)),COUNTIFS($A$6:$A203,$A203,$J$6:$J203,"Payment")),0),0))</f>
        <v/>
      </c>
      <c r="G203" s="331"/>
      <c r="H203" s="331"/>
      <c r="I203" s="330" t="str">
        <f t="shared" si="12"/>
        <v/>
      </c>
      <c r="J203" s="318" t="str" cm="1">
        <f t="array" ref="J203">IFERROR(INDEX(_xlfn.ANCHORARRAY($P$6),ROW()-5,3),"")</f>
        <v/>
      </c>
      <c r="K203" s="432" t="str" cm="1">
        <f t="array" ref="K203">IF(OR($A203="",$J203&lt;&gt;"DIESEL"),"",_xlfn.LET(_xlpm.qty,N($C203),_xlpm.pos,$T$5:$T$54,_xlpm.alo,IF($U$5:$U$54="",0,$U$5:$U$54),_xlpm.usd,SUMIFS($C$6:$C202,$K$6:$K202,_xlpm.pos&amp;""),_xlpm.bal,_xlpm.alo-_xlpm.usd,IFERROR(INDEX(_xlfn._xlws.FILTER(_xlpm.pos,(_xlpm.pos&lt;&gt;"")*(_xlpm.qty&gt;0)*(_xlpm.bal&gt;=_xlpm.qty)),1),"")))</f>
        <v/>
      </c>
      <c r="L203" s="290"/>
    </row>
    <row r="204" spans="1:12" ht="23" x14ac:dyDescent="0.25">
      <c r="A204" s="221" t="str" cm="1">
        <f t="array" ref="A204">IFERROR(INDEX(_xlfn.ANCHORARRAY($P$6),ROW()-5,1),"")</f>
        <v/>
      </c>
      <c r="B204" s="317" t="str" cm="1">
        <f t="array" ref="B204">IFERROR(INDEX(_xlfn.ANCHORARRAY($P$6),ROW()-5,2),"")</f>
        <v/>
      </c>
      <c r="C204" s="222" t="str">
        <f>IF($A204="","",IF($J204="DIESEL",SUMIFS(Table1[Quantity],Table1[Customer],$M$3,Table1[Date],$A204,Table1[Bill No.],$B204),IF($J204="PETROL",SUMIFS(Table14[Quantity],Table14[Customer],$M$3,Table14[Date],$A204,Table14[Bill No.],$B204),IF($J204="XtraGreen",SUMIFS(Table146[Quantity],Table146[Company],$M$3,Table146[Date],$A204,Table146[Bill No.],$B204),""))))</f>
        <v/>
      </c>
      <c r="D204" s="223" t="str">
        <f>IF($A204="","",IF($J204="DIESEL",AVERAGEIFS(Table1[RSP],Table1[Customer],$M$3,Table1[Date],$A204,Table1[Bill No.],$B204),IF($J204="PETROL",AVERAGEIFS(Table14[RSP],Table14[Customer],$M$3,Table14[Date],$A204,Table14[Bill No.],$B204),IF($J204="XtraGreen",AVERAGEIFS(Table146[RSP],Table146[Company],$M$3,Table146[Date],$A204,Table146[Bill No.],$B204),IFERROR($E204/$C204,"")))))</f>
        <v/>
      </c>
      <c r="E204" s="330" t="str">
        <f>IF($A204="","",IF($J204="DIESEL",SUMIFS(Table1[Amount],Table1[Customer],$M$3,Table1[Date],$A204,Table1[Bill No.],$B204),IF($J204="PETROL",SUMIFS(Table14[Amount],Table14[Customer],$M$3,Table14[Date],$A204,Table14[Bill No.],$B204),IF($J204="XtraGreen",SUMIFS(Table146[Amount],Table146[Company],$M$3,Table146[Date],$A204,Table146[Bill No.],$B204),SUMIFS('Other Sale'!$D:$D,'Other Sale'!$E:$E,$M$3,'Other Sale'!$C:$C,$J204,'Other Sale'!$A:$A,$A204)))))</f>
        <v/>
      </c>
      <c r="F204" s="330" t="str" cm="1">
        <f t="array" ref="F204">IF($A204="","",IF($J204="Payment",IFERROR(INDEX(_xlfn._xlws.FILTER(MasterPaid[Amount Paid],(MasterPaid[Customer]=$M$3)*(MasterPaid[Date]=$A204)),COUNTIFS($A$6:$A204,$A204,$J$6:$J204,"Payment")),0),0))</f>
        <v/>
      </c>
      <c r="G204" s="331"/>
      <c r="H204" s="331"/>
      <c r="I204" s="330" t="str">
        <f t="shared" si="12"/>
        <v/>
      </c>
      <c r="J204" s="318" t="str" cm="1">
        <f t="array" ref="J204">IFERROR(INDEX(_xlfn.ANCHORARRAY($P$6),ROW()-5,3),"")</f>
        <v/>
      </c>
      <c r="K204" s="432" t="str" cm="1">
        <f t="array" ref="K204">IF(OR($A204="",$J204&lt;&gt;"DIESEL"),"",_xlfn.LET(_xlpm.qty,N($C204),_xlpm.pos,$T$5:$T$54,_xlpm.alo,IF($U$5:$U$54="",0,$U$5:$U$54),_xlpm.usd,SUMIFS($C$6:$C203,$K$6:$K203,_xlpm.pos&amp;""),_xlpm.bal,_xlpm.alo-_xlpm.usd,IFERROR(INDEX(_xlfn._xlws.FILTER(_xlpm.pos,(_xlpm.pos&lt;&gt;"")*(_xlpm.qty&gt;0)*(_xlpm.bal&gt;=_xlpm.qty)),1),"")))</f>
        <v/>
      </c>
      <c r="L204" s="290"/>
    </row>
    <row r="205" spans="1:12" ht="23" x14ac:dyDescent="0.25">
      <c r="A205" s="221" t="str" cm="1">
        <f t="array" ref="A205">IFERROR(INDEX(_xlfn.ANCHORARRAY($P$6),ROW()-5,1),"")</f>
        <v/>
      </c>
      <c r="B205" s="317" t="str" cm="1">
        <f t="array" ref="B205">IFERROR(INDEX(_xlfn.ANCHORARRAY($P$6),ROW()-5,2),"")</f>
        <v/>
      </c>
      <c r="C205" s="222" t="str">
        <f>IF($A205="","",IF($J205="DIESEL",SUMIFS(Table1[Quantity],Table1[Customer],$M$3,Table1[Date],$A205,Table1[Bill No.],$B205),IF($J205="PETROL",SUMIFS(Table14[Quantity],Table14[Customer],$M$3,Table14[Date],$A205,Table14[Bill No.],$B205),IF($J205="XtraGreen",SUMIFS(Table146[Quantity],Table146[Company],$M$3,Table146[Date],$A205,Table146[Bill No.],$B205),""))))</f>
        <v/>
      </c>
      <c r="D205" s="223" t="str">
        <f>IF($A205="","",IF($J205="DIESEL",AVERAGEIFS(Table1[RSP],Table1[Customer],$M$3,Table1[Date],$A205,Table1[Bill No.],$B205),IF($J205="PETROL",AVERAGEIFS(Table14[RSP],Table14[Customer],$M$3,Table14[Date],$A205,Table14[Bill No.],$B205),IF($J205="XtraGreen",AVERAGEIFS(Table146[RSP],Table146[Company],$M$3,Table146[Date],$A205,Table146[Bill No.],$B205),IFERROR($E205/$C205,"")))))</f>
        <v/>
      </c>
      <c r="E205" s="330" t="str">
        <f>IF($A205="","",IF($J205="DIESEL",SUMIFS(Table1[Amount],Table1[Customer],$M$3,Table1[Date],$A205,Table1[Bill No.],$B205),IF($J205="PETROL",SUMIFS(Table14[Amount],Table14[Customer],$M$3,Table14[Date],$A205,Table14[Bill No.],$B205),IF($J205="XtraGreen",SUMIFS(Table146[Amount],Table146[Company],$M$3,Table146[Date],$A205,Table146[Bill No.],$B205),SUMIFS('Other Sale'!$D:$D,'Other Sale'!$E:$E,$M$3,'Other Sale'!$C:$C,$J205,'Other Sale'!$A:$A,$A205)))))</f>
        <v/>
      </c>
      <c r="F205" s="330" t="str" cm="1">
        <f t="array" ref="F205">IF($A205="","",IF($J205="Payment",IFERROR(INDEX(_xlfn._xlws.FILTER(MasterPaid[Amount Paid],(MasterPaid[Customer]=$M$3)*(MasterPaid[Date]=$A205)),COUNTIFS($A$6:$A205,$A205,$J$6:$J205,"Payment")),0),0))</f>
        <v/>
      </c>
      <c r="G205" s="331"/>
      <c r="H205" s="331"/>
      <c r="I205" s="330" t="str">
        <f t="shared" si="12"/>
        <v/>
      </c>
      <c r="J205" s="318" t="str" cm="1">
        <f t="array" ref="J205">IFERROR(INDEX(_xlfn.ANCHORARRAY($P$6),ROW()-5,3),"")</f>
        <v/>
      </c>
      <c r="K205" s="432" t="str" cm="1">
        <f t="array" ref="K205">IF(OR($A205="",$J205&lt;&gt;"DIESEL"),"",_xlfn.LET(_xlpm.qty,N($C205),_xlpm.pos,$T$5:$T$54,_xlpm.alo,IF($U$5:$U$54="",0,$U$5:$U$54),_xlpm.usd,SUMIFS($C$6:$C204,$K$6:$K204,_xlpm.pos&amp;""),_xlpm.bal,_xlpm.alo-_xlpm.usd,IFERROR(INDEX(_xlfn._xlws.FILTER(_xlpm.pos,(_xlpm.pos&lt;&gt;"")*(_xlpm.qty&gt;0)*(_xlpm.bal&gt;=_xlpm.qty)),1),"")))</f>
        <v/>
      </c>
      <c r="L205" s="290"/>
    </row>
    <row r="206" spans="1:12" ht="23" x14ac:dyDescent="0.25">
      <c r="A206" s="221" t="str" cm="1">
        <f t="array" ref="A206">IFERROR(INDEX(_xlfn.ANCHORARRAY($P$6),ROW()-5,1),"")</f>
        <v/>
      </c>
      <c r="B206" s="317" t="str" cm="1">
        <f t="array" ref="B206">IFERROR(INDEX(_xlfn.ANCHORARRAY($P$6),ROW()-5,2),"")</f>
        <v/>
      </c>
      <c r="C206" s="222" t="str">
        <f>IF($A206="","",IF($J206="DIESEL",SUMIFS(Table1[Quantity],Table1[Customer],$M$3,Table1[Date],$A206,Table1[Bill No.],$B206),IF($J206="PETROL",SUMIFS(Table14[Quantity],Table14[Customer],$M$3,Table14[Date],$A206,Table14[Bill No.],$B206),IF($J206="XtraGreen",SUMIFS(Table146[Quantity],Table146[Company],$M$3,Table146[Date],$A206,Table146[Bill No.],$B206),""))))</f>
        <v/>
      </c>
      <c r="D206" s="223" t="str">
        <f>IF($A206="","",IF($J206="DIESEL",AVERAGEIFS(Table1[RSP],Table1[Customer],$M$3,Table1[Date],$A206,Table1[Bill No.],$B206),IF($J206="PETROL",AVERAGEIFS(Table14[RSP],Table14[Customer],$M$3,Table14[Date],$A206,Table14[Bill No.],$B206),IF($J206="XtraGreen",AVERAGEIFS(Table146[RSP],Table146[Company],$M$3,Table146[Date],$A206,Table146[Bill No.],$B206),IFERROR($E206/$C206,"")))))</f>
        <v/>
      </c>
      <c r="E206" s="330" t="str">
        <f>IF($A206="","",IF($J206="DIESEL",SUMIFS(Table1[Amount],Table1[Customer],$M$3,Table1[Date],$A206,Table1[Bill No.],$B206),IF($J206="PETROL",SUMIFS(Table14[Amount],Table14[Customer],$M$3,Table14[Date],$A206,Table14[Bill No.],$B206),IF($J206="XtraGreen",SUMIFS(Table146[Amount],Table146[Company],$M$3,Table146[Date],$A206,Table146[Bill No.],$B206),SUMIFS('Other Sale'!$D:$D,'Other Sale'!$E:$E,$M$3,'Other Sale'!$C:$C,$J206,'Other Sale'!$A:$A,$A206)))))</f>
        <v/>
      </c>
      <c r="F206" s="330" t="str" cm="1">
        <f t="array" ref="F206">IF($A206="","",IF($J206="Payment",IFERROR(INDEX(_xlfn._xlws.FILTER(MasterPaid[Amount Paid],(MasterPaid[Customer]=$M$3)*(MasterPaid[Date]=$A206)),COUNTIFS($A$6:$A206,$A206,$J$6:$J206,"Payment")),0),0))</f>
        <v/>
      </c>
      <c r="G206" s="331"/>
      <c r="H206" s="331"/>
      <c r="I206" s="330" t="str">
        <f t="shared" si="12"/>
        <v/>
      </c>
      <c r="J206" s="318" t="str" cm="1">
        <f t="array" ref="J206">IFERROR(INDEX(_xlfn.ANCHORARRAY($P$6),ROW()-5,3),"")</f>
        <v/>
      </c>
      <c r="K206" s="432" t="str" cm="1">
        <f t="array" ref="K206">IF(OR($A206="",$J206&lt;&gt;"DIESEL"),"",_xlfn.LET(_xlpm.qty,N($C206),_xlpm.pos,$T$5:$T$54,_xlpm.alo,IF($U$5:$U$54="",0,$U$5:$U$54),_xlpm.usd,SUMIFS($C$6:$C205,$K$6:$K205,_xlpm.pos&amp;""),_xlpm.bal,_xlpm.alo-_xlpm.usd,IFERROR(INDEX(_xlfn._xlws.FILTER(_xlpm.pos,(_xlpm.pos&lt;&gt;"")*(_xlpm.qty&gt;0)*(_xlpm.bal&gt;=_xlpm.qty)),1),"")))</f>
        <v/>
      </c>
      <c r="L206" s="290"/>
    </row>
    <row r="207" spans="1:12" ht="23" x14ac:dyDescent="0.25">
      <c r="A207" s="221" t="str" cm="1">
        <f t="array" ref="A207">IFERROR(INDEX(_xlfn.ANCHORARRAY($P$6),ROW()-5,1),"")</f>
        <v/>
      </c>
      <c r="B207" s="317" t="str" cm="1">
        <f t="array" ref="B207">IFERROR(INDEX(_xlfn.ANCHORARRAY($P$6),ROW()-5,2),"")</f>
        <v/>
      </c>
      <c r="C207" s="222" t="str">
        <f>IF($A207="","",IF($J207="DIESEL",SUMIFS(Table1[Quantity],Table1[Customer],$M$3,Table1[Date],$A207,Table1[Bill No.],$B207),IF($J207="PETROL",SUMIFS(Table14[Quantity],Table14[Customer],$M$3,Table14[Date],$A207,Table14[Bill No.],$B207),IF($J207="XtraGreen",SUMIFS(Table146[Quantity],Table146[Company],$M$3,Table146[Date],$A207,Table146[Bill No.],$B207),""))))</f>
        <v/>
      </c>
      <c r="D207" s="223" t="str">
        <f>IF($A207="","",IF($J207="DIESEL",AVERAGEIFS(Table1[RSP],Table1[Customer],$M$3,Table1[Date],$A207,Table1[Bill No.],$B207),IF($J207="PETROL",AVERAGEIFS(Table14[RSP],Table14[Customer],$M$3,Table14[Date],$A207,Table14[Bill No.],$B207),IF($J207="XtraGreen",AVERAGEIFS(Table146[RSP],Table146[Company],$M$3,Table146[Date],$A207,Table146[Bill No.],$B207),IFERROR($E207/$C207,"")))))</f>
        <v/>
      </c>
      <c r="E207" s="330" t="str">
        <f>IF($A207="","",IF($J207="DIESEL",SUMIFS(Table1[Amount],Table1[Customer],$M$3,Table1[Date],$A207,Table1[Bill No.],$B207),IF($J207="PETROL",SUMIFS(Table14[Amount],Table14[Customer],$M$3,Table14[Date],$A207,Table14[Bill No.],$B207),IF($J207="XtraGreen",SUMIFS(Table146[Amount],Table146[Company],$M$3,Table146[Date],$A207,Table146[Bill No.],$B207),SUMIFS('Other Sale'!$D:$D,'Other Sale'!$E:$E,$M$3,'Other Sale'!$C:$C,$J207,'Other Sale'!$A:$A,$A207)))))</f>
        <v/>
      </c>
      <c r="F207" s="330" t="str" cm="1">
        <f t="array" ref="F207">IF($A207="","",IF($J207="Payment",IFERROR(INDEX(_xlfn._xlws.FILTER(MasterPaid[Amount Paid],(MasterPaid[Customer]=$M$3)*(MasterPaid[Date]=$A207)),COUNTIFS($A$6:$A207,$A207,$J$6:$J207,"Payment")),0),0))</f>
        <v/>
      </c>
      <c r="G207" s="331"/>
      <c r="H207" s="331"/>
      <c r="I207" s="330" t="str">
        <f t="shared" si="12"/>
        <v/>
      </c>
      <c r="J207" s="318" t="str" cm="1">
        <f t="array" ref="J207">IFERROR(INDEX(_xlfn.ANCHORARRAY($P$6),ROW()-5,3),"")</f>
        <v/>
      </c>
      <c r="K207" s="432" t="str" cm="1">
        <f t="array" ref="K207">IF(OR($A207="",$J207&lt;&gt;"DIESEL"),"",_xlfn.LET(_xlpm.qty,N($C207),_xlpm.pos,$T$5:$T$54,_xlpm.alo,IF($U$5:$U$54="",0,$U$5:$U$54),_xlpm.usd,SUMIFS($C$6:$C206,$K$6:$K206,_xlpm.pos&amp;""),_xlpm.bal,_xlpm.alo-_xlpm.usd,IFERROR(INDEX(_xlfn._xlws.FILTER(_xlpm.pos,(_xlpm.pos&lt;&gt;"")*(_xlpm.qty&gt;0)*(_xlpm.bal&gt;=_xlpm.qty)),1),"")))</f>
        <v/>
      </c>
      <c r="L207" s="290"/>
    </row>
    <row r="208" spans="1:12" ht="23" x14ac:dyDescent="0.25">
      <c r="A208" s="221" t="str" cm="1">
        <f t="array" ref="A208">IFERROR(INDEX(_xlfn.ANCHORARRAY($P$6),ROW()-5,1),"")</f>
        <v/>
      </c>
      <c r="B208" s="317" t="str" cm="1">
        <f t="array" ref="B208">IFERROR(INDEX(_xlfn.ANCHORARRAY($P$6),ROW()-5,2),"")</f>
        <v/>
      </c>
      <c r="C208" s="222" t="str">
        <f>IF($A208="","",IF($J208="DIESEL",SUMIFS(Table1[Quantity],Table1[Customer],$M$3,Table1[Date],$A208,Table1[Bill No.],$B208),IF($J208="PETROL",SUMIFS(Table14[Quantity],Table14[Customer],$M$3,Table14[Date],$A208,Table14[Bill No.],$B208),IF($J208="XtraGreen",SUMIFS(Table146[Quantity],Table146[Company],$M$3,Table146[Date],$A208,Table146[Bill No.],$B208),""))))</f>
        <v/>
      </c>
      <c r="D208" s="223" t="str">
        <f>IF($A208="","",IF($J208="DIESEL",AVERAGEIFS(Table1[RSP],Table1[Customer],$M$3,Table1[Date],$A208,Table1[Bill No.],$B208),IF($J208="PETROL",AVERAGEIFS(Table14[RSP],Table14[Customer],$M$3,Table14[Date],$A208,Table14[Bill No.],$B208),IF($J208="XtraGreen",AVERAGEIFS(Table146[RSP],Table146[Company],$M$3,Table146[Date],$A208,Table146[Bill No.],$B208),IFERROR($E208/$C208,"")))))</f>
        <v/>
      </c>
      <c r="E208" s="330" t="str">
        <f>IF($A208="","",IF($J208="DIESEL",SUMIFS(Table1[Amount],Table1[Customer],$M$3,Table1[Date],$A208,Table1[Bill No.],$B208),IF($J208="PETROL",SUMIFS(Table14[Amount],Table14[Customer],$M$3,Table14[Date],$A208,Table14[Bill No.],$B208),IF($J208="XtraGreen",SUMIFS(Table146[Amount],Table146[Company],$M$3,Table146[Date],$A208,Table146[Bill No.],$B208),SUMIFS('Other Sale'!$D:$D,'Other Sale'!$E:$E,$M$3,'Other Sale'!$C:$C,$J208,'Other Sale'!$A:$A,$A208)))))</f>
        <v/>
      </c>
      <c r="F208" s="330" t="str" cm="1">
        <f t="array" ref="F208">IF($A208="","",IF($J208="Payment",IFERROR(INDEX(_xlfn._xlws.FILTER(MasterPaid[Amount Paid],(MasterPaid[Customer]=$M$3)*(MasterPaid[Date]=$A208)),COUNTIFS($A$6:$A208,$A208,$J$6:$J208,"Payment")),0),0))</f>
        <v/>
      </c>
      <c r="G208" s="331"/>
      <c r="H208" s="331"/>
      <c r="I208" s="330" t="str">
        <f t="shared" si="12"/>
        <v/>
      </c>
      <c r="J208" s="318" t="str" cm="1">
        <f t="array" ref="J208">IFERROR(INDEX(_xlfn.ANCHORARRAY($P$6),ROW()-5,3),"")</f>
        <v/>
      </c>
      <c r="K208" s="432" t="str" cm="1">
        <f t="array" ref="K208">IF(OR($A208="",$J208&lt;&gt;"DIESEL"),"",_xlfn.LET(_xlpm.qty,N($C208),_xlpm.pos,$T$5:$T$54,_xlpm.alo,IF($U$5:$U$54="",0,$U$5:$U$54),_xlpm.usd,SUMIFS($C$6:$C207,$K$6:$K207,_xlpm.pos&amp;""),_xlpm.bal,_xlpm.alo-_xlpm.usd,IFERROR(INDEX(_xlfn._xlws.FILTER(_xlpm.pos,(_xlpm.pos&lt;&gt;"")*(_xlpm.qty&gt;0)*(_xlpm.bal&gt;=_xlpm.qty)),1),"")))</f>
        <v/>
      </c>
      <c r="L208" s="290"/>
    </row>
    <row r="209" spans="1:12" ht="23" x14ac:dyDescent="0.25">
      <c r="A209" s="221" t="str" cm="1">
        <f t="array" ref="A209">IFERROR(INDEX(_xlfn.ANCHORARRAY($P$6),ROW()-5,1),"")</f>
        <v/>
      </c>
      <c r="B209" s="317" t="str" cm="1">
        <f t="array" ref="B209">IFERROR(INDEX(_xlfn.ANCHORARRAY($P$6),ROW()-5,2),"")</f>
        <v/>
      </c>
      <c r="C209" s="222" t="str">
        <f>IF($A209="","",IF($J209="DIESEL",SUMIFS(Table1[Quantity],Table1[Customer],$M$3,Table1[Date],$A209,Table1[Bill No.],$B209),IF($J209="PETROL",SUMIFS(Table14[Quantity],Table14[Customer],$M$3,Table14[Date],$A209,Table14[Bill No.],$B209),IF($J209="XtraGreen",SUMIFS(Table146[Quantity],Table146[Company],$M$3,Table146[Date],$A209,Table146[Bill No.],$B209),""))))</f>
        <v/>
      </c>
      <c r="D209" s="223" t="str">
        <f>IF($A209="","",IF($J209="DIESEL",AVERAGEIFS(Table1[RSP],Table1[Customer],$M$3,Table1[Date],$A209,Table1[Bill No.],$B209),IF($J209="PETROL",AVERAGEIFS(Table14[RSP],Table14[Customer],$M$3,Table14[Date],$A209,Table14[Bill No.],$B209),IF($J209="XtraGreen",AVERAGEIFS(Table146[RSP],Table146[Company],$M$3,Table146[Date],$A209,Table146[Bill No.],$B209),IFERROR($E209/$C209,"")))))</f>
        <v/>
      </c>
      <c r="E209" s="330" t="str">
        <f>IF($A209="","",IF($J209="DIESEL",SUMIFS(Table1[Amount],Table1[Customer],$M$3,Table1[Date],$A209,Table1[Bill No.],$B209),IF($J209="PETROL",SUMIFS(Table14[Amount],Table14[Customer],$M$3,Table14[Date],$A209,Table14[Bill No.],$B209),IF($J209="XtraGreen",SUMIFS(Table146[Amount],Table146[Company],$M$3,Table146[Date],$A209,Table146[Bill No.],$B209),SUMIFS('Other Sale'!$D:$D,'Other Sale'!$E:$E,$M$3,'Other Sale'!$C:$C,$J209,'Other Sale'!$A:$A,$A209)))))</f>
        <v/>
      </c>
      <c r="F209" s="330" t="str" cm="1">
        <f t="array" ref="F209">IF($A209="","",IF($J209="Payment",IFERROR(INDEX(_xlfn._xlws.FILTER(MasterPaid[Amount Paid],(MasterPaid[Customer]=$M$3)*(MasterPaid[Date]=$A209)),COUNTIFS($A$6:$A209,$A209,$J$6:$J209,"Payment")),0),0))</f>
        <v/>
      </c>
      <c r="G209" s="331"/>
      <c r="H209" s="331"/>
      <c r="I209" s="330" t="str">
        <f t="shared" si="12"/>
        <v/>
      </c>
      <c r="J209" s="318" t="str" cm="1">
        <f t="array" ref="J209">IFERROR(INDEX(_xlfn.ANCHORARRAY($P$6),ROW()-5,3),"")</f>
        <v/>
      </c>
      <c r="K209" s="432" t="str" cm="1">
        <f t="array" ref="K209">IF(OR($A209="",$J209&lt;&gt;"DIESEL"),"",_xlfn.LET(_xlpm.qty,N($C209),_xlpm.pos,$T$5:$T$54,_xlpm.alo,IF($U$5:$U$54="",0,$U$5:$U$54),_xlpm.usd,SUMIFS($C$6:$C208,$K$6:$K208,_xlpm.pos&amp;""),_xlpm.bal,_xlpm.alo-_xlpm.usd,IFERROR(INDEX(_xlfn._xlws.FILTER(_xlpm.pos,(_xlpm.pos&lt;&gt;"")*(_xlpm.qty&gt;0)*(_xlpm.bal&gt;=_xlpm.qty)),1),"")))</f>
        <v/>
      </c>
      <c r="L209" s="290"/>
    </row>
    <row r="210" spans="1:12" ht="23" x14ac:dyDescent="0.25">
      <c r="A210" s="221" t="str" cm="1">
        <f t="array" ref="A210">IFERROR(INDEX(_xlfn.ANCHORARRAY($P$6),ROW()-5,1),"")</f>
        <v/>
      </c>
      <c r="B210" s="317" t="str" cm="1">
        <f t="array" ref="B210">IFERROR(INDEX(_xlfn.ANCHORARRAY($P$6),ROW()-5,2),"")</f>
        <v/>
      </c>
      <c r="C210" s="222" t="str">
        <f>IF($A210="","",IF($J210="DIESEL",SUMIFS(Table1[Quantity],Table1[Customer],$M$3,Table1[Date],$A210,Table1[Bill No.],$B210),IF($J210="PETROL",SUMIFS(Table14[Quantity],Table14[Customer],$M$3,Table14[Date],$A210,Table14[Bill No.],$B210),IF($J210="XtraGreen",SUMIFS(Table146[Quantity],Table146[Company],$M$3,Table146[Date],$A210,Table146[Bill No.],$B210),""))))</f>
        <v/>
      </c>
      <c r="D210" s="223" t="str">
        <f>IF($A210="","",IF($J210="DIESEL",AVERAGEIFS(Table1[RSP],Table1[Customer],$M$3,Table1[Date],$A210,Table1[Bill No.],$B210),IF($J210="PETROL",AVERAGEIFS(Table14[RSP],Table14[Customer],$M$3,Table14[Date],$A210,Table14[Bill No.],$B210),IF($J210="XtraGreen",AVERAGEIFS(Table146[RSP],Table146[Company],$M$3,Table146[Date],$A210,Table146[Bill No.],$B210),IFERROR($E210/$C210,"")))))</f>
        <v/>
      </c>
      <c r="E210" s="330" t="str">
        <f>IF($A210="","",IF($J210="DIESEL",SUMIFS(Table1[Amount],Table1[Customer],$M$3,Table1[Date],$A210,Table1[Bill No.],$B210),IF($J210="PETROL",SUMIFS(Table14[Amount],Table14[Customer],$M$3,Table14[Date],$A210,Table14[Bill No.],$B210),IF($J210="XtraGreen",SUMIFS(Table146[Amount],Table146[Company],$M$3,Table146[Date],$A210,Table146[Bill No.],$B210),SUMIFS('Other Sale'!$D:$D,'Other Sale'!$E:$E,$M$3,'Other Sale'!$C:$C,$J210,'Other Sale'!$A:$A,$A210)))))</f>
        <v/>
      </c>
      <c r="F210" s="330" t="str" cm="1">
        <f t="array" ref="F210">IF($A210="","",IF($J210="Payment",IFERROR(INDEX(_xlfn._xlws.FILTER(MasterPaid[Amount Paid],(MasterPaid[Customer]=$M$3)*(MasterPaid[Date]=$A210)),COUNTIFS($A$6:$A210,$A210,$J$6:$J210,"Payment")),0),0))</f>
        <v/>
      </c>
      <c r="G210" s="331"/>
      <c r="H210" s="331"/>
      <c r="I210" s="330" t="str">
        <f t="shared" si="12"/>
        <v/>
      </c>
      <c r="J210" s="318" t="str" cm="1">
        <f t="array" ref="J210">IFERROR(INDEX(_xlfn.ANCHORARRAY($P$6),ROW()-5,3),"")</f>
        <v/>
      </c>
      <c r="K210" s="432" t="str" cm="1">
        <f t="array" ref="K210">IF(OR($A210="",$J210&lt;&gt;"DIESEL"),"",_xlfn.LET(_xlpm.qty,N($C210),_xlpm.pos,$T$5:$T$54,_xlpm.alo,IF($U$5:$U$54="",0,$U$5:$U$54),_xlpm.usd,SUMIFS($C$6:$C209,$K$6:$K209,_xlpm.pos&amp;""),_xlpm.bal,_xlpm.alo-_xlpm.usd,IFERROR(INDEX(_xlfn._xlws.FILTER(_xlpm.pos,(_xlpm.pos&lt;&gt;"")*(_xlpm.qty&gt;0)*(_xlpm.bal&gt;=_xlpm.qty)),1),"")))</f>
        <v/>
      </c>
      <c r="L210" s="290"/>
    </row>
    <row r="211" spans="1:12" ht="23" x14ac:dyDescent="0.25">
      <c r="A211" s="221" t="str" cm="1">
        <f t="array" ref="A211">IFERROR(INDEX(_xlfn.ANCHORARRAY($P$6),ROW()-5,1),"")</f>
        <v/>
      </c>
      <c r="B211" s="317" t="str" cm="1">
        <f t="array" ref="B211">IFERROR(INDEX(_xlfn.ANCHORARRAY($P$6),ROW()-5,2),"")</f>
        <v/>
      </c>
      <c r="C211" s="222" t="str">
        <f>IF($A211="","",IF($J211="DIESEL",SUMIFS(Table1[Quantity],Table1[Customer],$M$3,Table1[Date],$A211,Table1[Bill No.],$B211),IF($J211="PETROL",SUMIFS(Table14[Quantity],Table14[Customer],$M$3,Table14[Date],$A211,Table14[Bill No.],$B211),IF($J211="XtraGreen",SUMIFS(Table146[Quantity],Table146[Company],$M$3,Table146[Date],$A211,Table146[Bill No.],$B211),""))))</f>
        <v/>
      </c>
      <c r="D211" s="223" t="str">
        <f>IF($A211="","",IF($J211="DIESEL",AVERAGEIFS(Table1[RSP],Table1[Customer],$M$3,Table1[Date],$A211,Table1[Bill No.],$B211),IF($J211="PETROL",AVERAGEIFS(Table14[RSP],Table14[Customer],$M$3,Table14[Date],$A211,Table14[Bill No.],$B211),IF($J211="XtraGreen",AVERAGEIFS(Table146[RSP],Table146[Company],$M$3,Table146[Date],$A211,Table146[Bill No.],$B211),IFERROR($E211/$C211,"")))))</f>
        <v/>
      </c>
      <c r="E211" s="330" t="str">
        <f>IF($A211="","",IF($J211="DIESEL",SUMIFS(Table1[Amount],Table1[Customer],$M$3,Table1[Date],$A211,Table1[Bill No.],$B211),IF($J211="PETROL",SUMIFS(Table14[Amount],Table14[Customer],$M$3,Table14[Date],$A211,Table14[Bill No.],$B211),IF($J211="XtraGreen",SUMIFS(Table146[Amount],Table146[Company],$M$3,Table146[Date],$A211,Table146[Bill No.],$B211),SUMIFS('Other Sale'!$D:$D,'Other Sale'!$E:$E,$M$3,'Other Sale'!$C:$C,$J211,'Other Sale'!$A:$A,$A211)))))</f>
        <v/>
      </c>
      <c r="F211" s="330" t="str" cm="1">
        <f t="array" ref="F211">IF($A211="","",IF($J211="Payment",IFERROR(INDEX(_xlfn._xlws.FILTER(MasterPaid[Amount Paid],(MasterPaid[Customer]=$M$3)*(MasterPaid[Date]=$A211)),COUNTIFS($A$6:$A211,$A211,$J$6:$J211,"Payment")),0),0))</f>
        <v/>
      </c>
      <c r="G211" s="331"/>
      <c r="H211" s="331"/>
      <c r="I211" s="330" t="str">
        <f t="shared" si="12"/>
        <v/>
      </c>
      <c r="J211" s="318" t="str" cm="1">
        <f t="array" ref="J211">IFERROR(INDEX(_xlfn.ANCHORARRAY($P$6),ROW()-5,3),"")</f>
        <v/>
      </c>
      <c r="K211" s="432" t="str" cm="1">
        <f t="array" ref="K211">IF(OR($A211="",$J211&lt;&gt;"DIESEL"),"",_xlfn.LET(_xlpm.qty,N($C211),_xlpm.pos,$T$5:$T$54,_xlpm.alo,IF($U$5:$U$54="",0,$U$5:$U$54),_xlpm.usd,SUMIFS($C$6:$C210,$K$6:$K210,_xlpm.pos&amp;""),_xlpm.bal,_xlpm.alo-_xlpm.usd,IFERROR(INDEX(_xlfn._xlws.FILTER(_xlpm.pos,(_xlpm.pos&lt;&gt;"")*(_xlpm.qty&gt;0)*(_xlpm.bal&gt;=_xlpm.qty)),1),"")))</f>
        <v/>
      </c>
      <c r="L211" s="290"/>
    </row>
    <row r="212" spans="1:12" ht="23" x14ac:dyDescent="0.25">
      <c r="A212" s="221" t="str" cm="1">
        <f t="array" ref="A212">IFERROR(INDEX(_xlfn.ANCHORARRAY($P$6),ROW()-5,1),"")</f>
        <v/>
      </c>
      <c r="B212" s="317" t="str" cm="1">
        <f t="array" ref="B212">IFERROR(INDEX(_xlfn.ANCHORARRAY($P$6),ROW()-5,2),"")</f>
        <v/>
      </c>
      <c r="C212" s="222" t="str">
        <f>IF($A212="","",IF($J212="DIESEL",SUMIFS(Table1[Quantity],Table1[Customer],$M$3,Table1[Date],$A212,Table1[Bill No.],$B212),IF($J212="PETROL",SUMIFS(Table14[Quantity],Table14[Customer],$M$3,Table14[Date],$A212,Table14[Bill No.],$B212),IF($J212="XtraGreen",SUMIFS(Table146[Quantity],Table146[Company],$M$3,Table146[Date],$A212,Table146[Bill No.],$B212),""))))</f>
        <v/>
      </c>
      <c r="D212" s="223" t="str">
        <f>IF($A212="","",IF($J212="DIESEL",AVERAGEIFS(Table1[RSP],Table1[Customer],$M$3,Table1[Date],$A212,Table1[Bill No.],$B212),IF($J212="PETROL",AVERAGEIFS(Table14[RSP],Table14[Customer],$M$3,Table14[Date],$A212,Table14[Bill No.],$B212),IF($J212="XtraGreen",AVERAGEIFS(Table146[RSP],Table146[Company],$M$3,Table146[Date],$A212,Table146[Bill No.],$B212),IFERROR($E212/$C212,"")))))</f>
        <v/>
      </c>
      <c r="E212" s="330" t="str">
        <f>IF($A212="","",IF($J212="DIESEL",SUMIFS(Table1[Amount],Table1[Customer],$M$3,Table1[Date],$A212,Table1[Bill No.],$B212),IF($J212="PETROL",SUMIFS(Table14[Amount],Table14[Customer],$M$3,Table14[Date],$A212,Table14[Bill No.],$B212),IF($J212="XtraGreen",SUMIFS(Table146[Amount],Table146[Company],$M$3,Table146[Date],$A212,Table146[Bill No.],$B212),SUMIFS('Other Sale'!$D:$D,'Other Sale'!$E:$E,$M$3,'Other Sale'!$C:$C,$J212,'Other Sale'!$A:$A,$A212)))))</f>
        <v/>
      </c>
      <c r="F212" s="330" t="str" cm="1">
        <f t="array" ref="F212">IF($A212="","",IF($J212="Payment",IFERROR(INDEX(_xlfn._xlws.FILTER(MasterPaid[Amount Paid],(MasterPaid[Customer]=$M$3)*(MasterPaid[Date]=$A212)),COUNTIFS($A$6:$A212,$A212,$J$6:$J212,"Payment")),0),0))</f>
        <v/>
      </c>
      <c r="G212" s="331"/>
      <c r="H212" s="331"/>
      <c r="I212" s="330" t="str">
        <f t="shared" si="12"/>
        <v/>
      </c>
      <c r="J212" s="318" t="str" cm="1">
        <f t="array" ref="J212">IFERROR(INDEX(_xlfn.ANCHORARRAY($P$6),ROW()-5,3),"")</f>
        <v/>
      </c>
      <c r="K212" s="432" t="str" cm="1">
        <f t="array" ref="K212">IF(OR($A212="",$J212&lt;&gt;"DIESEL"),"",_xlfn.LET(_xlpm.qty,N($C212),_xlpm.pos,$T$5:$T$54,_xlpm.alo,IF($U$5:$U$54="",0,$U$5:$U$54),_xlpm.usd,SUMIFS($C$6:$C211,$K$6:$K211,_xlpm.pos&amp;""),_xlpm.bal,_xlpm.alo-_xlpm.usd,IFERROR(INDEX(_xlfn._xlws.FILTER(_xlpm.pos,(_xlpm.pos&lt;&gt;"")*(_xlpm.qty&gt;0)*(_xlpm.bal&gt;=_xlpm.qty)),1),"")))</f>
        <v/>
      </c>
      <c r="L212" s="290"/>
    </row>
    <row r="213" spans="1:12" ht="23" x14ac:dyDescent="0.25">
      <c r="A213" s="221" t="str" cm="1">
        <f t="array" ref="A213">IFERROR(INDEX(_xlfn.ANCHORARRAY($P$6),ROW()-5,1),"")</f>
        <v/>
      </c>
      <c r="B213" s="317" t="str" cm="1">
        <f t="array" ref="B213">IFERROR(INDEX(_xlfn.ANCHORARRAY($P$6),ROW()-5,2),"")</f>
        <v/>
      </c>
      <c r="C213" s="222" t="str">
        <f>IF($A213="","",IF($J213="DIESEL",SUMIFS(Table1[Quantity],Table1[Customer],$M$3,Table1[Date],$A213,Table1[Bill No.],$B213),IF($J213="PETROL",SUMIFS(Table14[Quantity],Table14[Customer],$M$3,Table14[Date],$A213,Table14[Bill No.],$B213),IF($J213="XtraGreen",SUMIFS(Table146[Quantity],Table146[Company],$M$3,Table146[Date],$A213,Table146[Bill No.],$B213),""))))</f>
        <v/>
      </c>
      <c r="D213" s="223" t="str">
        <f>IF($A213="","",IF($J213="DIESEL",AVERAGEIFS(Table1[RSP],Table1[Customer],$M$3,Table1[Date],$A213,Table1[Bill No.],$B213),IF($J213="PETROL",AVERAGEIFS(Table14[RSP],Table14[Customer],$M$3,Table14[Date],$A213,Table14[Bill No.],$B213),IF($J213="XtraGreen",AVERAGEIFS(Table146[RSP],Table146[Company],$M$3,Table146[Date],$A213,Table146[Bill No.],$B213),IFERROR($E213/$C213,"")))))</f>
        <v/>
      </c>
      <c r="E213" s="330" t="str">
        <f>IF($A213="","",IF($J213="DIESEL",SUMIFS(Table1[Amount],Table1[Customer],$M$3,Table1[Date],$A213,Table1[Bill No.],$B213),IF($J213="PETROL",SUMIFS(Table14[Amount],Table14[Customer],$M$3,Table14[Date],$A213,Table14[Bill No.],$B213),IF($J213="XtraGreen",SUMIFS(Table146[Amount],Table146[Company],$M$3,Table146[Date],$A213,Table146[Bill No.],$B213),SUMIFS('Other Sale'!$D:$D,'Other Sale'!$E:$E,$M$3,'Other Sale'!$C:$C,$J213,'Other Sale'!$A:$A,$A213)))))</f>
        <v/>
      </c>
      <c r="F213" s="330" t="str" cm="1">
        <f t="array" ref="F213">IF($A213="","",IF($J213="Payment",IFERROR(INDEX(_xlfn._xlws.FILTER(MasterPaid[Amount Paid],(MasterPaid[Customer]=$M$3)*(MasterPaid[Date]=$A213)),COUNTIFS($A$6:$A213,$A213,$J$6:$J213,"Payment")),0),0))</f>
        <v/>
      </c>
      <c r="G213" s="331"/>
      <c r="H213" s="331"/>
      <c r="I213" s="330" t="str">
        <f t="shared" si="12"/>
        <v/>
      </c>
      <c r="J213" s="318" t="str" cm="1">
        <f t="array" ref="J213">IFERROR(INDEX(_xlfn.ANCHORARRAY($P$6),ROW()-5,3),"")</f>
        <v/>
      </c>
      <c r="K213" s="432" t="str" cm="1">
        <f t="array" ref="K213">IF(OR($A213="",$J213&lt;&gt;"DIESEL"),"",_xlfn.LET(_xlpm.qty,N($C213),_xlpm.pos,$T$5:$T$54,_xlpm.alo,IF($U$5:$U$54="",0,$U$5:$U$54),_xlpm.usd,SUMIFS($C$6:$C212,$K$6:$K212,_xlpm.pos&amp;""),_xlpm.bal,_xlpm.alo-_xlpm.usd,IFERROR(INDEX(_xlfn._xlws.FILTER(_xlpm.pos,(_xlpm.pos&lt;&gt;"")*(_xlpm.qty&gt;0)*(_xlpm.bal&gt;=_xlpm.qty)),1),"")))</f>
        <v/>
      </c>
      <c r="L213" s="290"/>
    </row>
    <row r="214" spans="1:12" ht="23" x14ac:dyDescent="0.25">
      <c r="A214" s="221" t="str" cm="1">
        <f t="array" ref="A214">IFERROR(INDEX(_xlfn.ANCHORARRAY($P$6),ROW()-5,1),"")</f>
        <v/>
      </c>
      <c r="B214" s="317" t="str" cm="1">
        <f t="array" ref="B214">IFERROR(INDEX(_xlfn.ANCHORARRAY($P$6),ROW()-5,2),"")</f>
        <v/>
      </c>
      <c r="C214" s="222" t="str">
        <f>IF($A214="","",IF($J214="DIESEL",SUMIFS(Table1[Quantity],Table1[Customer],$M$3,Table1[Date],$A214,Table1[Bill No.],$B214),IF($J214="PETROL",SUMIFS(Table14[Quantity],Table14[Customer],$M$3,Table14[Date],$A214,Table14[Bill No.],$B214),IF($J214="XtraGreen",SUMIFS(Table146[Quantity],Table146[Company],$M$3,Table146[Date],$A214,Table146[Bill No.],$B214),""))))</f>
        <v/>
      </c>
      <c r="D214" s="223" t="str">
        <f>IF($A214="","",IF($J214="DIESEL",AVERAGEIFS(Table1[RSP],Table1[Customer],$M$3,Table1[Date],$A214,Table1[Bill No.],$B214),IF($J214="PETROL",AVERAGEIFS(Table14[RSP],Table14[Customer],$M$3,Table14[Date],$A214,Table14[Bill No.],$B214),IF($J214="XtraGreen",AVERAGEIFS(Table146[RSP],Table146[Company],$M$3,Table146[Date],$A214,Table146[Bill No.],$B214),IFERROR($E214/$C214,"")))))</f>
        <v/>
      </c>
      <c r="E214" s="330" t="str">
        <f>IF($A214="","",IF($J214="DIESEL",SUMIFS(Table1[Amount],Table1[Customer],$M$3,Table1[Date],$A214,Table1[Bill No.],$B214),IF($J214="PETROL",SUMIFS(Table14[Amount],Table14[Customer],$M$3,Table14[Date],$A214,Table14[Bill No.],$B214),IF($J214="XtraGreen",SUMIFS(Table146[Amount],Table146[Company],$M$3,Table146[Date],$A214,Table146[Bill No.],$B214),SUMIFS('Other Sale'!$D:$D,'Other Sale'!$E:$E,$M$3,'Other Sale'!$C:$C,$J214,'Other Sale'!$A:$A,$A214)))))</f>
        <v/>
      </c>
      <c r="F214" s="330" t="str" cm="1">
        <f t="array" ref="F214">IF($A214="","",IF($J214="Payment",IFERROR(INDEX(_xlfn._xlws.FILTER(MasterPaid[Amount Paid],(MasterPaid[Customer]=$M$3)*(MasterPaid[Date]=$A214)),COUNTIFS($A$6:$A214,$A214,$J$6:$J214,"Payment")),0),0))</f>
        <v/>
      </c>
      <c r="G214" s="331"/>
      <c r="H214" s="331"/>
      <c r="I214" s="330" t="str">
        <f t="shared" ref="I214:I277" si="13">IF($A214="","",I213+N(E214)-N(F214)-N(G214)-N(H214))</f>
        <v/>
      </c>
      <c r="J214" s="318" t="str" cm="1">
        <f t="array" ref="J214">IFERROR(INDEX(_xlfn.ANCHORARRAY($P$6),ROW()-5,3),"")</f>
        <v/>
      </c>
      <c r="K214" s="432" t="str" cm="1">
        <f t="array" ref="K214">IF(OR($A214="",$J214&lt;&gt;"DIESEL"),"",_xlfn.LET(_xlpm.qty,N($C214),_xlpm.pos,$T$5:$T$54,_xlpm.alo,IF($U$5:$U$54="",0,$U$5:$U$54),_xlpm.usd,SUMIFS($C$6:$C213,$K$6:$K213,_xlpm.pos&amp;""),_xlpm.bal,_xlpm.alo-_xlpm.usd,IFERROR(INDEX(_xlfn._xlws.FILTER(_xlpm.pos,(_xlpm.pos&lt;&gt;"")*(_xlpm.qty&gt;0)*(_xlpm.bal&gt;=_xlpm.qty)),1),"")))</f>
        <v/>
      </c>
      <c r="L214" s="290"/>
    </row>
    <row r="215" spans="1:12" ht="23" x14ac:dyDescent="0.25">
      <c r="A215" s="221" t="str" cm="1">
        <f t="array" ref="A215">IFERROR(INDEX(_xlfn.ANCHORARRAY($P$6),ROW()-5,1),"")</f>
        <v/>
      </c>
      <c r="B215" s="317" t="str" cm="1">
        <f t="array" ref="B215">IFERROR(INDEX(_xlfn.ANCHORARRAY($P$6),ROW()-5,2),"")</f>
        <v/>
      </c>
      <c r="C215" s="222" t="str">
        <f>IF($A215="","",IF($J215="DIESEL",SUMIFS(Table1[Quantity],Table1[Customer],$M$3,Table1[Date],$A215,Table1[Bill No.],$B215),IF($J215="PETROL",SUMIFS(Table14[Quantity],Table14[Customer],$M$3,Table14[Date],$A215,Table14[Bill No.],$B215),IF($J215="XtraGreen",SUMIFS(Table146[Quantity],Table146[Company],$M$3,Table146[Date],$A215,Table146[Bill No.],$B215),""))))</f>
        <v/>
      </c>
      <c r="D215" s="223" t="str">
        <f>IF($A215="","",IF($J215="DIESEL",AVERAGEIFS(Table1[RSP],Table1[Customer],$M$3,Table1[Date],$A215,Table1[Bill No.],$B215),IF($J215="PETROL",AVERAGEIFS(Table14[RSP],Table14[Customer],$M$3,Table14[Date],$A215,Table14[Bill No.],$B215),IF($J215="XtraGreen",AVERAGEIFS(Table146[RSP],Table146[Company],$M$3,Table146[Date],$A215,Table146[Bill No.],$B215),IFERROR($E215/$C215,"")))))</f>
        <v/>
      </c>
      <c r="E215" s="330" t="str">
        <f>IF($A215="","",IF($J215="DIESEL",SUMIFS(Table1[Amount],Table1[Customer],$M$3,Table1[Date],$A215,Table1[Bill No.],$B215),IF($J215="PETROL",SUMIFS(Table14[Amount],Table14[Customer],$M$3,Table14[Date],$A215,Table14[Bill No.],$B215),IF($J215="XtraGreen",SUMIFS(Table146[Amount],Table146[Company],$M$3,Table146[Date],$A215,Table146[Bill No.],$B215),SUMIFS('Other Sale'!$D:$D,'Other Sale'!$E:$E,$M$3,'Other Sale'!$C:$C,$J215,'Other Sale'!$A:$A,$A215)))))</f>
        <v/>
      </c>
      <c r="F215" s="330" t="str" cm="1">
        <f t="array" ref="F215">IF($A215="","",IF($J215="Payment",IFERROR(INDEX(_xlfn._xlws.FILTER(MasterPaid[Amount Paid],(MasterPaid[Customer]=$M$3)*(MasterPaid[Date]=$A215)),COUNTIFS($A$6:$A215,$A215,$J$6:$J215,"Payment")),0),0))</f>
        <v/>
      </c>
      <c r="G215" s="331"/>
      <c r="H215" s="331"/>
      <c r="I215" s="330" t="str">
        <f t="shared" si="13"/>
        <v/>
      </c>
      <c r="J215" s="318" t="str" cm="1">
        <f t="array" ref="J215">IFERROR(INDEX(_xlfn.ANCHORARRAY($P$6),ROW()-5,3),"")</f>
        <v/>
      </c>
      <c r="K215" s="432" t="str" cm="1">
        <f t="array" ref="K215">IF(OR($A215="",$J215&lt;&gt;"DIESEL"),"",_xlfn.LET(_xlpm.qty,N($C215),_xlpm.pos,$T$5:$T$54,_xlpm.alo,IF($U$5:$U$54="",0,$U$5:$U$54),_xlpm.usd,SUMIFS($C$6:$C214,$K$6:$K214,_xlpm.pos&amp;""),_xlpm.bal,_xlpm.alo-_xlpm.usd,IFERROR(INDEX(_xlfn._xlws.FILTER(_xlpm.pos,(_xlpm.pos&lt;&gt;"")*(_xlpm.qty&gt;0)*(_xlpm.bal&gt;=_xlpm.qty)),1),"")))</f>
        <v/>
      </c>
      <c r="L215" s="290"/>
    </row>
    <row r="216" spans="1:12" ht="23" x14ac:dyDescent="0.25">
      <c r="A216" s="221" t="str" cm="1">
        <f t="array" ref="A216">IFERROR(INDEX(_xlfn.ANCHORARRAY($P$6),ROW()-5,1),"")</f>
        <v/>
      </c>
      <c r="B216" s="317" t="str" cm="1">
        <f t="array" ref="B216">IFERROR(INDEX(_xlfn.ANCHORARRAY($P$6),ROW()-5,2),"")</f>
        <v/>
      </c>
      <c r="C216" s="222" t="str">
        <f>IF($A216="","",IF($J216="DIESEL",SUMIFS(Table1[Quantity],Table1[Customer],$M$3,Table1[Date],$A216,Table1[Bill No.],$B216),IF($J216="PETROL",SUMIFS(Table14[Quantity],Table14[Customer],$M$3,Table14[Date],$A216,Table14[Bill No.],$B216),IF($J216="XtraGreen",SUMIFS(Table146[Quantity],Table146[Company],$M$3,Table146[Date],$A216,Table146[Bill No.],$B216),""))))</f>
        <v/>
      </c>
      <c r="D216" s="223" t="str">
        <f>IF($A216="","",IF($J216="DIESEL",AVERAGEIFS(Table1[RSP],Table1[Customer],$M$3,Table1[Date],$A216,Table1[Bill No.],$B216),IF($J216="PETROL",AVERAGEIFS(Table14[RSP],Table14[Customer],$M$3,Table14[Date],$A216,Table14[Bill No.],$B216),IF($J216="XtraGreen",AVERAGEIFS(Table146[RSP],Table146[Company],$M$3,Table146[Date],$A216,Table146[Bill No.],$B216),IFERROR($E216/$C216,"")))))</f>
        <v/>
      </c>
      <c r="E216" s="330" t="str">
        <f>IF($A216="","",IF($J216="DIESEL",SUMIFS(Table1[Amount],Table1[Customer],$M$3,Table1[Date],$A216,Table1[Bill No.],$B216),IF($J216="PETROL",SUMIFS(Table14[Amount],Table14[Customer],$M$3,Table14[Date],$A216,Table14[Bill No.],$B216),IF($J216="XtraGreen",SUMIFS(Table146[Amount],Table146[Company],$M$3,Table146[Date],$A216,Table146[Bill No.],$B216),SUMIFS('Other Sale'!$D:$D,'Other Sale'!$E:$E,$M$3,'Other Sale'!$C:$C,$J216,'Other Sale'!$A:$A,$A216)))))</f>
        <v/>
      </c>
      <c r="F216" s="330" t="str" cm="1">
        <f t="array" ref="F216">IF($A216="","",IF($J216="Payment",IFERROR(INDEX(_xlfn._xlws.FILTER(MasterPaid[Amount Paid],(MasterPaid[Customer]=$M$3)*(MasterPaid[Date]=$A216)),COUNTIFS($A$6:$A216,$A216,$J$6:$J216,"Payment")),0),0))</f>
        <v/>
      </c>
      <c r="G216" s="331"/>
      <c r="H216" s="331"/>
      <c r="I216" s="330" t="str">
        <f t="shared" si="13"/>
        <v/>
      </c>
      <c r="J216" s="318" t="str" cm="1">
        <f t="array" ref="J216">IFERROR(INDEX(_xlfn.ANCHORARRAY($P$6),ROW()-5,3),"")</f>
        <v/>
      </c>
      <c r="K216" s="432" t="str" cm="1">
        <f t="array" ref="K216">IF(OR($A216="",$J216&lt;&gt;"DIESEL"),"",_xlfn.LET(_xlpm.qty,N($C216),_xlpm.pos,$T$5:$T$54,_xlpm.alo,IF($U$5:$U$54="",0,$U$5:$U$54),_xlpm.usd,SUMIFS($C$6:$C215,$K$6:$K215,_xlpm.pos&amp;""),_xlpm.bal,_xlpm.alo-_xlpm.usd,IFERROR(INDEX(_xlfn._xlws.FILTER(_xlpm.pos,(_xlpm.pos&lt;&gt;"")*(_xlpm.qty&gt;0)*(_xlpm.bal&gt;=_xlpm.qty)),1),"")))</f>
        <v/>
      </c>
      <c r="L216" s="290"/>
    </row>
    <row r="217" spans="1:12" ht="23" x14ac:dyDescent="0.25">
      <c r="A217" s="221" t="str" cm="1">
        <f t="array" ref="A217">IFERROR(INDEX(_xlfn.ANCHORARRAY($P$6),ROW()-5,1),"")</f>
        <v/>
      </c>
      <c r="B217" s="317" t="str" cm="1">
        <f t="array" ref="B217">IFERROR(INDEX(_xlfn.ANCHORARRAY($P$6),ROW()-5,2),"")</f>
        <v/>
      </c>
      <c r="C217" s="222" t="str">
        <f>IF($A217="","",IF($J217="DIESEL",SUMIFS(Table1[Quantity],Table1[Customer],$M$3,Table1[Date],$A217,Table1[Bill No.],$B217),IF($J217="PETROL",SUMIFS(Table14[Quantity],Table14[Customer],$M$3,Table14[Date],$A217,Table14[Bill No.],$B217),IF($J217="XtraGreen",SUMIFS(Table146[Quantity],Table146[Company],$M$3,Table146[Date],$A217,Table146[Bill No.],$B217),""))))</f>
        <v/>
      </c>
      <c r="D217" s="223" t="str">
        <f>IF($A217="","",IF($J217="DIESEL",AVERAGEIFS(Table1[RSP],Table1[Customer],$M$3,Table1[Date],$A217,Table1[Bill No.],$B217),IF($J217="PETROL",AVERAGEIFS(Table14[RSP],Table14[Customer],$M$3,Table14[Date],$A217,Table14[Bill No.],$B217),IF($J217="XtraGreen",AVERAGEIFS(Table146[RSP],Table146[Company],$M$3,Table146[Date],$A217,Table146[Bill No.],$B217),IFERROR($E217/$C217,"")))))</f>
        <v/>
      </c>
      <c r="E217" s="330" t="str">
        <f>IF($A217="","",IF($J217="DIESEL",SUMIFS(Table1[Amount],Table1[Customer],$M$3,Table1[Date],$A217,Table1[Bill No.],$B217),IF($J217="PETROL",SUMIFS(Table14[Amount],Table14[Customer],$M$3,Table14[Date],$A217,Table14[Bill No.],$B217),IF($J217="XtraGreen",SUMIFS(Table146[Amount],Table146[Company],$M$3,Table146[Date],$A217,Table146[Bill No.],$B217),SUMIFS('Other Sale'!$D:$D,'Other Sale'!$E:$E,$M$3,'Other Sale'!$C:$C,$J217,'Other Sale'!$A:$A,$A217)))))</f>
        <v/>
      </c>
      <c r="F217" s="330" t="str" cm="1">
        <f t="array" ref="F217">IF($A217="","",IF($J217="Payment",IFERROR(INDEX(_xlfn._xlws.FILTER(MasterPaid[Amount Paid],(MasterPaid[Customer]=$M$3)*(MasterPaid[Date]=$A217)),COUNTIFS($A$6:$A217,$A217,$J$6:$J217,"Payment")),0),0))</f>
        <v/>
      </c>
      <c r="G217" s="331"/>
      <c r="H217" s="331"/>
      <c r="I217" s="330" t="str">
        <f t="shared" si="13"/>
        <v/>
      </c>
      <c r="J217" s="318" t="str" cm="1">
        <f t="array" ref="J217">IFERROR(INDEX(_xlfn.ANCHORARRAY($P$6),ROW()-5,3),"")</f>
        <v/>
      </c>
      <c r="K217" s="432" t="str" cm="1">
        <f t="array" ref="K217">IF(OR($A217="",$J217&lt;&gt;"DIESEL"),"",_xlfn.LET(_xlpm.qty,N($C217),_xlpm.pos,$T$5:$T$54,_xlpm.alo,IF($U$5:$U$54="",0,$U$5:$U$54),_xlpm.usd,SUMIFS($C$6:$C216,$K$6:$K216,_xlpm.pos&amp;""),_xlpm.bal,_xlpm.alo-_xlpm.usd,IFERROR(INDEX(_xlfn._xlws.FILTER(_xlpm.pos,(_xlpm.pos&lt;&gt;"")*(_xlpm.qty&gt;0)*(_xlpm.bal&gt;=_xlpm.qty)),1),"")))</f>
        <v/>
      </c>
      <c r="L217" s="290"/>
    </row>
    <row r="218" spans="1:12" ht="23" x14ac:dyDescent="0.25">
      <c r="A218" s="221" t="str" cm="1">
        <f t="array" ref="A218">IFERROR(INDEX(_xlfn.ANCHORARRAY($P$6),ROW()-5,1),"")</f>
        <v/>
      </c>
      <c r="B218" s="317" t="str" cm="1">
        <f t="array" ref="B218">IFERROR(INDEX(_xlfn.ANCHORARRAY($P$6),ROW()-5,2),"")</f>
        <v/>
      </c>
      <c r="C218" s="222" t="str">
        <f>IF($A218="","",IF($J218="DIESEL",SUMIFS(Table1[Quantity],Table1[Customer],$M$3,Table1[Date],$A218,Table1[Bill No.],$B218),IF($J218="PETROL",SUMIFS(Table14[Quantity],Table14[Customer],$M$3,Table14[Date],$A218,Table14[Bill No.],$B218),IF($J218="XtraGreen",SUMIFS(Table146[Quantity],Table146[Company],$M$3,Table146[Date],$A218,Table146[Bill No.],$B218),""))))</f>
        <v/>
      </c>
      <c r="D218" s="223" t="str">
        <f>IF($A218="","",IF($J218="DIESEL",AVERAGEIFS(Table1[RSP],Table1[Customer],$M$3,Table1[Date],$A218,Table1[Bill No.],$B218),IF($J218="PETROL",AVERAGEIFS(Table14[RSP],Table14[Customer],$M$3,Table14[Date],$A218,Table14[Bill No.],$B218),IF($J218="XtraGreen",AVERAGEIFS(Table146[RSP],Table146[Company],$M$3,Table146[Date],$A218,Table146[Bill No.],$B218),IFERROR($E218/$C218,"")))))</f>
        <v/>
      </c>
      <c r="E218" s="330" t="str">
        <f>IF($A218="","",IF($J218="DIESEL",SUMIFS(Table1[Amount],Table1[Customer],$M$3,Table1[Date],$A218,Table1[Bill No.],$B218),IF($J218="PETROL",SUMIFS(Table14[Amount],Table14[Customer],$M$3,Table14[Date],$A218,Table14[Bill No.],$B218),IF($J218="XtraGreen",SUMIFS(Table146[Amount],Table146[Company],$M$3,Table146[Date],$A218,Table146[Bill No.],$B218),SUMIFS('Other Sale'!$D:$D,'Other Sale'!$E:$E,$M$3,'Other Sale'!$C:$C,$J218,'Other Sale'!$A:$A,$A218)))))</f>
        <v/>
      </c>
      <c r="F218" s="330" t="str" cm="1">
        <f t="array" ref="F218">IF($A218="","",IF($J218="Payment",IFERROR(INDEX(_xlfn._xlws.FILTER(MasterPaid[Amount Paid],(MasterPaid[Customer]=$M$3)*(MasterPaid[Date]=$A218)),COUNTIFS($A$6:$A218,$A218,$J$6:$J218,"Payment")),0),0))</f>
        <v/>
      </c>
      <c r="G218" s="331"/>
      <c r="H218" s="331"/>
      <c r="I218" s="330" t="str">
        <f t="shared" si="13"/>
        <v/>
      </c>
      <c r="J218" s="318" t="str" cm="1">
        <f t="array" ref="J218">IFERROR(INDEX(_xlfn.ANCHORARRAY($P$6),ROW()-5,3),"")</f>
        <v/>
      </c>
      <c r="K218" s="432" t="str" cm="1">
        <f t="array" ref="K218">IF(OR($A218="",$J218&lt;&gt;"DIESEL"),"",_xlfn.LET(_xlpm.qty,N($C218),_xlpm.pos,$T$5:$T$54,_xlpm.alo,IF($U$5:$U$54="",0,$U$5:$U$54),_xlpm.usd,SUMIFS($C$6:$C217,$K$6:$K217,_xlpm.pos&amp;""),_xlpm.bal,_xlpm.alo-_xlpm.usd,IFERROR(INDEX(_xlfn._xlws.FILTER(_xlpm.pos,(_xlpm.pos&lt;&gt;"")*(_xlpm.qty&gt;0)*(_xlpm.bal&gt;=_xlpm.qty)),1),"")))</f>
        <v/>
      </c>
      <c r="L218" s="290"/>
    </row>
    <row r="219" spans="1:12" ht="23" x14ac:dyDescent="0.25">
      <c r="A219" s="221" t="str" cm="1">
        <f t="array" ref="A219">IFERROR(INDEX(_xlfn.ANCHORARRAY($P$6),ROW()-5,1),"")</f>
        <v/>
      </c>
      <c r="B219" s="317" t="str" cm="1">
        <f t="array" ref="B219">IFERROR(INDEX(_xlfn.ANCHORARRAY($P$6),ROW()-5,2),"")</f>
        <v/>
      </c>
      <c r="C219" s="222" t="str">
        <f>IF($A219="","",IF($J219="DIESEL",SUMIFS(Table1[Quantity],Table1[Customer],$M$3,Table1[Date],$A219,Table1[Bill No.],$B219),IF($J219="PETROL",SUMIFS(Table14[Quantity],Table14[Customer],$M$3,Table14[Date],$A219,Table14[Bill No.],$B219),IF($J219="XtraGreen",SUMIFS(Table146[Quantity],Table146[Company],$M$3,Table146[Date],$A219,Table146[Bill No.],$B219),""))))</f>
        <v/>
      </c>
      <c r="D219" s="223" t="str">
        <f>IF($A219="","",IF($J219="DIESEL",AVERAGEIFS(Table1[RSP],Table1[Customer],$M$3,Table1[Date],$A219,Table1[Bill No.],$B219),IF($J219="PETROL",AVERAGEIFS(Table14[RSP],Table14[Customer],$M$3,Table14[Date],$A219,Table14[Bill No.],$B219),IF($J219="XtraGreen",AVERAGEIFS(Table146[RSP],Table146[Company],$M$3,Table146[Date],$A219,Table146[Bill No.],$B219),IFERROR($E219/$C219,"")))))</f>
        <v/>
      </c>
      <c r="E219" s="330" t="str">
        <f>IF($A219="","",IF($J219="DIESEL",SUMIFS(Table1[Amount],Table1[Customer],$M$3,Table1[Date],$A219,Table1[Bill No.],$B219),IF($J219="PETROL",SUMIFS(Table14[Amount],Table14[Customer],$M$3,Table14[Date],$A219,Table14[Bill No.],$B219),IF($J219="XtraGreen",SUMIFS(Table146[Amount],Table146[Company],$M$3,Table146[Date],$A219,Table146[Bill No.],$B219),SUMIFS('Other Sale'!$D:$D,'Other Sale'!$E:$E,$M$3,'Other Sale'!$C:$C,$J219,'Other Sale'!$A:$A,$A219)))))</f>
        <v/>
      </c>
      <c r="F219" s="330" t="str" cm="1">
        <f t="array" ref="F219">IF($A219="","",IF($J219="Payment",IFERROR(INDEX(_xlfn._xlws.FILTER(MasterPaid[Amount Paid],(MasterPaid[Customer]=$M$3)*(MasterPaid[Date]=$A219)),COUNTIFS($A$6:$A219,$A219,$J$6:$J219,"Payment")),0),0))</f>
        <v/>
      </c>
      <c r="G219" s="331"/>
      <c r="H219" s="331"/>
      <c r="I219" s="330" t="str">
        <f t="shared" si="13"/>
        <v/>
      </c>
      <c r="J219" s="318" t="str" cm="1">
        <f t="array" ref="J219">IFERROR(INDEX(_xlfn.ANCHORARRAY($P$6),ROW()-5,3),"")</f>
        <v/>
      </c>
      <c r="K219" s="432" t="str" cm="1">
        <f t="array" ref="K219">IF(OR($A219="",$J219&lt;&gt;"DIESEL"),"",_xlfn.LET(_xlpm.qty,N($C219),_xlpm.pos,$T$5:$T$54,_xlpm.alo,IF($U$5:$U$54="",0,$U$5:$U$54),_xlpm.usd,SUMIFS($C$6:$C218,$K$6:$K218,_xlpm.pos&amp;""),_xlpm.bal,_xlpm.alo-_xlpm.usd,IFERROR(INDEX(_xlfn._xlws.FILTER(_xlpm.pos,(_xlpm.pos&lt;&gt;"")*(_xlpm.qty&gt;0)*(_xlpm.bal&gt;=_xlpm.qty)),1),"")))</f>
        <v/>
      </c>
      <c r="L219" s="290"/>
    </row>
    <row r="220" spans="1:12" ht="23" x14ac:dyDescent="0.25">
      <c r="A220" s="221" t="str" cm="1">
        <f t="array" ref="A220">IFERROR(INDEX(_xlfn.ANCHORARRAY($P$6),ROW()-5,1),"")</f>
        <v/>
      </c>
      <c r="B220" s="317" t="str" cm="1">
        <f t="array" ref="B220">IFERROR(INDEX(_xlfn.ANCHORARRAY($P$6),ROW()-5,2),"")</f>
        <v/>
      </c>
      <c r="C220" s="222" t="str">
        <f>IF($A220="","",IF($J220="DIESEL",SUMIFS(Table1[Quantity],Table1[Customer],$M$3,Table1[Date],$A220,Table1[Bill No.],$B220),IF($J220="PETROL",SUMIFS(Table14[Quantity],Table14[Customer],$M$3,Table14[Date],$A220,Table14[Bill No.],$B220),IF($J220="XtraGreen",SUMIFS(Table146[Quantity],Table146[Company],$M$3,Table146[Date],$A220,Table146[Bill No.],$B220),""))))</f>
        <v/>
      </c>
      <c r="D220" s="223" t="str">
        <f>IF($A220="","",IF($J220="DIESEL",AVERAGEIFS(Table1[RSP],Table1[Customer],$M$3,Table1[Date],$A220,Table1[Bill No.],$B220),IF($J220="PETROL",AVERAGEIFS(Table14[RSP],Table14[Customer],$M$3,Table14[Date],$A220,Table14[Bill No.],$B220),IF($J220="XtraGreen",AVERAGEIFS(Table146[RSP],Table146[Company],$M$3,Table146[Date],$A220,Table146[Bill No.],$B220),IFERROR($E220/$C220,"")))))</f>
        <v/>
      </c>
      <c r="E220" s="330" t="str">
        <f>IF($A220="","",IF($J220="DIESEL",SUMIFS(Table1[Amount],Table1[Customer],$M$3,Table1[Date],$A220,Table1[Bill No.],$B220),IF($J220="PETROL",SUMIFS(Table14[Amount],Table14[Customer],$M$3,Table14[Date],$A220,Table14[Bill No.],$B220),IF($J220="XtraGreen",SUMIFS(Table146[Amount],Table146[Company],$M$3,Table146[Date],$A220,Table146[Bill No.],$B220),SUMIFS('Other Sale'!$D:$D,'Other Sale'!$E:$E,$M$3,'Other Sale'!$C:$C,$J220,'Other Sale'!$A:$A,$A220)))))</f>
        <v/>
      </c>
      <c r="F220" s="330" t="str" cm="1">
        <f t="array" ref="F220">IF($A220="","",IF($J220="Payment",IFERROR(INDEX(_xlfn._xlws.FILTER(MasterPaid[Amount Paid],(MasterPaid[Customer]=$M$3)*(MasterPaid[Date]=$A220)),COUNTIFS($A$6:$A220,$A220,$J$6:$J220,"Payment")),0),0))</f>
        <v/>
      </c>
      <c r="G220" s="331"/>
      <c r="H220" s="331"/>
      <c r="I220" s="330" t="str">
        <f t="shared" si="13"/>
        <v/>
      </c>
      <c r="J220" s="318" t="str" cm="1">
        <f t="array" ref="J220">IFERROR(INDEX(_xlfn.ANCHORARRAY($P$6),ROW()-5,3),"")</f>
        <v/>
      </c>
      <c r="K220" s="432" t="str" cm="1">
        <f t="array" ref="K220">IF(OR($A220="",$J220&lt;&gt;"DIESEL"),"",_xlfn.LET(_xlpm.qty,N($C220),_xlpm.pos,$T$5:$T$54,_xlpm.alo,IF($U$5:$U$54="",0,$U$5:$U$54),_xlpm.usd,SUMIFS($C$6:$C219,$K$6:$K219,_xlpm.pos&amp;""),_xlpm.bal,_xlpm.alo-_xlpm.usd,IFERROR(INDEX(_xlfn._xlws.FILTER(_xlpm.pos,(_xlpm.pos&lt;&gt;"")*(_xlpm.qty&gt;0)*(_xlpm.bal&gt;=_xlpm.qty)),1),"")))</f>
        <v/>
      </c>
      <c r="L220" s="290"/>
    </row>
    <row r="221" spans="1:12" ht="23" x14ac:dyDescent="0.25">
      <c r="A221" s="221" t="str" cm="1">
        <f t="array" ref="A221">IFERROR(INDEX(_xlfn.ANCHORARRAY($P$6),ROW()-5,1),"")</f>
        <v/>
      </c>
      <c r="B221" s="317" t="str" cm="1">
        <f t="array" ref="B221">IFERROR(INDEX(_xlfn.ANCHORARRAY($P$6),ROW()-5,2),"")</f>
        <v/>
      </c>
      <c r="C221" s="222" t="str">
        <f>IF($A221="","",IF($J221="DIESEL",SUMIFS(Table1[Quantity],Table1[Customer],$M$3,Table1[Date],$A221,Table1[Bill No.],$B221),IF($J221="PETROL",SUMIFS(Table14[Quantity],Table14[Customer],$M$3,Table14[Date],$A221,Table14[Bill No.],$B221),IF($J221="XtraGreen",SUMIFS(Table146[Quantity],Table146[Company],$M$3,Table146[Date],$A221,Table146[Bill No.],$B221),""))))</f>
        <v/>
      </c>
      <c r="D221" s="223" t="str">
        <f>IF($A221="","",IF($J221="DIESEL",AVERAGEIFS(Table1[RSP],Table1[Customer],$M$3,Table1[Date],$A221,Table1[Bill No.],$B221),IF($J221="PETROL",AVERAGEIFS(Table14[RSP],Table14[Customer],$M$3,Table14[Date],$A221,Table14[Bill No.],$B221),IF($J221="XtraGreen",AVERAGEIFS(Table146[RSP],Table146[Company],$M$3,Table146[Date],$A221,Table146[Bill No.],$B221),IFERROR($E221/$C221,"")))))</f>
        <v/>
      </c>
      <c r="E221" s="330" t="str">
        <f>IF($A221="","",IF($J221="DIESEL",SUMIFS(Table1[Amount],Table1[Customer],$M$3,Table1[Date],$A221,Table1[Bill No.],$B221),IF($J221="PETROL",SUMIFS(Table14[Amount],Table14[Customer],$M$3,Table14[Date],$A221,Table14[Bill No.],$B221),IF($J221="XtraGreen",SUMIFS(Table146[Amount],Table146[Company],$M$3,Table146[Date],$A221,Table146[Bill No.],$B221),SUMIFS('Other Sale'!$D:$D,'Other Sale'!$E:$E,$M$3,'Other Sale'!$C:$C,$J221,'Other Sale'!$A:$A,$A221)))))</f>
        <v/>
      </c>
      <c r="F221" s="330" t="str" cm="1">
        <f t="array" ref="F221">IF($A221="","",IF($J221="Payment",IFERROR(INDEX(_xlfn._xlws.FILTER(MasterPaid[Amount Paid],(MasterPaid[Customer]=$M$3)*(MasterPaid[Date]=$A221)),COUNTIFS($A$6:$A221,$A221,$J$6:$J221,"Payment")),0),0))</f>
        <v/>
      </c>
      <c r="G221" s="331"/>
      <c r="H221" s="331"/>
      <c r="I221" s="330" t="str">
        <f t="shared" si="13"/>
        <v/>
      </c>
      <c r="J221" s="318" t="str" cm="1">
        <f t="array" ref="J221">IFERROR(INDEX(_xlfn.ANCHORARRAY($P$6),ROW()-5,3),"")</f>
        <v/>
      </c>
      <c r="K221" s="432" t="str" cm="1">
        <f t="array" ref="K221">IF(OR($A221="",$J221&lt;&gt;"DIESEL"),"",_xlfn.LET(_xlpm.qty,N($C221),_xlpm.pos,$T$5:$T$54,_xlpm.alo,IF($U$5:$U$54="",0,$U$5:$U$54),_xlpm.usd,SUMIFS($C$6:$C220,$K$6:$K220,_xlpm.pos&amp;""),_xlpm.bal,_xlpm.alo-_xlpm.usd,IFERROR(INDEX(_xlfn._xlws.FILTER(_xlpm.pos,(_xlpm.pos&lt;&gt;"")*(_xlpm.qty&gt;0)*(_xlpm.bal&gt;=_xlpm.qty)),1),"")))</f>
        <v/>
      </c>
      <c r="L221" s="290"/>
    </row>
    <row r="222" spans="1:12" ht="23" x14ac:dyDescent="0.25">
      <c r="A222" s="221" t="str" cm="1">
        <f t="array" ref="A222">IFERROR(INDEX(_xlfn.ANCHORARRAY($P$6),ROW()-5,1),"")</f>
        <v/>
      </c>
      <c r="B222" s="317" t="str" cm="1">
        <f t="array" ref="B222">IFERROR(INDEX(_xlfn.ANCHORARRAY($P$6),ROW()-5,2),"")</f>
        <v/>
      </c>
      <c r="C222" s="222" t="str">
        <f>IF($A222="","",IF($J222="DIESEL",SUMIFS(Table1[Quantity],Table1[Customer],$M$3,Table1[Date],$A222,Table1[Bill No.],$B222),IF($J222="PETROL",SUMIFS(Table14[Quantity],Table14[Customer],$M$3,Table14[Date],$A222,Table14[Bill No.],$B222),IF($J222="XtraGreen",SUMIFS(Table146[Quantity],Table146[Company],$M$3,Table146[Date],$A222,Table146[Bill No.],$B222),""))))</f>
        <v/>
      </c>
      <c r="D222" s="223" t="str">
        <f>IF($A222="","",IF($J222="DIESEL",AVERAGEIFS(Table1[RSP],Table1[Customer],$M$3,Table1[Date],$A222,Table1[Bill No.],$B222),IF($J222="PETROL",AVERAGEIFS(Table14[RSP],Table14[Customer],$M$3,Table14[Date],$A222,Table14[Bill No.],$B222),IF($J222="XtraGreen",AVERAGEIFS(Table146[RSP],Table146[Company],$M$3,Table146[Date],$A222,Table146[Bill No.],$B222),IFERROR($E222/$C222,"")))))</f>
        <v/>
      </c>
      <c r="E222" s="330" t="str">
        <f>IF($A222="","",IF($J222="DIESEL",SUMIFS(Table1[Amount],Table1[Customer],$M$3,Table1[Date],$A222,Table1[Bill No.],$B222),IF($J222="PETROL",SUMIFS(Table14[Amount],Table14[Customer],$M$3,Table14[Date],$A222,Table14[Bill No.],$B222),IF($J222="XtraGreen",SUMIFS(Table146[Amount],Table146[Company],$M$3,Table146[Date],$A222,Table146[Bill No.],$B222),SUMIFS('Other Sale'!$D:$D,'Other Sale'!$E:$E,$M$3,'Other Sale'!$C:$C,$J222,'Other Sale'!$A:$A,$A222)))))</f>
        <v/>
      </c>
      <c r="F222" s="330" t="str" cm="1">
        <f t="array" ref="F222">IF($A222="","",IF($J222="Payment",IFERROR(INDEX(_xlfn._xlws.FILTER(MasterPaid[Amount Paid],(MasterPaid[Customer]=$M$3)*(MasterPaid[Date]=$A222)),COUNTIFS($A$6:$A222,$A222,$J$6:$J222,"Payment")),0),0))</f>
        <v/>
      </c>
      <c r="G222" s="331"/>
      <c r="H222" s="331"/>
      <c r="I222" s="330" t="str">
        <f t="shared" si="13"/>
        <v/>
      </c>
      <c r="J222" s="318" t="str" cm="1">
        <f t="array" ref="J222">IFERROR(INDEX(_xlfn.ANCHORARRAY($P$6),ROW()-5,3),"")</f>
        <v/>
      </c>
      <c r="K222" s="432" t="str" cm="1">
        <f t="array" ref="K222">IF(OR($A222="",$J222&lt;&gt;"DIESEL"),"",_xlfn.LET(_xlpm.qty,N($C222),_xlpm.pos,$T$5:$T$54,_xlpm.alo,IF($U$5:$U$54="",0,$U$5:$U$54),_xlpm.usd,SUMIFS($C$6:$C221,$K$6:$K221,_xlpm.pos&amp;""),_xlpm.bal,_xlpm.alo-_xlpm.usd,IFERROR(INDEX(_xlfn._xlws.FILTER(_xlpm.pos,(_xlpm.pos&lt;&gt;"")*(_xlpm.qty&gt;0)*(_xlpm.bal&gt;=_xlpm.qty)),1),"")))</f>
        <v/>
      </c>
      <c r="L222" s="290"/>
    </row>
    <row r="223" spans="1:12" ht="23" x14ac:dyDescent="0.25">
      <c r="A223" s="221" t="str" cm="1">
        <f t="array" ref="A223">IFERROR(INDEX(_xlfn.ANCHORARRAY($P$6),ROW()-5,1),"")</f>
        <v/>
      </c>
      <c r="B223" s="317" t="str" cm="1">
        <f t="array" ref="B223">IFERROR(INDEX(_xlfn.ANCHORARRAY($P$6),ROW()-5,2),"")</f>
        <v/>
      </c>
      <c r="C223" s="222" t="str">
        <f>IF($A223="","",IF($J223="DIESEL",SUMIFS(Table1[Quantity],Table1[Customer],$M$3,Table1[Date],$A223,Table1[Bill No.],$B223),IF($J223="PETROL",SUMIFS(Table14[Quantity],Table14[Customer],$M$3,Table14[Date],$A223,Table14[Bill No.],$B223),IF($J223="XtraGreen",SUMIFS(Table146[Quantity],Table146[Company],$M$3,Table146[Date],$A223,Table146[Bill No.],$B223),""))))</f>
        <v/>
      </c>
      <c r="D223" s="223" t="str">
        <f>IF($A223="","",IF($J223="DIESEL",AVERAGEIFS(Table1[RSP],Table1[Customer],$M$3,Table1[Date],$A223,Table1[Bill No.],$B223),IF($J223="PETROL",AVERAGEIFS(Table14[RSP],Table14[Customer],$M$3,Table14[Date],$A223,Table14[Bill No.],$B223),IF($J223="XtraGreen",AVERAGEIFS(Table146[RSP],Table146[Company],$M$3,Table146[Date],$A223,Table146[Bill No.],$B223),IFERROR($E223/$C223,"")))))</f>
        <v/>
      </c>
      <c r="E223" s="330" t="str">
        <f>IF($A223="","",IF($J223="DIESEL",SUMIFS(Table1[Amount],Table1[Customer],$M$3,Table1[Date],$A223,Table1[Bill No.],$B223),IF($J223="PETROL",SUMIFS(Table14[Amount],Table14[Customer],$M$3,Table14[Date],$A223,Table14[Bill No.],$B223),IF($J223="XtraGreen",SUMIFS(Table146[Amount],Table146[Company],$M$3,Table146[Date],$A223,Table146[Bill No.],$B223),SUMIFS('Other Sale'!$D:$D,'Other Sale'!$E:$E,$M$3,'Other Sale'!$C:$C,$J223,'Other Sale'!$A:$A,$A223)))))</f>
        <v/>
      </c>
      <c r="F223" s="330" t="str" cm="1">
        <f t="array" ref="F223">IF($A223="","",IF($J223="Payment",IFERROR(INDEX(_xlfn._xlws.FILTER(MasterPaid[Amount Paid],(MasterPaid[Customer]=$M$3)*(MasterPaid[Date]=$A223)),COUNTIFS($A$6:$A223,$A223,$J$6:$J223,"Payment")),0),0))</f>
        <v/>
      </c>
      <c r="G223" s="331"/>
      <c r="H223" s="331"/>
      <c r="I223" s="330" t="str">
        <f t="shared" si="13"/>
        <v/>
      </c>
      <c r="J223" s="318" t="str" cm="1">
        <f t="array" ref="J223">IFERROR(INDEX(_xlfn.ANCHORARRAY($P$6),ROW()-5,3),"")</f>
        <v/>
      </c>
      <c r="K223" s="432" t="str" cm="1">
        <f t="array" ref="K223">IF(OR($A223="",$J223&lt;&gt;"DIESEL"),"",_xlfn.LET(_xlpm.qty,N($C223),_xlpm.pos,$T$5:$T$54,_xlpm.alo,IF($U$5:$U$54="",0,$U$5:$U$54),_xlpm.usd,SUMIFS($C$6:$C222,$K$6:$K222,_xlpm.pos&amp;""),_xlpm.bal,_xlpm.alo-_xlpm.usd,IFERROR(INDEX(_xlfn._xlws.FILTER(_xlpm.pos,(_xlpm.pos&lt;&gt;"")*(_xlpm.qty&gt;0)*(_xlpm.bal&gt;=_xlpm.qty)),1),"")))</f>
        <v/>
      </c>
      <c r="L223" s="290"/>
    </row>
    <row r="224" spans="1:12" ht="23" x14ac:dyDescent="0.25">
      <c r="A224" s="221" t="str" cm="1">
        <f t="array" ref="A224">IFERROR(INDEX(_xlfn.ANCHORARRAY($P$6),ROW()-5,1),"")</f>
        <v/>
      </c>
      <c r="B224" s="317" t="str" cm="1">
        <f t="array" ref="B224">IFERROR(INDEX(_xlfn.ANCHORARRAY($P$6),ROW()-5,2),"")</f>
        <v/>
      </c>
      <c r="C224" s="222" t="str">
        <f>IF($A224="","",IF($J224="DIESEL",SUMIFS(Table1[Quantity],Table1[Customer],$M$3,Table1[Date],$A224,Table1[Bill No.],$B224),IF($J224="PETROL",SUMIFS(Table14[Quantity],Table14[Customer],$M$3,Table14[Date],$A224,Table14[Bill No.],$B224),IF($J224="XtraGreen",SUMIFS(Table146[Quantity],Table146[Company],$M$3,Table146[Date],$A224,Table146[Bill No.],$B224),""))))</f>
        <v/>
      </c>
      <c r="D224" s="223" t="str">
        <f>IF($A224="","",IF($J224="DIESEL",AVERAGEIFS(Table1[RSP],Table1[Customer],$M$3,Table1[Date],$A224,Table1[Bill No.],$B224),IF($J224="PETROL",AVERAGEIFS(Table14[RSP],Table14[Customer],$M$3,Table14[Date],$A224,Table14[Bill No.],$B224),IF($J224="XtraGreen",AVERAGEIFS(Table146[RSP],Table146[Company],$M$3,Table146[Date],$A224,Table146[Bill No.],$B224),IFERROR($E224/$C224,"")))))</f>
        <v/>
      </c>
      <c r="E224" s="330" t="str">
        <f>IF($A224="","",IF($J224="DIESEL",SUMIFS(Table1[Amount],Table1[Customer],$M$3,Table1[Date],$A224,Table1[Bill No.],$B224),IF($J224="PETROL",SUMIFS(Table14[Amount],Table14[Customer],$M$3,Table14[Date],$A224,Table14[Bill No.],$B224),IF($J224="XtraGreen",SUMIFS(Table146[Amount],Table146[Company],$M$3,Table146[Date],$A224,Table146[Bill No.],$B224),SUMIFS('Other Sale'!$D:$D,'Other Sale'!$E:$E,$M$3,'Other Sale'!$C:$C,$J224,'Other Sale'!$A:$A,$A224)))))</f>
        <v/>
      </c>
      <c r="F224" s="330" t="str" cm="1">
        <f t="array" ref="F224">IF($A224="","",IF($J224="Payment",IFERROR(INDEX(_xlfn._xlws.FILTER(MasterPaid[Amount Paid],(MasterPaid[Customer]=$M$3)*(MasterPaid[Date]=$A224)),COUNTIFS($A$6:$A224,$A224,$J$6:$J224,"Payment")),0),0))</f>
        <v/>
      </c>
      <c r="G224" s="331"/>
      <c r="H224" s="331"/>
      <c r="I224" s="330" t="str">
        <f t="shared" si="13"/>
        <v/>
      </c>
      <c r="J224" s="318" t="str" cm="1">
        <f t="array" ref="J224">IFERROR(INDEX(_xlfn.ANCHORARRAY($P$6),ROW()-5,3),"")</f>
        <v/>
      </c>
      <c r="K224" s="432" t="str" cm="1">
        <f t="array" ref="K224">IF(OR($A224="",$J224&lt;&gt;"DIESEL"),"",_xlfn.LET(_xlpm.qty,N($C224),_xlpm.pos,$T$5:$T$54,_xlpm.alo,IF($U$5:$U$54="",0,$U$5:$U$54),_xlpm.usd,SUMIFS($C$6:$C223,$K$6:$K223,_xlpm.pos&amp;""),_xlpm.bal,_xlpm.alo-_xlpm.usd,IFERROR(INDEX(_xlfn._xlws.FILTER(_xlpm.pos,(_xlpm.pos&lt;&gt;"")*(_xlpm.qty&gt;0)*(_xlpm.bal&gt;=_xlpm.qty)),1),"")))</f>
        <v/>
      </c>
      <c r="L224" s="290"/>
    </row>
    <row r="225" spans="1:12" ht="23" x14ac:dyDescent="0.25">
      <c r="A225" s="221" t="str" cm="1">
        <f t="array" ref="A225">IFERROR(INDEX(_xlfn.ANCHORARRAY($P$6),ROW()-5,1),"")</f>
        <v/>
      </c>
      <c r="B225" s="317" t="str" cm="1">
        <f t="array" ref="B225">IFERROR(INDEX(_xlfn.ANCHORARRAY($P$6),ROW()-5,2),"")</f>
        <v/>
      </c>
      <c r="C225" s="222" t="str">
        <f>IF($A225="","",IF($J225="DIESEL",SUMIFS(Table1[Quantity],Table1[Customer],$M$3,Table1[Date],$A225,Table1[Bill No.],$B225),IF($J225="PETROL",SUMIFS(Table14[Quantity],Table14[Customer],$M$3,Table14[Date],$A225,Table14[Bill No.],$B225),IF($J225="XtraGreen",SUMIFS(Table146[Quantity],Table146[Company],$M$3,Table146[Date],$A225,Table146[Bill No.],$B225),""))))</f>
        <v/>
      </c>
      <c r="D225" s="223" t="str">
        <f>IF($A225="","",IF($J225="DIESEL",AVERAGEIFS(Table1[RSP],Table1[Customer],$M$3,Table1[Date],$A225,Table1[Bill No.],$B225),IF($J225="PETROL",AVERAGEIFS(Table14[RSP],Table14[Customer],$M$3,Table14[Date],$A225,Table14[Bill No.],$B225),IF($J225="XtraGreen",AVERAGEIFS(Table146[RSP],Table146[Company],$M$3,Table146[Date],$A225,Table146[Bill No.],$B225),IFERROR($E225/$C225,"")))))</f>
        <v/>
      </c>
      <c r="E225" s="330" t="str">
        <f>IF($A225="","",IF($J225="DIESEL",SUMIFS(Table1[Amount],Table1[Customer],$M$3,Table1[Date],$A225,Table1[Bill No.],$B225),IF($J225="PETROL",SUMIFS(Table14[Amount],Table14[Customer],$M$3,Table14[Date],$A225,Table14[Bill No.],$B225),IF($J225="XtraGreen",SUMIFS(Table146[Amount],Table146[Company],$M$3,Table146[Date],$A225,Table146[Bill No.],$B225),SUMIFS('Other Sale'!$D:$D,'Other Sale'!$E:$E,$M$3,'Other Sale'!$C:$C,$J225,'Other Sale'!$A:$A,$A225)))))</f>
        <v/>
      </c>
      <c r="F225" s="330" t="str" cm="1">
        <f t="array" ref="F225">IF($A225="","",IF($J225="Payment",IFERROR(INDEX(_xlfn._xlws.FILTER(MasterPaid[Amount Paid],(MasterPaid[Customer]=$M$3)*(MasterPaid[Date]=$A225)),COUNTIFS($A$6:$A225,$A225,$J$6:$J225,"Payment")),0),0))</f>
        <v/>
      </c>
      <c r="G225" s="331"/>
      <c r="H225" s="331"/>
      <c r="I225" s="330" t="str">
        <f t="shared" si="13"/>
        <v/>
      </c>
      <c r="J225" s="318" t="str" cm="1">
        <f t="array" ref="J225">IFERROR(INDEX(_xlfn.ANCHORARRAY($P$6),ROW()-5,3),"")</f>
        <v/>
      </c>
      <c r="K225" s="432" t="str" cm="1">
        <f t="array" ref="K225">IF(OR($A225="",$J225&lt;&gt;"DIESEL"),"",_xlfn.LET(_xlpm.qty,N($C225),_xlpm.pos,$T$5:$T$54,_xlpm.alo,IF($U$5:$U$54="",0,$U$5:$U$54),_xlpm.usd,SUMIFS($C$6:$C224,$K$6:$K224,_xlpm.pos&amp;""),_xlpm.bal,_xlpm.alo-_xlpm.usd,IFERROR(INDEX(_xlfn._xlws.FILTER(_xlpm.pos,(_xlpm.pos&lt;&gt;"")*(_xlpm.qty&gt;0)*(_xlpm.bal&gt;=_xlpm.qty)),1),"")))</f>
        <v/>
      </c>
      <c r="L225" s="290"/>
    </row>
    <row r="226" spans="1:12" ht="23" x14ac:dyDescent="0.25">
      <c r="A226" s="221" t="str" cm="1">
        <f t="array" ref="A226">IFERROR(INDEX(_xlfn.ANCHORARRAY($P$6),ROW()-5,1),"")</f>
        <v/>
      </c>
      <c r="B226" s="317" t="str" cm="1">
        <f t="array" ref="B226">IFERROR(INDEX(_xlfn.ANCHORARRAY($P$6),ROW()-5,2),"")</f>
        <v/>
      </c>
      <c r="C226" s="222" t="str">
        <f>IF($A226="","",IF($J226="DIESEL",SUMIFS(Table1[Quantity],Table1[Customer],$M$3,Table1[Date],$A226,Table1[Bill No.],$B226),IF($J226="PETROL",SUMIFS(Table14[Quantity],Table14[Customer],$M$3,Table14[Date],$A226,Table14[Bill No.],$B226),IF($J226="XtraGreen",SUMIFS(Table146[Quantity],Table146[Company],$M$3,Table146[Date],$A226,Table146[Bill No.],$B226),""))))</f>
        <v/>
      </c>
      <c r="D226" s="223" t="str">
        <f>IF($A226="","",IF($J226="DIESEL",AVERAGEIFS(Table1[RSP],Table1[Customer],$M$3,Table1[Date],$A226,Table1[Bill No.],$B226),IF($J226="PETROL",AVERAGEIFS(Table14[RSP],Table14[Customer],$M$3,Table14[Date],$A226,Table14[Bill No.],$B226),IF($J226="XtraGreen",AVERAGEIFS(Table146[RSP],Table146[Company],$M$3,Table146[Date],$A226,Table146[Bill No.],$B226),IFERROR($E226/$C226,"")))))</f>
        <v/>
      </c>
      <c r="E226" s="330" t="str">
        <f>IF($A226="","",IF($J226="DIESEL",SUMIFS(Table1[Amount],Table1[Customer],$M$3,Table1[Date],$A226,Table1[Bill No.],$B226),IF($J226="PETROL",SUMIFS(Table14[Amount],Table14[Customer],$M$3,Table14[Date],$A226,Table14[Bill No.],$B226),IF($J226="XtraGreen",SUMIFS(Table146[Amount],Table146[Company],$M$3,Table146[Date],$A226,Table146[Bill No.],$B226),SUMIFS('Other Sale'!$D:$D,'Other Sale'!$E:$E,$M$3,'Other Sale'!$C:$C,$J226,'Other Sale'!$A:$A,$A226)))))</f>
        <v/>
      </c>
      <c r="F226" s="330" t="str" cm="1">
        <f t="array" ref="F226">IF($A226="","",IF($J226="Payment",IFERROR(INDEX(_xlfn._xlws.FILTER(MasterPaid[Amount Paid],(MasterPaid[Customer]=$M$3)*(MasterPaid[Date]=$A226)),COUNTIFS($A$6:$A226,$A226,$J$6:$J226,"Payment")),0),0))</f>
        <v/>
      </c>
      <c r="G226" s="331"/>
      <c r="H226" s="331"/>
      <c r="I226" s="330" t="str">
        <f t="shared" si="13"/>
        <v/>
      </c>
      <c r="J226" s="318" t="str" cm="1">
        <f t="array" ref="J226">IFERROR(INDEX(_xlfn.ANCHORARRAY($P$6),ROW()-5,3),"")</f>
        <v/>
      </c>
      <c r="K226" s="432" t="str" cm="1">
        <f t="array" ref="K226">IF(OR($A226="",$J226&lt;&gt;"DIESEL"),"",_xlfn.LET(_xlpm.qty,N($C226),_xlpm.pos,$T$5:$T$54,_xlpm.alo,IF($U$5:$U$54="",0,$U$5:$U$54),_xlpm.usd,SUMIFS($C$6:$C225,$K$6:$K225,_xlpm.pos&amp;""),_xlpm.bal,_xlpm.alo-_xlpm.usd,IFERROR(INDEX(_xlfn._xlws.FILTER(_xlpm.pos,(_xlpm.pos&lt;&gt;"")*(_xlpm.qty&gt;0)*(_xlpm.bal&gt;=_xlpm.qty)),1),"")))</f>
        <v/>
      </c>
      <c r="L226" s="290"/>
    </row>
    <row r="227" spans="1:12" ht="23" x14ac:dyDescent="0.25">
      <c r="A227" s="221" t="str" cm="1">
        <f t="array" ref="A227">IFERROR(INDEX(_xlfn.ANCHORARRAY($P$6),ROW()-5,1),"")</f>
        <v/>
      </c>
      <c r="B227" s="317" t="str" cm="1">
        <f t="array" ref="B227">IFERROR(INDEX(_xlfn.ANCHORARRAY($P$6),ROW()-5,2),"")</f>
        <v/>
      </c>
      <c r="C227" s="222" t="str">
        <f>IF($A227="","",IF($J227="DIESEL",SUMIFS(Table1[Quantity],Table1[Customer],$M$3,Table1[Date],$A227,Table1[Bill No.],$B227),IF($J227="PETROL",SUMIFS(Table14[Quantity],Table14[Customer],$M$3,Table14[Date],$A227,Table14[Bill No.],$B227),IF($J227="XtraGreen",SUMIFS(Table146[Quantity],Table146[Company],$M$3,Table146[Date],$A227,Table146[Bill No.],$B227),""))))</f>
        <v/>
      </c>
      <c r="D227" s="223" t="str">
        <f>IF($A227="","",IF($J227="DIESEL",AVERAGEIFS(Table1[RSP],Table1[Customer],$M$3,Table1[Date],$A227,Table1[Bill No.],$B227),IF($J227="PETROL",AVERAGEIFS(Table14[RSP],Table14[Customer],$M$3,Table14[Date],$A227,Table14[Bill No.],$B227),IF($J227="XtraGreen",AVERAGEIFS(Table146[RSP],Table146[Company],$M$3,Table146[Date],$A227,Table146[Bill No.],$B227),IFERROR($E227/$C227,"")))))</f>
        <v/>
      </c>
      <c r="E227" s="330" t="str">
        <f>IF($A227="","",IF($J227="DIESEL",SUMIFS(Table1[Amount],Table1[Customer],$M$3,Table1[Date],$A227,Table1[Bill No.],$B227),IF($J227="PETROL",SUMIFS(Table14[Amount],Table14[Customer],$M$3,Table14[Date],$A227,Table14[Bill No.],$B227),IF($J227="XtraGreen",SUMIFS(Table146[Amount],Table146[Company],$M$3,Table146[Date],$A227,Table146[Bill No.],$B227),SUMIFS('Other Sale'!$D:$D,'Other Sale'!$E:$E,$M$3,'Other Sale'!$C:$C,$J227,'Other Sale'!$A:$A,$A227)))))</f>
        <v/>
      </c>
      <c r="F227" s="330" t="str" cm="1">
        <f t="array" ref="F227">IF($A227="","",IF($J227="Payment",IFERROR(INDEX(_xlfn._xlws.FILTER(MasterPaid[Amount Paid],(MasterPaid[Customer]=$M$3)*(MasterPaid[Date]=$A227)),COUNTIFS($A$6:$A227,$A227,$J$6:$J227,"Payment")),0),0))</f>
        <v/>
      </c>
      <c r="G227" s="331"/>
      <c r="H227" s="331"/>
      <c r="I227" s="330" t="str">
        <f t="shared" si="13"/>
        <v/>
      </c>
      <c r="J227" s="318" t="str" cm="1">
        <f t="array" ref="J227">IFERROR(INDEX(_xlfn.ANCHORARRAY($P$6),ROW()-5,3),"")</f>
        <v/>
      </c>
      <c r="K227" s="432" t="str" cm="1">
        <f t="array" ref="K227">IF(OR($A227="",$J227&lt;&gt;"DIESEL"),"",_xlfn.LET(_xlpm.qty,N($C227),_xlpm.pos,$T$5:$T$54,_xlpm.alo,IF($U$5:$U$54="",0,$U$5:$U$54),_xlpm.usd,SUMIFS($C$6:$C226,$K$6:$K226,_xlpm.pos&amp;""),_xlpm.bal,_xlpm.alo-_xlpm.usd,IFERROR(INDEX(_xlfn._xlws.FILTER(_xlpm.pos,(_xlpm.pos&lt;&gt;"")*(_xlpm.qty&gt;0)*(_xlpm.bal&gt;=_xlpm.qty)),1),"")))</f>
        <v/>
      </c>
      <c r="L227" s="290"/>
    </row>
    <row r="228" spans="1:12" ht="23" x14ac:dyDescent="0.25">
      <c r="A228" s="221" t="str" cm="1">
        <f t="array" ref="A228">IFERROR(INDEX(_xlfn.ANCHORARRAY($P$6),ROW()-5,1),"")</f>
        <v/>
      </c>
      <c r="B228" s="317" t="str" cm="1">
        <f t="array" ref="B228">IFERROR(INDEX(_xlfn.ANCHORARRAY($P$6),ROW()-5,2),"")</f>
        <v/>
      </c>
      <c r="C228" s="222" t="str">
        <f>IF($A228="","",IF($J228="DIESEL",SUMIFS(Table1[Quantity],Table1[Customer],$M$3,Table1[Date],$A228,Table1[Bill No.],$B228),IF($J228="PETROL",SUMIFS(Table14[Quantity],Table14[Customer],$M$3,Table14[Date],$A228,Table14[Bill No.],$B228),IF($J228="XtraGreen",SUMIFS(Table146[Quantity],Table146[Company],$M$3,Table146[Date],$A228,Table146[Bill No.],$B228),""))))</f>
        <v/>
      </c>
      <c r="D228" s="223" t="str">
        <f>IF($A228="","",IF($J228="DIESEL",AVERAGEIFS(Table1[RSP],Table1[Customer],$M$3,Table1[Date],$A228,Table1[Bill No.],$B228),IF($J228="PETROL",AVERAGEIFS(Table14[RSP],Table14[Customer],$M$3,Table14[Date],$A228,Table14[Bill No.],$B228),IF($J228="XtraGreen",AVERAGEIFS(Table146[RSP],Table146[Company],$M$3,Table146[Date],$A228,Table146[Bill No.],$B228),IFERROR($E228/$C228,"")))))</f>
        <v/>
      </c>
      <c r="E228" s="330" t="str">
        <f>IF($A228="","",IF($J228="DIESEL",SUMIFS(Table1[Amount],Table1[Customer],$M$3,Table1[Date],$A228,Table1[Bill No.],$B228),IF($J228="PETROL",SUMIFS(Table14[Amount],Table14[Customer],$M$3,Table14[Date],$A228,Table14[Bill No.],$B228),IF($J228="XtraGreen",SUMIFS(Table146[Amount],Table146[Company],$M$3,Table146[Date],$A228,Table146[Bill No.],$B228),SUMIFS('Other Sale'!$D:$D,'Other Sale'!$E:$E,$M$3,'Other Sale'!$C:$C,$J228,'Other Sale'!$A:$A,$A228)))))</f>
        <v/>
      </c>
      <c r="F228" s="330" t="str" cm="1">
        <f t="array" ref="F228">IF($A228="","",IF($J228="Payment",IFERROR(INDEX(_xlfn._xlws.FILTER(MasterPaid[Amount Paid],(MasterPaid[Customer]=$M$3)*(MasterPaid[Date]=$A228)),COUNTIFS($A$6:$A228,$A228,$J$6:$J228,"Payment")),0),0))</f>
        <v/>
      </c>
      <c r="G228" s="331"/>
      <c r="H228" s="331"/>
      <c r="I228" s="330" t="str">
        <f t="shared" si="13"/>
        <v/>
      </c>
      <c r="J228" s="318" t="str" cm="1">
        <f t="array" ref="J228">IFERROR(INDEX(_xlfn.ANCHORARRAY($P$6),ROW()-5,3),"")</f>
        <v/>
      </c>
      <c r="K228" s="432" t="str" cm="1">
        <f t="array" ref="K228">IF(OR($A228="",$J228&lt;&gt;"DIESEL"),"",_xlfn.LET(_xlpm.qty,N($C228),_xlpm.pos,$T$5:$T$54,_xlpm.alo,IF($U$5:$U$54="",0,$U$5:$U$54),_xlpm.usd,SUMIFS($C$6:$C227,$K$6:$K227,_xlpm.pos&amp;""),_xlpm.bal,_xlpm.alo-_xlpm.usd,IFERROR(INDEX(_xlfn._xlws.FILTER(_xlpm.pos,(_xlpm.pos&lt;&gt;"")*(_xlpm.qty&gt;0)*(_xlpm.bal&gt;=_xlpm.qty)),1),"")))</f>
        <v/>
      </c>
      <c r="L228" s="290"/>
    </row>
    <row r="229" spans="1:12" ht="23" x14ac:dyDescent="0.25">
      <c r="A229" s="221" t="str" cm="1">
        <f t="array" ref="A229">IFERROR(INDEX(_xlfn.ANCHORARRAY($P$6),ROW()-5,1),"")</f>
        <v/>
      </c>
      <c r="B229" s="317" t="str" cm="1">
        <f t="array" ref="B229">IFERROR(INDEX(_xlfn.ANCHORARRAY($P$6),ROW()-5,2),"")</f>
        <v/>
      </c>
      <c r="C229" s="222" t="str">
        <f>IF($A229="","",IF($J229="DIESEL",SUMIFS(Table1[Quantity],Table1[Customer],$M$3,Table1[Date],$A229,Table1[Bill No.],$B229),IF($J229="PETROL",SUMIFS(Table14[Quantity],Table14[Customer],$M$3,Table14[Date],$A229,Table14[Bill No.],$B229),IF($J229="XtraGreen",SUMIFS(Table146[Quantity],Table146[Company],$M$3,Table146[Date],$A229,Table146[Bill No.],$B229),""))))</f>
        <v/>
      </c>
      <c r="D229" s="223" t="str">
        <f>IF($A229="","",IF($J229="DIESEL",AVERAGEIFS(Table1[RSP],Table1[Customer],$M$3,Table1[Date],$A229,Table1[Bill No.],$B229),IF($J229="PETROL",AVERAGEIFS(Table14[RSP],Table14[Customer],$M$3,Table14[Date],$A229,Table14[Bill No.],$B229),IF($J229="XtraGreen",AVERAGEIFS(Table146[RSP],Table146[Company],$M$3,Table146[Date],$A229,Table146[Bill No.],$B229),IFERROR($E229/$C229,"")))))</f>
        <v/>
      </c>
      <c r="E229" s="330" t="str">
        <f>IF($A229="","",IF($J229="DIESEL",SUMIFS(Table1[Amount],Table1[Customer],$M$3,Table1[Date],$A229,Table1[Bill No.],$B229),IF($J229="PETROL",SUMIFS(Table14[Amount],Table14[Customer],$M$3,Table14[Date],$A229,Table14[Bill No.],$B229),IF($J229="XtraGreen",SUMIFS(Table146[Amount],Table146[Company],$M$3,Table146[Date],$A229,Table146[Bill No.],$B229),SUMIFS('Other Sale'!$D:$D,'Other Sale'!$E:$E,$M$3,'Other Sale'!$C:$C,$J229,'Other Sale'!$A:$A,$A229)))))</f>
        <v/>
      </c>
      <c r="F229" s="330" t="str" cm="1">
        <f t="array" ref="F229">IF($A229="","",IF($J229="Payment",IFERROR(INDEX(_xlfn._xlws.FILTER(MasterPaid[Amount Paid],(MasterPaid[Customer]=$M$3)*(MasterPaid[Date]=$A229)),COUNTIFS($A$6:$A229,$A229,$J$6:$J229,"Payment")),0),0))</f>
        <v/>
      </c>
      <c r="G229" s="331"/>
      <c r="H229" s="331"/>
      <c r="I229" s="330" t="str">
        <f t="shared" si="13"/>
        <v/>
      </c>
      <c r="J229" s="318" t="str" cm="1">
        <f t="array" ref="J229">IFERROR(INDEX(_xlfn.ANCHORARRAY($P$6),ROW()-5,3),"")</f>
        <v/>
      </c>
      <c r="K229" s="432" t="str" cm="1">
        <f t="array" ref="K229">IF(OR($A229="",$J229&lt;&gt;"DIESEL"),"",_xlfn.LET(_xlpm.qty,N($C229),_xlpm.pos,$T$5:$T$54,_xlpm.alo,IF($U$5:$U$54="",0,$U$5:$U$54),_xlpm.usd,SUMIFS($C$6:$C228,$K$6:$K228,_xlpm.pos&amp;""),_xlpm.bal,_xlpm.alo-_xlpm.usd,IFERROR(INDEX(_xlfn._xlws.FILTER(_xlpm.pos,(_xlpm.pos&lt;&gt;"")*(_xlpm.qty&gt;0)*(_xlpm.bal&gt;=_xlpm.qty)),1),"")))</f>
        <v/>
      </c>
      <c r="L229" s="290"/>
    </row>
    <row r="230" spans="1:12" ht="23" x14ac:dyDescent="0.25">
      <c r="A230" s="221" t="str" cm="1">
        <f t="array" ref="A230">IFERROR(INDEX(_xlfn.ANCHORARRAY($P$6),ROW()-5,1),"")</f>
        <v/>
      </c>
      <c r="B230" s="317" t="str" cm="1">
        <f t="array" ref="B230">IFERROR(INDEX(_xlfn.ANCHORARRAY($P$6),ROW()-5,2),"")</f>
        <v/>
      </c>
      <c r="C230" s="222" t="str">
        <f>IF($A230="","",IF($J230="DIESEL",SUMIFS(Table1[Quantity],Table1[Customer],$M$3,Table1[Date],$A230,Table1[Bill No.],$B230),IF($J230="PETROL",SUMIFS(Table14[Quantity],Table14[Customer],$M$3,Table14[Date],$A230,Table14[Bill No.],$B230),IF($J230="XtraGreen",SUMIFS(Table146[Quantity],Table146[Company],$M$3,Table146[Date],$A230,Table146[Bill No.],$B230),""))))</f>
        <v/>
      </c>
      <c r="D230" s="223" t="str">
        <f>IF($A230="","",IF($J230="DIESEL",AVERAGEIFS(Table1[RSP],Table1[Customer],$M$3,Table1[Date],$A230,Table1[Bill No.],$B230),IF($J230="PETROL",AVERAGEIFS(Table14[RSP],Table14[Customer],$M$3,Table14[Date],$A230,Table14[Bill No.],$B230),IF($J230="XtraGreen",AVERAGEIFS(Table146[RSP],Table146[Company],$M$3,Table146[Date],$A230,Table146[Bill No.],$B230),IFERROR($E230/$C230,"")))))</f>
        <v/>
      </c>
      <c r="E230" s="330" t="str">
        <f>IF($A230="","",IF($J230="DIESEL",SUMIFS(Table1[Amount],Table1[Customer],$M$3,Table1[Date],$A230,Table1[Bill No.],$B230),IF($J230="PETROL",SUMIFS(Table14[Amount],Table14[Customer],$M$3,Table14[Date],$A230,Table14[Bill No.],$B230),IF($J230="XtraGreen",SUMIFS(Table146[Amount],Table146[Company],$M$3,Table146[Date],$A230,Table146[Bill No.],$B230),SUMIFS('Other Sale'!$D:$D,'Other Sale'!$E:$E,$M$3,'Other Sale'!$C:$C,$J230,'Other Sale'!$A:$A,$A230)))))</f>
        <v/>
      </c>
      <c r="F230" s="330" t="str" cm="1">
        <f t="array" ref="F230">IF($A230="","",IF($J230="Payment",IFERROR(INDEX(_xlfn._xlws.FILTER(MasterPaid[Amount Paid],(MasterPaid[Customer]=$M$3)*(MasterPaid[Date]=$A230)),COUNTIFS($A$6:$A230,$A230,$J$6:$J230,"Payment")),0),0))</f>
        <v/>
      </c>
      <c r="G230" s="331"/>
      <c r="H230" s="331"/>
      <c r="I230" s="330" t="str">
        <f t="shared" si="13"/>
        <v/>
      </c>
      <c r="J230" s="318" t="str" cm="1">
        <f t="array" ref="J230">IFERROR(INDEX(_xlfn.ANCHORARRAY($P$6),ROW()-5,3),"")</f>
        <v/>
      </c>
      <c r="K230" s="432" t="str" cm="1">
        <f t="array" ref="K230">IF(OR($A230="",$J230&lt;&gt;"DIESEL"),"",_xlfn.LET(_xlpm.qty,N($C230),_xlpm.pos,$T$5:$T$54,_xlpm.alo,IF($U$5:$U$54="",0,$U$5:$U$54),_xlpm.usd,SUMIFS($C$6:$C229,$K$6:$K229,_xlpm.pos&amp;""),_xlpm.bal,_xlpm.alo-_xlpm.usd,IFERROR(INDEX(_xlfn._xlws.FILTER(_xlpm.pos,(_xlpm.pos&lt;&gt;"")*(_xlpm.qty&gt;0)*(_xlpm.bal&gt;=_xlpm.qty)),1),"")))</f>
        <v/>
      </c>
      <c r="L230" s="290"/>
    </row>
    <row r="231" spans="1:12" ht="23" x14ac:dyDescent="0.25">
      <c r="A231" s="221" t="str" cm="1">
        <f t="array" ref="A231">IFERROR(INDEX(_xlfn.ANCHORARRAY($P$6),ROW()-5,1),"")</f>
        <v/>
      </c>
      <c r="B231" s="317" t="str" cm="1">
        <f t="array" ref="B231">IFERROR(INDEX(_xlfn.ANCHORARRAY($P$6),ROW()-5,2),"")</f>
        <v/>
      </c>
      <c r="C231" s="222" t="str">
        <f>IF($A231="","",IF($J231="DIESEL",SUMIFS(Table1[Quantity],Table1[Customer],$M$3,Table1[Date],$A231,Table1[Bill No.],$B231),IF($J231="PETROL",SUMIFS(Table14[Quantity],Table14[Customer],$M$3,Table14[Date],$A231,Table14[Bill No.],$B231),IF($J231="XtraGreen",SUMIFS(Table146[Quantity],Table146[Company],$M$3,Table146[Date],$A231,Table146[Bill No.],$B231),""))))</f>
        <v/>
      </c>
      <c r="D231" s="223" t="str">
        <f>IF($A231="","",IF($J231="DIESEL",AVERAGEIFS(Table1[RSP],Table1[Customer],$M$3,Table1[Date],$A231,Table1[Bill No.],$B231),IF($J231="PETROL",AVERAGEIFS(Table14[RSP],Table14[Customer],$M$3,Table14[Date],$A231,Table14[Bill No.],$B231),IF($J231="XtraGreen",AVERAGEIFS(Table146[RSP],Table146[Company],$M$3,Table146[Date],$A231,Table146[Bill No.],$B231),IFERROR($E231/$C231,"")))))</f>
        <v/>
      </c>
      <c r="E231" s="330" t="str">
        <f>IF($A231="","",IF($J231="DIESEL",SUMIFS(Table1[Amount],Table1[Customer],$M$3,Table1[Date],$A231,Table1[Bill No.],$B231),IF($J231="PETROL",SUMIFS(Table14[Amount],Table14[Customer],$M$3,Table14[Date],$A231,Table14[Bill No.],$B231),IF($J231="XtraGreen",SUMIFS(Table146[Amount],Table146[Company],$M$3,Table146[Date],$A231,Table146[Bill No.],$B231),SUMIFS('Other Sale'!$D:$D,'Other Sale'!$E:$E,$M$3,'Other Sale'!$C:$C,$J231,'Other Sale'!$A:$A,$A231)))))</f>
        <v/>
      </c>
      <c r="F231" s="330" t="str" cm="1">
        <f t="array" ref="F231">IF($A231="","",IF($J231="Payment",IFERROR(INDEX(_xlfn._xlws.FILTER(MasterPaid[Amount Paid],(MasterPaid[Customer]=$M$3)*(MasterPaid[Date]=$A231)),COUNTIFS($A$6:$A231,$A231,$J$6:$J231,"Payment")),0),0))</f>
        <v/>
      </c>
      <c r="G231" s="331"/>
      <c r="H231" s="331"/>
      <c r="I231" s="330" t="str">
        <f t="shared" si="13"/>
        <v/>
      </c>
      <c r="J231" s="318" t="str" cm="1">
        <f t="array" ref="J231">IFERROR(INDEX(_xlfn.ANCHORARRAY($P$6),ROW()-5,3),"")</f>
        <v/>
      </c>
      <c r="K231" s="432" t="str" cm="1">
        <f t="array" ref="K231">IF(OR($A231="",$J231&lt;&gt;"DIESEL"),"",_xlfn.LET(_xlpm.qty,N($C231),_xlpm.pos,$T$5:$T$54,_xlpm.alo,IF($U$5:$U$54="",0,$U$5:$U$54),_xlpm.usd,SUMIFS($C$6:$C230,$K$6:$K230,_xlpm.pos&amp;""),_xlpm.bal,_xlpm.alo-_xlpm.usd,IFERROR(INDEX(_xlfn._xlws.FILTER(_xlpm.pos,(_xlpm.pos&lt;&gt;"")*(_xlpm.qty&gt;0)*(_xlpm.bal&gt;=_xlpm.qty)),1),"")))</f>
        <v/>
      </c>
      <c r="L231" s="290"/>
    </row>
    <row r="232" spans="1:12" ht="23" x14ac:dyDescent="0.25">
      <c r="A232" s="221" t="str" cm="1">
        <f t="array" ref="A232">IFERROR(INDEX(_xlfn.ANCHORARRAY($P$6),ROW()-5,1),"")</f>
        <v/>
      </c>
      <c r="B232" s="317" t="str" cm="1">
        <f t="array" ref="B232">IFERROR(INDEX(_xlfn.ANCHORARRAY($P$6),ROW()-5,2),"")</f>
        <v/>
      </c>
      <c r="C232" s="222" t="str">
        <f>IF($A232="","",IF($J232="DIESEL",SUMIFS(Table1[Quantity],Table1[Customer],$M$3,Table1[Date],$A232,Table1[Bill No.],$B232),IF($J232="PETROL",SUMIFS(Table14[Quantity],Table14[Customer],$M$3,Table14[Date],$A232,Table14[Bill No.],$B232),IF($J232="XtraGreen",SUMIFS(Table146[Quantity],Table146[Company],$M$3,Table146[Date],$A232,Table146[Bill No.],$B232),""))))</f>
        <v/>
      </c>
      <c r="D232" s="223" t="str">
        <f>IF($A232="","",IF($J232="DIESEL",AVERAGEIFS(Table1[RSP],Table1[Customer],$M$3,Table1[Date],$A232,Table1[Bill No.],$B232),IF($J232="PETROL",AVERAGEIFS(Table14[RSP],Table14[Customer],$M$3,Table14[Date],$A232,Table14[Bill No.],$B232),IF($J232="XtraGreen",AVERAGEIFS(Table146[RSP],Table146[Company],$M$3,Table146[Date],$A232,Table146[Bill No.],$B232),IFERROR($E232/$C232,"")))))</f>
        <v/>
      </c>
      <c r="E232" s="330" t="str">
        <f>IF($A232="","",IF($J232="DIESEL",SUMIFS(Table1[Amount],Table1[Customer],$M$3,Table1[Date],$A232,Table1[Bill No.],$B232),IF($J232="PETROL",SUMIFS(Table14[Amount],Table14[Customer],$M$3,Table14[Date],$A232,Table14[Bill No.],$B232),IF($J232="XtraGreen",SUMIFS(Table146[Amount],Table146[Company],$M$3,Table146[Date],$A232,Table146[Bill No.],$B232),SUMIFS('Other Sale'!$D:$D,'Other Sale'!$E:$E,$M$3,'Other Sale'!$C:$C,$J232,'Other Sale'!$A:$A,$A232)))))</f>
        <v/>
      </c>
      <c r="F232" s="330" t="str" cm="1">
        <f t="array" ref="F232">IF($A232="","",IF($J232="Payment",IFERROR(INDEX(_xlfn._xlws.FILTER(MasterPaid[Amount Paid],(MasterPaid[Customer]=$M$3)*(MasterPaid[Date]=$A232)),COUNTIFS($A$6:$A232,$A232,$J$6:$J232,"Payment")),0),0))</f>
        <v/>
      </c>
      <c r="G232" s="331"/>
      <c r="H232" s="331"/>
      <c r="I232" s="330" t="str">
        <f t="shared" si="13"/>
        <v/>
      </c>
      <c r="J232" s="318" t="str" cm="1">
        <f t="array" ref="J232">IFERROR(INDEX(_xlfn.ANCHORARRAY($P$6),ROW()-5,3),"")</f>
        <v/>
      </c>
      <c r="K232" s="432" t="str" cm="1">
        <f t="array" ref="K232">IF(OR($A232="",$J232&lt;&gt;"DIESEL"),"",_xlfn.LET(_xlpm.qty,N($C232),_xlpm.pos,$T$5:$T$54,_xlpm.alo,IF($U$5:$U$54="",0,$U$5:$U$54),_xlpm.usd,SUMIFS($C$6:$C231,$K$6:$K231,_xlpm.pos&amp;""),_xlpm.bal,_xlpm.alo-_xlpm.usd,IFERROR(INDEX(_xlfn._xlws.FILTER(_xlpm.pos,(_xlpm.pos&lt;&gt;"")*(_xlpm.qty&gt;0)*(_xlpm.bal&gt;=_xlpm.qty)),1),"")))</f>
        <v/>
      </c>
      <c r="L232" s="290"/>
    </row>
    <row r="233" spans="1:12" ht="23" x14ac:dyDescent="0.25">
      <c r="A233" s="221" t="str" cm="1">
        <f t="array" ref="A233">IFERROR(INDEX(_xlfn.ANCHORARRAY($P$6),ROW()-5,1),"")</f>
        <v/>
      </c>
      <c r="B233" s="317" t="str" cm="1">
        <f t="array" ref="B233">IFERROR(INDEX(_xlfn.ANCHORARRAY($P$6),ROW()-5,2),"")</f>
        <v/>
      </c>
      <c r="C233" s="222" t="str">
        <f>IF($A233="","",IF($J233="DIESEL",SUMIFS(Table1[Quantity],Table1[Customer],$M$3,Table1[Date],$A233,Table1[Bill No.],$B233),IF($J233="PETROL",SUMIFS(Table14[Quantity],Table14[Customer],$M$3,Table14[Date],$A233,Table14[Bill No.],$B233),IF($J233="XtraGreen",SUMIFS(Table146[Quantity],Table146[Company],$M$3,Table146[Date],$A233,Table146[Bill No.],$B233),""))))</f>
        <v/>
      </c>
      <c r="D233" s="223" t="str">
        <f>IF($A233="","",IF($J233="DIESEL",AVERAGEIFS(Table1[RSP],Table1[Customer],$M$3,Table1[Date],$A233,Table1[Bill No.],$B233),IF($J233="PETROL",AVERAGEIFS(Table14[RSP],Table14[Customer],$M$3,Table14[Date],$A233,Table14[Bill No.],$B233),IF($J233="XtraGreen",AVERAGEIFS(Table146[RSP],Table146[Company],$M$3,Table146[Date],$A233,Table146[Bill No.],$B233),IFERROR($E233/$C233,"")))))</f>
        <v/>
      </c>
      <c r="E233" s="330" t="str">
        <f>IF($A233="","",IF($J233="DIESEL",SUMIFS(Table1[Amount],Table1[Customer],$M$3,Table1[Date],$A233,Table1[Bill No.],$B233),IF($J233="PETROL",SUMIFS(Table14[Amount],Table14[Customer],$M$3,Table14[Date],$A233,Table14[Bill No.],$B233),IF($J233="XtraGreen",SUMIFS(Table146[Amount],Table146[Company],$M$3,Table146[Date],$A233,Table146[Bill No.],$B233),SUMIFS('Other Sale'!$D:$D,'Other Sale'!$E:$E,$M$3,'Other Sale'!$C:$C,$J233,'Other Sale'!$A:$A,$A233)))))</f>
        <v/>
      </c>
      <c r="F233" s="330" t="str" cm="1">
        <f t="array" ref="F233">IF($A233="","",IF($J233="Payment",IFERROR(INDEX(_xlfn._xlws.FILTER(MasterPaid[Amount Paid],(MasterPaid[Customer]=$M$3)*(MasterPaid[Date]=$A233)),COUNTIFS($A$6:$A233,$A233,$J$6:$J233,"Payment")),0),0))</f>
        <v/>
      </c>
      <c r="G233" s="331"/>
      <c r="H233" s="331"/>
      <c r="I233" s="330" t="str">
        <f t="shared" si="13"/>
        <v/>
      </c>
      <c r="J233" s="318" t="str" cm="1">
        <f t="array" ref="J233">IFERROR(INDEX(_xlfn.ANCHORARRAY($P$6),ROW()-5,3),"")</f>
        <v/>
      </c>
      <c r="K233" s="432" t="str" cm="1">
        <f t="array" ref="K233">IF(OR($A233="",$J233&lt;&gt;"DIESEL"),"",_xlfn.LET(_xlpm.qty,N($C233),_xlpm.pos,$T$5:$T$54,_xlpm.alo,IF($U$5:$U$54="",0,$U$5:$U$54),_xlpm.usd,SUMIFS($C$6:$C232,$K$6:$K232,_xlpm.pos&amp;""),_xlpm.bal,_xlpm.alo-_xlpm.usd,IFERROR(INDEX(_xlfn._xlws.FILTER(_xlpm.pos,(_xlpm.pos&lt;&gt;"")*(_xlpm.qty&gt;0)*(_xlpm.bal&gt;=_xlpm.qty)),1),"")))</f>
        <v/>
      </c>
      <c r="L233" s="290"/>
    </row>
    <row r="234" spans="1:12" ht="23" x14ac:dyDescent="0.25">
      <c r="A234" s="221" t="str" cm="1">
        <f t="array" ref="A234">IFERROR(INDEX(_xlfn.ANCHORARRAY($P$6),ROW()-5,1),"")</f>
        <v/>
      </c>
      <c r="B234" s="317" t="str" cm="1">
        <f t="array" ref="B234">IFERROR(INDEX(_xlfn.ANCHORARRAY($P$6),ROW()-5,2),"")</f>
        <v/>
      </c>
      <c r="C234" s="222" t="str">
        <f>IF($A234="","",IF($J234="DIESEL",SUMIFS(Table1[Quantity],Table1[Customer],$M$3,Table1[Date],$A234,Table1[Bill No.],$B234),IF($J234="PETROL",SUMIFS(Table14[Quantity],Table14[Customer],$M$3,Table14[Date],$A234,Table14[Bill No.],$B234),IF($J234="XtraGreen",SUMIFS(Table146[Quantity],Table146[Company],$M$3,Table146[Date],$A234,Table146[Bill No.],$B234),""))))</f>
        <v/>
      </c>
      <c r="D234" s="223" t="str">
        <f>IF($A234="","",IF($J234="DIESEL",AVERAGEIFS(Table1[RSP],Table1[Customer],$M$3,Table1[Date],$A234,Table1[Bill No.],$B234),IF($J234="PETROL",AVERAGEIFS(Table14[RSP],Table14[Customer],$M$3,Table14[Date],$A234,Table14[Bill No.],$B234),IF($J234="XtraGreen",AVERAGEIFS(Table146[RSP],Table146[Company],$M$3,Table146[Date],$A234,Table146[Bill No.],$B234),IFERROR($E234/$C234,"")))))</f>
        <v/>
      </c>
      <c r="E234" s="330" t="str">
        <f>IF($A234="","",IF($J234="DIESEL",SUMIFS(Table1[Amount],Table1[Customer],$M$3,Table1[Date],$A234,Table1[Bill No.],$B234),IF($J234="PETROL",SUMIFS(Table14[Amount],Table14[Customer],$M$3,Table14[Date],$A234,Table14[Bill No.],$B234),IF($J234="XtraGreen",SUMIFS(Table146[Amount],Table146[Company],$M$3,Table146[Date],$A234,Table146[Bill No.],$B234),SUMIFS('Other Sale'!$D:$D,'Other Sale'!$E:$E,$M$3,'Other Sale'!$C:$C,$J234,'Other Sale'!$A:$A,$A234)))))</f>
        <v/>
      </c>
      <c r="F234" s="330" t="str" cm="1">
        <f t="array" ref="F234">IF($A234="","",IF($J234="Payment",IFERROR(INDEX(_xlfn._xlws.FILTER(MasterPaid[Amount Paid],(MasterPaid[Customer]=$M$3)*(MasterPaid[Date]=$A234)),COUNTIFS($A$6:$A234,$A234,$J$6:$J234,"Payment")),0),0))</f>
        <v/>
      </c>
      <c r="G234" s="331"/>
      <c r="H234" s="331"/>
      <c r="I234" s="330" t="str">
        <f t="shared" si="13"/>
        <v/>
      </c>
      <c r="J234" s="318" t="str" cm="1">
        <f t="array" ref="J234">IFERROR(INDEX(_xlfn.ANCHORARRAY($P$6),ROW()-5,3),"")</f>
        <v/>
      </c>
      <c r="K234" s="432" t="str" cm="1">
        <f t="array" ref="K234">IF(OR($A234="",$J234&lt;&gt;"DIESEL"),"",_xlfn.LET(_xlpm.qty,N($C234),_xlpm.pos,$T$5:$T$54,_xlpm.alo,IF($U$5:$U$54="",0,$U$5:$U$54),_xlpm.usd,SUMIFS($C$6:$C233,$K$6:$K233,_xlpm.pos&amp;""),_xlpm.bal,_xlpm.alo-_xlpm.usd,IFERROR(INDEX(_xlfn._xlws.FILTER(_xlpm.pos,(_xlpm.pos&lt;&gt;"")*(_xlpm.qty&gt;0)*(_xlpm.bal&gt;=_xlpm.qty)),1),"")))</f>
        <v/>
      </c>
      <c r="L234" s="290"/>
    </row>
    <row r="235" spans="1:12" ht="23" x14ac:dyDescent="0.25">
      <c r="A235" s="221" t="str" cm="1">
        <f t="array" ref="A235">IFERROR(INDEX(_xlfn.ANCHORARRAY($P$6),ROW()-5,1),"")</f>
        <v/>
      </c>
      <c r="B235" s="317" t="str" cm="1">
        <f t="array" ref="B235">IFERROR(INDEX(_xlfn.ANCHORARRAY($P$6),ROW()-5,2),"")</f>
        <v/>
      </c>
      <c r="C235" s="222" t="str">
        <f>IF($A235="","",IF($J235="DIESEL",SUMIFS(Table1[Quantity],Table1[Customer],$M$3,Table1[Date],$A235,Table1[Bill No.],$B235),IF($J235="PETROL",SUMIFS(Table14[Quantity],Table14[Customer],$M$3,Table14[Date],$A235,Table14[Bill No.],$B235),IF($J235="XtraGreen",SUMIFS(Table146[Quantity],Table146[Company],$M$3,Table146[Date],$A235,Table146[Bill No.],$B235),""))))</f>
        <v/>
      </c>
      <c r="D235" s="223" t="str">
        <f>IF($A235="","",IF($J235="DIESEL",AVERAGEIFS(Table1[RSP],Table1[Customer],$M$3,Table1[Date],$A235,Table1[Bill No.],$B235),IF($J235="PETROL",AVERAGEIFS(Table14[RSP],Table14[Customer],$M$3,Table14[Date],$A235,Table14[Bill No.],$B235),IF($J235="XtraGreen",AVERAGEIFS(Table146[RSP],Table146[Company],$M$3,Table146[Date],$A235,Table146[Bill No.],$B235),IFERROR($E235/$C235,"")))))</f>
        <v/>
      </c>
      <c r="E235" s="330" t="str">
        <f>IF($A235="","",IF($J235="DIESEL",SUMIFS(Table1[Amount],Table1[Customer],$M$3,Table1[Date],$A235,Table1[Bill No.],$B235),IF($J235="PETROL",SUMIFS(Table14[Amount],Table14[Customer],$M$3,Table14[Date],$A235,Table14[Bill No.],$B235),IF($J235="XtraGreen",SUMIFS(Table146[Amount],Table146[Company],$M$3,Table146[Date],$A235,Table146[Bill No.],$B235),SUMIFS('Other Sale'!$D:$D,'Other Sale'!$E:$E,$M$3,'Other Sale'!$C:$C,$J235,'Other Sale'!$A:$A,$A235)))))</f>
        <v/>
      </c>
      <c r="F235" s="330" t="str" cm="1">
        <f t="array" ref="F235">IF($A235="","",IF($J235="Payment",IFERROR(INDEX(_xlfn._xlws.FILTER(MasterPaid[Amount Paid],(MasterPaid[Customer]=$M$3)*(MasterPaid[Date]=$A235)),COUNTIFS($A$6:$A235,$A235,$J$6:$J235,"Payment")),0),0))</f>
        <v/>
      </c>
      <c r="G235" s="331"/>
      <c r="H235" s="331"/>
      <c r="I235" s="330" t="str">
        <f t="shared" si="13"/>
        <v/>
      </c>
      <c r="J235" s="318" t="str" cm="1">
        <f t="array" ref="J235">IFERROR(INDEX(_xlfn.ANCHORARRAY($P$6),ROW()-5,3),"")</f>
        <v/>
      </c>
      <c r="K235" s="432" t="str" cm="1">
        <f t="array" ref="K235">IF(OR($A235="",$J235&lt;&gt;"DIESEL"),"",_xlfn.LET(_xlpm.qty,N($C235),_xlpm.pos,$T$5:$T$54,_xlpm.alo,IF($U$5:$U$54="",0,$U$5:$U$54),_xlpm.usd,SUMIFS($C$6:$C234,$K$6:$K234,_xlpm.pos&amp;""),_xlpm.bal,_xlpm.alo-_xlpm.usd,IFERROR(INDEX(_xlfn._xlws.FILTER(_xlpm.pos,(_xlpm.pos&lt;&gt;"")*(_xlpm.qty&gt;0)*(_xlpm.bal&gt;=_xlpm.qty)),1),"")))</f>
        <v/>
      </c>
      <c r="L235" s="290"/>
    </row>
    <row r="236" spans="1:12" ht="23" x14ac:dyDescent="0.25">
      <c r="A236" s="221" t="str" cm="1">
        <f t="array" ref="A236">IFERROR(INDEX(_xlfn.ANCHORARRAY($P$6),ROW()-5,1),"")</f>
        <v/>
      </c>
      <c r="B236" s="317" t="str" cm="1">
        <f t="array" ref="B236">IFERROR(INDEX(_xlfn.ANCHORARRAY($P$6),ROW()-5,2),"")</f>
        <v/>
      </c>
      <c r="C236" s="222" t="str">
        <f>IF($A236="","",IF($J236="DIESEL",SUMIFS(Table1[Quantity],Table1[Customer],$M$3,Table1[Date],$A236,Table1[Bill No.],$B236),IF($J236="PETROL",SUMIFS(Table14[Quantity],Table14[Customer],$M$3,Table14[Date],$A236,Table14[Bill No.],$B236),IF($J236="XtraGreen",SUMIFS(Table146[Quantity],Table146[Company],$M$3,Table146[Date],$A236,Table146[Bill No.],$B236),""))))</f>
        <v/>
      </c>
      <c r="D236" s="223" t="str">
        <f>IF($A236="","",IF($J236="DIESEL",AVERAGEIFS(Table1[RSP],Table1[Customer],$M$3,Table1[Date],$A236,Table1[Bill No.],$B236),IF($J236="PETROL",AVERAGEIFS(Table14[RSP],Table14[Customer],$M$3,Table14[Date],$A236,Table14[Bill No.],$B236),IF($J236="XtraGreen",AVERAGEIFS(Table146[RSP],Table146[Company],$M$3,Table146[Date],$A236,Table146[Bill No.],$B236),IFERROR($E236/$C236,"")))))</f>
        <v/>
      </c>
      <c r="E236" s="330" t="str">
        <f>IF($A236="","",IF($J236="DIESEL",SUMIFS(Table1[Amount],Table1[Customer],$M$3,Table1[Date],$A236,Table1[Bill No.],$B236),IF($J236="PETROL",SUMIFS(Table14[Amount],Table14[Customer],$M$3,Table14[Date],$A236,Table14[Bill No.],$B236),IF($J236="XtraGreen",SUMIFS(Table146[Amount],Table146[Company],$M$3,Table146[Date],$A236,Table146[Bill No.],$B236),SUMIFS('Other Sale'!$D:$D,'Other Sale'!$E:$E,$M$3,'Other Sale'!$C:$C,$J236,'Other Sale'!$A:$A,$A236)))))</f>
        <v/>
      </c>
      <c r="F236" s="330" t="str" cm="1">
        <f t="array" ref="F236">IF($A236="","",IF($J236="Payment",IFERROR(INDEX(_xlfn._xlws.FILTER(MasterPaid[Amount Paid],(MasterPaid[Customer]=$M$3)*(MasterPaid[Date]=$A236)),COUNTIFS($A$6:$A236,$A236,$J$6:$J236,"Payment")),0),0))</f>
        <v/>
      </c>
      <c r="G236" s="331"/>
      <c r="H236" s="331"/>
      <c r="I236" s="330" t="str">
        <f t="shared" si="13"/>
        <v/>
      </c>
      <c r="J236" s="318" t="str" cm="1">
        <f t="array" ref="J236">IFERROR(INDEX(_xlfn.ANCHORARRAY($P$6),ROW()-5,3),"")</f>
        <v/>
      </c>
      <c r="K236" s="432" t="str" cm="1">
        <f t="array" ref="K236">IF(OR($A236="",$J236&lt;&gt;"DIESEL"),"",_xlfn.LET(_xlpm.qty,N($C236),_xlpm.pos,$T$5:$T$54,_xlpm.alo,IF($U$5:$U$54="",0,$U$5:$U$54),_xlpm.usd,SUMIFS($C$6:$C235,$K$6:$K235,_xlpm.pos&amp;""),_xlpm.bal,_xlpm.alo-_xlpm.usd,IFERROR(INDEX(_xlfn._xlws.FILTER(_xlpm.pos,(_xlpm.pos&lt;&gt;"")*(_xlpm.qty&gt;0)*(_xlpm.bal&gt;=_xlpm.qty)),1),"")))</f>
        <v/>
      </c>
      <c r="L236" s="290"/>
    </row>
    <row r="237" spans="1:12" ht="23" x14ac:dyDescent="0.25">
      <c r="A237" s="221" t="str" cm="1">
        <f t="array" ref="A237">IFERROR(INDEX(_xlfn.ANCHORARRAY($P$6),ROW()-5,1),"")</f>
        <v/>
      </c>
      <c r="B237" s="317" t="str" cm="1">
        <f t="array" ref="B237">IFERROR(INDEX(_xlfn.ANCHORARRAY($P$6),ROW()-5,2),"")</f>
        <v/>
      </c>
      <c r="C237" s="222" t="str">
        <f>IF($A237="","",IF($J237="DIESEL",SUMIFS(Table1[Quantity],Table1[Customer],$M$3,Table1[Date],$A237,Table1[Bill No.],$B237),IF($J237="PETROL",SUMIFS(Table14[Quantity],Table14[Customer],$M$3,Table14[Date],$A237,Table14[Bill No.],$B237),IF($J237="XtraGreen",SUMIFS(Table146[Quantity],Table146[Company],$M$3,Table146[Date],$A237,Table146[Bill No.],$B237),""))))</f>
        <v/>
      </c>
      <c r="D237" s="223" t="str">
        <f>IF($A237="","",IF($J237="DIESEL",AVERAGEIFS(Table1[RSP],Table1[Customer],$M$3,Table1[Date],$A237,Table1[Bill No.],$B237),IF($J237="PETROL",AVERAGEIFS(Table14[RSP],Table14[Customer],$M$3,Table14[Date],$A237,Table14[Bill No.],$B237),IF($J237="XtraGreen",AVERAGEIFS(Table146[RSP],Table146[Company],$M$3,Table146[Date],$A237,Table146[Bill No.],$B237),IFERROR($E237/$C237,"")))))</f>
        <v/>
      </c>
      <c r="E237" s="330" t="str">
        <f>IF($A237="","",IF($J237="DIESEL",SUMIFS(Table1[Amount],Table1[Customer],$M$3,Table1[Date],$A237,Table1[Bill No.],$B237),IF($J237="PETROL",SUMIFS(Table14[Amount],Table14[Customer],$M$3,Table14[Date],$A237,Table14[Bill No.],$B237),IF($J237="XtraGreen",SUMIFS(Table146[Amount],Table146[Company],$M$3,Table146[Date],$A237,Table146[Bill No.],$B237),SUMIFS('Other Sale'!$D:$D,'Other Sale'!$E:$E,$M$3,'Other Sale'!$C:$C,$J237,'Other Sale'!$A:$A,$A237)))))</f>
        <v/>
      </c>
      <c r="F237" s="330" t="str" cm="1">
        <f t="array" ref="F237">IF($A237="","",IF($J237="Payment",IFERROR(INDEX(_xlfn._xlws.FILTER(MasterPaid[Amount Paid],(MasterPaid[Customer]=$M$3)*(MasterPaid[Date]=$A237)),COUNTIFS($A$6:$A237,$A237,$J$6:$J237,"Payment")),0),0))</f>
        <v/>
      </c>
      <c r="G237" s="331"/>
      <c r="H237" s="331"/>
      <c r="I237" s="330" t="str">
        <f t="shared" si="13"/>
        <v/>
      </c>
      <c r="J237" s="318" t="str" cm="1">
        <f t="array" ref="J237">IFERROR(INDEX(_xlfn.ANCHORARRAY($P$6),ROW()-5,3),"")</f>
        <v/>
      </c>
      <c r="K237" s="432" t="str" cm="1">
        <f t="array" ref="K237">IF(OR($A237="",$J237&lt;&gt;"DIESEL"),"",_xlfn.LET(_xlpm.qty,N($C237),_xlpm.pos,$T$5:$T$54,_xlpm.alo,IF($U$5:$U$54="",0,$U$5:$U$54),_xlpm.usd,SUMIFS($C$6:$C236,$K$6:$K236,_xlpm.pos&amp;""),_xlpm.bal,_xlpm.alo-_xlpm.usd,IFERROR(INDEX(_xlfn._xlws.FILTER(_xlpm.pos,(_xlpm.pos&lt;&gt;"")*(_xlpm.qty&gt;0)*(_xlpm.bal&gt;=_xlpm.qty)),1),"")))</f>
        <v/>
      </c>
      <c r="L237" s="290"/>
    </row>
    <row r="238" spans="1:12" ht="23" x14ac:dyDescent="0.25">
      <c r="A238" s="221" t="str" cm="1">
        <f t="array" ref="A238">IFERROR(INDEX(_xlfn.ANCHORARRAY($P$6),ROW()-5,1),"")</f>
        <v/>
      </c>
      <c r="B238" s="317" t="str" cm="1">
        <f t="array" ref="B238">IFERROR(INDEX(_xlfn.ANCHORARRAY($P$6),ROW()-5,2),"")</f>
        <v/>
      </c>
      <c r="C238" s="222" t="str">
        <f>IF($A238="","",IF($J238="DIESEL",SUMIFS(Table1[Quantity],Table1[Customer],$M$3,Table1[Date],$A238,Table1[Bill No.],$B238),IF($J238="PETROL",SUMIFS(Table14[Quantity],Table14[Customer],$M$3,Table14[Date],$A238,Table14[Bill No.],$B238),IF($J238="XtraGreen",SUMIFS(Table146[Quantity],Table146[Company],$M$3,Table146[Date],$A238,Table146[Bill No.],$B238),""))))</f>
        <v/>
      </c>
      <c r="D238" s="223" t="str">
        <f>IF($A238="","",IF($J238="DIESEL",AVERAGEIFS(Table1[RSP],Table1[Customer],$M$3,Table1[Date],$A238,Table1[Bill No.],$B238),IF($J238="PETROL",AVERAGEIFS(Table14[RSP],Table14[Customer],$M$3,Table14[Date],$A238,Table14[Bill No.],$B238),IF($J238="XtraGreen",AVERAGEIFS(Table146[RSP],Table146[Company],$M$3,Table146[Date],$A238,Table146[Bill No.],$B238),IFERROR($E238/$C238,"")))))</f>
        <v/>
      </c>
      <c r="E238" s="330" t="str">
        <f>IF($A238="","",IF($J238="DIESEL",SUMIFS(Table1[Amount],Table1[Customer],$M$3,Table1[Date],$A238,Table1[Bill No.],$B238),IF($J238="PETROL",SUMIFS(Table14[Amount],Table14[Customer],$M$3,Table14[Date],$A238,Table14[Bill No.],$B238),IF($J238="XtraGreen",SUMIFS(Table146[Amount],Table146[Company],$M$3,Table146[Date],$A238,Table146[Bill No.],$B238),SUMIFS('Other Sale'!$D:$D,'Other Sale'!$E:$E,$M$3,'Other Sale'!$C:$C,$J238,'Other Sale'!$A:$A,$A238)))))</f>
        <v/>
      </c>
      <c r="F238" s="330" t="str" cm="1">
        <f t="array" ref="F238">IF($A238="","",IF($J238="Payment",IFERROR(INDEX(_xlfn._xlws.FILTER(MasterPaid[Amount Paid],(MasterPaid[Customer]=$M$3)*(MasterPaid[Date]=$A238)),COUNTIFS($A$6:$A238,$A238,$J$6:$J238,"Payment")),0),0))</f>
        <v/>
      </c>
      <c r="G238" s="331"/>
      <c r="H238" s="331"/>
      <c r="I238" s="330" t="str">
        <f t="shared" si="13"/>
        <v/>
      </c>
      <c r="J238" s="318" t="str" cm="1">
        <f t="array" ref="J238">IFERROR(INDEX(_xlfn.ANCHORARRAY($P$6),ROW()-5,3),"")</f>
        <v/>
      </c>
      <c r="K238" s="432" t="str" cm="1">
        <f t="array" ref="K238">IF(OR($A238="",$J238&lt;&gt;"DIESEL"),"",_xlfn.LET(_xlpm.qty,N($C238),_xlpm.pos,$T$5:$T$54,_xlpm.alo,IF($U$5:$U$54="",0,$U$5:$U$54),_xlpm.usd,SUMIFS($C$6:$C237,$K$6:$K237,_xlpm.pos&amp;""),_xlpm.bal,_xlpm.alo-_xlpm.usd,IFERROR(INDEX(_xlfn._xlws.FILTER(_xlpm.pos,(_xlpm.pos&lt;&gt;"")*(_xlpm.qty&gt;0)*(_xlpm.bal&gt;=_xlpm.qty)),1),"")))</f>
        <v/>
      </c>
      <c r="L238" s="290"/>
    </row>
    <row r="239" spans="1:12" ht="23" x14ac:dyDescent="0.25">
      <c r="A239" s="221" t="str" cm="1">
        <f t="array" ref="A239">IFERROR(INDEX(_xlfn.ANCHORARRAY($P$6),ROW()-5,1),"")</f>
        <v/>
      </c>
      <c r="B239" s="317" t="str" cm="1">
        <f t="array" ref="B239">IFERROR(INDEX(_xlfn.ANCHORARRAY($P$6),ROW()-5,2),"")</f>
        <v/>
      </c>
      <c r="C239" s="222" t="str">
        <f>IF($A239="","",IF($J239="DIESEL",SUMIFS(Table1[Quantity],Table1[Customer],$M$3,Table1[Date],$A239,Table1[Bill No.],$B239),IF($J239="PETROL",SUMIFS(Table14[Quantity],Table14[Customer],$M$3,Table14[Date],$A239,Table14[Bill No.],$B239),IF($J239="XtraGreen",SUMIFS(Table146[Quantity],Table146[Company],$M$3,Table146[Date],$A239,Table146[Bill No.],$B239),""))))</f>
        <v/>
      </c>
      <c r="D239" s="223" t="str">
        <f>IF($A239="","",IF($J239="DIESEL",AVERAGEIFS(Table1[RSP],Table1[Customer],$M$3,Table1[Date],$A239,Table1[Bill No.],$B239),IF($J239="PETROL",AVERAGEIFS(Table14[RSP],Table14[Customer],$M$3,Table14[Date],$A239,Table14[Bill No.],$B239),IF($J239="XtraGreen",AVERAGEIFS(Table146[RSP],Table146[Company],$M$3,Table146[Date],$A239,Table146[Bill No.],$B239),IFERROR($E239/$C239,"")))))</f>
        <v/>
      </c>
      <c r="E239" s="330" t="str">
        <f>IF($A239="","",IF($J239="DIESEL",SUMIFS(Table1[Amount],Table1[Customer],$M$3,Table1[Date],$A239,Table1[Bill No.],$B239),IF($J239="PETROL",SUMIFS(Table14[Amount],Table14[Customer],$M$3,Table14[Date],$A239,Table14[Bill No.],$B239),IF($J239="XtraGreen",SUMIFS(Table146[Amount],Table146[Company],$M$3,Table146[Date],$A239,Table146[Bill No.],$B239),SUMIFS('Other Sale'!$D:$D,'Other Sale'!$E:$E,$M$3,'Other Sale'!$C:$C,$J239,'Other Sale'!$A:$A,$A239)))))</f>
        <v/>
      </c>
      <c r="F239" s="330" t="str" cm="1">
        <f t="array" ref="F239">IF($A239="","",IF($J239="Payment",IFERROR(INDEX(_xlfn._xlws.FILTER(MasterPaid[Amount Paid],(MasterPaid[Customer]=$M$3)*(MasterPaid[Date]=$A239)),COUNTIFS($A$6:$A239,$A239,$J$6:$J239,"Payment")),0),0))</f>
        <v/>
      </c>
      <c r="G239" s="331"/>
      <c r="H239" s="331"/>
      <c r="I239" s="330" t="str">
        <f t="shared" si="13"/>
        <v/>
      </c>
      <c r="J239" s="318" t="str" cm="1">
        <f t="array" ref="J239">IFERROR(INDEX(_xlfn.ANCHORARRAY($P$6),ROW()-5,3),"")</f>
        <v/>
      </c>
      <c r="K239" s="432" t="str" cm="1">
        <f t="array" ref="K239">IF(OR($A239="",$J239&lt;&gt;"DIESEL"),"",_xlfn.LET(_xlpm.qty,N($C239),_xlpm.pos,$T$5:$T$54,_xlpm.alo,IF($U$5:$U$54="",0,$U$5:$U$54),_xlpm.usd,SUMIFS($C$6:$C238,$K$6:$K238,_xlpm.pos&amp;""),_xlpm.bal,_xlpm.alo-_xlpm.usd,IFERROR(INDEX(_xlfn._xlws.FILTER(_xlpm.pos,(_xlpm.pos&lt;&gt;"")*(_xlpm.qty&gt;0)*(_xlpm.bal&gt;=_xlpm.qty)),1),"")))</f>
        <v/>
      </c>
      <c r="L239" s="290"/>
    </row>
    <row r="240" spans="1:12" ht="23" x14ac:dyDescent="0.25">
      <c r="A240" s="221" t="str" cm="1">
        <f t="array" ref="A240">IFERROR(INDEX(_xlfn.ANCHORARRAY($P$6),ROW()-5,1),"")</f>
        <v/>
      </c>
      <c r="B240" s="317" t="str" cm="1">
        <f t="array" ref="B240">IFERROR(INDEX(_xlfn.ANCHORARRAY($P$6),ROW()-5,2),"")</f>
        <v/>
      </c>
      <c r="C240" s="222" t="str">
        <f>IF($A240="","",IF($J240="DIESEL",SUMIFS(Table1[Quantity],Table1[Customer],$M$3,Table1[Date],$A240,Table1[Bill No.],$B240),IF($J240="PETROL",SUMIFS(Table14[Quantity],Table14[Customer],$M$3,Table14[Date],$A240,Table14[Bill No.],$B240),IF($J240="XtraGreen",SUMIFS(Table146[Quantity],Table146[Company],$M$3,Table146[Date],$A240,Table146[Bill No.],$B240),""))))</f>
        <v/>
      </c>
      <c r="D240" s="223" t="str">
        <f>IF($A240="","",IF($J240="DIESEL",AVERAGEIFS(Table1[RSP],Table1[Customer],$M$3,Table1[Date],$A240,Table1[Bill No.],$B240),IF($J240="PETROL",AVERAGEIFS(Table14[RSP],Table14[Customer],$M$3,Table14[Date],$A240,Table14[Bill No.],$B240),IF($J240="XtraGreen",AVERAGEIFS(Table146[RSP],Table146[Company],$M$3,Table146[Date],$A240,Table146[Bill No.],$B240),IFERROR($E240/$C240,"")))))</f>
        <v/>
      </c>
      <c r="E240" s="330" t="str">
        <f>IF($A240="","",IF($J240="DIESEL",SUMIFS(Table1[Amount],Table1[Customer],$M$3,Table1[Date],$A240,Table1[Bill No.],$B240),IF($J240="PETROL",SUMIFS(Table14[Amount],Table14[Customer],$M$3,Table14[Date],$A240,Table14[Bill No.],$B240),IF($J240="XtraGreen",SUMIFS(Table146[Amount],Table146[Company],$M$3,Table146[Date],$A240,Table146[Bill No.],$B240),SUMIFS('Other Sale'!$D:$D,'Other Sale'!$E:$E,$M$3,'Other Sale'!$C:$C,$J240,'Other Sale'!$A:$A,$A240)))))</f>
        <v/>
      </c>
      <c r="F240" s="330" t="str" cm="1">
        <f t="array" ref="F240">IF($A240="","",IF($J240="Payment",IFERROR(INDEX(_xlfn._xlws.FILTER(MasterPaid[Amount Paid],(MasterPaid[Customer]=$M$3)*(MasterPaid[Date]=$A240)),COUNTIFS($A$6:$A240,$A240,$J$6:$J240,"Payment")),0),0))</f>
        <v/>
      </c>
      <c r="G240" s="331"/>
      <c r="H240" s="331"/>
      <c r="I240" s="330" t="str">
        <f t="shared" si="13"/>
        <v/>
      </c>
      <c r="J240" s="318" t="str" cm="1">
        <f t="array" ref="J240">IFERROR(INDEX(_xlfn.ANCHORARRAY($P$6),ROW()-5,3),"")</f>
        <v/>
      </c>
      <c r="K240" s="432" t="str" cm="1">
        <f t="array" ref="K240">IF(OR($A240="",$J240&lt;&gt;"DIESEL"),"",_xlfn.LET(_xlpm.qty,N($C240),_xlpm.pos,$T$5:$T$54,_xlpm.alo,IF($U$5:$U$54="",0,$U$5:$U$54),_xlpm.usd,SUMIFS($C$6:$C239,$K$6:$K239,_xlpm.pos&amp;""),_xlpm.bal,_xlpm.alo-_xlpm.usd,IFERROR(INDEX(_xlfn._xlws.FILTER(_xlpm.pos,(_xlpm.pos&lt;&gt;"")*(_xlpm.qty&gt;0)*(_xlpm.bal&gt;=_xlpm.qty)),1),"")))</f>
        <v/>
      </c>
      <c r="L240" s="290"/>
    </row>
    <row r="241" spans="1:12" ht="23" x14ac:dyDescent="0.25">
      <c r="A241" s="221" t="str" cm="1">
        <f t="array" ref="A241">IFERROR(INDEX(_xlfn.ANCHORARRAY($P$6),ROW()-5,1),"")</f>
        <v/>
      </c>
      <c r="B241" s="317" t="str" cm="1">
        <f t="array" ref="B241">IFERROR(INDEX(_xlfn.ANCHORARRAY($P$6),ROW()-5,2),"")</f>
        <v/>
      </c>
      <c r="C241" s="222" t="str">
        <f>IF($A241="","",IF($J241="DIESEL",SUMIFS(Table1[Quantity],Table1[Customer],$M$3,Table1[Date],$A241,Table1[Bill No.],$B241),IF($J241="PETROL",SUMIFS(Table14[Quantity],Table14[Customer],$M$3,Table14[Date],$A241,Table14[Bill No.],$B241),IF($J241="XtraGreen",SUMIFS(Table146[Quantity],Table146[Company],$M$3,Table146[Date],$A241,Table146[Bill No.],$B241),""))))</f>
        <v/>
      </c>
      <c r="D241" s="223" t="str">
        <f>IF($A241="","",IF($J241="DIESEL",AVERAGEIFS(Table1[RSP],Table1[Customer],$M$3,Table1[Date],$A241,Table1[Bill No.],$B241),IF($J241="PETROL",AVERAGEIFS(Table14[RSP],Table14[Customer],$M$3,Table14[Date],$A241,Table14[Bill No.],$B241),IF($J241="XtraGreen",AVERAGEIFS(Table146[RSP],Table146[Company],$M$3,Table146[Date],$A241,Table146[Bill No.],$B241),IFERROR($E241/$C241,"")))))</f>
        <v/>
      </c>
      <c r="E241" s="330" t="str">
        <f>IF($A241="","",IF($J241="DIESEL",SUMIFS(Table1[Amount],Table1[Customer],$M$3,Table1[Date],$A241,Table1[Bill No.],$B241),IF($J241="PETROL",SUMIFS(Table14[Amount],Table14[Customer],$M$3,Table14[Date],$A241,Table14[Bill No.],$B241),IF($J241="XtraGreen",SUMIFS(Table146[Amount],Table146[Company],$M$3,Table146[Date],$A241,Table146[Bill No.],$B241),SUMIFS('Other Sale'!$D:$D,'Other Sale'!$E:$E,$M$3,'Other Sale'!$C:$C,$J241,'Other Sale'!$A:$A,$A241)))))</f>
        <v/>
      </c>
      <c r="F241" s="330" t="str" cm="1">
        <f t="array" ref="F241">IF($A241="","",IF($J241="Payment",IFERROR(INDEX(_xlfn._xlws.FILTER(MasterPaid[Amount Paid],(MasterPaid[Customer]=$M$3)*(MasterPaid[Date]=$A241)),COUNTIFS($A$6:$A241,$A241,$J$6:$J241,"Payment")),0),0))</f>
        <v/>
      </c>
      <c r="G241" s="331"/>
      <c r="H241" s="331"/>
      <c r="I241" s="330" t="str">
        <f t="shared" si="13"/>
        <v/>
      </c>
      <c r="J241" s="318" t="str" cm="1">
        <f t="array" ref="J241">IFERROR(INDEX(_xlfn.ANCHORARRAY($P$6),ROW()-5,3),"")</f>
        <v/>
      </c>
      <c r="K241" s="432" t="str" cm="1">
        <f t="array" ref="K241">IF(OR($A241="",$J241&lt;&gt;"DIESEL"),"",_xlfn.LET(_xlpm.qty,N($C241),_xlpm.pos,$T$5:$T$54,_xlpm.alo,IF($U$5:$U$54="",0,$U$5:$U$54),_xlpm.usd,SUMIFS($C$6:$C240,$K$6:$K240,_xlpm.pos&amp;""),_xlpm.bal,_xlpm.alo-_xlpm.usd,IFERROR(INDEX(_xlfn._xlws.FILTER(_xlpm.pos,(_xlpm.pos&lt;&gt;"")*(_xlpm.qty&gt;0)*(_xlpm.bal&gt;=_xlpm.qty)),1),"")))</f>
        <v/>
      </c>
      <c r="L241" s="290"/>
    </row>
    <row r="242" spans="1:12" ht="23" x14ac:dyDescent="0.25">
      <c r="A242" s="221" t="str" cm="1">
        <f t="array" ref="A242">IFERROR(INDEX(_xlfn.ANCHORARRAY($P$6),ROW()-5,1),"")</f>
        <v/>
      </c>
      <c r="B242" s="317" t="str" cm="1">
        <f t="array" ref="B242">IFERROR(INDEX(_xlfn.ANCHORARRAY($P$6),ROW()-5,2),"")</f>
        <v/>
      </c>
      <c r="C242" s="222" t="str">
        <f>IF($A242="","",IF($J242="DIESEL",SUMIFS(Table1[Quantity],Table1[Customer],$M$3,Table1[Date],$A242,Table1[Bill No.],$B242),IF($J242="PETROL",SUMIFS(Table14[Quantity],Table14[Customer],$M$3,Table14[Date],$A242,Table14[Bill No.],$B242),IF($J242="XtraGreen",SUMIFS(Table146[Quantity],Table146[Company],$M$3,Table146[Date],$A242,Table146[Bill No.],$B242),""))))</f>
        <v/>
      </c>
      <c r="D242" s="223" t="str">
        <f>IF($A242="","",IF($J242="DIESEL",AVERAGEIFS(Table1[RSP],Table1[Customer],$M$3,Table1[Date],$A242,Table1[Bill No.],$B242),IF($J242="PETROL",AVERAGEIFS(Table14[RSP],Table14[Customer],$M$3,Table14[Date],$A242,Table14[Bill No.],$B242),IF($J242="XtraGreen",AVERAGEIFS(Table146[RSP],Table146[Company],$M$3,Table146[Date],$A242,Table146[Bill No.],$B242),IFERROR($E242/$C242,"")))))</f>
        <v/>
      </c>
      <c r="E242" s="330" t="str">
        <f>IF($A242="","",IF($J242="DIESEL",SUMIFS(Table1[Amount],Table1[Customer],$M$3,Table1[Date],$A242,Table1[Bill No.],$B242),IF($J242="PETROL",SUMIFS(Table14[Amount],Table14[Customer],$M$3,Table14[Date],$A242,Table14[Bill No.],$B242),IF($J242="XtraGreen",SUMIFS(Table146[Amount],Table146[Company],$M$3,Table146[Date],$A242,Table146[Bill No.],$B242),SUMIFS('Other Sale'!$D:$D,'Other Sale'!$E:$E,$M$3,'Other Sale'!$C:$C,$J242,'Other Sale'!$A:$A,$A242)))))</f>
        <v/>
      </c>
      <c r="F242" s="330" t="str" cm="1">
        <f t="array" ref="F242">IF($A242="","",IF($J242="Payment",IFERROR(INDEX(_xlfn._xlws.FILTER(MasterPaid[Amount Paid],(MasterPaid[Customer]=$M$3)*(MasterPaid[Date]=$A242)),COUNTIFS($A$6:$A242,$A242,$J$6:$J242,"Payment")),0),0))</f>
        <v/>
      </c>
      <c r="G242" s="331"/>
      <c r="H242" s="331"/>
      <c r="I242" s="330" t="str">
        <f t="shared" si="13"/>
        <v/>
      </c>
      <c r="J242" s="318" t="str" cm="1">
        <f t="array" ref="J242">IFERROR(INDEX(_xlfn.ANCHORARRAY($P$6),ROW()-5,3),"")</f>
        <v/>
      </c>
      <c r="K242" s="432" t="str" cm="1">
        <f t="array" ref="K242">IF(OR($A242="",$J242&lt;&gt;"DIESEL"),"",_xlfn.LET(_xlpm.qty,N($C242),_xlpm.pos,$T$5:$T$54,_xlpm.alo,IF($U$5:$U$54="",0,$U$5:$U$54),_xlpm.usd,SUMIFS($C$6:$C241,$K$6:$K241,_xlpm.pos&amp;""),_xlpm.bal,_xlpm.alo-_xlpm.usd,IFERROR(INDEX(_xlfn._xlws.FILTER(_xlpm.pos,(_xlpm.pos&lt;&gt;"")*(_xlpm.qty&gt;0)*(_xlpm.bal&gt;=_xlpm.qty)),1),"")))</f>
        <v/>
      </c>
      <c r="L242" s="290"/>
    </row>
    <row r="243" spans="1:12" ht="23" x14ac:dyDescent="0.25">
      <c r="A243" s="221" t="str" cm="1">
        <f t="array" ref="A243">IFERROR(INDEX(_xlfn.ANCHORARRAY($P$6),ROW()-5,1),"")</f>
        <v/>
      </c>
      <c r="B243" s="317" t="str" cm="1">
        <f t="array" ref="B243">IFERROR(INDEX(_xlfn.ANCHORARRAY($P$6),ROW()-5,2),"")</f>
        <v/>
      </c>
      <c r="C243" s="222" t="str">
        <f>IF($A243="","",IF($J243="DIESEL",SUMIFS(Table1[Quantity],Table1[Customer],$M$3,Table1[Date],$A243,Table1[Bill No.],$B243),IF($J243="PETROL",SUMIFS(Table14[Quantity],Table14[Customer],$M$3,Table14[Date],$A243,Table14[Bill No.],$B243),IF($J243="XtraGreen",SUMIFS(Table146[Quantity],Table146[Company],$M$3,Table146[Date],$A243,Table146[Bill No.],$B243),""))))</f>
        <v/>
      </c>
      <c r="D243" s="223" t="str">
        <f>IF($A243="","",IF($J243="DIESEL",AVERAGEIFS(Table1[RSP],Table1[Customer],$M$3,Table1[Date],$A243,Table1[Bill No.],$B243),IF($J243="PETROL",AVERAGEIFS(Table14[RSP],Table14[Customer],$M$3,Table14[Date],$A243,Table14[Bill No.],$B243),IF($J243="XtraGreen",AVERAGEIFS(Table146[RSP],Table146[Company],$M$3,Table146[Date],$A243,Table146[Bill No.],$B243),IFERROR($E243/$C243,"")))))</f>
        <v/>
      </c>
      <c r="E243" s="330" t="str">
        <f>IF($A243="","",IF($J243="DIESEL",SUMIFS(Table1[Amount],Table1[Customer],$M$3,Table1[Date],$A243,Table1[Bill No.],$B243),IF($J243="PETROL",SUMIFS(Table14[Amount],Table14[Customer],$M$3,Table14[Date],$A243,Table14[Bill No.],$B243),IF($J243="XtraGreen",SUMIFS(Table146[Amount],Table146[Company],$M$3,Table146[Date],$A243,Table146[Bill No.],$B243),SUMIFS('Other Sale'!$D:$D,'Other Sale'!$E:$E,$M$3,'Other Sale'!$C:$C,$J243,'Other Sale'!$A:$A,$A243)))))</f>
        <v/>
      </c>
      <c r="F243" s="330" t="str" cm="1">
        <f t="array" ref="F243">IF($A243="","",IF($J243="Payment",IFERROR(INDEX(_xlfn._xlws.FILTER(MasterPaid[Amount Paid],(MasterPaid[Customer]=$M$3)*(MasterPaid[Date]=$A243)),COUNTIFS($A$6:$A243,$A243,$J$6:$J243,"Payment")),0),0))</f>
        <v/>
      </c>
      <c r="G243" s="331"/>
      <c r="H243" s="331"/>
      <c r="I243" s="330" t="str">
        <f t="shared" si="13"/>
        <v/>
      </c>
      <c r="J243" s="318" t="str" cm="1">
        <f t="array" ref="J243">IFERROR(INDEX(_xlfn.ANCHORARRAY($P$6),ROW()-5,3),"")</f>
        <v/>
      </c>
      <c r="K243" s="432" t="str" cm="1">
        <f t="array" ref="K243">IF(OR($A243="",$J243&lt;&gt;"DIESEL"),"",_xlfn.LET(_xlpm.qty,N($C243),_xlpm.pos,$T$5:$T$54,_xlpm.alo,IF($U$5:$U$54="",0,$U$5:$U$54),_xlpm.usd,SUMIFS($C$6:$C242,$K$6:$K242,_xlpm.pos&amp;""),_xlpm.bal,_xlpm.alo-_xlpm.usd,IFERROR(INDEX(_xlfn._xlws.FILTER(_xlpm.pos,(_xlpm.pos&lt;&gt;"")*(_xlpm.qty&gt;0)*(_xlpm.bal&gt;=_xlpm.qty)),1),"")))</f>
        <v/>
      </c>
      <c r="L243" s="290"/>
    </row>
    <row r="244" spans="1:12" ht="23" x14ac:dyDescent="0.25">
      <c r="A244" s="221" t="str" cm="1">
        <f t="array" ref="A244">IFERROR(INDEX(_xlfn.ANCHORARRAY($P$6),ROW()-5,1),"")</f>
        <v/>
      </c>
      <c r="B244" s="317" t="str" cm="1">
        <f t="array" ref="B244">IFERROR(INDEX(_xlfn.ANCHORARRAY($P$6),ROW()-5,2),"")</f>
        <v/>
      </c>
      <c r="C244" s="222" t="str">
        <f>IF($A244="","",IF($J244="DIESEL",SUMIFS(Table1[Quantity],Table1[Customer],$M$3,Table1[Date],$A244,Table1[Bill No.],$B244),IF($J244="PETROL",SUMIFS(Table14[Quantity],Table14[Customer],$M$3,Table14[Date],$A244,Table14[Bill No.],$B244),IF($J244="XtraGreen",SUMIFS(Table146[Quantity],Table146[Company],$M$3,Table146[Date],$A244,Table146[Bill No.],$B244),""))))</f>
        <v/>
      </c>
      <c r="D244" s="223" t="str">
        <f>IF($A244="","",IF($J244="DIESEL",AVERAGEIFS(Table1[RSP],Table1[Customer],$M$3,Table1[Date],$A244,Table1[Bill No.],$B244),IF($J244="PETROL",AVERAGEIFS(Table14[RSP],Table14[Customer],$M$3,Table14[Date],$A244,Table14[Bill No.],$B244),IF($J244="XtraGreen",AVERAGEIFS(Table146[RSP],Table146[Company],$M$3,Table146[Date],$A244,Table146[Bill No.],$B244),IFERROR($E244/$C244,"")))))</f>
        <v/>
      </c>
      <c r="E244" s="330" t="str">
        <f>IF($A244="","",IF($J244="DIESEL",SUMIFS(Table1[Amount],Table1[Customer],$M$3,Table1[Date],$A244,Table1[Bill No.],$B244),IF($J244="PETROL",SUMIFS(Table14[Amount],Table14[Customer],$M$3,Table14[Date],$A244,Table14[Bill No.],$B244),IF($J244="XtraGreen",SUMIFS(Table146[Amount],Table146[Company],$M$3,Table146[Date],$A244,Table146[Bill No.],$B244),SUMIFS('Other Sale'!$D:$D,'Other Sale'!$E:$E,$M$3,'Other Sale'!$C:$C,$J244,'Other Sale'!$A:$A,$A244)))))</f>
        <v/>
      </c>
      <c r="F244" s="330" t="str" cm="1">
        <f t="array" ref="F244">IF($A244="","",IF($J244="Payment",IFERROR(INDEX(_xlfn._xlws.FILTER(MasterPaid[Amount Paid],(MasterPaid[Customer]=$M$3)*(MasterPaid[Date]=$A244)),COUNTIFS($A$6:$A244,$A244,$J$6:$J244,"Payment")),0),0))</f>
        <v/>
      </c>
      <c r="G244" s="331"/>
      <c r="H244" s="331"/>
      <c r="I244" s="330" t="str">
        <f t="shared" si="13"/>
        <v/>
      </c>
      <c r="J244" s="318" t="str" cm="1">
        <f t="array" ref="J244">IFERROR(INDEX(_xlfn.ANCHORARRAY($P$6),ROW()-5,3),"")</f>
        <v/>
      </c>
      <c r="K244" s="432" t="str" cm="1">
        <f t="array" ref="K244">IF(OR($A244="",$J244&lt;&gt;"DIESEL"),"",_xlfn.LET(_xlpm.qty,N($C244),_xlpm.pos,$T$5:$T$54,_xlpm.alo,IF($U$5:$U$54="",0,$U$5:$U$54),_xlpm.usd,SUMIFS($C$6:$C243,$K$6:$K243,_xlpm.pos&amp;""),_xlpm.bal,_xlpm.alo-_xlpm.usd,IFERROR(INDEX(_xlfn._xlws.FILTER(_xlpm.pos,(_xlpm.pos&lt;&gt;"")*(_xlpm.qty&gt;0)*(_xlpm.bal&gt;=_xlpm.qty)),1),"")))</f>
        <v/>
      </c>
      <c r="L244" s="290"/>
    </row>
    <row r="245" spans="1:12" ht="23" x14ac:dyDescent="0.25">
      <c r="A245" s="221" t="str" cm="1">
        <f t="array" ref="A245">IFERROR(INDEX(_xlfn.ANCHORARRAY($P$6),ROW()-5,1),"")</f>
        <v/>
      </c>
      <c r="B245" s="317" t="str" cm="1">
        <f t="array" ref="B245">IFERROR(INDEX(_xlfn.ANCHORARRAY($P$6),ROW()-5,2),"")</f>
        <v/>
      </c>
      <c r="C245" s="222" t="str">
        <f>IF($A245="","",IF($J245="DIESEL",SUMIFS(Table1[Quantity],Table1[Customer],$M$3,Table1[Date],$A245,Table1[Bill No.],$B245),IF($J245="PETROL",SUMIFS(Table14[Quantity],Table14[Customer],$M$3,Table14[Date],$A245,Table14[Bill No.],$B245),IF($J245="XtraGreen",SUMIFS(Table146[Quantity],Table146[Company],$M$3,Table146[Date],$A245,Table146[Bill No.],$B245),""))))</f>
        <v/>
      </c>
      <c r="D245" s="223" t="str">
        <f>IF($A245="","",IF($J245="DIESEL",AVERAGEIFS(Table1[RSP],Table1[Customer],$M$3,Table1[Date],$A245,Table1[Bill No.],$B245),IF($J245="PETROL",AVERAGEIFS(Table14[RSP],Table14[Customer],$M$3,Table14[Date],$A245,Table14[Bill No.],$B245),IF($J245="XtraGreen",AVERAGEIFS(Table146[RSP],Table146[Company],$M$3,Table146[Date],$A245,Table146[Bill No.],$B245),IFERROR($E245/$C245,"")))))</f>
        <v/>
      </c>
      <c r="E245" s="330" t="str">
        <f>IF($A245="","",IF($J245="DIESEL",SUMIFS(Table1[Amount],Table1[Customer],$M$3,Table1[Date],$A245,Table1[Bill No.],$B245),IF($J245="PETROL",SUMIFS(Table14[Amount],Table14[Customer],$M$3,Table14[Date],$A245,Table14[Bill No.],$B245),IF($J245="XtraGreen",SUMIFS(Table146[Amount],Table146[Company],$M$3,Table146[Date],$A245,Table146[Bill No.],$B245),SUMIFS('Other Sale'!$D:$D,'Other Sale'!$E:$E,$M$3,'Other Sale'!$C:$C,$J245,'Other Sale'!$A:$A,$A245)))))</f>
        <v/>
      </c>
      <c r="F245" s="330" t="str" cm="1">
        <f t="array" ref="F245">IF($A245="","",IF($J245="Payment",IFERROR(INDEX(_xlfn._xlws.FILTER(MasterPaid[Amount Paid],(MasterPaid[Customer]=$M$3)*(MasterPaid[Date]=$A245)),COUNTIFS($A$6:$A245,$A245,$J$6:$J245,"Payment")),0),0))</f>
        <v/>
      </c>
      <c r="G245" s="331"/>
      <c r="H245" s="331"/>
      <c r="I245" s="330" t="str">
        <f t="shared" si="13"/>
        <v/>
      </c>
      <c r="J245" s="318" t="str" cm="1">
        <f t="array" ref="J245">IFERROR(INDEX(_xlfn.ANCHORARRAY($P$6),ROW()-5,3),"")</f>
        <v/>
      </c>
      <c r="K245" s="432" t="str" cm="1">
        <f t="array" ref="K245">IF(OR($A245="",$J245&lt;&gt;"DIESEL"),"",_xlfn.LET(_xlpm.qty,N($C245),_xlpm.pos,$T$5:$T$54,_xlpm.alo,IF($U$5:$U$54="",0,$U$5:$U$54),_xlpm.usd,SUMIFS($C$6:$C244,$K$6:$K244,_xlpm.pos&amp;""),_xlpm.bal,_xlpm.alo-_xlpm.usd,IFERROR(INDEX(_xlfn._xlws.FILTER(_xlpm.pos,(_xlpm.pos&lt;&gt;"")*(_xlpm.qty&gt;0)*(_xlpm.bal&gt;=_xlpm.qty)),1),"")))</f>
        <v/>
      </c>
      <c r="L245" s="290"/>
    </row>
    <row r="246" spans="1:12" ht="23" x14ac:dyDescent="0.25">
      <c r="A246" s="221" t="str" cm="1">
        <f t="array" ref="A246">IFERROR(INDEX(_xlfn.ANCHORARRAY($P$6),ROW()-5,1),"")</f>
        <v/>
      </c>
      <c r="B246" s="317" t="str" cm="1">
        <f t="array" ref="B246">IFERROR(INDEX(_xlfn.ANCHORARRAY($P$6),ROW()-5,2),"")</f>
        <v/>
      </c>
      <c r="C246" s="222" t="str">
        <f>IF($A246="","",IF($J246="DIESEL",SUMIFS(Table1[Quantity],Table1[Customer],$M$3,Table1[Date],$A246,Table1[Bill No.],$B246),IF($J246="PETROL",SUMIFS(Table14[Quantity],Table14[Customer],$M$3,Table14[Date],$A246,Table14[Bill No.],$B246),IF($J246="XtraGreen",SUMIFS(Table146[Quantity],Table146[Company],$M$3,Table146[Date],$A246,Table146[Bill No.],$B246),""))))</f>
        <v/>
      </c>
      <c r="D246" s="223" t="str">
        <f>IF($A246="","",IF($J246="DIESEL",AVERAGEIFS(Table1[RSP],Table1[Customer],$M$3,Table1[Date],$A246,Table1[Bill No.],$B246),IF($J246="PETROL",AVERAGEIFS(Table14[RSP],Table14[Customer],$M$3,Table14[Date],$A246,Table14[Bill No.],$B246),IF($J246="XtraGreen",AVERAGEIFS(Table146[RSP],Table146[Company],$M$3,Table146[Date],$A246,Table146[Bill No.],$B246),IFERROR($E246/$C246,"")))))</f>
        <v/>
      </c>
      <c r="E246" s="330" t="str">
        <f>IF($A246="","",IF($J246="DIESEL",SUMIFS(Table1[Amount],Table1[Customer],$M$3,Table1[Date],$A246,Table1[Bill No.],$B246),IF($J246="PETROL",SUMIFS(Table14[Amount],Table14[Customer],$M$3,Table14[Date],$A246,Table14[Bill No.],$B246),IF($J246="XtraGreen",SUMIFS(Table146[Amount],Table146[Company],$M$3,Table146[Date],$A246,Table146[Bill No.],$B246),SUMIFS('Other Sale'!$D:$D,'Other Sale'!$E:$E,$M$3,'Other Sale'!$C:$C,$J246,'Other Sale'!$A:$A,$A246)))))</f>
        <v/>
      </c>
      <c r="F246" s="330" t="str" cm="1">
        <f t="array" ref="F246">IF($A246="","",IF($J246="Payment",IFERROR(INDEX(_xlfn._xlws.FILTER(MasterPaid[Amount Paid],(MasterPaid[Customer]=$M$3)*(MasterPaid[Date]=$A246)),COUNTIFS($A$6:$A246,$A246,$J$6:$J246,"Payment")),0),0))</f>
        <v/>
      </c>
      <c r="G246" s="331"/>
      <c r="H246" s="331"/>
      <c r="I246" s="330" t="str">
        <f t="shared" si="13"/>
        <v/>
      </c>
      <c r="J246" s="318" t="str" cm="1">
        <f t="array" ref="J246">IFERROR(INDEX(_xlfn.ANCHORARRAY($P$6),ROW()-5,3),"")</f>
        <v/>
      </c>
      <c r="K246" s="432" t="str" cm="1">
        <f t="array" ref="K246">IF(OR($A246="",$J246&lt;&gt;"DIESEL"),"",_xlfn.LET(_xlpm.qty,N($C246),_xlpm.pos,$T$5:$T$54,_xlpm.alo,IF($U$5:$U$54="",0,$U$5:$U$54),_xlpm.usd,SUMIFS($C$6:$C245,$K$6:$K245,_xlpm.pos&amp;""),_xlpm.bal,_xlpm.alo-_xlpm.usd,IFERROR(INDEX(_xlfn._xlws.FILTER(_xlpm.pos,(_xlpm.pos&lt;&gt;"")*(_xlpm.qty&gt;0)*(_xlpm.bal&gt;=_xlpm.qty)),1),"")))</f>
        <v/>
      </c>
      <c r="L246" s="290"/>
    </row>
    <row r="247" spans="1:12" ht="23" x14ac:dyDescent="0.25">
      <c r="A247" s="221" t="str" cm="1">
        <f t="array" ref="A247">IFERROR(INDEX(_xlfn.ANCHORARRAY($P$6),ROW()-5,1),"")</f>
        <v/>
      </c>
      <c r="B247" s="317" t="str" cm="1">
        <f t="array" ref="B247">IFERROR(INDEX(_xlfn.ANCHORARRAY($P$6),ROW()-5,2),"")</f>
        <v/>
      </c>
      <c r="C247" s="222" t="str">
        <f>IF($A247="","",IF($J247="DIESEL",SUMIFS(Table1[Quantity],Table1[Customer],$M$3,Table1[Date],$A247,Table1[Bill No.],$B247),IF($J247="PETROL",SUMIFS(Table14[Quantity],Table14[Customer],$M$3,Table14[Date],$A247,Table14[Bill No.],$B247),IF($J247="XtraGreen",SUMIFS(Table146[Quantity],Table146[Company],$M$3,Table146[Date],$A247,Table146[Bill No.],$B247),""))))</f>
        <v/>
      </c>
      <c r="D247" s="223" t="str">
        <f>IF($A247="","",IF($J247="DIESEL",AVERAGEIFS(Table1[RSP],Table1[Customer],$M$3,Table1[Date],$A247,Table1[Bill No.],$B247),IF($J247="PETROL",AVERAGEIFS(Table14[RSP],Table14[Customer],$M$3,Table14[Date],$A247,Table14[Bill No.],$B247),IF($J247="XtraGreen",AVERAGEIFS(Table146[RSP],Table146[Company],$M$3,Table146[Date],$A247,Table146[Bill No.],$B247),IFERROR($E247/$C247,"")))))</f>
        <v/>
      </c>
      <c r="E247" s="330" t="str">
        <f>IF($A247="","",IF($J247="DIESEL",SUMIFS(Table1[Amount],Table1[Customer],$M$3,Table1[Date],$A247,Table1[Bill No.],$B247),IF($J247="PETROL",SUMIFS(Table14[Amount],Table14[Customer],$M$3,Table14[Date],$A247,Table14[Bill No.],$B247),IF($J247="XtraGreen",SUMIFS(Table146[Amount],Table146[Company],$M$3,Table146[Date],$A247,Table146[Bill No.],$B247),SUMIFS('Other Sale'!$D:$D,'Other Sale'!$E:$E,$M$3,'Other Sale'!$C:$C,$J247,'Other Sale'!$A:$A,$A247)))))</f>
        <v/>
      </c>
      <c r="F247" s="330" t="str" cm="1">
        <f t="array" ref="F247">IF($A247="","",IF($J247="Payment",IFERROR(INDEX(_xlfn._xlws.FILTER(MasterPaid[Amount Paid],(MasterPaid[Customer]=$M$3)*(MasterPaid[Date]=$A247)),COUNTIFS($A$6:$A247,$A247,$J$6:$J247,"Payment")),0),0))</f>
        <v/>
      </c>
      <c r="G247" s="331"/>
      <c r="H247" s="331"/>
      <c r="I247" s="330" t="str">
        <f t="shared" si="13"/>
        <v/>
      </c>
      <c r="J247" s="318" t="str" cm="1">
        <f t="array" ref="J247">IFERROR(INDEX(_xlfn.ANCHORARRAY($P$6),ROW()-5,3),"")</f>
        <v/>
      </c>
      <c r="K247" s="432" t="str" cm="1">
        <f t="array" ref="K247">IF(OR($A247="",$J247&lt;&gt;"DIESEL"),"",_xlfn.LET(_xlpm.qty,N($C247),_xlpm.pos,$T$5:$T$54,_xlpm.alo,IF($U$5:$U$54="",0,$U$5:$U$54),_xlpm.usd,SUMIFS($C$6:$C246,$K$6:$K246,_xlpm.pos&amp;""),_xlpm.bal,_xlpm.alo-_xlpm.usd,IFERROR(INDEX(_xlfn._xlws.FILTER(_xlpm.pos,(_xlpm.pos&lt;&gt;"")*(_xlpm.qty&gt;0)*(_xlpm.bal&gt;=_xlpm.qty)),1),"")))</f>
        <v/>
      </c>
      <c r="L247" s="290"/>
    </row>
    <row r="248" spans="1:12" ht="23" x14ac:dyDescent="0.25">
      <c r="A248" s="221" t="str" cm="1">
        <f t="array" ref="A248">IFERROR(INDEX(_xlfn.ANCHORARRAY($P$6),ROW()-5,1),"")</f>
        <v/>
      </c>
      <c r="B248" s="317" t="str" cm="1">
        <f t="array" ref="B248">IFERROR(INDEX(_xlfn.ANCHORARRAY($P$6),ROW()-5,2),"")</f>
        <v/>
      </c>
      <c r="C248" s="222" t="str">
        <f>IF($A248="","",IF($J248="DIESEL",SUMIFS(Table1[Quantity],Table1[Customer],$M$3,Table1[Date],$A248,Table1[Bill No.],$B248),IF($J248="PETROL",SUMIFS(Table14[Quantity],Table14[Customer],$M$3,Table14[Date],$A248,Table14[Bill No.],$B248),IF($J248="XtraGreen",SUMIFS(Table146[Quantity],Table146[Company],$M$3,Table146[Date],$A248,Table146[Bill No.],$B248),""))))</f>
        <v/>
      </c>
      <c r="D248" s="223" t="str">
        <f>IF($A248="","",IF($J248="DIESEL",AVERAGEIFS(Table1[RSP],Table1[Customer],$M$3,Table1[Date],$A248,Table1[Bill No.],$B248),IF($J248="PETROL",AVERAGEIFS(Table14[RSP],Table14[Customer],$M$3,Table14[Date],$A248,Table14[Bill No.],$B248),IF($J248="XtraGreen",AVERAGEIFS(Table146[RSP],Table146[Company],$M$3,Table146[Date],$A248,Table146[Bill No.],$B248),IFERROR($E248/$C248,"")))))</f>
        <v/>
      </c>
      <c r="E248" s="330" t="str">
        <f>IF($A248="","",IF($J248="DIESEL",SUMIFS(Table1[Amount],Table1[Customer],$M$3,Table1[Date],$A248,Table1[Bill No.],$B248),IF($J248="PETROL",SUMIFS(Table14[Amount],Table14[Customer],$M$3,Table14[Date],$A248,Table14[Bill No.],$B248),IF($J248="XtraGreen",SUMIFS(Table146[Amount],Table146[Company],$M$3,Table146[Date],$A248,Table146[Bill No.],$B248),SUMIFS('Other Sale'!$D:$D,'Other Sale'!$E:$E,$M$3,'Other Sale'!$C:$C,$J248,'Other Sale'!$A:$A,$A248)))))</f>
        <v/>
      </c>
      <c r="F248" s="330" t="str" cm="1">
        <f t="array" ref="F248">IF($A248="","",IF($J248="Payment",IFERROR(INDEX(_xlfn._xlws.FILTER(MasterPaid[Amount Paid],(MasterPaid[Customer]=$M$3)*(MasterPaid[Date]=$A248)),COUNTIFS($A$6:$A248,$A248,$J$6:$J248,"Payment")),0),0))</f>
        <v/>
      </c>
      <c r="G248" s="331"/>
      <c r="H248" s="331"/>
      <c r="I248" s="330" t="str">
        <f t="shared" si="13"/>
        <v/>
      </c>
      <c r="J248" s="318" t="str" cm="1">
        <f t="array" ref="J248">IFERROR(INDEX(_xlfn.ANCHORARRAY($P$6),ROW()-5,3),"")</f>
        <v/>
      </c>
      <c r="K248" s="432" t="str" cm="1">
        <f t="array" ref="K248">IF(OR($A248="",$J248&lt;&gt;"DIESEL"),"",_xlfn.LET(_xlpm.qty,N($C248),_xlpm.pos,$T$5:$T$54,_xlpm.alo,IF($U$5:$U$54="",0,$U$5:$U$54),_xlpm.usd,SUMIFS($C$6:$C247,$K$6:$K247,_xlpm.pos&amp;""),_xlpm.bal,_xlpm.alo-_xlpm.usd,IFERROR(INDEX(_xlfn._xlws.FILTER(_xlpm.pos,(_xlpm.pos&lt;&gt;"")*(_xlpm.qty&gt;0)*(_xlpm.bal&gt;=_xlpm.qty)),1),"")))</f>
        <v/>
      </c>
      <c r="L248" s="290"/>
    </row>
    <row r="249" spans="1:12" ht="23" x14ac:dyDescent="0.25">
      <c r="A249" s="221" t="str" cm="1">
        <f t="array" ref="A249">IFERROR(INDEX(_xlfn.ANCHORARRAY($P$6),ROW()-5,1),"")</f>
        <v/>
      </c>
      <c r="B249" s="317" t="str" cm="1">
        <f t="array" ref="B249">IFERROR(INDEX(_xlfn.ANCHORARRAY($P$6),ROW()-5,2),"")</f>
        <v/>
      </c>
      <c r="C249" s="222" t="str">
        <f>IF($A249="","",IF($J249="DIESEL",SUMIFS(Table1[Quantity],Table1[Customer],$M$3,Table1[Date],$A249,Table1[Bill No.],$B249),IF($J249="PETROL",SUMIFS(Table14[Quantity],Table14[Customer],$M$3,Table14[Date],$A249,Table14[Bill No.],$B249),IF($J249="XtraGreen",SUMIFS(Table146[Quantity],Table146[Company],$M$3,Table146[Date],$A249,Table146[Bill No.],$B249),""))))</f>
        <v/>
      </c>
      <c r="D249" s="223" t="str">
        <f>IF($A249="","",IF($J249="DIESEL",AVERAGEIFS(Table1[RSP],Table1[Customer],$M$3,Table1[Date],$A249,Table1[Bill No.],$B249),IF($J249="PETROL",AVERAGEIFS(Table14[RSP],Table14[Customer],$M$3,Table14[Date],$A249,Table14[Bill No.],$B249),IF($J249="XtraGreen",AVERAGEIFS(Table146[RSP],Table146[Company],$M$3,Table146[Date],$A249,Table146[Bill No.],$B249),IFERROR($E249/$C249,"")))))</f>
        <v/>
      </c>
      <c r="E249" s="330" t="str">
        <f>IF($A249="","",IF($J249="DIESEL",SUMIFS(Table1[Amount],Table1[Customer],$M$3,Table1[Date],$A249,Table1[Bill No.],$B249),IF($J249="PETROL",SUMIFS(Table14[Amount],Table14[Customer],$M$3,Table14[Date],$A249,Table14[Bill No.],$B249),IF($J249="XtraGreen",SUMIFS(Table146[Amount],Table146[Company],$M$3,Table146[Date],$A249,Table146[Bill No.],$B249),SUMIFS('Other Sale'!$D:$D,'Other Sale'!$E:$E,$M$3,'Other Sale'!$C:$C,$J249,'Other Sale'!$A:$A,$A249)))))</f>
        <v/>
      </c>
      <c r="F249" s="330" t="str" cm="1">
        <f t="array" ref="F249">IF($A249="","",IF($J249="Payment",IFERROR(INDEX(_xlfn._xlws.FILTER(MasterPaid[Amount Paid],(MasterPaid[Customer]=$M$3)*(MasterPaid[Date]=$A249)),COUNTIFS($A$6:$A249,$A249,$J$6:$J249,"Payment")),0),0))</f>
        <v/>
      </c>
      <c r="G249" s="331"/>
      <c r="H249" s="331"/>
      <c r="I249" s="330" t="str">
        <f t="shared" si="13"/>
        <v/>
      </c>
      <c r="J249" s="318" t="str" cm="1">
        <f t="array" ref="J249">IFERROR(INDEX(_xlfn.ANCHORARRAY($P$6),ROW()-5,3),"")</f>
        <v/>
      </c>
      <c r="K249" s="432" t="str" cm="1">
        <f t="array" ref="K249">IF(OR($A249="",$J249&lt;&gt;"DIESEL"),"",_xlfn.LET(_xlpm.qty,N($C249),_xlpm.pos,$T$5:$T$54,_xlpm.alo,IF($U$5:$U$54="",0,$U$5:$U$54),_xlpm.usd,SUMIFS($C$6:$C248,$K$6:$K248,_xlpm.pos&amp;""),_xlpm.bal,_xlpm.alo-_xlpm.usd,IFERROR(INDEX(_xlfn._xlws.FILTER(_xlpm.pos,(_xlpm.pos&lt;&gt;"")*(_xlpm.qty&gt;0)*(_xlpm.bal&gt;=_xlpm.qty)),1),"")))</f>
        <v/>
      </c>
      <c r="L249" s="290"/>
    </row>
    <row r="250" spans="1:12" ht="23" x14ac:dyDescent="0.25">
      <c r="A250" s="221" t="str" cm="1">
        <f t="array" ref="A250">IFERROR(INDEX(_xlfn.ANCHORARRAY($P$6),ROW()-5,1),"")</f>
        <v/>
      </c>
      <c r="B250" s="317" t="str" cm="1">
        <f t="array" ref="B250">IFERROR(INDEX(_xlfn.ANCHORARRAY($P$6),ROW()-5,2),"")</f>
        <v/>
      </c>
      <c r="C250" s="222" t="str">
        <f>IF($A250="","",IF($J250="DIESEL",SUMIFS(Table1[Quantity],Table1[Customer],$M$3,Table1[Date],$A250,Table1[Bill No.],$B250),IF($J250="PETROL",SUMIFS(Table14[Quantity],Table14[Customer],$M$3,Table14[Date],$A250,Table14[Bill No.],$B250),IF($J250="XtraGreen",SUMIFS(Table146[Quantity],Table146[Company],$M$3,Table146[Date],$A250,Table146[Bill No.],$B250),""))))</f>
        <v/>
      </c>
      <c r="D250" s="223" t="str">
        <f>IF($A250="","",IF($J250="DIESEL",AVERAGEIFS(Table1[RSP],Table1[Customer],$M$3,Table1[Date],$A250,Table1[Bill No.],$B250),IF($J250="PETROL",AVERAGEIFS(Table14[RSP],Table14[Customer],$M$3,Table14[Date],$A250,Table14[Bill No.],$B250),IF($J250="XtraGreen",AVERAGEIFS(Table146[RSP],Table146[Company],$M$3,Table146[Date],$A250,Table146[Bill No.],$B250),IFERROR($E250/$C250,"")))))</f>
        <v/>
      </c>
      <c r="E250" s="330" t="str">
        <f>IF($A250="","",IF($J250="DIESEL",SUMIFS(Table1[Amount],Table1[Customer],$M$3,Table1[Date],$A250,Table1[Bill No.],$B250),IF($J250="PETROL",SUMIFS(Table14[Amount],Table14[Customer],$M$3,Table14[Date],$A250,Table14[Bill No.],$B250),IF($J250="XtraGreen",SUMIFS(Table146[Amount],Table146[Company],$M$3,Table146[Date],$A250,Table146[Bill No.],$B250),SUMIFS('Other Sale'!$D:$D,'Other Sale'!$E:$E,$M$3,'Other Sale'!$C:$C,$J250,'Other Sale'!$A:$A,$A250)))))</f>
        <v/>
      </c>
      <c r="F250" s="330" t="str" cm="1">
        <f t="array" ref="F250">IF($A250="","",IF($J250="Payment",IFERROR(INDEX(_xlfn._xlws.FILTER(MasterPaid[Amount Paid],(MasterPaid[Customer]=$M$3)*(MasterPaid[Date]=$A250)),COUNTIFS($A$6:$A250,$A250,$J$6:$J250,"Payment")),0),0))</f>
        <v/>
      </c>
      <c r="G250" s="331"/>
      <c r="H250" s="331"/>
      <c r="I250" s="330" t="str">
        <f t="shared" si="13"/>
        <v/>
      </c>
      <c r="J250" s="318" t="str" cm="1">
        <f t="array" ref="J250">IFERROR(INDEX(_xlfn.ANCHORARRAY($P$6),ROW()-5,3),"")</f>
        <v/>
      </c>
      <c r="K250" s="432" t="str" cm="1">
        <f t="array" ref="K250">IF(OR($A250="",$J250&lt;&gt;"DIESEL"),"",_xlfn.LET(_xlpm.qty,N($C250),_xlpm.pos,$T$5:$T$54,_xlpm.alo,IF($U$5:$U$54="",0,$U$5:$U$54),_xlpm.usd,SUMIFS($C$6:$C249,$K$6:$K249,_xlpm.pos&amp;""),_xlpm.bal,_xlpm.alo-_xlpm.usd,IFERROR(INDEX(_xlfn._xlws.FILTER(_xlpm.pos,(_xlpm.pos&lt;&gt;"")*(_xlpm.qty&gt;0)*(_xlpm.bal&gt;=_xlpm.qty)),1),"")))</f>
        <v/>
      </c>
      <c r="L250" s="290"/>
    </row>
    <row r="251" spans="1:12" ht="23" x14ac:dyDescent="0.25">
      <c r="A251" s="221" t="str" cm="1">
        <f t="array" ref="A251">IFERROR(INDEX(_xlfn.ANCHORARRAY($P$6),ROW()-5,1),"")</f>
        <v/>
      </c>
      <c r="B251" s="317" t="str" cm="1">
        <f t="array" ref="B251">IFERROR(INDEX(_xlfn.ANCHORARRAY($P$6),ROW()-5,2),"")</f>
        <v/>
      </c>
      <c r="C251" s="222" t="str">
        <f>IF($A251="","",IF($J251="DIESEL",SUMIFS(Table1[Quantity],Table1[Customer],$M$3,Table1[Date],$A251,Table1[Bill No.],$B251),IF($J251="PETROL",SUMIFS(Table14[Quantity],Table14[Customer],$M$3,Table14[Date],$A251,Table14[Bill No.],$B251),IF($J251="XtraGreen",SUMIFS(Table146[Quantity],Table146[Company],$M$3,Table146[Date],$A251,Table146[Bill No.],$B251),""))))</f>
        <v/>
      </c>
      <c r="D251" s="223" t="str">
        <f>IF($A251="","",IF($J251="DIESEL",AVERAGEIFS(Table1[RSP],Table1[Customer],$M$3,Table1[Date],$A251,Table1[Bill No.],$B251),IF($J251="PETROL",AVERAGEIFS(Table14[RSP],Table14[Customer],$M$3,Table14[Date],$A251,Table14[Bill No.],$B251),IF($J251="XtraGreen",AVERAGEIFS(Table146[RSP],Table146[Company],$M$3,Table146[Date],$A251,Table146[Bill No.],$B251),IFERROR($E251/$C251,"")))))</f>
        <v/>
      </c>
      <c r="E251" s="330" t="str">
        <f>IF($A251="","",IF($J251="DIESEL",SUMIFS(Table1[Amount],Table1[Customer],$M$3,Table1[Date],$A251,Table1[Bill No.],$B251),IF($J251="PETROL",SUMIFS(Table14[Amount],Table14[Customer],$M$3,Table14[Date],$A251,Table14[Bill No.],$B251),IF($J251="XtraGreen",SUMIFS(Table146[Amount],Table146[Company],$M$3,Table146[Date],$A251,Table146[Bill No.],$B251),SUMIFS('Other Sale'!$D:$D,'Other Sale'!$E:$E,$M$3,'Other Sale'!$C:$C,$J251,'Other Sale'!$A:$A,$A251)))))</f>
        <v/>
      </c>
      <c r="F251" s="330" t="str" cm="1">
        <f t="array" ref="F251">IF($A251="","",IF($J251="Payment",IFERROR(INDEX(_xlfn._xlws.FILTER(MasterPaid[Amount Paid],(MasterPaid[Customer]=$M$3)*(MasterPaid[Date]=$A251)),COUNTIFS($A$6:$A251,$A251,$J$6:$J251,"Payment")),0),0))</f>
        <v/>
      </c>
      <c r="G251" s="331"/>
      <c r="H251" s="331"/>
      <c r="I251" s="330" t="str">
        <f t="shared" si="13"/>
        <v/>
      </c>
      <c r="J251" s="318" t="str" cm="1">
        <f t="array" ref="J251">IFERROR(INDEX(_xlfn.ANCHORARRAY($P$6),ROW()-5,3),"")</f>
        <v/>
      </c>
      <c r="K251" s="432" t="str" cm="1">
        <f t="array" ref="K251">IF(OR($A251="",$J251&lt;&gt;"DIESEL"),"",_xlfn.LET(_xlpm.qty,N($C251),_xlpm.pos,$T$5:$T$54,_xlpm.alo,IF($U$5:$U$54="",0,$U$5:$U$54),_xlpm.usd,SUMIFS($C$6:$C250,$K$6:$K250,_xlpm.pos&amp;""),_xlpm.bal,_xlpm.alo-_xlpm.usd,IFERROR(INDEX(_xlfn._xlws.FILTER(_xlpm.pos,(_xlpm.pos&lt;&gt;"")*(_xlpm.qty&gt;0)*(_xlpm.bal&gt;=_xlpm.qty)),1),"")))</f>
        <v/>
      </c>
      <c r="L251" s="290"/>
    </row>
    <row r="252" spans="1:12" ht="23" x14ac:dyDescent="0.25">
      <c r="A252" s="221" t="str" cm="1">
        <f t="array" ref="A252">IFERROR(INDEX(_xlfn.ANCHORARRAY($P$6),ROW()-5,1),"")</f>
        <v/>
      </c>
      <c r="B252" s="317" t="str" cm="1">
        <f t="array" ref="B252">IFERROR(INDEX(_xlfn.ANCHORARRAY($P$6),ROW()-5,2),"")</f>
        <v/>
      </c>
      <c r="C252" s="222" t="str">
        <f>IF($A252="","",IF($J252="DIESEL",SUMIFS(Table1[Quantity],Table1[Customer],$M$3,Table1[Date],$A252,Table1[Bill No.],$B252),IF($J252="PETROL",SUMIFS(Table14[Quantity],Table14[Customer],$M$3,Table14[Date],$A252,Table14[Bill No.],$B252),IF($J252="XtraGreen",SUMIFS(Table146[Quantity],Table146[Company],$M$3,Table146[Date],$A252,Table146[Bill No.],$B252),""))))</f>
        <v/>
      </c>
      <c r="D252" s="223" t="str">
        <f>IF($A252="","",IF($J252="DIESEL",AVERAGEIFS(Table1[RSP],Table1[Customer],$M$3,Table1[Date],$A252,Table1[Bill No.],$B252),IF($J252="PETROL",AVERAGEIFS(Table14[RSP],Table14[Customer],$M$3,Table14[Date],$A252,Table14[Bill No.],$B252),IF($J252="XtraGreen",AVERAGEIFS(Table146[RSP],Table146[Company],$M$3,Table146[Date],$A252,Table146[Bill No.],$B252),IFERROR($E252/$C252,"")))))</f>
        <v/>
      </c>
      <c r="E252" s="330" t="str">
        <f>IF($A252="","",IF($J252="DIESEL",SUMIFS(Table1[Amount],Table1[Customer],$M$3,Table1[Date],$A252,Table1[Bill No.],$B252),IF($J252="PETROL",SUMIFS(Table14[Amount],Table14[Customer],$M$3,Table14[Date],$A252,Table14[Bill No.],$B252),IF($J252="XtraGreen",SUMIFS(Table146[Amount],Table146[Company],$M$3,Table146[Date],$A252,Table146[Bill No.],$B252),SUMIFS('Other Sale'!$D:$D,'Other Sale'!$E:$E,$M$3,'Other Sale'!$C:$C,$J252,'Other Sale'!$A:$A,$A252)))))</f>
        <v/>
      </c>
      <c r="F252" s="330" t="str" cm="1">
        <f t="array" ref="F252">IF($A252="","",IF($J252="Payment",IFERROR(INDEX(_xlfn._xlws.FILTER(MasterPaid[Amount Paid],(MasterPaid[Customer]=$M$3)*(MasterPaid[Date]=$A252)),COUNTIFS($A$6:$A252,$A252,$J$6:$J252,"Payment")),0),0))</f>
        <v/>
      </c>
      <c r="G252" s="331"/>
      <c r="H252" s="331"/>
      <c r="I252" s="330" t="str">
        <f t="shared" si="13"/>
        <v/>
      </c>
      <c r="J252" s="318" t="str" cm="1">
        <f t="array" ref="J252">IFERROR(INDEX(_xlfn.ANCHORARRAY($P$6),ROW()-5,3),"")</f>
        <v/>
      </c>
      <c r="K252" s="432" t="str" cm="1">
        <f t="array" ref="K252">IF(OR($A252="",$J252&lt;&gt;"DIESEL"),"",_xlfn.LET(_xlpm.qty,N($C252),_xlpm.pos,$T$5:$T$54,_xlpm.alo,IF($U$5:$U$54="",0,$U$5:$U$54),_xlpm.usd,SUMIFS($C$6:$C251,$K$6:$K251,_xlpm.pos&amp;""),_xlpm.bal,_xlpm.alo-_xlpm.usd,IFERROR(INDEX(_xlfn._xlws.FILTER(_xlpm.pos,(_xlpm.pos&lt;&gt;"")*(_xlpm.qty&gt;0)*(_xlpm.bal&gt;=_xlpm.qty)),1),"")))</f>
        <v/>
      </c>
      <c r="L252" s="290"/>
    </row>
    <row r="253" spans="1:12" ht="23" x14ac:dyDescent="0.25">
      <c r="A253" s="221" t="str" cm="1">
        <f t="array" ref="A253">IFERROR(INDEX(_xlfn.ANCHORARRAY($P$6),ROW()-5,1),"")</f>
        <v/>
      </c>
      <c r="B253" s="317" t="str" cm="1">
        <f t="array" ref="B253">IFERROR(INDEX(_xlfn.ANCHORARRAY($P$6),ROW()-5,2),"")</f>
        <v/>
      </c>
      <c r="C253" s="222" t="str">
        <f>IF($A253="","",IF($J253="DIESEL",SUMIFS(Table1[Quantity],Table1[Customer],$M$3,Table1[Date],$A253,Table1[Bill No.],$B253),IF($J253="PETROL",SUMIFS(Table14[Quantity],Table14[Customer],$M$3,Table14[Date],$A253,Table14[Bill No.],$B253),IF($J253="XtraGreen",SUMIFS(Table146[Quantity],Table146[Company],$M$3,Table146[Date],$A253,Table146[Bill No.],$B253),""))))</f>
        <v/>
      </c>
      <c r="D253" s="223" t="str">
        <f>IF($A253="","",IF($J253="DIESEL",AVERAGEIFS(Table1[RSP],Table1[Customer],$M$3,Table1[Date],$A253,Table1[Bill No.],$B253),IF($J253="PETROL",AVERAGEIFS(Table14[RSP],Table14[Customer],$M$3,Table14[Date],$A253,Table14[Bill No.],$B253),IF($J253="XtraGreen",AVERAGEIFS(Table146[RSP],Table146[Company],$M$3,Table146[Date],$A253,Table146[Bill No.],$B253),IFERROR($E253/$C253,"")))))</f>
        <v/>
      </c>
      <c r="E253" s="330" t="str">
        <f>IF($A253="","",IF($J253="DIESEL",SUMIFS(Table1[Amount],Table1[Customer],$M$3,Table1[Date],$A253,Table1[Bill No.],$B253),IF($J253="PETROL",SUMIFS(Table14[Amount],Table14[Customer],$M$3,Table14[Date],$A253,Table14[Bill No.],$B253),IF($J253="XtraGreen",SUMIFS(Table146[Amount],Table146[Company],$M$3,Table146[Date],$A253,Table146[Bill No.],$B253),SUMIFS('Other Sale'!$D:$D,'Other Sale'!$E:$E,$M$3,'Other Sale'!$C:$C,$J253,'Other Sale'!$A:$A,$A253)))))</f>
        <v/>
      </c>
      <c r="F253" s="330" t="str" cm="1">
        <f t="array" ref="F253">IF($A253="","",IF($J253="Payment",IFERROR(INDEX(_xlfn._xlws.FILTER(MasterPaid[Amount Paid],(MasterPaid[Customer]=$M$3)*(MasterPaid[Date]=$A253)),COUNTIFS($A$6:$A253,$A253,$J$6:$J253,"Payment")),0),0))</f>
        <v/>
      </c>
      <c r="G253" s="331"/>
      <c r="H253" s="331"/>
      <c r="I253" s="330" t="str">
        <f t="shared" si="13"/>
        <v/>
      </c>
      <c r="J253" s="318" t="str" cm="1">
        <f t="array" ref="J253">IFERROR(INDEX(_xlfn.ANCHORARRAY($P$6),ROW()-5,3),"")</f>
        <v/>
      </c>
      <c r="K253" s="432" t="str" cm="1">
        <f t="array" ref="K253">IF(OR($A253="",$J253&lt;&gt;"DIESEL"),"",_xlfn.LET(_xlpm.qty,N($C253),_xlpm.pos,$T$5:$T$54,_xlpm.alo,IF($U$5:$U$54="",0,$U$5:$U$54),_xlpm.usd,SUMIFS($C$6:$C252,$K$6:$K252,_xlpm.pos&amp;""),_xlpm.bal,_xlpm.alo-_xlpm.usd,IFERROR(INDEX(_xlfn._xlws.FILTER(_xlpm.pos,(_xlpm.pos&lt;&gt;"")*(_xlpm.qty&gt;0)*(_xlpm.bal&gt;=_xlpm.qty)),1),"")))</f>
        <v/>
      </c>
      <c r="L253" s="290"/>
    </row>
    <row r="254" spans="1:12" ht="23" x14ac:dyDescent="0.25">
      <c r="A254" s="221" t="str" cm="1">
        <f t="array" ref="A254">IFERROR(INDEX(_xlfn.ANCHORARRAY($P$6),ROW()-5,1),"")</f>
        <v/>
      </c>
      <c r="B254" s="317" t="str" cm="1">
        <f t="array" ref="B254">IFERROR(INDEX(_xlfn.ANCHORARRAY($P$6),ROW()-5,2),"")</f>
        <v/>
      </c>
      <c r="C254" s="222" t="str">
        <f>IF($A254="","",IF($J254="DIESEL",SUMIFS(Table1[Quantity],Table1[Customer],$M$3,Table1[Date],$A254,Table1[Bill No.],$B254),IF($J254="PETROL",SUMIFS(Table14[Quantity],Table14[Customer],$M$3,Table14[Date],$A254,Table14[Bill No.],$B254),IF($J254="XtraGreen",SUMIFS(Table146[Quantity],Table146[Company],$M$3,Table146[Date],$A254,Table146[Bill No.],$B254),""))))</f>
        <v/>
      </c>
      <c r="D254" s="223" t="str">
        <f>IF($A254="","",IF($J254="DIESEL",AVERAGEIFS(Table1[RSP],Table1[Customer],$M$3,Table1[Date],$A254,Table1[Bill No.],$B254),IF($J254="PETROL",AVERAGEIFS(Table14[RSP],Table14[Customer],$M$3,Table14[Date],$A254,Table14[Bill No.],$B254),IF($J254="XtraGreen",AVERAGEIFS(Table146[RSP],Table146[Company],$M$3,Table146[Date],$A254,Table146[Bill No.],$B254),IFERROR($E254/$C254,"")))))</f>
        <v/>
      </c>
      <c r="E254" s="330" t="str">
        <f>IF($A254="","",IF($J254="DIESEL",SUMIFS(Table1[Amount],Table1[Customer],$M$3,Table1[Date],$A254,Table1[Bill No.],$B254),IF($J254="PETROL",SUMIFS(Table14[Amount],Table14[Customer],$M$3,Table14[Date],$A254,Table14[Bill No.],$B254),IF($J254="XtraGreen",SUMIFS(Table146[Amount],Table146[Company],$M$3,Table146[Date],$A254,Table146[Bill No.],$B254),SUMIFS('Other Sale'!$D:$D,'Other Sale'!$E:$E,$M$3,'Other Sale'!$C:$C,$J254,'Other Sale'!$A:$A,$A254)))))</f>
        <v/>
      </c>
      <c r="F254" s="330" t="str" cm="1">
        <f t="array" ref="F254">IF($A254="","",IF($J254="Payment",IFERROR(INDEX(_xlfn._xlws.FILTER(MasterPaid[Amount Paid],(MasterPaid[Customer]=$M$3)*(MasterPaid[Date]=$A254)),COUNTIFS($A$6:$A254,$A254,$J$6:$J254,"Payment")),0),0))</f>
        <v/>
      </c>
      <c r="G254" s="331"/>
      <c r="H254" s="331"/>
      <c r="I254" s="330" t="str">
        <f t="shared" si="13"/>
        <v/>
      </c>
      <c r="J254" s="318" t="str" cm="1">
        <f t="array" ref="J254">IFERROR(INDEX(_xlfn.ANCHORARRAY($P$6),ROW()-5,3),"")</f>
        <v/>
      </c>
      <c r="K254" s="432" t="str" cm="1">
        <f t="array" ref="K254">IF(OR($A254="",$J254&lt;&gt;"DIESEL"),"",_xlfn.LET(_xlpm.qty,N($C254),_xlpm.pos,$T$5:$T$54,_xlpm.alo,IF($U$5:$U$54="",0,$U$5:$U$54),_xlpm.usd,SUMIFS($C$6:$C253,$K$6:$K253,_xlpm.pos&amp;""),_xlpm.bal,_xlpm.alo-_xlpm.usd,IFERROR(INDEX(_xlfn._xlws.FILTER(_xlpm.pos,(_xlpm.pos&lt;&gt;"")*(_xlpm.qty&gt;0)*(_xlpm.bal&gt;=_xlpm.qty)),1),"")))</f>
        <v/>
      </c>
      <c r="L254" s="290"/>
    </row>
    <row r="255" spans="1:12" ht="23" x14ac:dyDescent="0.25">
      <c r="A255" s="221" t="str" cm="1">
        <f t="array" ref="A255">IFERROR(INDEX(_xlfn.ANCHORARRAY($P$6),ROW()-5,1),"")</f>
        <v/>
      </c>
      <c r="B255" s="317" t="str" cm="1">
        <f t="array" ref="B255">IFERROR(INDEX(_xlfn.ANCHORARRAY($P$6),ROW()-5,2),"")</f>
        <v/>
      </c>
      <c r="C255" s="222" t="str">
        <f>IF($A255="","",IF($J255="DIESEL",SUMIFS(Table1[Quantity],Table1[Customer],$M$3,Table1[Date],$A255,Table1[Bill No.],$B255),IF($J255="PETROL",SUMIFS(Table14[Quantity],Table14[Customer],$M$3,Table14[Date],$A255,Table14[Bill No.],$B255),IF($J255="XtraGreen",SUMIFS(Table146[Quantity],Table146[Company],$M$3,Table146[Date],$A255,Table146[Bill No.],$B255),""))))</f>
        <v/>
      </c>
      <c r="D255" s="223" t="str">
        <f>IF($A255="","",IF($J255="DIESEL",AVERAGEIFS(Table1[RSP],Table1[Customer],$M$3,Table1[Date],$A255,Table1[Bill No.],$B255),IF($J255="PETROL",AVERAGEIFS(Table14[RSP],Table14[Customer],$M$3,Table14[Date],$A255,Table14[Bill No.],$B255),IF($J255="XtraGreen",AVERAGEIFS(Table146[RSP],Table146[Company],$M$3,Table146[Date],$A255,Table146[Bill No.],$B255),IFERROR($E255/$C255,"")))))</f>
        <v/>
      </c>
      <c r="E255" s="330" t="str">
        <f>IF($A255="","",IF($J255="DIESEL",SUMIFS(Table1[Amount],Table1[Customer],$M$3,Table1[Date],$A255,Table1[Bill No.],$B255),IF($J255="PETROL",SUMIFS(Table14[Amount],Table14[Customer],$M$3,Table14[Date],$A255,Table14[Bill No.],$B255),IF($J255="XtraGreen",SUMIFS(Table146[Amount],Table146[Company],$M$3,Table146[Date],$A255,Table146[Bill No.],$B255),SUMIFS('Other Sale'!$D:$D,'Other Sale'!$E:$E,$M$3,'Other Sale'!$C:$C,$J255,'Other Sale'!$A:$A,$A255)))))</f>
        <v/>
      </c>
      <c r="F255" s="330" t="str" cm="1">
        <f t="array" ref="F255">IF($A255="","",IF($J255="Payment",IFERROR(INDEX(_xlfn._xlws.FILTER(MasterPaid[Amount Paid],(MasterPaid[Customer]=$M$3)*(MasterPaid[Date]=$A255)),COUNTIFS($A$6:$A255,$A255,$J$6:$J255,"Payment")),0),0))</f>
        <v/>
      </c>
      <c r="G255" s="331"/>
      <c r="H255" s="331"/>
      <c r="I255" s="330" t="str">
        <f t="shared" si="13"/>
        <v/>
      </c>
      <c r="J255" s="318" t="str" cm="1">
        <f t="array" ref="J255">IFERROR(INDEX(_xlfn.ANCHORARRAY($P$6),ROW()-5,3),"")</f>
        <v/>
      </c>
      <c r="K255" s="432" t="str" cm="1">
        <f t="array" ref="K255">IF(OR($A255="",$J255&lt;&gt;"DIESEL"),"",_xlfn.LET(_xlpm.qty,N($C255),_xlpm.pos,$T$5:$T$54,_xlpm.alo,IF($U$5:$U$54="",0,$U$5:$U$54),_xlpm.usd,SUMIFS($C$6:$C254,$K$6:$K254,_xlpm.pos&amp;""),_xlpm.bal,_xlpm.alo-_xlpm.usd,IFERROR(INDEX(_xlfn._xlws.FILTER(_xlpm.pos,(_xlpm.pos&lt;&gt;"")*(_xlpm.qty&gt;0)*(_xlpm.bal&gt;=_xlpm.qty)),1),"")))</f>
        <v/>
      </c>
      <c r="L255" s="290"/>
    </row>
    <row r="256" spans="1:12" ht="23" x14ac:dyDescent="0.25">
      <c r="A256" s="221" t="str" cm="1">
        <f t="array" ref="A256">IFERROR(INDEX(_xlfn.ANCHORARRAY($P$6),ROW()-5,1),"")</f>
        <v/>
      </c>
      <c r="B256" s="317" t="str" cm="1">
        <f t="array" ref="B256">IFERROR(INDEX(_xlfn.ANCHORARRAY($P$6),ROW()-5,2),"")</f>
        <v/>
      </c>
      <c r="C256" s="222" t="str">
        <f>IF($A256="","",IF($J256="DIESEL",SUMIFS(Table1[Quantity],Table1[Customer],$M$3,Table1[Date],$A256,Table1[Bill No.],$B256),IF($J256="PETROL",SUMIFS(Table14[Quantity],Table14[Customer],$M$3,Table14[Date],$A256,Table14[Bill No.],$B256),IF($J256="XtraGreen",SUMIFS(Table146[Quantity],Table146[Company],$M$3,Table146[Date],$A256,Table146[Bill No.],$B256),""))))</f>
        <v/>
      </c>
      <c r="D256" s="223" t="str">
        <f>IF($A256="","",IF($J256="DIESEL",AVERAGEIFS(Table1[RSP],Table1[Customer],$M$3,Table1[Date],$A256,Table1[Bill No.],$B256),IF($J256="PETROL",AVERAGEIFS(Table14[RSP],Table14[Customer],$M$3,Table14[Date],$A256,Table14[Bill No.],$B256),IF($J256="XtraGreen",AVERAGEIFS(Table146[RSP],Table146[Company],$M$3,Table146[Date],$A256,Table146[Bill No.],$B256),IFERROR($E256/$C256,"")))))</f>
        <v/>
      </c>
      <c r="E256" s="330" t="str">
        <f>IF($A256="","",IF($J256="DIESEL",SUMIFS(Table1[Amount],Table1[Customer],$M$3,Table1[Date],$A256,Table1[Bill No.],$B256),IF($J256="PETROL",SUMIFS(Table14[Amount],Table14[Customer],$M$3,Table14[Date],$A256,Table14[Bill No.],$B256),IF($J256="XtraGreen",SUMIFS(Table146[Amount],Table146[Company],$M$3,Table146[Date],$A256,Table146[Bill No.],$B256),SUMIFS('Other Sale'!$D:$D,'Other Sale'!$E:$E,$M$3,'Other Sale'!$C:$C,$J256,'Other Sale'!$A:$A,$A256)))))</f>
        <v/>
      </c>
      <c r="F256" s="330" t="str" cm="1">
        <f t="array" ref="F256">IF($A256="","",IF($J256="Payment",IFERROR(INDEX(_xlfn._xlws.FILTER(MasterPaid[Amount Paid],(MasterPaid[Customer]=$M$3)*(MasterPaid[Date]=$A256)),COUNTIFS($A$6:$A256,$A256,$J$6:$J256,"Payment")),0),0))</f>
        <v/>
      </c>
      <c r="G256" s="331"/>
      <c r="H256" s="331"/>
      <c r="I256" s="330" t="str">
        <f t="shared" si="13"/>
        <v/>
      </c>
      <c r="J256" s="318" t="str" cm="1">
        <f t="array" ref="J256">IFERROR(INDEX(_xlfn.ANCHORARRAY($P$6),ROW()-5,3),"")</f>
        <v/>
      </c>
      <c r="K256" s="432" t="str" cm="1">
        <f t="array" ref="K256">IF(OR($A256="",$J256&lt;&gt;"DIESEL"),"",_xlfn.LET(_xlpm.qty,N($C256),_xlpm.pos,$T$5:$T$54,_xlpm.alo,IF($U$5:$U$54="",0,$U$5:$U$54),_xlpm.usd,SUMIFS($C$6:$C255,$K$6:$K255,_xlpm.pos&amp;""),_xlpm.bal,_xlpm.alo-_xlpm.usd,IFERROR(INDEX(_xlfn._xlws.FILTER(_xlpm.pos,(_xlpm.pos&lt;&gt;"")*(_xlpm.qty&gt;0)*(_xlpm.bal&gt;=_xlpm.qty)),1),"")))</f>
        <v/>
      </c>
      <c r="L256" s="290"/>
    </row>
    <row r="257" spans="1:12" ht="23" x14ac:dyDescent="0.25">
      <c r="A257" s="221" t="str" cm="1">
        <f t="array" ref="A257">IFERROR(INDEX(_xlfn.ANCHORARRAY($P$6),ROW()-5,1),"")</f>
        <v/>
      </c>
      <c r="B257" s="317" t="str" cm="1">
        <f t="array" ref="B257">IFERROR(INDEX(_xlfn.ANCHORARRAY($P$6),ROW()-5,2),"")</f>
        <v/>
      </c>
      <c r="C257" s="222" t="str">
        <f>IF($A257="","",IF($J257="DIESEL",SUMIFS(Table1[Quantity],Table1[Customer],$M$3,Table1[Date],$A257,Table1[Bill No.],$B257),IF($J257="PETROL",SUMIFS(Table14[Quantity],Table14[Customer],$M$3,Table14[Date],$A257,Table14[Bill No.],$B257),IF($J257="XtraGreen",SUMIFS(Table146[Quantity],Table146[Company],$M$3,Table146[Date],$A257,Table146[Bill No.],$B257),""))))</f>
        <v/>
      </c>
      <c r="D257" s="223" t="str">
        <f>IF($A257="","",IF($J257="DIESEL",AVERAGEIFS(Table1[RSP],Table1[Customer],$M$3,Table1[Date],$A257,Table1[Bill No.],$B257),IF($J257="PETROL",AVERAGEIFS(Table14[RSP],Table14[Customer],$M$3,Table14[Date],$A257,Table14[Bill No.],$B257),IF($J257="XtraGreen",AVERAGEIFS(Table146[RSP],Table146[Company],$M$3,Table146[Date],$A257,Table146[Bill No.],$B257),IFERROR($E257/$C257,"")))))</f>
        <v/>
      </c>
      <c r="E257" s="330" t="str">
        <f>IF($A257="","",IF($J257="DIESEL",SUMIFS(Table1[Amount],Table1[Customer],$M$3,Table1[Date],$A257,Table1[Bill No.],$B257),IF($J257="PETROL",SUMIFS(Table14[Amount],Table14[Customer],$M$3,Table14[Date],$A257,Table14[Bill No.],$B257),IF($J257="XtraGreen",SUMIFS(Table146[Amount],Table146[Company],$M$3,Table146[Date],$A257,Table146[Bill No.],$B257),SUMIFS('Other Sale'!$D:$D,'Other Sale'!$E:$E,$M$3,'Other Sale'!$C:$C,$J257,'Other Sale'!$A:$A,$A257)))))</f>
        <v/>
      </c>
      <c r="F257" s="330" t="str" cm="1">
        <f t="array" ref="F257">IF($A257="","",IF($J257="Payment",IFERROR(INDEX(_xlfn._xlws.FILTER(MasterPaid[Amount Paid],(MasterPaid[Customer]=$M$3)*(MasterPaid[Date]=$A257)),COUNTIFS($A$6:$A257,$A257,$J$6:$J257,"Payment")),0),0))</f>
        <v/>
      </c>
      <c r="G257" s="331"/>
      <c r="H257" s="331"/>
      <c r="I257" s="330" t="str">
        <f t="shared" si="13"/>
        <v/>
      </c>
      <c r="J257" s="318" t="str" cm="1">
        <f t="array" ref="J257">IFERROR(INDEX(_xlfn.ANCHORARRAY($P$6),ROW()-5,3),"")</f>
        <v/>
      </c>
      <c r="K257" s="432" t="str" cm="1">
        <f t="array" ref="K257">IF(OR($A257="",$J257&lt;&gt;"DIESEL"),"",_xlfn.LET(_xlpm.qty,N($C257),_xlpm.pos,$T$5:$T$54,_xlpm.alo,IF($U$5:$U$54="",0,$U$5:$U$54),_xlpm.usd,SUMIFS($C$6:$C256,$K$6:$K256,_xlpm.pos&amp;""),_xlpm.bal,_xlpm.alo-_xlpm.usd,IFERROR(INDEX(_xlfn._xlws.FILTER(_xlpm.pos,(_xlpm.pos&lt;&gt;"")*(_xlpm.qty&gt;0)*(_xlpm.bal&gt;=_xlpm.qty)),1),"")))</f>
        <v/>
      </c>
      <c r="L257" s="290"/>
    </row>
    <row r="258" spans="1:12" ht="23" x14ac:dyDescent="0.25">
      <c r="A258" s="221" t="str" cm="1">
        <f t="array" ref="A258">IFERROR(INDEX(_xlfn.ANCHORARRAY($P$6),ROW()-5,1),"")</f>
        <v/>
      </c>
      <c r="B258" s="317" t="str" cm="1">
        <f t="array" ref="B258">IFERROR(INDEX(_xlfn.ANCHORARRAY($P$6),ROW()-5,2),"")</f>
        <v/>
      </c>
      <c r="C258" s="222" t="str">
        <f>IF($A258="","",IF($J258="DIESEL",SUMIFS(Table1[Quantity],Table1[Customer],$M$3,Table1[Date],$A258,Table1[Bill No.],$B258),IF($J258="PETROL",SUMIFS(Table14[Quantity],Table14[Customer],$M$3,Table14[Date],$A258,Table14[Bill No.],$B258),IF($J258="XtraGreen",SUMIFS(Table146[Quantity],Table146[Company],$M$3,Table146[Date],$A258,Table146[Bill No.],$B258),""))))</f>
        <v/>
      </c>
      <c r="D258" s="223" t="str">
        <f>IF($A258="","",IF($J258="DIESEL",AVERAGEIFS(Table1[RSP],Table1[Customer],$M$3,Table1[Date],$A258,Table1[Bill No.],$B258),IF($J258="PETROL",AVERAGEIFS(Table14[RSP],Table14[Customer],$M$3,Table14[Date],$A258,Table14[Bill No.],$B258),IF($J258="XtraGreen",AVERAGEIFS(Table146[RSP],Table146[Company],$M$3,Table146[Date],$A258,Table146[Bill No.],$B258),IFERROR($E258/$C258,"")))))</f>
        <v/>
      </c>
      <c r="E258" s="330" t="str">
        <f>IF($A258="","",IF($J258="DIESEL",SUMIFS(Table1[Amount],Table1[Customer],$M$3,Table1[Date],$A258,Table1[Bill No.],$B258),IF($J258="PETROL",SUMIFS(Table14[Amount],Table14[Customer],$M$3,Table14[Date],$A258,Table14[Bill No.],$B258),IF($J258="XtraGreen",SUMIFS(Table146[Amount],Table146[Company],$M$3,Table146[Date],$A258,Table146[Bill No.],$B258),SUMIFS('Other Sale'!$D:$D,'Other Sale'!$E:$E,$M$3,'Other Sale'!$C:$C,$J258,'Other Sale'!$A:$A,$A258)))))</f>
        <v/>
      </c>
      <c r="F258" s="330" t="str" cm="1">
        <f t="array" ref="F258">IF($A258="","",IF($J258="Payment",IFERROR(INDEX(_xlfn._xlws.FILTER(MasterPaid[Amount Paid],(MasterPaid[Customer]=$M$3)*(MasterPaid[Date]=$A258)),COUNTIFS($A$6:$A258,$A258,$J$6:$J258,"Payment")),0),0))</f>
        <v/>
      </c>
      <c r="G258" s="331"/>
      <c r="H258" s="331"/>
      <c r="I258" s="330" t="str">
        <f t="shared" si="13"/>
        <v/>
      </c>
      <c r="J258" s="318" t="str" cm="1">
        <f t="array" ref="J258">IFERROR(INDEX(_xlfn.ANCHORARRAY($P$6),ROW()-5,3),"")</f>
        <v/>
      </c>
      <c r="K258" s="432" t="str" cm="1">
        <f t="array" ref="K258">IF(OR($A258="",$J258&lt;&gt;"DIESEL"),"",_xlfn.LET(_xlpm.qty,N($C258),_xlpm.pos,$T$5:$T$54,_xlpm.alo,IF($U$5:$U$54="",0,$U$5:$U$54),_xlpm.usd,SUMIFS($C$6:$C257,$K$6:$K257,_xlpm.pos&amp;""),_xlpm.bal,_xlpm.alo-_xlpm.usd,IFERROR(INDEX(_xlfn._xlws.FILTER(_xlpm.pos,(_xlpm.pos&lt;&gt;"")*(_xlpm.qty&gt;0)*(_xlpm.bal&gt;=_xlpm.qty)),1),"")))</f>
        <v/>
      </c>
      <c r="L258" s="290"/>
    </row>
    <row r="259" spans="1:12" ht="23" x14ac:dyDescent="0.25">
      <c r="A259" s="221" t="str" cm="1">
        <f t="array" ref="A259">IFERROR(INDEX(_xlfn.ANCHORARRAY($P$6),ROW()-5,1),"")</f>
        <v/>
      </c>
      <c r="B259" s="317" t="str" cm="1">
        <f t="array" ref="B259">IFERROR(INDEX(_xlfn.ANCHORARRAY($P$6),ROW()-5,2),"")</f>
        <v/>
      </c>
      <c r="C259" s="222" t="str">
        <f>IF($A259="","",IF($J259="DIESEL",SUMIFS(Table1[Quantity],Table1[Customer],$M$3,Table1[Date],$A259,Table1[Bill No.],$B259),IF($J259="PETROL",SUMIFS(Table14[Quantity],Table14[Customer],$M$3,Table14[Date],$A259,Table14[Bill No.],$B259),IF($J259="XtraGreen",SUMIFS(Table146[Quantity],Table146[Company],$M$3,Table146[Date],$A259,Table146[Bill No.],$B259),""))))</f>
        <v/>
      </c>
      <c r="D259" s="223" t="str">
        <f>IF($A259="","",IF($J259="DIESEL",AVERAGEIFS(Table1[RSP],Table1[Customer],$M$3,Table1[Date],$A259,Table1[Bill No.],$B259),IF($J259="PETROL",AVERAGEIFS(Table14[RSP],Table14[Customer],$M$3,Table14[Date],$A259,Table14[Bill No.],$B259),IF($J259="XtraGreen",AVERAGEIFS(Table146[RSP],Table146[Company],$M$3,Table146[Date],$A259,Table146[Bill No.],$B259),IFERROR($E259/$C259,"")))))</f>
        <v/>
      </c>
      <c r="E259" s="330" t="str">
        <f>IF($A259="","",IF($J259="DIESEL",SUMIFS(Table1[Amount],Table1[Customer],$M$3,Table1[Date],$A259,Table1[Bill No.],$B259),IF($J259="PETROL",SUMIFS(Table14[Amount],Table14[Customer],$M$3,Table14[Date],$A259,Table14[Bill No.],$B259),IF($J259="XtraGreen",SUMIFS(Table146[Amount],Table146[Company],$M$3,Table146[Date],$A259,Table146[Bill No.],$B259),SUMIFS('Other Sale'!$D:$D,'Other Sale'!$E:$E,$M$3,'Other Sale'!$C:$C,$J259,'Other Sale'!$A:$A,$A259)))))</f>
        <v/>
      </c>
      <c r="F259" s="330" t="str" cm="1">
        <f t="array" ref="F259">IF($A259="","",IF($J259="Payment",IFERROR(INDEX(_xlfn._xlws.FILTER(MasterPaid[Amount Paid],(MasterPaid[Customer]=$M$3)*(MasterPaid[Date]=$A259)),COUNTIFS($A$6:$A259,$A259,$J$6:$J259,"Payment")),0),0))</f>
        <v/>
      </c>
      <c r="G259" s="331"/>
      <c r="H259" s="331"/>
      <c r="I259" s="330" t="str">
        <f t="shared" si="13"/>
        <v/>
      </c>
      <c r="J259" s="318" t="str" cm="1">
        <f t="array" ref="J259">IFERROR(INDEX(_xlfn.ANCHORARRAY($P$6),ROW()-5,3),"")</f>
        <v/>
      </c>
      <c r="K259" s="432" t="str" cm="1">
        <f t="array" ref="K259">IF(OR($A259="",$J259&lt;&gt;"DIESEL"),"",_xlfn.LET(_xlpm.qty,N($C259),_xlpm.pos,$T$5:$T$54,_xlpm.alo,IF($U$5:$U$54="",0,$U$5:$U$54),_xlpm.usd,SUMIFS($C$6:$C258,$K$6:$K258,_xlpm.pos&amp;""),_xlpm.bal,_xlpm.alo-_xlpm.usd,IFERROR(INDEX(_xlfn._xlws.FILTER(_xlpm.pos,(_xlpm.pos&lt;&gt;"")*(_xlpm.qty&gt;0)*(_xlpm.bal&gt;=_xlpm.qty)),1),"")))</f>
        <v/>
      </c>
      <c r="L259" s="290"/>
    </row>
    <row r="260" spans="1:12" ht="23" x14ac:dyDescent="0.25">
      <c r="A260" s="221" t="str" cm="1">
        <f t="array" ref="A260">IFERROR(INDEX(_xlfn.ANCHORARRAY($P$6),ROW()-5,1),"")</f>
        <v/>
      </c>
      <c r="B260" s="317" t="str" cm="1">
        <f t="array" ref="B260">IFERROR(INDEX(_xlfn.ANCHORARRAY($P$6),ROW()-5,2),"")</f>
        <v/>
      </c>
      <c r="C260" s="222" t="str">
        <f>IF($A260="","",IF($J260="DIESEL",SUMIFS(Table1[Quantity],Table1[Customer],$M$3,Table1[Date],$A260,Table1[Bill No.],$B260),IF($J260="PETROL",SUMIFS(Table14[Quantity],Table14[Customer],$M$3,Table14[Date],$A260,Table14[Bill No.],$B260),IF($J260="XtraGreen",SUMIFS(Table146[Quantity],Table146[Company],$M$3,Table146[Date],$A260,Table146[Bill No.],$B260),""))))</f>
        <v/>
      </c>
      <c r="D260" s="223" t="str">
        <f>IF($A260="","",IF($J260="DIESEL",AVERAGEIFS(Table1[RSP],Table1[Customer],$M$3,Table1[Date],$A260,Table1[Bill No.],$B260),IF($J260="PETROL",AVERAGEIFS(Table14[RSP],Table14[Customer],$M$3,Table14[Date],$A260,Table14[Bill No.],$B260),IF($J260="XtraGreen",AVERAGEIFS(Table146[RSP],Table146[Company],$M$3,Table146[Date],$A260,Table146[Bill No.],$B260),IFERROR($E260/$C260,"")))))</f>
        <v/>
      </c>
      <c r="E260" s="330" t="str">
        <f>IF($A260="","",IF($J260="DIESEL",SUMIFS(Table1[Amount],Table1[Customer],$M$3,Table1[Date],$A260,Table1[Bill No.],$B260),IF($J260="PETROL",SUMIFS(Table14[Amount],Table14[Customer],$M$3,Table14[Date],$A260,Table14[Bill No.],$B260),IF($J260="XtraGreen",SUMIFS(Table146[Amount],Table146[Company],$M$3,Table146[Date],$A260,Table146[Bill No.],$B260),SUMIFS('Other Sale'!$D:$D,'Other Sale'!$E:$E,$M$3,'Other Sale'!$C:$C,$J260,'Other Sale'!$A:$A,$A260)))))</f>
        <v/>
      </c>
      <c r="F260" s="330" t="str" cm="1">
        <f t="array" ref="F260">IF($A260="","",IF($J260="Payment",IFERROR(INDEX(_xlfn._xlws.FILTER(MasterPaid[Amount Paid],(MasterPaid[Customer]=$M$3)*(MasterPaid[Date]=$A260)),COUNTIFS($A$6:$A260,$A260,$J$6:$J260,"Payment")),0),0))</f>
        <v/>
      </c>
      <c r="G260" s="331"/>
      <c r="H260" s="331"/>
      <c r="I260" s="330" t="str">
        <f t="shared" si="13"/>
        <v/>
      </c>
      <c r="J260" s="318" t="str" cm="1">
        <f t="array" ref="J260">IFERROR(INDEX(_xlfn.ANCHORARRAY($P$6),ROW()-5,3),"")</f>
        <v/>
      </c>
      <c r="K260" s="432" t="str" cm="1">
        <f t="array" ref="K260">IF(OR($A260="",$J260&lt;&gt;"DIESEL"),"",_xlfn.LET(_xlpm.qty,N($C260),_xlpm.pos,$T$5:$T$54,_xlpm.alo,IF($U$5:$U$54="",0,$U$5:$U$54),_xlpm.usd,SUMIFS($C$6:$C259,$K$6:$K259,_xlpm.pos&amp;""),_xlpm.bal,_xlpm.alo-_xlpm.usd,IFERROR(INDEX(_xlfn._xlws.FILTER(_xlpm.pos,(_xlpm.pos&lt;&gt;"")*(_xlpm.qty&gt;0)*(_xlpm.bal&gt;=_xlpm.qty)),1),"")))</f>
        <v/>
      </c>
      <c r="L260" s="290"/>
    </row>
    <row r="261" spans="1:12" ht="23" x14ac:dyDescent="0.25">
      <c r="A261" s="221" t="str" cm="1">
        <f t="array" ref="A261">IFERROR(INDEX(_xlfn.ANCHORARRAY($P$6),ROW()-5,1),"")</f>
        <v/>
      </c>
      <c r="B261" s="317" t="str" cm="1">
        <f t="array" ref="B261">IFERROR(INDEX(_xlfn.ANCHORARRAY($P$6),ROW()-5,2),"")</f>
        <v/>
      </c>
      <c r="C261" s="222" t="str">
        <f>IF($A261="","",IF($J261="DIESEL",SUMIFS(Table1[Quantity],Table1[Customer],$M$3,Table1[Date],$A261,Table1[Bill No.],$B261),IF($J261="PETROL",SUMIFS(Table14[Quantity],Table14[Customer],$M$3,Table14[Date],$A261,Table14[Bill No.],$B261),IF($J261="XtraGreen",SUMIFS(Table146[Quantity],Table146[Company],$M$3,Table146[Date],$A261,Table146[Bill No.],$B261),""))))</f>
        <v/>
      </c>
      <c r="D261" s="223" t="str">
        <f>IF($A261="","",IF($J261="DIESEL",AVERAGEIFS(Table1[RSP],Table1[Customer],$M$3,Table1[Date],$A261,Table1[Bill No.],$B261),IF($J261="PETROL",AVERAGEIFS(Table14[RSP],Table14[Customer],$M$3,Table14[Date],$A261,Table14[Bill No.],$B261),IF($J261="XtraGreen",AVERAGEIFS(Table146[RSP],Table146[Company],$M$3,Table146[Date],$A261,Table146[Bill No.],$B261),IFERROR($E261/$C261,"")))))</f>
        <v/>
      </c>
      <c r="E261" s="330" t="str">
        <f>IF($A261="","",IF($J261="DIESEL",SUMIFS(Table1[Amount],Table1[Customer],$M$3,Table1[Date],$A261,Table1[Bill No.],$B261),IF($J261="PETROL",SUMIFS(Table14[Amount],Table14[Customer],$M$3,Table14[Date],$A261,Table14[Bill No.],$B261),IF($J261="XtraGreen",SUMIFS(Table146[Amount],Table146[Company],$M$3,Table146[Date],$A261,Table146[Bill No.],$B261),SUMIFS('Other Sale'!$D:$D,'Other Sale'!$E:$E,$M$3,'Other Sale'!$C:$C,$J261,'Other Sale'!$A:$A,$A261)))))</f>
        <v/>
      </c>
      <c r="F261" s="330" t="str" cm="1">
        <f t="array" ref="F261">IF($A261="","",IF($J261="Payment",IFERROR(INDEX(_xlfn._xlws.FILTER(MasterPaid[Amount Paid],(MasterPaid[Customer]=$M$3)*(MasterPaid[Date]=$A261)),COUNTIFS($A$6:$A261,$A261,$J$6:$J261,"Payment")),0),0))</f>
        <v/>
      </c>
      <c r="G261" s="331"/>
      <c r="H261" s="331"/>
      <c r="I261" s="330" t="str">
        <f t="shared" si="13"/>
        <v/>
      </c>
      <c r="J261" s="318" t="str" cm="1">
        <f t="array" ref="J261">IFERROR(INDEX(_xlfn.ANCHORARRAY($P$6),ROW()-5,3),"")</f>
        <v/>
      </c>
      <c r="K261" s="432" t="str" cm="1">
        <f t="array" ref="K261">IF(OR($A261="",$J261&lt;&gt;"DIESEL"),"",_xlfn.LET(_xlpm.qty,N($C261),_xlpm.pos,$T$5:$T$54,_xlpm.alo,IF($U$5:$U$54="",0,$U$5:$U$54),_xlpm.usd,SUMIFS($C$6:$C260,$K$6:$K260,_xlpm.pos&amp;""),_xlpm.bal,_xlpm.alo-_xlpm.usd,IFERROR(INDEX(_xlfn._xlws.FILTER(_xlpm.pos,(_xlpm.pos&lt;&gt;"")*(_xlpm.qty&gt;0)*(_xlpm.bal&gt;=_xlpm.qty)),1),"")))</f>
        <v/>
      </c>
      <c r="L261" s="290"/>
    </row>
    <row r="262" spans="1:12" ht="23" x14ac:dyDescent="0.25">
      <c r="A262" s="221" t="str" cm="1">
        <f t="array" ref="A262">IFERROR(INDEX(_xlfn.ANCHORARRAY($P$6),ROW()-5,1),"")</f>
        <v/>
      </c>
      <c r="B262" s="317" t="str" cm="1">
        <f t="array" ref="B262">IFERROR(INDEX(_xlfn.ANCHORARRAY($P$6),ROW()-5,2),"")</f>
        <v/>
      </c>
      <c r="C262" s="222" t="str">
        <f>IF($A262="","",IF($J262="DIESEL",SUMIFS(Table1[Quantity],Table1[Customer],$M$3,Table1[Date],$A262,Table1[Bill No.],$B262),IF($J262="PETROL",SUMIFS(Table14[Quantity],Table14[Customer],$M$3,Table14[Date],$A262,Table14[Bill No.],$B262),IF($J262="XtraGreen",SUMIFS(Table146[Quantity],Table146[Company],$M$3,Table146[Date],$A262,Table146[Bill No.],$B262),""))))</f>
        <v/>
      </c>
      <c r="D262" s="223" t="str">
        <f>IF($A262="","",IF($J262="DIESEL",AVERAGEIFS(Table1[RSP],Table1[Customer],$M$3,Table1[Date],$A262,Table1[Bill No.],$B262),IF($J262="PETROL",AVERAGEIFS(Table14[RSP],Table14[Customer],$M$3,Table14[Date],$A262,Table14[Bill No.],$B262),IF($J262="XtraGreen",AVERAGEIFS(Table146[RSP],Table146[Company],$M$3,Table146[Date],$A262,Table146[Bill No.],$B262),IFERROR($E262/$C262,"")))))</f>
        <v/>
      </c>
      <c r="E262" s="330" t="str">
        <f>IF($A262="","",IF($J262="DIESEL",SUMIFS(Table1[Amount],Table1[Customer],$M$3,Table1[Date],$A262,Table1[Bill No.],$B262),IF($J262="PETROL",SUMIFS(Table14[Amount],Table14[Customer],$M$3,Table14[Date],$A262,Table14[Bill No.],$B262),IF($J262="XtraGreen",SUMIFS(Table146[Amount],Table146[Company],$M$3,Table146[Date],$A262,Table146[Bill No.],$B262),SUMIFS('Other Sale'!$D:$D,'Other Sale'!$E:$E,$M$3,'Other Sale'!$C:$C,$J262,'Other Sale'!$A:$A,$A262)))))</f>
        <v/>
      </c>
      <c r="F262" s="330" t="str" cm="1">
        <f t="array" ref="F262">IF($A262="","",IF($J262="Payment",IFERROR(INDEX(_xlfn._xlws.FILTER(MasterPaid[Amount Paid],(MasterPaid[Customer]=$M$3)*(MasterPaid[Date]=$A262)),COUNTIFS($A$6:$A262,$A262,$J$6:$J262,"Payment")),0),0))</f>
        <v/>
      </c>
      <c r="G262" s="331"/>
      <c r="H262" s="331"/>
      <c r="I262" s="330" t="str">
        <f t="shared" si="13"/>
        <v/>
      </c>
      <c r="J262" s="318" t="str" cm="1">
        <f t="array" ref="J262">IFERROR(INDEX(_xlfn.ANCHORARRAY($P$6),ROW()-5,3),"")</f>
        <v/>
      </c>
      <c r="K262" s="432" t="str" cm="1">
        <f t="array" ref="K262">IF(OR($A262="",$J262&lt;&gt;"DIESEL"),"",_xlfn.LET(_xlpm.qty,N($C262),_xlpm.pos,$T$5:$T$54,_xlpm.alo,IF($U$5:$U$54="",0,$U$5:$U$54),_xlpm.usd,SUMIFS($C$6:$C261,$K$6:$K261,_xlpm.pos&amp;""),_xlpm.bal,_xlpm.alo-_xlpm.usd,IFERROR(INDEX(_xlfn._xlws.FILTER(_xlpm.pos,(_xlpm.pos&lt;&gt;"")*(_xlpm.qty&gt;0)*(_xlpm.bal&gt;=_xlpm.qty)),1),"")))</f>
        <v/>
      </c>
      <c r="L262" s="290"/>
    </row>
    <row r="263" spans="1:12" ht="23" x14ac:dyDescent="0.25">
      <c r="A263" s="221" t="str" cm="1">
        <f t="array" ref="A263">IFERROR(INDEX(_xlfn.ANCHORARRAY($P$6),ROW()-5,1),"")</f>
        <v/>
      </c>
      <c r="B263" s="317" t="str" cm="1">
        <f t="array" ref="B263">IFERROR(INDEX(_xlfn.ANCHORARRAY($P$6),ROW()-5,2),"")</f>
        <v/>
      </c>
      <c r="C263" s="222" t="str">
        <f>IF($A263="","",IF($J263="DIESEL",SUMIFS(Table1[Quantity],Table1[Customer],$M$3,Table1[Date],$A263,Table1[Bill No.],$B263),IF($J263="PETROL",SUMIFS(Table14[Quantity],Table14[Customer],$M$3,Table14[Date],$A263,Table14[Bill No.],$B263),IF($J263="XtraGreen",SUMIFS(Table146[Quantity],Table146[Company],$M$3,Table146[Date],$A263,Table146[Bill No.],$B263),""))))</f>
        <v/>
      </c>
      <c r="D263" s="223" t="str">
        <f>IF($A263="","",IF($J263="DIESEL",AVERAGEIFS(Table1[RSP],Table1[Customer],$M$3,Table1[Date],$A263,Table1[Bill No.],$B263),IF($J263="PETROL",AVERAGEIFS(Table14[RSP],Table14[Customer],$M$3,Table14[Date],$A263,Table14[Bill No.],$B263),IF($J263="XtraGreen",AVERAGEIFS(Table146[RSP],Table146[Company],$M$3,Table146[Date],$A263,Table146[Bill No.],$B263),IFERROR($E263/$C263,"")))))</f>
        <v/>
      </c>
      <c r="E263" s="330" t="str">
        <f>IF($A263="","",IF($J263="DIESEL",SUMIFS(Table1[Amount],Table1[Customer],$M$3,Table1[Date],$A263,Table1[Bill No.],$B263),IF($J263="PETROL",SUMIFS(Table14[Amount],Table14[Customer],$M$3,Table14[Date],$A263,Table14[Bill No.],$B263),IF($J263="XtraGreen",SUMIFS(Table146[Amount],Table146[Company],$M$3,Table146[Date],$A263,Table146[Bill No.],$B263),SUMIFS('Other Sale'!$D:$D,'Other Sale'!$E:$E,$M$3,'Other Sale'!$C:$C,$J263,'Other Sale'!$A:$A,$A263)))))</f>
        <v/>
      </c>
      <c r="F263" s="330" t="str" cm="1">
        <f t="array" ref="F263">IF($A263="","",IF($J263="Payment",IFERROR(INDEX(_xlfn._xlws.FILTER(MasterPaid[Amount Paid],(MasterPaid[Customer]=$M$3)*(MasterPaid[Date]=$A263)),COUNTIFS($A$6:$A263,$A263,$J$6:$J263,"Payment")),0),0))</f>
        <v/>
      </c>
      <c r="G263" s="331"/>
      <c r="H263" s="331"/>
      <c r="I263" s="330" t="str">
        <f t="shared" si="13"/>
        <v/>
      </c>
      <c r="J263" s="318" t="str" cm="1">
        <f t="array" ref="J263">IFERROR(INDEX(_xlfn.ANCHORARRAY($P$6),ROW()-5,3),"")</f>
        <v/>
      </c>
      <c r="K263" s="432" t="str" cm="1">
        <f t="array" ref="K263">IF(OR($A263="",$J263&lt;&gt;"DIESEL"),"",_xlfn.LET(_xlpm.qty,N($C263),_xlpm.pos,$T$5:$T$54,_xlpm.alo,IF($U$5:$U$54="",0,$U$5:$U$54),_xlpm.usd,SUMIFS($C$6:$C262,$K$6:$K262,_xlpm.pos&amp;""),_xlpm.bal,_xlpm.alo-_xlpm.usd,IFERROR(INDEX(_xlfn._xlws.FILTER(_xlpm.pos,(_xlpm.pos&lt;&gt;"")*(_xlpm.qty&gt;0)*(_xlpm.bal&gt;=_xlpm.qty)),1),"")))</f>
        <v/>
      </c>
      <c r="L263" s="290"/>
    </row>
    <row r="264" spans="1:12" ht="23" x14ac:dyDescent="0.25">
      <c r="A264" s="221" t="str" cm="1">
        <f t="array" ref="A264">IFERROR(INDEX(_xlfn.ANCHORARRAY($P$6),ROW()-5,1),"")</f>
        <v/>
      </c>
      <c r="B264" s="317" t="str" cm="1">
        <f t="array" ref="B264">IFERROR(INDEX(_xlfn.ANCHORARRAY($P$6),ROW()-5,2),"")</f>
        <v/>
      </c>
      <c r="C264" s="222" t="str">
        <f>IF($A264="","",IF($J264="DIESEL",SUMIFS(Table1[Quantity],Table1[Customer],$M$3,Table1[Date],$A264,Table1[Bill No.],$B264),IF($J264="PETROL",SUMIFS(Table14[Quantity],Table14[Customer],$M$3,Table14[Date],$A264,Table14[Bill No.],$B264),IF($J264="XtraGreen",SUMIFS(Table146[Quantity],Table146[Company],$M$3,Table146[Date],$A264,Table146[Bill No.],$B264),""))))</f>
        <v/>
      </c>
      <c r="D264" s="223" t="str">
        <f>IF($A264="","",IF($J264="DIESEL",AVERAGEIFS(Table1[RSP],Table1[Customer],$M$3,Table1[Date],$A264,Table1[Bill No.],$B264),IF($J264="PETROL",AVERAGEIFS(Table14[RSP],Table14[Customer],$M$3,Table14[Date],$A264,Table14[Bill No.],$B264),IF($J264="XtraGreen",AVERAGEIFS(Table146[RSP],Table146[Company],$M$3,Table146[Date],$A264,Table146[Bill No.],$B264),IFERROR($E264/$C264,"")))))</f>
        <v/>
      </c>
      <c r="E264" s="330" t="str">
        <f>IF($A264="","",IF($J264="DIESEL",SUMIFS(Table1[Amount],Table1[Customer],$M$3,Table1[Date],$A264,Table1[Bill No.],$B264),IF($J264="PETROL",SUMIFS(Table14[Amount],Table14[Customer],$M$3,Table14[Date],$A264,Table14[Bill No.],$B264),IF($J264="XtraGreen",SUMIFS(Table146[Amount],Table146[Company],$M$3,Table146[Date],$A264,Table146[Bill No.],$B264),SUMIFS('Other Sale'!$D:$D,'Other Sale'!$E:$E,$M$3,'Other Sale'!$C:$C,$J264,'Other Sale'!$A:$A,$A264)))))</f>
        <v/>
      </c>
      <c r="F264" s="330" t="str" cm="1">
        <f t="array" ref="F264">IF($A264="","",IF($J264="Payment",IFERROR(INDEX(_xlfn._xlws.FILTER(MasterPaid[Amount Paid],(MasterPaid[Customer]=$M$3)*(MasterPaid[Date]=$A264)),COUNTIFS($A$6:$A264,$A264,$J$6:$J264,"Payment")),0),0))</f>
        <v/>
      </c>
      <c r="G264" s="331"/>
      <c r="H264" s="331"/>
      <c r="I264" s="330" t="str">
        <f t="shared" si="13"/>
        <v/>
      </c>
      <c r="J264" s="318" t="str" cm="1">
        <f t="array" ref="J264">IFERROR(INDEX(_xlfn.ANCHORARRAY($P$6),ROW()-5,3),"")</f>
        <v/>
      </c>
      <c r="K264" s="432" t="str" cm="1">
        <f t="array" ref="K264">IF(OR($A264="",$J264&lt;&gt;"DIESEL"),"",_xlfn.LET(_xlpm.qty,N($C264),_xlpm.pos,$T$5:$T$54,_xlpm.alo,IF($U$5:$U$54="",0,$U$5:$U$54),_xlpm.usd,SUMIFS($C$6:$C263,$K$6:$K263,_xlpm.pos&amp;""),_xlpm.bal,_xlpm.alo-_xlpm.usd,IFERROR(INDEX(_xlfn._xlws.FILTER(_xlpm.pos,(_xlpm.pos&lt;&gt;"")*(_xlpm.qty&gt;0)*(_xlpm.bal&gt;=_xlpm.qty)),1),"")))</f>
        <v/>
      </c>
      <c r="L264" s="290"/>
    </row>
    <row r="265" spans="1:12" ht="23" x14ac:dyDescent="0.25">
      <c r="A265" s="221" t="str" cm="1">
        <f t="array" ref="A265">IFERROR(INDEX(_xlfn.ANCHORARRAY($P$6),ROW()-5,1),"")</f>
        <v/>
      </c>
      <c r="B265" s="317" t="str" cm="1">
        <f t="array" ref="B265">IFERROR(INDEX(_xlfn.ANCHORARRAY($P$6),ROW()-5,2),"")</f>
        <v/>
      </c>
      <c r="C265" s="222" t="str">
        <f>IF($A265="","",IF($J265="DIESEL",SUMIFS(Table1[Quantity],Table1[Customer],$M$3,Table1[Date],$A265,Table1[Bill No.],$B265),IF($J265="PETROL",SUMIFS(Table14[Quantity],Table14[Customer],$M$3,Table14[Date],$A265,Table14[Bill No.],$B265),IF($J265="XtraGreen",SUMIFS(Table146[Quantity],Table146[Company],$M$3,Table146[Date],$A265,Table146[Bill No.],$B265),""))))</f>
        <v/>
      </c>
      <c r="D265" s="223" t="str">
        <f>IF($A265="","",IF($J265="DIESEL",AVERAGEIFS(Table1[RSP],Table1[Customer],$M$3,Table1[Date],$A265,Table1[Bill No.],$B265),IF($J265="PETROL",AVERAGEIFS(Table14[RSP],Table14[Customer],$M$3,Table14[Date],$A265,Table14[Bill No.],$B265),IF($J265="XtraGreen",AVERAGEIFS(Table146[RSP],Table146[Company],$M$3,Table146[Date],$A265,Table146[Bill No.],$B265),IFERROR($E265/$C265,"")))))</f>
        <v/>
      </c>
      <c r="E265" s="330" t="str">
        <f>IF($A265="","",IF($J265="DIESEL",SUMIFS(Table1[Amount],Table1[Customer],$M$3,Table1[Date],$A265,Table1[Bill No.],$B265),IF($J265="PETROL",SUMIFS(Table14[Amount],Table14[Customer],$M$3,Table14[Date],$A265,Table14[Bill No.],$B265),IF($J265="XtraGreen",SUMIFS(Table146[Amount],Table146[Company],$M$3,Table146[Date],$A265,Table146[Bill No.],$B265),SUMIFS('Other Sale'!$D:$D,'Other Sale'!$E:$E,$M$3,'Other Sale'!$C:$C,$J265,'Other Sale'!$A:$A,$A265)))))</f>
        <v/>
      </c>
      <c r="F265" s="330" t="str" cm="1">
        <f t="array" ref="F265">IF($A265="","",IF($J265="Payment",IFERROR(INDEX(_xlfn._xlws.FILTER(MasterPaid[Amount Paid],(MasterPaid[Customer]=$M$3)*(MasterPaid[Date]=$A265)),COUNTIFS($A$6:$A265,$A265,$J$6:$J265,"Payment")),0),0))</f>
        <v/>
      </c>
      <c r="G265" s="331"/>
      <c r="H265" s="331"/>
      <c r="I265" s="330" t="str">
        <f t="shared" si="13"/>
        <v/>
      </c>
      <c r="J265" s="318" t="str" cm="1">
        <f t="array" ref="J265">IFERROR(INDEX(_xlfn.ANCHORARRAY($P$6),ROW()-5,3),"")</f>
        <v/>
      </c>
      <c r="K265" s="432" t="str" cm="1">
        <f t="array" ref="K265">IF(OR($A265="",$J265&lt;&gt;"DIESEL"),"",_xlfn.LET(_xlpm.qty,N($C265),_xlpm.pos,$T$5:$T$54,_xlpm.alo,IF($U$5:$U$54="",0,$U$5:$U$54),_xlpm.usd,SUMIFS($C$6:$C264,$K$6:$K264,_xlpm.pos&amp;""),_xlpm.bal,_xlpm.alo-_xlpm.usd,IFERROR(INDEX(_xlfn._xlws.FILTER(_xlpm.pos,(_xlpm.pos&lt;&gt;"")*(_xlpm.qty&gt;0)*(_xlpm.bal&gt;=_xlpm.qty)),1),"")))</f>
        <v/>
      </c>
      <c r="L265" s="290"/>
    </row>
    <row r="266" spans="1:12" ht="23" x14ac:dyDescent="0.25">
      <c r="A266" s="221" t="str" cm="1">
        <f t="array" ref="A266">IFERROR(INDEX(_xlfn.ANCHORARRAY($P$6),ROW()-5,1),"")</f>
        <v/>
      </c>
      <c r="B266" s="317" t="str" cm="1">
        <f t="array" ref="B266">IFERROR(INDEX(_xlfn.ANCHORARRAY($P$6),ROW()-5,2),"")</f>
        <v/>
      </c>
      <c r="C266" s="222" t="str">
        <f>IF($A266="","",IF($J266="DIESEL",SUMIFS(Table1[Quantity],Table1[Customer],$M$3,Table1[Date],$A266,Table1[Bill No.],$B266),IF($J266="PETROL",SUMIFS(Table14[Quantity],Table14[Customer],$M$3,Table14[Date],$A266,Table14[Bill No.],$B266),IF($J266="XtraGreen",SUMIFS(Table146[Quantity],Table146[Company],$M$3,Table146[Date],$A266,Table146[Bill No.],$B266),""))))</f>
        <v/>
      </c>
      <c r="D266" s="223" t="str">
        <f>IF($A266="","",IF($J266="DIESEL",AVERAGEIFS(Table1[RSP],Table1[Customer],$M$3,Table1[Date],$A266,Table1[Bill No.],$B266),IF($J266="PETROL",AVERAGEIFS(Table14[RSP],Table14[Customer],$M$3,Table14[Date],$A266,Table14[Bill No.],$B266),IF($J266="XtraGreen",AVERAGEIFS(Table146[RSP],Table146[Company],$M$3,Table146[Date],$A266,Table146[Bill No.],$B266),IFERROR($E266/$C266,"")))))</f>
        <v/>
      </c>
      <c r="E266" s="330" t="str">
        <f>IF($A266="","",IF($J266="DIESEL",SUMIFS(Table1[Amount],Table1[Customer],$M$3,Table1[Date],$A266,Table1[Bill No.],$B266),IF($J266="PETROL",SUMIFS(Table14[Amount],Table14[Customer],$M$3,Table14[Date],$A266,Table14[Bill No.],$B266),IF($J266="XtraGreen",SUMIFS(Table146[Amount],Table146[Company],$M$3,Table146[Date],$A266,Table146[Bill No.],$B266),SUMIFS('Other Sale'!$D:$D,'Other Sale'!$E:$E,$M$3,'Other Sale'!$C:$C,$J266,'Other Sale'!$A:$A,$A266)))))</f>
        <v/>
      </c>
      <c r="F266" s="330" t="str" cm="1">
        <f t="array" ref="F266">IF($A266="","",IF($J266="Payment",IFERROR(INDEX(_xlfn._xlws.FILTER(MasterPaid[Amount Paid],(MasterPaid[Customer]=$M$3)*(MasterPaid[Date]=$A266)),COUNTIFS($A$6:$A266,$A266,$J$6:$J266,"Payment")),0),0))</f>
        <v/>
      </c>
      <c r="G266" s="331"/>
      <c r="H266" s="331"/>
      <c r="I266" s="330" t="str">
        <f t="shared" si="13"/>
        <v/>
      </c>
      <c r="J266" s="318" t="str" cm="1">
        <f t="array" ref="J266">IFERROR(INDEX(_xlfn.ANCHORARRAY($P$6),ROW()-5,3),"")</f>
        <v/>
      </c>
      <c r="K266" s="432" t="str" cm="1">
        <f t="array" ref="K266">IF(OR($A266="",$J266&lt;&gt;"DIESEL"),"",_xlfn.LET(_xlpm.qty,N($C266),_xlpm.pos,$T$5:$T$54,_xlpm.alo,IF($U$5:$U$54="",0,$U$5:$U$54),_xlpm.usd,SUMIFS($C$6:$C265,$K$6:$K265,_xlpm.pos&amp;""),_xlpm.bal,_xlpm.alo-_xlpm.usd,IFERROR(INDEX(_xlfn._xlws.FILTER(_xlpm.pos,(_xlpm.pos&lt;&gt;"")*(_xlpm.qty&gt;0)*(_xlpm.bal&gt;=_xlpm.qty)),1),"")))</f>
        <v/>
      </c>
      <c r="L266" s="290"/>
    </row>
    <row r="267" spans="1:12" ht="23" x14ac:dyDescent="0.25">
      <c r="A267" s="221" t="str" cm="1">
        <f t="array" ref="A267">IFERROR(INDEX(_xlfn.ANCHORARRAY($P$6),ROW()-5,1),"")</f>
        <v/>
      </c>
      <c r="B267" s="317" t="str" cm="1">
        <f t="array" ref="B267">IFERROR(INDEX(_xlfn.ANCHORARRAY($P$6),ROW()-5,2),"")</f>
        <v/>
      </c>
      <c r="C267" s="222" t="str">
        <f>IF($A267="","",IF($J267="DIESEL",SUMIFS(Table1[Quantity],Table1[Customer],$M$3,Table1[Date],$A267,Table1[Bill No.],$B267),IF($J267="PETROL",SUMIFS(Table14[Quantity],Table14[Customer],$M$3,Table14[Date],$A267,Table14[Bill No.],$B267),IF($J267="XtraGreen",SUMIFS(Table146[Quantity],Table146[Company],$M$3,Table146[Date],$A267,Table146[Bill No.],$B267),""))))</f>
        <v/>
      </c>
      <c r="D267" s="223" t="str">
        <f>IF($A267="","",IF($J267="DIESEL",AVERAGEIFS(Table1[RSP],Table1[Customer],$M$3,Table1[Date],$A267,Table1[Bill No.],$B267),IF($J267="PETROL",AVERAGEIFS(Table14[RSP],Table14[Customer],$M$3,Table14[Date],$A267,Table14[Bill No.],$B267),IF($J267="XtraGreen",AVERAGEIFS(Table146[RSP],Table146[Company],$M$3,Table146[Date],$A267,Table146[Bill No.],$B267),IFERROR($E267/$C267,"")))))</f>
        <v/>
      </c>
      <c r="E267" s="330" t="str">
        <f>IF($A267="","",IF($J267="DIESEL",SUMIFS(Table1[Amount],Table1[Customer],$M$3,Table1[Date],$A267,Table1[Bill No.],$B267),IF($J267="PETROL",SUMIFS(Table14[Amount],Table14[Customer],$M$3,Table14[Date],$A267,Table14[Bill No.],$B267),IF($J267="XtraGreen",SUMIFS(Table146[Amount],Table146[Company],$M$3,Table146[Date],$A267,Table146[Bill No.],$B267),SUMIFS('Other Sale'!$D:$D,'Other Sale'!$E:$E,$M$3,'Other Sale'!$C:$C,$J267,'Other Sale'!$A:$A,$A267)))))</f>
        <v/>
      </c>
      <c r="F267" s="330" t="str" cm="1">
        <f t="array" ref="F267">IF($A267="","",IF($J267="Payment",IFERROR(INDEX(_xlfn._xlws.FILTER(MasterPaid[Amount Paid],(MasterPaid[Customer]=$M$3)*(MasterPaid[Date]=$A267)),COUNTIFS($A$6:$A267,$A267,$J$6:$J267,"Payment")),0),0))</f>
        <v/>
      </c>
      <c r="G267" s="331"/>
      <c r="H267" s="331"/>
      <c r="I267" s="330" t="str">
        <f t="shared" si="13"/>
        <v/>
      </c>
      <c r="J267" s="318" t="str" cm="1">
        <f t="array" ref="J267">IFERROR(INDEX(_xlfn.ANCHORARRAY($P$6),ROW()-5,3),"")</f>
        <v/>
      </c>
      <c r="K267" s="432" t="str" cm="1">
        <f t="array" ref="K267">IF(OR($A267="",$J267&lt;&gt;"DIESEL"),"",_xlfn.LET(_xlpm.qty,N($C267),_xlpm.pos,$T$5:$T$54,_xlpm.alo,IF($U$5:$U$54="",0,$U$5:$U$54),_xlpm.usd,SUMIFS($C$6:$C266,$K$6:$K266,_xlpm.pos&amp;""),_xlpm.bal,_xlpm.alo-_xlpm.usd,IFERROR(INDEX(_xlfn._xlws.FILTER(_xlpm.pos,(_xlpm.pos&lt;&gt;"")*(_xlpm.qty&gt;0)*(_xlpm.bal&gt;=_xlpm.qty)),1),"")))</f>
        <v/>
      </c>
      <c r="L267" s="290"/>
    </row>
    <row r="268" spans="1:12" ht="23" x14ac:dyDescent="0.25">
      <c r="A268" s="221" t="str" cm="1">
        <f t="array" ref="A268">IFERROR(INDEX(_xlfn.ANCHORARRAY($P$6),ROW()-5,1),"")</f>
        <v/>
      </c>
      <c r="B268" s="317" t="str" cm="1">
        <f t="array" ref="B268">IFERROR(INDEX(_xlfn.ANCHORARRAY($P$6),ROW()-5,2),"")</f>
        <v/>
      </c>
      <c r="C268" s="222" t="str">
        <f>IF($A268="","",IF($J268="DIESEL",SUMIFS(Table1[Quantity],Table1[Customer],$M$3,Table1[Date],$A268,Table1[Bill No.],$B268),IF($J268="PETROL",SUMIFS(Table14[Quantity],Table14[Customer],$M$3,Table14[Date],$A268,Table14[Bill No.],$B268),IF($J268="XtraGreen",SUMIFS(Table146[Quantity],Table146[Company],$M$3,Table146[Date],$A268,Table146[Bill No.],$B268),""))))</f>
        <v/>
      </c>
      <c r="D268" s="223" t="str">
        <f>IF($A268="","",IF($J268="DIESEL",AVERAGEIFS(Table1[RSP],Table1[Customer],$M$3,Table1[Date],$A268,Table1[Bill No.],$B268),IF($J268="PETROL",AVERAGEIFS(Table14[RSP],Table14[Customer],$M$3,Table14[Date],$A268,Table14[Bill No.],$B268),IF($J268="XtraGreen",AVERAGEIFS(Table146[RSP],Table146[Company],$M$3,Table146[Date],$A268,Table146[Bill No.],$B268),IFERROR($E268/$C268,"")))))</f>
        <v/>
      </c>
      <c r="E268" s="330" t="str">
        <f>IF($A268="","",IF($J268="DIESEL",SUMIFS(Table1[Amount],Table1[Customer],$M$3,Table1[Date],$A268,Table1[Bill No.],$B268),IF($J268="PETROL",SUMIFS(Table14[Amount],Table14[Customer],$M$3,Table14[Date],$A268,Table14[Bill No.],$B268),IF($J268="XtraGreen",SUMIFS(Table146[Amount],Table146[Company],$M$3,Table146[Date],$A268,Table146[Bill No.],$B268),SUMIFS('Other Sale'!$D:$D,'Other Sale'!$E:$E,$M$3,'Other Sale'!$C:$C,$J268,'Other Sale'!$A:$A,$A268)))))</f>
        <v/>
      </c>
      <c r="F268" s="330" t="str" cm="1">
        <f t="array" ref="F268">IF($A268="","",IF($J268="Payment",IFERROR(INDEX(_xlfn._xlws.FILTER(MasterPaid[Amount Paid],(MasterPaid[Customer]=$M$3)*(MasterPaid[Date]=$A268)),COUNTIFS($A$6:$A268,$A268,$J$6:$J268,"Payment")),0),0))</f>
        <v/>
      </c>
      <c r="G268" s="331"/>
      <c r="H268" s="331"/>
      <c r="I268" s="330" t="str">
        <f t="shared" si="13"/>
        <v/>
      </c>
      <c r="J268" s="318" t="str" cm="1">
        <f t="array" ref="J268">IFERROR(INDEX(_xlfn.ANCHORARRAY($P$6),ROW()-5,3),"")</f>
        <v/>
      </c>
      <c r="K268" s="432" t="str" cm="1">
        <f t="array" ref="K268">IF(OR($A268="",$J268&lt;&gt;"DIESEL"),"",_xlfn.LET(_xlpm.qty,N($C268),_xlpm.pos,$T$5:$T$54,_xlpm.alo,IF($U$5:$U$54="",0,$U$5:$U$54),_xlpm.usd,SUMIFS($C$6:$C267,$K$6:$K267,_xlpm.pos&amp;""),_xlpm.bal,_xlpm.alo-_xlpm.usd,IFERROR(INDEX(_xlfn._xlws.FILTER(_xlpm.pos,(_xlpm.pos&lt;&gt;"")*(_xlpm.qty&gt;0)*(_xlpm.bal&gt;=_xlpm.qty)),1),"")))</f>
        <v/>
      </c>
      <c r="L268" s="290"/>
    </row>
    <row r="269" spans="1:12" ht="23" x14ac:dyDescent="0.25">
      <c r="A269" s="221" t="str" cm="1">
        <f t="array" ref="A269">IFERROR(INDEX(_xlfn.ANCHORARRAY($P$6),ROW()-5,1),"")</f>
        <v/>
      </c>
      <c r="B269" s="317" t="str" cm="1">
        <f t="array" ref="B269">IFERROR(INDEX(_xlfn.ANCHORARRAY($P$6),ROW()-5,2),"")</f>
        <v/>
      </c>
      <c r="C269" s="222" t="str">
        <f>IF($A269="","",IF($J269="DIESEL",SUMIFS(Table1[Quantity],Table1[Customer],$M$3,Table1[Date],$A269,Table1[Bill No.],$B269),IF($J269="PETROL",SUMIFS(Table14[Quantity],Table14[Customer],$M$3,Table14[Date],$A269,Table14[Bill No.],$B269),IF($J269="XtraGreen",SUMIFS(Table146[Quantity],Table146[Company],$M$3,Table146[Date],$A269,Table146[Bill No.],$B269),""))))</f>
        <v/>
      </c>
      <c r="D269" s="223" t="str">
        <f>IF($A269="","",IF($J269="DIESEL",AVERAGEIFS(Table1[RSP],Table1[Customer],$M$3,Table1[Date],$A269,Table1[Bill No.],$B269),IF($J269="PETROL",AVERAGEIFS(Table14[RSP],Table14[Customer],$M$3,Table14[Date],$A269,Table14[Bill No.],$B269),IF($J269="XtraGreen",AVERAGEIFS(Table146[RSP],Table146[Company],$M$3,Table146[Date],$A269,Table146[Bill No.],$B269),IFERROR($E269/$C269,"")))))</f>
        <v/>
      </c>
      <c r="E269" s="330" t="str">
        <f>IF($A269="","",IF($J269="DIESEL",SUMIFS(Table1[Amount],Table1[Customer],$M$3,Table1[Date],$A269,Table1[Bill No.],$B269),IF($J269="PETROL",SUMIFS(Table14[Amount],Table14[Customer],$M$3,Table14[Date],$A269,Table14[Bill No.],$B269),IF($J269="XtraGreen",SUMIFS(Table146[Amount],Table146[Company],$M$3,Table146[Date],$A269,Table146[Bill No.],$B269),SUMIFS('Other Sale'!$D:$D,'Other Sale'!$E:$E,$M$3,'Other Sale'!$C:$C,$J269,'Other Sale'!$A:$A,$A269)))))</f>
        <v/>
      </c>
      <c r="F269" s="330" t="str" cm="1">
        <f t="array" ref="F269">IF($A269="","",IF($J269="Payment",IFERROR(INDEX(_xlfn._xlws.FILTER(MasterPaid[Amount Paid],(MasterPaid[Customer]=$M$3)*(MasterPaid[Date]=$A269)),COUNTIFS($A$6:$A269,$A269,$J$6:$J269,"Payment")),0),0))</f>
        <v/>
      </c>
      <c r="G269" s="331"/>
      <c r="H269" s="331"/>
      <c r="I269" s="330" t="str">
        <f t="shared" si="13"/>
        <v/>
      </c>
      <c r="J269" s="318" t="str" cm="1">
        <f t="array" ref="J269">IFERROR(INDEX(_xlfn.ANCHORARRAY($P$6),ROW()-5,3),"")</f>
        <v/>
      </c>
      <c r="K269" s="432" t="str" cm="1">
        <f t="array" ref="K269">IF(OR($A269="",$J269&lt;&gt;"DIESEL"),"",_xlfn.LET(_xlpm.qty,N($C269),_xlpm.pos,$T$5:$T$54,_xlpm.alo,IF($U$5:$U$54="",0,$U$5:$U$54),_xlpm.usd,SUMIFS($C$6:$C268,$K$6:$K268,_xlpm.pos&amp;""),_xlpm.bal,_xlpm.alo-_xlpm.usd,IFERROR(INDEX(_xlfn._xlws.FILTER(_xlpm.pos,(_xlpm.pos&lt;&gt;"")*(_xlpm.qty&gt;0)*(_xlpm.bal&gt;=_xlpm.qty)),1),"")))</f>
        <v/>
      </c>
      <c r="L269" s="290"/>
    </row>
    <row r="270" spans="1:12" ht="23" x14ac:dyDescent="0.25">
      <c r="A270" s="221" t="str" cm="1">
        <f t="array" ref="A270">IFERROR(INDEX(_xlfn.ANCHORARRAY($P$6),ROW()-5,1),"")</f>
        <v/>
      </c>
      <c r="B270" s="317" t="str" cm="1">
        <f t="array" ref="B270">IFERROR(INDEX(_xlfn.ANCHORARRAY($P$6),ROW()-5,2),"")</f>
        <v/>
      </c>
      <c r="C270" s="222" t="str">
        <f>IF($A270="","",IF($J270="DIESEL",SUMIFS(Table1[Quantity],Table1[Customer],$M$3,Table1[Date],$A270,Table1[Bill No.],$B270),IF($J270="PETROL",SUMIFS(Table14[Quantity],Table14[Customer],$M$3,Table14[Date],$A270,Table14[Bill No.],$B270),IF($J270="XtraGreen",SUMIFS(Table146[Quantity],Table146[Company],$M$3,Table146[Date],$A270,Table146[Bill No.],$B270),""))))</f>
        <v/>
      </c>
      <c r="D270" s="223" t="str">
        <f>IF($A270="","",IF($J270="DIESEL",AVERAGEIFS(Table1[RSP],Table1[Customer],$M$3,Table1[Date],$A270,Table1[Bill No.],$B270),IF($J270="PETROL",AVERAGEIFS(Table14[RSP],Table14[Customer],$M$3,Table14[Date],$A270,Table14[Bill No.],$B270),IF($J270="XtraGreen",AVERAGEIFS(Table146[RSP],Table146[Company],$M$3,Table146[Date],$A270,Table146[Bill No.],$B270),IFERROR($E270/$C270,"")))))</f>
        <v/>
      </c>
      <c r="E270" s="330" t="str">
        <f>IF($A270="","",IF($J270="DIESEL",SUMIFS(Table1[Amount],Table1[Customer],$M$3,Table1[Date],$A270,Table1[Bill No.],$B270),IF($J270="PETROL",SUMIFS(Table14[Amount],Table14[Customer],$M$3,Table14[Date],$A270,Table14[Bill No.],$B270),IF($J270="XtraGreen",SUMIFS(Table146[Amount],Table146[Company],$M$3,Table146[Date],$A270,Table146[Bill No.],$B270),SUMIFS('Other Sale'!$D:$D,'Other Sale'!$E:$E,$M$3,'Other Sale'!$C:$C,$J270,'Other Sale'!$A:$A,$A270)))))</f>
        <v/>
      </c>
      <c r="F270" s="330" t="str" cm="1">
        <f t="array" ref="F270">IF($A270="","",IF($J270="Payment",IFERROR(INDEX(_xlfn._xlws.FILTER(MasterPaid[Amount Paid],(MasterPaid[Customer]=$M$3)*(MasterPaid[Date]=$A270)),COUNTIFS($A$6:$A270,$A270,$J$6:$J270,"Payment")),0),0))</f>
        <v/>
      </c>
      <c r="G270" s="331"/>
      <c r="H270" s="331"/>
      <c r="I270" s="330" t="str">
        <f t="shared" si="13"/>
        <v/>
      </c>
      <c r="J270" s="318" t="str" cm="1">
        <f t="array" ref="J270">IFERROR(INDEX(_xlfn.ANCHORARRAY($P$6),ROW()-5,3),"")</f>
        <v/>
      </c>
      <c r="K270" s="432" t="str" cm="1">
        <f t="array" ref="K270">IF(OR($A270="",$J270&lt;&gt;"DIESEL"),"",_xlfn.LET(_xlpm.qty,N($C270),_xlpm.pos,$T$5:$T$54,_xlpm.alo,IF($U$5:$U$54="",0,$U$5:$U$54),_xlpm.usd,SUMIFS($C$6:$C269,$K$6:$K269,_xlpm.pos&amp;""),_xlpm.bal,_xlpm.alo-_xlpm.usd,IFERROR(INDEX(_xlfn._xlws.FILTER(_xlpm.pos,(_xlpm.pos&lt;&gt;"")*(_xlpm.qty&gt;0)*(_xlpm.bal&gt;=_xlpm.qty)),1),"")))</f>
        <v/>
      </c>
      <c r="L270" s="290"/>
    </row>
    <row r="271" spans="1:12" ht="23" x14ac:dyDescent="0.25">
      <c r="A271" s="221" t="str" cm="1">
        <f t="array" ref="A271">IFERROR(INDEX(_xlfn.ANCHORARRAY($P$6),ROW()-5,1),"")</f>
        <v/>
      </c>
      <c r="B271" s="317" t="str" cm="1">
        <f t="array" ref="B271">IFERROR(INDEX(_xlfn.ANCHORARRAY($P$6),ROW()-5,2),"")</f>
        <v/>
      </c>
      <c r="C271" s="222" t="str">
        <f>IF($A271="","",IF($J271="DIESEL",SUMIFS(Table1[Quantity],Table1[Customer],$M$3,Table1[Date],$A271,Table1[Bill No.],$B271),IF($J271="PETROL",SUMIFS(Table14[Quantity],Table14[Customer],$M$3,Table14[Date],$A271,Table14[Bill No.],$B271),IF($J271="XtraGreen",SUMIFS(Table146[Quantity],Table146[Company],$M$3,Table146[Date],$A271,Table146[Bill No.],$B271),""))))</f>
        <v/>
      </c>
      <c r="D271" s="223" t="str">
        <f>IF($A271="","",IF($J271="DIESEL",AVERAGEIFS(Table1[RSP],Table1[Customer],$M$3,Table1[Date],$A271,Table1[Bill No.],$B271),IF($J271="PETROL",AVERAGEIFS(Table14[RSP],Table14[Customer],$M$3,Table14[Date],$A271,Table14[Bill No.],$B271),IF($J271="XtraGreen",AVERAGEIFS(Table146[RSP],Table146[Company],$M$3,Table146[Date],$A271,Table146[Bill No.],$B271),IFERROR($E271/$C271,"")))))</f>
        <v/>
      </c>
      <c r="E271" s="330" t="str">
        <f>IF($A271="","",IF($J271="DIESEL",SUMIFS(Table1[Amount],Table1[Customer],$M$3,Table1[Date],$A271,Table1[Bill No.],$B271),IF($J271="PETROL",SUMIFS(Table14[Amount],Table14[Customer],$M$3,Table14[Date],$A271,Table14[Bill No.],$B271),IF($J271="XtraGreen",SUMIFS(Table146[Amount],Table146[Company],$M$3,Table146[Date],$A271,Table146[Bill No.],$B271),SUMIFS('Other Sale'!$D:$D,'Other Sale'!$E:$E,$M$3,'Other Sale'!$C:$C,$J271,'Other Sale'!$A:$A,$A271)))))</f>
        <v/>
      </c>
      <c r="F271" s="330" t="str" cm="1">
        <f t="array" ref="F271">IF($A271="","",IF($J271="Payment",IFERROR(INDEX(_xlfn._xlws.FILTER(MasterPaid[Amount Paid],(MasterPaid[Customer]=$M$3)*(MasterPaid[Date]=$A271)),COUNTIFS($A$6:$A271,$A271,$J$6:$J271,"Payment")),0),0))</f>
        <v/>
      </c>
      <c r="G271" s="331"/>
      <c r="H271" s="331"/>
      <c r="I271" s="330" t="str">
        <f t="shared" si="13"/>
        <v/>
      </c>
      <c r="J271" s="318" t="str" cm="1">
        <f t="array" ref="J271">IFERROR(INDEX(_xlfn.ANCHORARRAY($P$6),ROW()-5,3),"")</f>
        <v/>
      </c>
      <c r="K271" s="432" t="str" cm="1">
        <f t="array" ref="K271">IF(OR($A271="",$J271&lt;&gt;"DIESEL"),"",_xlfn.LET(_xlpm.qty,N($C271),_xlpm.pos,$T$5:$T$54,_xlpm.alo,IF($U$5:$U$54="",0,$U$5:$U$54),_xlpm.usd,SUMIFS($C$6:$C270,$K$6:$K270,_xlpm.pos&amp;""),_xlpm.bal,_xlpm.alo-_xlpm.usd,IFERROR(INDEX(_xlfn._xlws.FILTER(_xlpm.pos,(_xlpm.pos&lt;&gt;"")*(_xlpm.qty&gt;0)*(_xlpm.bal&gt;=_xlpm.qty)),1),"")))</f>
        <v/>
      </c>
      <c r="L271" s="290"/>
    </row>
    <row r="272" spans="1:12" ht="23" x14ac:dyDescent="0.25">
      <c r="A272" s="221" t="str" cm="1">
        <f t="array" ref="A272">IFERROR(INDEX(_xlfn.ANCHORARRAY($P$6),ROW()-5,1),"")</f>
        <v/>
      </c>
      <c r="B272" s="317" t="str" cm="1">
        <f t="array" ref="B272">IFERROR(INDEX(_xlfn.ANCHORARRAY($P$6),ROW()-5,2),"")</f>
        <v/>
      </c>
      <c r="C272" s="222" t="str">
        <f>IF($A272="","",IF($J272="DIESEL",SUMIFS(Table1[Quantity],Table1[Customer],$M$3,Table1[Date],$A272,Table1[Bill No.],$B272),IF($J272="PETROL",SUMIFS(Table14[Quantity],Table14[Customer],$M$3,Table14[Date],$A272,Table14[Bill No.],$B272),IF($J272="XtraGreen",SUMIFS(Table146[Quantity],Table146[Company],$M$3,Table146[Date],$A272,Table146[Bill No.],$B272),""))))</f>
        <v/>
      </c>
      <c r="D272" s="223" t="str">
        <f>IF($A272="","",IF($J272="DIESEL",AVERAGEIFS(Table1[RSP],Table1[Customer],$M$3,Table1[Date],$A272,Table1[Bill No.],$B272),IF($J272="PETROL",AVERAGEIFS(Table14[RSP],Table14[Customer],$M$3,Table14[Date],$A272,Table14[Bill No.],$B272),IF($J272="XtraGreen",AVERAGEIFS(Table146[RSP],Table146[Company],$M$3,Table146[Date],$A272,Table146[Bill No.],$B272),IFERROR($E272/$C272,"")))))</f>
        <v/>
      </c>
      <c r="E272" s="330" t="str">
        <f>IF($A272="","",IF($J272="DIESEL",SUMIFS(Table1[Amount],Table1[Customer],$M$3,Table1[Date],$A272,Table1[Bill No.],$B272),IF($J272="PETROL",SUMIFS(Table14[Amount],Table14[Customer],$M$3,Table14[Date],$A272,Table14[Bill No.],$B272),IF($J272="XtraGreen",SUMIFS(Table146[Amount],Table146[Company],$M$3,Table146[Date],$A272,Table146[Bill No.],$B272),SUMIFS('Other Sale'!$D:$D,'Other Sale'!$E:$E,$M$3,'Other Sale'!$C:$C,$J272,'Other Sale'!$A:$A,$A272)))))</f>
        <v/>
      </c>
      <c r="F272" s="330" t="str" cm="1">
        <f t="array" ref="F272">IF($A272="","",IF($J272="Payment",IFERROR(INDEX(_xlfn._xlws.FILTER(MasterPaid[Amount Paid],(MasterPaid[Customer]=$M$3)*(MasterPaid[Date]=$A272)),COUNTIFS($A$6:$A272,$A272,$J$6:$J272,"Payment")),0),0))</f>
        <v/>
      </c>
      <c r="G272" s="331"/>
      <c r="H272" s="331"/>
      <c r="I272" s="330" t="str">
        <f t="shared" si="13"/>
        <v/>
      </c>
      <c r="J272" s="318" t="str" cm="1">
        <f t="array" ref="J272">IFERROR(INDEX(_xlfn.ANCHORARRAY($P$6),ROW()-5,3),"")</f>
        <v/>
      </c>
      <c r="K272" s="432" t="str" cm="1">
        <f t="array" ref="K272">IF(OR($A272="",$J272&lt;&gt;"DIESEL"),"",_xlfn.LET(_xlpm.qty,N($C272),_xlpm.pos,$T$5:$T$54,_xlpm.alo,IF($U$5:$U$54="",0,$U$5:$U$54),_xlpm.usd,SUMIFS($C$6:$C271,$K$6:$K271,_xlpm.pos&amp;""),_xlpm.bal,_xlpm.alo-_xlpm.usd,IFERROR(INDEX(_xlfn._xlws.FILTER(_xlpm.pos,(_xlpm.pos&lt;&gt;"")*(_xlpm.qty&gt;0)*(_xlpm.bal&gt;=_xlpm.qty)),1),"")))</f>
        <v/>
      </c>
      <c r="L272" s="290"/>
    </row>
    <row r="273" spans="1:12" ht="23" x14ac:dyDescent="0.25">
      <c r="A273" s="221" t="str" cm="1">
        <f t="array" ref="A273">IFERROR(INDEX(_xlfn.ANCHORARRAY($P$6),ROW()-5,1),"")</f>
        <v/>
      </c>
      <c r="B273" s="317" t="str" cm="1">
        <f t="array" ref="B273">IFERROR(INDEX(_xlfn.ANCHORARRAY($P$6),ROW()-5,2),"")</f>
        <v/>
      </c>
      <c r="C273" s="222" t="str">
        <f>IF($A273="","",IF($J273="DIESEL",SUMIFS(Table1[Quantity],Table1[Customer],$M$3,Table1[Date],$A273,Table1[Bill No.],$B273),IF($J273="PETROL",SUMIFS(Table14[Quantity],Table14[Customer],$M$3,Table14[Date],$A273,Table14[Bill No.],$B273),IF($J273="XtraGreen",SUMIFS(Table146[Quantity],Table146[Company],$M$3,Table146[Date],$A273,Table146[Bill No.],$B273),""))))</f>
        <v/>
      </c>
      <c r="D273" s="223" t="str">
        <f>IF($A273="","",IF($J273="DIESEL",AVERAGEIFS(Table1[RSP],Table1[Customer],$M$3,Table1[Date],$A273,Table1[Bill No.],$B273),IF($J273="PETROL",AVERAGEIFS(Table14[RSP],Table14[Customer],$M$3,Table14[Date],$A273,Table14[Bill No.],$B273),IF($J273="XtraGreen",AVERAGEIFS(Table146[RSP],Table146[Company],$M$3,Table146[Date],$A273,Table146[Bill No.],$B273),IFERROR($E273/$C273,"")))))</f>
        <v/>
      </c>
      <c r="E273" s="330" t="str">
        <f>IF($A273="","",IF($J273="DIESEL",SUMIFS(Table1[Amount],Table1[Customer],$M$3,Table1[Date],$A273,Table1[Bill No.],$B273),IF($J273="PETROL",SUMIFS(Table14[Amount],Table14[Customer],$M$3,Table14[Date],$A273,Table14[Bill No.],$B273),IF($J273="XtraGreen",SUMIFS(Table146[Amount],Table146[Company],$M$3,Table146[Date],$A273,Table146[Bill No.],$B273),SUMIFS('Other Sale'!$D:$D,'Other Sale'!$E:$E,$M$3,'Other Sale'!$C:$C,$J273,'Other Sale'!$A:$A,$A273)))))</f>
        <v/>
      </c>
      <c r="F273" s="330" t="str" cm="1">
        <f t="array" ref="F273">IF($A273="","",IF($J273="Payment",IFERROR(INDEX(_xlfn._xlws.FILTER(MasterPaid[Amount Paid],(MasterPaid[Customer]=$M$3)*(MasterPaid[Date]=$A273)),COUNTIFS($A$6:$A273,$A273,$J$6:$J273,"Payment")),0),0))</f>
        <v/>
      </c>
      <c r="G273" s="331"/>
      <c r="H273" s="331"/>
      <c r="I273" s="330" t="str">
        <f t="shared" si="13"/>
        <v/>
      </c>
      <c r="J273" s="318" t="str" cm="1">
        <f t="array" ref="J273">IFERROR(INDEX(_xlfn.ANCHORARRAY($P$6),ROW()-5,3),"")</f>
        <v/>
      </c>
      <c r="K273" s="432" t="str" cm="1">
        <f t="array" ref="K273">IF(OR($A273="",$J273&lt;&gt;"DIESEL"),"",_xlfn.LET(_xlpm.qty,N($C273),_xlpm.pos,$T$5:$T$54,_xlpm.alo,IF($U$5:$U$54="",0,$U$5:$U$54),_xlpm.usd,SUMIFS($C$6:$C272,$K$6:$K272,_xlpm.pos&amp;""),_xlpm.bal,_xlpm.alo-_xlpm.usd,IFERROR(INDEX(_xlfn._xlws.FILTER(_xlpm.pos,(_xlpm.pos&lt;&gt;"")*(_xlpm.qty&gt;0)*(_xlpm.bal&gt;=_xlpm.qty)),1),"")))</f>
        <v/>
      </c>
      <c r="L273" s="290"/>
    </row>
    <row r="274" spans="1:12" ht="23" x14ac:dyDescent="0.25">
      <c r="A274" s="221" t="str" cm="1">
        <f t="array" ref="A274">IFERROR(INDEX(_xlfn.ANCHORARRAY($P$6),ROW()-5,1),"")</f>
        <v/>
      </c>
      <c r="B274" s="317" t="str" cm="1">
        <f t="array" ref="B274">IFERROR(INDEX(_xlfn.ANCHORARRAY($P$6),ROW()-5,2),"")</f>
        <v/>
      </c>
      <c r="C274" s="222" t="str">
        <f>IF($A274="","",IF($J274="DIESEL",SUMIFS(Table1[Quantity],Table1[Customer],$M$3,Table1[Date],$A274,Table1[Bill No.],$B274),IF($J274="PETROL",SUMIFS(Table14[Quantity],Table14[Customer],$M$3,Table14[Date],$A274,Table14[Bill No.],$B274),IF($J274="XtraGreen",SUMIFS(Table146[Quantity],Table146[Company],$M$3,Table146[Date],$A274,Table146[Bill No.],$B274),""))))</f>
        <v/>
      </c>
      <c r="D274" s="223" t="str">
        <f>IF($A274="","",IF($J274="DIESEL",AVERAGEIFS(Table1[RSP],Table1[Customer],$M$3,Table1[Date],$A274,Table1[Bill No.],$B274),IF($J274="PETROL",AVERAGEIFS(Table14[RSP],Table14[Customer],$M$3,Table14[Date],$A274,Table14[Bill No.],$B274),IF($J274="XtraGreen",AVERAGEIFS(Table146[RSP],Table146[Company],$M$3,Table146[Date],$A274,Table146[Bill No.],$B274),IFERROR($E274/$C274,"")))))</f>
        <v/>
      </c>
      <c r="E274" s="330" t="str">
        <f>IF($A274="","",IF($J274="DIESEL",SUMIFS(Table1[Amount],Table1[Customer],$M$3,Table1[Date],$A274,Table1[Bill No.],$B274),IF($J274="PETROL",SUMIFS(Table14[Amount],Table14[Customer],$M$3,Table14[Date],$A274,Table14[Bill No.],$B274),IF($J274="XtraGreen",SUMIFS(Table146[Amount],Table146[Company],$M$3,Table146[Date],$A274,Table146[Bill No.],$B274),SUMIFS('Other Sale'!$D:$D,'Other Sale'!$E:$E,$M$3,'Other Sale'!$C:$C,$J274,'Other Sale'!$A:$A,$A274)))))</f>
        <v/>
      </c>
      <c r="F274" s="330" t="str" cm="1">
        <f t="array" ref="F274">IF($A274="","",IF($J274="Payment",IFERROR(INDEX(_xlfn._xlws.FILTER(MasterPaid[Amount Paid],(MasterPaid[Customer]=$M$3)*(MasterPaid[Date]=$A274)),COUNTIFS($A$6:$A274,$A274,$J$6:$J274,"Payment")),0),0))</f>
        <v/>
      </c>
      <c r="G274" s="331"/>
      <c r="H274" s="331"/>
      <c r="I274" s="330" t="str">
        <f t="shared" si="13"/>
        <v/>
      </c>
      <c r="J274" s="318" t="str" cm="1">
        <f t="array" ref="J274">IFERROR(INDEX(_xlfn.ANCHORARRAY($P$6),ROW()-5,3),"")</f>
        <v/>
      </c>
      <c r="K274" s="432" t="str" cm="1">
        <f t="array" ref="K274">IF(OR($A274="",$J274&lt;&gt;"DIESEL"),"",_xlfn.LET(_xlpm.qty,N($C274),_xlpm.pos,$T$5:$T$54,_xlpm.alo,IF($U$5:$U$54="",0,$U$5:$U$54),_xlpm.usd,SUMIFS($C$6:$C273,$K$6:$K273,_xlpm.pos&amp;""),_xlpm.bal,_xlpm.alo-_xlpm.usd,IFERROR(INDEX(_xlfn._xlws.FILTER(_xlpm.pos,(_xlpm.pos&lt;&gt;"")*(_xlpm.qty&gt;0)*(_xlpm.bal&gt;=_xlpm.qty)),1),"")))</f>
        <v/>
      </c>
      <c r="L274" s="290"/>
    </row>
    <row r="275" spans="1:12" ht="23" x14ac:dyDescent="0.25">
      <c r="A275" s="221" t="str" cm="1">
        <f t="array" ref="A275">IFERROR(INDEX(_xlfn.ANCHORARRAY($P$6),ROW()-5,1),"")</f>
        <v/>
      </c>
      <c r="B275" s="317" t="str" cm="1">
        <f t="array" ref="B275">IFERROR(INDEX(_xlfn.ANCHORARRAY($P$6),ROW()-5,2),"")</f>
        <v/>
      </c>
      <c r="C275" s="222" t="str">
        <f>IF($A275="","",IF($J275="DIESEL",SUMIFS(Table1[Quantity],Table1[Customer],$M$3,Table1[Date],$A275,Table1[Bill No.],$B275),IF($J275="PETROL",SUMIFS(Table14[Quantity],Table14[Customer],$M$3,Table14[Date],$A275,Table14[Bill No.],$B275),IF($J275="XtraGreen",SUMIFS(Table146[Quantity],Table146[Company],$M$3,Table146[Date],$A275,Table146[Bill No.],$B275),""))))</f>
        <v/>
      </c>
      <c r="D275" s="223" t="str">
        <f>IF($A275="","",IF($J275="DIESEL",AVERAGEIFS(Table1[RSP],Table1[Customer],$M$3,Table1[Date],$A275,Table1[Bill No.],$B275),IF($J275="PETROL",AVERAGEIFS(Table14[RSP],Table14[Customer],$M$3,Table14[Date],$A275,Table14[Bill No.],$B275),IF($J275="XtraGreen",AVERAGEIFS(Table146[RSP],Table146[Company],$M$3,Table146[Date],$A275,Table146[Bill No.],$B275),IFERROR($E275/$C275,"")))))</f>
        <v/>
      </c>
      <c r="E275" s="330" t="str">
        <f>IF($A275="","",IF($J275="DIESEL",SUMIFS(Table1[Amount],Table1[Customer],$M$3,Table1[Date],$A275,Table1[Bill No.],$B275),IF($J275="PETROL",SUMIFS(Table14[Amount],Table14[Customer],$M$3,Table14[Date],$A275,Table14[Bill No.],$B275),IF($J275="XtraGreen",SUMIFS(Table146[Amount],Table146[Company],$M$3,Table146[Date],$A275,Table146[Bill No.],$B275),SUMIFS('Other Sale'!$D:$D,'Other Sale'!$E:$E,$M$3,'Other Sale'!$C:$C,$J275,'Other Sale'!$A:$A,$A275)))))</f>
        <v/>
      </c>
      <c r="F275" s="330" t="str" cm="1">
        <f t="array" ref="F275">IF($A275="","",IF($J275="Payment",IFERROR(INDEX(_xlfn._xlws.FILTER(MasterPaid[Amount Paid],(MasterPaid[Customer]=$M$3)*(MasterPaid[Date]=$A275)),COUNTIFS($A$6:$A275,$A275,$J$6:$J275,"Payment")),0),0))</f>
        <v/>
      </c>
      <c r="G275" s="331"/>
      <c r="H275" s="331"/>
      <c r="I275" s="330" t="str">
        <f t="shared" si="13"/>
        <v/>
      </c>
      <c r="J275" s="318" t="str" cm="1">
        <f t="array" ref="J275">IFERROR(INDEX(_xlfn.ANCHORARRAY($P$6),ROW()-5,3),"")</f>
        <v/>
      </c>
      <c r="K275" s="432" t="str" cm="1">
        <f t="array" ref="K275">IF(OR($A275="",$J275&lt;&gt;"DIESEL"),"",_xlfn.LET(_xlpm.qty,N($C275),_xlpm.pos,$T$5:$T$54,_xlpm.alo,IF($U$5:$U$54="",0,$U$5:$U$54),_xlpm.usd,SUMIFS($C$6:$C274,$K$6:$K274,_xlpm.pos&amp;""),_xlpm.bal,_xlpm.alo-_xlpm.usd,IFERROR(INDEX(_xlfn._xlws.FILTER(_xlpm.pos,(_xlpm.pos&lt;&gt;"")*(_xlpm.qty&gt;0)*(_xlpm.bal&gt;=_xlpm.qty)),1),"")))</f>
        <v/>
      </c>
      <c r="L275" s="290"/>
    </row>
    <row r="276" spans="1:12" ht="23" x14ac:dyDescent="0.25">
      <c r="A276" s="221" t="str" cm="1">
        <f t="array" ref="A276">IFERROR(INDEX(_xlfn.ANCHORARRAY($P$6),ROW()-5,1),"")</f>
        <v/>
      </c>
      <c r="B276" s="317" t="str" cm="1">
        <f t="array" ref="B276">IFERROR(INDEX(_xlfn.ANCHORARRAY($P$6),ROW()-5,2),"")</f>
        <v/>
      </c>
      <c r="C276" s="222" t="str">
        <f>IF($A276="","",IF($J276="DIESEL",SUMIFS(Table1[Quantity],Table1[Customer],$M$3,Table1[Date],$A276,Table1[Bill No.],$B276),IF($J276="PETROL",SUMIFS(Table14[Quantity],Table14[Customer],$M$3,Table14[Date],$A276,Table14[Bill No.],$B276),IF($J276="XtraGreen",SUMIFS(Table146[Quantity],Table146[Company],$M$3,Table146[Date],$A276,Table146[Bill No.],$B276),""))))</f>
        <v/>
      </c>
      <c r="D276" s="223" t="str">
        <f>IF($A276="","",IF($J276="DIESEL",AVERAGEIFS(Table1[RSP],Table1[Customer],$M$3,Table1[Date],$A276,Table1[Bill No.],$B276),IF($J276="PETROL",AVERAGEIFS(Table14[RSP],Table14[Customer],$M$3,Table14[Date],$A276,Table14[Bill No.],$B276),IF($J276="XtraGreen",AVERAGEIFS(Table146[RSP],Table146[Company],$M$3,Table146[Date],$A276,Table146[Bill No.],$B276),IFERROR($E276/$C276,"")))))</f>
        <v/>
      </c>
      <c r="E276" s="330" t="str">
        <f>IF($A276="","",IF($J276="DIESEL",SUMIFS(Table1[Amount],Table1[Customer],$M$3,Table1[Date],$A276,Table1[Bill No.],$B276),IF($J276="PETROL",SUMIFS(Table14[Amount],Table14[Customer],$M$3,Table14[Date],$A276,Table14[Bill No.],$B276),IF($J276="XtraGreen",SUMIFS(Table146[Amount],Table146[Company],$M$3,Table146[Date],$A276,Table146[Bill No.],$B276),SUMIFS('Other Sale'!$D:$D,'Other Sale'!$E:$E,$M$3,'Other Sale'!$C:$C,$J276,'Other Sale'!$A:$A,$A276)))))</f>
        <v/>
      </c>
      <c r="F276" s="330" t="str" cm="1">
        <f t="array" ref="F276">IF($A276="","",IF($J276="Payment",IFERROR(INDEX(_xlfn._xlws.FILTER(MasterPaid[Amount Paid],(MasterPaid[Customer]=$M$3)*(MasterPaid[Date]=$A276)),COUNTIFS($A$6:$A276,$A276,$J$6:$J276,"Payment")),0),0))</f>
        <v/>
      </c>
      <c r="G276" s="331"/>
      <c r="H276" s="331"/>
      <c r="I276" s="330" t="str">
        <f t="shared" si="13"/>
        <v/>
      </c>
      <c r="J276" s="318" t="str" cm="1">
        <f t="array" ref="J276">IFERROR(INDEX(_xlfn.ANCHORARRAY($P$6),ROW()-5,3),"")</f>
        <v/>
      </c>
      <c r="K276" s="432" t="str" cm="1">
        <f t="array" ref="K276">IF(OR($A276="",$J276&lt;&gt;"DIESEL"),"",_xlfn.LET(_xlpm.qty,N($C276),_xlpm.pos,$T$5:$T$54,_xlpm.alo,IF($U$5:$U$54="",0,$U$5:$U$54),_xlpm.usd,SUMIFS($C$6:$C275,$K$6:$K275,_xlpm.pos&amp;""),_xlpm.bal,_xlpm.alo-_xlpm.usd,IFERROR(INDEX(_xlfn._xlws.FILTER(_xlpm.pos,(_xlpm.pos&lt;&gt;"")*(_xlpm.qty&gt;0)*(_xlpm.bal&gt;=_xlpm.qty)),1),"")))</f>
        <v/>
      </c>
      <c r="L276" s="290"/>
    </row>
    <row r="277" spans="1:12" ht="23" x14ac:dyDescent="0.25">
      <c r="A277" s="221" t="str" cm="1">
        <f t="array" ref="A277">IFERROR(INDEX(_xlfn.ANCHORARRAY($P$6),ROW()-5,1),"")</f>
        <v/>
      </c>
      <c r="B277" s="317" t="str" cm="1">
        <f t="array" ref="B277">IFERROR(INDEX(_xlfn.ANCHORARRAY($P$6),ROW()-5,2),"")</f>
        <v/>
      </c>
      <c r="C277" s="222" t="str">
        <f>IF($A277="","",IF($J277="DIESEL",SUMIFS(Table1[Quantity],Table1[Customer],$M$3,Table1[Date],$A277,Table1[Bill No.],$B277),IF($J277="PETROL",SUMIFS(Table14[Quantity],Table14[Customer],$M$3,Table14[Date],$A277,Table14[Bill No.],$B277),IF($J277="XtraGreen",SUMIFS(Table146[Quantity],Table146[Company],$M$3,Table146[Date],$A277,Table146[Bill No.],$B277),""))))</f>
        <v/>
      </c>
      <c r="D277" s="223" t="str">
        <f>IF($A277="","",IF($J277="DIESEL",AVERAGEIFS(Table1[RSP],Table1[Customer],$M$3,Table1[Date],$A277,Table1[Bill No.],$B277),IF($J277="PETROL",AVERAGEIFS(Table14[RSP],Table14[Customer],$M$3,Table14[Date],$A277,Table14[Bill No.],$B277),IF($J277="XtraGreen",AVERAGEIFS(Table146[RSP],Table146[Company],$M$3,Table146[Date],$A277,Table146[Bill No.],$B277),IFERROR($E277/$C277,"")))))</f>
        <v/>
      </c>
      <c r="E277" s="330" t="str">
        <f>IF($A277="","",IF($J277="DIESEL",SUMIFS(Table1[Amount],Table1[Customer],$M$3,Table1[Date],$A277,Table1[Bill No.],$B277),IF($J277="PETROL",SUMIFS(Table14[Amount],Table14[Customer],$M$3,Table14[Date],$A277,Table14[Bill No.],$B277),IF($J277="XtraGreen",SUMIFS(Table146[Amount],Table146[Company],$M$3,Table146[Date],$A277,Table146[Bill No.],$B277),SUMIFS('Other Sale'!$D:$D,'Other Sale'!$E:$E,$M$3,'Other Sale'!$C:$C,$J277,'Other Sale'!$A:$A,$A277)))))</f>
        <v/>
      </c>
      <c r="F277" s="330" t="str" cm="1">
        <f t="array" ref="F277">IF($A277="","",IF($J277="Payment",IFERROR(INDEX(_xlfn._xlws.FILTER(MasterPaid[Amount Paid],(MasterPaid[Customer]=$M$3)*(MasterPaid[Date]=$A277)),COUNTIFS($A$6:$A277,$A277,$J$6:$J277,"Payment")),0),0))</f>
        <v/>
      </c>
      <c r="G277" s="331"/>
      <c r="H277" s="331"/>
      <c r="I277" s="330" t="str">
        <f t="shared" si="13"/>
        <v/>
      </c>
      <c r="J277" s="318" t="str" cm="1">
        <f t="array" ref="J277">IFERROR(INDEX(_xlfn.ANCHORARRAY($P$6),ROW()-5,3),"")</f>
        <v/>
      </c>
      <c r="K277" s="432" t="str" cm="1">
        <f t="array" ref="K277">IF(OR($A277="",$J277&lt;&gt;"DIESEL"),"",_xlfn.LET(_xlpm.qty,N($C277),_xlpm.pos,$T$5:$T$54,_xlpm.alo,IF($U$5:$U$54="",0,$U$5:$U$54),_xlpm.usd,SUMIFS($C$6:$C276,$K$6:$K276,_xlpm.pos&amp;""),_xlpm.bal,_xlpm.alo-_xlpm.usd,IFERROR(INDEX(_xlfn._xlws.FILTER(_xlpm.pos,(_xlpm.pos&lt;&gt;"")*(_xlpm.qty&gt;0)*(_xlpm.bal&gt;=_xlpm.qty)),1),"")))</f>
        <v/>
      </c>
      <c r="L277" s="290"/>
    </row>
    <row r="278" spans="1:12" ht="23" x14ac:dyDescent="0.25">
      <c r="A278" s="221" t="str" cm="1">
        <f t="array" ref="A278">IFERROR(INDEX(_xlfn.ANCHORARRAY($P$6),ROW()-5,1),"")</f>
        <v/>
      </c>
      <c r="B278" s="317" t="str" cm="1">
        <f t="array" ref="B278">IFERROR(INDEX(_xlfn.ANCHORARRAY($P$6),ROW()-5,2),"")</f>
        <v/>
      </c>
      <c r="C278" s="222" t="str">
        <f>IF($A278="","",IF($J278="DIESEL",SUMIFS(Table1[Quantity],Table1[Customer],$M$3,Table1[Date],$A278,Table1[Bill No.],$B278),IF($J278="PETROL",SUMIFS(Table14[Quantity],Table14[Customer],$M$3,Table14[Date],$A278,Table14[Bill No.],$B278),IF($J278="XtraGreen",SUMIFS(Table146[Quantity],Table146[Company],$M$3,Table146[Date],$A278,Table146[Bill No.],$B278),""))))</f>
        <v/>
      </c>
      <c r="D278" s="223" t="str">
        <f>IF($A278="","",IF($J278="DIESEL",AVERAGEIFS(Table1[RSP],Table1[Customer],$M$3,Table1[Date],$A278,Table1[Bill No.],$B278),IF($J278="PETROL",AVERAGEIFS(Table14[RSP],Table14[Customer],$M$3,Table14[Date],$A278,Table14[Bill No.],$B278),IF($J278="XtraGreen",AVERAGEIFS(Table146[RSP],Table146[Company],$M$3,Table146[Date],$A278,Table146[Bill No.],$B278),IFERROR($E278/$C278,"")))))</f>
        <v/>
      </c>
      <c r="E278" s="330" t="str">
        <f>IF($A278="","",IF($J278="DIESEL",SUMIFS(Table1[Amount],Table1[Customer],$M$3,Table1[Date],$A278,Table1[Bill No.],$B278),IF($J278="PETROL",SUMIFS(Table14[Amount],Table14[Customer],$M$3,Table14[Date],$A278,Table14[Bill No.],$B278),IF($J278="XtraGreen",SUMIFS(Table146[Amount],Table146[Company],$M$3,Table146[Date],$A278,Table146[Bill No.],$B278),SUMIFS('Other Sale'!$D:$D,'Other Sale'!$E:$E,$M$3,'Other Sale'!$C:$C,$J278,'Other Sale'!$A:$A,$A278)))))</f>
        <v/>
      </c>
      <c r="F278" s="330" t="str" cm="1">
        <f t="array" ref="F278">IF($A278="","",IF($J278="Payment",IFERROR(INDEX(_xlfn._xlws.FILTER(MasterPaid[Amount Paid],(MasterPaid[Customer]=$M$3)*(MasterPaid[Date]=$A278)),COUNTIFS($A$6:$A278,$A278,$J$6:$J278,"Payment")),0),0))</f>
        <v/>
      </c>
      <c r="G278" s="331"/>
      <c r="H278" s="331"/>
      <c r="I278" s="330" t="str">
        <f t="shared" ref="I278:I341" si="14">IF($A278="","",I277+N(E278)-N(F278)-N(G278)-N(H278))</f>
        <v/>
      </c>
      <c r="J278" s="318" t="str" cm="1">
        <f t="array" ref="J278">IFERROR(INDEX(_xlfn.ANCHORARRAY($P$6),ROW()-5,3),"")</f>
        <v/>
      </c>
      <c r="K278" s="432" t="str" cm="1">
        <f t="array" ref="K278">IF(OR($A278="",$J278&lt;&gt;"DIESEL"),"",_xlfn.LET(_xlpm.qty,N($C278),_xlpm.pos,$T$5:$T$54,_xlpm.alo,IF($U$5:$U$54="",0,$U$5:$U$54),_xlpm.usd,SUMIFS($C$6:$C277,$K$6:$K277,_xlpm.pos&amp;""),_xlpm.bal,_xlpm.alo-_xlpm.usd,IFERROR(INDEX(_xlfn._xlws.FILTER(_xlpm.pos,(_xlpm.pos&lt;&gt;"")*(_xlpm.qty&gt;0)*(_xlpm.bal&gt;=_xlpm.qty)),1),"")))</f>
        <v/>
      </c>
      <c r="L278" s="290"/>
    </row>
    <row r="279" spans="1:12" ht="23" x14ac:dyDescent="0.25">
      <c r="A279" s="221" t="str" cm="1">
        <f t="array" ref="A279">IFERROR(INDEX(_xlfn.ANCHORARRAY($P$6),ROW()-5,1),"")</f>
        <v/>
      </c>
      <c r="B279" s="317" t="str" cm="1">
        <f t="array" ref="B279">IFERROR(INDEX(_xlfn.ANCHORARRAY($P$6),ROW()-5,2),"")</f>
        <v/>
      </c>
      <c r="C279" s="222" t="str">
        <f>IF($A279="","",IF($J279="DIESEL",SUMIFS(Table1[Quantity],Table1[Customer],$M$3,Table1[Date],$A279,Table1[Bill No.],$B279),IF($J279="PETROL",SUMIFS(Table14[Quantity],Table14[Customer],$M$3,Table14[Date],$A279,Table14[Bill No.],$B279),IF($J279="XtraGreen",SUMIFS(Table146[Quantity],Table146[Company],$M$3,Table146[Date],$A279,Table146[Bill No.],$B279),""))))</f>
        <v/>
      </c>
      <c r="D279" s="223" t="str">
        <f>IF($A279="","",IF($J279="DIESEL",AVERAGEIFS(Table1[RSP],Table1[Customer],$M$3,Table1[Date],$A279,Table1[Bill No.],$B279),IF($J279="PETROL",AVERAGEIFS(Table14[RSP],Table14[Customer],$M$3,Table14[Date],$A279,Table14[Bill No.],$B279),IF($J279="XtraGreen",AVERAGEIFS(Table146[RSP],Table146[Company],$M$3,Table146[Date],$A279,Table146[Bill No.],$B279),IFERROR($E279/$C279,"")))))</f>
        <v/>
      </c>
      <c r="E279" s="330" t="str">
        <f>IF($A279="","",IF($J279="DIESEL",SUMIFS(Table1[Amount],Table1[Customer],$M$3,Table1[Date],$A279,Table1[Bill No.],$B279),IF($J279="PETROL",SUMIFS(Table14[Amount],Table14[Customer],$M$3,Table14[Date],$A279,Table14[Bill No.],$B279),IF($J279="XtraGreen",SUMIFS(Table146[Amount],Table146[Company],$M$3,Table146[Date],$A279,Table146[Bill No.],$B279),SUMIFS('Other Sale'!$D:$D,'Other Sale'!$E:$E,$M$3,'Other Sale'!$C:$C,$J279,'Other Sale'!$A:$A,$A279)))))</f>
        <v/>
      </c>
      <c r="F279" s="330" t="str" cm="1">
        <f t="array" ref="F279">IF($A279="","",IF($J279="Payment",IFERROR(INDEX(_xlfn._xlws.FILTER(MasterPaid[Amount Paid],(MasterPaid[Customer]=$M$3)*(MasterPaid[Date]=$A279)),COUNTIFS($A$6:$A279,$A279,$J$6:$J279,"Payment")),0),0))</f>
        <v/>
      </c>
      <c r="G279" s="331"/>
      <c r="H279" s="331"/>
      <c r="I279" s="330" t="str">
        <f t="shared" si="14"/>
        <v/>
      </c>
      <c r="J279" s="318" t="str" cm="1">
        <f t="array" ref="J279">IFERROR(INDEX(_xlfn.ANCHORARRAY($P$6),ROW()-5,3),"")</f>
        <v/>
      </c>
      <c r="K279" s="432" t="str" cm="1">
        <f t="array" ref="K279">IF(OR($A279="",$J279&lt;&gt;"DIESEL"),"",_xlfn.LET(_xlpm.qty,N($C279),_xlpm.pos,$T$5:$T$54,_xlpm.alo,IF($U$5:$U$54="",0,$U$5:$U$54),_xlpm.usd,SUMIFS($C$6:$C278,$K$6:$K278,_xlpm.pos&amp;""),_xlpm.bal,_xlpm.alo-_xlpm.usd,IFERROR(INDEX(_xlfn._xlws.FILTER(_xlpm.pos,(_xlpm.pos&lt;&gt;"")*(_xlpm.qty&gt;0)*(_xlpm.bal&gt;=_xlpm.qty)),1),"")))</f>
        <v/>
      </c>
      <c r="L279" s="290"/>
    </row>
    <row r="280" spans="1:12" ht="23" x14ac:dyDescent="0.25">
      <c r="A280" s="221" t="str" cm="1">
        <f t="array" ref="A280">IFERROR(INDEX(_xlfn.ANCHORARRAY($P$6),ROW()-5,1),"")</f>
        <v/>
      </c>
      <c r="B280" s="317" t="str" cm="1">
        <f t="array" ref="B280">IFERROR(INDEX(_xlfn.ANCHORARRAY($P$6),ROW()-5,2),"")</f>
        <v/>
      </c>
      <c r="C280" s="222" t="str">
        <f>IF($A280="","",IF($J280="DIESEL",SUMIFS(Table1[Quantity],Table1[Customer],$M$3,Table1[Date],$A280,Table1[Bill No.],$B280),IF($J280="PETROL",SUMIFS(Table14[Quantity],Table14[Customer],$M$3,Table14[Date],$A280,Table14[Bill No.],$B280),IF($J280="XtraGreen",SUMIFS(Table146[Quantity],Table146[Company],$M$3,Table146[Date],$A280,Table146[Bill No.],$B280),""))))</f>
        <v/>
      </c>
      <c r="D280" s="223" t="str">
        <f>IF($A280="","",IF($J280="DIESEL",AVERAGEIFS(Table1[RSP],Table1[Customer],$M$3,Table1[Date],$A280,Table1[Bill No.],$B280),IF($J280="PETROL",AVERAGEIFS(Table14[RSP],Table14[Customer],$M$3,Table14[Date],$A280,Table14[Bill No.],$B280),IF($J280="XtraGreen",AVERAGEIFS(Table146[RSP],Table146[Company],$M$3,Table146[Date],$A280,Table146[Bill No.],$B280),IFERROR($E280/$C280,"")))))</f>
        <v/>
      </c>
      <c r="E280" s="330" t="str">
        <f>IF($A280="","",IF($J280="DIESEL",SUMIFS(Table1[Amount],Table1[Customer],$M$3,Table1[Date],$A280,Table1[Bill No.],$B280),IF($J280="PETROL",SUMIFS(Table14[Amount],Table14[Customer],$M$3,Table14[Date],$A280,Table14[Bill No.],$B280),IF($J280="XtraGreen",SUMIFS(Table146[Amount],Table146[Company],$M$3,Table146[Date],$A280,Table146[Bill No.],$B280),SUMIFS('Other Sale'!$D:$D,'Other Sale'!$E:$E,$M$3,'Other Sale'!$C:$C,$J280,'Other Sale'!$A:$A,$A280)))))</f>
        <v/>
      </c>
      <c r="F280" s="330" t="str" cm="1">
        <f t="array" ref="F280">IF($A280="","",IF($J280="Payment",IFERROR(INDEX(_xlfn._xlws.FILTER(MasterPaid[Amount Paid],(MasterPaid[Customer]=$M$3)*(MasterPaid[Date]=$A280)),COUNTIFS($A$6:$A280,$A280,$J$6:$J280,"Payment")),0),0))</f>
        <v/>
      </c>
      <c r="G280" s="331"/>
      <c r="H280" s="331"/>
      <c r="I280" s="330" t="str">
        <f t="shared" si="14"/>
        <v/>
      </c>
      <c r="J280" s="318" t="str" cm="1">
        <f t="array" ref="J280">IFERROR(INDEX(_xlfn.ANCHORARRAY($P$6),ROW()-5,3),"")</f>
        <v/>
      </c>
      <c r="K280" s="432" t="str" cm="1">
        <f t="array" ref="K280">IF(OR($A280="",$J280&lt;&gt;"DIESEL"),"",_xlfn.LET(_xlpm.qty,N($C280),_xlpm.pos,$T$5:$T$54,_xlpm.alo,IF($U$5:$U$54="",0,$U$5:$U$54),_xlpm.usd,SUMIFS($C$6:$C279,$K$6:$K279,_xlpm.pos&amp;""),_xlpm.bal,_xlpm.alo-_xlpm.usd,IFERROR(INDEX(_xlfn._xlws.FILTER(_xlpm.pos,(_xlpm.pos&lt;&gt;"")*(_xlpm.qty&gt;0)*(_xlpm.bal&gt;=_xlpm.qty)),1),"")))</f>
        <v/>
      </c>
      <c r="L280" s="290"/>
    </row>
    <row r="281" spans="1:12" ht="23" x14ac:dyDescent="0.25">
      <c r="A281" s="221" t="str" cm="1">
        <f t="array" ref="A281">IFERROR(INDEX(_xlfn.ANCHORARRAY($P$6),ROW()-5,1),"")</f>
        <v/>
      </c>
      <c r="B281" s="317" t="str" cm="1">
        <f t="array" ref="B281">IFERROR(INDEX(_xlfn.ANCHORARRAY($P$6),ROW()-5,2),"")</f>
        <v/>
      </c>
      <c r="C281" s="222" t="str">
        <f>IF($A281="","",IF($J281="DIESEL",SUMIFS(Table1[Quantity],Table1[Customer],$M$3,Table1[Date],$A281,Table1[Bill No.],$B281),IF($J281="PETROL",SUMIFS(Table14[Quantity],Table14[Customer],$M$3,Table14[Date],$A281,Table14[Bill No.],$B281),IF($J281="XtraGreen",SUMIFS(Table146[Quantity],Table146[Company],$M$3,Table146[Date],$A281,Table146[Bill No.],$B281),""))))</f>
        <v/>
      </c>
      <c r="D281" s="223" t="str">
        <f>IF($A281="","",IF($J281="DIESEL",AVERAGEIFS(Table1[RSP],Table1[Customer],$M$3,Table1[Date],$A281,Table1[Bill No.],$B281),IF($J281="PETROL",AVERAGEIFS(Table14[RSP],Table14[Customer],$M$3,Table14[Date],$A281,Table14[Bill No.],$B281),IF($J281="XtraGreen",AVERAGEIFS(Table146[RSP],Table146[Company],$M$3,Table146[Date],$A281,Table146[Bill No.],$B281),IFERROR($E281/$C281,"")))))</f>
        <v/>
      </c>
      <c r="E281" s="330" t="str">
        <f>IF($A281="","",IF($J281="DIESEL",SUMIFS(Table1[Amount],Table1[Customer],$M$3,Table1[Date],$A281,Table1[Bill No.],$B281),IF($J281="PETROL",SUMIFS(Table14[Amount],Table14[Customer],$M$3,Table14[Date],$A281,Table14[Bill No.],$B281),IF($J281="XtraGreen",SUMIFS(Table146[Amount],Table146[Company],$M$3,Table146[Date],$A281,Table146[Bill No.],$B281),SUMIFS('Other Sale'!$D:$D,'Other Sale'!$E:$E,$M$3,'Other Sale'!$C:$C,$J281,'Other Sale'!$A:$A,$A281)))))</f>
        <v/>
      </c>
      <c r="F281" s="330" t="str" cm="1">
        <f t="array" ref="F281">IF($A281="","",IF($J281="Payment",IFERROR(INDEX(_xlfn._xlws.FILTER(MasterPaid[Amount Paid],(MasterPaid[Customer]=$M$3)*(MasterPaid[Date]=$A281)),COUNTIFS($A$6:$A281,$A281,$J$6:$J281,"Payment")),0),0))</f>
        <v/>
      </c>
      <c r="G281" s="331"/>
      <c r="H281" s="331"/>
      <c r="I281" s="330" t="str">
        <f t="shared" si="14"/>
        <v/>
      </c>
      <c r="J281" s="318" t="str" cm="1">
        <f t="array" ref="J281">IFERROR(INDEX(_xlfn.ANCHORARRAY($P$6),ROW()-5,3),"")</f>
        <v/>
      </c>
      <c r="K281" s="432" t="str" cm="1">
        <f t="array" ref="K281">IF(OR($A281="",$J281&lt;&gt;"DIESEL"),"",_xlfn.LET(_xlpm.qty,N($C281),_xlpm.pos,$T$5:$T$54,_xlpm.alo,IF($U$5:$U$54="",0,$U$5:$U$54),_xlpm.usd,SUMIFS($C$6:$C280,$K$6:$K280,_xlpm.pos&amp;""),_xlpm.bal,_xlpm.alo-_xlpm.usd,IFERROR(INDEX(_xlfn._xlws.FILTER(_xlpm.pos,(_xlpm.pos&lt;&gt;"")*(_xlpm.qty&gt;0)*(_xlpm.bal&gt;=_xlpm.qty)),1),"")))</f>
        <v/>
      </c>
      <c r="L281" s="290"/>
    </row>
    <row r="282" spans="1:12" ht="23" x14ac:dyDescent="0.25">
      <c r="A282" s="221" t="str" cm="1">
        <f t="array" ref="A282">IFERROR(INDEX(_xlfn.ANCHORARRAY($P$6),ROW()-5,1),"")</f>
        <v/>
      </c>
      <c r="B282" s="317" t="str" cm="1">
        <f t="array" ref="B282">IFERROR(INDEX(_xlfn.ANCHORARRAY($P$6),ROW()-5,2),"")</f>
        <v/>
      </c>
      <c r="C282" s="222" t="str">
        <f>IF($A282="","",IF($J282="DIESEL",SUMIFS(Table1[Quantity],Table1[Customer],$M$3,Table1[Date],$A282,Table1[Bill No.],$B282),IF($J282="PETROL",SUMIFS(Table14[Quantity],Table14[Customer],$M$3,Table14[Date],$A282,Table14[Bill No.],$B282),IF($J282="XtraGreen",SUMIFS(Table146[Quantity],Table146[Company],$M$3,Table146[Date],$A282,Table146[Bill No.],$B282),""))))</f>
        <v/>
      </c>
      <c r="D282" s="223" t="str">
        <f>IF($A282="","",IF($J282="DIESEL",AVERAGEIFS(Table1[RSP],Table1[Customer],$M$3,Table1[Date],$A282,Table1[Bill No.],$B282),IF($J282="PETROL",AVERAGEIFS(Table14[RSP],Table14[Customer],$M$3,Table14[Date],$A282,Table14[Bill No.],$B282),IF($J282="XtraGreen",AVERAGEIFS(Table146[RSP],Table146[Company],$M$3,Table146[Date],$A282,Table146[Bill No.],$B282),IFERROR($E282/$C282,"")))))</f>
        <v/>
      </c>
      <c r="E282" s="330" t="str">
        <f>IF($A282="","",IF($J282="DIESEL",SUMIFS(Table1[Amount],Table1[Customer],$M$3,Table1[Date],$A282,Table1[Bill No.],$B282),IF($J282="PETROL",SUMIFS(Table14[Amount],Table14[Customer],$M$3,Table14[Date],$A282,Table14[Bill No.],$B282),IF($J282="XtraGreen",SUMIFS(Table146[Amount],Table146[Company],$M$3,Table146[Date],$A282,Table146[Bill No.],$B282),SUMIFS('Other Sale'!$D:$D,'Other Sale'!$E:$E,$M$3,'Other Sale'!$C:$C,$J282,'Other Sale'!$A:$A,$A282)))))</f>
        <v/>
      </c>
      <c r="F282" s="330" t="str" cm="1">
        <f t="array" ref="F282">IF($A282="","",IF($J282="Payment",IFERROR(INDEX(_xlfn._xlws.FILTER(MasterPaid[Amount Paid],(MasterPaid[Customer]=$M$3)*(MasterPaid[Date]=$A282)),COUNTIFS($A$6:$A282,$A282,$J$6:$J282,"Payment")),0),0))</f>
        <v/>
      </c>
      <c r="G282" s="331"/>
      <c r="H282" s="331"/>
      <c r="I282" s="330" t="str">
        <f t="shared" si="14"/>
        <v/>
      </c>
      <c r="J282" s="318" t="str" cm="1">
        <f t="array" ref="J282">IFERROR(INDEX(_xlfn.ANCHORARRAY($P$6),ROW()-5,3),"")</f>
        <v/>
      </c>
      <c r="K282" s="432" t="str" cm="1">
        <f t="array" ref="K282">IF(OR($A282="",$J282&lt;&gt;"DIESEL"),"",_xlfn.LET(_xlpm.qty,N($C282),_xlpm.pos,$T$5:$T$54,_xlpm.alo,IF($U$5:$U$54="",0,$U$5:$U$54),_xlpm.usd,SUMIFS($C$6:$C281,$K$6:$K281,_xlpm.pos&amp;""),_xlpm.bal,_xlpm.alo-_xlpm.usd,IFERROR(INDEX(_xlfn._xlws.FILTER(_xlpm.pos,(_xlpm.pos&lt;&gt;"")*(_xlpm.qty&gt;0)*(_xlpm.bal&gt;=_xlpm.qty)),1),"")))</f>
        <v/>
      </c>
      <c r="L282" s="290"/>
    </row>
    <row r="283" spans="1:12" ht="23" x14ac:dyDescent="0.25">
      <c r="A283" s="221" t="str" cm="1">
        <f t="array" ref="A283">IFERROR(INDEX(_xlfn.ANCHORARRAY($P$6),ROW()-5,1),"")</f>
        <v/>
      </c>
      <c r="B283" s="317" t="str" cm="1">
        <f t="array" ref="B283">IFERROR(INDEX(_xlfn.ANCHORARRAY($P$6),ROW()-5,2),"")</f>
        <v/>
      </c>
      <c r="C283" s="222" t="str">
        <f>IF($A283="","",IF($J283="DIESEL",SUMIFS(Table1[Quantity],Table1[Customer],$M$3,Table1[Date],$A283,Table1[Bill No.],$B283),IF($J283="PETROL",SUMIFS(Table14[Quantity],Table14[Customer],$M$3,Table14[Date],$A283,Table14[Bill No.],$B283),IF($J283="XtraGreen",SUMIFS(Table146[Quantity],Table146[Company],$M$3,Table146[Date],$A283,Table146[Bill No.],$B283),""))))</f>
        <v/>
      </c>
      <c r="D283" s="223" t="str">
        <f>IF($A283="","",IF($J283="DIESEL",AVERAGEIFS(Table1[RSP],Table1[Customer],$M$3,Table1[Date],$A283,Table1[Bill No.],$B283),IF($J283="PETROL",AVERAGEIFS(Table14[RSP],Table14[Customer],$M$3,Table14[Date],$A283,Table14[Bill No.],$B283),IF($J283="XtraGreen",AVERAGEIFS(Table146[RSP],Table146[Company],$M$3,Table146[Date],$A283,Table146[Bill No.],$B283),IFERROR($E283/$C283,"")))))</f>
        <v/>
      </c>
      <c r="E283" s="330" t="str">
        <f>IF($A283="","",IF($J283="DIESEL",SUMIFS(Table1[Amount],Table1[Customer],$M$3,Table1[Date],$A283,Table1[Bill No.],$B283),IF($J283="PETROL",SUMIFS(Table14[Amount],Table14[Customer],$M$3,Table14[Date],$A283,Table14[Bill No.],$B283),IF($J283="XtraGreen",SUMIFS(Table146[Amount],Table146[Company],$M$3,Table146[Date],$A283,Table146[Bill No.],$B283),SUMIFS('Other Sale'!$D:$D,'Other Sale'!$E:$E,$M$3,'Other Sale'!$C:$C,$J283,'Other Sale'!$A:$A,$A283)))))</f>
        <v/>
      </c>
      <c r="F283" s="330" t="str" cm="1">
        <f t="array" ref="F283">IF($A283="","",IF($J283="Payment",IFERROR(INDEX(_xlfn._xlws.FILTER(MasterPaid[Amount Paid],(MasterPaid[Customer]=$M$3)*(MasterPaid[Date]=$A283)),COUNTIFS($A$6:$A283,$A283,$J$6:$J283,"Payment")),0),0))</f>
        <v/>
      </c>
      <c r="G283" s="331"/>
      <c r="H283" s="331"/>
      <c r="I283" s="330" t="str">
        <f t="shared" si="14"/>
        <v/>
      </c>
      <c r="J283" s="318" t="str" cm="1">
        <f t="array" ref="J283">IFERROR(INDEX(_xlfn.ANCHORARRAY($P$6),ROW()-5,3),"")</f>
        <v/>
      </c>
      <c r="K283" s="432" t="str" cm="1">
        <f t="array" ref="K283">IF(OR($A283="",$J283&lt;&gt;"DIESEL"),"",_xlfn.LET(_xlpm.qty,N($C283),_xlpm.pos,$T$5:$T$54,_xlpm.alo,IF($U$5:$U$54="",0,$U$5:$U$54),_xlpm.usd,SUMIFS($C$6:$C282,$K$6:$K282,_xlpm.pos&amp;""),_xlpm.bal,_xlpm.alo-_xlpm.usd,IFERROR(INDEX(_xlfn._xlws.FILTER(_xlpm.pos,(_xlpm.pos&lt;&gt;"")*(_xlpm.qty&gt;0)*(_xlpm.bal&gt;=_xlpm.qty)),1),"")))</f>
        <v/>
      </c>
      <c r="L283" s="290"/>
    </row>
    <row r="284" spans="1:12" ht="23" x14ac:dyDescent="0.25">
      <c r="A284" s="221" t="str" cm="1">
        <f t="array" ref="A284">IFERROR(INDEX(_xlfn.ANCHORARRAY($P$6),ROW()-5,1),"")</f>
        <v/>
      </c>
      <c r="B284" s="317" t="str" cm="1">
        <f t="array" ref="B284">IFERROR(INDEX(_xlfn.ANCHORARRAY($P$6),ROW()-5,2),"")</f>
        <v/>
      </c>
      <c r="C284" s="222" t="str">
        <f>IF($A284="","",IF($J284="DIESEL",SUMIFS(Table1[Quantity],Table1[Customer],$M$3,Table1[Date],$A284,Table1[Bill No.],$B284),IF($J284="PETROL",SUMIFS(Table14[Quantity],Table14[Customer],$M$3,Table14[Date],$A284,Table14[Bill No.],$B284),IF($J284="XtraGreen",SUMIFS(Table146[Quantity],Table146[Company],$M$3,Table146[Date],$A284,Table146[Bill No.],$B284),""))))</f>
        <v/>
      </c>
      <c r="D284" s="223" t="str">
        <f>IF($A284="","",IF($J284="DIESEL",AVERAGEIFS(Table1[RSP],Table1[Customer],$M$3,Table1[Date],$A284,Table1[Bill No.],$B284),IF($J284="PETROL",AVERAGEIFS(Table14[RSP],Table14[Customer],$M$3,Table14[Date],$A284,Table14[Bill No.],$B284),IF($J284="XtraGreen",AVERAGEIFS(Table146[RSP],Table146[Company],$M$3,Table146[Date],$A284,Table146[Bill No.],$B284),IFERROR($E284/$C284,"")))))</f>
        <v/>
      </c>
      <c r="E284" s="330" t="str">
        <f>IF($A284="","",IF($J284="DIESEL",SUMIFS(Table1[Amount],Table1[Customer],$M$3,Table1[Date],$A284,Table1[Bill No.],$B284),IF($J284="PETROL",SUMIFS(Table14[Amount],Table14[Customer],$M$3,Table14[Date],$A284,Table14[Bill No.],$B284),IF($J284="XtraGreen",SUMIFS(Table146[Amount],Table146[Company],$M$3,Table146[Date],$A284,Table146[Bill No.],$B284),SUMIFS('Other Sale'!$D:$D,'Other Sale'!$E:$E,$M$3,'Other Sale'!$C:$C,$J284,'Other Sale'!$A:$A,$A284)))))</f>
        <v/>
      </c>
      <c r="F284" s="330" t="str" cm="1">
        <f t="array" ref="F284">IF($A284="","",IF($J284="Payment",IFERROR(INDEX(_xlfn._xlws.FILTER(MasterPaid[Amount Paid],(MasterPaid[Customer]=$M$3)*(MasterPaid[Date]=$A284)),COUNTIFS($A$6:$A284,$A284,$J$6:$J284,"Payment")),0),0))</f>
        <v/>
      </c>
      <c r="G284" s="331"/>
      <c r="H284" s="331"/>
      <c r="I284" s="330" t="str">
        <f t="shared" si="14"/>
        <v/>
      </c>
      <c r="J284" s="318" t="str" cm="1">
        <f t="array" ref="J284">IFERROR(INDEX(_xlfn.ANCHORARRAY($P$6),ROW()-5,3),"")</f>
        <v/>
      </c>
      <c r="K284" s="432" t="str" cm="1">
        <f t="array" ref="K284">IF(OR($A284="",$J284&lt;&gt;"DIESEL"),"",_xlfn.LET(_xlpm.qty,N($C284),_xlpm.pos,$T$5:$T$54,_xlpm.alo,IF($U$5:$U$54="",0,$U$5:$U$54),_xlpm.usd,SUMIFS($C$6:$C283,$K$6:$K283,_xlpm.pos&amp;""),_xlpm.bal,_xlpm.alo-_xlpm.usd,IFERROR(INDEX(_xlfn._xlws.FILTER(_xlpm.pos,(_xlpm.pos&lt;&gt;"")*(_xlpm.qty&gt;0)*(_xlpm.bal&gt;=_xlpm.qty)),1),"")))</f>
        <v/>
      </c>
      <c r="L284" s="290"/>
    </row>
    <row r="285" spans="1:12" ht="23" x14ac:dyDescent="0.25">
      <c r="A285" s="221" t="str" cm="1">
        <f t="array" ref="A285">IFERROR(INDEX(_xlfn.ANCHORARRAY($P$6),ROW()-5,1),"")</f>
        <v/>
      </c>
      <c r="B285" s="317" t="str" cm="1">
        <f t="array" ref="B285">IFERROR(INDEX(_xlfn.ANCHORARRAY($P$6),ROW()-5,2),"")</f>
        <v/>
      </c>
      <c r="C285" s="222" t="str">
        <f>IF($A285="","",IF($J285="DIESEL",SUMIFS(Table1[Quantity],Table1[Customer],$M$3,Table1[Date],$A285,Table1[Bill No.],$B285),IF($J285="PETROL",SUMIFS(Table14[Quantity],Table14[Customer],$M$3,Table14[Date],$A285,Table14[Bill No.],$B285),IF($J285="XtraGreen",SUMIFS(Table146[Quantity],Table146[Company],$M$3,Table146[Date],$A285,Table146[Bill No.],$B285),""))))</f>
        <v/>
      </c>
      <c r="D285" s="223" t="str">
        <f>IF($A285="","",IF($J285="DIESEL",AVERAGEIFS(Table1[RSP],Table1[Customer],$M$3,Table1[Date],$A285,Table1[Bill No.],$B285),IF($J285="PETROL",AVERAGEIFS(Table14[RSP],Table14[Customer],$M$3,Table14[Date],$A285,Table14[Bill No.],$B285),IF($J285="XtraGreen",AVERAGEIFS(Table146[RSP],Table146[Company],$M$3,Table146[Date],$A285,Table146[Bill No.],$B285),IFERROR($E285/$C285,"")))))</f>
        <v/>
      </c>
      <c r="E285" s="330" t="str">
        <f>IF($A285="","",IF($J285="DIESEL",SUMIFS(Table1[Amount],Table1[Customer],$M$3,Table1[Date],$A285,Table1[Bill No.],$B285),IF($J285="PETROL",SUMIFS(Table14[Amount],Table14[Customer],$M$3,Table14[Date],$A285,Table14[Bill No.],$B285),IF($J285="XtraGreen",SUMIFS(Table146[Amount],Table146[Company],$M$3,Table146[Date],$A285,Table146[Bill No.],$B285),SUMIFS('Other Sale'!$D:$D,'Other Sale'!$E:$E,$M$3,'Other Sale'!$C:$C,$J285,'Other Sale'!$A:$A,$A285)))))</f>
        <v/>
      </c>
      <c r="F285" s="330" t="str" cm="1">
        <f t="array" ref="F285">IF($A285="","",IF($J285="Payment",IFERROR(INDEX(_xlfn._xlws.FILTER(MasterPaid[Amount Paid],(MasterPaid[Customer]=$M$3)*(MasterPaid[Date]=$A285)),COUNTIFS($A$6:$A285,$A285,$J$6:$J285,"Payment")),0),0))</f>
        <v/>
      </c>
      <c r="G285" s="331"/>
      <c r="H285" s="331"/>
      <c r="I285" s="330" t="str">
        <f t="shared" si="14"/>
        <v/>
      </c>
      <c r="J285" s="318" t="str" cm="1">
        <f t="array" ref="J285">IFERROR(INDEX(_xlfn.ANCHORARRAY($P$6),ROW()-5,3),"")</f>
        <v/>
      </c>
      <c r="K285" s="432" t="str" cm="1">
        <f t="array" ref="K285">IF(OR($A285="",$J285&lt;&gt;"DIESEL"),"",_xlfn.LET(_xlpm.qty,N($C285),_xlpm.pos,$T$5:$T$54,_xlpm.alo,IF($U$5:$U$54="",0,$U$5:$U$54),_xlpm.usd,SUMIFS($C$6:$C284,$K$6:$K284,_xlpm.pos&amp;""),_xlpm.bal,_xlpm.alo-_xlpm.usd,IFERROR(INDEX(_xlfn._xlws.FILTER(_xlpm.pos,(_xlpm.pos&lt;&gt;"")*(_xlpm.qty&gt;0)*(_xlpm.bal&gt;=_xlpm.qty)),1),"")))</f>
        <v/>
      </c>
      <c r="L285" s="290"/>
    </row>
    <row r="286" spans="1:12" ht="23" x14ac:dyDescent="0.25">
      <c r="A286" s="221" t="str" cm="1">
        <f t="array" ref="A286">IFERROR(INDEX(_xlfn.ANCHORARRAY($P$6),ROW()-5,1),"")</f>
        <v/>
      </c>
      <c r="B286" s="317" t="str" cm="1">
        <f t="array" ref="B286">IFERROR(INDEX(_xlfn.ANCHORARRAY($P$6),ROW()-5,2),"")</f>
        <v/>
      </c>
      <c r="C286" s="222" t="str">
        <f>IF($A286="","",IF($J286="DIESEL",SUMIFS(Table1[Quantity],Table1[Customer],$M$3,Table1[Date],$A286,Table1[Bill No.],$B286),IF($J286="PETROL",SUMIFS(Table14[Quantity],Table14[Customer],$M$3,Table14[Date],$A286,Table14[Bill No.],$B286),IF($J286="XtraGreen",SUMIFS(Table146[Quantity],Table146[Company],$M$3,Table146[Date],$A286,Table146[Bill No.],$B286),""))))</f>
        <v/>
      </c>
      <c r="D286" s="223" t="str">
        <f>IF($A286="","",IF($J286="DIESEL",AVERAGEIFS(Table1[RSP],Table1[Customer],$M$3,Table1[Date],$A286,Table1[Bill No.],$B286),IF($J286="PETROL",AVERAGEIFS(Table14[RSP],Table14[Customer],$M$3,Table14[Date],$A286,Table14[Bill No.],$B286),IF($J286="XtraGreen",AVERAGEIFS(Table146[RSP],Table146[Company],$M$3,Table146[Date],$A286,Table146[Bill No.],$B286),IFERROR($E286/$C286,"")))))</f>
        <v/>
      </c>
      <c r="E286" s="330" t="str">
        <f>IF($A286="","",IF($J286="DIESEL",SUMIFS(Table1[Amount],Table1[Customer],$M$3,Table1[Date],$A286,Table1[Bill No.],$B286),IF($J286="PETROL",SUMIFS(Table14[Amount],Table14[Customer],$M$3,Table14[Date],$A286,Table14[Bill No.],$B286),IF($J286="XtraGreen",SUMIFS(Table146[Amount],Table146[Company],$M$3,Table146[Date],$A286,Table146[Bill No.],$B286),SUMIFS('Other Sale'!$D:$D,'Other Sale'!$E:$E,$M$3,'Other Sale'!$C:$C,$J286,'Other Sale'!$A:$A,$A286)))))</f>
        <v/>
      </c>
      <c r="F286" s="330" t="str" cm="1">
        <f t="array" ref="F286">IF($A286="","",IF($J286="Payment",IFERROR(INDEX(_xlfn._xlws.FILTER(MasterPaid[Amount Paid],(MasterPaid[Customer]=$M$3)*(MasterPaid[Date]=$A286)),COUNTIFS($A$6:$A286,$A286,$J$6:$J286,"Payment")),0),0))</f>
        <v/>
      </c>
      <c r="G286" s="331"/>
      <c r="H286" s="331"/>
      <c r="I286" s="330" t="str">
        <f t="shared" si="14"/>
        <v/>
      </c>
      <c r="J286" s="318" t="str" cm="1">
        <f t="array" ref="J286">IFERROR(INDEX(_xlfn.ANCHORARRAY($P$6),ROW()-5,3),"")</f>
        <v/>
      </c>
      <c r="K286" s="432" t="str" cm="1">
        <f t="array" ref="K286">IF(OR($A286="",$J286&lt;&gt;"DIESEL"),"",_xlfn.LET(_xlpm.qty,N($C286),_xlpm.pos,$T$5:$T$54,_xlpm.alo,IF($U$5:$U$54="",0,$U$5:$U$54),_xlpm.usd,SUMIFS($C$6:$C285,$K$6:$K285,_xlpm.pos&amp;""),_xlpm.bal,_xlpm.alo-_xlpm.usd,IFERROR(INDEX(_xlfn._xlws.FILTER(_xlpm.pos,(_xlpm.pos&lt;&gt;"")*(_xlpm.qty&gt;0)*(_xlpm.bal&gt;=_xlpm.qty)),1),"")))</f>
        <v/>
      </c>
      <c r="L286" s="290"/>
    </row>
    <row r="287" spans="1:12" ht="23" x14ac:dyDescent="0.25">
      <c r="A287" s="221" t="str" cm="1">
        <f t="array" ref="A287">IFERROR(INDEX(_xlfn.ANCHORARRAY($P$6),ROW()-5,1),"")</f>
        <v/>
      </c>
      <c r="B287" s="317" t="str" cm="1">
        <f t="array" ref="B287">IFERROR(INDEX(_xlfn.ANCHORARRAY($P$6),ROW()-5,2),"")</f>
        <v/>
      </c>
      <c r="C287" s="222" t="str">
        <f>IF($A287="","",IF($J287="DIESEL",SUMIFS(Table1[Quantity],Table1[Customer],$M$3,Table1[Date],$A287,Table1[Bill No.],$B287),IF($J287="PETROL",SUMIFS(Table14[Quantity],Table14[Customer],$M$3,Table14[Date],$A287,Table14[Bill No.],$B287),IF($J287="XtraGreen",SUMIFS(Table146[Quantity],Table146[Company],$M$3,Table146[Date],$A287,Table146[Bill No.],$B287),""))))</f>
        <v/>
      </c>
      <c r="D287" s="223" t="str">
        <f>IF($A287="","",IF($J287="DIESEL",AVERAGEIFS(Table1[RSP],Table1[Customer],$M$3,Table1[Date],$A287,Table1[Bill No.],$B287),IF($J287="PETROL",AVERAGEIFS(Table14[RSP],Table14[Customer],$M$3,Table14[Date],$A287,Table14[Bill No.],$B287),IF($J287="XtraGreen",AVERAGEIFS(Table146[RSP],Table146[Company],$M$3,Table146[Date],$A287,Table146[Bill No.],$B287),IFERROR($E287/$C287,"")))))</f>
        <v/>
      </c>
      <c r="E287" s="330" t="str">
        <f>IF($A287="","",IF($J287="DIESEL",SUMIFS(Table1[Amount],Table1[Customer],$M$3,Table1[Date],$A287,Table1[Bill No.],$B287),IF($J287="PETROL",SUMIFS(Table14[Amount],Table14[Customer],$M$3,Table14[Date],$A287,Table14[Bill No.],$B287),IF($J287="XtraGreen",SUMIFS(Table146[Amount],Table146[Company],$M$3,Table146[Date],$A287,Table146[Bill No.],$B287),SUMIFS('Other Sale'!$D:$D,'Other Sale'!$E:$E,$M$3,'Other Sale'!$C:$C,$J287,'Other Sale'!$A:$A,$A287)))))</f>
        <v/>
      </c>
      <c r="F287" s="330" t="str" cm="1">
        <f t="array" ref="F287">IF($A287="","",IF($J287="Payment",IFERROR(INDEX(_xlfn._xlws.FILTER(MasterPaid[Amount Paid],(MasterPaid[Customer]=$M$3)*(MasterPaid[Date]=$A287)),COUNTIFS($A$6:$A287,$A287,$J$6:$J287,"Payment")),0),0))</f>
        <v/>
      </c>
      <c r="G287" s="331"/>
      <c r="H287" s="331"/>
      <c r="I287" s="330" t="str">
        <f t="shared" si="14"/>
        <v/>
      </c>
      <c r="J287" s="318" t="str" cm="1">
        <f t="array" ref="J287">IFERROR(INDEX(_xlfn.ANCHORARRAY($P$6),ROW()-5,3),"")</f>
        <v/>
      </c>
      <c r="K287" s="432" t="str" cm="1">
        <f t="array" ref="K287">IF(OR($A287="",$J287&lt;&gt;"DIESEL"),"",_xlfn.LET(_xlpm.qty,N($C287),_xlpm.pos,$T$5:$T$54,_xlpm.alo,IF($U$5:$U$54="",0,$U$5:$U$54),_xlpm.usd,SUMIFS($C$6:$C286,$K$6:$K286,_xlpm.pos&amp;""),_xlpm.bal,_xlpm.alo-_xlpm.usd,IFERROR(INDEX(_xlfn._xlws.FILTER(_xlpm.pos,(_xlpm.pos&lt;&gt;"")*(_xlpm.qty&gt;0)*(_xlpm.bal&gt;=_xlpm.qty)),1),"")))</f>
        <v/>
      </c>
      <c r="L287" s="290"/>
    </row>
    <row r="288" spans="1:12" ht="23" x14ac:dyDescent="0.25">
      <c r="A288" s="221" t="str" cm="1">
        <f t="array" ref="A288">IFERROR(INDEX(_xlfn.ANCHORARRAY($P$6),ROW()-5,1),"")</f>
        <v/>
      </c>
      <c r="B288" s="317" t="str" cm="1">
        <f t="array" ref="B288">IFERROR(INDEX(_xlfn.ANCHORARRAY($P$6),ROW()-5,2),"")</f>
        <v/>
      </c>
      <c r="C288" s="222" t="str">
        <f>IF($A288="","",IF($J288="DIESEL",SUMIFS(Table1[Quantity],Table1[Customer],$M$3,Table1[Date],$A288,Table1[Bill No.],$B288),IF($J288="PETROL",SUMIFS(Table14[Quantity],Table14[Customer],$M$3,Table14[Date],$A288,Table14[Bill No.],$B288),IF($J288="XtraGreen",SUMIFS(Table146[Quantity],Table146[Company],$M$3,Table146[Date],$A288,Table146[Bill No.],$B288),""))))</f>
        <v/>
      </c>
      <c r="D288" s="223" t="str">
        <f>IF($A288="","",IF($J288="DIESEL",AVERAGEIFS(Table1[RSP],Table1[Customer],$M$3,Table1[Date],$A288,Table1[Bill No.],$B288),IF($J288="PETROL",AVERAGEIFS(Table14[RSP],Table14[Customer],$M$3,Table14[Date],$A288,Table14[Bill No.],$B288),IF($J288="XtraGreen",AVERAGEIFS(Table146[RSP],Table146[Company],$M$3,Table146[Date],$A288,Table146[Bill No.],$B288),IFERROR($E288/$C288,"")))))</f>
        <v/>
      </c>
      <c r="E288" s="330" t="str">
        <f>IF($A288="","",IF($J288="DIESEL",SUMIFS(Table1[Amount],Table1[Customer],$M$3,Table1[Date],$A288,Table1[Bill No.],$B288),IF($J288="PETROL",SUMIFS(Table14[Amount],Table14[Customer],$M$3,Table14[Date],$A288,Table14[Bill No.],$B288),IF($J288="XtraGreen",SUMIFS(Table146[Amount],Table146[Company],$M$3,Table146[Date],$A288,Table146[Bill No.],$B288),SUMIFS('Other Sale'!$D:$D,'Other Sale'!$E:$E,$M$3,'Other Sale'!$C:$C,$J288,'Other Sale'!$A:$A,$A288)))))</f>
        <v/>
      </c>
      <c r="F288" s="330" t="str" cm="1">
        <f t="array" ref="F288">IF($A288="","",IF($J288="Payment",IFERROR(INDEX(_xlfn._xlws.FILTER(MasterPaid[Amount Paid],(MasterPaid[Customer]=$M$3)*(MasterPaid[Date]=$A288)),COUNTIFS($A$6:$A288,$A288,$J$6:$J288,"Payment")),0),0))</f>
        <v/>
      </c>
      <c r="G288" s="331"/>
      <c r="H288" s="331"/>
      <c r="I288" s="330" t="str">
        <f t="shared" si="14"/>
        <v/>
      </c>
      <c r="J288" s="318" t="str" cm="1">
        <f t="array" ref="J288">IFERROR(INDEX(_xlfn.ANCHORARRAY($P$6),ROW()-5,3),"")</f>
        <v/>
      </c>
      <c r="K288" s="432" t="str" cm="1">
        <f t="array" ref="K288">IF(OR($A288="",$J288&lt;&gt;"DIESEL"),"",_xlfn.LET(_xlpm.qty,N($C288),_xlpm.pos,$T$5:$T$54,_xlpm.alo,IF($U$5:$U$54="",0,$U$5:$U$54),_xlpm.usd,SUMIFS($C$6:$C287,$K$6:$K287,_xlpm.pos&amp;""),_xlpm.bal,_xlpm.alo-_xlpm.usd,IFERROR(INDEX(_xlfn._xlws.FILTER(_xlpm.pos,(_xlpm.pos&lt;&gt;"")*(_xlpm.qty&gt;0)*(_xlpm.bal&gt;=_xlpm.qty)),1),"")))</f>
        <v/>
      </c>
      <c r="L288" s="290"/>
    </row>
    <row r="289" spans="1:12" ht="23" x14ac:dyDescent="0.25">
      <c r="A289" s="221" t="str" cm="1">
        <f t="array" ref="A289">IFERROR(INDEX(_xlfn.ANCHORARRAY($P$6),ROW()-5,1),"")</f>
        <v/>
      </c>
      <c r="B289" s="317" t="str" cm="1">
        <f t="array" ref="B289">IFERROR(INDEX(_xlfn.ANCHORARRAY($P$6),ROW()-5,2),"")</f>
        <v/>
      </c>
      <c r="C289" s="222" t="str">
        <f>IF($A289="","",IF($J289="DIESEL",SUMIFS(Table1[Quantity],Table1[Customer],$M$3,Table1[Date],$A289,Table1[Bill No.],$B289),IF($J289="PETROL",SUMIFS(Table14[Quantity],Table14[Customer],$M$3,Table14[Date],$A289,Table14[Bill No.],$B289),IF($J289="XtraGreen",SUMIFS(Table146[Quantity],Table146[Company],$M$3,Table146[Date],$A289,Table146[Bill No.],$B289),""))))</f>
        <v/>
      </c>
      <c r="D289" s="223" t="str">
        <f>IF($A289="","",IF($J289="DIESEL",AVERAGEIFS(Table1[RSP],Table1[Customer],$M$3,Table1[Date],$A289,Table1[Bill No.],$B289),IF($J289="PETROL",AVERAGEIFS(Table14[RSP],Table14[Customer],$M$3,Table14[Date],$A289,Table14[Bill No.],$B289),IF($J289="XtraGreen",AVERAGEIFS(Table146[RSP],Table146[Company],$M$3,Table146[Date],$A289,Table146[Bill No.],$B289),IFERROR($E289/$C289,"")))))</f>
        <v/>
      </c>
      <c r="E289" s="330" t="str">
        <f>IF($A289="","",IF($J289="DIESEL",SUMIFS(Table1[Amount],Table1[Customer],$M$3,Table1[Date],$A289,Table1[Bill No.],$B289),IF($J289="PETROL",SUMIFS(Table14[Amount],Table14[Customer],$M$3,Table14[Date],$A289,Table14[Bill No.],$B289),IF($J289="XtraGreen",SUMIFS(Table146[Amount],Table146[Company],$M$3,Table146[Date],$A289,Table146[Bill No.],$B289),SUMIFS('Other Sale'!$D:$D,'Other Sale'!$E:$E,$M$3,'Other Sale'!$C:$C,$J289,'Other Sale'!$A:$A,$A289)))))</f>
        <v/>
      </c>
      <c r="F289" s="330" t="str" cm="1">
        <f t="array" ref="F289">IF($A289="","",IF($J289="Payment",IFERROR(INDEX(_xlfn._xlws.FILTER(MasterPaid[Amount Paid],(MasterPaid[Customer]=$M$3)*(MasterPaid[Date]=$A289)),COUNTIFS($A$6:$A289,$A289,$J$6:$J289,"Payment")),0),0))</f>
        <v/>
      </c>
      <c r="G289" s="331"/>
      <c r="H289" s="331"/>
      <c r="I289" s="330" t="str">
        <f t="shared" si="14"/>
        <v/>
      </c>
      <c r="J289" s="318" t="str" cm="1">
        <f t="array" ref="J289">IFERROR(INDEX(_xlfn.ANCHORARRAY($P$6),ROW()-5,3),"")</f>
        <v/>
      </c>
      <c r="K289" s="432" t="str" cm="1">
        <f t="array" ref="K289">IF(OR($A289="",$J289&lt;&gt;"DIESEL"),"",_xlfn.LET(_xlpm.qty,N($C289),_xlpm.pos,$T$5:$T$54,_xlpm.alo,IF($U$5:$U$54="",0,$U$5:$U$54),_xlpm.usd,SUMIFS($C$6:$C288,$K$6:$K288,_xlpm.pos&amp;""),_xlpm.bal,_xlpm.alo-_xlpm.usd,IFERROR(INDEX(_xlfn._xlws.FILTER(_xlpm.pos,(_xlpm.pos&lt;&gt;"")*(_xlpm.qty&gt;0)*(_xlpm.bal&gt;=_xlpm.qty)),1),"")))</f>
        <v/>
      </c>
      <c r="L289" s="290"/>
    </row>
    <row r="290" spans="1:12" ht="23" x14ac:dyDescent="0.25">
      <c r="A290" s="221" t="str" cm="1">
        <f t="array" ref="A290">IFERROR(INDEX(_xlfn.ANCHORARRAY($P$6),ROW()-5,1),"")</f>
        <v/>
      </c>
      <c r="B290" s="317" t="str" cm="1">
        <f t="array" ref="B290">IFERROR(INDEX(_xlfn.ANCHORARRAY($P$6),ROW()-5,2),"")</f>
        <v/>
      </c>
      <c r="C290" s="222" t="str">
        <f>IF($A290="","",IF($J290="DIESEL",SUMIFS(Table1[Quantity],Table1[Customer],$M$3,Table1[Date],$A290,Table1[Bill No.],$B290),IF($J290="PETROL",SUMIFS(Table14[Quantity],Table14[Customer],$M$3,Table14[Date],$A290,Table14[Bill No.],$B290),IF($J290="XtraGreen",SUMIFS(Table146[Quantity],Table146[Company],$M$3,Table146[Date],$A290,Table146[Bill No.],$B290),""))))</f>
        <v/>
      </c>
      <c r="D290" s="223" t="str">
        <f>IF($A290="","",IF($J290="DIESEL",AVERAGEIFS(Table1[RSP],Table1[Customer],$M$3,Table1[Date],$A290,Table1[Bill No.],$B290),IF($J290="PETROL",AVERAGEIFS(Table14[RSP],Table14[Customer],$M$3,Table14[Date],$A290,Table14[Bill No.],$B290),IF($J290="XtraGreen",AVERAGEIFS(Table146[RSP],Table146[Company],$M$3,Table146[Date],$A290,Table146[Bill No.],$B290),IFERROR($E290/$C290,"")))))</f>
        <v/>
      </c>
      <c r="E290" s="330" t="str">
        <f>IF($A290="","",IF($J290="DIESEL",SUMIFS(Table1[Amount],Table1[Customer],$M$3,Table1[Date],$A290,Table1[Bill No.],$B290),IF($J290="PETROL",SUMIFS(Table14[Amount],Table14[Customer],$M$3,Table14[Date],$A290,Table14[Bill No.],$B290),IF($J290="XtraGreen",SUMIFS(Table146[Amount],Table146[Company],$M$3,Table146[Date],$A290,Table146[Bill No.],$B290),SUMIFS('Other Sale'!$D:$D,'Other Sale'!$E:$E,$M$3,'Other Sale'!$C:$C,$J290,'Other Sale'!$A:$A,$A290)))))</f>
        <v/>
      </c>
      <c r="F290" s="330" t="str" cm="1">
        <f t="array" ref="F290">IF($A290="","",IF($J290="Payment",IFERROR(INDEX(_xlfn._xlws.FILTER(MasterPaid[Amount Paid],(MasterPaid[Customer]=$M$3)*(MasterPaid[Date]=$A290)),COUNTIFS($A$6:$A290,$A290,$J$6:$J290,"Payment")),0),0))</f>
        <v/>
      </c>
      <c r="G290" s="331"/>
      <c r="H290" s="331"/>
      <c r="I290" s="330" t="str">
        <f t="shared" si="14"/>
        <v/>
      </c>
      <c r="J290" s="318" t="str" cm="1">
        <f t="array" ref="J290">IFERROR(INDEX(_xlfn.ANCHORARRAY($P$6),ROW()-5,3),"")</f>
        <v/>
      </c>
      <c r="K290" s="432" t="str" cm="1">
        <f t="array" ref="K290">IF(OR($A290="",$J290&lt;&gt;"DIESEL"),"",_xlfn.LET(_xlpm.qty,N($C290),_xlpm.pos,$T$5:$T$54,_xlpm.alo,IF($U$5:$U$54="",0,$U$5:$U$54),_xlpm.usd,SUMIFS($C$6:$C289,$K$6:$K289,_xlpm.pos&amp;""),_xlpm.bal,_xlpm.alo-_xlpm.usd,IFERROR(INDEX(_xlfn._xlws.FILTER(_xlpm.pos,(_xlpm.pos&lt;&gt;"")*(_xlpm.qty&gt;0)*(_xlpm.bal&gt;=_xlpm.qty)),1),"")))</f>
        <v/>
      </c>
      <c r="L290" s="290"/>
    </row>
    <row r="291" spans="1:12" ht="23" x14ac:dyDescent="0.25">
      <c r="A291" s="221" t="str" cm="1">
        <f t="array" ref="A291">IFERROR(INDEX(_xlfn.ANCHORARRAY($P$6),ROW()-5,1),"")</f>
        <v/>
      </c>
      <c r="B291" s="317" t="str" cm="1">
        <f t="array" ref="B291">IFERROR(INDEX(_xlfn.ANCHORARRAY($P$6),ROW()-5,2),"")</f>
        <v/>
      </c>
      <c r="C291" s="222" t="str">
        <f>IF($A291="","",IF($J291="DIESEL",SUMIFS(Table1[Quantity],Table1[Customer],$M$3,Table1[Date],$A291,Table1[Bill No.],$B291),IF($J291="PETROL",SUMIFS(Table14[Quantity],Table14[Customer],$M$3,Table14[Date],$A291,Table14[Bill No.],$B291),IF($J291="XtraGreen",SUMIFS(Table146[Quantity],Table146[Company],$M$3,Table146[Date],$A291,Table146[Bill No.],$B291),""))))</f>
        <v/>
      </c>
      <c r="D291" s="223" t="str">
        <f>IF($A291="","",IF($J291="DIESEL",AVERAGEIFS(Table1[RSP],Table1[Customer],$M$3,Table1[Date],$A291,Table1[Bill No.],$B291),IF($J291="PETROL",AVERAGEIFS(Table14[RSP],Table14[Customer],$M$3,Table14[Date],$A291,Table14[Bill No.],$B291),IF($J291="XtraGreen",AVERAGEIFS(Table146[RSP],Table146[Company],$M$3,Table146[Date],$A291,Table146[Bill No.],$B291),IFERROR($E291/$C291,"")))))</f>
        <v/>
      </c>
      <c r="E291" s="330" t="str">
        <f>IF($A291="","",IF($J291="DIESEL",SUMIFS(Table1[Amount],Table1[Customer],$M$3,Table1[Date],$A291,Table1[Bill No.],$B291),IF($J291="PETROL",SUMIFS(Table14[Amount],Table14[Customer],$M$3,Table14[Date],$A291,Table14[Bill No.],$B291),IF($J291="XtraGreen",SUMIFS(Table146[Amount],Table146[Company],$M$3,Table146[Date],$A291,Table146[Bill No.],$B291),SUMIFS('Other Sale'!$D:$D,'Other Sale'!$E:$E,$M$3,'Other Sale'!$C:$C,$J291,'Other Sale'!$A:$A,$A291)))))</f>
        <v/>
      </c>
      <c r="F291" s="330" t="str" cm="1">
        <f t="array" ref="F291">IF($A291="","",IF($J291="Payment",IFERROR(INDEX(_xlfn._xlws.FILTER(MasterPaid[Amount Paid],(MasterPaid[Customer]=$M$3)*(MasterPaid[Date]=$A291)),COUNTIFS($A$6:$A291,$A291,$J$6:$J291,"Payment")),0),0))</f>
        <v/>
      </c>
      <c r="G291" s="331"/>
      <c r="H291" s="331"/>
      <c r="I291" s="330" t="str">
        <f t="shared" si="14"/>
        <v/>
      </c>
      <c r="J291" s="318" t="str" cm="1">
        <f t="array" ref="J291">IFERROR(INDEX(_xlfn.ANCHORARRAY($P$6),ROW()-5,3),"")</f>
        <v/>
      </c>
      <c r="K291" s="432" t="str" cm="1">
        <f t="array" ref="K291">IF(OR($A291="",$J291&lt;&gt;"DIESEL"),"",_xlfn.LET(_xlpm.qty,N($C291),_xlpm.pos,$T$5:$T$54,_xlpm.alo,IF($U$5:$U$54="",0,$U$5:$U$54),_xlpm.usd,SUMIFS($C$6:$C290,$K$6:$K290,_xlpm.pos&amp;""),_xlpm.bal,_xlpm.alo-_xlpm.usd,IFERROR(INDEX(_xlfn._xlws.FILTER(_xlpm.pos,(_xlpm.pos&lt;&gt;"")*(_xlpm.qty&gt;0)*(_xlpm.bal&gt;=_xlpm.qty)),1),"")))</f>
        <v/>
      </c>
      <c r="L291" s="290"/>
    </row>
    <row r="292" spans="1:12" ht="23" x14ac:dyDescent="0.25">
      <c r="A292" s="221" t="str" cm="1">
        <f t="array" ref="A292">IFERROR(INDEX(_xlfn.ANCHORARRAY($P$6),ROW()-5,1),"")</f>
        <v/>
      </c>
      <c r="B292" s="317" t="str" cm="1">
        <f t="array" ref="B292">IFERROR(INDEX(_xlfn.ANCHORARRAY($P$6),ROW()-5,2),"")</f>
        <v/>
      </c>
      <c r="C292" s="222" t="str">
        <f>IF($A292="","",IF($J292="DIESEL",SUMIFS(Table1[Quantity],Table1[Customer],$M$3,Table1[Date],$A292,Table1[Bill No.],$B292),IF($J292="PETROL",SUMIFS(Table14[Quantity],Table14[Customer],$M$3,Table14[Date],$A292,Table14[Bill No.],$B292),IF($J292="XtraGreen",SUMIFS(Table146[Quantity],Table146[Company],$M$3,Table146[Date],$A292,Table146[Bill No.],$B292),""))))</f>
        <v/>
      </c>
      <c r="D292" s="223" t="str">
        <f>IF($A292="","",IF($J292="DIESEL",AVERAGEIFS(Table1[RSP],Table1[Customer],$M$3,Table1[Date],$A292,Table1[Bill No.],$B292),IF($J292="PETROL",AVERAGEIFS(Table14[RSP],Table14[Customer],$M$3,Table14[Date],$A292,Table14[Bill No.],$B292),IF($J292="XtraGreen",AVERAGEIFS(Table146[RSP],Table146[Company],$M$3,Table146[Date],$A292,Table146[Bill No.],$B292),IFERROR($E292/$C292,"")))))</f>
        <v/>
      </c>
      <c r="E292" s="330" t="str">
        <f>IF($A292="","",IF($J292="DIESEL",SUMIFS(Table1[Amount],Table1[Customer],$M$3,Table1[Date],$A292,Table1[Bill No.],$B292),IF($J292="PETROL",SUMIFS(Table14[Amount],Table14[Customer],$M$3,Table14[Date],$A292,Table14[Bill No.],$B292),IF($J292="XtraGreen",SUMIFS(Table146[Amount],Table146[Company],$M$3,Table146[Date],$A292,Table146[Bill No.],$B292),SUMIFS('Other Sale'!$D:$D,'Other Sale'!$E:$E,$M$3,'Other Sale'!$C:$C,$J292,'Other Sale'!$A:$A,$A292)))))</f>
        <v/>
      </c>
      <c r="F292" s="330" t="str" cm="1">
        <f t="array" ref="F292">IF($A292="","",IF($J292="Payment",IFERROR(INDEX(_xlfn._xlws.FILTER(MasterPaid[Amount Paid],(MasterPaid[Customer]=$M$3)*(MasterPaid[Date]=$A292)),COUNTIFS($A$6:$A292,$A292,$J$6:$J292,"Payment")),0),0))</f>
        <v/>
      </c>
      <c r="G292" s="331"/>
      <c r="H292" s="331"/>
      <c r="I292" s="330" t="str">
        <f t="shared" si="14"/>
        <v/>
      </c>
      <c r="J292" s="318" t="str" cm="1">
        <f t="array" ref="J292">IFERROR(INDEX(_xlfn.ANCHORARRAY($P$6),ROW()-5,3),"")</f>
        <v/>
      </c>
      <c r="K292" s="432" t="str" cm="1">
        <f t="array" ref="K292">IF(OR($A292="",$J292&lt;&gt;"DIESEL"),"",_xlfn.LET(_xlpm.qty,N($C292),_xlpm.pos,$T$5:$T$54,_xlpm.alo,IF($U$5:$U$54="",0,$U$5:$U$54),_xlpm.usd,SUMIFS($C$6:$C291,$K$6:$K291,_xlpm.pos&amp;""),_xlpm.bal,_xlpm.alo-_xlpm.usd,IFERROR(INDEX(_xlfn._xlws.FILTER(_xlpm.pos,(_xlpm.pos&lt;&gt;"")*(_xlpm.qty&gt;0)*(_xlpm.bal&gt;=_xlpm.qty)),1),"")))</f>
        <v/>
      </c>
      <c r="L292" s="290"/>
    </row>
    <row r="293" spans="1:12" ht="23" x14ac:dyDescent="0.25">
      <c r="A293" s="221" t="str" cm="1">
        <f t="array" ref="A293">IFERROR(INDEX(_xlfn.ANCHORARRAY($P$6),ROW()-5,1),"")</f>
        <v/>
      </c>
      <c r="B293" s="317" t="str" cm="1">
        <f t="array" ref="B293">IFERROR(INDEX(_xlfn.ANCHORARRAY($P$6),ROW()-5,2),"")</f>
        <v/>
      </c>
      <c r="C293" s="222" t="str">
        <f>IF($A293="","",IF($J293="DIESEL",SUMIFS(Table1[Quantity],Table1[Customer],$M$3,Table1[Date],$A293,Table1[Bill No.],$B293),IF($J293="PETROL",SUMIFS(Table14[Quantity],Table14[Customer],$M$3,Table14[Date],$A293,Table14[Bill No.],$B293),IF($J293="XtraGreen",SUMIFS(Table146[Quantity],Table146[Company],$M$3,Table146[Date],$A293,Table146[Bill No.],$B293),""))))</f>
        <v/>
      </c>
      <c r="D293" s="223" t="str">
        <f>IF($A293="","",IF($J293="DIESEL",AVERAGEIFS(Table1[RSP],Table1[Customer],$M$3,Table1[Date],$A293,Table1[Bill No.],$B293),IF($J293="PETROL",AVERAGEIFS(Table14[RSP],Table14[Customer],$M$3,Table14[Date],$A293,Table14[Bill No.],$B293),IF($J293="XtraGreen",AVERAGEIFS(Table146[RSP],Table146[Company],$M$3,Table146[Date],$A293,Table146[Bill No.],$B293),IFERROR($E293/$C293,"")))))</f>
        <v/>
      </c>
      <c r="E293" s="330" t="str">
        <f>IF($A293="","",IF($J293="DIESEL",SUMIFS(Table1[Amount],Table1[Customer],$M$3,Table1[Date],$A293,Table1[Bill No.],$B293),IF($J293="PETROL",SUMIFS(Table14[Amount],Table14[Customer],$M$3,Table14[Date],$A293,Table14[Bill No.],$B293),IF($J293="XtraGreen",SUMIFS(Table146[Amount],Table146[Company],$M$3,Table146[Date],$A293,Table146[Bill No.],$B293),SUMIFS('Other Sale'!$D:$D,'Other Sale'!$E:$E,$M$3,'Other Sale'!$C:$C,$J293,'Other Sale'!$A:$A,$A293)))))</f>
        <v/>
      </c>
      <c r="F293" s="330" t="str" cm="1">
        <f t="array" ref="F293">IF($A293="","",IF($J293="Payment",IFERROR(INDEX(_xlfn._xlws.FILTER(MasterPaid[Amount Paid],(MasterPaid[Customer]=$M$3)*(MasterPaid[Date]=$A293)),COUNTIFS($A$6:$A293,$A293,$J$6:$J293,"Payment")),0),0))</f>
        <v/>
      </c>
      <c r="G293" s="331"/>
      <c r="H293" s="331"/>
      <c r="I293" s="330" t="str">
        <f t="shared" si="14"/>
        <v/>
      </c>
      <c r="J293" s="318" t="str" cm="1">
        <f t="array" ref="J293">IFERROR(INDEX(_xlfn.ANCHORARRAY($P$6),ROW()-5,3),"")</f>
        <v/>
      </c>
      <c r="K293" s="432" t="str" cm="1">
        <f t="array" ref="K293">IF(OR($A293="",$J293&lt;&gt;"DIESEL"),"",_xlfn.LET(_xlpm.qty,N($C293),_xlpm.pos,$T$5:$T$54,_xlpm.alo,IF($U$5:$U$54="",0,$U$5:$U$54),_xlpm.usd,SUMIFS($C$6:$C292,$K$6:$K292,_xlpm.pos&amp;""),_xlpm.bal,_xlpm.alo-_xlpm.usd,IFERROR(INDEX(_xlfn._xlws.FILTER(_xlpm.pos,(_xlpm.pos&lt;&gt;"")*(_xlpm.qty&gt;0)*(_xlpm.bal&gt;=_xlpm.qty)),1),"")))</f>
        <v/>
      </c>
      <c r="L293" s="290"/>
    </row>
    <row r="294" spans="1:12" ht="23" x14ac:dyDescent="0.25">
      <c r="A294" s="221" t="str" cm="1">
        <f t="array" ref="A294">IFERROR(INDEX(_xlfn.ANCHORARRAY($P$6),ROW()-5,1),"")</f>
        <v/>
      </c>
      <c r="B294" s="317" t="str" cm="1">
        <f t="array" ref="B294">IFERROR(INDEX(_xlfn.ANCHORARRAY($P$6),ROW()-5,2),"")</f>
        <v/>
      </c>
      <c r="C294" s="222" t="str">
        <f>IF($A294="","",IF($J294="DIESEL",SUMIFS(Table1[Quantity],Table1[Customer],$M$3,Table1[Date],$A294,Table1[Bill No.],$B294),IF($J294="PETROL",SUMIFS(Table14[Quantity],Table14[Customer],$M$3,Table14[Date],$A294,Table14[Bill No.],$B294),IF($J294="XtraGreen",SUMIFS(Table146[Quantity],Table146[Company],$M$3,Table146[Date],$A294,Table146[Bill No.],$B294),""))))</f>
        <v/>
      </c>
      <c r="D294" s="223" t="str">
        <f>IF($A294="","",IF($J294="DIESEL",AVERAGEIFS(Table1[RSP],Table1[Customer],$M$3,Table1[Date],$A294,Table1[Bill No.],$B294),IF($J294="PETROL",AVERAGEIFS(Table14[RSP],Table14[Customer],$M$3,Table14[Date],$A294,Table14[Bill No.],$B294),IF($J294="XtraGreen",AVERAGEIFS(Table146[RSP],Table146[Company],$M$3,Table146[Date],$A294,Table146[Bill No.],$B294),IFERROR($E294/$C294,"")))))</f>
        <v/>
      </c>
      <c r="E294" s="330" t="str">
        <f>IF($A294="","",IF($J294="DIESEL",SUMIFS(Table1[Amount],Table1[Customer],$M$3,Table1[Date],$A294,Table1[Bill No.],$B294),IF($J294="PETROL",SUMIFS(Table14[Amount],Table14[Customer],$M$3,Table14[Date],$A294,Table14[Bill No.],$B294),IF($J294="XtraGreen",SUMIFS(Table146[Amount],Table146[Company],$M$3,Table146[Date],$A294,Table146[Bill No.],$B294),SUMIFS('Other Sale'!$D:$D,'Other Sale'!$E:$E,$M$3,'Other Sale'!$C:$C,$J294,'Other Sale'!$A:$A,$A294)))))</f>
        <v/>
      </c>
      <c r="F294" s="330" t="str" cm="1">
        <f t="array" ref="F294">IF($A294="","",IF($J294="Payment",IFERROR(INDEX(_xlfn._xlws.FILTER(MasterPaid[Amount Paid],(MasterPaid[Customer]=$M$3)*(MasterPaid[Date]=$A294)),COUNTIFS($A$6:$A294,$A294,$J$6:$J294,"Payment")),0),0))</f>
        <v/>
      </c>
      <c r="G294" s="331"/>
      <c r="H294" s="331"/>
      <c r="I294" s="330" t="str">
        <f t="shared" si="14"/>
        <v/>
      </c>
      <c r="J294" s="318" t="str" cm="1">
        <f t="array" ref="J294">IFERROR(INDEX(_xlfn.ANCHORARRAY($P$6),ROW()-5,3),"")</f>
        <v/>
      </c>
      <c r="K294" s="432" t="str" cm="1">
        <f t="array" ref="K294">IF(OR($A294="",$J294&lt;&gt;"DIESEL"),"",_xlfn.LET(_xlpm.qty,N($C294),_xlpm.pos,$T$5:$T$54,_xlpm.alo,IF($U$5:$U$54="",0,$U$5:$U$54),_xlpm.usd,SUMIFS($C$6:$C293,$K$6:$K293,_xlpm.pos&amp;""),_xlpm.bal,_xlpm.alo-_xlpm.usd,IFERROR(INDEX(_xlfn._xlws.FILTER(_xlpm.pos,(_xlpm.pos&lt;&gt;"")*(_xlpm.qty&gt;0)*(_xlpm.bal&gt;=_xlpm.qty)),1),"")))</f>
        <v/>
      </c>
      <c r="L294" s="290"/>
    </row>
    <row r="295" spans="1:12" ht="23" x14ac:dyDescent="0.25">
      <c r="A295" s="221" t="str" cm="1">
        <f t="array" ref="A295">IFERROR(INDEX(_xlfn.ANCHORARRAY($P$6),ROW()-5,1),"")</f>
        <v/>
      </c>
      <c r="B295" s="317" t="str" cm="1">
        <f t="array" ref="B295">IFERROR(INDEX(_xlfn.ANCHORARRAY($P$6),ROW()-5,2),"")</f>
        <v/>
      </c>
      <c r="C295" s="222" t="str">
        <f>IF($A295="","",IF($J295="DIESEL",SUMIFS(Table1[Quantity],Table1[Customer],$M$3,Table1[Date],$A295,Table1[Bill No.],$B295),IF($J295="PETROL",SUMIFS(Table14[Quantity],Table14[Customer],$M$3,Table14[Date],$A295,Table14[Bill No.],$B295),IF($J295="XtraGreen",SUMIFS(Table146[Quantity],Table146[Company],$M$3,Table146[Date],$A295,Table146[Bill No.],$B295),""))))</f>
        <v/>
      </c>
      <c r="D295" s="223" t="str">
        <f>IF($A295="","",IF($J295="DIESEL",AVERAGEIFS(Table1[RSP],Table1[Customer],$M$3,Table1[Date],$A295,Table1[Bill No.],$B295),IF($J295="PETROL",AVERAGEIFS(Table14[RSP],Table14[Customer],$M$3,Table14[Date],$A295,Table14[Bill No.],$B295),IF($J295="XtraGreen",AVERAGEIFS(Table146[RSP],Table146[Company],$M$3,Table146[Date],$A295,Table146[Bill No.],$B295),IFERROR($E295/$C295,"")))))</f>
        <v/>
      </c>
      <c r="E295" s="330" t="str">
        <f>IF($A295="","",IF($J295="DIESEL",SUMIFS(Table1[Amount],Table1[Customer],$M$3,Table1[Date],$A295,Table1[Bill No.],$B295),IF($J295="PETROL",SUMIFS(Table14[Amount],Table14[Customer],$M$3,Table14[Date],$A295,Table14[Bill No.],$B295),IF($J295="XtraGreen",SUMIFS(Table146[Amount],Table146[Company],$M$3,Table146[Date],$A295,Table146[Bill No.],$B295),SUMIFS('Other Sale'!$D:$D,'Other Sale'!$E:$E,$M$3,'Other Sale'!$C:$C,$J295,'Other Sale'!$A:$A,$A295)))))</f>
        <v/>
      </c>
      <c r="F295" s="330" t="str" cm="1">
        <f t="array" ref="F295">IF($A295="","",IF($J295="Payment",IFERROR(INDEX(_xlfn._xlws.FILTER(MasterPaid[Amount Paid],(MasterPaid[Customer]=$M$3)*(MasterPaid[Date]=$A295)),COUNTIFS($A$6:$A295,$A295,$J$6:$J295,"Payment")),0),0))</f>
        <v/>
      </c>
      <c r="G295" s="331"/>
      <c r="H295" s="331"/>
      <c r="I295" s="330" t="str">
        <f t="shared" si="14"/>
        <v/>
      </c>
      <c r="J295" s="318" t="str" cm="1">
        <f t="array" ref="J295">IFERROR(INDEX(_xlfn.ANCHORARRAY($P$6),ROW()-5,3),"")</f>
        <v/>
      </c>
      <c r="K295" s="432" t="str" cm="1">
        <f t="array" ref="K295">IF(OR($A295="",$J295&lt;&gt;"DIESEL"),"",_xlfn.LET(_xlpm.qty,N($C295),_xlpm.pos,$T$5:$T$54,_xlpm.alo,IF($U$5:$U$54="",0,$U$5:$U$54),_xlpm.usd,SUMIFS($C$6:$C294,$K$6:$K294,_xlpm.pos&amp;""),_xlpm.bal,_xlpm.alo-_xlpm.usd,IFERROR(INDEX(_xlfn._xlws.FILTER(_xlpm.pos,(_xlpm.pos&lt;&gt;"")*(_xlpm.qty&gt;0)*(_xlpm.bal&gt;=_xlpm.qty)),1),"")))</f>
        <v/>
      </c>
      <c r="L295" s="290"/>
    </row>
    <row r="296" spans="1:12" ht="23" x14ac:dyDescent="0.25">
      <c r="A296" s="221" t="str" cm="1">
        <f t="array" ref="A296">IFERROR(INDEX(_xlfn.ANCHORARRAY($P$6),ROW()-5,1),"")</f>
        <v/>
      </c>
      <c r="B296" s="317" t="str" cm="1">
        <f t="array" ref="B296">IFERROR(INDEX(_xlfn.ANCHORARRAY($P$6),ROW()-5,2),"")</f>
        <v/>
      </c>
      <c r="C296" s="222" t="str">
        <f>IF($A296="","",IF($J296="DIESEL",SUMIFS(Table1[Quantity],Table1[Customer],$M$3,Table1[Date],$A296,Table1[Bill No.],$B296),IF($J296="PETROL",SUMIFS(Table14[Quantity],Table14[Customer],$M$3,Table14[Date],$A296,Table14[Bill No.],$B296),IF($J296="XtraGreen",SUMIFS(Table146[Quantity],Table146[Company],$M$3,Table146[Date],$A296,Table146[Bill No.],$B296),""))))</f>
        <v/>
      </c>
      <c r="D296" s="223" t="str">
        <f>IF($A296="","",IF($J296="DIESEL",AVERAGEIFS(Table1[RSP],Table1[Customer],$M$3,Table1[Date],$A296,Table1[Bill No.],$B296),IF($J296="PETROL",AVERAGEIFS(Table14[RSP],Table14[Customer],$M$3,Table14[Date],$A296,Table14[Bill No.],$B296),IF($J296="XtraGreen",AVERAGEIFS(Table146[RSP],Table146[Company],$M$3,Table146[Date],$A296,Table146[Bill No.],$B296),IFERROR($E296/$C296,"")))))</f>
        <v/>
      </c>
      <c r="E296" s="330" t="str">
        <f>IF($A296="","",IF($J296="DIESEL",SUMIFS(Table1[Amount],Table1[Customer],$M$3,Table1[Date],$A296,Table1[Bill No.],$B296),IF($J296="PETROL",SUMIFS(Table14[Amount],Table14[Customer],$M$3,Table14[Date],$A296,Table14[Bill No.],$B296),IF($J296="XtraGreen",SUMIFS(Table146[Amount],Table146[Company],$M$3,Table146[Date],$A296,Table146[Bill No.],$B296),SUMIFS('Other Sale'!$D:$D,'Other Sale'!$E:$E,$M$3,'Other Sale'!$C:$C,$J296,'Other Sale'!$A:$A,$A296)))))</f>
        <v/>
      </c>
      <c r="F296" s="330" t="str" cm="1">
        <f t="array" ref="F296">IF($A296="","",IF($J296="Payment",IFERROR(INDEX(_xlfn._xlws.FILTER(MasterPaid[Amount Paid],(MasterPaid[Customer]=$M$3)*(MasterPaid[Date]=$A296)),COUNTIFS($A$6:$A296,$A296,$J$6:$J296,"Payment")),0),0))</f>
        <v/>
      </c>
      <c r="G296" s="331"/>
      <c r="H296" s="331"/>
      <c r="I296" s="330" t="str">
        <f t="shared" si="14"/>
        <v/>
      </c>
      <c r="J296" s="318" t="str" cm="1">
        <f t="array" ref="J296">IFERROR(INDEX(_xlfn.ANCHORARRAY($P$6),ROW()-5,3),"")</f>
        <v/>
      </c>
      <c r="K296" s="432" t="str" cm="1">
        <f t="array" ref="K296">IF(OR($A296="",$J296&lt;&gt;"DIESEL"),"",_xlfn.LET(_xlpm.qty,N($C296),_xlpm.pos,$T$5:$T$54,_xlpm.alo,IF($U$5:$U$54="",0,$U$5:$U$54),_xlpm.usd,SUMIFS($C$6:$C295,$K$6:$K295,_xlpm.pos&amp;""),_xlpm.bal,_xlpm.alo-_xlpm.usd,IFERROR(INDEX(_xlfn._xlws.FILTER(_xlpm.pos,(_xlpm.pos&lt;&gt;"")*(_xlpm.qty&gt;0)*(_xlpm.bal&gt;=_xlpm.qty)),1),"")))</f>
        <v/>
      </c>
      <c r="L296" s="290"/>
    </row>
    <row r="297" spans="1:12" ht="23" x14ac:dyDescent="0.25">
      <c r="A297" s="221" t="str" cm="1">
        <f t="array" ref="A297">IFERROR(INDEX(_xlfn.ANCHORARRAY($P$6),ROW()-5,1),"")</f>
        <v/>
      </c>
      <c r="B297" s="317" t="str" cm="1">
        <f t="array" ref="B297">IFERROR(INDEX(_xlfn.ANCHORARRAY($P$6),ROW()-5,2),"")</f>
        <v/>
      </c>
      <c r="C297" s="222" t="str">
        <f>IF($A297="","",IF($J297="DIESEL",SUMIFS(Table1[Quantity],Table1[Customer],$M$3,Table1[Date],$A297,Table1[Bill No.],$B297),IF($J297="PETROL",SUMIFS(Table14[Quantity],Table14[Customer],$M$3,Table14[Date],$A297,Table14[Bill No.],$B297),IF($J297="XtraGreen",SUMIFS(Table146[Quantity],Table146[Company],$M$3,Table146[Date],$A297,Table146[Bill No.],$B297),""))))</f>
        <v/>
      </c>
      <c r="D297" s="223" t="str">
        <f>IF($A297="","",IF($J297="DIESEL",AVERAGEIFS(Table1[RSP],Table1[Customer],$M$3,Table1[Date],$A297,Table1[Bill No.],$B297),IF($J297="PETROL",AVERAGEIFS(Table14[RSP],Table14[Customer],$M$3,Table14[Date],$A297,Table14[Bill No.],$B297),IF($J297="XtraGreen",AVERAGEIFS(Table146[RSP],Table146[Company],$M$3,Table146[Date],$A297,Table146[Bill No.],$B297),IFERROR($E297/$C297,"")))))</f>
        <v/>
      </c>
      <c r="E297" s="330" t="str">
        <f>IF($A297="","",IF($J297="DIESEL",SUMIFS(Table1[Amount],Table1[Customer],$M$3,Table1[Date],$A297,Table1[Bill No.],$B297),IF($J297="PETROL",SUMIFS(Table14[Amount],Table14[Customer],$M$3,Table14[Date],$A297,Table14[Bill No.],$B297),IF($J297="XtraGreen",SUMIFS(Table146[Amount],Table146[Company],$M$3,Table146[Date],$A297,Table146[Bill No.],$B297),SUMIFS('Other Sale'!$D:$D,'Other Sale'!$E:$E,$M$3,'Other Sale'!$C:$C,$J297,'Other Sale'!$A:$A,$A297)))))</f>
        <v/>
      </c>
      <c r="F297" s="330" t="str" cm="1">
        <f t="array" ref="F297">IF($A297="","",IF($J297="Payment",IFERROR(INDEX(_xlfn._xlws.FILTER(MasterPaid[Amount Paid],(MasterPaid[Customer]=$M$3)*(MasterPaid[Date]=$A297)),COUNTIFS($A$6:$A297,$A297,$J$6:$J297,"Payment")),0),0))</f>
        <v/>
      </c>
      <c r="G297" s="331"/>
      <c r="H297" s="331"/>
      <c r="I297" s="330" t="str">
        <f t="shared" si="14"/>
        <v/>
      </c>
      <c r="J297" s="318" t="str" cm="1">
        <f t="array" ref="J297">IFERROR(INDEX(_xlfn.ANCHORARRAY($P$6),ROW()-5,3),"")</f>
        <v/>
      </c>
      <c r="K297" s="432" t="str" cm="1">
        <f t="array" ref="K297">IF(OR($A297="",$J297&lt;&gt;"DIESEL"),"",_xlfn.LET(_xlpm.qty,N($C297),_xlpm.pos,$T$5:$T$54,_xlpm.alo,IF($U$5:$U$54="",0,$U$5:$U$54),_xlpm.usd,SUMIFS($C$6:$C296,$K$6:$K296,_xlpm.pos&amp;""),_xlpm.bal,_xlpm.alo-_xlpm.usd,IFERROR(INDEX(_xlfn._xlws.FILTER(_xlpm.pos,(_xlpm.pos&lt;&gt;"")*(_xlpm.qty&gt;0)*(_xlpm.bal&gt;=_xlpm.qty)),1),"")))</f>
        <v/>
      </c>
      <c r="L297" s="290"/>
    </row>
    <row r="298" spans="1:12" ht="23" x14ac:dyDescent="0.25">
      <c r="A298" s="221" t="str" cm="1">
        <f t="array" ref="A298">IFERROR(INDEX(_xlfn.ANCHORARRAY($P$6),ROW()-5,1),"")</f>
        <v/>
      </c>
      <c r="B298" s="317" t="str" cm="1">
        <f t="array" ref="B298">IFERROR(INDEX(_xlfn.ANCHORARRAY($P$6),ROW()-5,2),"")</f>
        <v/>
      </c>
      <c r="C298" s="222" t="str">
        <f>IF($A298="","",IF($J298="DIESEL",SUMIFS(Table1[Quantity],Table1[Customer],$M$3,Table1[Date],$A298,Table1[Bill No.],$B298),IF($J298="PETROL",SUMIFS(Table14[Quantity],Table14[Customer],$M$3,Table14[Date],$A298,Table14[Bill No.],$B298),IF($J298="XtraGreen",SUMIFS(Table146[Quantity],Table146[Company],$M$3,Table146[Date],$A298,Table146[Bill No.],$B298),""))))</f>
        <v/>
      </c>
      <c r="D298" s="223" t="str">
        <f>IF($A298="","",IF($J298="DIESEL",AVERAGEIFS(Table1[RSP],Table1[Customer],$M$3,Table1[Date],$A298,Table1[Bill No.],$B298),IF($J298="PETROL",AVERAGEIFS(Table14[RSP],Table14[Customer],$M$3,Table14[Date],$A298,Table14[Bill No.],$B298),IF($J298="XtraGreen",AVERAGEIFS(Table146[RSP],Table146[Company],$M$3,Table146[Date],$A298,Table146[Bill No.],$B298),IFERROR($E298/$C298,"")))))</f>
        <v/>
      </c>
      <c r="E298" s="330" t="str">
        <f>IF($A298="","",IF($J298="DIESEL",SUMIFS(Table1[Amount],Table1[Customer],$M$3,Table1[Date],$A298,Table1[Bill No.],$B298),IF($J298="PETROL",SUMIFS(Table14[Amount],Table14[Customer],$M$3,Table14[Date],$A298,Table14[Bill No.],$B298),IF($J298="XtraGreen",SUMIFS(Table146[Amount],Table146[Company],$M$3,Table146[Date],$A298,Table146[Bill No.],$B298),SUMIFS('Other Sale'!$D:$D,'Other Sale'!$E:$E,$M$3,'Other Sale'!$C:$C,$J298,'Other Sale'!$A:$A,$A298)))))</f>
        <v/>
      </c>
      <c r="F298" s="330" t="str" cm="1">
        <f t="array" ref="F298">IF($A298="","",IF($J298="Payment",IFERROR(INDEX(_xlfn._xlws.FILTER(MasterPaid[Amount Paid],(MasterPaid[Customer]=$M$3)*(MasterPaid[Date]=$A298)),COUNTIFS($A$6:$A298,$A298,$J$6:$J298,"Payment")),0),0))</f>
        <v/>
      </c>
      <c r="G298" s="331"/>
      <c r="H298" s="331"/>
      <c r="I298" s="330" t="str">
        <f t="shared" si="14"/>
        <v/>
      </c>
      <c r="J298" s="318" t="str" cm="1">
        <f t="array" ref="J298">IFERROR(INDEX(_xlfn.ANCHORARRAY($P$6),ROW()-5,3),"")</f>
        <v/>
      </c>
      <c r="K298" s="432" t="str" cm="1">
        <f t="array" ref="K298">IF(OR($A298="",$J298&lt;&gt;"DIESEL"),"",_xlfn.LET(_xlpm.qty,N($C298),_xlpm.pos,$T$5:$T$54,_xlpm.alo,IF($U$5:$U$54="",0,$U$5:$U$54),_xlpm.usd,SUMIFS($C$6:$C297,$K$6:$K297,_xlpm.pos&amp;""),_xlpm.bal,_xlpm.alo-_xlpm.usd,IFERROR(INDEX(_xlfn._xlws.FILTER(_xlpm.pos,(_xlpm.pos&lt;&gt;"")*(_xlpm.qty&gt;0)*(_xlpm.bal&gt;=_xlpm.qty)),1),"")))</f>
        <v/>
      </c>
      <c r="L298" s="290"/>
    </row>
    <row r="299" spans="1:12" ht="23" x14ac:dyDescent="0.25">
      <c r="A299" s="221" t="str" cm="1">
        <f t="array" ref="A299">IFERROR(INDEX(_xlfn.ANCHORARRAY($P$6),ROW()-5,1),"")</f>
        <v/>
      </c>
      <c r="B299" s="317" t="str" cm="1">
        <f t="array" ref="B299">IFERROR(INDEX(_xlfn.ANCHORARRAY($P$6),ROW()-5,2),"")</f>
        <v/>
      </c>
      <c r="C299" s="222" t="str">
        <f>IF($A299="","",IF($J299="DIESEL",SUMIFS(Table1[Quantity],Table1[Customer],$M$3,Table1[Date],$A299,Table1[Bill No.],$B299),IF($J299="PETROL",SUMIFS(Table14[Quantity],Table14[Customer],$M$3,Table14[Date],$A299,Table14[Bill No.],$B299),IF($J299="XtraGreen",SUMIFS(Table146[Quantity],Table146[Company],$M$3,Table146[Date],$A299,Table146[Bill No.],$B299),""))))</f>
        <v/>
      </c>
      <c r="D299" s="223" t="str">
        <f>IF($A299="","",IF($J299="DIESEL",AVERAGEIFS(Table1[RSP],Table1[Customer],$M$3,Table1[Date],$A299,Table1[Bill No.],$B299),IF($J299="PETROL",AVERAGEIFS(Table14[RSP],Table14[Customer],$M$3,Table14[Date],$A299,Table14[Bill No.],$B299),IF($J299="XtraGreen",AVERAGEIFS(Table146[RSP],Table146[Company],$M$3,Table146[Date],$A299,Table146[Bill No.],$B299),IFERROR($E299/$C299,"")))))</f>
        <v/>
      </c>
      <c r="E299" s="330" t="str">
        <f>IF($A299="","",IF($J299="DIESEL",SUMIFS(Table1[Amount],Table1[Customer],$M$3,Table1[Date],$A299,Table1[Bill No.],$B299),IF($J299="PETROL",SUMIFS(Table14[Amount],Table14[Customer],$M$3,Table14[Date],$A299,Table14[Bill No.],$B299),IF($J299="XtraGreen",SUMIFS(Table146[Amount],Table146[Company],$M$3,Table146[Date],$A299,Table146[Bill No.],$B299),SUMIFS('Other Sale'!$D:$D,'Other Sale'!$E:$E,$M$3,'Other Sale'!$C:$C,$J299,'Other Sale'!$A:$A,$A299)))))</f>
        <v/>
      </c>
      <c r="F299" s="330" t="str" cm="1">
        <f t="array" ref="F299">IF($A299="","",IF($J299="Payment",IFERROR(INDEX(_xlfn._xlws.FILTER(MasterPaid[Amount Paid],(MasterPaid[Customer]=$M$3)*(MasterPaid[Date]=$A299)),COUNTIFS($A$6:$A299,$A299,$J$6:$J299,"Payment")),0),0))</f>
        <v/>
      </c>
      <c r="G299" s="331"/>
      <c r="H299" s="331"/>
      <c r="I299" s="330" t="str">
        <f t="shared" si="14"/>
        <v/>
      </c>
      <c r="J299" s="318" t="str" cm="1">
        <f t="array" ref="J299">IFERROR(INDEX(_xlfn.ANCHORARRAY($P$6),ROW()-5,3),"")</f>
        <v/>
      </c>
      <c r="K299" s="432" t="str" cm="1">
        <f t="array" ref="K299">IF(OR($A299="",$J299&lt;&gt;"DIESEL"),"",_xlfn.LET(_xlpm.qty,N($C299),_xlpm.pos,$T$5:$T$54,_xlpm.alo,IF($U$5:$U$54="",0,$U$5:$U$54),_xlpm.usd,SUMIFS($C$6:$C298,$K$6:$K298,_xlpm.pos&amp;""),_xlpm.bal,_xlpm.alo-_xlpm.usd,IFERROR(INDEX(_xlfn._xlws.FILTER(_xlpm.pos,(_xlpm.pos&lt;&gt;"")*(_xlpm.qty&gt;0)*(_xlpm.bal&gt;=_xlpm.qty)),1),"")))</f>
        <v/>
      </c>
      <c r="L299" s="290"/>
    </row>
    <row r="300" spans="1:12" ht="23" x14ac:dyDescent="0.25">
      <c r="A300" s="221" t="str" cm="1">
        <f t="array" ref="A300">IFERROR(INDEX(_xlfn.ANCHORARRAY($P$6),ROW()-5,1),"")</f>
        <v/>
      </c>
      <c r="B300" s="317" t="str" cm="1">
        <f t="array" ref="B300">IFERROR(INDEX(_xlfn.ANCHORARRAY($P$6),ROW()-5,2),"")</f>
        <v/>
      </c>
      <c r="C300" s="222" t="str">
        <f>IF($A300="","",IF($J300="DIESEL",SUMIFS(Table1[Quantity],Table1[Customer],$M$3,Table1[Date],$A300,Table1[Bill No.],$B300),IF($J300="PETROL",SUMIFS(Table14[Quantity],Table14[Customer],$M$3,Table14[Date],$A300,Table14[Bill No.],$B300),IF($J300="XtraGreen",SUMIFS(Table146[Quantity],Table146[Company],$M$3,Table146[Date],$A300,Table146[Bill No.],$B300),""))))</f>
        <v/>
      </c>
      <c r="D300" s="223" t="str">
        <f>IF($A300="","",IF($J300="DIESEL",AVERAGEIFS(Table1[RSP],Table1[Customer],$M$3,Table1[Date],$A300,Table1[Bill No.],$B300),IF($J300="PETROL",AVERAGEIFS(Table14[RSP],Table14[Customer],$M$3,Table14[Date],$A300,Table14[Bill No.],$B300),IF($J300="XtraGreen",AVERAGEIFS(Table146[RSP],Table146[Company],$M$3,Table146[Date],$A300,Table146[Bill No.],$B300),IFERROR($E300/$C300,"")))))</f>
        <v/>
      </c>
      <c r="E300" s="330" t="str">
        <f>IF($A300="","",IF($J300="DIESEL",SUMIFS(Table1[Amount],Table1[Customer],$M$3,Table1[Date],$A300,Table1[Bill No.],$B300),IF($J300="PETROL",SUMIFS(Table14[Amount],Table14[Customer],$M$3,Table14[Date],$A300,Table14[Bill No.],$B300),IF($J300="XtraGreen",SUMIFS(Table146[Amount],Table146[Company],$M$3,Table146[Date],$A300,Table146[Bill No.],$B300),SUMIFS('Other Sale'!$D:$D,'Other Sale'!$E:$E,$M$3,'Other Sale'!$C:$C,$J300,'Other Sale'!$A:$A,$A300)))))</f>
        <v/>
      </c>
      <c r="F300" s="330" t="str" cm="1">
        <f t="array" ref="F300">IF($A300="","",IF($J300="Payment",IFERROR(INDEX(_xlfn._xlws.FILTER(MasterPaid[Amount Paid],(MasterPaid[Customer]=$M$3)*(MasterPaid[Date]=$A300)),COUNTIFS($A$6:$A300,$A300,$J$6:$J300,"Payment")),0),0))</f>
        <v/>
      </c>
      <c r="G300" s="331"/>
      <c r="H300" s="331"/>
      <c r="I300" s="330" t="str">
        <f t="shared" si="14"/>
        <v/>
      </c>
      <c r="J300" s="318" t="str" cm="1">
        <f t="array" ref="J300">IFERROR(INDEX(_xlfn.ANCHORARRAY($P$6),ROW()-5,3),"")</f>
        <v/>
      </c>
      <c r="K300" s="432" t="str" cm="1">
        <f t="array" ref="K300">IF(OR($A300="",$J300&lt;&gt;"DIESEL"),"",_xlfn.LET(_xlpm.qty,N($C300),_xlpm.pos,$T$5:$T$54,_xlpm.alo,IF($U$5:$U$54="",0,$U$5:$U$54),_xlpm.usd,SUMIFS($C$6:$C299,$K$6:$K299,_xlpm.pos&amp;""),_xlpm.bal,_xlpm.alo-_xlpm.usd,IFERROR(INDEX(_xlfn._xlws.FILTER(_xlpm.pos,(_xlpm.pos&lt;&gt;"")*(_xlpm.qty&gt;0)*(_xlpm.bal&gt;=_xlpm.qty)),1),"")))</f>
        <v/>
      </c>
      <c r="L300" s="290"/>
    </row>
    <row r="301" spans="1:12" ht="23" x14ac:dyDescent="0.25">
      <c r="A301" s="221" t="str" cm="1">
        <f t="array" ref="A301">IFERROR(INDEX(_xlfn.ANCHORARRAY($P$6),ROW()-5,1),"")</f>
        <v/>
      </c>
      <c r="B301" s="317" t="str" cm="1">
        <f t="array" ref="B301">IFERROR(INDEX(_xlfn.ANCHORARRAY($P$6),ROW()-5,2),"")</f>
        <v/>
      </c>
      <c r="C301" s="222" t="str">
        <f>IF($A301="","",IF($J301="DIESEL",SUMIFS(Table1[Quantity],Table1[Customer],$M$3,Table1[Date],$A301,Table1[Bill No.],$B301),IF($J301="PETROL",SUMIFS(Table14[Quantity],Table14[Customer],$M$3,Table14[Date],$A301,Table14[Bill No.],$B301),IF($J301="XtraGreen",SUMIFS(Table146[Quantity],Table146[Company],$M$3,Table146[Date],$A301,Table146[Bill No.],$B301),""))))</f>
        <v/>
      </c>
      <c r="D301" s="223" t="str">
        <f>IF($A301="","",IF($J301="DIESEL",AVERAGEIFS(Table1[RSP],Table1[Customer],$M$3,Table1[Date],$A301,Table1[Bill No.],$B301),IF($J301="PETROL",AVERAGEIFS(Table14[RSP],Table14[Customer],$M$3,Table14[Date],$A301,Table14[Bill No.],$B301),IF($J301="XtraGreen",AVERAGEIFS(Table146[RSP],Table146[Company],$M$3,Table146[Date],$A301,Table146[Bill No.],$B301),IFERROR($E301/$C301,"")))))</f>
        <v/>
      </c>
      <c r="E301" s="330" t="str">
        <f>IF($A301="","",IF($J301="DIESEL",SUMIFS(Table1[Amount],Table1[Customer],$M$3,Table1[Date],$A301,Table1[Bill No.],$B301),IF($J301="PETROL",SUMIFS(Table14[Amount],Table14[Customer],$M$3,Table14[Date],$A301,Table14[Bill No.],$B301),IF($J301="XtraGreen",SUMIFS(Table146[Amount],Table146[Company],$M$3,Table146[Date],$A301,Table146[Bill No.],$B301),SUMIFS('Other Sale'!$D:$D,'Other Sale'!$E:$E,$M$3,'Other Sale'!$C:$C,$J301,'Other Sale'!$A:$A,$A301)))))</f>
        <v/>
      </c>
      <c r="F301" s="330" t="str" cm="1">
        <f t="array" ref="F301">IF($A301="","",IF($J301="Payment",IFERROR(INDEX(_xlfn._xlws.FILTER(MasterPaid[Amount Paid],(MasterPaid[Customer]=$M$3)*(MasterPaid[Date]=$A301)),COUNTIFS($A$6:$A301,$A301,$J$6:$J301,"Payment")),0),0))</f>
        <v/>
      </c>
      <c r="G301" s="331"/>
      <c r="H301" s="331"/>
      <c r="I301" s="330" t="str">
        <f t="shared" si="14"/>
        <v/>
      </c>
      <c r="J301" s="318" t="str" cm="1">
        <f t="array" ref="J301">IFERROR(INDEX(_xlfn.ANCHORARRAY($P$6),ROW()-5,3),"")</f>
        <v/>
      </c>
      <c r="K301" s="432" t="str" cm="1">
        <f t="array" ref="K301">IF(OR($A301="",$J301&lt;&gt;"DIESEL"),"",_xlfn.LET(_xlpm.qty,N($C301),_xlpm.pos,$T$5:$T$54,_xlpm.alo,IF($U$5:$U$54="",0,$U$5:$U$54),_xlpm.usd,SUMIFS($C$6:$C300,$K$6:$K300,_xlpm.pos&amp;""),_xlpm.bal,_xlpm.alo-_xlpm.usd,IFERROR(INDEX(_xlfn._xlws.FILTER(_xlpm.pos,(_xlpm.pos&lt;&gt;"")*(_xlpm.qty&gt;0)*(_xlpm.bal&gt;=_xlpm.qty)),1),"")))</f>
        <v/>
      </c>
      <c r="L301" s="290"/>
    </row>
    <row r="302" spans="1:12" ht="23" x14ac:dyDescent="0.25">
      <c r="A302" s="221" t="str" cm="1">
        <f t="array" ref="A302">IFERROR(INDEX(_xlfn.ANCHORARRAY($P$6),ROW()-5,1),"")</f>
        <v/>
      </c>
      <c r="B302" s="317" t="str" cm="1">
        <f t="array" ref="B302">IFERROR(INDEX(_xlfn.ANCHORARRAY($P$6),ROW()-5,2),"")</f>
        <v/>
      </c>
      <c r="C302" s="222" t="str">
        <f>IF($A302="","",IF($J302="DIESEL",SUMIFS(Table1[Quantity],Table1[Customer],$M$3,Table1[Date],$A302,Table1[Bill No.],$B302),IF($J302="PETROL",SUMIFS(Table14[Quantity],Table14[Customer],$M$3,Table14[Date],$A302,Table14[Bill No.],$B302),IF($J302="XtraGreen",SUMIFS(Table146[Quantity],Table146[Company],$M$3,Table146[Date],$A302,Table146[Bill No.],$B302),""))))</f>
        <v/>
      </c>
      <c r="D302" s="223" t="str">
        <f>IF($A302="","",IF($J302="DIESEL",AVERAGEIFS(Table1[RSP],Table1[Customer],$M$3,Table1[Date],$A302,Table1[Bill No.],$B302),IF($J302="PETROL",AVERAGEIFS(Table14[RSP],Table14[Customer],$M$3,Table14[Date],$A302,Table14[Bill No.],$B302),IF($J302="XtraGreen",AVERAGEIFS(Table146[RSP],Table146[Company],$M$3,Table146[Date],$A302,Table146[Bill No.],$B302),IFERROR($E302/$C302,"")))))</f>
        <v/>
      </c>
      <c r="E302" s="330" t="str">
        <f>IF($A302="","",IF($J302="DIESEL",SUMIFS(Table1[Amount],Table1[Customer],$M$3,Table1[Date],$A302,Table1[Bill No.],$B302),IF($J302="PETROL",SUMIFS(Table14[Amount],Table14[Customer],$M$3,Table14[Date],$A302,Table14[Bill No.],$B302),IF($J302="XtraGreen",SUMIFS(Table146[Amount],Table146[Company],$M$3,Table146[Date],$A302,Table146[Bill No.],$B302),SUMIFS('Other Sale'!$D:$D,'Other Sale'!$E:$E,$M$3,'Other Sale'!$C:$C,$J302,'Other Sale'!$A:$A,$A302)))))</f>
        <v/>
      </c>
      <c r="F302" s="330" t="str" cm="1">
        <f t="array" ref="F302">IF($A302="","",IF($J302="Payment",IFERROR(INDEX(_xlfn._xlws.FILTER(MasterPaid[Amount Paid],(MasterPaid[Customer]=$M$3)*(MasterPaid[Date]=$A302)),COUNTIFS($A$6:$A302,$A302,$J$6:$J302,"Payment")),0),0))</f>
        <v/>
      </c>
      <c r="G302" s="331"/>
      <c r="H302" s="331"/>
      <c r="I302" s="330" t="str">
        <f t="shared" si="14"/>
        <v/>
      </c>
      <c r="J302" s="318" t="str" cm="1">
        <f t="array" ref="J302">IFERROR(INDEX(_xlfn.ANCHORARRAY($P$6),ROW()-5,3),"")</f>
        <v/>
      </c>
      <c r="K302" s="432" t="str" cm="1">
        <f t="array" ref="K302">IF(OR($A302="",$J302&lt;&gt;"DIESEL"),"",_xlfn.LET(_xlpm.qty,N($C302),_xlpm.pos,$T$5:$T$54,_xlpm.alo,IF($U$5:$U$54="",0,$U$5:$U$54),_xlpm.usd,SUMIFS($C$6:$C301,$K$6:$K301,_xlpm.pos&amp;""),_xlpm.bal,_xlpm.alo-_xlpm.usd,IFERROR(INDEX(_xlfn._xlws.FILTER(_xlpm.pos,(_xlpm.pos&lt;&gt;"")*(_xlpm.qty&gt;0)*(_xlpm.bal&gt;=_xlpm.qty)),1),"")))</f>
        <v/>
      </c>
      <c r="L302" s="290"/>
    </row>
    <row r="303" spans="1:12" ht="23" x14ac:dyDescent="0.25">
      <c r="A303" s="221" t="str" cm="1">
        <f t="array" ref="A303">IFERROR(INDEX(_xlfn.ANCHORARRAY($P$6),ROW()-5,1),"")</f>
        <v/>
      </c>
      <c r="B303" s="317" t="str" cm="1">
        <f t="array" ref="B303">IFERROR(INDEX(_xlfn.ANCHORARRAY($P$6),ROW()-5,2),"")</f>
        <v/>
      </c>
      <c r="C303" s="222" t="str">
        <f>IF($A303="","",IF($J303="DIESEL",SUMIFS(Table1[Quantity],Table1[Customer],$M$3,Table1[Date],$A303,Table1[Bill No.],$B303),IF($J303="PETROL",SUMIFS(Table14[Quantity],Table14[Customer],$M$3,Table14[Date],$A303,Table14[Bill No.],$B303),IF($J303="XtraGreen",SUMIFS(Table146[Quantity],Table146[Company],$M$3,Table146[Date],$A303,Table146[Bill No.],$B303),""))))</f>
        <v/>
      </c>
      <c r="D303" s="223" t="str">
        <f>IF($A303="","",IF($J303="DIESEL",AVERAGEIFS(Table1[RSP],Table1[Customer],$M$3,Table1[Date],$A303,Table1[Bill No.],$B303),IF($J303="PETROL",AVERAGEIFS(Table14[RSP],Table14[Customer],$M$3,Table14[Date],$A303,Table14[Bill No.],$B303),IF($J303="XtraGreen",AVERAGEIFS(Table146[RSP],Table146[Company],$M$3,Table146[Date],$A303,Table146[Bill No.],$B303),IFERROR($E303/$C303,"")))))</f>
        <v/>
      </c>
      <c r="E303" s="330" t="str">
        <f>IF($A303="","",IF($J303="DIESEL",SUMIFS(Table1[Amount],Table1[Customer],$M$3,Table1[Date],$A303,Table1[Bill No.],$B303),IF($J303="PETROL",SUMIFS(Table14[Amount],Table14[Customer],$M$3,Table14[Date],$A303,Table14[Bill No.],$B303),IF($J303="XtraGreen",SUMIFS(Table146[Amount],Table146[Company],$M$3,Table146[Date],$A303,Table146[Bill No.],$B303),SUMIFS('Other Sale'!$D:$D,'Other Sale'!$E:$E,$M$3,'Other Sale'!$C:$C,$J303,'Other Sale'!$A:$A,$A303)))))</f>
        <v/>
      </c>
      <c r="F303" s="330" t="str" cm="1">
        <f t="array" ref="F303">IF($A303="","",IF($J303="Payment",IFERROR(INDEX(_xlfn._xlws.FILTER(MasterPaid[Amount Paid],(MasterPaid[Customer]=$M$3)*(MasterPaid[Date]=$A303)),COUNTIFS($A$6:$A303,$A303,$J$6:$J303,"Payment")),0),0))</f>
        <v/>
      </c>
      <c r="G303" s="331"/>
      <c r="H303" s="331"/>
      <c r="I303" s="330" t="str">
        <f t="shared" si="14"/>
        <v/>
      </c>
      <c r="J303" s="318" t="str" cm="1">
        <f t="array" ref="J303">IFERROR(INDEX(_xlfn.ANCHORARRAY($P$6),ROW()-5,3),"")</f>
        <v/>
      </c>
      <c r="K303" s="432" t="str" cm="1">
        <f t="array" ref="K303">IF(OR($A303="",$J303&lt;&gt;"DIESEL"),"",_xlfn.LET(_xlpm.qty,N($C303),_xlpm.pos,$T$5:$T$54,_xlpm.alo,IF($U$5:$U$54="",0,$U$5:$U$54),_xlpm.usd,SUMIFS($C$6:$C302,$K$6:$K302,_xlpm.pos&amp;""),_xlpm.bal,_xlpm.alo-_xlpm.usd,IFERROR(INDEX(_xlfn._xlws.FILTER(_xlpm.pos,(_xlpm.pos&lt;&gt;"")*(_xlpm.qty&gt;0)*(_xlpm.bal&gt;=_xlpm.qty)),1),"")))</f>
        <v/>
      </c>
      <c r="L303" s="290"/>
    </row>
    <row r="304" spans="1:12" ht="23" x14ac:dyDescent="0.25">
      <c r="A304" s="221" t="str" cm="1">
        <f t="array" ref="A304">IFERROR(INDEX(_xlfn.ANCHORARRAY($P$6),ROW()-5,1),"")</f>
        <v/>
      </c>
      <c r="B304" s="317" t="str" cm="1">
        <f t="array" ref="B304">IFERROR(INDEX(_xlfn.ANCHORARRAY($P$6),ROW()-5,2),"")</f>
        <v/>
      </c>
      <c r="C304" s="222" t="str">
        <f>IF($A304="","",IF($J304="DIESEL",SUMIFS(Table1[Quantity],Table1[Customer],$M$3,Table1[Date],$A304,Table1[Bill No.],$B304),IF($J304="PETROL",SUMIFS(Table14[Quantity],Table14[Customer],$M$3,Table14[Date],$A304,Table14[Bill No.],$B304),IF($J304="XtraGreen",SUMIFS(Table146[Quantity],Table146[Company],$M$3,Table146[Date],$A304,Table146[Bill No.],$B304),""))))</f>
        <v/>
      </c>
      <c r="D304" s="223" t="str">
        <f>IF($A304="","",IF($J304="DIESEL",AVERAGEIFS(Table1[RSP],Table1[Customer],$M$3,Table1[Date],$A304,Table1[Bill No.],$B304),IF($J304="PETROL",AVERAGEIFS(Table14[RSP],Table14[Customer],$M$3,Table14[Date],$A304,Table14[Bill No.],$B304),IF($J304="XtraGreen",AVERAGEIFS(Table146[RSP],Table146[Company],$M$3,Table146[Date],$A304,Table146[Bill No.],$B304),IFERROR($E304/$C304,"")))))</f>
        <v/>
      </c>
      <c r="E304" s="330" t="str">
        <f>IF($A304="","",IF($J304="DIESEL",SUMIFS(Table1[Amount],Table1[Customer],$M$3,Table1[Date],$A304,Table1[Bill No.],$B304),IF($J304="PETROL",SUMIFS(Table14[Amount],Table14[Customer],$M$3,Table14[Date],$A304,Table14[Bill No.],$B304),IF($J304="XtraGreen",SUMIFS(Table146[Amount],Table146[Company],$M$3,Table146[Date],$A304,Table146[Bill No.],$B304),SUMIFS('Other Sale'!$D:$D,'Other Sale'!$E:$E,$M$3,'Other Sale'!$C:$C,$J304,'Other Sale'!$A:$A,$A304)))))</f>
        <v/>
      </c>
      <c r="F304" s="330" t="str" cm="1">
        <f t="array" ref="F304">IF($A304="","",IF($J304="Payment",IFERROR(INDEX(_xlfn._xlws.FILTER(MasterPaid[Amount Paid],(MasterPaid[Customer]=$M$3)*(MasterPaid[Date]=$A304)),COUNTIFS($A$6:$A304,$A304,$J$6:$J304,"Payment")),0),0))</f>
        <v/>
      </c>
      <c r="G304" s="331"/>
      <c r="H304" s="331"/>
      <c r="I304" s="330" t="str">
        <f t="shared" si="14"/>
        <v/>
      </c>
      <c r="J304" s="318" t="str" cm="1">
        <f t="array" ref="J304">IFERROR(INDEX(_xlfn.ANCHORARRAY($P$6),ROW()-5,3),"")</f>
        <v/>
      </c>
      <c r="K304" s="432" t="str" cm="1">
        <f t="array" ref="K304">IF(OR($A304="",$J304&lt;&gt;"DIESEL"),"",_xlfn.LET(_xlpm.qty,N($C304),_xlpm.pos,$T$5:$T$54,_xlpm.alo,IF($U$5:$U$54="",0,$U$5:$U$54),_xlpm.usd,SUMIFS($C$6:$C303,$K$6:$K303,_xlpm.pos&amp;""),_xlpm.bal,_xlpm.alo-_xlpm.usd,IFERROR(INDEX(_xlfn._xlws.FILTER(_xlpm.pos,(_xlpm.pos&lt;&gt;"")*(_xlpm.qty&gt;0)*(_xlpm.bal&gt;=_xlpm.qty)),1),"")))</f>
        <v/>
      </c>
      <c r="L304" s="290"/>
    </row>
    <row r="305" spans="1:12" ht="23" x14ac:dyDescent="0.25">
      <c r="A305" s="221" t="str" cm="1">
        <f t="array" ref="A305">IFERROR(INDEX(_xlfn.ANCHORARRAY($P$6),ROW()-5,1),"")</f>
        <v/>
      </c>
      <c r="B305" s="317" t="str" cm="1">
        <f t="array" ref="B305">IFERROR(INDEX(_xlfn.ANCHORARRAY($P$6),ROW()-5,2),"")</f>
        <v/>
      </c>
      <c r="C305" s="222" t="str">
        <f>IF($A305="","",IF($J305="DIESEL",SUMIFS(Table1[Quantity],Table1[Customer],$M$3,Table1[Date],$A305,Table1[Bill No.],$B305),IF($J305="PETROL",SUMIFS(Table14[Quantity],Table14[Customer],$M$3,Table14[Date],$A305,Table14[Bill No.],$B305),IF($J305="XtraGreen",SUMIFS(Table146[Quantity],Table146[Company],$M$3,Table146[Date],$A305,Table146[Bill No.],$B305),""))))</f>
        <v/>
      </c>
      <c r="D305" s="223" t="str">
        <f>IF($A305="","",IF($J305="DIESEL",AVERAGEIFS(Table1[RSP],Table1[Customer],$M$3,Table1[Date],$A305,Table1[Bill No.],$B305),IF($J305="PETROL",AVERAGEIFS(Table14[RSP],Table14[Customer],$M$3,Table14[Date],$A305,Table14[Bill No.],$B305),IF($J305="XtraGreen",AVERAGEIFS(Table146[RSP],Table146[Company],$M$3,Table146[Date],$A305,Table146[Bill No.],$B305),IFERROR($E305/$C305,"")))))</f>
        <v/>
      </c>
      <c r="E305" s="330" t="str">
        <f>IF($A305="","",IF($J305="DIESEL",SUMIFS(Table1[Amount],Table1[Customer],$M$3,Table1[Date],$A305,Table1[Bill No.],$B305),IF($J305="PETROL",SUMIFS(Table14[Amount],Table14[Customer],$M$3,Table14[Date],$A305,Table14[Bill No.],$B305),IF($J305="XtraGreen",SUMIFS(Table146[Amount],Table146[Company],$M$3,Table146[Date],$A305,Table146[Bill No.],$B305),SUMIFS('Other Sale'!$D:$D,'Other Sale'!$E:$E,$M$3,'Other Sale'!$C:$C,$J305,'Other Sale'!$A:$A,$A305)))))</f>
        <v/>
      </c>
      <c r="F305" s="330" t="str" cm="1">
        <f t="array" ref="F305">IF($A305="","",IF($J305="Payment",IFERROR(INDEX(_xlfn._xlws.FILTER(MasterPaid[Amount Paid],(MasterPaid[Customer]=$M$3)*(MasterPaid[Date]=$A305)),COUNTIFS($A$6:$A305,$A305,$J$6:$J305,"Payment")),0),0))</f>
        <v/>
      </c>
      <c r="G305" s="331"/>
      <c r="H305" s="331"/>
      <c r="I305" s="330" t="str">
        <f t="shared" si="14"/>
        <v/>
      </c>
      <c r="J305" s="318" t="str" cm="1">
        <f t="array" ref="J305">IFERROR(INDEX(_xlfn.ANCHORARRAY($P$6),ROW()-5,3),"")</f>
        <v/>
      </c>
      <c r="K305" s="432" t="str" cm="1">
        <f t="array" ref="K305">IF(OR($A305="",$J305&lt;&gt;"DIESEL"),"",_xlfn.LET(_xlpm.qty,N($C305),_xlpm.pos,$T$5:$T$54,_xlpm.alo,IF($U$5:$U$54="",0,$U$5:$U$54),_xlpm.usd,SUMIFS($C$6:$C304,$K$6:$K304,_xlpm.pos&amp;""),_xlpm.bal,_xlpm.alo-_xlpm.usd,IFERROR(INDEX(_xlfn._xlws.FILTER(_xlpm.pos,(_xlpm.pos&lt;&gt;"")*(_xlpm.qty&gt;0)*(_xlpm.bal&gt;=_xlpm.qty)),1),"")))</f>
        <v/>
      </c>
      <c r="L305" s="290"/>
    </row>
    <row r="306" spans="1:12" ht="23" x14ac:dyDescent="0.25">
      <c r="A306" s="221" t="str" cm="1">
        <f t="array" ref="A306">IFERROR(INDEX(_xlfn.ANCHORARRAY($P$6),ROW()-5,1),"")</f>
        <v/>
      </c>
      <c r="B306" s="317" t="str" cm="1">
        <f t="array" ref="B306">IFERROR(INDEX(_xlfn.ANCHORARRAY($P$6),ROW()-5,2),"")</f>
        <v/>
      </c>
      <c r="C306" s="222" t="str">
        <f>IF($A306="","",IF($J306="DIESEL",SUMIFS(Table1[Quantity],Table1[Customer],$M$3,Table1[Date],$A306,Table1[Bill No.],$B306),IF($J306="PETROL",SUMIFS(Table14[Quantity],Table14[Customer],$M$3,Table14[Date],$A306,Table14[Bill No.],$B306),IF($J306="XtraGreen",SUMIFS(Table146[Quantity],Table146[Company],$M$3,Table146[Date],$A306,Table146[Bill No.],$B306),""))))</f>
        <v/>
      </c>
      <c r="D306" s="223" t="str">
        <f>IF($A306="","",IF($J306="DIESEL",AVERAGEIFS(Table1[RSP],Table1[Customer],$M$3,Table1[Date],$A306,Table1[Bill No.],$B306),IF($J306="PETROL",AVERAGEIFS(Table14[RSP],Table14[Customer],$M$3,Table14[Date],$A306,Table14[Bill No.],$B306),IF($J306="XtraGreen",AVERAGEIFS(Table146[RSP],Table146[Company],$M$3,Table146[Date],$A306,Table146[Bill No.],$B306),IFERROR($E306/$C306,"")))))</f>
        <v/>
      </c>
      <c r="E306" s="330" t="str">
        <f>IF($A306="","",IF($J306="DIESEL",SUMIFS(Table1[Amount],Table1[Customer],$M$3,Table1[Date],$A306,Table1[Bill No.],$B306),IF($J306="PETROL",SUMIFS(Table14[Amount],Table14[Customer],$M$3,Table14[Date],$A306,Table14[Bill No.],$B306),IF($J306="XtraGreen",SUMIFS(Table146[Amount],Table146[Company],$M$3,Table146[Date],$A306,Table146[Bill No.],$B306),SUMIFS('Other Sale'!$D:$D,'Other Sale'!$E:$E,$M$3,'Other Sale'!$C:$C,$J306,'Other Sale'!$A:$A,$A306)))))</f>
        <v/>
      </c>
      <c r="F306" s="330" t="str" cm="1">
        <f t="array" ref="F306">IF($A306="","",IF($J306="Payment",IFERROR(INDEX(_xlfn._xlws.FILTER(MasterPaid[Amount Paid],(MasterPaid[Customer]=$M$3)*(MasterPaid[Date]=$A306)),COUNTIFS($A$6:$A306,$A306,$J$6:$J306,"Payment")),0),0))</f>
        <v/>
      </c>
      <c r="G306" s="331"/>
      <c r="H306" s="331"/>
      <c r="I306" s="330" t="str">
        <f t="shared" si="14"/>
        <v/>
      </c>
      <c r="J306" s="318" t="str" cm="1">
        <f t="array" ref="J306">IFERROR(INDEX(_xlfn.ANCHORARRAY($P$6),ROW()-5,3),"")</f>
        <v/>
      </c>
      <c r="K306" s="432" t="str" cm="1">
        <f t="array" ref="K306">IF(OR($A306="",$J306&lt;&gt;"DIESEL"),"",_xlfn.LET(_xlpm.qty,N($C306),_xlpm.pos,$T$5:$T$54,_xlpm.alo,IF($U$5:$U$54="",0,$U$5:$U$54),_xlpm.usd,SUMIFS($C$6:$C305,$K$6:$K305,_xlpm.pos&amp;""),_xlpm.bal,_xlpm.alo-_xlpm.usd,IFERROR(INDEX(_xlfn._xlws.FILTER(_xlpm.pos,(_xlpm.pos&lt;&gt;"")*(_xlpm.qty&gt;0)*(_xlpm.bal&gt;=_xlpm.qty)),1),"")))</f>
        <v/>
      </c>
      <c r="L306" s="290"/>
    </row>
    <row r="307" spans="1:12" ht="23" x14ac:dyDescent="0.25">
      <c r="A307" s="221" t="str" cm="1">
        <f t="array" ref="A307">IFERROR(INDEX(_xlfn.ANCHORARRAY($P$6),ROW()-5,1),"")</f>
        <v/>
      </c>
      <c r="B307" s="317" t="str" cm="1">
        <f t="array" ref="B307">IFERROR(INDEX(_xlfn.ANCHORARRAY($P$6),ROW()-5,2),"")</f>
        <v/>
      </c>
      <c r="C307" s="222" t="str">
        <f>IF($A307="","",IF($J307="DIESEL",SUMIFS(Table1[Quantity],Table1[Customer],$M$3,Table1[Date],$A307,Table1[Bill No.],$B307),IF($J307="PETROL",SUMIFS(Table14[Quantity],Table14[Customer],$M$3,Table14[Date],$A307,Table14[Bill No.],$B307),IF($J307="XtraGreen",SUMIFS(Table146[Quantity],Table146[Company],$M$3,Table146[Date],$A307,Table146[Bill No.],$B307),""))))</f>
        <v/>
      </c>
      <c r="D307" s="223" t="str">
        <f>IF($A307="","",IF($J307="DIESEL",AVERAGEIFS(Table1[RSP],Table1[Customer],$M$3,Table1[Date],$A307,Table1[Bill No.],$B307),IF($J307="PETROL",AVERAGEIFS(Table14[RSP],Table14[Customer],$M$3,Table14[Date],$A307,Table14[Bill No.],$B307),IF($J307="XtraGreen",AVERAGEIFS(Table146[RSP],Table146[Company],$M$3,Table146[Date],$A307,Table146[Bill No.],$B307),IFERROR($E307/$C307,"")))))</f>
        <v/>
      </c>
      <c r="E307" s="330" t="str">
        <f>IF($A307="","",IF($J307="DIESEL",SUMIFS(Table1[Amount],Table1[Customer],$M$3,Table1[Date],$A307,Table1[Bill No.],$B307),IF($J307="PETROL",SUMIFS(Table14[Amount],Table14[Customer],$M$3,Table14[Date],$A307,Table14[Bill No.],$B307),IF($J307="XtraGreen",SUMIFS(Table146[Amount],Table146[Company],$M$3,Table146[Date],$A307,Table146[Bill No.],$B307),SUMIFS('Other Sale'!$D:$D,'Other Sale'!$E:$E,$M$3,'Other Sale'!$C:$C,$J307,'Other Sale'!$A:$A,$A307)))))</f>
        <v/>
      </c>
      <c r="F307" s="330" t="str" cm="1">
        <f t="array" ref="F307">IF($A307="","",IF($J307="Payment",IFERROR(INDEX(_xlfn._xlws.FILTER(MasterPaid[Amount Paid],(MasterPaid[Customer]=$M$3)*(MasterPaid[Date]=$A307)),COUNTIFS($A$6:$A307,$A307,$J$6:$J307,"Payment")),0),0))</f>
        <v/>
      </c>
      <c r="G307" s="331"/>
      <c r="H307" s="331"/>
      <c r="I307" s="330" t="str">
        <f t="shared" si="14"/>
        <v/>
      </c>
      <c r="J307" s="318" t="str" cm="1">
        <f t="array" ref="J307">IFERROR(INDEX(_xlfn.ANCHORARRAY($P$6),ROW()-5,3),"")</f>
        <v/>
      </c>
      <c r="K307" s="432" t="str" cm="1">
        <f t="array" ref="K307">IF(OR($A307="",$J307&lt;&gt;"DIESEL"),"",_xlfn.LET(_xlpm.qty,N($C307),_xlpm.pos,$T$5:$T$54,_xlpm.alo,IF($U$5:$U$54="",0,$U$5:$U$54),_xlpm.usd,SUMIFS($C$6:$C306,$K$6:$K306,_xlpm.pos&amp;""),_xlpm.bal,_xlpm.alo-_xlpm.usd,IFERROR(INDEX(_xlfn._xlws.FILTER(_xlpm.pos,(_xlpm.pos&lt;&gt;"")*(_xlpm.qty&gt;0)*(_xlpm.bal&gt;=_xlpm.qty)),1),"")))</f>
        <v/>
      </c>
      <c r="L307" s="290"/>
    </row>
    <row r="308" spans="1:12" ht="23" x14ac:dyDescent="0.25">
      <c r="A308" s="221" t="str" cm="1">
        <f t="array" ref="A308">IFERROR(INDEX(_xlfn.ANCHORARRAY($P$6),ROW()-5,1),"")</f>
        <v/>
      </c>
      <c r="B308" s="317" t="str" cm="1">
        <f t="array" ref="B308">IFERROR(INDEX(_xlfn.ANCHORARRAY($P$6),ROW()-5,2),"")</f>
        <v/>
      </c>
      <c r="C308" s="222" t="str">
        <f>IF($A308="","",IF($J308="DIESEL",SUMIFS(Table1[Quantity],Table1[Customer],$M$3,Table1[Date],$A308,Table1[Bill No.],$B308),IF($J308="PETROL",SUMIFS(Table14[Quantity],Table14[Customer],$M$3,Table14[Date],$A308,Table14[Bill No.],$B308),IF($J308="XtraGreen",SUMIFS(Table146[Quantity],Table146[Company],$M$3,Table146[Date],$A308,Table146[Bill No.],$B308),""))))</f>
        <v/>
      </c>
      <c r="D308" s="223" t="str">
        <f>IF($A308="","",IF($J308="DIESEL",AVERAGEIFS(Table1[RSP],Table1[Customer],$M$3,Table1[Date],$A308,Table1[Bill No.],$B308),IF($J308="PETROL",AVERAGEIFS(Table14[RSP],Table14[Customer],$M$3,Table14[Date],$A308,Table14[Bill No.],$B308),IF($J308="XtraGreen",AVERAGEIFS(Table146[RSP],Table146[Company],$M$3,Table146[Date],$A308,Table146[Bill No.],$B308),IFERROR($E308/$C308,"")))))</f>
        <v/>
      </c>
      <c r="E308" s="330" t="str">
        <f>IF($A308="","",IF($J308="DIESEL",SUMIFS(Table1[Amount],Table1[Customer],$M$3,Table1[Date],$A308,Table1[Bill No.],$B308),IF($J308="PETROL",SUMIFS(Table14[Amount],Table14[Customer],$M$3,Table14[Date],$A308,Table14[Bill No.],$B308),IF($J308="XtraGreen",SUMIFS(Table146[Amount],Table146[Company],$M$3,Table146[Date],$A308,Table146[Bill No.],$B308),SUMIFS('Other Sale'!$D:$D,'Other Sale'!$E:$E,$M$3,'Other Sale'!$C:$C,$J308,'Other Sale'!$A:$A,$A308)))))</f>
        <v/>
      </c>
      <c r="F308" s="330" t="str" cm="1">
        <f t="array" ref="F308">IF($A308="","",IF($J308="Payment",IFERROR(INDEX(_xlfn._xlws.FILTER(MasterPaid[Amount Paid],(MasterPaid[Customer]=$M$3)*(MasterPaid[Date]=$A308)),COUNTIFS($A$6:$A308,$A308,$J$6:$J308,"Payment")),0),0))</f>
        <v/>
      </c>
      <c r="G308" s="331"/>
      <c r="H308" s="331"/>
      <c r="I308" s="330" t="str">
        <f t="shared" si="14"/>
        <v/>
      </c>
      <c r="J308" s="318" t="str" cm="1">
        <f t="array" ref="J308">IFERROR(INDEX(_xlfn.ANCHORARRAY($P$6),ROW()-5,3),"")</f>
        <v/>
      </c>
      <c r="K308" s="432" t="str" cm="1">
        <f t="array" ref="K308">IF(OR($A308="",$J308&lt;&gt;"DIESEL"),"",_xlfn.LET(_xlpm.qty,N($C308),_xlpm.pos,$T$5:$T$54,_xlpm.alo,IF($U$5:$U$54="",0,$U$5:$U$54),_xlpm.usd,SUMIFS($C$6:$C307,$K$6:$K307,_xlpm.pos&amp;""),_xlpm.bal,_xlpm.alo-_xlpm.usd,IFERROR(INDEX(_xlfn._xlws.FILTER(_xlpm.pos,(_xlpm.pos&lt;&gt;"")*(_xlpm.qty&gt;0)*(_xlpm.bal&gt;=_xlpm.qty)),1),"")))</f>
        <v/>
      </c>
      <c r="L308" s="290"/>
    </row>
    <row r="309" spans="1:12" ht="23" x14ac:dyDescent="0.25">
      <c r="A309" s="221" t="str" cm="1">
        <f t="array" ref="A309">IFERROR(INDEX(_xlfn.ANCHORARRAY($P$6),ROW()-5,1),"")</f>
        <v/>
      </c>
      <c r="B309" s="317" t="str" cm="1">
        <f t="array" ref="B309">IFERROR(INDEX(_xlfn.ANCHORARRAY($P$6),ROW()-5,2),"")</f>
        <v/>
      </c>
      <c r="C309" s="222" t="str">
        <f>IF($A309="","",IF($J309="DIESEL",SUMIFS(Table1[Quantity],Table1[Customer],$M$3,Table1[Date],$A309,Table1[Bill No.],$B309),IF($J309="PETROL",SUMIFS(Table14[Quantity],Table14[Customer],$M$3,Table14[Date],$A309,Table14[Bill No.],$B309),IF($J309="XtraGreen",SUMIFS(Table146[Quantity],Table146[Company],$M$3,Table146[Date],$A309,Table146[Bill No.],$B309),""))))</f>
        <v/>
      </c>
      <c r="D309" s="223" t="str">
        <f>IF($A309="","",IF($J309="DIESEL",AVERAGEIFS(Table1[RSP],Table1[Customer],$M$3,Table1[Date],$A309,Table1[Bill No.],$B309),IF($J309="PETROL",AVERAGEIFS(Table14[RSP],Table14[Customer],$M$3,Table14[Date],$A309,Table14[Bill No.],$B309),IF($J309="XtraGreen",AVERAGEIFS(Table146[RSP],Table146[Company],$M$3,Table146[Date],$A309,Table146[Bill No.],$B309),IFERROR($E309/$C309,"")))))</f>
        <v/>
      </c>
      <c r="E309" s="330" t="str">
        <f>IF($A309="","",IF($J309="DIESEL",SUMIFS(Table1[Amount],Table1[Customer],$M$3,Table1[Date],$A309,Table1[Bill No.],$B309),IF($J309="PETROL",SUMIFS(Table14[Amount],Table14[Customer],$M$3,Table14[Date],$A309,Table14[Bill No.],$B309),IF($J309="XtraGreen",SUMIFS(Table146[Amount],Table146[Company],$M$3,Table146[Date],$A309,Table146[Bill No.],$B309),SUMIFS('Other Sale'!$D:$D,'Other Sale'!$E:$E,$M$3,'Other Sale'!$C:$C,$J309,'Other Sale'!$A:$A,$A309)))))</f>
        <v/>
      </c>
      <c r="F309" s="330" t="str" cm="1">
        <f t="array" ref="F309">IF($A309="","",IF($J309="Payment",IFERROR(INDEX(_xlfn._xlws.FILTER(MasterPaid[Amount Paid],(MasterPaid[Customer]=$M$3)*(MasterPaid[Date]=$A309)),COUNTIFS($A$6:$A309,$A309,$J$6:$J309,"Payment")),0),0))</f>
        <v/>
      </c>
      <c r="G309" s="331"/>
      <c r="H309" s="331"/>
      <c r="I309" s="330" t="str">
        <f t="shared" si="14"/>
        <v/>
      </c>
      <c r="J309" s="318" t="str" cm="1">
        <f t="array" ref="J309">IFERROR(INDEX(_xlfn.ANCHORARRAY($P$6),ROW()-5,3),"")</f>
        <v/>
      </c>
      <c r="K309" s="432" t="str" cm="1">
        <f t="array" ref="K309">IF(OR($A309="",$J309&lt;&gt;"DIESEL"),"",_xlfn.LET(_xlpm.qty,N($C309),_xlpm.pos,$T$5:$T$54,_xlpm.alo,IF($U$5:$U$54="",0,$U$5:$U$54),_xlpm.usd,SUMIFS($C$6:$C308,$K$6:$K308,_xlpm.pos&amp;""),_xlpm.bal,_xlpm.alo-_xlpm.usd,IFERROR(INDEX(_xlfn._xlws.FILTER(_xlpm.pos,(_xlpm.pos&lt;&gt;"")*(_xlpm.qty&gt;0)*(_xlpm.bal&gt;=_xlpm.qty)),1),"")))</f>
        <v/>
      </c>
      <c r="L309" s="290"/>
    </row>
    <row r="310" spans="1:12" ht="23" x14ac:dyDescent="0.25">
      <c r="A310" s="221" t="str" cm="1">
        <f t="array" ref="A310">IFERROR(INDEX(_xlfn.ANCHORARRAY($P$6),ROW()-5,1),"")</f>
        <v/>
      </c>
      <c r="B310" s="317" t="str" cm="1">
        <f t="array" ref="B310">IFERROR(INDEX(_xlfn.ANCHORARRAY($P$6),ROW()-5,2),"")</f>
        <v/>
      </c>
      <c r="C310" s="222" t="str">
        <f>IF($A310="","",IF($J310="DIESEL",SUMIFS(Table1[Quantity],Table1[Customer],$M$3,Table1[Date],$A310,Table1[Bill No.],$B310),IF($J310="PETROL",SUMIFS(Table14[Quantity],Table14[Customer],$M$3,Table14[Date],$A310,Table14[Bill No.],$B310),IF($J310="XtraGreen",SUMIFS(Table146[Quantity],Table146[Company],$M$3,Table146[Date],$A310,Table146[Bill No.],$B310),""))))</f>
        <v/>
      </c>
      <c r="D310" s="223" t="str">
        <f>IF($A310="","",IF($J310="DIESEL",AVERAGEIFS(Table1[RSP],Table1[Customer],$M$3,Table1[Date],$A310,Table1[Bill No.],$B310),IF($J310="PETROL",AVERAGEIFS(Table14[RSP],Table14[Customer],$M$3,Table14[Date],$A310,Table14[Bill No.],$B310),IF($J310="XtraGreen",AVERAGEIFS(Table146[RSP],Table146[Company],$M$3,Table146[Date],$A310,Table146[Bill No.],$B310),IFERROR($E310/$C310,"")))))</f>
        <v/>
      </c>
      <c r="E310" s="330" t="str">
        <f>IF($A310="","",IF($J310="DIESEL",SUMIFS(Table1[Amount],Table1[Customer],$M$3,Table1[Date],$A310,Table1[Bill No.],$B310),IF($J310="PETROL",SUMIFS(Table14[Amount],Table14[Customer],$M$3,Table14[Date],$A310,Table14[Bill No.],$B310),IF($J310="XtraGreen",SUMIFS(Table146[Amount],Table146[Company],$M$3,Table146[Date],$A310,Table146[Bill No.],$B310),SUMIFS('Other Sale'!$D:$D,'Other Sale'!$E:$E,$M$3,'Other Sale'!$C:$C,$J310,'Other Sale'!$A:$A,$A310)))))</f>
        <v/>
      </c>
      <c r="F310" s="330" t="str" cm="1">
        <f t="array" ref="F310">IF($A310="","",IF($J310="Payment",IFERROR(INDEX(_xlfn._xlws.FILTER(MasterPaid[Amount Paid],(MasterPaid[Customer]=$M$3)*(MasterPaid[Date]=$A310)),COUNTIFS($A$6:$A310,$A310,$J$6:$J310,"Payment")),0),0))</f>
        <v/>
      </c>
      <c r="G310" s="331"/>
      <c r="H310" s="331"/>
      <c r="I310" s="330" t="str">
        <f t="shared" si="14"/>
        <v/>
      </c>
      <c r="J310" s="318" t="str" cm="1">
        <f t="array" ref="J310">IFERROR(INDEX(_xlfn.ANCHORARRAY($P$6),ROW()-5,3),"")</f>
        <v/>
      </c>
      <c r="K310" s="432" t="str" cm="1">
        <f t="array" ref="K310">IF(OR($A310="",$J310&lt;&gt;"DIESEL"),"",_xlfn.LET(_xlpm.qty,N($C310),_xlpm.pos,$T$5:$T$54,_xlpm.alo,IF($U$5:$U$54="",0,$U$5:$U$54),_xlpm.usd,SUMIFS($C$6:$C309,$K$6:$K309,_xlpm.pos&amp;""),_xlpm.bal,_xlpm.alo-_xlpm.usd,IFERROR(INDEX(_xlfn._xlws.FILTER(_xlpm.pos,(_xlpm.pos&lt;&gt;"")*(_xlpm.qty&gt;0)*(_xlpm.bal&gt;=_xlpm.qty)),1),"")))</f>
        <v/>
      </c>
      <c r="L310" s="290"/>
    </row>
    <row r="311" spans="1:12" ht="23" x14ac:dyDescent="0.25">
      <c r="A311" s="221" t="str" cm="1">
        <f t="array" ref="A311">IFERROR(INDEX(_xlfn.ANCHORARRAY($P$6),ROW()-5,1),"")</f>
        <v/>
      </c>
      <c r="B311" s="317" t="str" cm="1">
        <f t="array" ref="B311">IFERROR(INDEX(_xlfn.ANCHORARRAY($P$6),ROW()-5,2),"")</f>
        <v/>
      </c>
      <c r="C311" s="222" t="str">
        <f>IF($A311="","",IF($J311="DIESEL",SUMIFS(Table1[Quantity],Table1[Customer],$M$3,Table1[Date],$A311,Table1[Bill No.],$B311),IF($J311="PETROL",SUMIFS(Table14[Quantity],Table14[Customer],$M$3,Table14[Date],$A311,Table14[Bill No.],$B311),IF($J311="XtraGreen",SUMIFS(Table146[Quantity],Table146[Company],$M$3,Table146[Date],$A311,Table146[Bill No.],$B311),""))))</f>
        <v/>
      </c>
      <c r="D311" s="223" t="str">
        <f>IF($A311="","",IF($J311="DIESEL",AVERAGEIFS(Table1[RSP],Table1[Customer],$M$3,Table1[Date],$A311,Table1[Bill No.],$B311),IF($J311="PETROL",AVERAGEIFS(Table14[RSP],Table14[Customer],$M$3,Table14[Date],$A311,Table14[Bill No.],$B311),IF($J311="XtraGreen",AVERAGEIFS(Table146[RSP],Table146[Company],$M$3,Table146[Date],$A311,Table146[Bill No.],$B311),IFERROR($E311/$C311,"")))))</f>
        <v/>
      </c>
      <c r="E311" s="330" t="str">
        <f>IF($A311="","",IF($J311="DIESEL",SUMIFS(Table1[Amount],Table1[Customer],$M$3,Table1[Date],$A311,Table1[Bill No.],$B311),IF($J311="PETROL",SUMIFS(Table14[Amount],Table14[Customer],$M$3,Table14[Date],$A311,Table14[Bill No.],$B311),IF($J311="XtraGreen",SUMIFS(Table146[Amount],Table146[Company],$M$3,Table146[Date],$A311,Table146[Bill No.],$B311),SUMIFS('Other Sale'!$D:$D,'Other Sale'!$E:$E,$M$3,'Other Sale'!$C:$C,$J311,'Other Sale'!$A:$A,$A311)))))</f>
        <v/>
      </c>
      <c r="F311" s="330" t="str" cm="1">
        <f t="array" ref="F311">IF($A311="","",IF($J311="Payment",IFERROR(INDEX(_xlfn._xlws.FILTER(MasterPaid[Amount Paid],(MasterPaid[Customer]=$M$3)*(MasterPaid[Date]=$A311)),COUNTIFS($A$6:$A311,$A311,$J$6:$J311,"Payment")),0),0))</f>
        <v/>
      </c>
      <c r="G311" s="331"/>
      <c r="H311" s="331"/>
      <c r="I311" s="330" t="str">
        <f t="shared" si="14"/>
        <v/>
      </c>
      <c r="J311" s="318" t="str" cm="1">
        <f t="array" ref="J311">IFERROR(INDEX(_xlfn.ANCHORARRAY($P$6),ROW()-5,3),"")</f>
        <v/>
      </c>
      <c r="K311" s="432" t="str" cm="1">
        <f t="array" ref="K311">IF(OR($A311="",$J311&lt;&gt;"DIESEL"),"",_xlfn.LET(_xlpm.qty,N($C311),_xlpm.pos,$T$5:$T$54,_xlpm.alo,IF($U$5:$U$54="",0,$U$5:$U$54),_xlpm.usd,SUMIFS($C$6:$C310,$K$6:$K310,_xlpm.pos&amp;""),_xlpm.bal,_xlpm.alo-_xlpm.usd,IFERROR(INDEX(_xlfn._xlws.FILTER(_xlpm.pos,(_xlpm.pos&lt;&gt;"")*(_xlpm.qty&gt;0)*(_xlpm.bal&gt;=_xlpm.qty)),1),"")))</f>
        <v/>
      </c>
      <c r="L311" s="290"/>
    </row>
    <row r="312" spans="1:12" ht="23" x14ac:dyDescent="0.25">
      <c r="A312" s="221" t="str" cm="1">
        <f t="array" ref="A312">IFERROR(INDEX(_xlfn.ANCHORARRAY($P$6),ROW()-5,1),"")</f>
        <v/>
      </c>
      <c r="B312" s="317" t="str" cm="1">
        <f t="array" ref="B312">IFERROR(INDEX(_xlfn.ANCHORARRAY($P$6),ROW()-5,2),"")</f>
        <v/>
      </c>
      <c r="C312" s="222" t="str">
        <f>IF($A312="","",IF($J312="DIESEL",SUMIFS(Table1[Quantity],Table1[Customer],$M$3,Table1[Date],$A312,Table1[Bill No.],$B312),IF($J312="PETROL",SUMIFS(Table14[Quantity],Table14[Customer],$M$3,Table14[Date],$A312,Table14[Bill No.],$B312),IF($J312="XtraGreen",SUMIFS(Table146[Quantity],Table146[Company],$M$3,Table146[Date],$A312,Table146[Bill No.],$B312),""))))</f>
        <v/>
      </c>
      <c r="D312" s="223" t="str">
        <f>IF($A312="","",IF($J312="DIESEL",AVERAGEIFS(Table1[RSP],Table1[Customer],$M$3,Table1[Date],$A312,Table1[Bill No.],$B312),IF($J312="PETROL",AVERAGEIFS(Table14[RSP],Table14[Customer],$M$3,Table14[Date],$A312,Table14[Bill No.],$B312),IF($J312="XtraGreen",AVERAGEIFS(Table146[RSP],Table146[Company],$M$3,Table146[Date],$A312,Table146[Bill No.],$B312),IFERROR($E312/$C312,"")))))</f>
        <v/>
      </c>
      <c r="E312" s="330" t="str">
        <f>IF($A312="","",IF($J312="DIESEL",SUMIFS(Table1[Amount],Table1[Customer],$M$3,Table1[Date],$A312,Table1[Bill No.],$B312),IF($J312="PETROL",SUMIFS(Table14[Amount],Table14[Customer],$M$3,Table14[Date],$A312,Table14[Bill No.],$B312),IF($J312="XtraGreen",SUMIFS(Table146[Amount],Table146[Company],$M$3,Table146[Date],$A312,Table146[Bill No.],$B312),SUMIFS('Other Sale'!$D:$D,'Other Sale'!$E:$E,$M$3,'Other Sale'!$C:$C,$J312,'Other Sale'!$A:$A,$A312)))))</f>
        <v/>
      </c>
      <c r="F312" s="330" t="str" cm="1">
        <f t="array" ref="F312">IF($A312="","",IF($J312="Payment",IFERROR(INDEX(_xlfn._xlws.FILTER(MasterPaid[Amount Paid],(MasterPaid[Customer]=$M$3)*(MasterPaid[Date]=$A312)),COUNTIFS($A$6:$A312,$A312,$J$6:$J312,"Payment")),0),0))</f>
        <v/>
      </c>
      <c r="G312" s="331"/>
      <c r="H312" s="331"/>
      <c r="I312" s="330" t="str">
        <f t="shared" si="14"/>
        <v/>
      </c>
      <c r="J312" s="318" t="str" cm="1">
        <f t="array" ref="J312">IFERROR(INDEX(_xlfn.ANCHORARRAY($P$6),ROW()-5,3),"")</f>
        <v/>
      </c>
      <c r="K312" s="432" t="str" cm="1">
        <f t="array" ref="K312">IF(OR($A312="",$J312&lt;&gt;"DIESEL"),"",_xlfn.LET(_xlpm.qty,N($C312),_xlpm.pos,$T$5:$T$54,_xlpm.alo,IF($U$5:$U$54="",0,$U$5:$U$54),_xlpm.usd,SUMIFS($C$6:$C311,$K$6:$K311,_xlpm.pos&amp;""),_xlpm.bal,_xlpm.alo-_xlpm.usd,IFERROR(INDEX(_xlfn._xlws.FILTER(_xlpm.pos,(_xlpm.pos&lt;&gt;"")*(_xlpm.qty&gt;0)*(_xlpm.bal&gt;=_xlpm.qty)),1),"")))</f>
        <v/>
      </c>
      <c r="L312" s="290"/>
    </row>
    <row r="313" spans="1:12" ht="23" x14ac:dyDescent="0.25">
      <c r="A313" s="221" t="str" cm="1">
        <f t="array" ref="A313">IFERROR(INDEX(_xlfn.ANCHORARRAY($P$6),ROW()-5,1),"")</f>
        <v/>
      </c>
      <c r="B313" s="317" t="str" cm="1">
        <f t="array" ref="B313">IFERROR(INDEX(_xlfn.ANCHORARRAY($P$6),ROW()-5,2),"")</f>
        <v/>
      </c>
      <c r="C313" s="222" t="str">
        <f>IF($A313="","",IF($J313="DIESEL",SUMIFS(Table1[Quantity],Table1[Customer],$M$3,Table1[Date],$A313,Table1[Bill No.],$B313),IF($J313="PETROL",SUMIFS(Table14[Quantity],Table14[Customer],$M$3,Table14[Date],$A313,Table14[Bill No.],$B313),IF($J313="XtraGreen",SUMIFS(Table146[Quantity],Table146[Company],$M$3,Table146[Date],$A313,Table146[Bill No.],$B313),""))))</f>
        <v/>
      </c>
      <c r="D313" s="223" t="str">
        <f>IF($A313="","",IF($J313="DIESEL",AVERAGEIFS(Table1[RSP],Table1[Customer],$M$3,Table1[Date],$A313,Table1[Bill No.],$B313),IF($J313="PETROL",AVERAGEIFS(Table14[RSP],Table14[Customer],$M$3,Table14[Date],$A313,Table14[Bill No.],$B313),IF($J313="XtraGreen",AVERAGEIFS(Table146[RSP],Table146[Company],$M$3,Table146[Date],$A313,Table146[Bill No.],$B313),IFERROR($E313/$C313,"")))))</f>
        <v/>
      </c>
      <c r="E313" s="330" t="str">
        <f>IF($A313="","",IF($J313="DIESEL",SUMIFS(Table1[Amount],Table1[Customer],$M$3,Table1[Date],$A313,Table1[Bill No.],$B313),IF($J313="PETROL",SUMIFS(Table14[Amount],Table14[Customer],$M$3,Table14[Date],$A313,Table14[Bill No.],$B313),IF($J313="XtraGreen",SUMIFS(Table146[Amount],Table146[Company],$M$3,Table146[Date],$A313,Table146[Bill No.],$B313),SUMIFS('Other Sale'!$D:$D,'Other Sale'!$E:$E,$M$3,'Other Sale'!$C:$C,$J313,'Other Sale'!$A:$A,$A313)))))</f>
        <v/>
      </c>
      <c r="F313" s="330" t="str" cm="1">
        <f t="array" ref="F313">IF($A313="","",IF($J313="Payment",IFERROR(INDEX(_xlfn._xlws.FILTER(MasterPaid[Amount Paid],(MasterPaid[Customer]=$M$3)*(MasterPaid[Date]=$A313)),COUNTIFS($A$6:$A313,$A313,$J$6:$J313,"Payment")),0),0))</f>
        <v/>
      </c>
      <c r="G313" s="331"/>
      <c r="H313" s="331"/>
      <c r="I313" s="330" t="str">
        <f t="shared" si="14"/>
        <v/>
      </c>
      <c r="J313" s="318" t="str" cm="1">
        <f t="array" ref="J313">IFERROR(INDEX(_xlfn.ANCHORARRAY($P$6),ROW()-5,3),"")</f>
        <v/>
      </c>
      <c r="K313" s="432" t="str" cm="1">
        <f t="array" ref="K313">IF(OR($A313="",$J313&lt;&gt;"DIESEL"),"",_xlfn.LET(_xlpm.qty,N($C313),_xlpm.pos,$T$5:$T$54,_xlpm.alo,IF($U$5:$U$54="",0,$U$5:$U$54),_xlpm.usd,SUMIFS($C$6:$C312,$K$6:$K312,_xlpm.pos&amp;""),_xlpm.bal,_xlpm.alo-_xlpm.usd,IFERROR(INDEX(_xlfn._xlws.FILTER(_xlpm.pos,(_xlpm.pos&lt;&gt;"")*(_xlpm.qty&gt;0)*(_xlpm.bal&gt;=_xlpm.qty)),1),"")))</f>
        <v/>
      </c>
      <c r="L313" s="290"/>
    </row>
    <row r="314" spans="1:12" ht="23" x14ac:dyDescent="0.25">
      <c r="A314" s="221" t="str" cm="1">
        <f t="array" ref="A314">IFERROR(INDEX(_xlfn.ANCHORARRAY($P$6),ROW()-5,1),"")</f>
        <v/>
      </c>
      <c r="B314" s="317" t="str" cm="1">
        <f t="array" ref="B314">IFERROR(INDEX(_xlfn.ANCHORARRAY($P$6),ROW()-5,2),"")</f>
        <v/>
      </c>
      <c r="C314" s="222" t="str">
        <f>IF($A314="","",IF($J314="DIESEL",SUMIFS(Table1[Quantity],Table1[Customer],$M$3,Table1[Date],$A314,Table1[Bill No.],$B314),IF($J314="PETROL",SUMIFS(Table14[Quantity],Table14[Customer],$M$3,Table14[Date],$A314,Table14[Bill No.],$B314),IF($J314="XtraGreen",SUMIFS(Table146[Quantity],Table146[Company],$M$3,Table146[Date],$A314,Table146[Bill No.],$B314),""))))</f>
        <v/>
      </c>
      <c r="D314" s="223" t="str">
        <f>IF($A314="","",IF($J314="DIESEL",AVERAGEIFS(Table1[RSP],Table1[Customer],$M$3,Table1[Date],$A314,Table1[Bill No.],$B314),IF($J314="PETROL",AVERAGEIFS(Table14[RSP],Table14[Customer],$M$3,Table14[Date],$A314,Table14[Bill No.],$B314),IF($J314="XtraGreen",AVERAGEIFS(Table146[RSP],Table146[Company],$M$3,Table146[Date],$A314,Table146[Bill No.],$B314),IFERROR($E314/$C314,"")))))</f>
        <v/>
      </c>
      <c r="E314" s="330" t="str">
        <f>IF($A314="","",IF($J314="DIESEL",SUMIFS(Table1[Amount],Table1[Customer],$M$3,Table1[Date],$A314,Table1[Bill No.],$B314),IF($J314="PETROL",SUMIFS(Table14[Amount],Table14[Customer],$M$3,Table14[Date],$A314,Table14[Bill No.],$B314),IF($J314="XtraGreen",SUMIFS(Table146[Amount],Table146[Company],$M$3,Table146[Date],$A314,Table146[Bill No.],$B314),SUMIFS('Other Sale'!$D:$D,'Other Sale'!$E:$E,$M$3,'Other Sale'!$C:$C,$J314,'Other Sale'!$A:$A,$A314)))))</f>
        <v/>
      </c>
      <c r="F314" s="330" t="str" cm="1">
        <f t="array" ref="F314">IF($A314="","",IF($J314="Payment",IFERROR(INDEX(_xlfn._xlws.FILTER(MasterPaid[Amount Paid],(MasterPaid[Customer]=$M$3)*(MasterPaid[Date]=$A314)),COUNTIFS($A$6:$A314,$A314,$J$6:$J314,"Payment")),0),0))</f>
        <v/>
      </c>
      <c r="G314" s="331"/>
      <c r="H314" s="331"/>
      <c r="I314" s="330" t="str">
        <f t="shared" si="14"/>
        <v/>
      </c>
      <c r="J314" s="318" t="str" cm="1">
        <f t="array" ref="J314">IFERROR(INDEX(_xlfn.ANCHORARRAY($P$6),ROW()-5,3),"")</f>
        <v/>
      </c>
      <c r="K314" s="432" t="str" cm="1">
        <f t="array" ref="K314">IF(OR($A314="",$J314&lt;&gt;"DIESEL"),"",_xlfn.LET(_xlpm.qty,N($C314),_xlpm.pos,$T$5:$T$54,_xlpm.alo,IF($U$5:$U$54="",0,$U$5:$U$54),_xlpm.usd,SUMIFS($C$6:$C313,$K$6:$K313,_xlpm.pos&amp;""),_xlpm.bal,_xlpm.alo-_xlpm.usd,IFERROR(INDEX(_xlfn._xlws.FILTER(_xlpm.pos,(_xlpm.pos&lt;&gt;"")*(_xlpm.qty&gt;0)*(_xlpm.bal&gt;=_xlpm.qty)),1),"")))</f>
        <v/>
      </c>
      <c r="L314" s="290"/>
    </row>
    <row r="315" spans="1:12" ht="23" x14ac:dyDescent="0.25">
      <c r="A315" s="221" t="str" cm="1">
        <f t="array" ref="A315">IFERROR(INDEX(_xlfn.ANCHORARRAY($P$6),ROW()-5,1),"")</f>
        <v/>
      </c>
      <c r="B315" s="317" t="str" cm="1">
        <f t="array" ref="B315">IFERROR(INDEX(_xlfn.ANCHORARRAY($P$6),ROW()-5,2),"")</f>
        <v/>
      </c>
      <c r="C315" s="222" t="str">
        <f>IF($A315="","",IF($J315="DIESEL",SUMIFS(Table1[Quantity],Table1[Customer],$M$3,Table1[Date],$A315,Table1[Bill No.],$B315),IF($J315="PETROL",SUMIFS(Table14[Quantity],Table14[Customer],$M$3,Table14[Date],$A315,Table14[Bill No.],$B315),IF($J315="XtraGreen",SUMIFS(Table146[Quantity],Table146[Company],$M$3,Table146[Date],$A315,Table146[Bill No.],$B315),""))))</f>
        <v/>
      </c>
      <c r="D315" s="223" t="str">
        <f>IF($A315="","",IF($J315="DIESEL",AVERAGEIFS(Table1[RSP],Table1[Customer],$M$3,Table1[Date],$A315,Table1[Bill No.],$B315),IF($J315="PETROL",AVERAGEIFS(Table14[RSP],Table14[Customer],$M$3,Table14[Date],$A315,Table14[Bill No.],$B315),IF($J315="XtraGreen",AVERAGEIFS(Table146[RSP],Table146[Company],$M$3,Table146[Date],$A315,Table146[Bill No.],$B315),IFERROR($E315/$C315,"")))))</f>
        <v/>
      </c>
      <c r="E315" s="330" t="str">
        <f>IF($A315="","",IF($J315="DIESEL",SUMIFS(Table1[Amount],Table1[Customer],$M$3,Table1[Date],$A315,Table1[Bill No.],$B315),IF($J315="PETROL",SUMIFS(Table14[Amount],Table14[Customer],$M$3,Table14[Date],$A315,Table14[Bill No.],$B315),IF($J315="XtraGreen",SUMIFS(Table146[Amount],Table146[Company],$M$3,Table146[Date],$A315,Table146[Bill No.],$B315),SUMIFS('Other Sale'!$D:$D,'Other Sale'!$E:$E,$M$3,'Other Sale'!$C:$C,$J315,'Other Sale'!$A:$A,$A315)))))</f>
        <v/>
      </c>
      <c r="F315" s="330" t="str" cm="1">
        <f t="array" ref="F315">IF($A315="","",IF($J315="Payment",IFERROR(INDEX(_xlfn._xlws.FILTER(MasterPaid[Amount Paid],(MasterPaid[Customer]=$M$3)*(MasterPaid[Date]=$A315)),COUNTIFS($A$6:$A315,$A315,$J$6:$J315,"Payment")),0),0))</f>
        <v/>
      </c>
      <c r="G315" s="331"/>
      <c r="H315" s="331"/>
      <c r="I315" s="330" t="str">
        <f t="shared" si="14"/>
        <v/>
      </c>
      <c r="J315" s="318" t="str" cm="1">
        <f t="array" ref="J315">IFERROR(INDEX(_xlfn.ANCHORARRAY($P$6),ROW()-5,3),"")</f>
        <v/>
      </c>
      <c r="K315" s="432" t="str" cm="1">
        <f t="array" ref="K315">IF(OR($A315="",$J315&lt;&gt;"DIESEL"),"",_xlfn.LET(_xlpm.qty,N($C315),_xlpm.pos,$T$5:$T$54,_xlpm.alo,IF($U$5:$U$54="",0,$U$5:$U$54),_xlpm.usd,SUMIFS($C$6:$C314,$K$6:$K314,_xlpm.pos&amp;""),_xlpm.bal,_xlpm.alo-_xlpm.usd,IFERROR(INDEX(_xlfn._xlws.FILTER(_xlpm.pos,(_xlpm.pos&lt;&gt;"")*(_xlpm.qty&gt;0)*(_xlpm.bal&gt;=_xlpm.qty)),1),"")))</f>
        <v/>
      </c>
      <c r="L315" s="290"/>
    </row>
    <row r="316" spans="1:12" ht="23" x14ac:dyDescent="0.25">
      <c r="A316" s="221" t="str" cm="1">
        <f t="array" ref="A316">IFERROR(INDEX(_xlfn.ANCHORARRAY($P$6),ROW()-5,1),"")</f>
        <v/>
      </c>
      <c r="B316" s="317" t="str" cm="1">
        <f t="array" ref="B316">IFERROR(INDEX(_xlfn.ANCHORARRAY($P$6),ROW()-5,2),"")</f>
        <v/>
      </c>
      <c r="C316" s="222" t="str">
        <f>IF($A316="","",IF($J316="DIESEL",SUMIFS(Table1[Quantity],Table1[Customer],$M$3,Table1[Date],$A316,Table1[Bill No.],$B316),IF($J316="PETROL",SUMIFS(Table14[Quantity],Table14[Customer],$M$3,Table14[Date],$A316,Table14[Bill No.],$B316),IF($J316="XtraGreen",SUMIFS(Table146[Quantity],Table146[Company],$M$3,Table146[Date],$A316,Table146[Bill No.],$B316),""))))</f>
        <v/>
      </c>
      <c r="D316" s="223" t="str">
        <f>IF($A316="","",IF($J316="DIESEL",AVERAGEIFS(Table1[RSP],Table1[Customer],$M$3,Table1[Date],$A316,Table1[Bill No.],$B316),IF($J316="PETROL",AVERAGEIFS(Table14[RSP],Table14[Customer],$M$3,Table14[Date],$A316,Table14[Bill No.],$B316),IF($J316="XtraGreen",AVERAGEIFS(Table146[RSP],Table146[Company],$M$3,Table146[Date],$A316,Table146[Bill No.],$B316),IFERROR($E316/$C316,"")))))</f>
        <v/>
      </c>
      <c r="E316" s="330" t="str">
        <f>IF($A316="","",IF($J316="DIESEL",SUMIFS(Table1[Amount],Table1[Customer],$M$3,Table1[Date],$A316,Table1[Bill No.],$B316),IF($J316="PETROL",SUMIFS(Table14[Amount],Table14[Customer],$M$3,Table14[Date],$A316,Table14[Bill No.],$B316),IF($J316="XtraGreen",SUMIFS(Table146[Amount],Table146[Company],$M$3,Table146[Date],$A316,Table146[Bill No.],$B316),SUMIFS('Other Sale'!$D:$D,'Other Sale'!$E:$E,$M$3,'Other Sale'!$C:$C,$J316,'Other Sale'!$A:$A,$A316)))))</f>
        <v/>
      </c>
      <c r="F316" s="330" t="str" cm="1">
        <f t="array" ref="F316">IF($A316="","",IF($J316="Payment",IFERROR(INDEX(_xlfn._xlws.FILTER(MasterPaid[Amount Paid],(MasterPaid[Customer]=$M$3)*(MasterPaid[Date]=$A316)),COUNTIFS($A$6:$A316,$A316,$J$6:$J316,"Payment")),0),0))</f>
        <v/>
      </c>
      <c r="G316" s="331"/>
      <c r="H316" s="331"/>
      <c r="I316" s="330" t="str">
        <f t="shared" si="14"/>
        <v/>
      </c>
      <c r="J316" s="318" t="str" cm="1">
        <f t="array" ref="J316">IFERROR(INDEX(_xlfn.ANCHORARRAY($P$6),ROW()-5,3),"")</f>
        <v/>
      </c>
      <c r="K316" s="432" t="str" cm="1">
        <f t="array" ref="K316">IF(OR($A316="",$J316&lt;&gt;"DIESEL"),"",_xlfn.LET(_xlpm.qty,N($C316),_xlpm.pos,$T$5:$T$54,_xlpm.alo,IF($U$5:$U$54="",0,$U$5:$U$54),_xlpm.usd,SUMIFS($C$6:$C315,$K$6:$K315,_xlpm.pos&amp;""),_xlpm.bal,_xlpm.alo-_xlpm.usd,IFERROR(INDEX(_xlfn._xlws.FILTER(_xlpm.pos,(_xlpm.pos&lt;&gt;"")*(_xlpm.qty&gt;0)*(_xlpm.bal&gt;=_xlpm.qty)),1),"")))</f>
        <v/>
      </c>
      <c r="L316" s="290"/>
    </row>
    <row r="317" spans="1:12" ht="23" x14ac:dyDescent="0.25">
      <c r="A317" s="221" t="str" cm="1">
        <f t="array" ref="A317">IFERROR(INDEX(_xlfn.ANCHORARRAY($P$6),ROW()-5,1),"")</f>
        <v/>
      </c>
      <c r="B317" s="317" t="str" cm="1">
        <f t="array" ref="B317">IFERROR(INDEX(_xlfn.ANCHORARRAY($P$6),ROW()-5,2),"")</f>
        <v/>
      </c>
      <c r="C317" s="222" t="str">
        <f>IF($A317="","",IF($J317="DIESEL",SUMIFS(Table1[Quantity],Table1[Customer],$M$3,Table1[Date],$A317,Table1[Bill No.],$B317),IF($J317="PETROL",SUMIFS(Table14[Quantity],Table14[Customer],$M$3,Table14[Date],$A317,Table14[Bill No.],$B317),IF($J317="XtraGreen",SUMIFS(Table146[Quantity],Table146[Company],$M$3,Table146[Date],$A317,Table146[Bill No.],$B317),""))))</f>
        <v/>
      </c>
      <c r="D317" s="223" t="str">
        <f>IF($A317="","",IF($J317="DIESEL",AVERAGEIFS(Table1[RSP],Table1[Customer],$M$3,Table1[Date],$A317,Table1[Bill No.],$B317),IF($J317="PETROL",AVERAGEIFS(Table14[RSP],Table14[Customer],$M$3,Table14[Date],$A317,Table14[Bill No.],$B317),IF($J317="XtraGreen",AVERAGEIFS(Table146[RSP],Table146[Company],$M$3,Table146[Date],$A317,Table146[Bill No.],$B317),IFERROR($E317/$C317,"")))))</f>
        <v/>
      </c>
      <c r="E317" s="330" t="str">
        <f>IF($A317="","",IF($J317="DIESEL",SUMIFS(Table1[Amount],Table1[Customer],$M$3,Table1[Date],$A317,Table1[Bill No.],$B317),IF($J317="PETROL",SUMIFS(Table14[Amount],Table14[Customer],$M$3,Table14[Date],$A317,Table14[Bill No.],$B317),IF($J317="XtraGreen",SUMIFS(Table146[Amount],Table146[Company],$M$3,Table146[Date],$A317,Table146[Bill No.],$B317),SUMIFS('Other Sale'!$D:$D,'Other Sale'!$E:$E,$M$3,'Other Sale'!$C:$C,$J317,'Other Sale'!$A:$A,$A317)))))</f>
        <v/>
      </c>
      <c r="F317" s="330" t="str" cm="1">
        <f t="array" ref="F317">IF($A317="","",IF($J317="Payment",IFERROR(INDEX(_xlfn._xlws.FILTER(MasterPaid[Amount Paid],(MasterPaid[Customer]=$M$3)*(MasterPaid[Date]=$A317)),COUNTIFS($A$6:$A317,$A317,$J$6:$J317,"Payment")),0),0))</f>
        <v/>
      </c>
      <c r="G317" s="331"/>
      <c r="H317" s="331"/>
      <c r="I317" s="330" t="str">
        <f t="shared" si="14"/>
        <v/>
      </c>
      <c r="J317" s="318" t="str" cm="1">
        <f t="array" ref="J317">IFERROR(INDEX(_xlfn.ANCHORARRAY($P$6),ROW()-5,3),"")</f>
        <v/>
      </c>
      <c r="K317" s="432" t="str" cm="1">
        <f t="array" ref="K317">IF(OR($A317="",$J317&lt;&gt;"DIESEL"),"",_xlfn.LET(_xlpm.qty,N($C317),_xlpm.pos,$T$5:$T$54,_xlpm.alo,IF($U$5:$U$54="",0,$U$5:$U$54),_xlpm.usd,SUMIFS($C$6:$C316,$K$6:$K316,_xlpm.pos&amp;""),_xlpm.bal,_xlpm.alo-_xlpm.usd,IFERROR(INDEX(_xlfn._xlws.FILTER(_xlpm.pos,(_xlpm.pos&lt;&gt;"")*(_xlpm.qty&gt;0)*(_xlpm.bal&gt;=_xlpm.qty)),1),"")))</f>
        <v/>
      </c>
      <c r="L317" s="290"/>
    </row>
    <row r="318" spans="1:12" ht="23" x14ac:dyDescent="0.25">
      <c r="A318" s="221" t="str" cm="1">
        <f t="array" ref="A318">IFERROR(INDEX(_xlfn.ANCHORARRAY($P$6),ROW()-5,1),"")</f>
        <v/>
      </c>
      <c r="B318" s="317" t="str" cm="1">
        <f t="array" ref="B318">IFERROR(INDEX(_xlfn.ANCHORARRAY($P$6),ROW()-5,2),"")</f>
        <v/>
      </c>
      <c r="C318" s="222" t="str">
        <f>IF($A318="","",IF($J318="DIESEL",SUMIFS(Table1[Quantity],Table1[Customer],$M$3,Table1[Date],$A318,Table1[Bill No.],$B318),IF($J318="PETROL",SUMIFS(Table14[Quantity],Table14[Customer],$M$3,Table14[Date],$A318,Table14[Bill No.],$B318),IF($J318="XtraGreen",SUMIFS(Table146[Quantity],Table146[Company],$M$3,Table146[Date],$A318,Table146[Bill No.],$B318),""))))</f>
        <v/>
      </c>
      <c r="D318" s="223" t="str">
        <f>IF($A318="","",IF($J318="DIESEL",AVERAGEIFS(Table1[RSP],Table1[Customer],$M$3,Table1[Date],$A318,Table1[Bill No.],$B318),IF($J318="PETROL",AVERAGEIFS(Table14[RSP],Table14[Customer],$M$3,Table14[Date],$A318,Table14[Bill No.],$B318),IF($J318="XtraGreen",AVERAGEIFS(Table146[RSP],Table146[Company],$M$3,Table146[Date],$A318,Table146[Bill No.],$B318),IFERROR($E318/$C318,"")))))</f>
        <v/>
      </c>
      <c r="E318" s="330" t="str">
        <f>IF($A318="","",IF($J318="DIESEL",SUMIFS(Table1[Amount],Table1[Customer],$M$3,Table1[Date],$A318,Table1[Bill No.],$B318),IF($J318="PETROL",SUMIFS(Table14[Amount],Table14[Customer],$M$3,Table14[Date],$A318,Table14[Bill No.],$B318),IF($J318="XtraGreen",SUMIFS(Table146[Amount],Table146[Company],$M$3,Table146[Date],$A318,Table146[Bill No.],$B318),SUMIFS('Other Sale'!$D:$D,'Other Sale'!$E:$E,$M$3,'Other Sale'!$C:$C,$J318,'Other Sale'!$A:$A,$A318)))))</f>
        <v/>
      </c>
      <c r="F318" s="330" t="str" cm="1">
        <f t="array" ref="F318">IF($A318="","",IF($J318="Payment",IFERROR(INDEX(_xlfn._xlws.FILTER(MasterPaid[Amount Paid],(MasterPaid[Customer]=$M$3)*(MasterPaid[Date]=$A318)),COUNTIFS($A$6:$A318,$A318,$J$6:$J318,"Payment")),0),0))</f>
        <v/>
      </c>
      <c r="G318" s="331"/>
      <c r="H318" s="331"/>
      <c r="I318" s="330" t="str">
        <f t="shared" si="14"/>
        <v/>
      </c>
      <c r="J318" s="318" t="str" cm="1">
        <f t="array" ref="J318">IFERROR(INDEX(_xlfn.ANCHORARRAY($P$6),ROW()-5,3),"")</f>
        <v/>
      </c>
      <c r="K318" s="432" t="str" cm="1">
        <f t="array" ref="K318">IF(OR($A318="",$J318&lt;&gt;"DIESEL"),"",_xlfn.LET(_xlpm.qty,N($C318),_xlpm.pos,$T$5:$T$54,_xlpm.alo,IF($U$5:$U$54="",0,$U$5:$U$54),_xlpm.usd,SUMIFS($C$6:$C317,$K$6:$K317,_xlpm.pos&amp;""),_xlpm.bal,_xlpm.alo-_xlpm.usd,IFERROR(INDEX(_xlfn._xlws.FILTER(_xlpm.pos,(_xlpm.pos&lt;&gt;"")*(_xlpm.qty&gt;0)*(_xlpm.bal&gt;=_xlpm.qty)),1),"")))</f>
        <v/>
      </c>
      <c r="L318" s="290"/>
    </row>
    <row r="319" spans="1:12" ht="23" x14ac:dyDescent="0.25">
      <c r="A319" s="221" t="str" cm="1">
        <f t="array" ref="A319">IFERROR(INDEX(_xlfn.ANCHORARRAY($P$6),ROW()-5,1),"")</f>
        <v/>
      </c>
      <c r="B319" s="317" t="str" cm="1">
        <f t="array" ref="B319">IFERROR(INDEX(_xlfn.ANCHORARRAY($P$6),ROW()-5,2),"")</f>
        <v/>
      </c>
      <c r="C319" s="222" t="str">
        <f>IF($A319="","",IF($J319="DIESEL",SUMIFS(Table1[Quantity],Table1[Customer],$M$3,Table1[Date],$A319,Table1[Bill No.],$B319),IF($J319="PETROL",SUMIFS(Table14[Quantity],Table14[Customer],$M$3,Table14[Date],$A319,Table14[Bill No.],$B319),IF($J319="XtraGreen",SUMIFS(Table146[Quantity],Table146[Company],$M$3,Table146[Date],$A319,Table146[Bill No.],$B319),""))))</f>
        <v/>
      </c>
      <c r="D319" s="223" t="str">
        <f>IF($A319="","",IF($J319="DIESEL",AVERAGEIFS(Table1[RSP],Table1[Customer],$M$3,Table1[Date],$A319,Table1[Bill No.],$B319),IF($J319="PETROL",AVERAGEIFS(Table14[RSP],Table14[Customer],$M$3,Table14[Date],$A319,Table14[Bill No.],$B319),IF($J319="XtraGreen",AVERAGEIFS(Table146[RSP],Table146[Company],$M$3,Table146[Date],$A319,Table146[Bill No.],$B319),IFERROR($E319/$C319,"")))))</f>
        <v/>
      </c>
      <c r="E319" s="330" t="str">
        <f>IF($A319="","",IF($J319="DIESEL",SUMIFS(Table1[Amount],Table1[Customer],$M$3,Table1[Date],$A319,Table1[Bill No.],$B319),IF($J319="PETROL",SUMIFS(Table14[Amount],Table14[Customer],$M$3,Table14[Date],$A319,Table14[Bill No.],$B319),IF($J319="XtraGreen",SUMIFS(Table146[Amount],Table146[Company],$M$3,Table146[Date],$A319,Table146[Bill No.],$B319),SUMIFS('Other Sale'!$D:$D,'Other Sale'!$E:$E,$M$3,'Other Sale'!$C:$C,$J319,'Other Sale'!$A:$A,$A319)))))</f>
        <v/>
      </c>
      <c r="F319" s="330" t="str" cm="1">
        <f t="array" ref="F319">IF($A319="","",IF($J319="Payment",IFERROR(INDEX(_xlfn._xlws.FILTER(MasterPaid[Amount Paid],(MasterPaid[Customer]=$M$3)*(MasterPaid[Date]=$A319)),COUNTIFS($A$6:$A319,$A319,$J$6:$J319,"Payment")),0),0))</f>
        <v/>
      </c>
      <c r="G319" s="331"/>
      <c r="H319" s="331"/>
      <c r="I319" s="330" t="str">
        <f t="shared" si="14"/>
        <v/>
      </c>
      <c r="J319" s="318" t="str" cm="1">
        <f t="array" ref="J319">IFERROR(INDEX(_xlfn.ANCHORARRAY($P$6),ROW()-5,3),"")</f>
        <v/>
      </c>
      <c r="K319" s="432" t="str" cm="1">
        <f t="array" ref="K319">IF(OR($A319="",$J319&lt;&gt;"DIESEL"),"",_xlfn.LET(_xlpm.qty,N($C319),_xlpm.pos,$T$5:$T$54,_xlpm.alo,IF($U$5:$U$54="",0,$U$5:$U$54),_xlpm.usd,SUMIFS($C$6:$C318,$K$6:$K318,_xlpm.pos&amp;""),_xlpm.bal,_xlpm.alo-_xlpm.usd,IFERROR(INDEX(_xlfn._xlws.FILTER(_xlpm.pos,(_xlpm.pos&lt;&gt;"")*(_xlpm.qty&gt;0)*(_xlpm.bal&gt;=_xlpm.qty)),1),"")))</f>
        <v/>
      </c>
      <c r="L319" s="290"/>
    </row>
    <row r="320" spans="1:12" ht="23" x14ac:dyDescent="0.25">
      <c r="A320" s="221" t="str" cm="1">
        <f t="array" ref="A320">IFERROR(INDEX(_xlfn.ANCHORARRAY($P$6),ROW()-5,1),"")</f>
        <v/>
      </c>
      <c r="B320" s="317" t="str" cm="1">
        <f t="array" ref="B320">IFERROR(INDEX(_xlfn.ANCHORARRAY($P$6),ROW()-5,2),"")</f>
        <v/>
      </c>
      <c r="C320" s="222" t="str">
        <f>IF($A320="","",IF($J320="DIESEL",SUMIFS(Table1[Quantity],Table1[Customer],$M$3,Table1[Date],$A320,Table1[Bill No.],$B320),IF($J320="PETROL",SUMIFS(Table14[Quantity],Table14[Customer],$M$3,Table14[Date],$A320,Table14[Bill No.],$B320),IF($J320="XtraGreen",SUMIFS(Table146[Quantity],Table146[Company],$M$3,Table146[Date],$A320,Table146[Bill No.],$B320),""))))</f>
        <v/>
      </c>
      <c r="D320" s="223" t="str">
        <f>IF($A320="","",IF($J320="DIESEL",AVERAGEIFS(Table1[RSP],Table1[Customer],$M$3,Table1[Date],$A320,Table1[Bill No.],$B320),IF($J320="PETROL",AVERAGEIFS(Table14[RSP],Table14[Customer],$M$3,Table14[Date],$A320,Table14[Bill No.],$B320),IF($J320="XtraGreen",AVERAGEIFS(Table146[RSP],Table146[Company],$M$3,Table146[Date],$A320,Table146[Bill No.],$B320),IFERROR($E320/$C320,"")))))</f>
        <v/>
      </c>
      <c r="E320" s="330" t="str">
        <f>IF($A320="","",IF($J320="DIESEL",SUMIFS(Table1[Amount],Table1[Customer],$M$3,Table1[Date],$A320,Table1[Bill No.],$B320),IF($J320="PETROL",SUMIFS(Table14[Amount],Table14[Customer],$M$3,Table14[Date],$A320,Table14[Bill No.],$B320),IF($J320="XtraGreen",SUMIFS(Table146[Amount],Table146[Company],$M$3,Table146[Date],$A320,Table146[Bill No.],$B320),SUMIFS('Other Sale'!$D:$D,'Other Sale'!$E:$E,$M$3,'Other Sale'!$C:$C,$J320,'Other Sale'!$A:$A,$A320)))))</f>
        <v/>
      </c>
      <c r="F320" s="330" t="str" cm="1">
        <f t="array" ref="F320">IF($A320="","",IF($J320="Payment",IFERROR(INDEX(_xlfn._xlws.FILTER(MasterPaid[Amount Paid],(MasterPaid[Customer]=$M$3)*(MasterPaid[Date]=$A320)),COUNTIFS($A$6:$A320,$A320,$J$6:$J320,"Payment")),0),0))</f>
        <v/>
      </c>
      <c r="G320" s="331"/>
      <c r="H320" s="331"/>
      <c r="I320" s="330" t="str">
        <f t="shared" si="14"/>
        <v/>
      </c>
      <c r="J320" s="318" t="str" cm="1">
        <f t="array" ref="J320">IFERROR(INDEX(_xlfn.ANCHORARRAY($P$6),ROW()-5,3),"")</f>
        <v/>
      </c>
      <c r="K320" s="432" t="str" cm="1">
        <f t="array" ref="K320">IF(OR($A320="",$J320&lt;&gt;"DIESEL"),"",_xlfn.LET(_xlpm.qty,N($C320),_xlpm.pos,$T$5:$T$54,_xlpm.alo,IF($U$5:$U$54="",0,$U$5:$U$54),_xlpm.usd,SUMIFS($C$6:$C319,$K$6:$K319,_xlpm.pos&amp;""),_xlpm.bal,_xlpm.alo-_xlpm.usd,IFERROR(INDEX(_xlfn._xlws.FILTER(_xlpm.pos,(_xlpm.pos&lt;&gt;"")*(_xlpm.qty&gt;0)*(_xlpm.bal&gt;=_xlpm.qty)),1),"")))</f>
        <v/>
      </c>
      <c r="L320" s="290"/>
    </row>
    <row r="321" spans="1:12" ht="23" x14ac:dyDescent="0.25">
      <c r="A321" s="221" t="str" cm="1">
        <f t="array" ref="A321">IFERROR(INDEX(_xlfn.ANCHORARRAY($P$6),ROW()-5,1),"")</f>
        <v/>
      </c>
      <c r="B321" s="317" t="str" cm="1">
        <f t="array" ref="B321">IFERROR(INDEX(_xlfn.ANCHORARRAY($P$6),ROW()-5,2),"")</f>
        <v/>
      </c>
      <c r="C321" s="222" t="str">
        <f>IF($A321="","",IF($J321="DIESEL",SUMIFS(Table1[Quantity],Table1[Customer],$M$3,Table1[Date],$A321,Table1[Bill No.],$B321),IF($J321="PETROL",SUMIFS(Table14[Quantity],Table14[Customer],$M$3,Table14[Date],$A321,Table14[Bill No.],$B321),IF($J321="XtraGreen",SUMIFS(Table146[Quantity],Table146[Company],$M$3,Table146[Date],$A321,Table146[Bill No.],$B321),""))))</f>
        <v/>
      </c>
      <c r="D321" s="223" t="str">
        <f>IF($A321="","",IF($J321="DIESEL",AVERAGEIFS(Table1[RSP],Table1[Customer],$M$3,Table1[Date],$A321,Table1[Bill No.],$B321),IF($J321="PETROL",AVERAGEIFS(Table14[RSP],Table14[Customer],$M$3,Table14[Date],$A321,Table14[Bill No.],$B321),IF($J321="XtraGreen",AVERAGEIFS(Table146[RSP],Table146[Company],$M$3,Table146[Date],$A321,Table146[Bill No.],$B321),IFERROR($E321/$C321,"")))))</f>
        <v/>
      </c>
      <c r="E321" s="330" t="str">
        <f>IF($A321="","",IF($J321="DIESEL",SUMIFS(Table1[Amount],Table1[Customer],$M$3,Table1[Date],$A321,Table1[Bill No.],$B321),IF($J321="PETROL",SUMIFS(Table14[Amount],Table14[Customer],$M$3,Table14[Date],$A321,Table14[Bill No.],$B321),IF($J321="XtraGreen",SUMIFS(Table146[Amount],Table146[Company],$M$3,Table146[Date],$A321,Table146[Bill No.],$B321),SUMIFS('Other Sale'!$D:$D,'Other Sale'!$E:$E,$M$3,'Other Sale'!$C:$C,$J321,'Other Sale'!$A:$A,$A321)))))</f>
        <v/>
      </c>
      <c r="F321" s="330" t="str" cm="1">
        <f t="array" ref="F321">IF($A321="","",IF($J321="Payment",IFERROR(INDEX(_xlfn._xlws.FILTER(MasterPaid[Amount Paid],(MasterPaid[Customer]=$M$3)*(MasterPaid[Date]=$A321)),COUNTIFS($A$6:$A321,$A321,$J$6:$J321,"Payment")),0),0))</f>
        <v/>
      </c>
      <c r="G321" s="331"/>
      <c r="H321" s="331"/>
      <c r="I321" s="330" t="str">
        <f t="shared" si="14"/>
        <v/>
      </c>
      <c r="J321" s="318" t="str" cm="1">
        <f t="array" ref="J321">IFERROR(INDEX(_xlfn.ANCHORARRAY($P$6),ROW()-5,3),"")</f>
        <v/>
      </c>
      <c r="K321" s="432" t="str" cm="1">
        <f t="array" ref="K321">IF(OR($A321="",$J321&lt;&gt;"DIESEL"),"",_xlfn.LET(_xlpm.qty,N($C321),_xlpm.pos,$T$5:$T$54,_xlpm.alo,IF($U$5:$U$54="",0,$U$5:$U$54),_xlpm.usd,SUMIFS($C$6:$C320,$K$6:$K320,_xlpm.pos&amp;""),_xlpm.bal,_xlpm.alo-_xlpm.usd,IFERROR(INDEX(_xlfn._xlws.FILTER(_xlpm.pos,(_xlpm.pos&lt;&gt;"")*(_xlpm.qty&gt;0)*(_xlpm.bal&gt;=_xlpm.qty)),1),"")))</f>
        <v/>
      </c>
      <c r="L321" s="290"/>
    </row>
    <row r="322" spans="1:12" ht="23" x14ac:dyDescent="0.25">
      <c r="A322" s="221" t="str" cm="1">
        <f t="array" ref="A322">IFERROR(INDEX(_xlfn.ANCHORARRAY($P$6),ROW()-5,1),"")</f>
        <v/>
      </c>
      <c r="B322" s="317" t="str" cm="1">
        <f t="array" ref="B322">IFERROR(INDEX(_xlfn.ANCHORARRAY($P$6),ROW()-5,2),"")</f>
        <v/>
      </c>
      <c r="C322" s="222" t="str">
        <f>IF($A322="","",IF($J322="DIESEL",SUMIFS(Table1[Quantity],Table1[Customer],$M$3,Table1[Date],$A322,Table1[Bill No.],$B322),IF($J322="PETROL",SUMIFS(Table14[Quantity],Table14[Customer],$M$3,Table14[Date],$A322,Table14[Bill No.],$B322),IF($J322="XtraGreen",SUMIFS(Table146[Quantity],Table146[Company],$M$3,Table146[Date],$A322,Table146[Bill No.],$B322),""))))</f>
        <v/>
      </c>
      <c r="D322" s="223" t="str">
        <f>IF($A322="","",IF($J322="DIESEL",AVERAGEIFS(Table1[RSP],Table1[Customer],$M$3,Table1[Date],$A322,Table1[Bill No.],$B322),IF($J322="PETROL",AVERAGEIFS(Table14[RSP],Table14[Customer],$M$3,Table14[Date],$A322,Table14[Bill No.],$B322),IF($J322="XtraGreen",AVERAGEIFS(Table146[RSP],Table146[Company],$M$3,Table146[Date],$A322,Table146[Bill No.],$B322),IFERROR($E322/$C322,"")))))</f>
        <v/>
      </c>
      <c r="E322" s="330" t="str">
        <f>IF($A322="","",IF($J322="DIESEL",SUMIFS(Table1[Amount],Table1[Customer],$M$3,Table1[Date],$A322,Table1[Bill No.],$B322),IF($J322="PETROL",SUMIFS(Table14[Amount],Table14[Customer],$M$3,Table14[Date],$A322,Table14[Bill No.],$B322),IF($J322="XtraGreen",SUMIFS(Table146[Amount],Table146[Company],$M$3,Table146[Date],$A322,Table146[Bill No.],$B322),SUMIFS('Other Sale'!$D:$D,'Other Sale'!$E:$E,$M$3,'Other Sale'!$C:$C,$J322,'Other Sale'!$A:$A,$A322)))))</f>
        <v/>
      </c>
      <c r="F322" s="330" t="str" cm="1">
        <f t="array" ref="F322">IF($A322="","",IF($J322="Payment",IFERROR(INDEX(_xlfn._xlws.FILTER(MasterPaid[Amount Paid],(MasterPaid[Customer]=$M$3)*(MasterPaid[Date]=$A322)),COUNTIFS($A$6:$A322,$A322,$J$6:$J322,"Payment")),0),0))</f>
        <v/>
      </c>
      <c r="G322" s="331"/>
      <c r="H322" s="331"/>
      <c r="I322" s="330" t="str">
        <f t="shared" si="14"/>
        <v/>
      </c>
      <c r="J322" s="318" t="str" cm="1">
        <f t="array" ref="J322">IFERROR(INDEX(_xlfn.ANCHORARRAY($P$6),ROW()-5,3),"")</f>
        <v/>
      </c>
      <c r="K322" s="432" t="str" cm="1">
        <f t="array" ref="K322">IF(OR($A322="",$J322&lt;&gt;"DIESEL"),"",_xlfn.LET(_xlpm.qty,N($C322),_xlpm.pos,$T$5:$T$54,_xlpm.alo,IF($U$5:$U$54="",0,$U$5:$U$54),_xlpm.usd,SUMIFS($C$6:$C321,$K$6:$K321,_xlpm.pos&amp;""),_xlpm.bal,_xlpm.alo-_xlpm.usd,IFERROR(INDEX(_xlfn._xlws.FILTER(_xlpm.pos,(_xlpm.pos&lt;&gt;"")*(_xlpm.qty&gt;0)*(_xlpm.bal&gt;=_xlpm.qty)),1),"")))</f>
        <v/>
      </c>
      <c r="L322" s="290"/>
    </row>
    <row r="323" spans="1:12" ht="23" x14ac:dyDescent="0.25">
      <c r="A323" s="221" t="str" cm="1">
        <f t="array" ref="A323">IFERROR(INDEX(_xlfn.ANCHORARRAY($P$6),ROW()-5,1),"")</f>
        <v/>
      </c>
      <c r="B323" s="317" t="str" cm="1">
        <f t="array" ref="B323">IFERROR(INDEX(_xlfn.ANCHORARRAY($P$6),ROW()-5,2),"")</f>
        <v/>
      </c>
      <c r="C323" s="222" t="str">
        <f>IF($A323="","",IF($J323="DIESEL",SUMIFS(Table1[Quantity],Table1[Customer],$M$3,Table1[Date],$A323,Table1[Bill No.],$B323),IF($J323="PETROL",SUMIFS(Table14[Quantity],Table14[Customer],$M$3,Table14[Date],$A323,Table14[Bill No.],$B323),IF($J323="XtraGreen",SUMIFS(Table146[Quantity],Table146[Company],$M$3,Table146[Date],$A323,Table146[Bill No.],$B323),""))))</f>
        <v/>
      </c>
      <c r="D323" s="223" t="str">
        <f>IF($A323="","",IF($J323="DIESEL",AVERAGEIFS(Table1[RSP],Table1[Customer],$M$3,Table1[Date],$A323,Table1[Bill No.],$B323),IF($J323="PETROL",AVERAGEIFS(Table14[RSP],Table14[Customer],$M$3,Table14[Date],$A323,Table14[Bill No.],$B323),IF($J323="XtraGreen",AVERAGEIFS(Table146[RSP],Table146[Company],$M$3,Table146[Date],$A323,Table146[Bill No.],$B323),IFERROR($E323/$C323,"")))))</f>
        <v/>
      </c>
      <c r="E323" s="330" t="str">
        <f>IF($A323="","",IF($J323="DIESEL",SUMIFS(Table1[Amount],Table1[Customer],$M$3,Table1[Date],$A323,Table1[Bill No.],$B323),IF($J323="PETROL",SUMIFS(Table14[Amount],Table14[Customer],$M$3,Table14[Date],$A323,Table14[Bill No.],$B323),IF($J323="XtraGreen",SUMIFS(Table146[Amount],Table146[Company],$M$3,Table146[Date],$A323,Table146[Bill No.],$B323),SUMIFS('Other Sale'!$D:$D,'Other Sale'!$E:$E,$M$3,'Other Sale'!$C:$C,$J323,'Other Sale'!$A:$A,$A323)))))</f>
        <v/>
      </c>
      <c r="F323" s="330" t="str" cm="1">
        <f t="array" ref="F323">IF($A323="","",IF($J323="Payment",IFERROR(INDEX(_xlfn._xlws.FILTER(MasterPaid[Amount Paid],(MasterPaid[Customer]=$M$3)*(MasterPaid[Date]=$A323)),COUNTIFS($A$6:$A323,$A323,$J$6:$J323,"Payment")),0),0))</f>
        <v/>
      </c>
      <c r="G323" s="331"/>
      <c r="H323" s="331"/>
      <c r="I323" s="330" t="str">
        <f t="shared" si="14"/>
        <v/>
      </c>
      <c r="J323" s="318" t="str" cm="1">
        <f t="array" ref="J323">IFERROR(INDEX(_xlfn.ANCHORARRAY($P$6),ROW()-5,3),"")</f>
        <v/>
      </c>
      <c r="K323" s="432" t="str" cm="1">
        <f t="array" ref="K323">IF(OR($A323="",$J323&lt;&gt;"DIESEL"),"",_xlfn.LET(_xlpm.qty,N($C323),_xlpm.pos,$T$5:$T$54,_xlpm.alo,IF($U$5:$U$54="",0,$U$5:$U$54),_xlpm.usd,SUMIFS($C$6:$C322,$K$6:$K322,_xlpm.pos&amp;""),_xlpm.bal,_xlpm.alo-_xlpm.usd,IFERROR(INDEX(_xlfn._xlws.FILTER(_xlpm.pos,(_xlpm.pos&lt;&gt;"")*(_xlpm.qty&gt;0)*(_xlpm.bal&gt;=_xlpm.qty)),1),"")))</f>
        <v/>
      </c>
      <c r="L323" s="290"/>
    </row>
    <row r="324" spans="1:12" ht="23" x14ac:dyDescent="0.25">
      <c r="A324" s="221" t="str" cm="1">
        <f t="array" ref="A324">IFERROR(INDEX(_xlfn.ANCHORARRAY($P$6),ROW()-5,1),"")</f>
        <v/>
      </c>
      <c r="B324" s="317" t="str" cm="1">
        <f t="array" ref="B324">IFERROR(INDEX(_xlfn.ANCHORARRAY($P$6),ROW()-5,2),"")</f>
        <v/>
      </c>
      <c r="C324" s="222" t="str">
        <f>IF($A324="","",IF($J324="DIESEL",SUMIFS(Table1[Quantity],Table1[Customer],$M$3,Table1[Date],$A324,Table1[Bill No.],$B324),IF($J324="PETROL",SUMIFS(Table14[Quantity],Table14[Customer],$M$3,Table14[Date],$A324,Table14[Bill No.],$B324),IF($J324="XtraGreen",SUMIFS(Table146[Quantity],Table146[Company],$M$3,Table146[Date],$A324,Table146[Bill No.],$B324),""))))</f>
        <v/>
      </c>
      <c r="D324" s="223" t="str">
        <f>IF($A324="","",IF($J324="DIESEL",AVERAGEIFS(Table1[RSP],Table1[Customer],$M$3,Table1[Date],$A324,Table1[Bill No.],$B324),IF($J324="PETROL",AVERAGEIFS(Table14[RSP],Table14[Customer],$M$3,Table14[Date],$A324,Table14[Bill No.],$B324),IF($J324="XtraGreen",AVERAGEIFS(Table146[RSP],Table146[Company],$M$3,Table146[Date],$A324,Table146[Bill No.],$B324),IFERROR($E324/$C324,"")))))</f>
        <v/>
      </c>
      <c r="E324" s="330" t="str">
        <f>IF($A324="","",IF($J324="DIESEL",SUMIFS(Table1[Amount],Table1[Customer],$M$3,Table1[Date],$A324,Table1[Bill No.],$B324),IF($J324="PETROL",SUMIFS(Table14[Amount],Table14[Customer],$M$3,Table14[Date],$A324,Table14[Bill No.],$B324),IF($J324="XtraGreen",SUMIFS(Table146[Amount],Table146[Company],$M$3,Table146[Date],$A324,Table146[Bill No.],$B324),SUMIFS('Other Sale'!$D:$D,'Other Sale'!$E:$E,$M$3,'Other Sale'!$C:$C,$J324,'Other Sale'!$A:$A,$A324)))))</f>
        <v/>
      </c>
      <c r="F324" s="330" t="str" cm="1">
        <f t="array" ref="F324">IF($A324="","",IF($J324="Payment",IFERROR(INDEX(_xlfn._xlws.FILTER(MasterPaid[Amount Paid],(MasterPaid[Customer]=$M$3)*(MasterPaid[Date]=$A324)),COUNTIFS($A$6:$A324,$A324,$J$6:$J324,"Payment")),0),0))</f>
        <v/>
      </c>
      <c r="G324" s="331"/>
      <c r="H324" s="331"/>
      <c r="I324" s="330" t="str">
        <f t="shared" si="14"/>
        <v/>
      </c>
      <c r="J324" s="318" t="str" cm="1">
        <f t="array" ref="J324">IFERROR(INDEX(_xlfn.ANCHORARRAY($P$6),ROW()-5,3),"")</f>
        <v/>
      </c>
      <c r="K324" s="432" t="str" cm="1">
        <f t="array" ref="K324">IF(OR($A324="",$J324&lt;&gt;"DIESEL"),"",_xlfn.LET(_xlpm.qty,N($C324),_xlpm.pos,$T$5:$T$54,_xlpm.alo,IF($U$5:$U$54="",0,$U$5:$U$54),_xlpm.usd,SUMIFS($C$6:$C323,$K$6:$K323,_xlpm.pos&amp;""),_xlpm.bal,_xlpm.alo-_xlpm.usd,IFERROR(INDEX(_xlfn._xlws.FILTER(_xlpm.pos,(_xlpm.pos&lt;&gt;"")*(_xlpm.qty&gt;0)*(_xlpm.bal&gt;=_xlpm.qty)),1),"")))</f>
        <v/>
      </c>
      <c r="L324" s="290"/>
    </row>
    <row r="325" spans="1:12" ht="23" x14ac:dyDescent="0.25">
      <c r="A325" s="221" t="str" cm="1">
        <f t="array" ref="A325">IFERROR(INDEX(_xlfn.ANCHORARRAY($P$6),ROW()-5,1),"")</f>
        <v/>
      </c>
      <c r="B325" s="317" t="str" cm="1">
        <f t="array" ref="B325">IFERROR(INDEX(_xlfn.ANCHORARRAY($P$6),ROW()-5,2),"")</f>
        <v/>
      </c>
      <c r="C325" s="222" t="str">
        <f>IF($A325="","",IF($J325="DIESEL",SUMIFS(Table1[Quantity],Table1[Customer],$M$3,Table1[Date],$A325,Table1[Bill No.],$B325),IF($J325="PETROL",SUMIFS(Table14[Quantity],Table14[Customer],$M$3,Table14[Date],$A325,Table14[Bill No.],$B325),IF($J325="XtraGreen",SUMIFS(Table146[Quantity],Table146[Company],$M$3,Table146[Date],$A325,Table146[Bill No.],$B325),""))))</f>
        <v/>
      </c>
      <c r="D325" s="223" t="str">
        <f>IF($A325="","",IF($J325="DIESEL",AVERAGEIFS(Table1[RSP],Table1[Customer],$M$3,Table1[Date],$A325,Table1[Bill No.],$B325),IF($J325="PETROL",AVERAGEIFS(Table14[RSP],Table14[Customer],$M$3,Table14[Date],$A325,Table14[Bill No.],$B325),IF($J325="XtraGreen",AVERAGEIFS(Table146[RSP],Table146[Company],$M$3,Table146[Date],$A325,Table146[Bill No.],$B325),IFERROR($E325/$C325,"")))))</f>
        <v/>
      </c>
      <c r="E325" s="330" t="str">
        <f>IF($A325="","",IF($J325="DIESEL",SUMIFS(Table1[Amount],Table1[Customer],$M$3,Table1[Date],$A325,Table1[Bill No.],$B325),IF($J325="PETROL",SUMIFS(Table14[Amount],Table14[Customer],$M$3,Table14[Date],$A325,Table14[Bill No.],$B325),IF($J325="XtraGreen",SUMIFS(Table146[Amount],Table146[Company],$M$3,Table146[Date],$A325,Table146[Bill No.],$B325),SUMIFS('Other Sale'!$D:$D,'Other Sale'!$E:$E,$M$3,'Other Sale'!$C:$C,$J325,'Other Sale'!$A:$A,$A325)))))</f>
        <v/>
      </c>
      <c r="F325" s="330" t="str" cm="1">
        <f t="array" ref="F325">IF($A325="","",IF($J325="Payment",IFERROR(INDEX(_xlfn._xlws.FILTER(MasterPaid[Amount Paid],(MasterPaid[Customer]=$M$3)*(MasterPaid[Date]=$A325)),COUNTIFS($A$6:$A325,$A325,$J$6:$J325,"Payment")),0),0))</f>
        <v/>
      </c>
      <c r="G325" s="331"/>
      <c r="H325" s="331"/>
      <c r="I325" s="330" t="str">
        <f t="shared" si="14"/>
        <v/>
      </c>
      <c r="J325" s="318" t="str" cm="1">
        <f t="array" ref="J325">IFERROR(INDEX(_xlfn.ANCHORARRAY($P$6),ROW()-5,3),"")</f>
        <v/>
      </c>
      <c r="K325" s="432" t="str" cm="1">
        <f t="array" ref="K325">IF(OR($A325="",$J325&lt;&gt;"DIESEL"),"",_xlfn.LET(_xlpm.qty,N($C325),_xlpm.pos,$T$5:$T$54,_xlpm.alo,IF($U$5:$U$54="",0,$U$5:$U$54),_xlpm.usd,SUMIFS($C$6:$C324,$K$6:$K324,_xlpm.pos&amp;""),_xlpm.bal,_xlpm.alo-_xlpm.usd,IFERROR(INDEX(_xlfn._xlws.FILTER(_xlpm.pos,(_xlpm.pos&lt;&gt;"")*(_xlpm.qty&gt;0)*(_xlpm.bal&gt;=_xlpm.qty)),1),"")))</f>
        <v/>
      </c>
      <c r="L325" s="290"/>
    </row>
    <row r="326" spans="1:12" ht="23" x14ac:dyDescent="0.25">
      <c r="A326" s="221" t="str" cm="1">
        <f t="array" ref="A326">IFERROR(INDEX(_xlfn.ANCHORARRAY($P$6),ROW()-5,1),"")</f>
        <v/>
      </c>
      <c r="B326" s="317" t="str" cm="1">
        <f t="array" ref="B326">IFERROR(INDEX(_xlfn.ANCHORARRAY($P$6),ROW()-5,2),"")</f>
        <v/>
      </c>
      <c r="C326" s="222" t="str">
        <f>IF($A326="","",IF($J326="DIESEL",SUMIFS(Table1[Quantity],Table1[Customer],$M$3,Table1[Date],$A326,Table1[Bill No.],$B326),IF($J326="PETROL",SUMIFS(Table14[Quantity],Table14[Customer],$M$3,Table14[Date],$A326,Table14[Bill No.],$B326),IF($J326="XtraGreen",SUMIFS(Table146[Quantity],Table146[Company],$M$3,Table146[Date],$A326,Table146[Bill No.],$B326),""))))</f>
        <v/>
      </c>
      <c r="D326" s="223" t="str">
        <f>IF($A326="","",IF($J326="DIESEL",AVERAGEIFS(Table1[RSP],Table1[Customer],$M$3,Table1[Date],$A326,Table1[Bill No.],$B326),IF($J326="PETROL",AVERAGEIFS(Table14[RSP],Table14[Customer],$M$3,Table14[Date],$A326,Table14[Bill No.],$B326),IF($J326="XtraGreen",AVERAGEIFS(Table146[RSP],Table146[Company],$M$3,Table146[Date],$A326,Table146[Bill No.],$B326),IFERROR($E326/$C326,"")))))</f>
        <v/>
      </c>
      <c r="E326" s="330" t="str">
        <f>IF($A326="","",IF($J326="DIESEL",SUMIFS(Table1[Amount],Table1[Customer],$M$3,Table1[Date],$A326,Table1[Bill No.],$B326),IF($J326="PETROL",SUMIFS(Table14[Amount],Table14[Customer],$M$3,Table14[Date],$A326,Table14[Bill No.],$B326),IF($J326="XtraGreen",SUMIFS(Table146[Amount],Table146[Company],$M$3,Table146[Date],$A326,Table146[Bill No.],$B326),SUMIFS('Other Sale'!$D:$D,'Other Sale'!$E:$E,$M$3,'Other Sale'!$C:$C,$J326,'Other Sale'!$A:$A,$A326)))))</f>
        <v/>
      </c>
      <c r="F326" s="330" t="str" cm="1">
        <f t="array" ref="F326">IF($A326="","",IF($J326="Payment",IFERROR(INDEX(_xlfn._xlws.FILTER(MasterPaid[Amount Paid],(MasterPaid[Customer]=$M$3)*(MasterPaid[Date]=$A326)),COUNTIFS($A$6:$A326,$A326,$J$6:$J326,"Payment")),0),0))</f>
        <v/>
      </c>
      <c r="G326" s="331"/>
      <c r="H326" s="331"/>
      <c r="I326" s="330" t="str">
        <f t="shared" si="14"/>
        <v/>
      </c>
      <c r="J326" s="318" t="str" cm="1">
        <f t="array" ref="J326">IFERROR(INDEX(_xlfn.ANCHORARRAY($P$6),ROW()-5,3),"")</f>
        <v/>
      </c>
      <c r="K326" s="432" t="str" cm="1">
        <f t="array" ref="K326">IF(OR($A326="",$J326&lt;&gt;"DIESEL"),"",_xlfn.LET(_xlpm.qty,N($C326),_xlpm.pos,$T$5:$T$54,_xlpm.alo,IF($U$5:$U$54="",0,$U$5:$U$54),_xlpm.usd,SUMIFS($C$6:$C325,$K$6:$K325,_xlpm.pos&amp;""),_xlpm.bal,_xlpm.alo-_xlpm.usd,IFERROR(INDEX(_xlfn._xlws.FILTER(_xlpm.pos,(_xlpm.pos&lt;&gt;"")*(_xlpm.qty&gt;0)*(_xlpm.bal&gt;=_xlpm.qty)),1),"")))</f>
        <v/>
      </c>
      <c r="L326" s="290"/>
    </row>
    <row r="327" spans="1:12" ht="23" x14ac:dyDescent="0.25">
      <c r="A327" s="221" t="str" cm="1">
        <f t="array" ref="A327">IFERROR(INDEX(_xlfn.ANCHORARRAY($P$6),ROW()-5,1),"")</f>
        <v/>
      </c>
      <c r="B327" s="317" t="str" cm="1">
        <f t="array" ref="B327">IFERROR(INDEX(_xlfn.ANCHORARRAY($P$6),ROW()-5,2),"")</f>
        <v/>
      </c>
      <c r="C327" s="222" t="str">
        <f>IF($A327="","",IF($J327="DIESEL",SUMIFS(Table1[Quantity],Table1[Customer],$M$3,Table1[Date],$A327,Table1[Bill No.],$B327),IF($J327="PETROL",SUMIFS(Table14[Quantity],Table14[Customer],$M$3,Table14[Date],$A327,Table14[Bill No.],$B327),IF($J327="XtraGreen",SUMIFS(Table146[Quantity],Table146[Company],$M$3,Table146[Date],$A327,Table146[Bill No.],$B327),""))))</f>
        <v/>
      </c>
      <c r="D327" s="223" t="str">
        <f>IF($A327="","",IF($J327="DIESEL",AVERAGEIFS(Table1[RSP],Table1[Customer],$M$3,Table1[Date],$A327,Table1[Bill No.],$B327),IF($J327="PETROL",AVERAGEIFS(Table14[RSP],Table14[Customer],$M$3,Table14[Date],$A327,Table14[Bill No.],$B327),IF($J327="XtraGreen",AVERAGEIFS(Table146[RSP],Table146[Company],$M$3,Table146[Date],$A327,Table146[Bill No.],$B327),IFERROR($E327/$C327,"")))))</f>
        <v/>
      </c>
      <c r="E327" s="330" t="str">
        <f>IF($A327="","",IF($J327="DIESEL",SUMIFS(Table1[Amount],Table1[Customer],$M$3,Table1[Date],$A327,Table1[Bill No.],$B327),IF($J327="PETROL",SUMIFS(Table14[Amount],Table14[Customer],$M$3,Table14[Date],$A327,Table14[Bill No.],$B327),IF($J327="XtraGreen",SUMIFS(Table146[Amount],Table146[Company],$M$3,Table146[Date],$A327,Table146[Bill No.],$B327),SUMIFS('Other Sale'!$D:$D,'Other Sale'!$E:$E,$M$3,'Other Sale'!$C:$C,$J327,'Other Sale'!$A:$A,$A327)))))</f>
        <v/>
      </c>
      <c r="F327" s="330" t="str" cm="1">
        <f t="array" ref="F327">IF($A327="","",IF($J327="Payment",IFERROR(INDEX(_xlfn._xlws.FILTER(MasterPaid[Amount Paid],(MasterPaid[Customer]=$M$3)*(MasterPaid[Date]=$A327)),COUNTIFS($A$6:$A327,$A327,$J$6:$J327,"Payment")),0),0))</f>
        <v/>
      </c>
      <c r="G327" s="331"/>
      <c r="H327" s="331"/>
      <c r="I327" s="330" t="str">
        <f t="shared" si="14"/>
        <v/>
      </c>
      <c r="J327" s="318" t="str" cm="1">
        <f t="array" ref="J327">IFERROR(INDEX(_xlfn.ANCHORARRAY($P$6),ROW()-5,3),"")</f>
        <v/>
      </c>
      <c r="K327" s="432" t="str" cm="1">
        <f t="array" ref="K327">IF(OR($A327="",$J327&lt;&gt;"DIESEL"),"",_xlfn.LET(_xlpm.qty,N($C327),_xlpm.pos,$T$5:$T$54,_xlpm.alo,IF($U$5:$U$54="",0,$U$5:$U$54),_xlpm.usd,SUMIFS($C$6:$C326,$K$6:$K326,_xlpm.pos&amp;""),_xlpm.bal,_xlpm.alo-_xlpm.usd,IFERROR(INDEX(_xlfn._xlws.FILTER(_xlpm.pos,(_xlpm.pos&lt;&gt;"")*(_xlpm.qty&gt;0)*(_xlpm.bal&gt;=_xlpm.qty)),1),"")))</f>
        <v/>
      </c>
      <c r="L327" s="290"/>
    </row>
    <row r="328" spans="1:12" ht="23" x14ac:dyDescent="0.25">
      <c r="A328" s="221" t="str" cm="1">
        <f t="array" ref="A328">IFERROR(INDEX(_xlfn.ANCHORARRAY($P$6),ROW()-5,1),"")</f>
        <v/>
      </c>
      <c r="B328" s="317" t="str" cm="1">
        <f t="array" ref="B328">IFERROR(INDEX(_xlfn.ANCHORARRAY($P$6),ROW()-5,2),"")</f>
        <v/>
      </c>
      <c r="C328" s="222" t="str">
        <f>IF($A328="","",IF($J328="DIESEL",SUMIFS(Table1[Quantity],Table1[Customer],$M$3,Table1[Date],$A328,Table1[Bill No.],$B328),IF($J328="PETROL",SUMIFS(Table14[Quantity],Table14[Customer],$M$3,Table14[Date],$A328,Table14[Bill No.],$B328),IF($J328="XtraGreen",SUMIFS(Table146[Quantity],Table146[Company],$M$3,Table146[Date],$A328,Table146[Bill No.],$B328),""))))</f>
        <v/>
      </c>
      <c r="D328" s="223" t="str">
        <f>IF($A328="","",IF($J328="DIESEL",AVERAGEIFS(Table1[RSP],Table1[Customer],$M$3,Table1[Date],$A328,Table1[Bill No.],$B328),IF($J328="PETROL",AVERAGEIFS(Table14[RSP],Table14[Customer],$M$3,Table14[Date],$A328,Table14[Bill No.],$B328),IF($J328="XtraGreen",AVERAGEIFS(Table146[RSP],Table146[Company],$M$3,Table146[Date],$A328,Table146[Bill No.],$B328),IFERROR($E328/$C328,"")))))</f>
        <v/>
      </c>
      <c r="E328" s="330" t="str">
        <f>IF($A328="","",IF($J328="DIESEL",SUMIFS(Table1[Amount],Table1[Customer],$M$3,Table1[Date],$A328,Table1[Bill No.],$B328),IF($J328="PETROL",SUMIFS(Table14[Amount],Table14[Customer],$M$3,Table14[Date],$A328,Table14[Bill No.],$B328),IF($J328="XtraGreen",SUMIFS(Table146[Amount],Table146[Company],$M$3,Table146[Date],$A328,Table146[Bill No.],$B328),SUMIFS('Other Sale'!$D:$D,'Other Sale'!$E:$E,$M$3,'Other Sale'!$C:$C,$J328,'Other Sale'!$A:$A,$A328)))))</f>
        <v/>
      </c>
      <c r="F328" s="330" t="str" cm="1">
        <f t="array" ref="F328">IF($A328="","",IF($J328="Payment",IFERROR(INDEX(_xlfn._xlws.FILTER(MasterPaid[Amount Paid],(MasterPaid[Customer]=$M$3)*(MasterPaid[Date]=$A328)),COUNTIFS($A$6:$A328,$A328,$J$6:$J328,"Payment")),0),0))</f>
        <v/>
      </c>
      <c r="G328" s="331"/>
      <c r="H328" s="331"/>
      <c r="I328" s="330" t="str">
        <f t="shared" si="14"/>
        <v/>
      </c>
      <c r="J328" s="318" t="str" cm="1">
        <f t="array" ref="J328">IFERROR(INDEX(_xlfn.ANCHORARRAY($P$6),ROW()-5,3),"")</f>
        <v/>
      </c>
      <c r="K328" s="432" t="str" cm="1">
        <f t="array" ref="K328">IF(OR($A328="",$J328&lt;&gt;"DIESEL"),"",_xlfn.LET(_xlpm.qty,N($C328),_xlpm.pos,$T$5:$T$54,_xlpm.alo,IF($U$5:$U$54="",0,$U$5:$U$54),_xlpm.usd,SUMIFS($C$6:$C327,$K$6:$K327,_xlpm.pos&amp;""),_xlpm.bal,_xlpm.alo-_xlpm.usd,IFERROR(INDEX(_xlfn._xlws.FILTER(_xlpm.pos,(_xlpm.pos&lt;&gt;"")*(_xlpm.qty&gt;0)*(_xlpm.bal&gt;=_xlpm.qty)),1),"")))</f>
        <v/>
      </c>
      <c r="L328" s="290"/>
    </row>
    <row r="329" spans="1:12" ht="23" x14ac:dyDescent="0.25">
      <c r="A329" s="221" t="str" cm="1">
        <f t="array" ref="A329">IFERROR(INDEX(_xlfn.ANCHORARRAY($P$6),ROW()-5,1),"")</f>
        <v/>
      </c>
      <c r="B329" s="317" t="str" cm="1">
        <f t="array" ref="B329">IFERROR(INDEX(_xlfn.ANCHORARRAY($P$6),ROW()-5,2),"")</f>
        <v/>
      </c>
      <c r="C329" s="222" t="str">
        <f>IF($A329="","",IF($J329="DIESEL",SUMIFS(Table1[Quantity],Table1[Customer],$M$3,Table1[Date],$A329,Table1[Bill No.],$B329),IF($J329="PETROL",SUMIFS(Table14[Quantity],Table14[Customer],$M$3,Table14[Date],$A329,Table14[Bill No.],$B329),IF($J329="XtraGreen",SUMIFS(Table146[Quantity],Table146[Company],$M$3,Table146[Date],$A329,Table146[Bill No.],$B329),""))))</f>
        <v/>
      </c>
      <c r="D329" s="223" t="str">
        <f>IF($A329="","",IF($J329="DIESEL",AVERAGEIFS(Table1[RSP],Table1[Customer],$M$3,Table1[Date],$A329,Table1[Bill No.],$B329),IF($J329="PETROL",AVERAGEIFS(Table14[RSP],Table14[Customer],$M$3,Table14[Date],$A329,Table14[Bill No.],$B329),IF($J329="XtraGreen",AVERAGEIFS(Table146[RSP],Table146[Company],$M$3,Table146[Date],$A329,Table146[Bill No.],$B329),IFERROR($E329/$C329,"")))))</f>
        <v/>
      </c>
      <c r="E329" s="330" t="str">
        <f>IF($A329="","",IF($J329="DIESEL",SUMIFS(Table1[Amount],Table1[Customer],$M$3,Table1[Date],$A329,Table1[Bill No.],$B329),IF($J329="PETROL",SUMIFS(Table14[Amount],Table14[Customer],$M$3,Table14[Date],$A329,Table14[Bill No.],$B329),IF($J329="XtraGreen",SUMIFS(Table146[Amount],Table146[Company],$M$3,Table146[Date],$A329,Table146[Bill No.],$B329),SUMIFS('Other Sale'!$D:$D,'Other Sale'!$E:$E,$M$3,'Other Sale'!$C:$C,$J329,'Other Sale'!$A:$A,$A329)))))</f>
        <v/>
      </c>
      <c r="F329" s="330" t="str" cm="1">
        <f t="array" ref="F329">IF($A329="","",IF($J329="Payment",IFERROR(INDEX(_xlfn._xlws.FILTER(MasterPaid[Amount Paid],(MasterPaid[Customer]=$M$3)*(MasterPaid[Date]=$A329)),COUNTIFS($A$6:$A329,$A329,$J$6:$J329,"Payment")),0),0))</f>
        <v/>
      </c>
      <c r="G329" s="331"/>
      <c r="H329" s="331"/>
      <c r="I329" s="330" t="str">
        <f t="shared" si="14"/>
        <v/>
      </c>
      <c r="J329" s="318" t="str" cm="1">
        <f t="array" ref="J329">IFERROR(INDEX(_xlfn.ANCHORARRAY($P$6),ROW()-5,3),"")</f>
        <v/>
      </c>
      <c r="K329" s="432" t="str" cm="1">
        <f t="array" ref="K329">IF(OR($A329="",$J329&lt;&gt;"DIESEL"),"",_xlfn.LET(_xlpm.qty,N($C329),_xlpm.pos,$T$5:$T$54,_xlpm.alo,IF($U$5:$U$54="",0,$U$5:$U$54),_xlpm.usd,SUMIFS($C$6:$C328,$K$6:$K328,_xlpm.pos&amp;""),_xlpm.bal,_xlpm.alo-_xlpm.usd,IFERROR(INDEX(_xlfn._xlws.FILTER(_xlpm.pos,(_xlpm.pos&lt;&gt;"")*(_xlpm.qty&gt;0)*(_xlpm.bal&gt;=_xlpm.qty)),1),"")))</f>
        <v/>
      </c>
      <c r="L329" s="290"/>
    </row>
    <row r="330" spans="1:12" ht="23" x14ac:dyDescent="0.25">
      <c r="A330" s="221" t="str" cm="1">
        <f t="array" ref="A330">IFERROR(INDEX(_xlfn.ANCHORARRAY($P$6),ROW()-5,1),"")</f>
        <v/>
      </c>
      <c r="B330" s="317" t="str" cm="1">
        <f t="array" ref="B330">IFERROR(INDEX(_xlfn.ANCHORARRAY($P$6),ROW()-5,2),"")</f>
        <v/>
      </c>
      <c r="C330" s="222" t="str">
        <f>IF($A330="","",IF($J330="DIESEL",SUMIFS(Table1[Quantity],Table1[Customer],$M$3,Table1[Date],$A330,Table1[Bill No.],$B330),IF($J330="PETROL",SUMIFS(Table14[Quantity],Table14[Customer],$M$3,Table14[Date],$A330,Table14[Bill No.],$B330),IF($J330="XtraGreen",SUMIFS(Table146[Quantity],Table146[Company],$M$3,Table146[Date],$A330,Table146[Bill No.],$B330),""))))</f>
        <v/>
      </c>
      <c r="D330" s="223" t="str">
        <f>IF($A330="","",IF($J330="DIESEL",AVERAGEIFS(Table1[RSP],Table1[Customer],$M$3,Table1[Date],$A330,Table1[Bill No.],$B330),IF($J330="PETROL",AVERAGEIFS(Table14[RSP],Table14[Customer],$M$3,Table14[Date],$A330,Table14[Bill No.],$B330),IF($J330="XtraGreen",AVERAGEIFS(Table146[RSP],Table146[Company],$M$3,Table146[Date],$A330,Table146[Bill No.],$B330),IFERROR($E330/$C330,"")))))</f>
        <v/>
      </c>
      <c r="E330" s="330" t="str">
        <f>IF($A330="","",IF($J330="DIESEL",SUMIFS(Table1[Amount],Table1[Customer],$M$3,Table1[Date],$A330,Table1[Bill No.],$B330),IF($J330="PETROL",SUMIFS(Table14[Amount],Table14[Customer],$M$3,Table14[Date],$A330,Table14[Bill No.],$B330),IF($J330="XtraGreen",SUMIFS(Table146[Amount],Table146[Company],$M$3,Table146[Date],$A330,Table146[Bill No.],$B330),SUMIFS('Other Sale'!$D:$D,'Other Sale'!$E:$E,$M$3,'Other Sale'!$C:$C,$J330,'Other Sale'!$A:$A,$A330)))))</f>
        <v/>
      </c>
      <c r="F330" s="330" t="str" cm="1">
        <f t="array" ref="F330">IF($A330="","",IF($J330="Payment",IFERROR(INDEX(_xlfn._xlws.FILTER(MasterPaid[Amount Paid],(MasterPaid[Customer]=$M$3)*(MasterPaid[Date]=$A330)),COUNTIFS($A$6:$A330,$A330,$J$6:$J330,"Payment")),0),0))</f>
        <v/>
      </c>
      <c r="G330" s="331"/>
      <c r="H330" s="331"/>
      <c r="I330" s="330" t="str">
        <f t="shared" si="14"/>
        <v/>
      </c>
      <c r="J330" s="318" t="str" cm="1">
        <f t="array" ref="J330">IFERROR(INDEX(_xlfn.ANCHORARRAY($P$6),ROW()-5,3),"")</f>
        <v/>
      </c>
      <c r="K330" s="432" t="str" cm="1">
        <f t="array" ref="K330">IF(OR($A330="",$J330&lt;&gt;"DIESEL"),"",_xlfn.LET(_xlpm.qty,N($C330),_xlpm.pos,$T$5:$T$54,_xlpm.alo,IF($U$5:$U$54="",0,$U$5:$U$54),_xlpm.usd,SUMIFS($C$6:$C329,$K$6:$K329,_xlpm.pos&amp;""),_xlpm.bal,_xlpm.alo-_xlpm.usd,IFERROR(INDEX(_xlfn._xlws.FILTER(_xlpm.pos,(_xlpm.pos&lt;&gt;"")*(_xlpm.qty&gt;0)*(_xlpm.bal&gt;=_xlpm.qty)),1),"")))</f>
        <v/>
      </c>
      <c r="L330" s="290"/>
    </row>
    <row r="331" spans="1:12" ht="23" x14ac:dyDescent="0.25">
      <c r="A331" s="221" t="str" cm="1">
        <f t="array" ref="A331">IFERROR(INDEX(_xlfn.ANCHORARRAY($P$6),ROW()-5,1),"")</f>
        <v/>
      </c>
      <c r="B331" s="317" t="str" cm="1">
        <f t="array" ref="B331">IFERROR(INDEX(_xlfn.ANCHORARRAY($P$6),ROW()-5,2),"")</f>
        <v/>
      </c>
      <c r="C331" s="222" t="str">
        <f>IF($A331="","",IF($J331="DIESEL",SUMIFS(Table1[Quantity],Table1[Customer],$M$3,Table1[Date],$A331,Table1[Bill No.],$B331),IF($J331="PETROL",SUMIFS(Table14[Quantity],Table14[Customer],$M$3,Table14[Date],$A331,Table14[Bill No.],$B331),IF($J331="XtraGreen",SUMIFS(Table146[Quantity],Table146[Company],$M$3,Table146[Date],$A331,Table146[Bill No.],$B331),""))))</f>
        <v/>
      </c>
      <c r="D331" s="223" t="str">
        <f>IF($A331="","",IF($J331="DIESEL",AVERAGEIFS(Table1[RSP],Table1[Customer],$M$3,Table1[Date],$A331,Table1[Bill No.],$B331),IF($J331="PETROL",AVERAGEIFS(Table14[RSP],Table14[Customer],$M$3,Table14[Date],$A331,Table14[Bill No.],$B331),IF($J331="XtraGreen",AVERAGEIFS(Table146[RSP],Table146[Company],$M$3,Table146[Date],$A331,Table146[Bill No.],$B331),IFERROR($E331/$C331,"")))))</f>
        <v/>
      </c>
      <c r="E331" s="330" t="str">
        <f>IF($A331="","",IF($J331="DIESEL",SUMIFS(Table1[Amount],Table1[Customer],$M$3,Table1[Date],$A331,Table1[Bill No.],$B331),IF($J331="PETROL",SUMIFS(Table14[Amount],Table14[Customer],$M$3,Table14[Date],$A331,Table14[Bill No.],$B331),IF($J331="XtraGreen",SUMIFS(Table146[Amount],Table146[Company],$M$3,Table146[Date],$A331,Table146[Bill No.],$B331),SUMIFS('Other Sale'!$D:$D,'Other Sale'!$E:$E,$M$3,'Other Sale'!$C:$C,$J331,'Other Sale'!$A:$A,$A331)))))</f>
        <v/>
      </c>
      <c r="F331" s="330" t="str" cm="1">
        <f t="array" ref="F331">IF($A331="","",IF($J331="Payment",IFERROR(INDEX(_xlfn._xlws.FILTER(MasterPaid[Amount Paid],(MasterPaid[Customer]=$M$3)*(MasterPaid[Date]=$A331)),COUNTIFS($A$6:$A331,$A331,$J$6:$J331,"Payment")),0),0))</f>
        <v/>
      </c>
      <c r="G331" s="331"/>
      <c r="H331" s="331"/>
      <c r="I331" s="330" t="str">
        <f t="shared" si="14"/>
        <v/>
      </c>
      <c r="J331" s="318" t="str" cm="1">
        <f t="array" ref="J331">IFERROR(INDEX(_xlfn.ANCHORARRAY($P$6),ROW()-5,3),"")</f>
        <v/>
      </c>
      <c r="K331" s="432" t="str" cm="1">
        <f t="array" ref="K331">IF(OR($A331="",$J331&lt;&gt;"DIESEL"),"",_xlfn.LET(_xlpm.qty,N($C331),_xlpm.pos,$T$5:$T$54,_xlpm.alo,IF($U$5:$U$54="",0,$U$5:$U$54),_xlpm.usd,SUMIFS($C$6:$C330,$K$6:$K330,_xlpm.pos&amp;""),_xlpm.bal,_xlpm.alo-_xlpm.usd,IFERROR(INDEX(_xlfn._xlws.FILTER(_xlpm.pos,(_xlpm.pos&lt;&gt;"")*(_xlpm.qty&gt;0)*(_xlpm.bal&gt;=_xlpm.qty)),1),"")))</f>
        <v/>
      </c>
      <c r="L331" s="290"/>
    </row>
    <row r="332" spans="1:12" ht="23" x14ac:dyDescent="0.25">
      <c r="A332" s="221" t="str" cm="1">
        <f t="array" ref="A332">IFERROR(INDEX(_xlfn.ANCHORARRAY($P$6),ROW()-5,1),"")</f>
        <v/>
      </c>
      <c r="B332" s="317" t="str" cm="1">
        <f t="array" ref="B332">IFERROR(INDEX(_xlfn.ANCHORARRAY($P$6),ROW()-5,2),"")</f>
        <v/>
      </c>
      <c r="C332" s="222" t="str">
        <f>IF($A332="","",IF($J332="DIESEL",SUMIFS(Table1[Quantity],Table1[Customer],$M$3,Table1[Date],$A332,Table1[Bill No.],$B332),IF($J332="PETROL",SUMIFS(Table14[Quantity],Table14[Customer],$M$3,Table14[Date],$A332,Table14[Bill No.],$B332),IF($J332="XtraGreen",SUMIFS(Table146[Quantity],Table146[Company],$M$3,Table146[Date],$A332,Table146[Bill No.],$B332),""))))</f>
        <v/>
      </c>
      <c r="D332" s="223" t="str">
        <f>IF($A332="","",IF($J332="DIESEL",AVERAGEIFS(Table1[RSP],Table1[Customer],$M$3,Table1[Date],$A332,Table1[Bill No.],$B332),IF($J332="PETROL",AVERAGEIFS(Table14[RSP],Table14[Customer],$M$3,Table14[Date],$A332,Table14[Bill No.],$B332),IF($J332="XtraGreen",AVERAGEIFS(Table146[RSP],Table146[Company],$M$3,Table146[Date],$A332,Table146[Bill No.],$B332),IFERROR($E332/$C332,"")))))</f>
        <v/>
      </c>
      <c r="E332" s="330" t="str">
        <f>IF($A332="","",IF($J332="DIESEL",SUMIFS(Table1[Amount],Table1[Customer],$M$3,Table1[Date],$A332,Table1[Bill No.],$B332),IF($J332="PETROL",SUMIFS(Table14[Amount],Table14[Customer],$M$3,Table14[Date],$A332,Table14[Bill No.],$B332),IF($J332="XtraGreen",SUMIFS(Table146[Amount],Table146[Company],$M$3,Table146[Date],$A332,Table146[Bill No.],$B332),SUMIFS('Other Sale'!$D:$D,'Other Sale'!$E:$E,$M$3,'Other Sale'!$C:$C,$J332,'Other Sale'!$A:$A,$A332)))))</f>
        <v/>
      </c>
      <c r="F332" s="330" t="str" cm="1">
        <f t="array" ref="F332">IF($A332="","",IF($J332="Payment",IFERROR(INDEX(_xlfn._xlws.FILTER(MasterPaid[Amount Paid],(MasterPaid[Customer]=$M$3)*(MasterPaid[Date]=$A332)),COUNTIFS($A$6:$A332,$A332,$J$6:$J332,"Payment")),0),0))</f>
        <v/>
      </c>
      <c r="G332" s="331"/>
      <c r="H332" s="331"/>
      <c r="I332" s="330" t="str">
        <f t="shared" si="14"/>
        <v/>
      </c>
      <c r="J332" s="318" t="str" cm="1">
        <f t="array" ref="J332">IFERROR(INDEX(_xlfn.ANCHORARRAY($P$6),ROW()-5,3),"")</f>
        <v/>
      </c>
      <c r="K332" s="432" t="str" cm="1">
        <f t="array" ref="K332">IF(OR($A332="",$J332&lt;&gt;"DIESEL"),"",_xlfn.LET(_xlpm.qty,N($C332),_xlpm.pos,$T$5:$T$54,_xlpm.alo,IF($U$5:$U$54="",0,$U$5:$U$54),_xlpm.usd,SUMIFS($C$6:$C331,$K$6:$K331,_xlpm.pos&amp;""),_xlpm.bal,_xlpm.alo-_xlpm.usd,IFERROR(INDEX(_xlfn._xlws.FILTER(_xlpm.pos,(_xlpm.pos&lt;&gt;"")*(_xlpm.qty&gt;0)*(_xlpm.bal&gt;=_xlpm.qty)),1),"")))</f>
        <v/>
      </c>
      <c r="L332" s="290"/>
    </row>
    <row r="333" spans="1:12" ht="23" x14ac:dyDescent="0.25">
      <c r="A333" s="221" t="str" cm="1">
        <f t="array" ref="A333">IFERROR(INDEX(_xlfn.ANCHORARRAY($P$6),ROW()-5,1),"")</f>
        <v/>
      </c>
      <c r="B333" s="317" t="str" cm="1">
        <f t="array" ref="B333">IFERROR(INDEX(_xlfn.ANCHORARRAY($P$6),ROW()-5,2),"")</f>
        <v/>
      </c>
      <c r="C333" s="222" t="str">
        <f>IF($A333="","",IF($J333="DIESEL",SUMIFS(Table1[Quantity],Table1[Customer],$M$3,Table1[Date],$A333,Table1[Bill No.],$B333),IF($J333="PETROL",SUMIFS(Table14[Quantity],Table14[Customer],$M$3,Table14[Date],$A333,Table14[Bill No.],$B333),IF($J333="XtraGreen",SUMIFS(Table146[Quantity],Table146[Company],$M$3,Table146[Date],$A333,Table146[Bill No.],$B333),""))))</f>
        <v/>
      </c>
      <c r="D333" s="223" t="str">
        <f>IF($A333="","",IF($J333="DIESEL",AVERAGEIFS(Table1[RSP],Table1[Customer],$M$3,Table1[Date],$A333,Table1[Bill No.],$B333),IF($J333="PETROL",AVERAGEIFS(Table14[RSP],Table14[Customer],$M$3,Table14[Date],$A333,Table14[Bill No.],$B333),IF($J333="XtraGreen",AVERAGEIFS(Table146[RSP],Table146[Company],$M$3,Table146[Date],$A333,Table146[Bill No.],$B333),IFERROR($E333/$C333,"")))))</f>
        <v/>
      </c>
      <c r="E333" s="330" t="str">
        <f>IF($A333="","",IF($J333="DIESEL",SUMIFS(Table1[Amount],Table1[Customer],$M$3,Table1[Date],$A333,Table1[Bill No.],$B333),IF($J333="PETROL",SUMIFS(Table14[Amount],Table14[Customer],$M$3,Table14[Date],$A333,Table14[Bill No.],$B333),IF($J333="XtraGreen",SUMIFS(Table146[Amount],Table146[Company],$M$3,Table146[Date],$A333,Table146[Bill No.],$B333),SUMIFS('Other Sale'!$D:$D,'Other Sale'!$E:$E,$M$3,'Other Sale'!$C:$C,$J333,'Other Sale'!$A:$A,$A333)))))</f>
        <v/>
      </c>
      <c r="F333" s="330" t="str" cm="1">
        <f t="array" ref="F333">IF($A333="","",IF($J333="Payment",IFERROR(INDEX(_xlfn._xlws.FILTER(MasterPaid[Amount Paid],(MasterPaid[Customer]=$M$3)*(MasterPaid[Date]=$A333)),COUNTIFS($A$6:$A333,$A333,$J$6:$J333,"Payment")),0),0))</f>
        <v/>
      </c>
      <c r="G333" s="331"/>
      <c r="H333" s="331"/>
      <c r="I333" s="330" t="str">
        <f t="shared" si="14"/>
        <v/>
      </c>
      <c r="J333" s="318" t="str" cm="1">
        <f t="array" ref="J333">IFERROR(INDEX(_xlfn.ANCHORARRAY($P$6),ROW()-5,3),"")</f>
        <v/>
      </c>
      <c r="K333" s="432" t="str" cm="1">
        <f t="array" ref="K333">IF(OR($A333="",$J333&lt;&gt;"DIESEL"),"",_xlfn.LET(_xlpm.qty,N($C333),_xlpm.pos,$T$5:$T$54,_xlpm.alo,IF($U$5:$U$54="",0,$U$5:$U$54),_xlpm.usd,SUMIFS($C$6:$C332,$K$6:$K332,_xlpm.pos&amp;""),_xlpm.bal,_xlpm.alo-_xlpm.usd,IFERROR(INDEX(_xlfn._xlws.FILTER(_xlpm.pos,(_xlpm.pos&lt;&gt;"")*(_xlpm.qty&gt;0)*(_xlpm.bal&gt;=_xlpm.qty)),1),"")))</f>
        <v/>
      </c>
      <c r="L333" s="290"/>
    </row>
    <row r="334" spans="1:12" ht="23" x14ac:dyDescent="0.25">
      <c r="A334" s="221" t="str" cm="1">
        <f t="array" ref="A334">IFERROR(INDEX(_xlfn.ANCHORARRAY($P$6),ROW()-5,1),"")</f>
        <v/>
      </c>
      <c r="B334" s="317" t="str" cm="1">
        <f t="array" ref="B334">IFERROR(INDEX(_xlfn.ANCHORARRAY($P$6),ROW()-5,2),"")</f>
        <v/>
      </c>
      <c r="C334" s="222" t="str">
        <f>IF($A334="","",IF($J334="DIESEL",SUMIFS(Table1[Quantity],Table1[Customer],$M$3,Table1[Date],$A334,Table1[Bill No.],$B334),IF($J334="PETROL",SUMIFS(Table14[Quantity],Table14[Customer],$M$3,Table14[Date],$A334,Table14[Bill No.],$B334),IF($J334="XtraGreen",SUMIFS(Table146[Quantity],Table146[Company],$M$3,Table146[Date],$A334,Table146[Bill No.],$B334),""))))</f>
        <v/>
      </c>
      <c r="D334" s="223" t="str">
        <f>IF($A334="","",IF($J334="DIESEL",AVERAGEIFS(Table1[RSP],Table1[Customer],$M$3,Table1[Date],$A334,Table1[Bill No.],$B334),IF($J334="PETROL",AVERAGEIFS(Table14[RSP],Table14[Customer],$M$3,Table14[Date],$A334,Table14[Bill No.],$B334),IF($J334="XtraGreen",AVERAGEIFS(Table146[RSP],Table146[Company],$M$3,Table146[Date],$A334,Table146[Bill No.],$B334),IFERROR($E334/$C334,"")))))</f>
        <v/>
      </c>
      <c r="E334" s="330" t="str">
        <f>IF($A334="","",IF($J334="DIESEL",SUMIFS(Table1[Amount],Table1[Customer],$M$3,Table1[Date],$A334,Table1[Bill No.],$B334),IF($J334="PETROL",SUMIFS(Table14[Amount],Table14[Customer],$M$3,Table14[Date],$A334,Table14[Bill No.],$B334),IF($J334="XtraGreen",SUMIFS(Table146[Amount],Table146[Company],$M$3,Table146[Date],$A334,Table146[Bill No.],$B334),SUMIFS('Other Sale'!$D:$D,'Other Sale'!$E:$E,$M$3,'Other Sale'!$C:$C,$J334,'Other Sale'!$A:$A,$A334)))))</f>
        <v/>
      </c>
      <c r="F334" s="330" t="str" cm="1">
        <f t="array" ref="F334">IF($A334="","",IF($J334="Payment",IFERROR(INDEX(_xlfn._xlws.FILTER(MasterPaid[Amount Paid],(MasterPaid[Customer]=$M$3)*(MasterPaid[Date]=$A334)),COUNTIFS($A$6:$A334,$A334,$J$6:$J334,"Payment")),0),0))</f>
        <v/>
      </c>
      <c r="G334" s="331"/>
      <c r="H334" s="331"/>
      <c r="I334" s="330" t="str">
        <f t="shared" si="14"/>
        <v/>
      </c>
      <c r="J334" s="318" t="str" cm="1">
        <f t="array" ref="J334">IFERROR(INDEX(_xlfn.ANCHORARRAY($P$6),ROW()-5,3),"")</f>
        <v/>
      </c>
      <c r="K334" s="432" t="str" cm="1">
        <f t="array" ref="K334">IF(OR($A334="",$J334&lt;&gt;"DIESEL"),"",_xlfn.LET(_xlpm.qty,N($C334),_xlpm.pos,$T$5:$T$54,_xlpm.alo,IF($U$5:$U$54="",0,$U$5:$U$54),_xlpm.usd,SUMIFS($C$6:$C333,$K$6:$K333,_xlpm.pos&amp;""),_xlpm.bal,_xlpm.alo-_xlpm.usd,IFERROR(INDEX(_xlfn._xlws.FILTER(_xlpm.pos,(_xlpm.pos&lt;&gt;"")*(_xlpm.qty&gt;0)*(_xlpm.bal&gt;=_xlpm.qty)),1),"")))</f>
        <v/>
      </c>
      <c r="L334" s="290"/>
    </row>
    <row r="335" spans="1:12" ht="23" x14ac:dyDescent="0.25">
      <c r="A335" s="221" t="str" cm="1">
        <f t="array" ref="A335">IFERROR(INDEX(_xlfn.ANCHORARRAY($P$6),ROW()-5,1),"")</f>
        <v/>
      </c>
      <c r="B335" s="317" t="str" cm="1">
        <f t="array" ref="B335">IFERROR(INDEX(_xlfn.ANCHORARRAY($P$6),ROW()-5,2),"")</f>
        <v/>
      </c>
      <c r="C335" s="222" t="str">
        <f>IF($A335="","",IF($J335="DIESEL",SUMIFS(Table1[Quantity],Table1[Customer],$M$3,Table1[Date],$A335,Table1[Bill No.],$B335),IF($J335="PETROL",SUMIFS(Table14[Quantity],Table14[Customer],$M$3,Table14[Date],$A335,Table14[Bill No.],$B335),IF($J335="XtraGreen",SUMIFS(Table146[Quantity],Table146[Company],$M$3,Table146[Date],$A335,Table146[Bill No.],$B335),""))))</f>
        <v/>
      </c>
      <c r="D335" s="223" t="str">
        <f>IF($A335="","",IF($J335="DIESEL",AVERAGEIFS(Table1[RSP],Table1[Customer],$M$3,Table1[Date],$A335,Table1[Bill No.],$B335),IF($J335="PETROL",AVERAGEIFS(Table14[RSP],Table14[Customer],$M$3,Table14[Date],$A335,Table14[Bill No.],$B335),IF($J335="XtraGreen",AVERAGEIFS(Table146[RSP],Table146[Company],$M$3,Table146[Date],$A335,Table146[Bill No.],$B335),IFERROR($E335/$C335,"")))))</f>
        <v/>
      </c>
      <c r="E335" s="330" t="str">
        <f>IF($A335="","",IF($J335="DIESEL",SUMIFS(Table1[Amount],Table1[Customer],$M$3,Table1[Date],$A335,Table1[Bill No.],$B335),IF($J335="PETROL",SUMIFS(Table14[Amount],Table14[Customer],$M$3,Table14[Date],$A335,Table14[Bill No.],$B335),IF($J335="XtraGreen",SUMIFS(Table146[Amount],Table146[Company],$M$3,Table146[Date],$A335,Table146[Bill No.],$B335),SUMIFS('Other Sale'!$D:$D,'Other Sale'!$E:$E,$M$3,'Other Sale'!$C:$C,$J335,'Other Sale'!$A:$A,$A335)))))</f>
        <v/>
      </c>
      <c r="F335" s="330" t="str" cm="1">
        <f t="array" ref="F335">IF($A335="","",IF($J335="Payment",IFERROR(INDEX(_xlfn._xlws.FILTER(MasterPaid[Amount Paid],(MasterPaid[Customer]=$M$3)*(MasterPaid[Date]=$A335)),COUNTIFS($A$6:$A335,$A335,$J$6:$J335,"Payment")),0),0))</f>
        <v/>
      </c>
      <c r="G335" s="331"/>
      <c r="H335" s="331"/>
      <c r="I335" s="330" t="str">
        <f t="shared" si="14"/>
        <v/>
      </c>
      <c r="J335" s="318" t="str" cm="1">
        <f t="array" ref="J335">IFERROR(INDEX(_xlfn.ANCHORARRAY($P$6),ROW()-5,3),"")</f>
        <v/>
      </c>
      <c r="K335" s="432" t="str" cm="1">
        <f t="array" ref="K335">IF(OR($A335="",$J335&lt;&gt;"DIESEL"),"",_xlfn.LET(_xlpm.qty,N($C335),_xlpm.pos,$T$5:$T$54,_xlpm.alo,IF($U$5:$U$54="",0,$U$5:$U$54),_xlpm.usd,SUMIFS($C$6:$C334,$K$6:$K334,_xlpm.pos&amp;""),_xlpm.bal,_xlpm.alo-_xlpm.usd,IFERROR(INDEX(_xlfn._xlws.FILTER(_xlpm.pos,(_xlpm.pos&lt;&gt;"")*(_xlpm.qty&gt;0)*(_xlpm.bal&gt;=_xlpm.qty)),1),"")))</f>
        <v/>
      </c>
      <c r="L335" s="290"/>
    </row>
    <row r="336" spans="1:12" ht="23" x14ac:dyDescent="0.25">
      <c r="A336" s="221" t="str" cm="1">
        <f t="array" ref="A336">IFERROR(INDEX(_xlfn.ANCHORARRAY($P$6),ROW()-5,1),"")</f>
        <v/>
      </c>
      <c r="B336" s="317" t="str" cm="1">
        <f t="array" ref="B336">IFERROR(INDEX(_xlfn.ANCHORARRAY($P$6),ROW()-5,2),"")</f>
        <v/>
      </c>
      <c r="C336" s="222" t="str">
        <f>IF($A336="","",IF($J336="DIESEL",SUMIFS(Table1[Quantity],Table1[Customer],$M$3,Table1[Date],$A336,Table1[Bill No.],$B336),IF($J336="PETROL",SUMIFS(Table14[Quantity],Table14[Customer],$M$3,Table14[Date],$A336,Table14[Bill No.],$B336),IF($J336="XtraGreen",SUMIFS(Table146[Quantity],Table146[Company],$M$3,Table146[Date],$A336,Table146[Bill No.],$B336),""))))</f>
        <v/>
      </c>
      <c r="D336" s="223" t="str">
        <f>IF($A336="","",IF($J336="DIESEL",AVERAGEIFS(Table1[RSP],Table1[Customer],$M$3,Table1[Date],$A336,Table1[Bill No.],$B336),IF($J336="PETROL",AVERAGEIFS(Table14[RSP],Table14[Customer],$M$3,Table14[Date],$A336,Table14[Bill No.],$B336),IF($J336="XtraGreen",AVERAGEIFS(Table146[RSP],Table146[Company],$M$3,Table146[Date],$A336,Table146[Bill No.],$B336),IFERROR($E336/$C336,"")))))</f>
        <v/>
      </c>
      <c r="E336" s="330" t="str">
        <f>IF($A336="","",IF($J336="DIESEL",SUMIFS(Table1[Amount],Table1[Customer],$M$3,Table1[Date],$A336,Table1[Bill No.],$B336),IF($J336="PETROL",SUMIFS(Table14[Amount],Table14[Customer],$M$3,Table14[Date],$A336,Table14[Bill No.],$B336),IF($J336="XtraGreen",SUMIFS(Table146[Amount],Table146[Company],$M$3,Table146[Date],$A336,Table146[Bill No.],$B336),SUMIFS('Other Sale'!$D:$D,'Other Sale'!$E:$E,$M$3,'Other Sale'!$C:$C,$J336,'Other Sale'!$A:$A,$A336)))))</f>
        <v/>
      </c>
      <c r="F336" s="330" t="str" cm="1">
        <f t="array" ref="F336">IF($A336="","",IF($J336="Payment",IFERROR(INDEX(_xlfn._xlws.FILTER(MasterPaid[Amount Paid],(MasterPaid[Customer]=$M$3)*(MasterPaid[Date]=$A336)),COUNTIFS($A$6:$A336,$A336,$J$6:$J336,"Payment")),0),0))</f>
        <v/>
      </c>
      <c r="G336" s="331"/>
      <c r="H336" s="331"/>
      <c r="I336" s="330" t="str">
        <f t="shared" si="14"/>
        <v/>
      </c>
      <c r="J336" s="318" t="str" cm="1">
        <f t="array" ref="J336">IFERROR(INDEX(_xlfn.ANCHORARRAY($P$6),ROW()-5,3),"")</f>
        <v/>
      </c>
      <c r="K336" s="432" t="str" cm="1">
        <f t="array" ref="K336">IF(OR($A336="",$J336&lt;&gt;"DIESEL"),"",_xlfn.LET(_xlpm.qty,N($C336),_xlpm.pos,$T$5:$T$54,_xlpm.alo,IF($U$5:$U$54="",0,$U$5:$U$54),_xlpm.usd,SUMIFS($C$6:$C335,$K$6:$K335,_xlpm.pos&amp;""),_xlpm.bal,_xlpm.alo-_xlpm.usd,IFERROR(INDEX(_xlfn._xlws.FILTER(_xlpm.pos,(_xlpm.pos&lt;&gt;"")*(_xlpm.qty&gt;0)*(_xlpm.bal&gt;=_xlpm.qty)),1),"")))</f>
        <v/>
      </c>
      <c r="L336" s="290"/>
    </row>
    <row r="337" spans="1:12" ht="23" x14ac:dyDescent="0.25">
      <c r="A337" s="221" t="str" cm="1">
        <f t="array" ref="A337">IFERROR(INDEX(_xlfn.ANCHORARRAY($P$6),ROW()-5,1),"")</f>
        <v/>
      </c>
      <c r="B337" s="317" t="str" cm="1">
        <f t="array" ref="B337">IFERROR(INDEX(_xlfn.ANCHORARRAY($P$6),ROW()-5,2),"")</f>
        <v/>
      </c>
      <c r="C337" s="222" t="str">
        <f>IF($A337="","",IF($J337="DIESEL",SUMIFS(Table1[Quantity],Table1[Customer],$M$3,Table1[Date],$A337,Table1[Bill No.],$B337),IF($J337="PETROL",SUMIFS(Table14[Quantity],Table14[Customer],$M$3,Table14[Date],$A337,Table14[Bill No.],$B337),IF($J337="XtraGreen",SUMIFS(Table146[Quantity],Table146[Company],$M$3,Table146[Date],$A337,Table146[Bill No.],$B337),""))))</f>
        <v/>
      </c>
      <c r="D337" s="223" t="str">
        <f>IF($A337="","",IF($J337="DIESEL",AVERAGEIFS(Table1[RSP],Table1[Customer],$M$3,Table1[Date],$A337,Table1[Bill No.],$B337),IF($J337="PETROL",AVERAGEIFS(Table14[RSP],Table14[Customer],$M$3,Table14[Date],$A337,Table14[Bill No.],$B337),IF($J337="XtraGreen",AVERAGEIFS(Table146[RSP],Table146[Company],$M$3,Table146[Date],$A337,Table146[Bill No.],$B337),IFERROR($E337/$C337,"")))))</f>
        <v/>
      </c>
      <c r="E337" s="330" t="str">
        <f>IF($A337="","",IF($J337="DIESEL",SUMIFS(Table1[Amount],Table1[Customer],$M$3,Table1[Date],$A337,Table1[Bill No.],$B337),IF($J337="PETROL",SUMIFS(Table14[Amount],Table14[Customer],$M$3,Table14[Date],$A337,Table14[Bill No.],$B337),IF($J337="XtraGreen",SUMIFS(Table146[Amount],Table146[Company],$M$3,Table146[Date],$A337,Table146[Bill No.],$B337),SUMIFS('Other Sale'!$D:$D,'Other Sale'!$E:$E,$M$3,'Other Sale'!$C:$C,$J337,'Other Sale'!$A:$A,$A337)))))</f>
        <v/>
      </c>
      <c r="F337" s="330" t="str" cm="1">
        <f t="array" ref="F337">IF($A337="","",IF($J337="Payment",IFERROR(INDEX(_xlfn._xlws.FILTER(MasterPaid[Amount Paid],(MasterPaid[Customer]=$M$3)*(MasterPaid[Date]=$A337)),COUNTIFS($A$6:$A337,$A337,$J$6:$J337,"Payment")),0),0))</f>
        <v/>
      </c>
      <c r="G337" s="331"/>
      <c r="H337" s="331"/>
      <c r="I337" s="330" t="str">
        <f t="shared" si="14"/>
        <v/>
      </c>
      <c r="J337" s="318" t="str" cm="1">
        <f t="array" ref="J337">IFERROR(INDEX(_xlfn.ANCHORARRAY($P$6),ROW()-5,3),"")</f>
        <v/>
      </c>
      <c r="K337" s="432" t="str" cm="1">
        <f t="array" ref="K337">IF(OR($A337="",$J337&lt;&gt;"DIESEL"),"",_xlfn.LET(_xlpm.qty,N($C337),_xlpm.pos,$T$5:$T$54,_xlpm.alo,IF($U$5:$U$54="",0,$U$5:$U$54),_xlpm.usd,SUMIFS($C$6:$C336,$K$6:$K336,_xlpm.pos&amp;""),_xlpm.bal,_xlpm.alo-_xlpm.usd,IFERROR(INDEX(_xlfn._xlws.FILTER(_xlpm.pos,(_xlpm.pos&lt;&gt;"")*(_xlpm.qty&gt;0)*(_xlpm.bal&gt;=_xlpm.qty)),1),"")))</f>
        <v/>
      </c>
      <c r="L337" s="290"/>
    </row>
    <row r="338" spans="1:12" ht="23" x14ac:dyDescent="0.25">
      <c r="A338" s="221" t="str" cm="1">
        <f t="array" ref="A338">IFERROR(INDEX(_xlfn.ANCHORARRAY($P$6),ROW()-5,1),"")</f>
        <v/>
      </c>
      <c r="B338" s="317" t="str" cm="1">
        <f t="array" ref="B338">IFERROR(INDEX(_xlfn.ANCHORARRAY($P$6),ROW()-5,2),"")</f>
        <v/>
      </c>
      <c r="C338" s="222" t="str">
        <f>IF($A338="","",IF($J338="DIESEL",SUMIFS(Table1[Quantity],Table1[Customer],$M$3,Table1[Date],$A338,Table1[Bill No.],$B338),IF($J338="PETROL",SUMIFS(Table14[Quantity],Table14[Customer],$M$3,Table14[Date],$A338,Table14[Bill No.],$B338),IF($J338="XtraGreen",SUMIFS(Table146[Quantity],Table146[Company],$M$3,Table146[Date],$A338,Table146[Bill No.],$B338),""))))</f>
        <v/>
      </c>
      <c r="D338" s="223" t="str">
        <f>IF($A338="","",IF($J338="DIESEL",AVERAGEIFS(Table1[RSP],Table1[Customer],$M$3,Table1[Date],$A338,Table1[Bill No.],$B338),IF($J338="PETROL",AVERAGEIFS(Table14[RSP],Table14[Customer],$M$3,Table14[Date],$A338,Table14[Bill No.],$B338),IF($J338="XtraGreen",AVERAGEIFS(Table146[RSP],Table146[Company],$M$3,Table146[Date],$A338,Table146[Bill No.],$B338),IFERROR($E338/$C338,"")))))</f>
        <v/>
      </c>
      <c r="E338" s="330" t="str">
        <f>IF($A338="","",IF($J338="DIESEL",SUMIFS(Table1[Amount],Table1[Customer],$M$3,Table1[Date],$A338,Table1[Bill No.],$B338),IF($J338="PETROL",SUMIFS(Table14[Amount],Table14[Customer],$M$3,Table14[Date],$A338,Table14[Bill No.],$B338),IF($J338="XtraGreen",SUMIFS(Table146[Amount],Table146[Company],$M$3,Table146[Date],$A338,Table146[Bill No.],$B338),SUMIFS('Other Sale'!$D:$D,'Other Sale'!$E:$E,$M$3,'Other Sale'!$C:$C,$J338,'Other Sale'!$A:$A,$A338)))))</f>
        <v/>
      </c>
      <c r="F338" s="330" t="str" cm="1">
        <f t="array" ref="F338">IF($A338="","",IF($J338="Payment",IFERROR(INDEX(_xlfn._xlws.FILTER(MasterPaid[Amount Paid],(MasterPaid[Customer]=$M$3)*(MasterPaid[Date]=$A338)),COUNTIFS($A$6:$A338,$A338,$J$6:$J338,"Payment")),0),0))</f>
        <v/>
      </c>
      <c r="G338" s="331"/>
      <c r="H338" s="331"/>
      <c r="I338" s="330" t="str">
        <f t="shared" si="14"/>
        <v/>
      </c>
      <c r="J338" s="318" t="str" cm="1">
        <f t="array" ref="J338">IFERROR(INDEX(_xlfn.ANCHORARRAY($P$6),ROW()-5,3),"")</f>
        <v/>
      </c>
      <c r="K338" s="432" t="str" cm="1">
        <f t="array" ref="K338">IF(OR($A338="",$J338&lt;&gt;"DIESEL"),"",_xlfn.LET(_xlpm.qty,N($C338),_xlpm.pos,$T$5:$T$54,_xlpm.alo,IF($U$5:$U$54="",0,$U$5:$U$54),_xlpm.usd,SUMIFS($C$6:$C337,$K$6:$K337,_xlpm.pos&amp;""),_xlpm.bal,_xlpm.alo-_xlpm.usd,IFERROR(INDEX(_xlfn._xlws.FILTER(_xlpm.pos,(_xlpm.pos&lt;&gt;"")*(_xlpm.qty&gt;0)*(_xlpm.bal&gt;=_xlpm.qty)),1),"")))</f>
        <v/>
      </c>
      <c r="L338" s="290"/>
    </row>
    <row r="339" spans="1:12" ht="23" x14ac:dyDescent="0.25">
      <c r="A339" s="221" t="str" cm="1">
        <f t="array" ref="A339">IFERROR(INDEX(_xlfn.ANCHORARRAY($P$6),ROW()-5,1),"")</f>
        <v/>
      </c>
      <c r="B339" s="317" t="str" cm="1">
        <f t="array" ref="B339">IFERROR(INDEX(_xlfn.ANCHORARRAY($P$6),ROW()-5,2),"")</f>
        <v/>
      </c>
      <c r="C339" s="222" t="str">
        <f>IF($A339="","",IF($J339="DIESEL",SUMIFS(Table1[Quantity],Table1[Customer],$M$3,Table1[Date],$A339,Table1[Bill No.],$B339),IF($J339="PETROL",SUMIFS(Table14[Quantity],Table14[Customer],$M$3,Table14[Date],$A339,Table14[Bill No.],$B339),IF($J339="XtraGreen",SUMIFS(Table146[Quantity],Table146[Company],$M$3,Table146[Date],$A339,Table146[Bill No.],$B339),""))))</f>
        <v/>
      </c>
      <c r="D339" s="223" t="str">
        <f>IF($A339="","",IF($J339="DIESEL",AVERAGEIFS(Table1[RSP],Table1[Customer],$M$3,Table1[Date],$A339,Table1[Bill No.],$B339),IF($J339="PETROL",AVERAGEIFS(Table14[RSP],Table14[Customer],$M$3,Table14[Date],$A339,Table14[Bill No.],$B339),IF($J339="XtraGreen",AVERAGEIFS(Table146[RSP],Table146[Company],$M$3,Table146[Date],$A339,Table146[Bill No.],$B339),IFERROR($E339/$C339,"")))))</f>
        <v/>
      </c>
      <c r="E339" s="330" t="str">
        <f>IF($A339="","",IF($J339="DIESEL",SUMIFS(Table1[Amount],Table1[Customer],$M$3,Table1[Date],$A339,Table1[Bill No.],$B339),IF($J339="PETROL",SUMIFS(Table14[Amount],Table14[Customer],$M$3,Table14[Date],$A339,Table14[Bill No.],$B339),IF($J339="XtraGreen",SUMIFS(Table146[Amount],Table146[Company],$M$3,Table146[Date],$A339,Table146[Bill No.],$B339),SUMIFS('Other Sale'!$D:$D,'Other Sale'!$E:$E,$M$3,'Other Sale'!$C:$C,$J339,'Other Sale'!$A:$A,$A339)))))</f>
        <v/>
      </c>
      <c r="F339" s="330" t="str" cm="1">
        <f t="array" ref="F339">IF($A339="","",IF($J339="Payment",IFERROR(INDEX(_xlfn._xlws.FILTER(MasterPaid[Amount Paid],(MasterPaid[Customer]=$M$3)*(MasterPaid[Date]=$A339)),COUNTIFS($A$6:$A339,$A339,$J$6:$J339,"Payment")),0),0))</f>
        <v/>
      </c>
      <c r="G339" s="331"/>
      <c r="H339" s="331"/>
      <c r="I339" s="330" t="str">
        <f t="shared" si="14"/>
        <v/>
      </c>
      <c r="J339" s="318" t="str" cm="1">
        <f t="array" ref="J339">IFERROR(INDEX(_xlfn.ANCHORARRAY($P$6),ROW()-5,3),"")</f>
        <v/>
      </c>
      <c r="K339" s="432" t="str" cm="1">
        <f t="array" ref="K339">IF(OR($A339="",$J339&lt;&gt;"DIESEL"),"",_xlfn.LET(_xlpm.qty,N($C339),_xlpm.pos,$T$5:$T$54,_xlpm.alo,IF($U$5:$U$54="",0,$U$5:$U$54),_xlpm.usd,SUMIFS($C$6:$C338,$K$6:$K338,_xlpm.pos&amp;""),_xlpm.bal,_xlpm.alo-_xlpm.usd,IFERROR(INDEX(_xlfn._xlws.FILTER(_xlpm.pos,(_xlpm.pos&lt;&gt;"")*(_xlpm.qty&gt;0)*(_xlpm.bal&gt;=_xlpm.qty)),1),"")))</f>
        <v/>
      </c>
      <c r="L339" s="290"/>
    </row>
    <row r="340" spans="1:12" ht="23" x14ac:dyDescent="0.25">
      <c r="A340" s="221" t="str" cm="1">
        <f t="array" ref="A340">IFERROR(INDEX(_xlfn.ANCHORARRAY($P$6),ROW()-5,1),"")</f>
        <v/>
      </c>
      <c r="B340" s="317" t="str" cm="1">
        <f t="array" ref="B340">IFERROR(INDEX(_xlfn.ANCHORARRAY($P$6),ROW()-5,2),"")</f>
        <v/>
      </c>
      <c r="C340" s="222" t="str">
        <f>IF($A340="","",IF($J340="DIESEL",SUMIFS(Table1[Quantity],Table1[Customer],$M$3,Table1[Date],$A340,Table1[Bill No.],$B340),IF($J340="PETROL",SUMIFS(Table14[Quantity],Table14[Customer],$M$3,Table14[Date],$A340,Table14[Bill No.],$B340),IF($J340="XtraGreen",SUMIFS(Table146[Quantity],Table146[Company],$M$3,Table146[Date],$A340,Table146[Bill No.],$B340),""))))</f>
        <v/>
      </c>
      <c r="D340" s="223" t="str">
        <f>IF($A340="","",IF($J340="DIESEL",AVERAGEIFS(Table1[RSP],Table1[Customer],$M$3,Table1[Date],$A340,Table1[Bill No.],$B340),IF($J340="PETROL",AVERAGEIFS(Table14[RSP],Table14[Customer],$M$3,Table14[Date],$A340,Table14[Bill No.],$B340),IF($J340="XtraGreen",AVERAGEIFS(Table146[RSP],Table146[Company],$M$3,Table146[Date],$A340,Table146[Bill No.],$B340),IFERROR($E340/$C340,"")))))</f>
        <v/>
      </c>
      <c r="E340" s="330" t="str">
        <f>IF($A340="","",IF($J340="DIESEL",SUMIFS(Table1[Amount],Table1[Customer],$M$3,Table1[Date],$A340,Table1[Bill No.],$B340),IF($J340="PETROL",SUMIFS(Table14[Amount],Table14[Customer],$M$3,Table14[Date],$A340,Table14[Bill No.],$B340),IF($J340="XtraGreen",SUMIFS(Table146[Amount],Table146[Company],$M$3,Table146[Date],$A340,Table146[Bill No.],$B340),SUMIFS('Other Sale'!$D:$D,'Other Sale'!$E:$E,$M$3,'Other Sale'!$C:$C,$J340,'Other Sale'!$A:$A,$A340)))))</f>
        <v/>
      </c>
      <c r="F340" s="330" t="str" cm="1">
        <f t="array" ref="F340">IF($A340="","",IF($J340="Payment",IFERROR(INDEX(_xlfn._xlws.FILTER(MasterPaid[Amount Paid],(MasterPaid[Customer]=$M$3)*(MasterPaid[Date]=$A340)),COUNTIFS($A$6:$A340,$A340,$J$6:$J340,"Payment")),0),0))</f>
        <v/>
      </c>
      <c r="G340" s="331"/>
      <c r="H340" s="331"/>
      <c r="I340" s="330" t="str">
        <f t="shared" si="14"/>
        <v/>
      </c>
      <c r="J340" s="318" t="str" cm="1">
        <f t="array" ref="J340">IFERROR(INDEX(_xlfn.ANCHORARRAY($P$6),ROW()-5,3),"")</f>
        <v/>
      </c>
      <c r="K340" s="432" t="str" cm="1">
        <f t="array" ref="K340">IF(OR($A340="",$J340&lt;&gt;"DIESEL"),"",_xlfn.LET(_xlpm.qty,N($C340),_xlpm.pos,$T$5:$T$54,_xlpm.alo,IF($U$5:$U$54="",0,$U$5:$U$54),_xlpm.usd,SUMIFS($C$6:$C339,$K$6:$K339,_xlpm.pos&amp;""),_xlpm.bal,_xlpm.alo-_xlpm.usd,IFERROR(INDEX(_xlfn._xlws.FILTER(_xlpm.pos,(_xlpm.pos&lt;&gt;"")*(_xlpm.qty&gt;0)*(_xlpm.bal&gt;=_xlpm.qty)),1),"")))</f>
        <v/>
      </c>
      <c r="L340" s="290"/>
    </row>
    <row r="341" spans="1:12" ht="23" x14ac:dyDescent="0.25">
      <c r="A341" s="221" t="str" cm="1">
        <f t="array" ref="A341">IFERROR(INDEX(_xlfn.ANCHORARRAY($P$6),ROW()-5,1),"")</f>
        <v/>
      </c>
      <c r="B341" s="317" t="str" cm="1">
        <f t="array" ref="B341">IFERROR(INDEX(_xlfn.ANCHORARRAY($P$6),ROW()-5,2),"")</f>
        <v/>
      </c>
      <c r="C341" s="222" t="str">
        <f>IF($A341="","",IF($J341="DIESEL",SUMIFS(Table1[Quantity],Table1[Customer],$M$3,Table1[Date],$A341,Table1[Bill No.],$B341),IF($J341="PETROL",SUMIFS(Table14[Quantity],Table14[Customer],$M$3,Table14[Date],$A341,Table14[Bill No.],$B341),IF($J341="XtraGreen",SUMIFS(Table146[Quantity],Table146[Company],$M$3,Table146[Date],$A341,Table146[Bill No.],$B341),""))))</f>
        <v/>
      </c>
      <c r="D341" s="223" t="str">
        <f>IF($A341="","",IF($J341="DIESEL",AVERAGEIFS(Table1[RSP],Table1[Customer],$M$3,Table1[Date],$A341,Table1[Bill No.],$B341),IF($J341="PETROL",AVERAGEIFS(Table14[RSP],Table14[Customer],$M$3,Table14[Date],$A341,Table14[Bill No.],$B341),IF($J341="XtraGreen",AVERAGEIFS(Table146[RSP],Table146[Company],$M$3,Table146[Date],$A341,Table146[Bill No.],$B341),IFERROR($E341/$C341,"")))))</f>
        <v/>
      </c>
      <c r="E341" s="330" t="str">
        <f>IF($A341="","",IF($J341="DIESEL",SUMIFS(Table1[Amount],Table1[Customer],$M$3,Table1[Date],$A341,Table1[Bill No.],$B341),IF($J341="PETROL",SUMIFS(Table14[Amount],Table14[Customer],$M$3,Table14[Date],$A341,Table14[Bill No.],$B341),IF($J341="XtraGreen",SUMIFS(Table146[Amount],Table146[Company],$M$3,Table146[Date],$A341,Table146[Bill No.],$B341),SUMIFS('Other Sale'!$D:$D,'Other Sale'!$E:$E,$M$3,'Other Sale'!$C:$C,$J341,'Other Sale'!$A:$A,$A341)))))</f>
        <v/>
      </c>
      <c r="F341" s="330" t="str" cm="1">
        <f t="array" ref="F341">IF($A341="","",IF($J341="Payment",IFERROR(INDEX(_xlfn._xlws.FILTER(MasterPaid[Amount Paid],(MasterPaid[Customer]=$M$3)*(MasterPaid[Date]=$A341)),COUNTIFS($A$6:$A341,$A341,$J$6:$J341,"Payment")),0),0))</f>
        <v/>
      </c>
      <c r="G341" s="331"/>
      <c r="H341" s="331"/>
      <c r="I341" s="330" t="str">
        <f t="shared" si="14"/>
        <v/>
      </c>
      <c r="J341" s="318" t="str" cm="1">
        <f t="array" ref="J341">IFERROR(INDEX(_xlfn.ANCHORARRAY($P$6),ROW()-5,3),"")</f>
        <v/>
      </c>
      <c r="K341" s="432" t="str" cm="1">
        <f t="array" ref="K341">IF(OR($A341="",$J341&lt;&gt;"DIESEL"),"",_xlfn.LET(_xlpm.qty,N($C341),_xlpm.pos,$T$5:$T$54,_xlpm.alo,IF($U$5:$U$54="",0,$U$5:$U$54),_xlpm.usd,SUMIFS($C$6:$C340,$K$6:$K340,_xlpm.pos&amp;""),_xlpm.bal,_xlpm.alo-_xlpm.usd,IFERROR(INDEX(_xlfn._xlws.FILTER(_xlpm.pos,(_xlpm.pos&lt;&gt;"")*(_xlpm.qty&gt;0)*(_xlpm.bal&gt;=_xlpm.qty)),1),"")))</f>
        <v/>
      </c>
      <c r="L341" s="290"/>
    </row>
    <row r="342" spans="1:12" ht="23" x14ac:dyDescent="0.25">
      <c r="A342" s="221" t="str" cm="1">
        <f t="array" ref="A342">IFERROR(INDEX(_xlfn.ANCHORARRAY($P$6),ROW()-5,1),"")</f>
        <v/>
      </c>
      <c r="B342" s="317" t="str" cm="1">
        <f t="array" ref="B342">IFERROR(INDEX(_xlfn.ANCHORARRAY($P$6),ROW()-5,2),"")</f>
        <v/>
      </c>
      <c r="C342" s="222" t="str">
        <f>IF($A342="","",IF($J342="DIESEL",SUMIFS(Table1[Quantity],Table1[Customer],$M$3,Table1[Date],$A342,Table1[Bill No.],$B342),IF($J342="PETROL",SUMIFS(Table14[Quantity],Table14[Customer],$M$3,Table14[Date],$A342,Table14[Bill No.],$B342),IF($J342="XtraGreen",SUMIFS(Table146[Quantity],Table146[Company],$M$3,Table146[Date],$A342,Table146[Bill No.],$B342),""))))</f>
        <v/>
      </c>
      <c r="D342" s="223" t="str">
        <f>IF($A342="","",IF($J342="DIESEL",AVERAGEIFS(Table1[RSP],Table1[Customer],$M$3,Table1[Date],$A342,Table1[Bill No.],$B342),IF($J342="PETROL",AVERAGEIFS(Table14[RSP],Table14[Customer],$M$3,Table14[Date],$A342,Table14[Bill No.],$B342),IF($J342="XtraGreen",AVERAGEIFS(Table146[RSP],Table146[Company],$M$3,Table146[Date],$A342,Table146[Bill No.],$B342),IFERROR($E342/$C342,"")))))</f>
        <v/>
      </c>
      <c r="E342" s="330" t="str">
        <f>IF($A342="","",IF($J342="DIESEL",SUMIFS(Table1[Amount],Table1[Customer],$M$3,Table1[Date],$A342,Table1[Bill No.],$B342),IF($J342="PETROL",SUMIFS(Table14[Amount],Table14[Customer],$M$3,Table14[Date],$A342,Table14[Bill No.],$B342),IF($J342="XtraGreen",SUMIFS(Table146[Amount],Table146[Company],$M$3,Table146[Date],$A342,Table146[Bill No.],$B342),SUMIFS('Other Sale'!$D:$D,'Other Sale'!$E:$E,$M$3,'Other Sale'!$C:$C,$J342,'Other Sale'!$A:$A,$A342)))))</f>
        <v/>
      </c>
      <c r="F342" s="330" t="str" cm="1">
        <f t="array" ref="F342">IF($A342="","",IF($J342="Payment",IFERROR(INDEX(_xlfn._xlws.FILTER(MasterPaid[Amount Paid],(MasterPaid[Customer]=$M$3)*(MasterPaid[Date]=$A342)),COUNTIFS($A$6:$A342,$A342,$J$6:$J342,"Payment")),0),0))</f>
        <v/>
      </c>
      <c r="G342" s="331"/>
      <c r="H342" s="331"/>
      <c r="I342" s="330" t="str">
        <f t="shared" ref="I342:I355" si="15">IF($A342="","",I341+N(E342)-N(F342)-N(G342)-N(H342))</f>
        <v/>
      </c>
      <c r="J342" s="318" t="str" cm="1">
        <f t="array" ref="J342">IFERROR(INDEX(_xlfn.ANCHORARRAY($P$6),ROW()-5,3),"")</f>
        <v/>
      </c>
      <c r="K342" s="432" t="str" cm="1">
        <f t="array" ref="K342">IF(OR($A342="",$J342&lt;&gt;"DIESEL"),"",_xlfn.LET(_xlpm.qty,N($C342),_xlpm.pos,$T$5:$T$54,_xlpm.alo,IF($U$5:$U$54="",0,$U$5:$U$54),_xlpm.usd,SUMIFS($C$6:$C341,$K$6:$K341,_xlpm.pos&amp;""),_xlpm.bal,_xlpm.alo-_xlpm.usd,IFERROR(INDEX(_xlfn._xlws.FILTER(_xlpm.pos,(_xlpm.pos&lt;&gt;"")*(_xlpm.qty&gt;0)*(_xlpm.bal&gt;=_xlpm.qty)),1),"")))</f>
        <v/>
      </c>
      <c r="L342" s="290"/>
    </row>
    <row r="343" spans="1:12" ht="23" x14ac:dyDescent="0.25">
      <c r="A343" s="221" t="str" cm="1">
        <f t="array" ref="A343">IFERROR(INDEX(_xlfn.ANCHORARRAY($P$6),ROW()-5,1),"")</f>
        <v/>
      </c>
      <c r="B343" s="317" t="str" cm="1">
        <f t="array" ref="B343">IFERROR(INDEX(_xlfn.ANCHORARRAY($P$6),ROW()-5,2),"")</f>
        <v/>
      </c>
      <c r="C343" s="222" t="str">
        <f>IF($A343="","",IF($J343="DIESEL",SUMIFS(Table1[Quantity],Table1[Customer],$M$3,Table1[Date],$A343,Table1[Bill No.],$B343),IF($J343="PETROL",SUMIFS(Table14[Quantity],Table14[Customer],$M$3,Table14[Date],$A343,Table14[Bill No.],$B343),IF($J343="XtraGreen",SUMIFS(Table146[Quantity],Table146[Company],$M$3,Table146[Date],$A343,Table146[Bill No.],$B343),""))))</f>
        <v/>
      </c>
      <c r="D343" s="223" t="str">
        <f>IF($A343="","",IF($J343="DIESEL",AVERAGEIFS(Table1[RSP],Table1[Customer],$M$3,Table1[Date],$A343,Table1[Bill No.],$B343),IF($J343="PETROL",AVERAGEIFS(Table14[RSP],Table14[Customer],$M$3,Table14[Date],$A343,Table14[Bill No.],$B343),IF($J343="XtraGreen",AVERAGEIFS(Table146[RSP],Table146[Company],$M$3,Table146[Date],$A343,Table146[Bill No.],$B343),IFERROR($E343/$C343,"")))))</f>
        <v/>
      </c>
      <c r="E343" s="330" t="str">
        <f>IF($A343="","",IF($J343="DIESEL",SUMIFS(Table1[Amount],Table1[Customer],$M$3,Table1[Date],$A343,Table1[Bill No.],$B343),IF($J343="PETROL",SUMIFS(Table14[Amount],Table14[Customer],$M$3,Table14[Date],$A343,Table14[Bill No.],$B343),IF($J343="XtraGreen",SUMIFS(Table146[Amount],Table146[Company],$M$3,Table146[Date],$A343,Table146[Bill No.],$B343),SUMIFS('Other Sale'!$D:$D,'Other Sale'!$E:$E,$M$3,'Other Sale'!$C:$C,$J343,'Other Sale'!$A:$A,$A343)))))</f>
        <v/>
      </c>
      <c r="F343" s="330" t="str" cm="1">
        <f t="array" ref="F343">IF($A343="","",IF($J343="Payment",IFERROR(INDEX(_xlfn._xlws.FILTER(MasterPaid[Amount Paid],(MasterPaid[Customer]=$M$3)*(MasterPaid[Date]=$A343)),COUNTIFS($A$6:$A343,$A343,$J$6:$J343,"Payment")),0),0))</f>
        <v/>
      </c>
      <c r="G343" s="331"/>
      <c r="H343" s="331"/>
      <c r="I343" s="330" t="str">
        <f t="shared" si="15"/>
        <v/>
      </c>
      <c r="J343" s="318" t="str" cm="1">
        <f t="array" ref="J343">IFERROR(INDEX(_xlfn.ANCHORARRAY($P$6),ROW()-5,3),"")</f>
        <v/>
      </c>
      <c r="K343" s="432" t="str" cm="1">
        <f t="array" ref="K343">IF(OR($A343="",$J343&lt;&gt;"DIESEL"),"",_xlfn.LET(_xlpm.qty,N($C343),_xlpm.pos,$T$5:$T$54,_xlpm.alo,IF($U$5:$U$54="",0,$U$5:$U$54),_xlpm.usd,SUMIFS($C$6:$C342,$K$6:$K342,_xlpm.pos&amp;""),_xlpm.bal,_xlpm.alo-_xlpm.usd,IFERROR(INDEX(_xlfn._xlws.FILTER(_xlpm.pos,(_xlpm.pos&lt;&gt;"")*(_xlpm.qty&gt;0)*(_xlpm.bal&gt;=_xlpm.qty)),1),"")))</f>
        <v/>
      </c>
      <c r="L343" s="290"/>
    </row>
    <row r="344" spans="1:12" ht="23" x14ac:dyDescent="0.25">
      <c r="A344" s="221" t="str" cm="1">
        <f t="array" ref="A344">IFERROR(INDEX(_xlfn.ANCHORARRAY($P$6),ROW()-5,1),"")</f>
        <v/>
      </c>
      <c r="B344" s="317" t="str" cm="1">
        <f t="array" ref="B344">IFERROR(INDEX(_xlfn.ANCHORARRAY($P$6),ROW()-5,2),"")</f>
        <v/>
      </c>
      <c r="C344" s="222" t="str">
        <f>IF($A344="","",IF($J344="DIESEL",SUMIFS(Table1[Quantity],Table1[Customer],$M$3,Table1[Date],$A344,Table1[Bill No.],$B344),IF($J344="PETROL",SUMIFS(Table14[Quantity],Table14[Customer],$M$3,Table14[Date],$A344,Table14[Bill No.],$B344),IF($J344="XtraGreen",SUMIFS(Table146[Quantity],Table146[Company],$M$3,Table146[Date],$A344,Table146[Bill No.],$B344),""))))</f>
        <v/>
      </c>
      <c r="D344" s="223" t="str">
        <f>IF($A344="","",IF($J344="DIESEL",AVERAGEIFS(Table1[RSP],Table1[Customer],$M$3,Table1[Date],$A344,Table1[Bill No.],$B344),IF($J344="PETROL",AVERAGEIFS(Table14[RSP],Table14[Customer],$M$3,Table14[Date],$A344,Table14[Bill No.],$B344),IF($J344="XtraGreen",AVERAGEIFS(Table146[RSP],Table146[Company],$M$3,Table146[Date],$A344,Table146[Bill No.],$B344),IFERROR($E344/$C344,"")))))</f>
        <v/>
      </c>
      <c r="E344" s="330" t="str">
        <f>IF($A344="","",IF($J344="DIESEL",SUMIFS(Table1[Amount],Table1[Customer],$M$3,Table1[Date],$A344,Table1[Bill No.],$B344),IF($J344="PETROL",SUMIFS(Table14[Amount],Table14[Customer],$M$3,Table14[Date],$A344,Table14[Bill No.],$B344),IF($J344="XtraGreen",SUMIFS(Table146[Amount],Table146[Company],$M$3,Table146[Date],$A344,Table146[Bill No.],$B344),SUMIFS('Other Sale'!$D:$D,'Other Sale'!$E:$E,$M$3,'Other Sale'!$C:$C,$J344,'Other Sale'!$A:$A,$A344)))))</f>
        <v/>
      </c>
      <c r="F344" s="330" t="str" cm="1">
        <f t="array" ref="F344">IF($A344="","",IF($J344="Payment",IFERROR(INDEX(_xlfn._xlws.FILTER(MasterPaid[Amount Paid],(MasterPaid[Customer]=$M$3)*(MasterPaid[Date]=$A344)),COUNTIFS($A$6:$A344,$A344,$J$6:$J344,"Payment")),0),0))</f>
        <v/>
      </c>
      <c r="G344" s="331"/>
      <c r="H344" s="331"/>
      <c r="I344" s="330" t="str">
        <f t="shared" si="15"/>
        <v/>
      </c>
      <c r="J344" s="318" t="str" cm="1">
        <f t="array" ref="J344">IFERROR(INDEX(_xlfn.ANCHORARRAY($P$6),ROW()-5,3),"")</f>
        <v/>
      </c>
      <c r="K344" s="432" t="str" cm="1">
        <f t="array" ref="K344">IF(OR($A344="",$J344&lt;&gt;"DIESEL"),"",_xlfn.LET(_xlpm.qty,N($C344),_xlpm.pos,$T$5:$T$54,_xlpm.alo,IF($U$5:$U$54="",0,$U$5:$U$54),_xlpm.usd,SUMIFS($C$6:$C343,$K$6:$K343,_xlpm.pos&amp;""),_xlpm.bal,_xlpm.alo-_xlpm.usd,IFERROR(INDEX(_xlfn._xlws.FILTER(_xlpm.pos,(_xlpm.pos&lt;&gt;"")*(_xlpm.qty&gt;0)*(_xlpm.bal&gt;=_xlpm.qty)),1),"")))</f>
        <v/>
      </c>
      <c r="L344" s="290"/>
    </row>
    <row r="345" spans="1:12" ht="23" x14ac:dyDescent="0.25">
      <c r="A345" s="221" t="str" cm="1">
        <f t="array" ref="A345">IFERROR(INDEX(_xlfn.ANCHORARRAY($P$6),ROW()-5,1),"")</f>
        <v/>
      </c>
      <c r="B345" s="317" t="str" cm="1">
        <f t="array" ref="B345">IFERROR(INDEX(_xlfn.ANCHORARRAY($P$6),ROW()-5,2),"")</f>
        <v/>
      </c>
      <c r="C345" s="222" t="str">
        <f>IF($A345="","",IF($J345="DIESEL",SUMIFS(Table1[Quantity],Table1[Customer],$M$3,Table1[Date],$A345,Table1[Bill No.],$B345),IF($J345="PETROL",SUMIFS(Table14[Quantity],Table14[Customer],$M$3,Table14[Date],$A345,Table14[Bill No.],$B345),IF($J345="XtraGreen",SUMIFS(Table146[Quantity],Table146[Company],$M$3,Table146[Date],$A345,Table146[Bill No.],$B345),""))))</f>
        <v/>
      </c>
      <c r="D345" s="223" t="str">
        <f>IF($A345="","",IF($J345="DIESEL",AVERAGEIFS(Table1[RSP],Table1[Customer],$M$3,Table1[Date],$A345,Table1[Bill No.],$B345),IF($J345="PETROL",AVERAGEIFS(Table14[RSP],Table14[Customer],$M$3,Table14[Date],$A345,Table14[Bill No.],$B345),IF($J345="XtraGreen",AVERAGEIFS(Table146[RSP],Table146[Company],$M$3,Table146[Date],$A345,Table146[Bill No.],$B345),IFERROR($E345/$C345,"")))))</f>
        <v/>
      </c>
      <c r="E345" s="330" t="str">
        <f>IF($A345="","",IF($J345="DIESEL",SUMIFS(Table1[Amount],Table1[Customer],$M$3,Table1[Date],$A345,Table1[Bill No.],$B345),IF($J345="PETROL",SUMIFS(Table14[Amount],Table14[Customer],$M$3,Table14[Date],$A345,Table14[Bill No.],$B345),IF($J345="XtraGreen",SUMIFS(Table146[Amount],Table146[Company],$M$3,Table146[Date],$A345,Table146[Bill No.],$B345),SUMIFS('Other Sale'!$D:$D,'Other Sale'!$E:$E,$M$3,'Other Sale'!$C:$C,$J345,'Other Sale'!$A:$A,$A345)))))</f>
        <v/>
      </c>
      <c r="F345" s="330" t="str" cm="1">
        <f t="array" ref="F345">IF($A345="","",IF($J345="Payment",IFERROR(INDEX(_xlfn._xlws.FILTER(MasterPaid[Amount Paid],(MasterPaid[Customer]=$M$3)*(MasterPaid[Date]=$A345)),COUNTIFS($A$6:$A345,$A345,$J$6:$J345,"Payment")),0),0))</f>
        <v/>
      </c>
      <c r="G345" s="331"/>
      <c r="H345" s="331"/>
      <c r="I345" s="330" t="str">
        <f t="shared" si="15"/>
        <v/>
      </c>
      <c r="J345" s="318" t="str" cm="1">
        <f t="array" ref="J345">IFERROR(INDEX(_xlfn.ANCHORARRAY($P$6),ROW()-5,3),"")</f>
        <v/>
      </c>
      <c r="K345" s="432" t="str" cm="1">
        <f t="array" ref="K345">IF(OR($A345="",$J345&lt;&gt;"DIESEL"),"",_xlfn.LET(_xlpm.qty,N($C345),_xlpm.pos,$T$5:$T$54,_xlpm.alo,IF($U$5:$U$54="",0,$U$5:$U$54),_xlpm.usd,SUMIFS($C$6:$C344,$K$6:$K344,_xlpm.pos&amp;""),_xlpm.bal,_xlpm.alo-_xlpm.usd,IFERROR(INDEX(_xlfn._xlws.FILTER(_xlpm.pos,(_xlpm.pos&lt;&gt;"")*(_xlpm.qty&gt;0)*(_xlpm.bal&gt;=_xlpm.qty)),1),"")))</f>
        <v/>
      </c>
      <c r="L345" s="290"/>
    </row>
    <row r="346" spans="1:12" ht="23" x14ac:dyDescent="0.25">
      <c r="A346" s="221" t="str" cm="1">
        <f t="array" ref="A346">IFERROR(INDEX(_xlfn.ANCHORARRAY($P$6),ROW()-5,1),"")</f>
        <v/>
      </c>
      <c r="B346" s="317" t="str" cm="1">
        <f t="array" ref="B346">IFERROR(INDEX(_xlfn.ANCHORARRAY($P$6),ROW()-5,2),"")</f>
        <v/>
      </c>
      <c r="C346" s="222" t="str">
        <f>IF($A346="","",IF($J346="DIESEL",SUMIFS(Table1[Quantity],Table1[Customer],$M$3,Table1[Date],$A346,Table1[Bill No.],$B346),IF($J346="PETROL",SUMIFS(Table14[Quantity],Table14[Customer],$M$3,Table14[Date],$A346,Table14[Bill No.],$B346),IF($J346="XtraGreen",SUMIFS(Table146[Quantity],Table146[Company],$M$3,Table146[Date],$A346,Table146[Bill No.],$B346),""))))</f>
        <v/>
      </c>
      <c r="D346" s="223" t="str">
        <f>IF($A346="","",IF($J346="DIESEL",AVERAGEIFS(Table1[RSP],Table1[Customer],$M$3,Table1[Date],$A346,Table1[Bill No.],$B346),IF($J346="PETROL",AVERAGEIFS(Table14[RSP],Table14[Customer],$M$3,Table14[Date],$A346,Table14[Bill No.],$B346),IF($J346="XtraGreen",AVERAGEIFS(Table146[RSP],Table146[Company],$M$3,Table146[Date],$A346,Table146[Bill No.],$B346),IFERROR($E346/$C346,"")))))</f>
        <v/>
      </c>
      <c r="E346" s="330" t="str">
        <f>IF($A346="","",IF($J346="DIESEL",SUMIFS(Table1[Amount],Table1[Customer],$M$3,Table1[Date],$A346,Table1[Bill No.],$B346),IF($J346="PETROL",SUMIFS(Table14[Amount],Table14[Customer],$M$3,Table14[Date],$A346,Table14[Bill No.],$B346),IF($J346="XtraGreen",SUMIFS(Table146[Amount],Table146[Company],$M$3,Table146[Date],$A346,Table146[Bill No.],$B346),SUMIFS('Other Sale'!$D:$D,'Other Sale'!$E:$E,$M$3,'Other Sale'!$C:$C,$J346,'Other Sale'!$A:$A,$A346)))))</f>
        <v/>
      </c>
      <c r="F346" s="330" t="str" cm="1">
        <f t="array" ref="F346">IF($A346="","",IF($J346="Payment",IFERROR(INDEX(_xlfn._xlws.FILTER(MasterPaid[Amount Paid],(MasterPaid[Customer]=$M$3)*(MasterPaid[Date]=$A346)),COUNTIFS($A$6:$A346,$A346,$J$6:$J346,"Payment")),0),0))</f>
        <v/>
      </c>
      <c r="G346" s="331"/>
      <c r="H346" s="331"/>
      <c r="I346" s="330" t="str">
        <f t="shared" si="15"/>
        <v/>
      </c>
      <c r="J346" s="318" t="str" cm="1">
        <f t="array" ref="J346">IFERROR(INDEX(_xlfn.ANCHORARRAY($P$6),ROW()-5,3),"")</f>
        <v/>
      </c>
      <c r="K346" s="432" t="str" cm="1">
        <f t="array" ref="K346">IF(OR($A346="",$J346&lt;&gt;"DIESEL"),"",_xlfn.LET(_xlpm.qty,N($C346),_xlpm.pos,$T$5:$T$54,_xlpm.alo,IF($U$5:$U$54="",0,$U$5:$U$54),_xlpm.usd,SUMIFS($C$6:$C345,$K$6:$K345,_xlpm.pos&amp;""),_xlpm.bal,_xlpm.alo-_xlpm.usd,IFERROR(INDEX(_xlfn._xlws.FILTER(_xlpm.pos,(_xlpm.pos&lt;&gt;"")*(_xlpm.qty&gt;0)*(_xlpm.bal&gt;=_xlpm.qty)),1),"")))</f>
        <v/>
      </c>
      <c r="L346" s="290"/>
    </row>
    <row r="347" spans="1:12" ht="23" x14ac:dyDescent="0.25">
      <c r="A347" s="221" t="str" cm="1">
        <f t="array" ref="A347">IFERROR(INDEX(_xlfn.ANCHORARRAY($P$6),ROW()-5,1),"")</f>
        <v/>
      </c>
      <c r="B347" s="317" t="str" cm="1">
        <f t="array" ref="B347">IFERROR(INDEX(_xlfn.ANCHORARRAY($P$6),ROW()-5,2),"")</f>
        <v/>
      </c>
      <c r="C347" s="222" t="str">
        <f>IF($A347="","",IF($J347="DIESEL",SUMIFS(Table1[Quantity],Table1[Customer],$M$3,Table1[Date],$A347,Table1[Bill No.],$B347),IF($J347="PETROL",SUMIFS(Table14[Quantity],Table14[Customer],$M$3,Table14[Date],$A347,Table14[Bill No.],$B347),IF($J347="XtraGreen",SUMIFS(Table146[Quantity],Table146[Company],$M$3,Table146[Date],$A347,Table146[Bill No.],$B347),""))))</f>
        <v/>
      </c>
      <c r="D347" s="223" t="str">
        <f>IF($A347="","",IF($J347="DIESEL",AVERAGEIFS(Table1[RSP],Table1[Customer],$M$3,Table1[Date],$A347,Table1[Bill No.],$B347),IF($J347="PETROL",AVERAGEIFS(Table14[RSP],Table14[Customer],$M$3,Table14[Date],$A347,Table14[Bill No.],$B347),IF($J347="XtraGreen",AVERAGEIFS(Table146[RSP],Table146[Company],$M$3,Table146[Date],$A347,Table146[Bill No.],$B347),IFERROR($E347/$C347,"")))))</f>
        <v/>
      </c>
      <c r="E347" s="330" t="str">
        <f>IF($A347="","",IF($J347="DIESEL",SUMIFS(Table1[Amount],Table1[Customer],$M$3,Table1[Date],$A347,Table1[Bill No.],$B347),IF($J347="PETROL",SUMIFS(Table14[Amount],Table14[Customer],$M$3,Table14[Date],$A347,Table14[Bill No.],$B347),IF($J347="XtraGreen",SUMIFS(Table146[Amount],Table146[Company],$M$3,Table146[Date],$A347,Table146[Bill No.],$B347),SUMIFS('Other Sale'!$D:$D,'Other Sale'!$E:$E,$M$3,'Other Sale'!$C:$C,$J347,'Other Sale'!$A:$A,$A347)))))</f>
        <v/>
      </c>
      <c r="F347" s="330" t="str" cm="1">
        <f t="array" ref="F347">IF($A347="","",IF($J347="Payment",IFERROR(INDEX(_xlfn._xlws.FILTER(MasterPaid[Amount Paid],(MasterPaid[Customer]=$M$3)*(MasterPaid[Date]=$A347)),COUNTIFS($A$6:$A347,$A347,$J$6:$J347,"Payment")),0),0))</f>
        <v/>
      </c>
      <c r="G347" s="331"/>
      <c r="H347" s="331"/>
      <c r="I347" s="330" t="str">
        <f t="shared" si="15"/>
        <v/>
      </c>
      <c r="J347" s="318" t="str" cm="1">
        <f t="array" ref="J347">IFERROR(INDEX(_xlfn.ANCHORARRAY($P$6),ROW()-5,3),"")</f>
        <v/>
      </c>
      <c r="K347" s="432" t="str" cm="1">
        <f t="array" ref="K347">IF(OR($A347="",$J347&lt;&gt;"DIESEL"),"",_xlfn.LET(_xlpm.qty,N($C347),_xlpm.pos,$T$5:$T$54,_xlpm.alo,IF($U$5:$U$54="",0,$U$5:$U$54),_xlpm.usd,SUMIFS($C$6:$C346,$K$6:$K346,_xlpm.pos&amp;""),_xlpm.bal,_xlpm.alo-_xlpm.usd,IFERROR(INDEX(_xlfn._xlws.FILTER(_xlpm.pos,(_xlpm.pos&lt;&gt;"")*(_xlpm.qty&gt;0)*(_xlpm.bal&gt;=_xlpm.qty)),1),"")))</f>
        <v/>
      </c>
      <c r="L347" s="290"/>
    </row>
    <row r="348" spans="1:12" ht="23" x14ac:dyDescent="0.25">
      <c r="A348" s="221" t="str" cm="1">
        <f t="array" ref="A348">IFERROR(INDEX(_xlfn.ANCHORARRAY($P$6),ROW()-5,1),"")</f>
        <v/>
      </c>
      <c r="B348" s="317" t="str" cm="1">
        <f t="array" ref="B348">IFERROR(INDEX(_xlfn.ANCHORARRAY($P$6),ROW()-5,2),"")</f>
        <v/>
      </c>
      <c r="C348" s="222" t="str">
        <f>IF($A348="","",IF($J348="DIESEL",SUMIFS(Table1[Quantity],Table1[Customer],$M$3,Table1[Date],$A348,Table1[Bill No.],$B348),IF($J348="PETROL",SUMIFS(Table14[Quantity],Table14[Customer],$M$3,Table14[Date],$A348,Table14[Bill No.],$B348),IF($J348="XtraGreen",SUMIFS(Table146[Quantity],Table146[Company],$M$3,Table146[Date],$A348,Table146[Bill No.],$B348),""))))</f>
        <v/>
      </c>
      <c r="D348" s="223" t="str">
        <f>IF($A348="","",IF($J348="DIESEL",AVERAGEIFS(Table1[RSP],Table1[Customer],$M$3,Table1[Date],$A348,Table1[Bill No.],$B348),IF($J348="PETROL",AVERAGEIFS(Table14[RSP],Table14[Customer],$M$3,Table14[Date],$A348,Table14[Bill No.],$B348),IF($J348="XtraGreen",AVERAGEIFS(Table146[RSP],Table146[Company],$M$3,Table146[Date],$A348,Table146[Bill No.],$B348),IFERROR($E348/$C348,"")))))</f>
        <v/>
      </c>
      <c r="E348" s="330" t="str">
        <f>IF($A348="","",IF($J348="DIESEL",SUMIFS(Table1[Amount],Table1[Customer],$M$3,Table1[Date],$A348,Table1[Bill No.],$B348),IF($J348="PETROL",SUMIFS(Table14[Amount],Table14[Customer],$M$3,Table14[Date],$A348,Table14[Bill No.],$B348),IF($J348="XtraGreen",SUMIFS(Table146[Amount],Table146[Company],$M$3,Table146[Date],$A348,Table146[Bill No.],$B348),SUMIFS('Other Sale'!$D:$D,'Other Sale'!$E:$E,$M$3,'Other Sale'!$C:$C,$J348,'Other Sale'!$A:$A,$A348)))))</f>
        <v/>
      </c>
      <c r="F348" s="330" t="str" cm="1">
        <f t="array" ref="F348">IF($A348="","",IF($J348="Payment",IFERROR(INDEX(_xlfn._xlws.FILTER(MasterPaid[Amount Paid],(MasterPaid[Customer]=$M$3)*(MasterPaid[Date]=$A348)),COUNTIFS($A$6:$A348,$A348,$J$6:$J348,"Payment")),0),0))</f>
        <v/>
      </c>
      <c r="G348" s="331"/>
      <c r="H348" s="331"/>
      <c r="I348" s="330" t="str">
        <f t="shared" si="15"/>
        <v/>
      </c>
      <c r="J348" s="318" t="str" cm="1">
        <f t="array" ref="J348">IFERROR(INDEX(_xlfn.ANCHORARRAY($P$6),ROW()-5,3),"")</f>
        <v/>
      </c>
      <c r="K348" s="432" t="str" cm="1">
        <f t="array" ref="K348">IF(OR($A348="",$J348&lt;&gt;"DIESEL"),"",_xlfn.LET(_xlpm.qty,N($C348),_xlpm.pos,$T$5:$T$54,_xlpm.alo,IF($U$5:$U$54="",0,$U$5:$U$54),_xlpm.usd,SUMIFS($C$6:$C347,$K$6:$K347,_xlpm.pos&amp;""),_xlpm.bal,_xlpm.alo-_xlpm.usd,IFERROR(INDEX(_xlfn._xlws.FILTER(_xlpm.pos,(_xlpm.pos&lt;&gt;"")*(_xlpm.qty&gt;0)*(_xlpm.bal&gt;=_xlpm.qty)),1),"")))</f>
        <v/>
      </c>
      <c r="L348" s="290"/>
    </row>
    <row r="349" spans="1:12" ht="23" x14ac:dyDescent="0.25">
      <c r="A349" s="221" t="str" cm="1">
        <f t="array" ref="A349">IFERROR(INDEX(_xlfn.ANCHORARRAY($P$6),ROW()-5,1),"")</f>
        <v/>
      </c>
      <c r="B349" s="317" t="str" cm="1">
        <f t="array" ref="B349">IFERROR(INDEX(_xlfn.ANCHORARRAY($P$6),ROW()-5,2),"")</f>
        <v/>
      </c>
      <c r="C349" s="222" t="str">
        <f>IF($A349="","",IF($J349="DIESEL",SUMIFS(Table1[Quantity],Table1[Customer],$M$3,Table1[Date],$A349,Table1[Bill No.],$B349),IF($J349="PETROL",SUMIFS(Table14[Quantity],Table14[Customer],$M$3,Table14[Date],$A349,Table14[Bill No.],$B349),IF($J349="XtraGreen",SUMIFS(Table146[Quantity],Table146[Company],$M$3,Table146[Date],$A349,Table146[Bill No.],$B349),""))))</f>
        <v/>
      </c>
      <c r="D349" s="223" t="str">
        <f>IF($A349="","",IF($J349="DIESEL",AVERAGEIFS(Table1[RSP],Table1[Customer],$M$3,Table1[Date],$A349,Table1[Bill No.],$B349),IF($J349="PETROL",AVERAGEIFS(Table14[RSP],Table14[Customer],$M$3,Table14[Date],$A349,Table14[Bill No.],$B349),IF($J349="XtraGreen",AVERAGEIFS(Table146[RSP],Table146[Company],$M$3,Table146[Date],$A349,Table146[Bill No.],$B349),IFERROR($E349/$C349,"")))))</f>
        <v/>
      </c>
      <c r="E349" s="330" t="str">
        <f>IF($A349="","",IF($J349="DIESEL",SUMIFS(Table1[Amount],Table1[Customer],$M$3,Table1[Date],$A349,Table1[Bill No.],$B349),IF($J349="PETROL",SUMIFS(Table14[Amount],Table14[Customer],$M$3,Table14[Date],$A349,Table14[Bill No.],$B349),IF($J349="XtraGreen",SUMIFS(Table146[Amount],Table146[Company],$M$3,Table146[Date],$A349,Table146[Bill No.],$B349),SUMIFS('Other Sale'!$D:$D,'Other Sale'!$E:$E,$M$3,'Other Sale'!$C:$C,$J349,'Other Sale'!$A:$A,$A349)))))</f>
        <v/>
      </c>
      <c r="F349" s="330" t="str" cm="1">
        <f t="array" ref="F349">IF($A349="","",IF($J349="Payment",IFERROR(INDEX(_xlfn._xlws.FILTER(MasterPaid[Amount Paid],(MasterPaid[Customer]=$M$3)*(MasterPaid[Date]=$A349)),COUNTIFS($A$6:$A349,$A349,$J$6:$J349,"Payment")),0),0))</f>
        <v/>
      </c>
      <c r="G349" s="331"/>
      <c r="H349" s="331"/>
      <c r="I349" s="330" t="str">
        <f t="shared" si="15"/>
        <v/>
      </c>
      <c r="J349" s="318" t="str" cm="1">
        <f t="array" ref="J349">IFERROR(INDEX(_xlfn.ANCHORARRAY($P$6),ROW()-5,3),"")</f>
        <v/>
      </c>
      <c r="K349" s="432" t="str" cm="1">
        <f t="array" ref="K349">IF(OR($A349="",$J349&lt;&gt;"DIESEL"),"",_xlfn.LET(_xlpm.qty,N($C349),_xlpm.pos,$T$5:$T$54,_xlpm.alo,IF($U$5:$U$54="",0,$U$5:$U$54),_xlpm.usd,SUMIFS($C$6:$C348,$K$6:$K348,_xlpm.pos&amp;""),_xlpm.bal,_xlpm.alo-_xlpm.usd,IFERROR(INDEX(_xlfn._xlws.FILTER(_xlpm.pos,(_xlpm.pos&lt;&gt;"")*(_xlpm.qty&gt;0)*(_xlpm.bal&gt;=_xlpm.qty)),1),"")))</f>
        <v/>
      </c>
      <c r="L349" s="290"/>
    </row>
    <row r="350" spans="1:12" ht="23" x14ac:dyDescent="0.25">
      <c r="A350" s="221" t="str" cm="1">
        <f t="array" ref="A350">IFERROR(INDEX(_xlfn.ANCHORARRAY($P$6),ROW()-5,1),"")</f>
        <v/>
      </c>
      <c r="B350" s="317" t="str" cm="1">
        <f t="array" ref="B350">IFERROR(INDEX(_xlfn.ANCHORARRAY($P$6),ROW()-5,2),"")</f>
        <v/>
      </c>
      <c r="C350" s="222" t="str">
        <f>IF($A350="","",IF($J350="DIESEL",SUMIFS(Table1[Quantity],Table1[Customer],$M$3,Table1[Date],$A350,Table1[Bill No.],$B350),IF($J350="PETROL",SUMIFS(Table14[Quantity],Table14[Customer],$M$3,Table14[Date],$A350,Table14[Bill No.],$B350),IF($J350="XtraGreen",SUMIFS(Table146[Quantity],Table146[Company],$M$3,Table146[Date],$A350,Table146[Bill No.],$B350),""))))</f>
        <v/>
      </c>
      <c r="D350" s="223" t="str">
        <f>IF($A350="","",IF($J350="DIESEL",AVERAGEIFS(Table1[RSP],Table1[Customer],$M$3,Table1[Date],$A350,Table1[Bill No.],$B350),IF($J350="PETROL",AVERAGEIFS(Table14[RSP],Table14[Customer],$M$3,Table14[Date],$A350,Table14[Bill No.],$B350),IF($J350="XtraGreen",AVERAGEIFS(Table146[RSP],Table146[Company],$M$3,Table146[Date],$A350,Table146[Bill No.],$B350),IFERROR($E350/$C350,"")))))</f>
        <v/>
      </c>
      <c r="E350" s="330" t="str">
        <f>IF($A350="","",IF($J350="DIESEL",SUMIFS(Table1[Amount],Table1[Customer],$M$3,Table1[Date],$A350,Table1[Bill No.],$B350),IF($J350="PETROL",SUMIFS(Table14[Amount],Table14[Customer],$M$3,Table14[Date],$A350,Table14[Bill No.],$B350),IF($J350="XtraGreen",SUMIFS(Table146[Amount],Table146[Company],$M$3,Table146[Date],$A350,Table146[Bill No.],$B350),SUMIFS('Other Sale'!$D:$D,'Other Sale'!$E:$E,$M$3,'Other Sale'!$C:$C,$J350,'Other Sale'!$A:$A,$A350)))))</f>
        <v/>
      </c>
      <c r="F350" s="330" t="str" cm="1">
        <f t="array" ref="F350">IF($A350="","",IF($J350="Payment",IFERROR(INDEX(_xlfn._xlws.FILTER(MasterPaid[Amount Paid],(MasterPaid[Customer]=$M$3)*(MasterPaid[Date]=$A350)),COUNTIFS($A$6:$A350,$A350,$J$6:$J350,"Payment")),0),0))</f>
        <v/>
      </c>
      <c r="G350" s="331"/>
      <c r="H350" s="331"/>
      <c r="I350" s="330" t="str">
        <f t="shared" si="15"/>
        <v/>
      </c>
      <c r="J350" s="318" t="str" cm="1">
        <f t="array" ref="J350">IFERROR(INDEX(_xlfn.ANCHORARRAY($P$6),ROW()-5,3),"")</f>
        <v/>
      </c>
      <c r="K350" s="432" t="str" cm="1">
        <f t="array" ref="K350">IF(OR($A350="",$J350&lt;&gt;"DIESEL"),"",_xlfn.LET(_xlpm.qty,N($C350),_xlpm.pos,$T$5:$T$54,_xlpm.alo,IF($U$5:$U$54="",0,$U$5:$U$54),_xlpm.usd,SUMIFS($C$6:$C349,$K$6:$K349,_xlpm.pos&amp;""),_xlpm.bal,_xlpm.alo-_xlpm.usd,IFERROR(INDEX(_xlfn._xlws.FILTER(_xlpm.pos,(_xlpm.pos&lt;&gt;"")*(_xlpm.qty&gt;0)*(_xlpm.bal&gt;=_xlpm.qty)),1),"")))</f>
        <v/>
      </c>
      <c r="L350" s="290"/>
    </row>
    <row r="351" spans="1:12" ht="23" x14ac:dyDescent="0.25">
      <c r="A351" s="221" t="str" cm="1">
        <f t="array" ref="A351">IFERROR(INDEX(_xlfn.ANCHORARRAY($P$6),ROW()-5,1),"")</f>
        <v/>
      </c>
      <c r="B351" s="317" t="str" cm="1">
        <f t="array" ref="B351">IFERROR(INDEX(_xlfn.ANCHORARRAY($P$6),ROW()-5,2),"")</f>
        <v/>
      </c>
      <c r="C351" s="222" t="str">
        <f>IF($A351="","",IF($J351="DIESEL",SUMIFS(Table1[Quantity],Table1[Customer],$M$3,Table1[Date],$A351,Table1[Bill No.],$B351),IF($J351="PETROL",SUMIFS(Table14[Quantity],Table14[Customer],$M$3,Table14[Date],$A351,Table14[Bill No.],$B351),IF($J351="XtraGreen",SUMIFS(Table146[Quantity],Table146[Company],$M$3,Table146[Date],$A351,Table146[Bill No.],$B351),""))))</f>
        <v/>
      </c>
      <c r="D351" s="223" t="str">
        <f>IF($A351="","",IF($J351="DIESEL",AVERAGEIFS(Table1[RSP],Table1[Customer],$M$3,Table1[Date],$A351,Table1[Bill No.],$B351),IF($J351="PETROL",AVERAGEIFS(Table14[RSP],Table14[Customer],$M$3,Table14[Date],$A351,Table14[Bill No.],$B351),IF($J351="XtraGreen",AVERAGEIFS(Table146[RSP],Table146[Company],$M$3,Table146[Date],$A351,Table146[Bill No.],$B351),IFERROR($E351/$C351,"")))))</f>
        <v/>
      </c>
      <c r="E351" s="330" t="str">
        <f>IF($A351="","",IF($J351="DIESEL",SUMIFS(Table1[Amount],Table1[Customer],$M$3,Table1[Date],$A351,Table1[Bill No.],$B351),IF($J351="PETROL",SUMIFS(Table14[Amount],Table14[Customer],$M$3,Table14[Date],$A351,Table14[Bill No.],$B351),IF($J351="XtraGreen",SUMIFS(Table146[Amount],Table146[Company],$M$3,Table146[Date],$A351,Table146[Bill No.],$B351),SUMIFS('Other Sale'!$D:$D,'Other Sale'!$E:$E,$M$3,'Other Sale'!$C:$C,$J351,'Other Sale'!$A:$A,$A351)))))</f>
        <v/>
      </c>
      <c r="F351" s="330" t="str" cm="1">
        <f t="array" ref="F351">IF($A351="","",IF($J351="Payment",IFERROR(INDEX(_xlfn._xlws.FILTER(MasterPaid[Amount Paid],(MasterPaid[Customer]=$M$3)*(MasterPaid[Date]=$A351)),COUNTIFS($A$6:$A351,$A351,$J$6:$J351,"Payment")),0),0))</f>
        <v/>
      </c>
      <c r="G351" s="331"/>
      <c r="H351" s="331"/>
      <c r="I351" s="330" t="str">
        <f t="shared" si="15"/>
        <v/>
      </c>
      <c r="J351" s="318" t="str" cm="1">
        <f t="array" ref="J351">IFERROR(INDEX(_xlfn.ANCHORARRAY($P$6),ROW()-5,3),"")</f>
        <v/>
      </c>
      <c r="K351" s="432" t="str" cm="1">
        <f t="array" ref="K351">IF(OR($A351="",$J351&lt;&gt;"DIESEL"),"",_xlfn.LET(_xlpm.qty,N($C351),_xlpm.pos,$T$5:$T$54,_xlpm.alo,IF($U$5:$U$54="",0,$U$5:$U$54),_xlpm.usd,SUMIFS($C$6:$C350,$K$6:$K350,_xlpm.pos&amp;""),_xlpm.bal,_xlpm.alo-_xlpm.usd,IFERROR(INDEX(_xlfn._xlws.FILTER(_xlpm.pos,(_xlpm.pos&lt;&gt;"")*(_xlpm.qty&gt;0)*(_xlpm.bal&gt;=_xlpm.qty)),1),"")))</f>
        <v/>
      </c>
      <c r="L351" s="290"/>
    </row>
    <row r="352" spans="1:12" ht="23" x14ac:dyDescent="0.25">
      <c r="A352" s="221" t="str" cm="1">
        <f t="array" ref="A352">IFERROR(INDEX(_xlfn.ANCHORARRAY($P$6),ROW()-5,1),"")</f>
        <v/>
      </c>
      <c r="B352" s="317" t="str" cm="1">
        <f t="array" ref="B352">IFERROR(INDEX(_xlfn.ANCHORARRAY($P$6),ROW()-5,2),"")</f>
        <v/>
      </c>
      <c r="C352" s="222" t="str">
        <f>IF($A352="","",IF($J352="DIESEL",SUMIFS(Table1[Quantity],Table1[Customer],$M$3,Table1[Date],$A352,Table1[Bill No.],$B352),IF($J352="PETROL",SUMIFS(Table14[Quantity],Table14[Customer],$M$3,Table14[Date],$A352,Table14[Bill No.],$B352),IF($J352="XtraGreen",SUMIFS(Table146[Quantity],Table146[Company],$M$3,Table146[Date],$A352,Table146[Bill No.],$B352),""))))</f>
        <v/>
      </c>
      <c r="D352" s="223" t="str">
        <f>IF($A352="","",IF($J352="DIESEL",AVERAGEIFS(Table1[RSP],Table1[Customer],$M$3,Table1[Date],$A352,Table1[Bill No.],$B352),IF($J352="PETROL",AVERAGEIFS(Table14[RSP],Table14[Customer],$M$3,Table14[Date],$A352,Table14[Bill No.],$B352),IF($J352="XtraGreen",AVERAGEIFS(Table146[RSP],Table146[Company],$M$3,Table146[Date],$A352,Table146[Bill No.],$B352),IFERROR($E352/$C352,"")))))</f>
        <v/>
      </c>
      <c r="E352" s="330" t="str">
        <f>IF($A352="","",IF($J352="DIESEL",SUMIFS(Table1[Amount],Table1[Customer],$M$3,Table1[Date],$A352,Table1[Bill No.],$B352),IF($J352="PETROL",SUMIFS(Table14[Amount],Table14[Customer],$M$3,Table14[Date],$A352,Table14[Bill No.],$B352),IF($J352="XtraGreen",SUMIFS(Table146[Amount],Table146[Company],$M$3,Table146[Date],$A352,Table146[Bill No.],$B352),SUMIFS('Other Sale'!$D:$D,'Other Sale'!$E:$E,$M$3,'Other Sale'!$C:$C,$J352,'Other Sale'!$A:$A,$A352)))))</f>
        <v/>
      </c>
      <c r="F352" s="330" t="str" cm="1">
        <f t="array" ref="F352">IF($A352="","",IF($J352="Payment",IFERROR(INDEX(_xlfn._xlws.FILTER(MasterPaid[Amount Paid],(MasterPaid[Customer]=$M$3)*(MasterPaid[Date]=$A352)),COUNTIFS($A$6:$A352,$A352,$J$6:$J352,"Payment")),0),0))</f>
        <v/>
      </c>
      <c r="G352" s="331"/>
      <c r="H352" s="331"/>
      <c r="I352" s="330" t="str">
        <f t="shared" si="15"/>
        <v/>
      </c>
      <c r="J352" s="318" t="str" cm="1">
        <f t="array" ref="J352">IFERROR(INDEX(_xlfn.ANCHORARRAY($P$6),ROW()-5,3),"")</f>
        <v/>
      </c>
      <c r="K352" s="432" t="str" cm="1">
        <f t="array" ref="K352">IF(OR($A352="",$J352&lt;&gt;"DIESEL"),"",_xlfn.LET(_xlpm.qty,N($C352),_xlpm.pos,$T$5:$T$54,_xlpm.alo,IF($U$5:$U$54="",0,$U$5:$U$54),_xlpm.usd,SUMIFS($C$6:$C351,$K$6:$K351,_xlpm.pos&amp;""),_xlpm.bal,_xlpm.alo-_xlpm.usd,IFERROR(INDEX(_xlfn._xlws.FILTER(_xlpm.pos,(_xlpm.pos&lt;&gt;"")*(_xlpm.qty&gt;0)*(_xlpm.bal&gt;=_xlpm.qty)),1),"")))</f>
        <v/>
      </c>
      <c r="L352" s="290"/>
    </row>
    <row r="353" spans="1:12" ht="23" x14ac:dyDescent="0.25">
      <c r="A353" s="221" t="str" cm="1">
        <f t="array" ref="A353">IFERROR(INDEX(_xlfn.ANCHORARRAY($P$6),ROW()-5,1),"")</f>
        <v/>
      </c>
      <c r="B353" s="317" t="str" cm="1">
        <f t="array" ref="B353">IFERROR(INDEX(_xlfn.ANCHORARRAY($P$6),ROW()-5,2),"")</f>
        <v/>
      </c>
      <c r="C353" s="222" t="str">
        <f>IF($A353="","",IF($J353="DIESEL",SUMIFS(Table1[Quantity],Table1[Customer],$M$3,Table1[Date],$A353,Table1[Bill No.],$B353),IF($J353="PETROL",SUMIFS(Table14[Quantity],Table14[Customer],$M$3,Table14[Date],$A353,Table14[Bill No.],$B353),IF($J353="XtraGreen",SUMIFS(Table146[Quantity],Table146[Company],$M$3,Table146[Date],$A353,Table146[Bill No.],$B353),""))))</f>
        <v/>
      </c>
      <c r="D353" s="223" t="str">
        <f>IF($A353="","",IF($J353="DIESEL",AVERAGEIFS(Table1[RSP],Table1[Customer],$M$3,Table1[Date],$A353,Table1[Bill No.],$B353),IF($J353="PETROL",AVERAGEIFS(Table14[RSP],Table14[Customer],$M$3,Table14[Date],$A353,Table14[Bill No.],$B353),IF($J353="XtraGreen",AVERAGEIFS(Table146[RSP],Table146[Company],$M$3,Table146[Date],$A353,Table146[Bill No.],$B353),IFERROR($E353/$C353,"")))))</f>
        <v/>
      </c>
      <c r="E353" s="330" t="str">
        <f>IF($A353="","",IF($J353="DIESEL",SUMIFS(Table1[Amount],Table1[Customer],$M$3,Table1[Date],$A353,Table1[Bill No.],$B353),IF($J353="PETROL",SUMIFS(Table14[Amount],Table14[Customer],$M$3,Table14[Date],$A353,Table14[Bill No.],$B353),IF($J353="XtraGreen",SUMIFS(Table146[Amount],Table146[Company],$M$3,Table146[Date],$A353,Table146[Bill No.],$B353),SUMIFS('Other Sale'!$D:$D,'Other Sale'!$E:$E,$M$3,'Other Sale'!$C:$C,$J353,'Other Sale'!$A:$A,$A353)))))</f>
        <v/>
      </c>
      <c r="F353" s="330" t="str" cm="1">
        <f t="array" ref="F353">IF($A353="","",IF($J353="Payment",IFERROR(INDEX(_xlfn._xlws.FILTER(MasterPaid[Amount Paid],(MasterPaid[Customer]=$M$3)*(MasterPaid[Date]=$A353)),COUNTIFS($A$6:$A353,$A353,$J$6:$J353,"Payment")),0),0))</f>
        <v/>
      </c>
      <c r="G353" s="331"/>
      <c r="H353" s="331"/>
      <c r="I353" s="330" t="str">
        <f t="shared" si="15"/>
        <v/>
      </c>
      <c r="J353" s="318" t="str" cm="1">
        <f t="array" ref="J353">IFERROR(INDEX(_xlfn.ANCHORARRAY($P$6),ROW()-5,3),"")</f>
        <v/>
      </c>
      <c r="K353" s="432" t="str" cm="1">
        <f t="array" ref="K353">IF(OR($A353="",$J353&lt;&gt;"DIESEL"),"",_xlfn.LET(_xlpm.qty,N($C353),_xlpm.pos,$T$5:$T$54,_xlpm.alo,IF($U$5:$U$54="",0,$U$5:$U$54),_xlpm.usd,SUMIFS($C$6:$C352,$K$6:$K352,_xlpm.pos&amp;""),_xlpm.bal,_xlpm.alo-_xlpm.usd,IFERROR(INDEX(_xlfn._xlws.FILTER(_xlpm.pos,(_xlpm.pos&lt;&gt;"")*(_xlpm.qty&gt;0)*(_xlpm.bal&gt;=_xlpm.qty)),1),"")))</f>
        <v/>
      </c>
      <c r="L353" s="290"/>
    </row>
    <row r="354" spans="1:12" ht="23" x14ac:dyDescent="0.25">
      <c r="A354" s="221" t="str" cm="1">
        <f t="array" ref="A354">IFERROR(INDEX(_xlfn.ANCHORARRAY($P$6),ROW()-5,1),"")</f>
        <v/>
      </c>
      <c r="B354" s="317" t="str" cm="1">
        <f t="array" ref="B354">IFERROR(INDEX(_xlfn.ANCHORARRAY($P$6),ROW()-5,2),"")</f>
        <v/>
      </c>
      <c r="C354" s="222" t="str">
        <f>IF($A354="","",IF($J354="DIESEL",SUMIFS(Table1[Quantity],Table1[Customer],$M$3,Table1[Date],$A354,Table1[Bill No.],$B354),IF($J354="PETROL",SUMIFS(Table14[Quantity],Table14[Customer],$M$3,Table14[Date],$A354,Table14[Bill No.],$B354),IF($J354="XtraGreen",SUMIFS(Table146[Quantity],Table146[Company],$M$3,Table146[Date],$A354,Table146[Bill No.],$B354),""))))</f>
        <v/>
      </c>
      <c r="D354" s="223" t="str">
        <f>IF($A354="","",IF($J354="DIESEL",AVERAGEIFS(Table1[RSP],Table1[Customer],$M$3,Table1[Date],$A354,Table1[Bill No.],$B354),IF($J354="PETROL",AVERAGEIFS(Table14[RSP],Table14[Customer],$M$3,Table14[Date],$A354,Table14[Bill No.],$B354),IF($J354="XtraGreen",AVERAGEIFS(Table146[RSP],Table146[Company],$M$3,Table146[Date],$A354,Table146[Bill No.],$B354),IFERROR($E354/$C354,"")))))</f>
        <v/>
      </c>
      <c r="E354" s="330" t="str">
        <f>IF($A354="","",IF($J354="DIESEL",SUMIFS(Table1[Amount],Table1[Customer],$M$3,Table1[Date],$A354,Table1[Bill No.],$B354),IF($J354="PETROL",SUMIFS(Table14[Amount],Table14[Customer],$M$3,Table14[Date],$A354,Table14[Bill No.],$B354),IF($J354="XtraGreen",SUMIFS(Table146[Amount],Table146[Company],$M$3,Table146[Date],$A354,Table146[Bill No.],$B354),SUMIFS('Other Sale'!$D:$D,'Other Sale'!$E:$E,$M$3,'Other Sale'!$C:$C,$J354,'Other Sale'!$A:$A,$A354)))))</f>
        <v/>
      </c>
      <c r="F354" s="330" t="str" cm="1">
        <f t="array" ref="F354">IF($A354="","",IF($J354="Payment",IFERROR(INDEX(_xlfn._xlws.FILTER(MasterPaid[Amount Paid],(MasterPaid[Customer]=$M$3)*(MasterPaid[Date]=$A354)),COUNTIFS($A$6:$A354,$A354,$J$6:$J354,"Payment")),0),0))</f>
        <v/>
      </c>
      <c r="G354" s="331"/>
      <c r="H354" s="331"/>
      <c r="I354" s="330" t="str">
        <f t="shared" si="15"/>
        <v/>
      </c>
      <c r="J354" s="318" t="str" cm="1">
        <f t="array" ref="J354">IFERROR(INDEX(_xlfn.ANCHORARRAY($P$6),ROW()-5,3),"")</f>
        <v/>
      </c>
      <c r="K354" s="432" t="str" cm="1">
        <f t="array" ref="K354">IF(OR($A354="",$J354&lt;&gt;"DIESEL"),"",_xlfn.LET(_xlpm.qty,N($C354),_xlpm.pos,$T$5:$T$54,_xlpm.alo,IF($U$5:$U$54="",0,$U$5:$U$54),_xlpm.usd,SUMIFS($C$6:$C353,$K$6:$K353,_xlpm.pos&amp;""),_xlpm.bal,_xlpm.alo-_xlpm.usd,IFERROR(INDEX(_xlfn._xlws.FILTER(_xlpm.pos,(_xlpm.pos&lt;&gt;"")*(_xlpm.qty&gt;0)*(_xlpm.bal&gt;=_xlpm.qty)),1),"")))</f>
        <v/>
      </c>
      <c r="L354" s="290"/>
    </row>
    <row r="355" spans="1:12" ht="23" x14ac:dyDescent="0.25">
      <c r="A355" s="221" t="str" cm="1">
        <f t="array" ref="A355">IFERROR(INDEX(_xlfn.ANCHORARRAY($P$6),ROW()-5,1),"")</f>
        <v/>
      </c>
      <c r="B355" s="317" t="str" cm="1">
        <f t="array" ref="B355">IFERROR(INDEX(_xlfn.ANCHORARRAY($P$6),ROW()-5,2),"")</f>
        <v/>
      </c>
      <c r="C355" s="222" t="str">
        <f>IF($A355="","",IF($J355="DIESEL",SUMIFS(Table1[Quantity],Table1[Customer],$M$3,Table1[Date],$A355,Table1[Bill No.],$B355),IF($J355="PETROL",SUMIFS(Table14[Quantity],Table14[Customer],$M$3,Table14[Date],$A355,Table14[Bill No.],$B355),IF($J355="XtraGreen",SUMIFS(Table146[Quantity],Table146[Company],$M$3,Table146[Date],$A355,Table146[Bill No.],$B355),""))))</f>
        <v/>
      </c>
      <c r="D355" s="223" t="str">
        <f>IF($A355="","",IF($J355="DIESEL",AVERAGEIFS(Table1[RSP],Table1[Customer],$M$3,Table1[Date],$A355,Table1[Bill No.],$B355),IF($J355="PETROL",AVERAGEIFS(Table14[RSP],Table14[Customer],$M$3,Table14[Date],$A355,Table14[Bill No.],$B355),IF($J355="XtraGreen",AVERAGEIFS(Table146[RSP],Table146[Company],$M$3,Table146[Date],$A355,Table146[Bill No.],$B355),IFERROR($E355/$C355,"")))))</f>
        <v/>
      </c>
      <c r="E355" s="330" t="str">
        <f>IF($A355="","",IF($J355="DIESEL",SUMIFS(Table1[Amount],Table1[Customer],$M$3,Table1[Date],$A355,Table1[Bill No.],$B355),IF($J355="PETROL",SUMIFS(Table14[Amount],Table14[Customer],$M$3,Table14[Date],$A355,Table14[Bill No.],$B355),IF($J355="XtraGreen",SUMIFS(Table146[Amount],Table146[Company],$M$3,Table146[Date],$A355,Table146[Bill No.],$B355),SUMIFS('Other Sale'!$D:$D,'Other Sale'!$E:$E,$M$3,'Other Sale'!$C:$C,$J355,'Other Sale'!$A:$A,$A355)))))</f>
        <v/>
      </c>
      <c r="F355" s="330" t="str" cm="1">
        <f t="array" ref="F355">IF($A355="","",IF($J355="Payment",IFERROR(INDEX(_xlfn._xlws.FILTER(MasterPaid[Amount Paid],(MasterPaid[Customer]=$M$3)*(MasterPaid[Date]=$A355)),COUNTIFS($A$6:$A355,$A355,$J$6:$J355,"Payment")),0),0))</f>
        <v/>
      </c>
      <c r="G355" s="331"/>
      <c r="H355" s="331"/>
      <c r="I355" s="330" t="str">
        <f t="shared" si="15"/>
        <v/>
      </c>
      <c r="J355" s="318" t="str" cm="1">
        <f t="array" ref="J355">IFERROR(INDEX(_xlfn.ANCHORARRAY($P$6),ROW()-5,3),"")</f>
        <v/>
      </c>
      <c r="K355" s="432" t="str" cm="1">
        <f t="array" ref="K355">IF(OR($A355="",$J355&lt;&gt;"DIESEL"),"",_xlfn.LET(_xlpm.qty,N($C355),_xlpm.pos,$T$5:$T$54,_xlpm.alo,IF($U$5:$U$54="",0,$U$5:$U$54),_xlpm.usd,SUMIFS($C$6:$C354,$K$6:$K354,_xlpm.pos&amp;""),_xlpm.bal,_xlpm.alo-_xlpm.usd,IFERROR(INDEX(_xlfn._xlws.FILTER(_xlpm.pos,(_xlpm.pos&lt;&gt;"")*(_xlpm.qty&gt;0)*(_xlpm.bal&gt;=_xlpm.qty)),1),"")))</f>
        <v/>
      </c>
      <c r="L355" s="290"/>
    </row>
  </sheetData>
  <sheetProtection sheet="1" objects="1" scenarios="1"/>
  <mergeCells count="1">
    <mergeCell ref="A1:L1"/>
  </mergeCells>
  <conditionalFormatting sqref="A1:AH355">
    <cfRule type="cellIs" dxfId="1917" priority="1" operator="lessThan">
      <formula>0</formula>
    </cfRule>
  </conditionalFormatting>
  <hyperlinks>
    <hyperlink ref="M1" location="Index!A1" display="→ Index" xr:uid="{A74D3393-738F-894B-A54D-E98ACEA6A703}"/>
  </hyperlink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EA36C-9FF7-1C48-88C0-9BDF7D17422C}">
  <sheetPr codeName="Sheet46">
    <pageSetUpPr fitToPage="1"/>
  </sheetPr>
  <dimension ref="B11:H51"/>
  <sheetViews>
    <sheetView showGridLines="0" zoomScale="125" zoomScaleNormal="130" workbookViewId="0"/>
  </sheetViews>
  <sheetFormatPr baseColWidth="10" defaultColWidth="10.83203125" defaultRowHeight="16" x14ac:dyDescent="0.2"/>
  <cols>
    <col min="1" max="1" width="4.1640625" customWidth="1"/>
    <col min="2" max="2" width="12.33203125" customWidth="1"/>
    <col min="4" max="4" width="17.5" customWidth="1"/>
    <col min="5" max="5" width="11.1640625" customWidth="1"/>
    <col min="6" max="6" width="11.33203125" customWidth="1"/>
    <col min="7" max="7" width="14.5" customWidth="1"/>
    <col min="8" max="8" width="10.83203125" customWidth="1"/>
  </cols>
  <sheetData>
    <row r="11" spans="2:8" ht="14" customHeight="1" x14ac:dyDescent="0.2"/>
    <row r="12" spans="2:8" ht="21" x14ac:dyDescent="0.25">
      <c r="B12" s="353" t="s">
        <v>1280</v>
      </c>
      <c r="C12" s="354"/>
      <c r="D12" s="354"/>
      <c r="E12" s="234"/>
      <c r="F12" s="355" t="s">
        <v>2219</v>
      </c>
      <c r="G12" s="501">
        <f>B20</f>
        <v>46206</v>
      </c>
      <c r="H12" s="501"/>
    </row>
    <row r="13" spans="2:8" ht="21" x14ac:dyDescent="0.25">
      <c r="B13" s="356" t="s">
        <v>2280</v>
      </c>
      <c r="C13" s="351"/>
      <c r="D13" s="351"/>
      <c r="E13" s="234"/>
      <c r="F13" s="234"/>
      <c r="G13" s="357"/>
      <c r="H13" s="352"/>
    </row>
    <row r="14" spans="2:8" ht="21" x14ac:dyDescent="0.25">
      <c r="B14" s="358" t="str">
        <f>_xlfn.XLOOKUP(B13,Customers[Company],Customers[Address 1]," ")</f>
        <v>Kukurjanga, P.O.- Badmal</v>
      </c>
      <c r="C14" s="234"/>
      <c r="D14" s="234"/>
      <c r="E14" s="234"/>
      <c r="F14" s="234"/>
      <c r="G14" s="234"/>
      <c r="H14" s="234"/>
    </row>
    <row r="15" spans="2:8" ht="22" customHeight="1" x14ac:dyDescent="0.25">
      <c r="B15" s="358" t="str">
        <f>_xlfn.XLOOKUP(B13,Customers[Company],Customers[Address 2]," ")</f>
        <v>Jharsuguda.</v>
      </c>
      <c r="C15" s="234"/>
      <c r="D15" s="234"/>
      <c r="E15" s="234"/>
      <c r="F15" s="359" t="s">
        <v>1283</v>
      </c>
      <c r="G15" s="502" t="s">
        <v>2085</v>
      </c>
      <c r="H15" s="502"/>
    </row>
    <row r="16" spans="2:8" ht="21" x14ac:dyDescent="0.25">
      <c r="B16" s="360" t="str">
        <f>_xlfn.XLOOKUP(B13,Customers[Company],Customers[Address 3]," ")</f>
        <v>GSTIN: 21AAGCS3066B1ZW</v>
      </c>
      <c r="C16" s="234"/>
      <c r="D16" s="234"/>
      <c r="E16" s="234"/>
      <c r="F16" s="234"/>
      <c r="G16" s="234"/>
      <c r="H16" s="234"/>
    </row>
    <row r="17" spans="2:8" ht="18" x14ac:dyDescent="0.2">
      <c r="B17" s="361"/>
      <c r="C17" s="234"/>
      <c r="D17" s="234"/>
      <c r="E17" s="234"/>
      <c r="F17" s="234"/>
      <c r="G17" s="234"/>
      <c r="H17" s="234"/>
    </row>
    <row r="18" spans="2:8" ht="18" x14ac:dyDescent="0.2">
      <c r="B18" s="467" t="s">
        <v>3268</v>
      </c>
      <c r="C18" s="234"/>
      <c r="D18" s="234"/>
      <c r="E18" s="234"/>
      <c r="F18" s="234"/>
      <c r="G18" s="234"/>
      <c r="H18" s="234"/>
    </row>
    <row r="19" spans="2:8" ht="24" customHeight="1" x14ac:dyDescent="0.2">
      <c r="B19" s="362" t="s">
        <v>6</v>
      </c>
      <c r="C19" s="362" t="s">
        <v>1285</v>
      </c>
      <c r="D19" s="362" t="s">
        <v>1</v>
      </c>
      <c r="E19" s="362" t="s">
        <v>2</v>
      </c>
      <c r="F19" s="362" t="s">
        <v>1286</v>
      </c>
      <c r="G19" s="362" t="s">
        <v>4</v>
      </c>
      <c r="H19" s="234"/>
    </row>
    <row r="20" spans="2:8" ht="25" customHeight="1" x14ac:dyDescent="0.2">
      <c r="B20" s="363">
        <v>46206</v>
      </c>
      <c r="C20" s="364">
        <v>129</v>
      </c>
      <c r="D20" s="364" t="s">
        <v>42</v>
      </c>
      <c r="E20" s="364">
        <v>12000</v>
      </c>
      <c r="F20" s="365">
        <f>IF(G15="High Speed Diesel",_xlfn.XLOOKUP(B13,Customers[Company],Customers[HSD],""),_xlfn.XLOOKUP(G15,ProductRates[Product],ProductRates[Rate],""))</f>
        <v>99.5</v>
      </c>
      <c r="G20" s="366">
        <f>TRUNC(E20*F20,0)</f>
        <v>1194000</v>
      </c>
      <c r="H20" s="234"/>
    </row>
    <row r="23" spans="2:8" ht="21" x14ac:dyDescent="0.25">
      <c r="B23" s="367" t="str">
        <f>_xlfn.XLOOKUP(B13,Customers[Company],Customers[PO Label]," ")</f>
        <v>P.O. No.:</v>
      </c>
      <c r="C23" s="503">
        <f>_xlfn.XLOOKUP(B13,Customers[Company],Customers[PO No.]," ")</f>
        <v>4500214810</v>
      </c>
      <c r="D23" s="503"/>
      <c r="E23" s="234"/>
      <c r="F23" s="234"/>
      <c r="G23" s="234"/>
      <c r="H23" s="234"/>
    </row>
    <row r="24" spans="2:8" ht="18" x14ac:dyDescent="0.2">
      <c r="B24" s="234"/>
      <c r="C24" s="234"/>
      <c r="D24" s="234"/>
      <c r="E24" s="234"/>
      <c r="F24" s="234"/>
      <c r="G24" s="234"/>
      <c r="H24" s="234"/>
    </row>
    <row r="25" spans="2:8" ht="21" x14ac:dyDescent="0.25">
      <c r="B25" s="360" t="str">
        <f>IF(AND(G15="High Speed Diesel", E20&gt;3000), "Density-", "")</f>
        <v>Density-</v>
      </c>
      <c r="C25" s="368"/>
      <c r="D25" s="262"/>
      <c r="E25" s="262"/>
      <c r="F25" s="262"/>
      <c r="G25" s="234"/>
      <c r="H25" s="234"/>
    </row>
    <row r="26" spans="2:8" ht="21" x14ac:dyDescent="0.25">
      <c r="B26" s="262"/>
      <c r="C26" s="262"/>
      <c r="D26" s="262"/>
      <c r="E26" s="262"/>
      <c r="F26" s="262"/>
      <c r="G26" s="234"/>
      <c r="H26" s="234"/>
    </row>
    <row r="27" spans="2:8" ht="21" x14ac:dyDescent="0.25">
      <c r="B27" s="262"/>
      <c r="C27" s="262"/>
      <c r="D27" s="262"/>
      <c r="E27" s="262"/>
      <c r="F27" s="262"/>
      <c r="G27" s="234"/>
      <c r="H27" s="234"/>
    </row>
    <row r="28" spans="2:8" ht="21" x14ac:dyDescent="0.25">
      <c r="B28" s="360" t="str">
        <f>IF(AND(G15="High Speed Diesel", E20&gt;3000), "Seal No-", "")</f>
        <v>Seal No-</v>
      </c>
      <c r="C28" s="368"/>
      <c r="D28" s="262"/>
      <c r="E28" s="262"/>
      <c r="F28" s="262"/>
      <c r="G28" s="234"/>
      <c r="H28" s="234"/>
    </row>
    <row r="29" spans="2:8" ht="21" x14ac:dyDescent="0.25">
      <c r="B29" s="262"/>
      <c r="C29" s="262"/>
      <c r="D29" s="262"/>
      <c r="E29" s="262"/>
      <c r="F29" s="262"/>
      <c r="G29" s="234"/>
      <c r="H29" s="234"/>
    </row>
    <row r="30" spans="2:8" ht="20" x14ac:dyDescent="0.2">
      <c r="B30" s="262"/>
      <c r="C30" s="262"/>
      <c r="D30" s="262"/>
      <c r="E30" s="262"/>
      <c r="F30" s="262"/>
      <c r="G30" s="234"/>
      <c r="H30" s="234"/>
    </row>
    <row r="31" spans="2:8" ht="20" x14ac:dyDescent="0.2">
      <c r="B31" s="262"/>
      <c r="C31" s="262"/>
      <c r="D31" s="262"/>
      <c r="E31" s="262"/>
      <c r="F31" s="262"/>
      <c r="G31" s="234"/>
      <c r="H31" s="234"/>
    </row>
    <row r="32" spans="2:8" ht="20" x14ac:dyDescent="0.2">
      <c r="B32" s="367" t="str">
        <f>_xlfn.XLOOKUP(B13,Customers[Company],Customers[Payment 1]," ")</f>
        <v>Payment Details:</v>
      </c>
      <c r="C32" s="262"/>
      <c r="D32" s="262"/>
      <c r="E32" s="262"/>
      <c r="F32" s="262"/>
      <c r="G32" s="234"/>
      <c r="H32" s="234"/>
    </row>
    <row r="33" spans="2:8" ht="20" x14ac:dyDescent="0.2">
      <c r="B33" s="262" t="str">
        <f>_xlfn.XLOOKUP(B13,Customers[Company],Customers[Payment 2]," ")</f>
        <v>Account No. – 046805004716</v>
      </c>
      <c r="C33" s="262"/>
      <c r="D33" s="262"/>
      <c r="E33" s="262"/>
      <c r="F33" s="262"/>
      <c r="G33" s="234"/>
      <c r="H33" s="234"/>
    </row>
    <row r="34" spans="2:8" ht="20" x14ac:dyDescent="0.2">
      <c r="B34" s="262" t="str">
        <f>_xlfn.XLOOKUP(B13,Customers[Company],Customers[Payment 3]," ")</f>
        <v xml:space="preserve">IFSC Code – ICIC0000468 </v>
      </c>
      <c r="C34" s="262"/>
      <c r="D34" s="262"/>
      <c r="E34" s="262"/>
      <c r="F34" s="262"/>
      <c r="G34" s="234"/>
      <c r="H34" s="234"/>
    </row>
    <row r="35" spans="2:8" ht="20" x14ac:dyDescent="0.2">
      <c r="B35" s="262" t="str">
        <f>_xlfn.XLOOKUP(B13,Customers[Company],Customers[Payment 4]," ")</f>
        <v>Branch Name – ICICI BANK LTD, JHARSUGUDA</v>
      </c>
      <c r="C35" s="262"/>
      <c r="D35" s="262"/>
      <c r="E35" s="262"/>
      <c r="F35" s="262"/>
      <c r="G35" s="234"/>
      <c r="H35" s="234"/>
    </row>
    <row r="36" spans="2:8" ht="20" x14ac:dyDescent="0.2">
      <c r="B36" s="262" t="str">
        <f>_xlfn.XLOOKUP(B13,Customers[Company],Customers[Payment 5]," ")</f>
        <v>Beneficiary Name – Vriddhi Fuels</v>
      </c>
      <c r="C36" s="262"/>
      <c r="D36" s="262"/>
      <c r="E36" s="262"/>
      <c r="F36" s="262"/>
      <c r="G36" s="234"/>
      <c r="H36" s="234"/>
    </row>
    <row r="37" spans="2:8" ht="18" x14ac:dyDescent="0.2">
      <c r="B37" s="234"/>
      <c r="C37" s="234"/>
      <c r="D37" s="234"/>
      <c r="E37" s="234"/>
      <c r="F37" s="234"/>
      <c r="G37" s="234"/>
      <c r="H37" s="234"/>
    </row>
    <row r="38" spans="2:8" ht="18" x14ac:dyDescent="0.2">
      <c r="B38" s="234"/>
      <c r="C38" s="234"/>
      <c r="D38" s="234"/>
      <c r="E38" s="234"/>
      <c r="F38" s="234"/>
      <c r="G38" s="234"/>
      <c r="H38" s="234"/>
    </row>
    <row r="39" spans="2:8" ht="18" x14ac:dyDescent="0.2">
      <c r="B39" s="234"/>
      <c r="C39" s="234"/>
      <c r="D39" s="234"/>
      <c r="E39" s="234"/>
      <c r="F39" s="234"/>
      <c r="G39" s="234"/>
      <c r="H39" s="234"/>
    </row>
    <row r="40" spans="2:8" ht="18" x14ac:dyDescent="0.2">
      <c r="B40" s="234"/>
      <c r="C40" s="234"/>
      <c r="D40" s="234"/>
      <c r="E40" s="234"/>
      <c r="F40" s="234"/>
      <c r="G40" s="234"/>
      <c r="H40" s="234"/>
    </row>
    <row r="41" spans="2:8" ht="18" x14ac:dyDescent="0.2">
      <c r="B41" s="234"/>
      <c r="C41" s="234"/>
      <c r="D41" s="234"/>
      <c r="E41" s="234"/>
      <c r="F41" s="234"/>
      <c r="G41" s="234"/>
      <c r="H41" s="234"/>
    </row>
    <row r="42" spans="2:8" ht="18" x14ac:dyDescent="0.2">
      <c r="B42" s="234"/>
      <c r="C42" s="234"/>
      <c r="D42" s="234"/>
      <c r="E42" s="234"/>
      <c r="F42" s="234"/>
      <c r="G42" s="234"/>
      <c r="H42" s="234"/>
    </row>
    <row r="43" spans="2:8" ht="18" x14ac:dyDescent="0.2">
      <c r="B43" s="234"/>
      <c r="C43" s="234"/>
      <c r="D43" s="234"/>
      <c r="E43" s="234"/>
      <c r="F43" s="234"/>
      <c r="G43" s="234"/>
      <c r="H43" s="234"/>
    </row>
    <row r="44" spans="2:8" ht="18" x14ac:dyDescent="0.2">
      <c r="B44" s="234"/>
      <c r="C44" s="234"/>
      <c r="D44" s="234"/>
      <c r="E44" s="234"/>
      <c r="F44" s="234"/>
      <c r="G44" s="234"/>
      <c r="H44" s="234"/>
    </row>
    <row r="45" spans="2:8" ht="18" x14ac:dyDescent="0.2">
      <c r="B45" s="234"/>
      <c r="C45" s="234"/>
      <c r="D45" s="234"/>
      <c r="E45" s="234"/>
      <c r="F45" s="234"/>
      <c r="G45" s="234"/>
      <c r="H45" s="234"/>
    </row>
    <row r="46" spans="2:8" ht="18" x14ac:dyDescent="0.2">
      <c r="B46" s="234"/>
      <c r="C46" s="234"/>
      <c r="D46" s="234"/>
      <c r="E46" s="234"/>
      <c r="F46" s="234"/>
      <c r="G46" s="234"/>
      <c r="H46" s="234"/>
    </row>
    <row r="47" spans="2:8" ht="20" x14ac:dyDescent="0.2">
      <c r="B47" s="262" t="s">
        <v>2220</v>
      </c>
      <c r="C47" s="262"/>
      <c r="D47" s="262"/>
      <c r="E47" s="262"/>
      <c r="F47" s="262"/>
      <c r="G47" s="504" t="s">
        <v>2221</v>
      </c>
      <c r="H47" s="504"/>
    </row>
    <row r="48" spans="2:8" ht="18" x14ac:dyDescent="0.2">
      <c r="B48" s="234"/>
      <c r="C48" s="234"/>
      <c r="D48" s="234"/>
      <c r="E48" s="234"/>
      <c r="F48" s="234"/>
      <c r="G48" s="234"/>
      <c r="H48" s="234"/>
    </row>
    <row r="49" spans="2:8" ht="18" x14ac:dyDescent="0.2">
      <c r="B49" s="234"/>
      <c r="C49" s="234"/>
      <c r="D49" s="234"/>
      <c r="E49" s="234"/>
      <c r="F49" s="234"/>
      <c r="G49" s="234"/>
      <c r="H49" s="234"/>
    </row>
    <row r="50" spans="2:8" ht="18" x14ac:dyDescent="0.2">
      <c r="B50" s="234"/>
      <c r="C50" s="234"/>
      <c r="D50" s="234"/>
      <c r="E50" s="234"/>
      <c r="F50" s="234"/>
      <c r="G50" s="234"/>
      <c r="H50" s="234"/>
    </row>
    <row r="51" spans="2:8" ht="18" x14ac:dyDescent="0.2">
      <c r="B51" s="234"/>
      <c r="C51" s="234"/>
      <c r="D51" s="234"/>
      <c r="E51" s="234"/>
      <c r="F51" s="234"/>
      <c r="G51" s="234"/>
      <c r="H51" s="234"/>
    </row>
  </sheetData>
  <sheetProtection selectLockedCells="1"/>
  <mergeCells count="4">
    <mergeCell ref="G12:H12"/>
    <mergeCell ref="G15:H15"/>
    <mergeCell ref="C23:D23"/>
    <mergeCell ref="G47:H47"/>
  </mergeCells>
  <conditionalFormatting sqref="B25:C25">
    <cfRule type="expression" dxfId="1916" priority="2">
      <formula>$G$15="Motor Spirit"</formula>
    </cfRule>
  </conditionalFormatting>
  <conditionalFormatting sqref="B28:D28 C29">
    <cfRule type="expression" dxfId="1915" priority="1">
      <formula>$G$15="Motor Spirit"</formula>
    </cfRule>
  </conditionalFormatting>
  <dataValidations count="1">
    <dataValidation type="list" allowBlank="1" showInputMessage="1" showErrorMessage="1" sqref="G15" xr:uid="{6F9AE903-CC96-0D48-9648-19710C867CB4}">
      <formula1>FuelTypeList</formula1>
    </dataValidation>
  </dataValidations>
  <printOptions horizontalCentered="1" verticalCentered="1"/>
  <pageMargins left="0" right="0" top="0" bottom="0.25" header="0" footer="0"/>
  <pageSetup paperSize="9"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odule11.ExportHSDBills">
                <anchor moveWithCells="1" sizeWithCells="1">
                  <from>
                    <xdr:col>9</xdr:col>
                    <xdr:colOff>800100</xdr:colOff>
                    <xdr:row>0</xdr:row>
                    <xdr:rowOff>165100</xdr:rowOff>
                  </from>
                  <to>
                    <xdr:col>12</xdr:col>
                    <xdr:colOff>152400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2FBFDE-3DCA-E747-AD3A-7DB9A1B74548}">
          <x14:formula1>
            <xm:f>'Tanker Master'!$E$1:$E$3</xm:f>
          </x14:formula1>
          <xm:sqref>H15</xm:sqref>
        </x14:dataValidation>
        <x14:dataValidation type="list" allowBlank="1" showInputMessage="1" showErrorMessage="1" xr:uid="{12A701BF-2B9A-0547-9473-9804AB2D6B82}">
          <x14:formula1>
            <xm:f>'Tanker Master'!$A$2:$A$32</xm:f>
          </x14:formula1>
          <xm:sqref>B13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346DD-892F-AC4B-A0FC-9E6B790FB180}">
  <sheetPr codeName="Sheet47"/>
  <dimension ref="A1:AA33"/>
  <sheetViews>
    <sheetView zoomScale="90" zoomScaleNormal="90" workbookViewId="0">
      <selection activeCell="B16" sqref="B16"/>
    </sheetView>
  </sheetViews>
  <sheetFormatPr baseColWidth="10" defaultColWidth="10.83203125" defaultRowHeight="16" x14ac:dyDescent="0.2"/>
  <cols>
    <col min="1" max="1" width="40" customWidth="1"/>
    <col min="2" max="2" width="9.1640625" customWidth="1"/>
    <col min="3" max="5" width="25" customWidth="1"/>
    <col min="6" max="10" width="26.6640625" customWidth="1"/>
    <col min="11" max="12" width="15" customWidth="1"/>
    <col min="13" max="13" width="8.83203125" customWidth="1"/>
    <col min="14" max="14" width="12.1640625" customWidth="1"/>
    <col min="15" max="15" width="14" bestFit="1" customWidth="1"/>
    <col min="16" max="16" width="8" bestFit="1" customWidth="1"/>
    <col min="17" max="17" width="8.83203125" customWidth="1"/>
    <col min="18" max="18" width="15.1640625" bestFit="1" customWidth="1"/>
    <col min="19" max="19" width="8" bestFit="1" customWidth="1"/>
    <col min="21" max="21" width="15.83203125" bestFit="1" customWidth="1"/>
    <col min="23" max="23" width="31.6640625" bestFit="1" customWidth="1"/>
    <col min="24" max="24" width="6.6640625" bestFit="1" customWidth="1"/>
    <col min="26" max="26" width="58.6640625" bestFit="1" customWidth="1"/>
    <col min="27" max="27" width="9.1640625" bestFit="1" customWidth="1"/>
  </cols>
  <sheetData>
    <row r="1" spans="1:27" x14ac:dyDescent="0.2">
      <c r="A1" t="s">
        <v>5</v>
      </c>
      <c r="B1" t="s">
        <v>2222</v>
      </c>
      <c r="C1" t="s">
        <v>2224</v>
      </c>
      <c r="D1" t="s">
        <v>2225</v>
      </c>
      <c r="E1" t="s">
        <v>2226</v>
      </c>
      <c r="F1" t="s">
        <v>2227</v>
      </c>
      <c r="G1" t="s">
        <v>2228</v>
      </c>
      <c r="H1" t="s">
        <v>2229</v>
      </c>
      <c r="I1" t="s">
        <v>2230</v>
      </c>
      <c r="J1" t="s">
        <v>2231</v>
      </c>
      <c r="K1" t="s">
        <v>3786</v>
      </c>
      <c r="L1" t="s">
        <v>2163</v>
      </c>
      <c r="M1" t="s">
        <v>3787</v>
      </c>
      <c r="O1" t="s">
        <v>3787</v>
      </c>
      <c r="P1" t="s">
        <v>2084</v>
      </c>
      <c r="R1" t="s">
        <v>1183</v>
      </c>
      <c r="S1" t="s">
        <v>2084</v>
      </c>
      <c r="U1" t="s">
        <v>3802</v>
      </c>
      <c r="Z1" s="157" t="s">
        <v>3803</v>
      </c>
      <c r="AA1" s="400" t="s">
        <v>2234</v>
      </c>
    </row>
    <row r="2" spans="1:27" x14ac:dyDescent="0.2">
      <c r="A2" t="s">
        <v>1796</v>
      </c>
      <c r="B2" s="475">
        <f>_xlfn.XLOOKUP(Customers[[#This Row],[Price Tier]],RateCard[Price Tier],RateCard[Rate],"")</f>
        <v>100.74</v>
      </c>
      <c r="C2" t="s">
        <v>2256</v>
      </c>
      <c r="D2" t="s">
        <v>2244</v>
      </c>
      <c r="E2" t="s">
        <v>2282</v>
      </c>
      <c r="F2" t="s">
        <v>2236</v>
      </c>
      <c r="G2" t="s">
        <v>2237</v>
      </c>
      <c r="H2" t="s">
        <v>2238</v>
      </c>
      <c r="I2" t="s">
        <v>2239</v>
      </c>
      <c r="J2" t="s">
        <v>2240</v>
      </c>
      <c r="K2" t="s">
        <v>12</v>
      </c>
      <c r="L2" s="474" t="s">
        <v>12</v>
      </c>
      <c r="M2" t="s">
        <v>2223</v>
      </c>
      <c r="O2" t="s">
        <v>2223</v>
      </c>
      <c r="P2" s="475">
        <v>100.74</v>
      </c>
      <c r="R2" t="s">
        <v>2233</v>
      </c>
      <c r="S2" s="475">
        <v>109.01</v>
      </c>
      <c r="U2" t="s">
        <v>2085</v>
      </c>
      <c r="Z2" t="str" cm="1">
        <f t="array" ref="Z2:Z20">_xlfn._xlws.FILTER(Customers[Company],Customers[Price Tier]=$AA$1,"none")</f>
        <v>Babylon Logistics PVT LTD</v>
      </c>
    </row>
    <row r="3" spans="1:27" x14ac:dyDescent="0.2">
      <c r="A3" t="s">
        <v>1073</v>
      </c>
      <c r="B3" s="475">
        <f>_xlfn.XLOOKUP(Customers[[#This Row],[Price Tier]],RateCard[Price Tier],RateCard[Rate],"")</f>
        <v>100.74</v>
      </c>
      <c r="C3" t="s">
        <v>2270</v>
      </c>
      <c r="D3" t="s">
        <v>2287</v>
      </c>
      <c r="E3" t="s">
        <v>12</v>
      </c>
      <c r="F3" t="s">
        <v>2236</v>
      </c>
      <c r="G3" t="s">
        <v>2237</v>
      </c>
      <c r="H3" t="s">
        <v>2238</v>
      </c>
      <c r="I3" t="s">
        <v>2239</v>
      </c>
      <c r="J3" t="s">
        <v>2240</v>
      </c>
      <c r="K3" t="s">
        <v>2267</v>
      </c>
      <c r="L3" s="474" t="s">
        <v>3661</v>
      </c>
      <c r="M3" t="s">
        <v>2223</v>
      </c>
      <c r="O3" t="s">
        <v>2234</v>
      </c>
      <c r="P3" s="475">
        <v>99.5</v>
      </c>
      <c r="R3" t="s">
        <v>2241</v>
      </c>
      <c r="S3" s="475">
        <v>106.34</v>
      </c>
      <c r="U3" t="s">
        <v>2233</v>
      </c>
      <c r="Z3" t="str">
        <v>Bhaskar Earthmover Private Limited</v>
      </c>
    </row>
    <row r="4" spans="1:27" x14ac:dyDescent="0.2">
      <c r="A4" t="s">
        <v>2232</v>
      </c>
      <c r="B4" s="475">
        <f>_xlfn.XLOOKUP(Customers[[#This Row],[Price Tier]],RateCard[Price Tier],RateCard[Rate],"")</f>
        <v>99.5</v>
      </c>
      <c r="C4" t="s">
        <v>2243</v>
      </c>
      <c r="D4" t="s">
        <v>2244</v>
      </c>
      <c r="E4" t="s">
        <v>12</v>
      </c>
      <c r="F4" t="s">
        <v>3788</v>
      </c>
      <c r="G4" t="s">
        <v>3789</v>
      </c>
      <c r="H4" t="s">
        <v>3790</v>
      </c>
      <c r="I4" t="s">
        <v>3791</v>
      </c>
      <c r="J4" t="s">
        <v>3792</v>
      </c>
      <c r="K4" t="s">
        <v>12</v>
      </c>
      <c r="L4" s="474" t="s">
        <v>12</v>
      </c>
      <c r="M4" t="s">
        <v>2234</v>
      </c>
      <c r="O4" t="s">
        <v>2242</v>
      </c>
      <c r="P4" s="475">
        <v>100.74</v>
      </c>
      <c r="U4" t="s">
        <v>2241</v>
      </c>
      <c r="Z4" t="str">
        <v>Bkd Logistics Private Limited</v>
      </c>
    </row>
    <row r="5" spans="1:27" x14ac:dyDescent="0.2">
      <c r="A5" t="s">
        <v>1802</v>
      </c>
      <c r="B5" s="475">
        <f>_xlfn.XLOOKUP(Customers[[#This Row],[Price Tier]],RateCard[Price Tier],RateCard[Rate],"")</f>
        <v>99.5</v>
      </c>
      <c r="C5" t="s">
        <v>2250</v>
      </c>
      <c r="D5" t="s">
        <v>2251</v>
      </c>
      <c r="E5" t="s">
        <v>2252</v>
      </c>
      <c r="F5" t="s">
        <v>3788</v>
      </c>
      <c r="G5" t="s">
        <v>3793</v>
      </c>
      <c r="H5" t="s">
        <v>3790</v>
      </c>
      <c r="I5" t="s">
        <v>3791</v>
      </c>
      <c r="J5" t="s">
        <v>3792</v>
      </c>
      <c r="K5" t="s">
        <v>12</v>
      </c>
      <c r="L5" s="474" t="s">
        <v>12</v>
      </c>
      <c r="M5" t="s">
        <v>2234</v>
      </c>
      <c r="O5" t="s">
        <v>2249</v>
      </c>
      <c r="P5" s="475">
        <v>99.5</v>
      </c>
      <c r="Z5" t="str">
        <v>Great River Coy Private Limited</v>
      </c>
    </row>
    <row r="6" spans="1:27" x14ac:dyDescent="0.2">
      <c r="A6" t="s">
        <v>255</v>
      </c>
      <c r="B6" s="475">
        <f>_xlfn.XLOOKUP(Customers[[#This Row],[Price Tier]],RateCard[Price Tier],RateCard[Rate],"")</f>
        <v>99.5</v>
      </c>
      <c r="C6" t="s">
        <v>2250</v>
      </c>
      <c r="D6" t="s">
        <v>2251</v>
      </c>
      <c r="E6" t="s">
        <v>2254</v>
      </c>
      <c r="F6" t="s">
        <v>3788</v>
      </c>
      <c r="G6" t="s">
        <v>3794</v>
      </c>
      <c r="H6" t="s">
        <v>3790</v>
      </c>
      <c r="I6" t="s">
        <v>3791</v>
      </c>
      <c r="J6" t="s">
        <v>3792</v>
      </c>
      <c r="K6" t="s">
        <v>12</v>
      </c>
      <c r="L6" s="474" t="s">
        <v>12</v>
      </c>
      <c r="M6" t="s">
        <v>2234</v>
      </c>
      <c r="O6" t="s">
        <v>2253</v>
      </c>
      <c r="P6" s="475">
        <v>99.5</v>
      </c>
      <c r="Z6" t="str">
        <v>Grk Logistics Private Limited</v>
      </c>
    </row>
    <row r="7" spans="1:27" x14ac:dyDescent="0.2">
      <c r="A7" t="s">
        <v>3806</v>
      </c>
      <c r="B7" s="475">
        <f>_xlfn.XLOOKUP(Customers[[#This Row],[Price Tier]],RateCard[Price Tier],RateCard[Rate],"")</f>
        <v>99.99</v>
      </c>
      <c r="C7" t="s">
        <v>3807</v>
      </c>
      <c r="D7" t="s">
        <v>3808</v>
      </c>
      <c r="E7" t="s">
        <v>3809</v>
      </c>
      <c r="F7" t="s">
        <v>2236</v>
      </c>
      <c r="G7" t="s">
        <v>2237</v>
      </c>
      <c r="H7" t="s">
        <v>2238</v>
      </c>
      <c r="I7" t="s">
        <v>2239</v>
      </c>
      <c r="J7" t="s">
        <v>2240</v>
      </c>
      <c r="K7" t="s">
        <v>12</v>
      </c>
      <c r="L7" s="474" t="s">
        <v>12</v>
      </c>
      <c r="M7" t="s">
        <v>3804</v>
      </c>
      <c r="O7" t="s">
        <v>2255</v>
      </c>
      <c r="P7" s="475">
        <v>99.5</v>
      </c>
      <c r="Z7" t="str">
        <v>Harnoor Logistics Private Limited</v>
      </c>
    </row>
    <row r="8" spans="1:27" x14ac:dyDescent="0.2">
      <c r="A8" t="s">
        <v>2285</v>
      </c>
      <c r="B8" s="475">
        <f>_xlfn.XLOOKUP(Customers[[#This Row],[Price Tier]],RateCard[Price Tier],RateCard[Rate],"")</f>
        <v>100.74</v>
      </c>
      <c r="C8" t="s">
        <v>1287</v>
      </c>
      <c r="D8" t="s">
        <v>2286</v>
      </c>
      <c r="E8" t="s">
        <v>12</v>
      </c>
      <c r="F8" t="s">
        <v>2236</v>
      </c>
      <c r="G8" t="s">
        <v>2237</v>
      </c>
      <c r="H8" t="s">
        <v>2238</v>
      </c>
      <c r="I8" t="s">
        <v>2239</v>
      </c>
      <c r="J8" t="s">
        <v>2240</v>
      </c>
      <c r="K8" t="s">
        <v>12</v>
      </c>
      <c r="L8" s="474" t="s">
        <v>12</v>
      </c>
      <c r="M8" t="s">
        <v>2223</v>
      </c>
      <c r="O8" t="s">
        <v>3804</v>
      </c>
      <c r="P8" s="475">
        <f>P2-0.75</f>
        <v>99.99</v>
      </c>
      <c r="Z8" t="str">
        <v>Ib Logistics Private Limited</v>
      </c>
    </row>
    <row r="9" spans="1:27" x14ac:dyDescent="0.2">
      <c r="A9" t="s">
        <v>302</v>
      </c>
      <c r="B9" s="475">
        <f>_xlfn.XLOOKUP(Customers[[#This Row],[Price Tier]],RateCard[Price Tier],RateCard[Rate],"")</f>
        <v>99.5</v>
      </c>
      <c r="C9" t="s">
        <v>2256</v>
      </c>
      <c r="D9" t="s">
        <v>2244</v>
      </c>
      <c r="E9" t="s">
        <v>2257</v>
      </c>
      <c r="F9" t="s">
        <v>2236</v>
      </c>
      <c r="G9" t="s">
        <v>2237</v>
      </c>
      <c r="H9" t="s">
        <v>2238</v>
      </c>
      <c r="I9" t="s">
        <v>2239</v>
      </c>
      <c r="J9" t="s">
        <v>2240</v>
      </c>
      <c r="K9" t="s">
        <v>12</v>
      </c>
      <c r="L9" s="474" t="s">
        <v>12</v>
      </c>
      <c r="M9" t="s">
        <v>2234</v>
      </c>
      <c r="Z9" t="str">
        <v>Jay Hanuman Transport and Multipurpose Co-Operative Society Ltd</v>
      </c>
    </row>
    <row r="10" spans="1:27" x14ac:dyDescent="0.2">
      <c r="A10" t="s">
        <v>1532</v>
      </c>
      <c r="B10" s="475">
        <f>_xlfn.XLOOKUP(Customers[[#This Row],[Price Tier]],RateCard[Price Tier],RateCard[Rate],"")</f>
        <v>99.5</v>
      </c>
      <c r="C10" t="s">
        <v>2256</v>
      </c>
      <c r="D10" t="s">
        <v>2244</v>
      </c>
      <c r="E10" t="s">
        <v>2258</v>
      </c>
      <c r="F10" t="s">
        <v>2236</v>
      </c>
      <c r="G10" t="s">
        <v>2237</v>
      </c>
      <c r="H10" t="s">
        <v>2238</v>
      </c>
      <c r="I10" t="s">
        <v>2239</v>
      </c>
      <c r="J10" t="s">
        <v>2240</v>
      </c>
      <c r="K10" t="s">
        <v>12</v>
      </c>
      <c r="L10" s="474" t="s">
        <v>12</v>
      </c>
      <c r="M10" t="s">
        <v>2234</v>
      </c>
      <c r="Z10" t="str">
        <v>LN LOGISTICS PVT LTD</v>
      </c>
    </row>
    <row r="11" spans="1:27" x14ac:dyDescent="0.2">
      <c r="A11" t="s">
        <v>1036</v>
      </c>
      <c r="B11" s="475">
        <f>_xlfn.XLOOKUP(Customers[[#This Row],[Price Tier]],RateCard[Price Tier],RateCard[Rate],"")</f>
        <v>99.5</v>
      </c>
      <c r="C11" t="s">
        <v>2259</v>
      </c>
      <c r="D11" t="s">
        <v>2260</v>
      </c>
      <c r="E11" t="s">
        <v>2261</v>
      </c>
      <c r="F11" t="s">
        <v>2236</v>
      </c>
      <c r="G11" t="s">
        <v>2237</v>
      </c>
      <c r="H11" t="s">
        <v>2238</v>
      </c>
      <c r="I11" t="s">
        <v>2239</v>
      </c>
      <c r="J11" t="s">
        <v>2240</v>
      </c>
      <c r="K11" t="s">
        <v>12</v>
      </c>
      <c r="L11" s="474" t="s">
        <v>12</v>
      </c>
      <c r="M11" t="s">
        <v>2234</v>
      </c>
      <c r="Z11" t="str">
        <v>MA AUTOMOBILE</v>
      </c>
    </row>
    <row r="12" spans="1:27" x14ac:dyDescent="0.2">
      <c r="A12" t="s">
        <v>1822</v>
      </c>
      <c r="B12" s="475">
        <f>_xlfn.XLOOKUP(Customers[[#This Row],[Price Tier]],RateCard[Price Tier],RateCard[Rate],"")</f>
        <v>99.5</v>
      </c>
      <c r="C12" t="s">
        <v>2259</v>
      </c>
      <c r="D12" t="s">
        <v>2260</v>
      </c>
      <c r="E12" t="s">
        <v>12</v>
      </c>
      <c r="F12" t="s">
        <v>2236</v>
      </c>
      <c r="G12" t="s">
        <v>2237</v>
      </c>
      <c r="H12" t="s">
        <v>2238</v>
      </c>
      <c r="I12" t="s">
        <v>2239</v>
      </c>
      <c r="J12" t="s">
        <v>2240</v>
      </c>
      <c r="K12" t="s">
        <v>12</v>
      </c>
      <c r="L12" s="474" t="s">
        <v>12</v>
      </c>
      <c r="M12" t="s">
        <v>2234</v>
      </c>
      <c r="Z12" t="str">
        <v>Maa Karni Earthmover Private Limited</v>
      </c>
    </row>
    <row r="13" spans="1:27" x14ac:dyDescent="0.2">
      <c r="A13" t="s">
        <v>1827</v>
      </c>
      <c r="B13" s="475">
        <f>_xlfn.XLOOKUP(Customers[[#This Row],[Price Tier]],RateCard[Price Tier],RateCard[Rate],"")</f>
        <v>99.5</v>
      </c>
      <c r="C13" t="s">
        <v>2256</v>
      </c>
      <c r="D13" t="s">
        <v>2244</v>
      </c>
      <c r="E13" t="s">
        <v>2283</v>
      </c>
      <c r="F13" t="s">
        <v>2236</v>
      </c>
      <c r="G13" t="s">
        <v>2237</v>
      </c>
      <c r="H13" t="s">
        <v>2238</v>
      </c>
      <c r="I13" t="s">
        <v>2239</v>
      </c>
      <c r="J13" t="s">
        <v>2240</v>
      </c>
      <c r="K13" t="s">
        <v>12</v>
      </c>
      <c r="L13" s="474" t="s">
        <v>12</v>
      </c>
      <c r="M13" t="s">
        <v>2234</v>
      </c>
      <c r="Z13" t="str">
        <v>Maheshanand Logistics Private Limited</v>
      </c>
    </row>
    <row r="14" spans="1:27" x14ac:dyDescent="0.2">
      <c r="A14" t="s">
        <v>92</v>
      </c>
      <c r="B14" s="475">
        <f>_xlfn.XLOOKUP(Customers[[#This Row],[Price Tier]],RateCard[Price Tier],RateCard[Rate],"")</f>
        <v>100.74</v>
      </c>
      <c r="C14" t="s">
        <v>2235</v>
      </c>
      <c r="D14" t="s">
        <v>1287</v>
      </c>
      <c r="E14" t="s">
        <v>12</v>
      </c>
      <c r="F14" t="s">
        <v>2236</v>
      </c>
      <c r="G14" t="s">
        <v>2237</v>
      </c>
      <c r="H14" t="s">
        <v>2238</v>
      </c>
      <c r="I14" t="s">
        <v>2239</v>
      </c>
      <c r="J14" t="s">
        <v>2240</v>
      </c>
      <c r="K14" t="s">
        <v>12</v>
      </c>
      <c r="L14" s="474" t="s">
        <v>12</v>
      </c>
      <c r="M14" t="s">
        <v>2223</v>
      </c>
      <c r="Z14" t="str">
        <v>Pentane Logistics PVT LTD</v>
      </c>
    </row>
    <row r="15" spans="1:27" x14ac:dyDescent="0.2">
      <c r="A15" t="s">
        <v>2043</v>
      </c>
      <c r="B15" s="475">
        <f>_xlfn.XLOOKUP(Customers[[#This Row],[Price Tier]],RateCard[Price Tier],RateCard[Rate],"")</f>
        <v>99.5</v>
      </c>
      <c r="C15" t="s">
        <v>2243</v>
      </c>
      <c r="D15" t="s">
        <v>2244</v>
      </c>
      <c r="E15" t="s">
        <v>12</v>
      </c>
      <c r="F15" t="s">
        <v>2236</v>
      </c>
      <c r="G15" t="s">
        <v>2237</v>
      </c>
      <c r="H15" t="s">
        <v>2238</v>
      </c>
      <c r="I15" t="s">
        <v>2239</v>
      </c>
      <c r="J15" t="s">
        <v>2240</v>
      </c>
      <c r="K15" t="s">
        <v>12</v>
      </c>
      <c r="L15" s="474" t="s">
        <v>12</v>
      </c>
      <c r="M15" t="s">
        <v>2234</v>
      </c>
      <c r="Z15" t="str">
        <v>Rm3d Mining and Logistics Private Limited</v>
      </c>
    </row>
    <row r="16" spans="1:27" x14ac:dyDescent="0.2">
      <c r="A16" t="s">
        <v>501</v>
      </c>
      <c r="B16" s="475">
        <f>_xlfn.XLOOKUP(Customers[[#This Row],[Price Tier]],RateCard[Price Tier],RateCard[Rate],"")</f>
        <v>100.74</v>
      </c>
      <c r="C16" t="s">
        <v>2235</v>
      </c>
      <c r="D16" t="s">
        <v>1287</v>
      </c>
      <c r="E16" t="s">
        <v>12</v>
      </c>
      <c r="F16" t="s">
        <v>2236</v>
      </c>
      <c r="G16" t="s">
        <v>2237</v>
      </c>
      <c r="H16" t="s">
        <v>2238</v>
      </c>
      <c r="I16" t="s">
        <v>2239</v>
      </c>
      <c r="J16" t="s">
        <v>2240</v>
      </c>
      <c r="K16" t="s">
        <v>12</v>
      </c>
      <c r="L16" s="474" t="s">
        <v>12</v>
      </c>
      <c r="M16" t="s">
        <v>2223</v>
      </c>
      <c r="Z16" t="str">
        <v>S K Trading</v>
      </c>
    </row>
    <row r="17" spans="1:26" x14ac:dyDescent="0.2">
      <c r="A17" t="s">
        <v>134</v>
      </c>
      <c r="B17" s="475">
        <f>_xlfn.XLOOKUP(Customers[[#This Row],[Price Tier]],RateCard[Price Tier],RateCard[Rate],"")</f>
        <v>100.74</v>
      </c>
      <c r="C17" t="s">
        <v>2235</v>
      </c>
      <c r="D17" t="s">
        <v>1287</v>
      </c>
      <c r="E17" t="s">
        <v>12</v>
      </c>
      <c r="F17" t="s">
        <v>2236</v>
      </c>
      <c r="G17" t="s">
        <v>2237</v>
      </c>
      <c r="H17" t="s">
        <v>2238</v>
      </c>
      <c r="I17" t="s">
        <v>2239</v>
      </c>
      <c r="J17" t="s">
        <v>2240</v>
      </c>
      <c r="K17" t="s">
        <v>12</v>
      </c>
      <c r="L17" s="474" t="s">
        <v>12</v>
      </c>
      <c r="M17" t="s">
        <v>2223</v>
      </c>
      <c r="Z17" t="str">
        <v>Samarpan Logistics PVT LTD</v>
      </c>
    </row>
    <row r="18" spans="1:26" x14ac:dyDescent="0.2">
      <c r="A18" t="s">
        <v>919</v>
      </c>
      <c r="B18" s="475">
        <f>_xlfn.XLOOKUP(Customers[[#This Row],[Price Tier]],RateCard[Price Tier],RateCard[Rate],"")</f>
        <v>100.74</v>
      </c>
      <c r="C18" t="s">
        <v>2275</v>
      </c>
      <c r="D18" t="s">
        <v>2276</v>
      </c>
      <c r="E18" t="s">
        <v>2277</v>
      </c>
      <c r="F18" t="s">
        <v>2236</v>
      </c>
      <c r="G18" t="s">
        <v>2237</v>
      </c>
      <c r="H18" t="s">
        <v>2238</v>
      </c>
      <c r="I18" t="s">
        <v>2239</v>
      </c>
      <c r="J18" t="s">
        <v>2240</v>
      </c>
      <c r="K18" t="s">
        <v>2267</v>
      </c>
      <c r="L18" s="474" t="s">
        <v>12</v>
      </c>
      <c r="M18" t="s">
        <v>2242</v>
      </c>
      <c r="Z18" t="str">
        <v>SANIR ENTERPRISES</v>
      </c>
    </row>
    <row r="19" spans="1:26" x14ac:dyDescent="0.2">
      <c r="A19" t="s">
        <v>2045</v>
      </c>
      <c r="B19" s="475">
        <f>_xlfn.XLOOKUP(Customers[[#This Row],[Price Tier]],RateCard[Price Tier],RateCard[Rate],"")</f>
        <v>99.5</v>
      </c>
      <c r="C19" t="s">
        <v>2243</v>
      </c>
      <c r="D19" t="s">
        <v>2244</v>
      </c>
      <c r="E19" t="s">
        <v>12</v>
      </c>
      <c r="F19" t="s">
        <v>2236</v>
      </c>
      <c r="G19" t="s">
        <v>2237</v>
      </c>
      <c r="H19" t="s">
        <v>2238</v>
      </c>
      <c r="I19" t="s">
        <v>2239</v>
      </c>
      <c r="J19" t="s">
        <v>2240</v>
      </c>
      <c r="K19" t="s">
        <v>12</v>
      </c>
      <c r="L19" s="474" t="s">
        <v>12</v>
      </c>
      <c r="M19" t="s">
        <v>2234</v>
      </c>
      <c r="Z19" t="str">
        <v>Shiva Enterprises</v>
      </c>
    </row>
    <row r="20" spans="1:26" x14ac:dyDescent="0.2">
      <c r="A20" t="s">
        <v>1444</v>
      </c>
      <c r="B20" s="475">
        <f>_xlfn.XLOOKUP(Customers[[#This Row],[Price Tier]],RateCard[Price Tier],RateCard[Rate],"")</f>
        <v>99.5</v>
      </c>
      <c r="C20" t="s">
        <v>2250</v>
      </c>
      <c r="D20" t="s">
        <v>2251</v>
      </c>
      <c r="E20" t="s">
        <v>2263</v>
      </c>
      <c r="F20" t="s">
        <v>3788</v>
      </c>
      <c r="G20" t="s">
        <v>3795</v>
      </c>
      <c r="H20" t="s">
        <v>3790</v>
      </c>
      <c r="I20" t="s">
        <v>3791</v>
      </c>
      <c r="J20" t="s">
        <v>3792</v>
      </c>
      <c r="K20" t="s">
        <v>12</v>
      </c>
      <c r="L20" s="474" t="s">
        <v>12</v>
      </c>
      <c r="M20" t="s">
        <v>2234</v>
      </c>
      <c r="Z20" t="str">
        <v>Virendra Logistics Private Limited</v>
      </c>
    </row>
    <row r="21" spans="1:26" x14ac:dyDescent="0.2">
      <c r="A21" t="s">
        <v>1839</v>
      </c>
      <c r="B21" s="475">
        <f>_xlfn.XLOOKUP(Customers[[#This Row],[Price Tier]],RateCard[Price Tier],RateCard[Rate],"")</f>
        <v>99.5</v>
      </c>
      <c r="C21" t="s">
        <v>2256</v>
      </c>
      <c r="D21" t="s">
        <v>2244</v>
      </c>
      <c r="E21" t="s">
        <v>12</v>
      </c>
      <c r="F21" t="s">
        <v>3788</v>
      </c>
      <c r="G21" t="s">
        <v>3796</v>
      </c>
      <c r="H21" t="s">
        <v>3790</v>
      </c>
      <c r="I21" t="s">
        <v>3791</v>
      </c>
      <c r="J21" t="s">
        <v>3792</v>
      </c>
      <c r="K21" t="s">
        <v>12</v>
      </c>
      <c r="L21" s="474" t="s">
        <v>12</v>
      </c>
      <c r="M21" t="s">
        <v>2234</v>
      </c>
    </row>
    <row r="22" spans="1:26" x14ac:dyDescent="0.2">
      <c r="A22" t="s">
        <v>143</v>
      </c>
      <c r="B22" s="475">
        <f>_xlfn.XLOOKUP(Customers[[#This Row],[Price Tier]],RateCard[Price Tier],RateCard[Rate],"")</f>
        <v>99.5</v>
      </c>
      <c r="C22" t="s">
        <v>2264</v>
      </c>
      <c r="D22" t="s">
        <v>2265</v>
      </c>
      <c r="E22" t="s">
        <v>2266</v>
      </c>
      <c r="F22" t="s">
        <v>2236</v>
      </c>
      <c r="G22" t="s">
        <v>2237</v>
      </c>
      <c r="H22" t="s">
        <v>2238</v>
      </c>
      <c r="I22" t="s">
        <v>2239</v>
      </c>
      <c r="J22" t="s">
        <v>2240</v>
      </c>
      <c r="K22" t="s">
        <v>2267</v>
      </c>
      <c r="L22" s="474" t="s">
        <v>3785</v>
      </c>
      <c r="M22" t="s">
        <v>2255</v>
      </c>
    </row>
    <row r="23" spans="1:26" x14ac:dyDescent="0.2">
      <c r="A23" t="s">
        <v>2262</v>
      </c>
      <c r="B23" s="475">
        <f>_xlfn.XLOOKUP(Customers[[#This Row],[Price Tier]],RateCard[Price Tier],RateCard[Rate],"")</f>
        <v>99.5</v>
      </c>
      <c r="C23" t="s">
        <v>2243</v>
      </c>
      <c r="D23" t="s">
        <v>2244</v>
      </c>
      <c r="E23" t="s">
        <v>12</v>
      </c>
      <c r="F23" t="s">
        <v>3788</v>
      </c>
      <c r="G23" t="s">
        <v>3797</v>
      </c>
      <c r="H23" t="s">
        <v>3790</v>
      </c>
      <c r="I23" t="s">
        <v>3791</v>
      </c>
      <c r="J23" t="s">
        <v>3792</v>
      </c>
      <c r="K23" t="s">
        <v>12</v>
      </c>
      <c r="L23" s="474" t="s">
        <v>12</v>
      </c>
      <c r="M23" t="s">
        <v>2234</v>
      </c>
    </row>
    <row r="24" spans="1:26" x14ac:dyDescent="0.2">
      <c r="A24" t="s">
        <v>1863</v>
      </c>
      <c r="B24" s="475">
        <f>_xlfn.XLOOKUP(Customers[[#This Row],[Price Tier]],RateCard[Price Tier],RateCard[Rate],"")</f>
        <v>99.5</v>
      </c>
      <c r="C24" t="s">
        <v>2250</v>
      </c>
      <c r="D24" t="s">
        <v>2251</v>
      </c>
      <c r="E24" t="s">
        <v>2268</v>
      </c>
      <c r="F24" t="s">
        <v>3788</v>
      </c>
      <c r="G24" t="s">
        <v>3798</v>
      </c>
      <c r="H24" t="s">
        <v>3790</v>
      </c>
      <c r="I24" t="s">
        <v>3791</v>
      </c>
      <c r="J24" t="s">
        <v>3792</v>
      </c>
      <c r="K24" t="s">
        <v>12</v>
      </c>
      <c r="L24" s="474" t="s">
        <v>12</v>
      </c>
      <c r="M24" t="s">
        <v>2234</v>
      </c>
    </row>
    <row r="25" spans="1:26" x14ac:dyDescent="0.2">
      <c r="A25" t="s">
        <v>1533</v>
      </c>
      <c r="B25" s="475">
        <f>_xlfn.XLOOKUP(Customers[[#This Row],[Price Tier]],RateCard[Price Tier],RateCard[Rate],"")</f>
        <v>99.5</v>
      </c>
      <c r="C25" t="s">
        <v>2250</v>
      </c>
      <c r="D25" t="s">
        <v>2251</v>
      </c>
      <c r="E25" t="s">
        <v>2284</v>
      </c>
      <c r="F25" t="s">
        <v>2236</v>
      </c>
      <c r="G25" t="s">
        <v>2237</v>
      </c>
      <c r="H25" t="s">
        <v>2238</v>
      </c>
      <c r="I25" t="s">
        <v>2239</v>
      </c>
      <c r="J25" t="s">
        <v>2240</v>
      </c>
      <c r="K25" t="s">
        <v>12</v>
      </c>
      <c r="L25" s="474" t="s">
        <v>12</v>
      </c>
      <c r="M25" t="s">
        <v>2234</v>
      </c>
    </row>
    <row r="26" spans="1:26" x14ac:dyDescent="0.2">
      <c r="A26" t="s">
        <v>1866</v>
      </c>
      <c r="B26" s="475">
        <f>_xlfn.XLOOKUP(Customers[[#This Row],[Price Tier]],RateCard[Price Tier],RateCard[Rate],"")</f>
        <v>100.74</v>
      </c>
      <c r="C26" t="s">
        <v>2250</v>
      </c>
      <c r="D26" t="s">
        <v>2251</v>
      </c>
      <c r="E26" t="s">
        <v>2279</v>
      </c>
      <c r="F26" t="s">
        <v>2236</v>
      </c>
      <c r="G26" t="s">
        <v>2237</v>
      </c>
      <c r="H26" t="s">
        <v>2238</v>
      </c>
      <c r="I26" t="s">
        <v>2239</v>
      </c>
      <c r="J26" t="s">
        <v>2240</v>
      </c>
      <c r="K26" t="s">
        <v>12</v>
      </c>
      <c r="L26" s="474" t="s">
        <v>12</v>
      </c>
      <c r="M26" t="s">
        <v>2223</v>
      </c>
    </row>
    <row r="27" spans="1:26" x14ac:dyDescent="0.2">
      <c r="A27" t="s">
        <v>3799</v>
      </c>
      <c r="B27" s="475">
        <f>_xlfn.XLOOKUP(Customers[[#This Row],[Price Tier]],RateCard[Price Tier],RateCard[Rate],"")</f>
        <v>99.5</v>
      </c>
      <c r="C27" t="s">
        <v>2256</v>
      </c>
      <c r="D27" t="s">
        <v>2244</v>
      </c>
      <c r="E27" t="s">
        <v>12</v>
      </c>
      <c r="F27" t="s">
        <v>2236</v>
      </c>
      <c r="G27" t="s">
        <v>2237</v>
      </c>
      <c r="H27" t="s">
        <v>2238</v>
      </c>
      <c r="I27" t="s">
        <v>2239</v>
      </c>
      <c r="J27" t="s">
        <v>2240</v>
      </c>
      <c r="K27" t="s">
        <v>12</v>
      </c>
      <c r="L27" s="474" t="s">
        <v>12</v>
      </c>
      <c r="M27" t="s">
        <v>2234</v>
      </c>
    </row>
    <row r="28" spans="1:26" x14ac:dyDescent="0.2">
      <c r="A28" t="s">
        <v>2046</v>
      </c>
      <c r="B28" s="475">
        <f>_xlfn.XLOOKUP(Customers[[#This Row],[Price Tier]],RateCard[Price Tier],RateCard[Rate],"")</f>
        <v>99.5</v>
      </c>
      <c r="C28" t="s">
        <v>2243</v>
      </c>
      <c r="D28" t="s">
        <v>2244</v>
      </c>
      <c r="E28" t="s">
        <v>12</v>
      </c>
      <c r="F28" t="s">
        <v>2236</v>
      </c>
      <c r="G28" t="s">
        <v>2237</v>
      </c>
      <c r="H28" t="s">
        <v>2238</v>
      </c>
      <c r="I28" t="s">
        <v>2239</v>
      </c>
      <c r="J28" t="s">
        <v>2240</v>
      </c>
      <c r="K28" t="s">
        <v>12</v>
      </c>
      <c r="L28" s="474" t="s">
        <v>12</v>
      </c>
      <c r="M28" t="s">
        <v>2234</v>
      </c>
    </row>
    <row r="29" spans="1:26" x14ac:dyDescent="0.2">
      <c r="A29" t="s">
        <v>2044</v>
      </c>
      <c r="B29" s="475">
        <f>_xlfn.XLOOKUP(Customers[[#This Row],[Price Tier]],RateCard[Price Tier],RateCard[Rate],"")</f>
        <v>99.5</v>
      </c>
      <c r="C29" t="s">
        <v>2256</v>
      </c>
      <c r="D29" t="s">
        <v>2244</v>
      </c>
      <c r="E29" t="s">
        <v>12</v>
      </c>
      <c r="F29" t="s">
        <v>2236</v>
      </c>
      <c r="G29" t="s">
        <v>2237</v>
      </c>
      <c r="H29" t="s">
        <v>2238</v>
      </c>
      <c r="I29" t="s">
        <v>2239</v>
      </c>
      <c r="J29" t="s">
        <v>2240</v>
      </c>
      <c r="K29" t="s">
        <v>12</v>
      </c>
      <c r="L29" s="474" t="s">
        <v>12</v>
      </c>
      <c r="M29" t="s">
        <v>2234</v>
      </c>
    </row>
    <row r="30" spans="1:26" x14ac:dyDescent="0.2">
      <c r="A30" t="s">
        <v>52</v>
      </c>
      <c r="B30" s="475">
        <f>_xlfn.XLOOKUP(Customers[[#This Row],[Price Tier]],RateCard[Price Tier],RateCard[Rate],"")</f>
        <v>99.5</v>
      </c>
      <c r="C30" t="s">
        <v>2269</v>
      </c>
      <c r="D30" t="s">
        <v>2270</v>
      </c>
      <c r="E30" t="s">
        <v>2271</v>
      </c>
      <c r="F30" t="s">
        <v>3788</v>
      </c>
      <c r="G30" t="s">
        <v>3800</v>
      </c>
      <c r="H30" t="s">
        <v>3790</v>
      </c>
      <c r="I30" t="s">
        <v>3791</v>
      </c>
      <c r="J30" t="s">
        <v>3792</v>
      </c>
      <c r="K30" t="s">
        <v>2267</v>
      </c>
      <c r="L30" s="474">
        <v>2110035598</v>
      </c>
      <c r="M30" t="s">
        <v>2253</v>
      </c>
    </row>
    <row r="31" spans="1:26" x14ac:dyDescent="0.2">
      <c r="A31" t="s">
        <v>2272</v>
      </c>
      <c r="B31" s="475">
        <f>_xlfn.XLOOKUP(Customers[[#This Row],[Price Tier]],RateCard[Price Tier],RateCard[Rate],"")</f>
        <v>99.5</v>
      </c>
      <c r="C31" t="s">
        <v>2273</v>
      </c>
      <c r="D31" t="s">
        <v>1287</v>
      </c>
      <c r="E31" t="s">
        <v>2274</v>
      </c>
      <c r="F31" t="s">
        <v>2236</v>
      </c>
      <c r="G31" t="s">
        <v>2245</v>
      </c>
      <c r="H31" t="s">
        <v>2246</v>
      </c>
      <c r="I31" t="s">
        <v>2247</v>
      </c>
      <c r="J31" t="s">
        <v>2248</v>
      </c>
      <c r="K31" t="s">
        <v>2267</v>
      </c>
      <c r="L31" s="474" t="s">
        <v>12</v>
      </c>
      <c r="M31" t="s">
        <v>2249</v>
      </c>
    </row>
    <row r="32" spans="1:26" x14ac:dyDescent="0.2">
      <c r="A32" t="s">
        <v>2280</v>
      </c>
      <c r="B32" s="475">
        <f>_xlfn.XLOOKUP(Customers[[#This Row],[Price Tier]],RateCard[Price Tier],RateCard[Rate],"")</f>
        <v>99.5</v>
      </c>
      <c r="C32" t="s">
        <v>2281</v>
      </c>
      <c r="D32" t="s">
        <v>1287</v>
      </c>
      <c r="E32" t="s">
        <v>2274</v>
      </c>
      <c r="F32" t="s">
        <v>2236</v>
      </c>
      <c r="G32" t="s">
        <v>2245</v>
      </c>
      <c r="H32" t="s">
        <v>2246</v>
      </c>
      <c r="I32" t="s">
        <v>2247</v>
      </c>
      <c r="J32" t="s">
        <v>2248</v>
      </c>
      <c r="K32" t="s">
        <v>2267</v>
      </c>
      <c r="L32" s="474">
        <v>4500214810</v>
      </c>
      <c r="M32" t="s">
        <v>2249</v>
      </c>
    </row>
    <row r="33" spans="1:13" x14ac:dyDescent="0.2">
      <c r="A33" t="s">
        <v>584</v>
      </c>
      <c r="B33" s="475">
        <f>_xlfn.XLOOKUP(Customers[[#This Row],[Price Tier]],RateCard[Price Tier],RateCard[Rate],"")</f>
        <v>99.5</v>
      </c>
      <c r="C33" t="s">
        <v>2250</v>
      </c>
      <c r="D33" t="s">
        <v>2251</v>
      </c>
      <c r="E33" t="s">
        <v>2278</v>
      </c>
      <c r="F33" t="s">
        <v>3788</v>
      </c>
      <c r="G33" t="s">
        <v>3801</v>
      </c>
      <c r="H33" t="s">
        <v>3790</v>
      </c>
      <c r="I33" t="s">
        <v>3791</v>
      </c>
      <c r="J33" t="s">
        <v>3792</v>
      </c>
      <c r="K33" t="s">
        <v>12</v>
      </c>
      <c r="L33" s="474" t="s">
        <v>12</v>
      </c>
      <c r="M33" t="s">
        <v>2234</v>
      </c>
    </row>
  </sheetData>
  <dataValidations count="1">
    <dataValidation type="list" allowBlank="1" showInputMessage="1" showErrorMessage="1" sqref="M2:M33 AA1" xr:uid="{8D4EE937-22D8-7C49-B076-3AD2EEC7B80A}">
      <formula1>TierList</formula1>
    </dataValidation>
  </dataValidations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BE8E0A7-071C-5C40-AB60-950FAFA6B997}">
          <x14:formula1>
            <xm:f>OMPL_Bulk!$AJ$5:$AJ$54</xm:f>
          </x14:formula1>
          <xm:sqref>L21</xm:sqref>
        </x14:dataValidation>
        <x14:dataValidation type="list" allowBlank="1" showInputMessage="1" showErrorMessage="1" xr:uid="{61C9EAA4-608E-624A-826F-77ECD2648671}">
          <x14:formula1>
            <xm:f>'Shyam Metalics_Bulk'!$AJ$5:$AJ$54</xm:f>
          </x14:formula1>
          <xm:sqref>L29</xm:sqref>
        </x14:dataValidation>
        <x14:dataValidation type="list" allowBlank="1" showInputMessage="1" showErrorMessage="1" xr:uid="{91665B7B-B760-8843-BBFE-A930BC728FF6}">
          <x14:formula1>
            <xm:f>SMC_Bulk!$AJ$5:$AJ$54</xm:f>
          </x14:formula1>
          <xm:sqref>L30</xm:sqref>
        </x14:dataValidation>
        <x14:dataValidation type="list" allowBlank="1" showInputMessage="1" showErrorMessage="1" xr:uid="{3ECFB2A6-4C23-2E41-9F59-4BEEBC05021D}">
          <x14:formula1>
            <xm:f>SMC_Bulk!$AK$5:$AK$54</xm:f>
          </x14:formula1>
          <xm:sqref>L31</xm:sqref>
        </x14:dataValidation>
        <x14:dataValidation type="list" allowBlank="1" showInputMessage="1" showErrorMessage="1" xr:uid="{43ACF444-5EA9-BB41-9999-29D3C26C1791}">
          <x14:formula1>
            <xm:f>Ultratech_Bulk!$AJ$5:$AJ$54</xm:f>
          </x14:formula1>
          <xm:sqref>L17</xm:sqref>
        </x14:dataValidation>
        <x14:dataValidation type="list" allowBlank="1" showInputMessage="1" showErrorMessage="1" xr:uid="{3A1D4E2E-DA6B-4145-8A97-C7482BEE287A}">
          <x14:formula1>
            <xm:f>Aryan_Bulk!$AJ$5:$AJ$54</xm:f>
          </x14:formula1>
          <xm:sqref>L3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FF06-E58B-5C44-9595-527A04DC8A49}">
  <sheetPr codeName="Sheet44">
    <pageSetUpPr fitToPage="1"/>
  </sheetPr>
  <dimension ref="A1:H40"/>
  <sheetViews>
    <sheetView workbookViewId="0"/>
  </sheetViews>
  <sheetFormatPr baseColWidth="10" defaultColWidth="10.83203125" defaultRowHeight="16" x14ac:dyDescent="0.2"/>
  <cols>
    <col min="1" max="1" width="18.5" bestFit="1" customWidth="1"/>
    <col min="2" max="2" width="6.6640625" customWidth="1"/>
    <col min="3" max="3" width="15.6640625" customWidth="1"/>
    <col min="4" max="4" width="7.6640625" bestFit="1" customWidth="1"/>
    <col min="5" max="5" width="16.1640625" customWidth="1"/>
    <col min="7" max="7" width="15" customWidth="1"/>
    <col min="8" max="8" width="21.6640625" customWidth="1"/>
  </cols>
  <sheetData>
    <row r="1" spans="1:8" ht="19" customHeight="1" x14ac:dyDescent="0.2">
      <c r="A1" s="252" t="s">
        <v>2075</v>
      </c>
      <c r="B1" s="234"/>
      <c r="C1" s="234"/>
      <c r="D1" s="517" t="str">
        <f>"Mob : 9937344411"</f>
        <v>Mob : 9937344411</v>
      </c>
      <c r="E1" s="518"/>
      <c r="G1" s="237" t="s">
        <v>2090</v>
      </c>
      <c r="H1" s="236">
        <v>1526</v>
      </c>
    </row>
    <row r="2" spans="1:8" ht="26" customHeight="1" x14ac:dyDescent="0.25">
      <c r="A2" s="519" t="s">
        <v>2076</v>
      </c>
      <c r="B2" s="520"/>
      <c r="C2" s="520"/>
      <c r="D2" s="520"/>
      <c r="E2" s="520"/>
      <c r="G2" s="238" t="s">
        <v>2091</v>
      </c>
      <c r="H2">
        <f>IFERROR(MATCH($H$1,IF($H$9="MS",Table14[Bill No.],IF($H$9="XG",Table146[Bill No.],Table1[Bill No.])),0),IFERROR(MATCH(TEXT($H$1,"0"),IF($H$9="MS",Table14[Bill No.],IF($H$9="XG",Table146[Bill No.],Table1[Bill No.])),0),""))</f>
        <v>1526</v>
      </c>
    </row>
    <row r="3" spans="1:8" ht="17.25" x14ac:dyDescent="0.2">
      <c r="A3" s="508" t="s">
        <v>2077</v>
      </c>
      <c r="B3" s="510"/>
      <c r="C3" s="510"/>
      <c r="D3" s="510"/>
      <c r="E3" s="510"/>
      <c r="G3" s="238" t="s">
        <v>6</v>
      </c>
      <c r="H3" cm="1">
        <f t="array" ref="H3">IFERROR(INDEX(IF($H$9="MS",Table14[Date],IF($H$9="XG",Table146[Date],Table1[Date])),$H$2),"")</f>
        <v>46217</v>
      </c>
    </row>
    <row r="4" spans="1:8" ht="17.25" x14ac:dyDescent="0.2">
      <c r="A4" s="508" t="s">
        <v>2078</v>
      </c>
      <c r="B4" s="510"/>
      <c r="C4" s="510"/>
      <c r="D4" s="510"/>
      <c r="E4" s="510"/>
      <c r="G4" s="238" t="s">
        <v>1</v>
      </c>
      <c r="H4" cm="1">
        <f t="array" ref="H4">IFERROR(INDEX(IF($H$9="MS",Table14[Vehicle],IF($H$9="XG",Table146[Vehicle],Table1[Vehicle])),$H$2),"")</f>
        <v>0</v>
      </c>
    </row>
    <row r="5" spans="1:8" ht="17.25" x14ac:dyDescent="0.2">
      <c r="A5" s="508" t="s">
        <v>2079</v>
      </c>
      <c r="B5" s="510"/>
      <c r="C5" s="510"/>
      <c r="D5" s="510"/>
      <c r="E5" s="510"/>
      <c r="G5" s="238" t="s">
        <v>2</v>
      </c>
      <c r="H5" cm="1">
        <f t="array" ref="H5">IFERROR(INDEX(IF($H$9="MS",Table14[Quantity],IF($H$9="XG",Table146[Quantity],Table1[Quantity])),$H$2),"")</f>
        <v>19.850000000000001</v>
      </c>
    </row>
    <row r="6" spans="1:8" ht="17.25" x14ac:dyDescent="0.2">
      <c r="A6" s="508" t="s">
        <v>2080</v>
      </c>
      <c r="B6" s="508"/>
      <c r="C6" s="508"/>
      <c r="D6" s="508"/>
      <c r="E6" s="508"/>
      <c r="G6" s="238" t="s">
        <v>3</v>
      </c>
      <c r="H6" cm="1">
        <f t="array" ref="H6">IFERROR(INDEX(IF($H$9="MS",Table14[RSP],IF($H$9="XG",Table146[RSP],Table1[RSP])),$H$2),"")</f>
        <v>100.74</v>
      </c>
    </row>
    <row r="7" spans="1:8" ht="17.25" x14ac:dyDescent="0.2">
      <c r="A7" s="508" t="s">
        <v>2081</v>
      </c>
      <c r="B7" s="508"/>
      <c r="C7" s="508"/>
      <c r="D7" s="508"/>
      <c r="E7" s="508"/>
      <c r="G7" s="238" t="s">
        <v>4</v>
      </c>
      <c r="H7" cm="1">
        <f t="array" ref="H7">IFERROR(INDEX(IF($H$9="MS",Table14[Amount],IF($H$9="XG",Table146[Amount],Table1[Amount])),$H$2),"")</f>
        <v>2000</v>
      </c>
    </row>
    <row r="8" spans="1:8" ht="18" customHeight="1" x14ac:dyDescent="0.2">
      <c r="A8" s="508" t="s">
        <v>2082</v>
      </c>
      <c r="B8" s="508"/>
      <c r="C8" s="508"/>
      <c r="D8" s="508"/>
      <c r="E8" s="508"/>
      <c r="G8" s="238" t="s">
        <v>7</v>
      </c>
      <c r="H8" t="str" cm="1">
        <f t="array" ref="H8">IFERROR(INDEX(IF($H$9="MS",Table14[Customer],IF($H$9="XG",Table146[Company],Table1[Customer])),$H$2),"")</f>
        <v>Pine Labs Nodal Account</v>
      </c>
    </row>
    <row r="9" spans="1:8" ht="27" customHeight="1" x14ac:dyDescent="0.2">
      <c r="A9" s="248" t="s">
        <v>2092</v>
      </c>
      <c r="B9" s="249">
        <f>$H$1</f>
        <v>1526</v>
      </c>
      <c r="C9" s="250"/>
      <c r="D9" s="251" t="s">
        <v>2093</v>
      </c>
      <c r="E9" s="249" t="str">
        <f>IF($H$2="","",TEXT(H3,"d-m-yyyy"))</f>
        <v>14-7-2026</v>
      </c>
      <c r="G9" s="238" t="s">
        <v>2503</v>
      </c>
      <c r="H9" t="s">
        <v>2222</v>
      </c>
    </row>
    <row r="10" spans="1:8" ht="28" customHeight="1" x14ac:dyDescent="0.2">
      <c r="A10" s="248" t="s">
        <v>2094</v>
      </c>
      <c r="B10" s="509" t="str">
        <f>IF($H$2="","",H8)</f>
        <v>Pine Labs Nodal Account</v>
      </c>
      <c r="C10" s="510"/>
      <c r="D10" s="510"/>
      <c r="E10" s="510"/>
    </row>
    <row r="11" spans="1:8" ht="25" customHeight="1" x14ac:dyDescent="0.2">
      <c r="A11" s="248" t="s">
        <v>2095</v>
      </c>
      <c r="B11" s="511" t="str">
        <f>IF($H$2="","",IF($H$4=0,"",$H$4))</f>
        <v/>
      </c>
      <c r="C11" s="512"/>
      <c r="D11" s="512"/>
      <c r="E11" s="512"/>
    </row>
    <row r="12" spans="1:8" ht="15" customHeight="1" x14ac:dyDescent="0.2">
      <c r="A12" s="234"/>
      <c r="B12" s="234"/>
      <c r="C12" s="234"/>
      <c r="D12" s="234"/>
      <c r="E12" s="234"/>
    </row>
    <row r="13" spans="1:8" ht="18" x14ac:dyDescent="0.2">
      <c r="A13" s="513" t="s">
        <v>2083</v>
      </c>
      <c r="B13" s="514"/>
      <c r="C13" s="256" t="s">
        <v>2</v>
      </c>
      <c r="D13" s="257" t="s">
        <v>2084</v>
      </c>
      <c r="E13" s="258" t="s">
        <v>4</v>
      </c>
    </row>
    <row r="14" spans="1:8" ht="26" customHeight="1" x14ac:dyDescent="0.2">
      <c r="A14" s="515" t="str">
        <f>IF($H$9="MS","Motor Spirit",IF($H$9="XG","XtraGreen Diesel","High Speed Diesel"))</f>
        <v>High Speed Diesel</v>
      </c>
      <c r="B14" s="516"/>
      <c r="C14" s="434" t="str">
        <f>IF($H$2="","",TEXT(H5,"0.00")&amp;" LTR")</f>
        <v>19.85 LTR</v>
      </c>
      <c r="D14" s="253" t="str">
        <f>IF($H$2="","",TEXT(H6,"0.00"))</f>
        <v>100.74</v>
      </c>
      <c r="E14" s="254" t="str">
        <f>IF($H$2="","",TEXT(H7,"#,##0.00"))</f>
        <v>2,000.00</v>
      </c>
    </row>
    <row r="15" spans="1:8" ht="18" x14ac:dyDescent="0.2">
      <c r="A15" s="241"/>
      <c r="B15" s="234"/>
      <c r="C15" s="241"/>
      <c r="D15" s="242"/>
      <c r="E15" s="243"/>
    </row>
    <row r="16" spans="1:8" ht="18" x14ac:dyDescent="0.2">
      <c r="A16" s="241"/>
      <c r="B16" s="234"/>
      <c r="C16" s="241"/>
      <c r="D16" s="242"/>
      <c r="E16" s="243"/>
    </row>
    <row r="17" spans="1:5" ht="9" customHeight="1" x14ac:dyDescent="0.2">
      <c r="A17" s="241"/>
      <c r="B17" s="234"/>
      <c r="C17" s="241"/>
      <c r="D17" s="242"/>
      <c r="E17" s="243"/>
    </row>
    <row r="18" spans="1:5" ht="19" customHeight="1" x14ac:dyDescent="0.2">
      <c r="A18" s="241"/>
      <c r="B18" s="234"/>
      <c r="C18" s="241"/>
      <c r="D18" s="242"/>
      <c r="E18" s="243"/>
    </row>
    <row r="19" spans="1:5" ht="18" x14ac:dyDescent="0.2">
      <c r="A19" s="241"/>
      <c r="B19" s="234"/>
      <c r="C19" s="241"/>
      <c r="D19" s="242"/>
      <c r="E19" s="243"/>
    </row>
    <row r="20" spans="1:5" ht="13" customHeight="1" x14ac:dyDescent="0.2">
      <c r="A20" s="241"/>
      <c r="B20" s="234"/>
      <c r="C20" s="241"/>
      <c r="D20" s="242"/>
      <c r="E20" s="243"/>
    </row>
    <row r="21" spans="1:5" ht="30" customHeight="1" x14ac:dyDescent="0.2">
      <c r="A21" s="241"/>
      <c r="B21" s="234"/>
      <c r="C21" s="241"/>
      <c r="D21" s="239"/>
      <c r="E21" s="240"/>
    </row>
    <row r="22" spans="1:5" ht="18" x14ac:dyDescent="0.2">
      <c r="A22" s="505" t="s">
        <v>2086</v>
      </c>
      <c r="B22" s="506"/>
      <c r="C22" s="507"/>
      <c r="D22" s="255" t="s">
        <v>2087</v>
      </c>
      <c r="E22" s="476" t="str">
        <f>IF($H$2="","",_xlfn.UNICHAR(8377)&amp;" "&amp;TEXT(H7,"#,##0.00"))</f>
        <v>₹ 2,000.00</v>
      </c>
    </row>
    <row r="23" spans="1:5" ht="18" x14ac:dyDescent="0.2">
      <c r="A23" s="245"/>
      <c r="B23" s="244"/>
      <c r="C23" s="244"/>
      <c r="D23" s="244"/>
      <c r="E23" s="246"/>
    </row>
    <row r="24" spans="1:5" ht="18" x14ac:dyDescent="0.2">
      <c r="A24" s="241"/>
      <c r="B24" s="234"/>
      <c r="C24" s="234"/>
      <c r="D24" s="234"/>
      <c r="E24" s="243"/>
    </row>
    <row r="25" spans="1:5" ht="21" customHeight="1" x14ac:dyDescent="0.2">
      <c r="A25" s="241"/>
      <c r="B25" s="234"/>
      <c r="C25" s="234"/>
      <c r="D25" s="234"/>
      <c r="E25" s="243"/>
    </row>
    <row r="26" spans="1:5" ht="20" customHeight="1" x14ac:dyDescent="0.2">
      <c r="A26" s="241"/>
      <c r="B26" s="234"/>
      <c r="C26" s="234"/>
      <c r="D26" s="234"/>
      <c r="E26" s="243"/>
    </row>
    <row r="27" spans="1:5" ht="18" x14ac:dyDescent="0.2">
      <c r="A27" s="241"/>
      <c r="B27" s="234"/>
      <c r="C27" s="234"/>
      <c r="D27" s="234"/>
      <c r="E27" s="243"/>
    </row>
    <row r="28" spans="1:5" ht="18" x14ac:dyDescent="0.2">
      <c r="A28" s="259" t="s">
        <v>2088</v>
      </c>
      <c r="B28" s="260"/>
      <c r="C28" s="260"/>
      <c r="D28" s="260"/>
      <c r="E28" s="261" t="s">
        <v>2089</v>
      </c>
    </row>
    <row r="29" spans="1:5" ht="15" x14ac:dyDescent="0.2">
      <c r="A29" s="235"/>
      <c r="B29" s="235"/>
      <c r="C29" s="235"/>
      <c r="D29" s="235"/>
      <c r="E29" s="235"/>
    </row>
    <row r="30" spans="1:5" ht="15" x14ac:dyDescent="0.2">
      <c r="A30" s="235"/>
      <c r="B30" s="235"/>
      <c r="C30" s="235"/>
      <c r="D30" s="235"/>
      <c r="E30" s="235"/>
    </row>
    <row r="31" spans="1:5" ht="15" x14ac:dyDescent="0.2">
      <c r="A31" s="235"/>
      <c r="B31" s="235"/>
      <c r="C31" s="235"/>
      <c r="D31" s="235"/>
      <c r="E31" s="235"/>
    </row>
    <row r="32" spans="1:5" ht="15" x14ac:dyDescent="0.2">
      <c r="A32" s="235"/>
      <c r="B32" s="235"/>
      <c r="C32" s="235"/>
      <c r="D32" s="235"/>
      <c r="E32" s="235"/>
    </row>
    <row r="33" spans="1:5" ht="15" x14ac:dyDescent="0.2">
      <c r="A33" s="235"/>
      <c r="B33" s="235"/>
      <c r="C33" s="235"/>
      <c r="D33" s="235"/>
      <c r="E33" s="235"/>
    </row>
    <row r="34" spans="1:5" ht="15" x14ac:dyDescent="0.2">
      <c r="A34" s="235"/>
      <c r="B34" s="235"/>
      <c r="C34" s="235"/>
      <c r="D34" s="235"/>
      <c r="E34" s="235"/>
    </row>
    <row r="35" spans="1:5" ht="15" x14ac:dyDescent="0.2">
      <c r="A35" s="235"/>
      <c r="B35" s="235"/>
      <c r="C35" s="235"/>
      <c r="D35" s="235"/>
      <c r="E35" s="235"/>
    </row>
    <row r="36" spans="1:5" ht="15" x14ac:dyDescent="0.2">
      <c r="A36" s="235"/>
      <c r="B36" s="235"/>
      <c r="C36" s="235"/>
      <c r="D36" s="235"/>
      <c r="E36" s="235"/>
    </row>
    <row r="37" spans="1:5" ht="15" x14ac:dyDescent="0.2">
      <c r="A37" s="235"/>
      <c r="B37" s="235"/>
      <c r="C37" s="235"/>
      <c r="D37" s="235"/>
      <c r="E37" s="235"/>
    </row>
    <row r="38" spans="1:5" x14ac:dyDescent="0.2">
      <c r="A38" s="235"/>
      <c r="B38" s="235"/>
      <c r="C38" s="235"/>
      <c r="D38" s="235"/>
      <c r="E38" s="235"/>
    </row>
    <row r="39" spans="1:5" x14ac:dyDescent="0.2">
      <c r="A39" s="235"/>
      <c r="B39" s="235"/>
      <c r="C39" s="235"/>
      <c r="D39" s="235"/>
      <c r="E39" s="235"/>
    </row>
    <row r="40" spans="1:5" x14ac:dyDescent="0.2">
      <c r="A40" s="235"/>
      <c r="B40" s="235"/>
      <c r="C40" s="235"/>
      <c r="D40" s="235"/>
      <c r="E40" s="235"/>
    </row>
  </sheetData>
  <mergeCells count="13">
    <mergeCell ref="A6:E6"/>
    <mergeCell ref="D1:E1"/>
    <mergeCell ref="A2:E2"/>
    <mergeCell ref="A3:E3"/>
    <mergeCell ref="A4:E4"/>
    <mergeCell ref="A5:E5"/>
    <mergeCell ref="A22:C22"/>
    <mergeCell ref="A7:E7"/>
    <mergeCell ref="A8:E8"/>
    <mergeCell ref="B10:E10"/>
    <mergeCell ref="B11:E11"/>
    <mergeCell ref="A13:B13"/>
    <mergeCell ref="A14:B14"/>
  </mergeCells>
  <printOptions horizontalCentered="1"/>
  <pageMargins left="0.25" right="0.25" top="0.19444444444444445" bottom="0.19444444444444445" header="0" footer="0"/>
  <pageSetup paperSize="11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ExportBillsPerCustomer">
                <anchor moveWithCells="1" sizeWithCells="1">
                  <from>
                    <xdr:col>10</xdr:col>
                    <xdr:colOff>317500</xdr:colOff>
                    <xdr:row>0</xdr:row>
                    <xdr:rowOff>152400</xdr:rowOff>
                  </from>
                  <to>
                    <xdr:col>12</xdr:col>
                    <xdr:colOff>190500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EB27-99AE-AA47-B4BC-84B86FB03AE2}">
  <sheetPr codeName="Sheet5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" customWidth="1"/>
    <col min="3" max="3" width="10" customWidth="1"/>
    <col min="4" max="5" width="16.832031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3.33203125" customWidth="1"/>
    <col min="22" max="22" width="11.6640625" customWidth="1"/>
    <col min="23" max="23" width="14" customWidth="1"/>
    <col min="24" max="24" width="13.83203125" customWidth="1"/>
  </cols>
  <sheetData>
    <row r="1" spans="1:24" ht="29" customHeight="1" x14ac:dyDescent="0.2">
      <c r="A1" s="521" t="s">
        <v>714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27" t="str">
        <f>"for The Month of  "&amp;TEXT(MAX(A5:A50),"mmmm-yyyy")</f>
        <v>for The Month of  August-2026</v>
      </c>
      <c r="B3" s="528"/>
      <c r="C3" s="528"/>
      <c r="D3" s="528"/>
      <c r="E3" s="528"/>
      <c r="F3" s="528"/>
      <c r="G3" s="529"/>
      <c r="H3" s="17"/>
      <c r="I3" s="17"/>
      <c r="J3" s="17"/>
      <c r="K3" s="157" t="s">
        <v>714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Paid],MasterPaid[Customer],$K$32,MasterPaid[Date],$A5)</f>
        <v>0</v>
      </c>
      <c r="F5" s="38"/>
      <c r="G5" s="57">
        <f>IFERROR(INDEX(Outstanding!$N$4:$Z$69,MATCH($K$3,Outstanding!$M$4:$M$66,0),MATCH($A$5,Outstanding!$N$3:$Z$3,0)),0)</f>
        <v>-23245.91</v>
      </c>
      <c r="H5" s="20"/>
      <c r="I5" s="58">
        <f>G5+SUM(D5:D45)-SUM(E5:E45)</f>
        <v>349.78000000001339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46236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99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9973.26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-13272.65</v>
      </c>
      <c r="H6" s="20"/>
      <c r="I6" s="20"/>
      <c r="J6" s="20"/>
      <c r="K6" cm="1">
        <f t="array" ref="K6:L27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46236</v>
      </c>
      <c r="L6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46238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30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3022.2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-10250.450000000001</v>
      </c>
      <c r="H7" s="20"/>
      <c r="I7" s="20"/>
      <c r="J7" s="20"/>
      <c r="K7">
        <v>46238</v>
      </c>
      <c r="L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46239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60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6044.4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-4206.0500000000011</v>
      </c>
      <c r="H8" s="20"/>
      <c r="I8" s="20"/>
      <c r="J8" s="20"/>
      <c r="K8">
        <v>46239</v>
      </c>
      <c r="L8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46240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20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2014.8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-2191.2500000000009</v>
      </c>
      <c r="H9" s="20"/>
      <c r="I9" s="20"/>
      <c r="J9" s="20"/>
      <c r="K9" s="17">
        <v>46240</v>
      </c>
      <c r="L9" s="17" t="str">
        <v>DIESEL</v>
      </c>
      <c r="M9" s="17"/>
      <c r="N9" s="17"/>
      <c r="O9" s="17"/>
      <c r="P9" s="17"/>
      <c r="Q9" s="63" t="str">
        <f>K3</f>
        <v>Swagat Sundar Mohanty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46241</v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0</v>
      </c>
      <c r="E10" s="61">
        <f>IF($H10="TOTAL",SUM($E$6:$E9)-SUMIF($H$6:$H9,"TOTAL",$E$6:$E9),IF($A10="",0,IF(COUNTIF($A$6:$A10,$A10)=1,SUMIFS(MasterPaid[Amount Paid],MasterPaid[Customer],$K$3,MasterPaid[Date],$A10),0)))</f>
        <v>20000</v>
      </c>
      <c r="F10" s="62" t="str" cm="1">
        <f t="array" ref="F10">IFERROR(INDEX(_xlfn.ANCHORARRAY($K$6),ROW()-5,2),"")</f>
        <v/>
      </c>
      <c r="G10" s="57">
        <f>IF($H10="TOTAL",IFERROR(LOOKUP(9.99E+307,$G$6:$G9),""),IF($A10="","",G9+N(D10)-N(E10)))</f>
        <v>-22191.25</v>
      </c>
      <c r="H10" s="20"/>
      <c r="I10" s="20"/>
      <c r="J10" s="20"/>
      <c r="K10" s="17">
        <v>46241</v>
      </c>
      <c r="L10" s="17" t="str">
        <v/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46242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172.18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17345.41</v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-4845.84</v>
      </c>
      <c r="H11" s="20"/>
      <c r="I11" s="20"/>
      <c r="J11" s="20"/>
      <c r="K11" s="17">
        <v>46242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GSTIN:21FOKPM2931F1Z5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46244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20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2014.8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-2831.04</v>
      </c>
      <c r="H12" s="20"/>
      <c r="I12" s="20"/>
      <c r="J12" s="20"/>
      <c r="K12" s="17">
        <v>46244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46245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20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2014.8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-816.24</v>
      </c>
      <c r="H13" s="20"/>
      <c r="I13" s="20"/>
      <c r="J13" s="20"/>
      <c r="K13" s="17">
        <v>46245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4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155" t="str">
        <f ca="1"/>
        <v>2482</v>
      </c>
      <c r="T13" s="155" t="str">
        <f ca="1"/>
        <v>OD15Z1430</v>
      </c>
      <c r="U13" s="155">
        <f ca="1"/>
        <v>10</v>
      </c>
      <c r="V13" s="155">
        <f ca="1"/>
        <v>100.74</v>
      </c>
      <c r="W13" s="200">
        <f ca="1"/>
        <v>1007.4</v>
      </c>
      <c r="X13" s="155" t="str">
        <f ca="1"/>
        <v>Diesel</v>
      </c>
    </row>
    <row r="14" spans="1:24" ht="21.75" x14ac:dyDescent="0.25">
      <c r="A14" s="71" cm="1">
        <f t="array" ref="A14">IFERROR(INDEX(_xlfn.ANCHORARRAY($K$6),ROW()-5,1),"")</f>
        <v>46245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4.59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109.01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500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PETROL</v>
      </c>
      <c r="G14" s="57">
        <f>IF($H14="TOTAL",IFERROR(LOOKUP(9.99E+307,$G$6:$G13),""),IF($A14="","",G13+N(D14)-N(E14)))</f>
        <v>-316.24</v>
      </c>
      <c r="H14" s="20"/>
      <c r="I14" s="20"/>
      <c r="J14" s="20"/>
      <c r="K14" s="17">
        <v>46245</v>
      </c>
      <c r="L14" s="17" t="str">
        <v>PETROL</v>
      </c>
      <c r="M14" s="17"/>
      <c r="N14" s="17"/>
      <c r="O14" s="17"/>
      <c r="P14" s="17"/>
      <c r="Q14" s="17"/>
      <c r="R14" s="64">
        <f ca="1"/>
        <v>46262</v>
      </c>
      <c r="S14" s="155" t="str">
        <f ca="1"/>
        <v>2483</v>
      </c>
      <c r="T14" s="155" t="str">
        <f ca="1"/>
        <v>OD15Z1430</v>
      </c>
      <c r="U14" s="155">
        <f ca="1"/>
        <v>10</v>
      </c>
      <c r="V14" s="155">
        <f ca="1"/>
        <v>100.74</v>
      </c>
      <c r="W14" s="200">
        <f ca="1"/>
        <v>1007.4</v>
      </c>
      <c r="X14" s="155" t="str">
        <f ca="1"/>
        <v>Diesel</v>
      </c>
    </row>
    <row r="15" spans="1:24" ht="21.75" x14ac:dyDescent="0.25">
      <c r="A15" s="71" cm="1">
        <f t="array" ref="A15">IFERROR(INDEX(_xlfn.ANCHORARRAY($K$6),ROW()-5,1),"")</f>
        <v>46246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20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2014.8</v>
      </c>
      <c r="E15" s="61">
        <f>IF($H15="TOTAL",SUM($E$6:$E14)-SUMIF($H$6:$H14,"TOTAL",$E$6:$E14),IF($A15="",0,IF(COUNTIF($A$6:$A15,$A15)=1,SUMIFS(MasterPaid[Amount Paid],MasterPaid[Customer],$K$3,MasterPaid[Date],$A15),0)))</f>
        <v>20000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-18301.439999999999</v>
      </c>
      <c r="H15" s="20"/>
      <c r="I15" s="20"/>
      <c r="J15" s="20"/>
      <c r="K15" s="17">
        <v>46246</v>
      </c>
      <c r="L15" s="17" t="str">
        <v>DIESEL</v>
      </c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customHeight="1" x14ac:dyDescent="0.25">
      <c r="A16" s="71" cm="1">
        <f t="array" ref="A16">IFERROR(INDEX(_xlfn.ANCHORARRAY($K$6),ROW()-5,1),"")</f>
        <v>46247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20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2014.8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-16286.64</v>
      </c>
      <c r="H16" s="20"/>
      <c r="I16" s="20"/>
      <c r="J16" s="20"/>
      <c r="K16" s="17">
        <v>46247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46250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10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1007.4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-15279.24</v>
      </c>
      <c r="H17" s="20"/>
      <c r="I17" s="20"/>
      <c r="J17" s="20"/>
      <c r="K17" s="17">
        <v>46250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46250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4.59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109.01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500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PETROL</v>
      </c>
      <c r="G18" s="57">
        <f>IF($H18="TOTAL",IFERROR(LOOKUP(9.99E+307,$G$6:$G17),""),IF($A18="","",G17+N(D18)-N(E18)))</f>
        <v>-14779.24</v>
      </c>
      <c r="H18" s="20"/>
      <c r="I18" s="20"/>
      <c r="J18" s="20"/>
      <c r="K18" s="17">
        <v>46250</v>
      </c>
      <c r="L18" s="17" t="str">
        <v>PETROL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46255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110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11081.4</v>
      </c>
      <c r="E19" s="61">
        <f>IF($H19="TOTAL",SUM($E$6:$E18)-SUMIF($H$6:$H18,"TOTAL",$E$6:$E18),IF($A19="",0,IF(COUNTIF($A$6:$A19,$A19)=1,SUMIFS(MasterPaid[Amount Paid],MasterPaid[Customer],$K$3,MasterPaid[Date],$A19),0)))</f>
        <v>30000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-33697.839999999997</v>
      </c>
      <c r="H19" s="20"/>
      <c r="I19" s="20"/>
      <c r="J19" s="20"/>
      <c r="K19" s="17">
        <v>46255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46256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4.59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109.01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500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PETROL</v>
      </c>
      <c r="G20" s="57">
        <f>IF($H20="TOTAL",IFERROR(LOOKUP(9.99E+307,$G$6:$G19),""),IF($A20="","",G19+N(D20)-N(E20)))</f>
        <v>-33197.839999999997</v>
      </c>
      <c r="H20" s="20"/>
      <c r="I20" s="20"/>
      <c r="J20" s="20"/>
      <c r="K20" s="17">
        <v>46256</v>
      </c>
      <c r="L20" s="17" t="str">
        <v>PETROL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46257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84.4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8502.4500000000007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-24695.389999999996</v>
      </c>
      <c r="H21" s="20"/>
      <c r="I21" s="20"/>
      <c r="J21" s="20"/>
      <c r="K21" s="17">
        <v>46257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46258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20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100.74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2014.8</v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>DIESEL</v>
      </c>
      <c r="G22" s="57">
        <f>IF($H22="TOTAL",IFERROR(LOOKUP(9.99E+307,$G$6:$G21),""),IF($A22="","",G21+N(D22)-N(E22)))</f>
        <v>-22680.589999999997</v>
      </c>
      <c r="H22" s="20"/>
      <c r="I22" s="20"/>
      <c r="J22" s="20"/>
      <c r="K22" s="17">
        <v>46258</v>
      </c>
      <c r="L22" s="17" t="str">
        <v>DIESEL</v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46259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216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100.74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21759.84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-920.74999999999636</v>
      </c>
      <c r="H23" s="20"/>
      <c r="I23" s="20"/>
      <c r="J23" s="20"/>
      <c r="K23" s="17">
        <v>46259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46260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44.82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4514.8</v>
      </c>
      <c r="E24" s="61">
        <f>IF($H24="TOTAL",SUM($E$6:$E23)-SUMIF($H$6:$H23,"TOTAL",$E$6:$E23),IF($A24="",0,IF(COUNTIF($A$6:$A24,$A24)=1,SUMIFS(MasterPaid[Amount Paid],MasterPaid[Customer],$K$3,MasterPaid[Date],$A24),0)))</f>
        <v>20000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-16405.949999999997</v>
      </c>
      <c r="H24" s="20"/>
      <c r="I24" s="20"/>
      <c r="J24" s="20"/>
      <c r="K24" s="17">
        <v>46260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cm="1">
        <f t="array" ref="A25">IFERROR(INDEX(_xlfn.ANCHORARRAY($K$6),ROW()-5,1),"")</f>
        <v>46260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9.17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109.01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1000</v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PETROL</v>
      </c>
      <c r="G25" s="57">
        <f>IF($H25="TOTAL",IFERROR(LOOKUP(9.99E+307,$G$6:$G24),""),IF($A25="","",G24+N(D25)-N(E25)))</f>
        <v>-15405.949999999997</v>
      </c>
      <c r="H25" s="20"/>
      <c r="I25" s="20"/>
      <c r="J25" s="20"/>
      <c r="K25" s="17">
        <v>46260</v>
      </c>
      <c r="L25" s="17" t="str">
        <v>PETROL</v>
      </c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cm="1">
        <f t="array" ref="A26">IFERROR(INDEX(_xlfn.ANCHORARRAY($K$6),ROW()-5,1),"")</f>
        <v>46261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136.4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13740.93</v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-1665.0199999999968</v>
      </c>
      <c r="H26" s="20"/>
      <c r="I26" s="20"/>
      <c r="J26" s="20"/>
      <c r="K26" s="17">
        <v>46261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cm="1">
        <f t="array" ref="A27">IFERROR(INDEX(_xlfn.ANCHORARRAY($K$6),ROW()-5,1),"")</f>
        <v>46262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20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100.74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2014.8</v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>DIESEL</v>
      </c>
      <c r="G27" s="57">
        <f>IF($H27="TOTAL",IFERROR(LOOKUP(9.99E+307,$G$6:$G26),""),IF($A27="","",G26+N(D27)-N(E27)))</f>
        <v>349.78000000000316</v>
      </c>
      <c r="H27" s="20"/>
      <c r="I27" s="20"/>
      <c r="J27" s="20"/>
      <c r="K27" s="17">
        <v>46262</v>
      </c>
      <c r="L27" s="17" t="str">
        <v>DIESEL</v>
      </c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31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80"/>
      <c r="R43" s="181"/>
      <c r="S43" s="182"/>
      <c r="T43" s="182"/>
      <c r="U43" s="182"/>
      <c r="V43" s="183"/>
      <c r="W43" s="185"/>
      <c r="X43" s="182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80"/>
      <c r="R47" s="181"/>
      <c r="S47" s="182"/>
      <c r="T47" s="182"/>
      <c r="U47" s="182"/>
      <c r="V47" s="183"/>
      <c r="W47" s="185"/>
      <c r="X47" s="182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80"/>
      <c r="R48" s="181"/>
      <c r="S48" s="182"/>
      <c r="T48" s="182"/>
      <c r="U48" s="182"/>
      <c r="V48" s="183"/>
      <c r="W48" s="185"/>
      <c r="X48" s="182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80"/>
      <c r="R49" s="181"/>
      <c r="S49" s="182"/>
      <c r="T49" s="182"/>
      <c r="U49" s="182"/>
      <c r="V49" s="183"/>
      <c r="W49" s="185"/>
      <c r="X49" s="182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80"/>
      <c r="R59" s="181"/>
      <c r="S59" s="182"/>
      <c r="T59" s="182"/>
      <c r="U59" s="182"/>
      <c r="V59" s="183"/>
      <c r="W59" s="185"/>
      <c r="X59" s="182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80"/>
      <c r="R60" s="181"/>
      <c r="S60" s="182"/>
      <c r="T60" s="182"/>
      <c r="U60" s="182"/>
      <c r="V60" s="183"/>
      <c r="W60" s="185"/>
      <c r="X60" s="182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201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201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201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201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201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80"/>
      <c r="R85" s="180"/>
      <c r="S85" s="180"/>
      <c r="T85" s="180"/>
      <c r="U85" s="180"/>
      <c r="V85" s="180"/>
      <c r="W85" s="202"/>
      <c r="X85" s="180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ht="23" x14ac:dyDescent="0.25">
      <c r="A87" s="68"/>
      <c r="B87" s="40"/>
      <c r="C87" s="36"/>
      <c r="D87" s="36"/>
      <c r="E87" s="37"/>
      <c r="F87" s="38"/>
      <c r="G87" s="39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ht="23" x14ac:dyDescent="0.25">
      <c r="A88" s="68"/>
      <c r="B88" s="40"/>
      <c r="C88" s="36"/>
      <c r="D88" s="36"/>
      <c r="E88" s="37"/>
      <c r="F88" s="38"/>
      <c r="G88" s="39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ht="23" x14ac:dyDescent="0.25">
      <c r="A89" s="68"/>
      <c r="B89" s="40"/>
      <c r="C89" s="36"/>
      <c r="D89" s="36"/>
      <c r="E89" s="37"/>
      <c r="F89" s="38"/>
      <c r="G89" s="39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ht="23" x14ac:dyDescent="0.25">
      <c r="A90" s="68"/>
      <c r="B90" s="40"/>
      <c r="C90" s="36"/>
      <c r="D90" s="36"/>
      <c r="E90" s="37"/>
      <c r="F90" s="38"/>
      <c r="G90" s="39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</row>
    <row r="91" spans="1:24" ht="23" x14ac:dyDescent="0.25">
      <c r="A91" s="71" t="str" cm="1">
        <f t="array" ref="A91">IFERROR(INDEX(_xlfn.ANCHORARRAY($K$34),ROW()-33,1),"")</f>
        <v/>
      </c>
      <c r="B91" s="60" t="str">
        <f>IF($A91="","",IF($F91="DIESEL",SUMIFS(Table1[Quantity],Table1[Customer],$K$32,Table1[Date],$A91),IF($F91="PETROL",SUMIFS(Table14[Quantity],Table14[Customer],$K$32,Table14[Date],$A91),IF($F91="XtraGreen",SUMIFS(Table146[Quantity],Table146[Company],$K$32,Table146[Date],$A91),""))))</f>
        <v/>
      </c>
      <c r="C91" s="72" t="str">
        <f>IF($A91="","",IF($F91="DIESEL",AVERAGEIFS(Table1[RSP],Table1[Customer],$K$32,Table1[Date],$A91),IF($F91="PETROL",AVERAGEIFS(Table14[RSP],Table14[Customer],$K$32,Table14[Date],$A91),IF($F91="XtraGreen",AVERAGEIFS(Table146[RSP],Table146[Company],$K$32,Table146[Date],$A91),IFERROR($D91/$B91,"")))))</f>
        <v/>
      </c>
      <c r="D91" s="72" t="str">
        <f>IF($A91="","",IF($F91="DIESEL",SUMIFS(Table1[Amount],Table1[Customer],$K$32,Table1[Date],$A91),IF($F91="PETROL",SUMIFS(Table14[Amount],Table14[Customer],$K$32,Table14[Date],$A91),IF($F91="XtraGreen",SUMIFS(Table146[Amount],Table146[Company],$K$32,Table146[Date],$A91),""))))</f>
        <v/>
      </c>
      <c r="E91" s="56">
        <f>IF($A91="",0,IF(COUNTIF($A$34:$A91,$A91)=1,SUMIFS(MasterPaid[Amount Paid],MasterPaid[Customer],$K$32,MasterPaid[Date],$A91),0))</f>
        <v>0</v>
      </c>
      <c r="F91" s="73" t="str" cm="1">
        <f t="array" ref="F91">IFERROR(INDEX(_xlfn.ANCHORARRAY($K$34),ROW()-33,2),"")</f>
        <v/>
      </c>
      <c r="G91" s="57" t="str">
        <f t="shared" ref="G91:G93" si="2">IF($A91="","",G90+N(D91)-N(E91))</f>
        <v/>
      </c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</row>
    <row r="92" spans="1:24" ht="23" x14ac:dyDescent="0.25">
      <c r="A92" s="71" t="str" cm="1">
        <f t="array" ref="A92">IFERROR(INDEX(_xlfn.ANCHORARRAY($K$34),ROW()-33,1),"")</f>
        <v/>
      </c>
      <c r="B92" s="60" t="str">
        <f>IF($A92="","",IF($F92="DIESEL",SUMIFS(Table1[Quantity],Table1[Customer],$K$32,Table1[Date],$A92),IF($F92="PETROL",SUMIFS(Table14[Quantity],Table14[Customer],$K$32,Table14[Date],$A92),IF($F92="XtraGreen",SUMIFS(Table146[Quantity],Table146[Company],$K$32,Table146[Date],$A92),""))))</f>
        <v/>
      </c>
      <c r="C92" s="72" t="str">
        <f>IF($A92="","",IF($F92="DIESEL",AVERAGEIFS(Table1[RSP],Table1[Customer],$K$32,Table1[Date],$A92),IF($F92="PETROL",AVERAGEIFS(Table14[RSP],Table14[Customer],$K$32,Table14[Date],$A92),IF($F92="XtraGreen",AVERAGEIFS(Table146[RSP],Table146[Company],$K$32,Table146[Date],$A92),IFERROR($D92/$B92,"")))))</f>
        <v/>
      </c>
      <c r="D92" s="72" t="str">
        <f>IF($A92="","",IF($F92="DIESEL",SUMIFS(Table1[Amount],Table1[Customer],$K$32,Table1[Date],$A92),IF($F92="PETROL",SUMIFS(Table14[Amount],Table14[Customer],$K$32,Table14[Date],$A92),IF($F92="XtraGreen",SUMIFS(Table146[Amount],Table146[Company],$K$32,Table146[Date],$A92),""))))</f>
        <v/>
      </c>
      <c r="E92" s="56">
        <f>IF($A92="",0,IF(COUNTIF($A$34:$A92,$A92)=1,SUMIFS(MasterPaid[Amount Paid],MasterPaid[Customer],$K$32,MasterPaid[Date],$A92),0))</f>
        <v>0</v>
      </c>
      <c r="F92" s="73" t="str" cm="1">
        <f t="array" ref="F92">IFERROR(INDEX(_xlfn.ANCHORARRAY($K$34),ROW()-33,2),"")</f>
        <v/>
      </c>
      <c r="G92" s="57" t="str">
        <f t="shared" si="2"/>
        <v/>
      </c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</row>
    <row r="93" spans="1:24" ht="23" x14ac:dyDescent="0.25">
      <c r="A93" s="71" t="str" cm="1">
        <f t="array" ref="A93">IFERROR(INDEX(_xlfn.ANCHORARRAY($K$34),ROW()-33,1),"")</f>
        <v/>
      </c>
      <c r="B93" s="60" t="str">
        <f>IF($A93="","",IF($F93="DIESEL",SUMIFS(Table1[Quantity],Table1[Customer],$K$32,Table1[Date],$A93),IF($F93="PETROL",SUMIFS(Table14[Quantity],Table14[Customer],$K$32,Table14[Date],$A93),IF($F93="XtraGreen",SUMIFS(Table146[Quantity],Table146[Company],$K$32,Table146[Date],$A93),""))))</f>
        <v/>
      </c>
      <c r="C93" s="72" t="str">
        <f>IF($A93="","",IF($F93="DIESEL",AVERAGEIFS(Table1[RSP],Table1[Customer],$K$32,Table1[Date],$A93),IF($F93="PETROL",AVERAGEIFS(Table14[RSP],Table14[Customer],$K$32,Table14[Date],$A93),IF($F93="XtraGreen",AVERAGEIFS(Table146[RSP],Table146[Company],$K$32,Table146[Date],$A93),IFERROR($D93/$B93,"")))))</f>
        <v/>
      </c>
      <c r="D93" s="72" t="str">
        <f>IF($A93="","",IF($F93="DIESEL",SUMIFS(Table1[Amount],Table1[Customer],$K$32,Table1[Date],$A93),IF($F93="PETROL",SUMIFS(Table14[Amount],Table14[Customer],$K$32,Table14[Date],$A93),IF($F93="XtraGreen",SUMIFS(Table146[Amount],Table146[Company],$K$32,Table146[Date],$A93),""))))</f>
        <v/>
      </c>
      <c r="E93" s="56">
        <f>IF($A93="",0,IF(COUNTIF($A$34:$A93,$A93)=1,SUMIFS(MasterPaid[Amount Paid],MasterPaid[Customer],$K$32,MasterPaid[Date],$A93),0))</f>
        <v>0</v>
      </c>
      <c r="F93" s="73" t="str" cm="1">
        <f t="array" ref="F93">IFERROR(INDEX(_xlfn.ANCHORARRAY($K$34),ROW()-33,2),"")</f>
        <v/>
      </c>
      <c r="G93" s="57" t="str">
        <f t="shared" si="2"/>
        <v/>
      </c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910" priority="14">
      <formula>AND($A6&lt;&gt;"",$A6=$A5)</formula>
    </cfRule>
  </conditionalFormatting>
  <conditionalFormatting sqref="A6:A85">
    <cfRule type="expression" dxfId="1909" priority="10">
      <formula>$A6=$A5</formula>
    </cfRule>
  </conditionalFormatting>
  <conditionalFormatting sqref="B5:D92">
    <cfRule type="expression" dxfId="1908" priority="3">
      <formula>$F5="PETROL"</formula>
    </cfRule>
  </conditionalFormatting>
  <conditionalFormatting sqref="B5:D95">
    <cfRule type="expression" dxfId="1907" priority="5">
      <formula>AND(ISNUMBER(B5),MOD(B5,1)&lt;&gt;0)</formula>
    </cfRule>
  </conditionalFormatting>
  <conditionalFormatting sqref="B7:G60">
    <cfRule type="expression" dxfId="1906" priority="13">
      <formula>$H7="TOTAL"</formula>
    </cfRule>
  </conditionalFormatting>
  <conditionalFormatting sqref="E5:E95">
    <cfRule type="expression" dxfId="1905" priority="8">
      <formula>AND(ISNUMBER(E5),MOD(E5,1)&lt;&gt;0)</formula>
    </cfRule>
  </conditionalFormatting>
  <conditionalFormatting sqref="F5:F92">
    <cfRule type="expression" dxfId="1904" priority="4">
      <formula>$F5="PETROL"</formula>
    </cfRule>
  </conditionalFormatting>
  <conditionalFormatting sqref="G5:G95">
    <cfRule type="expression" dxfId="1903" priority="9">
      <formula>AND(ISNUMBER(G5),MOD(G5,1)&lt;&gt;0)</formula>
    </cfRule>
  </conditionalFormatting>
  <conditionalFormatting sqref="R13:R94">
    <cfRule type="expression" dxfId="1902" priority="11">
      <formula>AND(R13&lt;&gt;"",R13=R12)</formula>
    </cfRule>
  </conditionalFormatting>
  <conditionalFormatting sqref="R13:X94">
    <cfRule type="expression" dxfId="1901" priority="12">
      <formula>$X13="Petrol"</formula>
    </cfRule>
  </conditionalFormatting>
  <hyperlinks>
    <hyperlink ref="K1" location="Index!A1" display="→ Index" xr:uid="{C6E87F91-6FB8-8D40-ABC1-E2683DF9C7B0}"/>
  </hyperlinks>
  <printOptions horizontalCentered="1"/>
  <pageMargins left="0.25" right="0.25" top="0.25" bottom="1.35" header="0" footer="0.5"/>
  <pageSetup paperSize="9" scale="98" orientation="portrait" r:id="rId1"/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A386-B78B-9D4A-9178-3E8A7E7D7CBA}">
  <sheetPr codeName="Sheet6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83203125" customWidth="1"/>
    <col min="3" max="3" width="9.83203125" customWidth="1"/>
    <col min="4" max="4" width="17.83203125" customWidth="1"/>
    <col min="5" max="5" width="16.83203125" customWidth="1"/>
    <col min="6" max="6" width="14.33203125" customWidth="1"/>
    <col min="7" max="7" width="20.1640625" customWidth="1"/>
    <col min="8" max="8" width="31" customWidth="1"/>
    <col min="9" max="9" width="18.33203125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2.33203125" customWidth="1"/>
    <col min="22" max="22" width="11.6640625" customWidth="1"/>
    <col min="23" max="23" width="15.1640625" customWidth="1"/>
    <col min="24" max="24" width="13.83203125" customWidth="1"/>
  </cols>
  <sheetData>
    <row r="1" spans="1:24" ht="32" customHeight="1" x14ac:dyDescent="0.2">
      <c r="A1" s="521" t="s">
        <v>152</v>
      </c>
      <c r="B1" s="522"/>
      <c r="C1" s="522"/>
      <c r="D1" s="522"/>
      <c r="E1" s="522"/>
      <c r="F1" s="522"/>
      <c r="G1" s="523"/>
      <c r="H1" s="74" t="s">
        <v>1186</v>
      </c>
      <c r="I1" s="76">
        <f>SUM(D6:D38)</f>
        <v>3137810.85</v>
      </c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5">
      <c r="A2" s="524" t="s">
        <v>1184</v>
      </c>
      <c r="B2" s="525"/>
      <c r="C2" s="525"/>
      <c r="D2" s="525"/>
      <c r="E2" s="525"/>
      <c r="F2" s="525"/>
      <c r="G2" s="526"/>
      <c r="H2" s="74" t="s">
        <v>1187</v>
      </c>
      <c r="I2" s="77">
        <f>I1-I5</f>
        <v>79363.39000000013</v>
      </c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3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74" t="s">
        <v>1188</v>
      </c>
      <c r="I3" s="78" t="str">
        <f>_xlfn.TEXTJOIN("", TRUE, TRUNC(I2/92.74,2), " LTR")</f>
        <v>855.76 LTR</v>
      </c>
      <c r="J3" s="17"/>
      <c r="K3" s="157" t="s">
        <v>152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Paid],MasterPaid[Customer],$K$24,MasterPaid[Date],$A5)</f>
        <v>0</v>
      </c>
      <c r="F5" s="75"/>
      <c r="G5" s="57">
        <f>IFERROR(INDEX(Outstanding!$N$4:$Z$69,MATCH($K$3,Outstanding!$M$4:$M$66,0),MATCH($A$5,Outstanding!$N$3:$Z$3,0)),0)</f>
        <v>2699021.37</v>
      </c>
      <c r="H5" s="20"/>
      <c r="I5" s="58">
        <f>G5+SUM(D5:D49)-SUM(E5:E49)</f>
        <v>3058447.46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995.63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100300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2799321.37</v>
      </c>
      <c r="H6" s="20"/>
      <c r="I6" s="20"/>
      <c r="J6" s="20"/>
      <c r="K6" cm="1">
        <f t="array" ref="K6:L41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71" cm="1">
        <f t="array" ref="A7">IFERROR(INDEX(_xlfn.ANCHORARRAY($K$6),ROW()-5,1),"")</f>
        <v>46236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2345.58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236293.98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3035615.35</v>
      </c>
      <c r="H7" s="20"/>
      <c r="I7" s="20"/>
      <c r="J7" s="20"/>
      <c r="K7" s="17">
        <v>46236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customHeight="1" x14ac:dyDescent="0.25">
      <c r="A8" s="71" cm="1">
        <f t="array" ref="A8">IFERROR(INDEX(_xlfn.ANCHORARRAY($K$6),ROW()-5,1),"")</f>
        <v>46236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2.75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109.01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300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PETROL</v>
      </c>
      <c r="G8" s="57">
        <f>IF($H8="TOTAL",IFERROR(LOOKUP(9.99E+307,$G$6:$G7),""),IF($A8="","",G7+N(D8)-N(E8)))</f>
        <v>3035915.35</v>
      </c>
      <c r="H8" s="20"/>
      <c r="I8" s="20"/>
      <c r="J8" s="20"/>
      <c r="K8" s="17">
        <v>46236</v>
      </c>
      <c r="L8" s="17" t="str">
        <v>PETROL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46237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1770.73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178383.12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3214298.47</v>
      </c>
      <c r="H9" s="20"/>
      <c r="I9" s="20"/>
      <c r="J9" s="20"/>
      <c r="K9" s="17">
        <v>46237</v>
      </c>
      <c r="L9" s="17" t="str">
        <v>DIESEL</v>
      </c>
      <c r="M9" s="17"/>
      <c r="N9" s="17"/>
      <c r="O9" s="17"/>
      <c r="P9" s="17"/>
      <c r="Q9" s="63" t="str">
        <f>K3</f>
        <v>Sudarshan Minerals &amp; Logistics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46238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1759.05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177206.8</v>
      </c>
      <c r="E10" s="61">
        <f>IF($H10="TOTAL",SUM($E$6:$E9)-SUMIF($H$6:$H9,"TOTAL",$E$6:$E9),IF($A10="",0,IF(COUNTIF($A$6:$A10,$A10)=1,SUMIFS(MasterPaid[Amount Paid],MasterPaid[Customer],$K$3,MasterPaid[Date],$A10),0)))</f>
        <v>500000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2891505.27</v>
      </c>
      <c r="H10" s="20"/>
      <c r="I10" s="20"/>
      <c r="J10" s="20"/>
      <c r="K10" s="17">
        <v>46238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customHeight="1" x14ac:dyDescent="0.25">
      <c r="A11" s="71" cm="1">
        <f t="array" ref="A11">IFERROR(INDEX(_xlfn.ANCHORARRAY($K$6),ROW()-5,1),"")</f>
        <v>46239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2222.06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223850.31</v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3115355.58</v>
      </c>
      <c r="H11" s="20"/>
      <c r="I11" s="20"/>
      <c r="J11" s="20"/>
      <c r="K11" s="17">
        <v>46239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GSTIN:21AFRPJ1601E1Z2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46240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1275.46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128489.68</v>
      </c>
      <c r="E12" s="61">
        <f>IF($H12="TOTAL",SUM($E$6:$E11)-SUMIF($H$6:$H11,"TOTAL",$E$6:$E11),IF($A12="",0,IF(COUNTIF($A$6:$A12,$A12)=1,SUMIFS(MasterPaid[Amount Paid],MasterPaid[Customer],$K$3,MasterPaid[Date],$A12),0)))</f>
        <v>500000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2743845.2600000002</v>
      </c>
      <c r="H12" s="20"/>
      <c r="I12" s="17"/>
      <c r="J12" s="17"/>
      <c r="K12" s="17">
        <v>46240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46241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1471.97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148285.88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2892131.14</v>
      </c>
      <c r="H13" s="20"/>
      <c r="I13" s="17"/>
      <c r="J13" s="17"/>
      <c r="K13" s="17">
        <v>46241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155" t="str">
        <f ca="1"/>
        <v>2526</v>
      </c>
      <c r="T13" s="155" t="str">
        <f ca="1"/>
        <v/>
      </c>
      <c r="U13" s="155">
        <f ca="1"/>
        <v>1504.86</v>
      </c>
      <c r="V13" s="155">
        <f ca="1"/>
        <v>100.74</v>
      </c>
      <c r="W13" s="200">
        <f ca="1"/>
        <v>151599.9</v>
      </c>
      <c r="X13" s="155" t="str">
        <f ca="1"/>
        <v>Diesel</v>
      </c>
    </row>
    <row r="14" spans="1:24" ht="21.75" x14ac:dyDescent="0.25">
      <c r="A14" s="71" cm="1">
        <f t="array" ref="A14">IFERROR(INDEX(_xlfn.ANCHORARRAY($K$6),ROW()-5,1),"")</f>
        <v>46241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2.75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109.01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300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PETROL</v>
      </c>
      <c r="G14" s="57">
        <f>IF($H14="TOTAL",IFERROR(LOOKUP(9.99E+307,$G$6:$G13),""),IF($A14="","",G13+N(D14)-N(E14)))</f>
        <v>2892431.14</v>
      </c>
      <c r="H14" s="20"/>
      <c r="I14" s="17"/>
      <c r="J14" s="17"/>
      <c r="K14" s="17">
        <v>46241</v>
      </c>
      <c r="L14" s="17" t="str">
        <v>PETROL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46242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1446.24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145694.22</v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3038125.3600000003</v>
      </c>
      <c r="H15" s="20"/>
      <c r="I15" s="20"/>
      <c r="J15" s="20"/>
      <c r="K15" s="17">
        <v>46242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x14ac:dyDescent="0.25">
      <c r="A16" s="71" cm="1">
        <f t="array" ref="A16">IFERROR(INDEX(_xlfn.ANCHORARRAY($K$6),ROW()-5,1),"")</f>
        <v>46243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2149.63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216554.06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3254679.4200000004</v>
      </c>
      <c r="H16" s="20"/>
      <c r="I16" s="20"/>
      <c r="J16" s="20"/>
      <c r="K16" s="17">
        <v>46243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46244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1122.3599999999999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113067.04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3367746.4600000004</v>
      </c>
      <c r="H17" s="20"/>
      <c r="I17" s="20"/>
      <c r="J17" s="20"/>
      <c r="K17" s="17">
        <v>46244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customHeight="1" x14ac:dyDescent="0.25">
      <c r="A18" s="71" cm="1">
        <f t="array" ref="A18">IFERROR(INDEX(_xlfn.ANCHORARRAY($K$6),ROW()-5,1),"")</f>
        <v>46244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2.76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109.01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300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PETROL</v>
      </c>
      <c r="G18" s="57">
        <f>IF($H18="TOTAL",IFERROR(LOOKUP(9.99E+307,$G$6:$G17),""),IF($A18="","",G17+N(D18)-N(E18)))</f>
        <v>3368046.4600000004</v>
      </c>
      <c r="H18" s="20"/>
      <c r="I18" s="20"/>
      <c r="J18" s="20"/>
      <c r="K18" s="17">
        <v>46244</v>
      </c>
      <c r="L18" s="17" t="str">
        <v>PETROL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46245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1804.53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181787.86</v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3549834.3200000003</v>
      </c>
      <c r="H19" s="20"/>
      <c r="I19" s="20"/>
      <c r="J19" s="20"/>
      <c r="K19" s="17">
        <v>46245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46245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2.76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109.01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300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PETROL</v>
      </c>
      <c r="G20" s="57">
        <f>IF($H20="TOTAL",IFERROR(LOOKUP(9.99E+307,$G$6:$G19),""),IF($A20="","",G19+N(D20)-N(E20)))</f>
        <v>3550134.3200000003</v>
      </c>
      <c r="H20" s="20"/>
      <c r="I20" s="20"/>
      <c r="J20" s="20"/>
      <c r="K20" s="17">
        <v>46245</v>
      </c>
      <c r="L20" s="17" t="str">
        <v>PETROL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46246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951.34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95838.38</v>
      </c>
      <c r="E21" s="61">
        <f>IF($H21="TOTAL",SUM($E$6:$E20)-SUMIF($H$6:$H20,"TOTAL",$E$6:$E20),IF($A21="",0,IF(COUNTIF($A$6:$A21,$A21)=1,SUMIFS(MasterPaid[Amount Paid],MasterPaid[Customer],$K$3,MasterPaid[Date],$A21),0)))</f>
        <v>500000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3145972.7</v>
      </c>
      <c r="H21" s="20"/>
      <c r="I21" s="20"/>
      <c r="J21" s="20"/>
      <c r="K21" s="17">
        <v>46246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46247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489.18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100.74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49279.82</v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>DIESEL</v>
      </c>
      <c r="G22" s="57">
        <f>IF($H22="TOTAL",IFERROR(LOOKUP(9.99E+307,$G$6:$G21),""),IF($A22="","",G21+N(D22)-N(E22)))</f>
        <v>3195252.52</v>
      </c>
      <c r="H22" s="20"/>
      <c r="I22" s="20"/>
      <c r="J22" s="20"/>
      <c r="K22" s="17">
        <v>46247</v>
      </c>
      <c r="L22" s="17" t="str">
        <v>DIESEL</v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46248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1221.75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100.74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123078.78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3318331.3</v>
      </c>
      <c r="H23" s="20"/>
      <c r="I23" s="20"/>
      <c r="J23" s="20"/>
      <c r="K23" s="17">
        <v>46248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46249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1461.7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147252.88</v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3465584.1799999997</v>
      </c>
      <c r="H24" s="20"/>
      <c r="I24" s="20"/>
      <c r="J24" s="20"/>
      <c r="K24" s="31">
        <v>46249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cm="1">
        <f t="array" ref="A25">IFERROR(INDEX(_xlfn.ANCHORARRAY($K$6),ROW()-5,1),"")</f>
        <v>46249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2.75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109.01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300</v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PETROL</v>
      </c>
      <c r="G25" s="57">
        <f>IF($H25="TOTAL",IFERROR(LOOKUP(9.99E+307,$G$6:$G24),""),IF($A25="","",G24+N(D25)-N(E25)))</f>
        <v>3465884.1799999997</v>
      </c>
      <c r="H25" s="20"/>
      <c r="I25" s="20"/>
      <c r="J25" s="20"/>
      <c r="K25" s="17">
        <v>46249</v>
      </c>
      <c r="L25" s="17" t="str">
        <v>PETROL</v>
      </c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cm="1">
        <f t="array" ref="A26">IFERROR(INDEX(_xlfn.ANCHORARRAY($K$6),ROW()-5,1),"")</f>
        <v>46250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905.81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91251.7</v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3557135.88</v>
      </c>
      <c r="H26" s="20"/>
      <c r="I26" s="20"/>
      <c r="J26" s="20"/>
      <c r="K26" s="17">
        <v>46250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cm="1">
        <f t="array" ref="A27">IFERROR(INDEX(_xlfn.ANCHORARRAY($K$6),ROW()-5,1),"")</f>
        <v>46251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967.86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100.74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97501.82</v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>DIESEL</v>
      </c>
      <c r="G27" s="57">
        <f>IF($H27="TOTAL",IFERROR(LOOKUP(9.99E+307,$G$6:$G26),""),IF($A27="","",G26+N(D27)-N(E27)))</f>
        <v>3654637.6999999997</v>
      </c>
      <c r="H27" s="20"/>
      <c r="I27" s="20"/>
      <c r="J27" s="20"/>
      <c r="K27" s="17">
        <v>46251</v>
      </c>
      <c r="L27" s="17" t="str">
        <v>DIESEL</v>
      </c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cm="1">
        <f t="array" ref="A28">IFERROR(INDEX(_xlfn.ANCHORARRAY($K$6),ROW()-5,1),"")</f>
        <v>46252</v>
      </c>
      <c r="B28" s="159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>684.62</v>
      </c>
      <c r="C28" s="161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>100.74</v>
      </c>
      <c r="D28" s="159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>68968.72</v>
      </c>
      <c r="E28" s="61">
        <f>IF($H28="TOTAL",SUM($E$6:$E27)-SUMIF($H$6:$H27,"TOTAL",$E$6:$E27),IF($A28="",0,IF(COUNTIF($A$6:$A28,$A28)=1,SUMIFS(MasterPaid[Amount Paid],MasterPaid[Customer],$K$3,MasterPaid[Date],$A28),0)))</f>
        <v>500000</v>
      </c>
      <c r="F28" s="62" t="str" cm="1">
        <f t="array" ref="F28">IFERROR(INDEX(_xlfn.ANCHORARRAY($K$6),ROW()-5,2),"")</f>
        <v>DIESEL</v>
      </c>
      <c r="G28" s="57">
        <f>IF($H28="TOTAL",IFERROR(LOOKUP(9.99E+307,$G$6:$G27),""),IF($A28="","",G27+N(D28)-N(E28)))</f>
        <v>3223606.42</v>
      </c>
      <c r="H28" s="20"/>
      <c r="I28" s="20"/>
      <c r="J28" s="20"/>
      <c r="K28" s="17">
        <v>46252</v>
      </c>
      <c r="L28" s="17" t="str">
        <v>DIESEL</v>
      </c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cm="1">
        <f t="array" ref="A29">IFERROR(INDEX(_xlfn.ANCHORARRAY($K$6),ROW()-5,1),"")</f>
        <v>46253</v>
      </c>
      <c r="B29" s="159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>655.29999999999995</v>
      </c>
      <c r="C29" s="161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>100.74</v>
      </c>
      <c r="D29" s="159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>66014.7</v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>DIESEL</v>
      </c>
      <c r="G29" s="57">
        <f>IF($H29="TOTAL",IFERROR(LOOKUP(9.99E+307,$G$6:$G28),""),IF($A29="","",G28+N(D29)-N(E29)))</f>
        <v>3289621.12</v>
      </c>
      <c r="H29" s="20"/>
      <c r="I29" s="20"/>
      <c r="J29" s="20"/>
      <c r="K29" s="17">
        <v>46253</v>
      </c>
      <c r="L29" s="17" t="str">
        <v>DIESEL</v>
      </c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cm="1">
        <f t="array" ref="A30">IFERROR(INDEX(_xlfn.ANCHORARRAY($K$6),ROW()-5,1),"")</f>
        <v>46253</v>
      </c>
      <c r="B30" s="159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>2.75</v>
      </c>
      <c r="C30" s="161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>109.01</v>
      </c>
      <c r="D30" s="159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>300</v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>PETROL</v>
      </c>
      <c r="G30" s="57">
        <f>IF($H30="TOTAL",IFERROR(LOOKUP(9.99E+307,$G$6:$G29),""),IF($A30="","",G29+N(D30)-N(E30)))</f>
        <v>3289921.12</v>
      </c>
      <c r="H30" s="20"/>
      <c r="I30" s="20"/>
      <c r="J30" s="20"/>
      <c r="K30" s="17">
        <v>46253</v>
      </c>
      <c r="L30" s="17" t="str">
        <v>PETROL</v>
      </c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cm="1">
        <f t="array" ref="A31">IFERROR(INDEX(_xlfn.ANCHORARRAY($K$6),ROW()-5,1),"")</f>
        <v>46254</v>
      </c>
      <c r="B31" s="159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>178.79</v>
      </c>
      <c r="C31" s="161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>100.74</v>
      </c>
      <c r="D31" s="159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>18011.099999999999</v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>DIESEL</v>
      </c>
      <c r="G31" s="57">
        <f>IF($H31="TOTAL",IFERROR(LOOKUP(9.99E+307,$G$6:$G30),""),IF($A31="","",G30+N(D31)-N(E31)))</f>
        <v>3307932.22</v>
      </c>
      <c r="H31" s="20"/>
      <c r="I31" s="20"/>
      <c r="J31" s="20"/>
      <c r="K31" s="17">
        <v>46254</v>
      </c>
      <c r="L31" s="17" t="str">
        <v>DIESEL</v>
      </c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cm="1">
        <f t="array" ref="A32">IFERROR(INDEX(_xlfn.ANCHORARRAY($K$6),ROW()-5,1),"")</f>
        <v>46255</v>
      </c>
      <c r="B32" s="159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>360.99</v>
      </c>
      <c r="C32" s="161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>100.74</v>
      </c>
      <c r="D32" s="159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>36365.86</v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>DIESEL</v>
      </c>
      <c r="G32" s="57">
        <f>IF($H32="TOTAL",IFERROR(LOOKUP(9.99E+307,$G$6:$G31),""),IF($A32="","",G31+N(D32)-N(E32)))</f>
        <v>3344298.08</v>
      </c>
      <c r="H32" s="20"/>
      <c r="I32" s="20"/>
      <c r="J32" s="20"/>
      <c r="K32" s="17">
        <v>46255</v>
      </c>
      <c r="L32" s="17" t="str">
        <v>DIESEL</v>
      </c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cm="1">
        <f t="array" ref="A33">IFERROR(INDEX(_xlfn.ANCHORARRAY($K$6),ROW()-5,1),"")</f>
        <v>46256</v>
      </c>
      <c r="B33" s="159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>92.65</v>
      </c>
      <c r="C33" s="161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>100.74</v>
      </c>
      <c r="D33" s="159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>9333.2999999999993</v>
      </c>
      <c r="E33" s="61">
        <f>IF($H33="TOTAL",SUM($E$6:$E32)-SUMIF($H$6:$H32,"TOTAL",$E$6:$E32),IF($A33="",0,IF(COUNTIF($A$6:$A33,$A33)=1,SUMIFS(MasterPaid[Amount Paid],MasterPaid[Customer],$K$3,MasterPaid[Date],$A33),0)))</f>
        <v>500000</v>
      </c>
      <c r="F33" s="62" t="str" cm="1">
        <f t="array" ref="F33">IFERROR(INDEX(_xlfn.ANCHORARRAY($K$6),ROW()-5,2),"")</f>
        <v>DIESEL</v>
      </c>
      <c r="G33" s="57">
        <f>IF($H33="TOTAL",IFERROR(LOOKUP(9.99E+307,$G$6:$G32),""),IF($A33="","",G32+N(D33)-N(E33)))</f>
        <v>2853631.38</v>
      </c>
      <c r="H33" s="20"/>
      <c r="I33" s="20"/>
      <c r="J33" s="20"/>
      <c r="K33" s="17">
        <v>46256</v>
      </c>
      <c r="L33" s="17" t="str">
        <v>DIESEL</v>
      </c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1.75" customHeight="1" x14ac:dyDescent="0.25">
      <c r="A34" s="71" cm="1">
        <f t="array" ref="A34">IFERROR(INDEX(_xlfn.ANCHORARRAY($K$6),ROW()-5,1),"")</f>
        <v>46257</v>
      </c>
      <c r="B34" s="159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>1737.12</v>
      </c>
      <c r="C34" s="161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>100.74</v>
      </c>
      <c r="D34" s="159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>174997.38</v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>DIESEL</v>
      </c>
      <c r="G34" s="57">
        <f>IF($H34="TOTAL",IFERROR(LOOKUP(9.99E+307,$G$6:$G33),""),IF($A34="","",G33+N(D34)-N(E34)))</f>
        <v>3028628.76</v>
      </c>
      <c r="H34" s="20"/>
      <c r="I34" s="20"/>
      <c r="J34" s="20"/>
      <c r="K34" s="17">
        <v>46257</v>
      </c>
      <c r="L34" s="17" t="str">
        <v>DIESEL</v>
      </c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cm="1">
        <f t="array" ref="A35">IFERROR(INDEX(_xlfn.ANCHORARRAY($K$6),ROW()-5,1),"")</f>
        <v>46257</v>
      </c>
      <c r="B35" s="159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>2.75</v>
      </c>
      <c r="C35" s="161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>109.01</v>
      </c>
      <c r="D35" s="159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>300</v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>PETROL</v>
      </c>
      <c r="G35" s="57">
        <f>IF($H35="TOTAL",IFERROR(LOOKUP(9.99E+307,$G$6:$G34),""),IF($A35="","",G34+N(D35)-N(E35)))</f>
        <v>3028928.76</v>
      </c>
      <c r="H35" s="20"/>
      <c r="I35" s="20"/>
      <c r="J35" s="20"/>
      <c r="K35" s="17">
        <v>46257</v>
      </c>
      <c r="L35" s="17" t="str">
        <v>PETROL</v>
      </c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cm="1">
        <f t="array" ref="A36">IFERROR(INDEX(_xlfn.ANCHORARRAY($K$6),ROW()-5,1),"")</f>
        <v>46258</v>
      </c>
      <c r="B36" s="159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>1142.25</v>
      </c>
      <c r="C36" s="161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>100.74</v>
      </c>
      <c r="D36" s="159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>115069.9</v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>DIESEL</v>
      </c>
      <c r="G36" s="57">
        <f>IF($H36="TOTAL",IFERROR(LOOKUP(9.99E+307,$G$6:$G35),""),IF($A36="","",G35+N(D36)-N(E36)))</f>
        <v>3143998.6599999997</v>
      </c>
      <c r="H36" s="20"/>
      <c r="I36" s="20"/>
      <c r="J36" s="20"/>
      <c r="K36" s="17">
        <v>46258</v>
      </c>
      <c r="L36" s="17" t="str">
        <v>DIESEL</v>
      </c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cm="1">
        <f t="array" ref="A37">IFERROR(INDEX(_xlfn.ANCHORARRAY($K$6),ROW()-5,1),"")</f>
        <v>46259</v>
      </c>
      <c r="B37" s="159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>911.48</v>
      </c>
      <c r="C37" s="161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>100.74</v>
      </c>
      <c r="D37" s="159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>91822.56</v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>DIESEL</v>
      </c>
      <c r="G37" s="57">
        <f>IF($H37="TOTAL",IFERROR(LOOKUP(9.99E+307,$G$6:$G36),""),IF($A37="","",G36+N(D37)-N(E37)))</f>
        <v>3235821.2199999997</v>
      </c>
      <c r="H37" s="20"/>
      <c r="I37" s="20"/>
      <c r="J37" s="20"/>
      <c r="K37" s="17">
        <v>46259</v>
      </c>
      <c r="L37" s="17" t="str">
        <v>DIESEL</v>
      </c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cm="1">
        <f t="array" ref="A38">IFERROR(INDEX(_xlfn.ANCHORARRAY($K$6),ROW()-5,1),"")</f>
        <v>46260</v>
      </c>
      <c r="B38" s="159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>1002.69</v>
      </c>
      <c r="C38" s="161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>100.74</v>
      </c>
      <c r="D38" s="159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>101011</v>
      </c>
      <c r="E38" s="61">
        <f>IF($H38="TOTAL",SUM($E$6:$E37)-SUMIF($H$6:$H37,"TOTAL",$E$6:$E37),IF($A38="",0,IF(COUNTIF($A$6:$A38,$A38)=1,SUMIFS(MasterPaid[Amount Paid],MasterPaid[Customer],$K$3,MasterPaid[Date],$A38),0)))</f>
        <v>500000</v>
      </c>
      <c r="F38" s="62" t="str" cm="1">
        <f t="array" ref="F38">IFERROR(INDEX(_xlfn.ANCHORARRAY($K$6),ROW()-5,2),"")</f>
        <v>DIESEL</v>
      </c>
      <c r="G38" s="57">
        <f>IF($H38="TOTAL",IFERROR(LOOKUP(9.99E+307,$G$6:$G37),""),IF($A38="","",G37+N(D38)-N(E38)))</f>
        <v>2836832.2199999997</v>
      </c>
      <c r="H38" s="20"/>
      <c r="I38" s="20"/>
      <c r="J38" s="20"/>
      <c r="K38" s="17">
        <v>46260</v>
      </c>
      <c r="L38" s="17" t="str">
        <v>DIESEL</v>
      </c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cm="1">
        <f t="array" ref="A39">IFERROR(INDEX(_xlfn.ANCHORARRAY($K$6),ROW()-5,1),"")</f>
        <v>46260</v>
      </c>
      <c r="B39" s="159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>2.75</v>
      </c>
      <c r="C39" s="161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>109.01</v>
      </c>
      <c r="D39" s="159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>300</v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>PETROL</v>
      </c>
      <c r="G39" s="57">
        <f>IF($H39="TOTAL",IFERROR(LOOKUP(9.99E+307,$G$6:$G38),""),IF($A39="","",G38+N(D39)-N(E39)))</f>
        <v>2837132.2199999997</v>
      </c>
      <c r="H39" s="20"/>
      <c r="I39" s="20"/>
      <c r="J39" s="20"/>
      <c r="K39" s="17">
        <v>46260</v>
      </c>
      <c r="L39" s="17" t="str">
        <v>PETROL</v>
      </c>
      <c r="M39" s="17"/>
      <c r="N39" s="17"/>
      <c r="O39" s="17"/>
      <c r="P39" s="17"/>
      <c r="Q39" s="180"/>
      <c r="R39" s="181"/>
      <c r="S39" s="182"/>
      <c r="T39" s="182"/>
      <c r="U39" s="182"/>
      <c r="V39" s="183"/>
      <c r="W39" s="185"/>
      <c r="X39" s="182"/>
    </row>
    <row r="40" spans="1:24" ht="23" x14ac:dyDescent="0.25">
      <c r="A40" s="71" cm="1">
        <f t="array" ref="A40">IFERROR(INDEX(_xlfn.ANCHORARRAY($K$6),ROW()-5,1),"")</f>
        <v>46261</v>
      </c>
      <c r="B40" s="159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>692.03</v>
      </c>
      <c r="C40" s="161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>100.74</v>
      </c>
      <c r="D40" s="159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>69715.34</v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>DIESEL</v>
      </c>
      <c r="G40" s="57">
        <f>IF($H40="TOTAL",IFERROR(LOOKUP(9.99E+307,$G$6:$G39),""),IF($A40="","",G39+N(D40)-N(E40)))</f>
        <v>2906847.5599999996</v>
      </c>
      <c r="H40" s="20"/>
      <c r="I40" s="20"/>
      <c r="J40" s="20"/>
      <c r="K40" s="17">
        <v>46261</v>
      </c>
      <c r="L40" s="17" t="str">
        <v>DIESEL</v>
      </c>
      <c r="M40" s="17"/>
      <c r="N40" s="17"/>
      <c r="O40" s="17"/>
      <c r="P40" s="17"/>
      <c r="Q40" s="180"/>
      <c r="R40" s="181"/>
      <c r="S40" s="182"/>
      <c r="T40" s="182"/>
      <c r="U40" s="182"/>
      <c r="V40" s="183"/>
      <c r="W40" s="185"/>
      <c r="X40" s="182"/>
    </row>
    <row r="41" spans="1:24" ht="23" x14ac:dyDescent="0.25">
      <c r="A41" s="71" cm="1">
        <f t="array" ref="A41">IFERROR(INDEX(_xlfn.ANCHORARRAY($K$6),ROW()-5,1),"")</f>
        <v>46262</v>
      </c>
      <c r="B41" s="159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>1504.86</v>
      </c>
      <c r="C41" s="161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>100.74</v>
      </c>
      <c r="D41" s="159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>151599.9</v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>DIESEL</v>
      </c>
      <c r="G41" s="57">
        <f>IF($H41="TOTAL",IFERROR(LOOKUP(9.99E+307,$G$6:$G40),""),IF($A41="","",G40+N(D41)-N(E41)))</f>
        <v>3058447.4599999995</v>
      </c>
      <c r="H41" s="20"/>
      <c r="I41" s="20"/>
      <c r="J41" s="20"/>
      <c r="K41" s="17">
        <v>46262</v>
      </c>
      <c r="L41" s="17" t="str">
        <v>DIESEL</v>
      </c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80"/>
      <c r="R43" s="181"/>
      <c r="S43" s="182"/>
      <c r="T43" s="182"/>
      <c r="U43" s="182"/>
      <c r="V43" s="183"/>
      <c r="W43" s="185"/>
      <c r="X43" s="182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80"/>
      <c r="R46" s="181"/>
      <c r="S46" s="182"/>
      <c r="T46" s="182"/>
      <c r="U46" s="182"/>
      <c r="V46" s="183"/>
      <c r="W46" s="185"/>
      <c r="X46" s="182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80"/>
      <c r="R50" s="181"/>
      <c r="S50" s="182"/>
      <c r="T50" s="182"/>
      <c r="U50" s="182"/>
      <c r="V50" s="183"/>
      <c r="W50" s="185"/>
      <c r="X50" s="182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80"/>
      <c r="R52" s="181"/>
      <c r="S52" s="182"/>
      <c r="T52" s="182"/>
      <c r="U52" s="182"/>
      <c r="V52" s="183"/>
      <c r="W52" s="185"/>
      <c r="X52" s="182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80"/>
      <c r="R79" s="181"/>
      <c r="S79" s="182"/>
      <c r="T79" s="182"/>
      <c r="U79" s="182"/>
      <c r="V79" s="183"/>
      <c r="W79" s="185"/>
      <c r="X79" s="182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900" priority="16">
      <formula>AND($A6&lt;&gt;"",$A6=$A5)</formula>
    </cfRule>
  </conditionalFormatting>
  <conditionalFormatting sqref="A6:A85">
    <cfRule type="expression" dxfId="1899" priority="12">
      <formula>$A6=$A5</formula>
    </cfRule>
  </conditionalFormatting>
  <conditionalFormatting sqref="B5:D92">
    <cfRule type="expression" dxfId="1898" priority="5">
      <formula>$F5="PETROL"</formula>
    </cfRule>
  </conditionalFormatting>
  <conditionalFormatting sqref="B5:D95">
    <cfRule type="expression" dxfId="1897" priority="7">
      <formula>AND(ISNUMBER(B5),MOD(B5,1)&lt;&gt;0)</formula>
    </cfRule>
  </conditionalFormatting>
  <conditionalFormatting sqref="B7:G60">
    <cfRule type="expression" dxfId="1896" priority="15">
      <formula>$H7="TOTAL"</formula>
    </cfRule>
  </conditionalFormatting>
  <conditionalFormatting sqref="E5:E95">
    <cfRule type="expression" dxfId="1895" priority="10">
      <formula>AND(ISNUMBER(E5),MOD(E5,1)&lt;&gt;0)</formula>
    </cfRule>
  </conditionalFormatting>
  <conditionalFormatting sqref="F5:F92">
    <cfRule type="expression" dxfId="1894" priority="6">
      <formula>$F5="PETROL"</formula>
    </cfRule>
  </conditionalFormatting>
  <conditionalFormatting sqref="G5:G95">
    <cfRule type="expression" dxfId="1893" priority="11">
      <formula>AND(ISNUMBER(G5),MOD(G5,1)&lt;&gt;0)</formula>
    </cfRule>
  </conditionalFormatting>
  <conditionalFormatting sqref="I2">
    <cfRule type="expression" dxfId="1892" priority="4">
      <formula>I2&lt;0</formula>
    </cfRule>
  </conditionalFormatting>
  <conditionalFormatting sqref="I3">
    <cfRule type="expression" dxfId="1891" priority="3">
      <formula>I2&lt;0</formula>
    </cfRule>
  </conditionalFormatting>
  <conditionalFormatting sqref="R13:R94">
    <cfRule type="expression" dxfId="1890" priority="13">
      <formula>AND(R13&lt;&gt;"",R13=R12)</formula>
    </cfRule>
  </conditionalFormatting>
  <conditionalFormatting sqref="R13:X94">
    <cfRule type="expression" dxfId="1889" priority="14">
      <formula>$X13="Petrol"</formula>
    </cfRule>
  </conditionalFormatting>
  <hyperlinks>
    <hyperlink ref="K1" location="Index!A1" display="→ Index" xr:uid="{98BABA78-28E5-E04E-95B4-0987D43AAEF2}"/>
  </hyperlinks>
  <printOptions horizontalCentered="1"/>
  <pageMargins left="0.25" right="0.25" top="0.25" bottom="1.35" header="0" footer="0.5"/>
  <pageSetup paperSize="9" scale="98" orientation="portrait" r:id="rId1"/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BC4-8217-D84B-B68F-4FE4497353E3}">
  <sheetPr codeName="Sheet7">
    <pageSetUpPr fitToPage="1"/>
  </sheetPr>
  <dimension ref="A1:X95"/>
  <sheetViews>
    <sheetView topLeftCell="E1" zoomScale="130" zoomScaleNormal="13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6640625" customWidth="1"/>
    <col min="3" max="3" width="9.83203125" customWidth="1"/>
    <col min="4" max="4" width="18.5" customWidth="1"/>
    <col min="5" max="5" width="18" customWidth="1"/>
    <col min="6" max="6" width="14.33203125" customWidth="1"/>
    <col min="7" max="7" width="20.1640625" customWidth="1"/>
    <col min="8" max="8" width="31" customWidth="1"/>
    <col min="9" max="9" width="18.33203125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2.1640625" customWidth="1"/>
    <col min="22" max="22" width="11.6640625" customWidth="1"/>
    <col min="23" max="23" width="14" customWidth="1"/>
    <col min="24" max="24" width="13.83203125" customWidth="1"/>
  </cols>
  <sheetData>
    <row r="1" spans="1:24" ht="32" customHeight="1" x14ac:dyDescent="0.2">
      <c r="A1" s="521" t="s">
        <v>256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256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Paid],MasterPaid[Customer],$K$24,MasterPaid[Date],$A5)</f>
        <v>0</v>
      </c>
      <c r="F5" s="75"/>
      <c r="G5" s="57">
        <f>IFERROR(INDEX(Outstanding!$N$4:$Z$69,MATCH($K$3,Outstanding!$M$4:$M$66,0),MATCH($A$5,Outstanding!$N$3:$Z$3,0)),0)</f>
        <v>0</v>
      </c>
      <c r="H5" s="20"/>
      <c r="I5" s="79">
        <f>G5+SUM(D5:D49)-SUM(E5:E49)</f>
        <v>0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t="str" cm="1">
        <f t="array" ref="A6">IFERROR(INDEX(_xlfn.ANCHORARRAY($K$6),ROW()-5,1),"")</f>
        <v/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 t="str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/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/>
      </c>
      <c r="G6" s="57" t="str">
        <f>IF($H6="TOTAL",IFERROR(LOOKUP(9.99E+307,$G$5:$G5),""),IF($A6="","",G5+N(D6)-N(E6)))</f>
        <v/>
      </c>
      <c r="H6" s="20"/>
      <c r="I6" s="20"/>
      <c r="J6" s="20"/>
      <c r="K6" t="str" cm="1">
        <f t="array" ref="K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customHeight="1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Rsa Infraproject Private Limited</v>
      </c>
      <c r="R9" s="44"/>
      <c r="S9" s="44"/>
      <c r="T9" s="44"/>
      <c r="U9" s="45"/>
      <c r="V9" s="45"/>
      <c r="W9" s="46" t="s">
        <v>1282</v>
      </c>
      <c r="X9" s="47">
        <f ca="1">EOMONTH(TODAY(),0)</f>
        <v>46265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customHeight="1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GSTIN:21AALCR1617C1ZX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17"/>
      <c r="J12" s="17"/>
      <c r="K12" s="17"/>
      <c r="L12" s="17"/>
      <c r="M12" s="17"/>
      <c r="N12" s="17"/>
      <c r="O12" s="17"/>
      <c r="P12" s="17"/>
      <c r="Q12" s="17"/>
      <c r="R12" s="372" t="s">
        <v>6</v>
      </c>
      <c r="S12" s="372" t="s">
        <v>1285</v>
      </c>
      <c r="T12" s="372" t="s">
        <v>1</v>
      </c>
      <c r="U12" s="372" t="s">
        <v>2</v>
      </c>
      <c r="V12" s="372" t="s">
        <v>1286</v>
      </c>
      <c r="W12" s="372" t="s">
        <v>4</v>
      </c>
      <c r="X12" s="372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17"/>
      <c r="J13" s="17"/>
      <c r="K13" s="17"/>
      <c r="L13" s="17"/>
      <c r="M13" s="17"/>
      <c r="N13" s="17"/>
      <c r="O13" s="17"/>
      <c r="P13" s="17"/>
      <c r="Q13" s="17"/>
      <c r="R13" s="373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374"/>
      <c r="T13" s="374"/>
      <c r="U13" s="374"/>
      <c r="V13" s="374"/>
      <c r="W13" s="465"/>
      <c r="X13" s="374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17"/>
      <c r="J14" s="17"/>
      <c r="K14" s="17"/>
      <c r="L14" s="17"/>
      <c r="M14" s="17"/>
      <c r="N14" s="17"/>
      <c r="O14" s="17"/>
      <c r="P14" s="17"/>
      <c r="Q14" s="17"/>
      <c r="R14" s="373"/>
      <c r="S14" s="374"/>
      <c r="T14" s="374"/>
      <c r="U14" s="374"/>
      <c r="V14" s="374"/>
      <c r="W14" s="465"/>
      <c r="X14" s="374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373"/>
      <c r="S15" s="374"/>
      <c r="T15" s="374"/>
      <c r="U15" s="374"/>
      <c r="V15" s="374"/>
      <c r="W15" s="465"/>
      <c r="X15" s="374"/>
    </row>
    <row r="16" spans="1:24" ht="21.75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375"/>
      <c r="S16" s="376"/>
      <c r="T16" s="376"/>
      <c r="U16" s="376"/>
      <c r="V16" s="377"/>
      <c r="W16" s="378"/>
      <c r="X16" s="376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375"/>
      <c r="S17" s="376"/>
      <c r="T17" s="376"/>
      <c r="U17" s="376"/>
      <c r="V17" s="377"/>
      <c r="W17" s="378"/>
      <c r="X17" s="376"/>
    </row>
    <row r="18" spans="1:24" ht="21.75" customHeight="1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375"/>
      <c r="S18" s="376"/>
      <c r="T18" s="376"/>
      <c r="U18" s="376"/>
      <c r="V18" s="377"/>
      <c r="W18" s="378"/>
      <c r="X18" s="376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375"/>
      <c r="S19" s="376"/>
      <c r="T19" s="376"/>
      <c r="U19" s="376"/>
      <c r="V19" s="377"/>
      <c r="W19" s="378"/>
      <c r="X19" s="376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375"/>
      <c r="S20" s="376"/>
      <c r="T20" s="376"/>
      <c r="U20" s="376"/>
      <c r="V20" s="377"/>
      <c r="W20" s="378"/>
      <c r="X20" s="376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375"/>
      <c r="S21" s="376"/>
      <c r="T21" s="376"/>
      <c r="U21" s="376"/>
      <c r="V21" s="377"/>
      <c r="W21" s="378"/>
      <c r="X21" s="376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375"/>
      <c r="S22" s="376"/>
      <c r="T22" s="376"/>
      <c r="U22" s="376"/>
      <c r="V22" s="377"/>
      <c r="W22" s="378"/>
      <c r="X22" s="376"/>
    </row>
    <row r="23" spans="1:24" ht="21.75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375"/>
      <c r="S23" s="376"/>
      <c r="T23" s="376"/>
      <c r="U23" s="376"/>
      <c r="V23" s="377"/>
      <c r="W23" s="378"/>
      <c r="X23" s="376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31"/>
      <c r="L24" s="17"/>
      <c r="M24" s="17"/>
      <c r="N24" s="17"/>
      <c r="O24" s="17"/>
      <c r="P24" s="17"/>
      <c r="Q24" s="17"/>
      <c r="R24" s="375"/>
      <c r="S24" s="376"/>
      <c r="T24" s="376"/>
      <c r="U24" s="376"/>
      <c r="V24" s="377"/>
      <c r="W24" s="378"/>
      <c r="X24" s="376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375"/>
      <c r="S25" s="376"/>
      <c r="T25" s="376"/>
      <c r="U25" s="376"/>
      <c r="V25" s="377"/>
      <c r="W25" s="378"/>
      <c r="X25" s="376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375"/>
      <c r="S26" s="376"/>
      <c r="T26" s="376"/>
      <c r="U26" s="376"/>
      <c r="V26" s="377"/>
      <c r="W26" s="378"/>
      <c r="X26" s="376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375"/>
      <c r="S27" s="376"/>
      <c r="T27" s="376"/>
      <c r="U27" s="376"/>
      <c r="V27" s="377"/>
      <c r="W27" s="378"/>
      <c r="X27" s="376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375"/>
      <c r="S28" s="376"/>
      <c r="T28" s="376"/>
      <c r="U28" s="376"/>
      <c r="V28" s="377"/>
      <c r="W28" s="378"/>
      <c r="X28" s="376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80"/>
      <c r="R29" s="379"/>
      <c r="S29" s="380"/>
      <c r="T29" s="380"/>
      <c r="U29" s="380"/>
      <c r="V29" s="381"/>
      <c r="W29" s="382"/>
      <c r="X29" s="380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375"/>
      <c r="S30" s="376"/>
      <c r="T30" s="376"/>
      <c r="U30" s="376"/>
      <c r="V30" s="377"/>
      <c r="W30" s="378"/>
      <c r="X30" s="376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375"/>
      <c r="S31" s="376"/>
      <c r="T31" s="376"/>
      <c r="U31" s="376"/>
      <c r="V31" s="377"/>
      <c r="W31" s="378"/>
      <c r="X31" s="376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375"/>
      <c r="S32" s="376"/>
      <c r="T32" s="376"/>
      <c r="U32" s="376"/>
      <c r="V32" s="377"/>
      <c r="W32" s="378"/>
      <c r="X32" s="376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375"/>
      <c r="S33" s="376"/>
      <c r="T33" s="376"/>
      <c r="U33" s="376"/>
      <c r="V33" s="377"/>
      <c r="W33" s="378"/>
      <c r="X33" s="376"/>
    </row>
    <row r="34" spans="1:24" ht="21.75" customHeight="1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375"/>
      <c r="S34" s="376"/>
      <c r="T34" s="376"/>
      <c r="U34" s="376"/>
      <c r="V34" s="377"/>
      <c r="W34" s="378"/>
      <c r="X34" s="376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375"/>
      <c r="S35" s="376"/>
      <c r="T35" s="376"/>
      <c r="U35" s="376"/>
      <c r="V35" s="377"/>
      <c r="W35" s="378"/>
      <c r="X35" s="376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375"/>
      <c r="S36" s="376"/>
      <c r="T36" s="376"/>
      <c r="U36" s="376"/>
      <c r="V36" s="377"/>
      <c r="W36" s="378"/>
      <c r="X36" s="376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375"/>
      <c r="S37" s="376"/>
      <c r="T37" s="376"/>
      <c r="U37" s="376"/>
      <c r="V37" s="377"/>
      <c r="W37" s="378"/>
      <c r="X37" s="376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375"/>
      <c r="S38" s="376"/>
      <c r="T38" s="376"/>
      <c r="U38" s="376"/>
      <c r="V38" s="377"/>
      <c r="W38" s="378"/>
      <c r="X38" s="376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375"/>
      <c r="S39" s="376"/>
      <c r="T39" s="376"/>
      <c r="U39" s="376"/>
      <c r="V39" s="377"/>
      <c r="W39" s="378"/>
      <c r="X39" s="376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375"/>
      <c r="S40" s="376"/>
      <c r="T40" s="376"/>
      <c r="U40" s="376"/>
      <c r="V40" s="377"/>
      <c r="W40" s="378"/>
      <c r="X40" s="376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375"/>
      <c r="S41" s="376"/>
      <c r="T41" s="376"/>
      <c r="U41" s="376"/>
      <c r="V41" s="377"/>
      <c r="W41" s="378"/>
      <c r="X41" s="376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375"/>
      <c r="S42" s="376"/>
      <c r="T42" s="376"/>
      <c r="U42" s="376"/>
      <c r="V42" s="377"/>
      <c r="W42" s="378"/>
      <c r="X42" s="376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375"/>
      <c r="S43" s="376"/>
      <c r="T43" s="376"/>
      <c r="U43" s="376"/>
      <c r="V43" s="377"/>
      <c r="W43" s="378"/>
      <c r="X43" s="376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375"/>
      <c r="S44" s="376"/>
      <c r="T44" s="376"/>
      <c r="U44" s="376"/>
      <c r="V44" s="377"/>
      <c r="W44" s="378"/>
      <c r="X44" s="376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375"/>
      <c r="S45" s="376"/>
      <c r="T45" s="376"/>
      <c r="U45" s="376"/>
      <c r="V45" s="377"/>
      <c r="W45" s="378"/>
      <c r="X45" s="376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375"/>
      <c r="S46" s="376"/>
      <c r="T46" s="376"/>
      <c r="U46" s="376"/>
      <c r="V46" s="377"/>
      <c r="W46" s="378"/>
      <c r="X46" s="376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375"/>
      <c r="S47" s="376"/>
      <c r="T47" s="376"/>
      <c r="U47" s="376"/>
      <c r="V47" s="377"/>
      <c r="W47" s="378"/>
      <c r="X47" s="376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375"/>
      <c r="S48" s="376"/>
      <c r="T48" s="376"/>
      <c r="U48" s="376"/>
      <c r="V48" s="377"/>
      <c r="W48" s="378"/>
      <c r="X48" s="376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375"/>
      <c r="S49" s="376"/>
      <c r="T49" s="376"/>
      <c r="U49" s="376"/>
      <c r="V49" s="377"/>
      <c r="W49" s="378"/>
      <c r="X49" s="376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375"/>
      <c r="S50" s="376"/>
      <c r="T50" s="376"/>
      <c r="U50" s="376"/>
      <c r="V50" s="377"/>
      <c r="W50" s="378"/>
      <c r="X50" s="376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375"/>
      <c r="S51" s="376"/>
      <c r="T51" s="376"/>
      <c r="U51" s="376"/>
      <c r="V51" s="377"/>
      <c r="W51" s="378"/>
      <c r="X51" s="376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375"/>
      <c r="S52" s="376"/>
      <c r="T52" s="376"/>
      <c r="U52" s="376"/>
      <c r="V52" s="377"/>
      <c r="W52" s="378"/>
      <c r="X52" s="376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375"/>
      <c r="S53" s="376"/>
      <c r="T53" s="376"/>
      <c r="U53" s="376"/>
      <c r="V53" s="377"/>
      <c r="W53" s="378"/>
      <c r="X53" s="376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375"/>
      <c r="S54" s="376"/>
      <c r="T54" s="376"/>
      <c r="U54" s="376"/>
      <c r="V54" s="377"/>
      <c r="W54" s="378"/>
      <c r="X54" s="376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379"/>
      <c r="S55" s="380"/>
      <c r="T55" s="380"/>
      <c r="U55" s="380"/>
      <c r="V55" s="381"/>
      <c r="W55" s="382"/>
      <c r="X55" s="380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375"/>
      <c r="S56" s="376"/>
      <c r="T56" s="376"/>
      <c r="U56" s="376"/>
      <c r="V56" s="377"/>
      <c r="W56" s="378"/>
      <c r="X56" s="376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375"/>
      <c r="S57" s="376"/>
      <c r="T57" s="376"/>
      <c r="U57" s="376"/>
      <c r="V57" s="377"/>
      <c r="W57" s="378"/>
      <c r="X57" s="376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379"/>
      <c r="S58" s="380"/>
      <c r="T58" s="380"/>
      <c r="U58" s="380"/>
      <c r="V58" s="381"/>
      <c r="W58" s="382"/>
      <c r="X58" s="380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375"/>
      <c r="S59" s="376"/>
      <c r="T59" s="376"/>
      <c r="U59" s="376"/>
      <c r="V59" s="377"/>
      <c r="W59" s="378"/>
      <c r="X59" s="376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375"/>
      <c r="S60" s="376"/>
      <c r="T60" s="376"/>
      <c r="U60" s="376"/>
      <c r="V60" s="377"/>
      <c r="W60" s="378"/>
      <c r="X60" s="376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375"/>
      <c r="S61" s="376"/>
      <c r="T61" s="376"/>
      <c r="U61" s="376"/>
      <c r="V61" s="377"/>
      <c r="W61" s="378"/>
      <c r="X61" s="376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375"/>
      <c r="S62" s="376"/>
      <c r="T62" s="376"/>
      <c r="U62" s="376"/>
      <c r="V62" s="377"/>
      <c r="W62" s="378"/>
      <c r="X62" s="376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80"/>
      <c r="R63" s="379"/>
      <c r="S63" s="380"/>
      <c r="T63" s="380"/>
      <c r="U63" s="380"/>
      <c r="V63" s="381"/>
      <c r="W63" s="382"/>
      <c r="X63" s="380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375"/>
      <c r="S64" s="376"/>
      <c r="T64" s="376"/>
      <c r="U64" s="376"/>
      <c r="V64" s="377"/>
      <c r="W64" s="378"/>
      <c r="X64" s="376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375"/>
      <c r="S65" s="376"/>
      <c r="T65" s="376"/>
      <c r="U65" s="376"/>
      <c r="V65" s="377"/>
      <c r="W65" s="378"/>
      <c r="X65" s="376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375"/>
      <c r="S66" s="376"/>
      <c r="T66" s="376"/>
      <c r="U66" s="376"/>
      <c r="V66" s="377"/>
      <c r="W66" s="378"/>
      <c r="X66" s="376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375"/>
      <c r="S67" s="376"/>
      <c r="T67" s="376"/>
      <c r="U67" s="376"/>
      <c r="V67" s="377"/>
      <c r="W67" s="378"/>
      <c r="X67" s="376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375"/>
      <c r="S68" s="376"/>
      <c r="T68" s="376"/>
      <c r="U68" s="376"/>
      <c r="V68" s="377"/>
      <c r="W68" s="378"/>
      <c r="X68" s="376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375"/>
      <c r="S69" s="376"/>
      <c r="T69" s="376"/>
      <c r="U69" s="376"/>
      <c r="V69" s="377"/>
      <c r="W69" s="378"/>
      <c r="X69" s="376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375"/>
      <c r="S70" s="376"/>
      <c r="T70" s="376"/>
      <c r="U70" s="376"/>
      <c r="V70" s="377"/>
      <c r="W70" s="378"/>
      <c r="X70" s="376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375"/>
      <c r="S71" s="376"/>
      <c r="T71" s="376"/>
      <c r="U71" s="376"/>
      <c r="V71" s="377"/>
      <c r="W71" s="378"/>
      <c r="X71" s="376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375"/>
      <c r="S72" s="376"/>
      <c r="T72" s="376"/>
      <c r="U72" s="376"/>
      <c r="V72" s="377"/>
      <c r="W72" s="378"/>
      <c r="X72" s="376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80"/>
      <c r="R73" s="379"/>
      <c r="S73" s="380"/>
      <c r="T73" s="380"/>
      <c r="U73" s="380"/>
      <c r="V73" s="381"/>
      <c r="W73" s="382"/>
      <c r="X73" s="380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375"/>
      <c r="S74" s="376"/>
      <c r="T74" s="376"/>
      <c r="U74" s="376"/>
      <c r="V74" s="377"/>
      <c r="W74" s="377"/>
      <c r="X74" s="376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375"/>
      <c r="S75" s="376"/>
      <c r="T75" s="376"/>
      <c r="U75" s="376"/>
      <c r="V75" s="377"/>
      <c r="W75" s="377"/>
      <c r="X75" s="376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375"/>
      <c r="S76" s="376"/>
      <c r="T76" s="376"/>
      <c r="U76" s="376"/>
      <c r="V76" s="377"/>
      <c r="W76" s="377"/>
      <c r="X76" s="376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375"/>
      <c r="S77" s="376"/>
      <c r="T77" s="376"/>
      <c r="U77" s="376"/>
      <c r="V77" s="377"/>
      <c r="W77" s="377"/>
      <c r="X77" s="376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375"/>
      <c r="S78" s="376"/>
      <c r="T78" s="376"/>
      <c r="U78" s="376"/>
      <c r="V78" s="377"/>
      <c r="W78" s="377"/>
      <c r="X78" s="376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375"/>
      <c r="S79" s="376"/>
      <c r="T79" s="376"/>
      <c r="U79" s="376"/>
      <c r="V79" s="377"/>
      <c r="W79" s="377"/>
      <c r="X79" s="376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375"/>
      <c r="S80" s="376"/>
      <c r="T80" s="376"/>
      <c r="U80" s="376"/>
      <c r="V80" s="377"/>
      <c r="W80" s="377"/>
      <c r="X80" s="376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88" priority="14">
      <formula>AND($A6&lt;&gt;"",$A6=$A5)</formula>
    </cfRule>
  </conditionalFormatting>
  <conditionalFormatting sqref="A6:A85">
    <cfRule type="expression" dxfId="1887" priority="10">
      <formula>$A6=$A5</formula>
    </cfRule>
  </conditionalFormatting>
  <conditionalFormatting sqref="B5:D92">
    <cfRule type="expression" dxfId="1886" priority="5">
      <formula>$F5="PETROL"</formula>
    </cfRule>
  </conditionalFormatting>
  <conditionalFormatting sqref="B5:D95">
    <cfRule type="expression" dxfId="1885" priority="7">
      <formula>AND(ISNUMBER(B5),MOD(B5,1)&lt;&gt;0)</formula>
    </cfRule>
  </conditionalFormatting>
  <conditionalFormatting sqref="B7:G60">
    <cfRule type="expression" dxfId="1884" priority="13">
      <formula>$H7="TOTAL"</formula>
    </cfRule>
  </conditionalFormatting>
  <conditionalFormatting sqref="E5:E95">
    <cfRule type="expression" dxfId="1883" priority="8">
      <formula>AND(ISNUMBER(E5),MOD(E5,1)&lt;&gt;0)</formula>
    </cfRule>
  </conditionalFormatting>
  <conditionalFormatting sqref="F5:F92">
    <cfRule type="expression" dxfId="1882" priority="6">
      <formula>$F5="PETROL"</formula>
    </cfRule>
  </conditionalFormatting>
  <conditionalFormatting sqref="G5:G95">
    <cfRule type="expression" dxfId="1881" priority="9">
      <formula>AND(ISNUMBER(G5),MOD(G5,1)&lt;&gt;0)</formula>
    </cfRule>
  </conditionalFormatting>
  <conditionalFormatting sqref="R13:R94">
    <cfRule type="expression" dxfId="1880" priority="11">
      <formula>AND(R13&lt;&gt;"",R13=R12)</formula>
    </cfRule>
  </conditionalFormatting>
  <conditionalFormatting sqref="R13:X15 R16 T16:X16 R17:X94">
    <cfRule type="expression" dxfId="1879" priority="12">
      <formula>$X13="Petrol"</formula>
    </cfRule>
  </conditionalFormatting>
  <hyperlinks>
    <hyperlink ref="K1" location="Index!A1" display="→ Index" xr:uid="{8F7E5981-2AE5-B249-B2E0-94AAA2D4CA50}"/>
  </hyperlinks>
  <printOptions horizontalCentered="1"/>
  <pageMargins left="0.25" right="0.25" top="0.25" bottom="1.35" header="0" footer="0.2"/>
  <pageSetup paperSize="9" scale="99" fitToHeight="0" orientation="portrait" r:id="rId1"/>
  <headerFooter>
    <oddFooter>&amp;R&amp;G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A59A-BFA5-3547-8B2A-11C78865907B}">
  <sheetPr codeName="Sheet8">
    <pageSetUpPr fitToPage="1"/>
  </sheetPr>
  <dimension ref="A1:X95"/>
  <sheetViews>
    <sheetView zoomScale="130" zoomScaleNormal="130" workbookViewId="0">
      <selection activeCell="G6" sqref="G6"/>
    </sheetView>
  </sheetViews>
  <sheetFormatPr baseColWidth="10" defaultColWidth="11" defaultRowHeight="16" x14ac:dyDescent="0.2"/>
  <cols>
    <col min="1" max="1" width="12.1640625" customWidth="1"/>
    <col min="2" max="2" width="14" customWidth="1"/>
    <col min="3" max="3" width="11" customWidth="1"/>
    <col min="4" max="4" width="15.83203125" customWidth="1"/>
    <col min="5" max="5" width="16.1640625" customWidth="1"/>
    <col min="6" max="6" width="14.33203125" customWidth="1"/>
    <col min="7" max="7" width="20.1640625" customWidth="1"/>
    <col min="8" max="8" width="31" customWidth="1"/>
    <col min="9" max="9" width="18.33203125" customWidth="1"/>
    <col min="17" max="17" width="0.33203125" customWidth="1"/>
    <col min="18" max="18" width="12.6640625" customWidth="1"/>
    <col min="19" max="19" width="12.5" customWidth="1"/>
    <col min="20" max="20" width="16.33203125" customWidth="1"/>
    <col min="21" max="21" width="12.33203125" customWidth="1"/>
    <col min="22" max="22" width="11.6640625" customWidth="1"/>
    <col min="23" max="23" width="12.6640625" customWidth="1"/>
    <col min="24" max="24" width="13.83203125" customWidth="1"/>
  </cols>
  <sheetData>
    <row r="1" spans="1:24" ht="32" customHeight="1" x14ac:dyDescent="0.2">
      <c r="A1" s="521" t="s">
        <v>552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552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Paid],MasterPaid[Customer],$K$24,MasterPaid[Date],$A5)</f>
        <v>0</v>
      </c>
      <c r="F5" s="75"/>
      <c r="G5" s="57">
        <f>IFERROR(INDEX(Outstanding!$N$4:$Z$69,MATCH($K$3,Outstanding!$M$4:$M$66,0),MATCH($A$5,Outstanding!$N$3:$Z$3,0)),0)</f>
        <v>112828.83</v>
      </c>
      <c r="H5" s="20"/>
      <c r="I5" s="58">
        <f>G5+SUM(D5:D49)-SUM(E5:E49)</f>
        <v>112828.83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t="str" cm="1">
        <f t="array" ref="A6">IFERROR(INDEX(_xlfn.ANCHORARRAY($K$6),ROW()-5,1),"")</f>
        <v/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 t="str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/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/>
      </c>
      <c r="G6" s="57" t="str">
        <f>IF($H6="TOTAL",IFERROR(LOOKUP(9.99E+307,$G$5:$G5),""),IF($A6="","",G5+N(D6)-N(E6)))</f>
        <v/>
      </c>
      <c r="H6" s="20"/>
      <c r="I6" s="20"/>
      <c r="J6" s="20"/>
      <c r="K6" t="str" cm="1">
        <f t="array" ref="K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customHeight="1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Ss Freight Carrier</v>
      </c>
      <c r="R9" s="44"/>
      <c r="S9" s="44"/>
      <c r="T9" s="44"/>
      <c r="U9" s="45"/>
      <c r="V9" s="45"/>
      <c r="W9" s="46" t="s">
        <v>1282</v>
      </c>
      <c r="X9" s="47">
        <f ca="1">EOMONTH(TODAY(),0)</f>
        <v>46265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customHeight="1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GSTIN:08ACUFS6629P3ZU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17"/>
      <c r="J12" s="17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17"/>
      <c r="J13" s="17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155"/>
      <c r="T13" s="155"/>
      <c r="U13" s="155"/>
      <c r="V13" s="155"/>
      <c r="W13" s="200"/>
      <c r="X13" s="155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17"/>
      <c r="J14" s="17"/>
      <c r="K14" s="17"/>
      <c r="L14" s="17"/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customHeight="1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64"/>
      <c r="S21" s="155"/>
      <c r="T21" s="155"/>
      <c r="U21" s="155"/>
      <c r="V21" s="155"/>
      <c r="W21" s="200"/>
      <c r="X21" s="155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1.75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80"/>
      <c r="R23" s="181"/>
      <c r="S23" s="182"/>
      <c r="T23" s="182"/>
      <c r="U23" s="182"/>
      <c r="V23" s="183"/>
      <c r="W23" s="185"/>
      <c r="X23" s="182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31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80"/>
      <c r="R25" s="181"/>
      <c r="S25" s="182"/>
      <c r="T25" s="182"/>
      <c r="U25" s="182"/>
      <c r="V25" s="183"/>
      <c r="W25" s="185"/>
      <c r="X25" s="182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64"/>
      <c r="S27" s="155"/>
      <c r="T27" s="155"/>
      <c r="U27" s="155"/>
      <c r="V27" s="155"/>
      <c r="W27" s="200"/>
      <c r="X27" s="155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80"/>
      <c r="R33" s="203"/>
      <c r="S33" s="204"/>
      <c r="T33" s="204"/>
      <c r="U33" s="204"/>
      <c r="V33" s="204"/>
      <c r="W33" s="205"/>
      <c r="X33" s="204"/>
    </row>
    <row r="34" spans="1:24" ht="21.75" customHeight="1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69"/>
      <c r="V34" s="70"/>
      <c r="W34" s="69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69"/>
      <c r="V35" s="70"/>
      <c r="W35" s="69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69"/>
      <c r="V36" s="70"/>
      <c r="W36" s="69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69"/>
      <c r="V37" s="70"/>
      <c r="W37" s="69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69"/>
      <c r="V38" s="70"/>
      <c r="W38" s="69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64"/>
      <c r="S39" s="155"/>
      <c r="T39" s="155"/>
      <c r="U39" s="155"/>
      <c r="V39" s="155"/>
      <c r="W39" s="155"/>
      <c r="X39" s="155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69"/>
      <c r="V40" s="70"/>
      <c r="W40" s="69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69"/>
      <c r="V41" s="70"/>
      <c r="W41" s="69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69"/>
      <c r="V42" s="70"/>
      <c r="W42" s="69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69"/>
      <c r="V43" s="70"/>
      <c r="W43" s="69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69"/>
      <c r="V44" s="70"/>
      <c r="W44" s="69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64"/>
      <c r="S45" s="155"/>
      <c r="T45" s="155"/>
      <c r="U45" s="155"/>
      <c r="V45" s="155"/>
      <c r="W45" s="155"/>
      <c r="X45" s="155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69"/>
      <c r="V46" s="70"/>
      <c r="W46" s="69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69"/>
      <c r="V47" s="70"/>
      <c r="W47" s="69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69"/>
      <c r="V48" s="70"/>
      <c r="W48" s="69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69"/>
      <c r="V49" s="70"/>
      <c r="W49" s="69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69"/>
      <c r="V50" s="70"/>
      <c r="W50" s="69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64"/>
      <c r="S51" s="155"/>
      <c r="T51" s="155"/>
      <c r="U51" s="155"/>
      <c r="V51" s="155"/>
      <c r="W51" s="155"/>
      <c r="X51" s="155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69"/>
      <c r="V52" s="70"/>
      <c r="W52" s="69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69"/>
      <c r="V53" s="70"/>
      <c r="W53" s="69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69"/>
      <c r="V54" s="70"/>
      <c r="W54" s="69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69"/>
      <c r="V55" s="70"/>
      <c r="W55" s="69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69"/>
      <c r="V56" s="70"/>
      <c r="W56" s="69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64"/>
      <c r="S57" s="155"/>
      <c r="T57" s="155"/>
      <c r="U57" s="155"/>
      <c r="V57" s="155"/>
      <c r="W57" s="155"/>
      <c r="X57" s="155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69"/>
      <c r="V58" s="70"/>
      <c r="W58" s="69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69"/>
      <c r="V59" s="70"/>
      <c r="W59" s="69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69"/>
      <c r="V60" s="70"/>
      <c r="W60" s="69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69"/>
      <c r="V61" s="70"/>
      <c r="W61" s="69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69"/>
      <c r="V62" s="70"/>
      <c r="W62" s="69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64"/>
      <c r="S63" s="155"/>
      <c r="T63" s="155"/>
      <c r="U63" s="155"/>
      <c r="V63" s="155"/>
      <c r="W63" s="155"/>
      <c r="X63" s="155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69"/>
      <c r="V64" s="70"/>
      <c r="W64" s="69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69"/>
      <c r="V65" s="70"/>
      <c r="W65" s="69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69"/>
      <c r="V66" s="70"/>
      <c r="W66" s="69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69"/>
      <c r="V67" s="70"/>
      <c r="W67" s="69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69"/>
      <c r="V68" s="70"/>
      <c r="W68" s="69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64"/>
      <c r="S69" s="155"/>
      <c r="T69" s="155"/>
      <c r="U69" s="155"/>
      <c r="V69" s="155"/>
      <c r="W69" s="155"/>
      <c r="X69" s="155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69"/>
      <c r="V70" s="70"/>
      <c r="W70" s="69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69"/>
      <c r="V71" s="70"/>
      <c r="W71" s="69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69"/>
      <c r="V72" s="70"/>
      <c r="W72" s="69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69"/>
      <c r="V73" s="70"/>
      <c r="W73" s="69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69"/>
      <c r="V74" s="70"/>
      <c r="W74" s="69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64"/>
      <c r="S75" s="155"/>
      <c r="T75" s="155"/>
      <c r="U75" s="155"/>
      <c r="V75" s="155"/>
      <c r="W75" s="155"/>
      <c r="X75" s="155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69"/>
      <c r="V76" s="70"/>
      <c r="W76" s="69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69"/>
      <c r="V77" s="70"/>
      <c r="W77" s="69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69"/>
      <c r="V78" s="70"/>
      <c r="W78" s="69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69"/>
      <c r="V79" s="70"/>
      <c r="W79" s="69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69"/>
      <c r="V80" s="70"/>
      <c r="W80" s="69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64"/>
      <c r="S81" s="155"/>
      <c r="T81" s="155"/>
      <c r="U81" s="155"/>
      <c r="V81" s="155"/>
      <c r="W81" s="155"/>
      <c r="X81" s="155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69"/>
      <c r="V82" s="70"/>
      <c r="W82" s="69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78" priority="14">
      <formula>AND($A6&lt;&gt;"",$A6=$A5)</formula>
    </cfRule>
  </conditionalFormatting>
  <conditionalFormatting sqref="A6:A85">
    <cfRule type="expression" dxfId="1877" priority="10">
      <formula>$A6=$A5</formula>
    </cfRule>
  </conditionalFormatting>
  <conditionalFormatting sqref="B5:D92">
    <cfRule type="expression" dxfId="1876" priority="5">
      <formula>$F5="PETROL"</formula>
    </cfRule>
  </conditionalFormatting>
  <conditionalFormatting sqref="B5:D95">
    <cfRule type="expression" dxfId="1875" priority="7">
      <formula>AND(ISNUMBER(B5),MOD(B5,1)&lt;&gt;0)</formula>
    </cfRule>
  </conditionalFormatting>
  <conditionalFormatting sqref="B7:G60">
    <cfRule type="expression" dxfId="1874" priority="13">
      <formula>$H7="TOTAL"</formula>
    </cfRule>
  </conditionalFormatting>
  <conditionalFormatting sqref="E5:E95">
    <cfRule type="expression" dxfId="1873" priority="8">
      <formula>AND(ISNUMBER(E5),MOD(E5,1)&lt;&gt;0)</formula>
    </cfRule>
  </conditionalFormatting>
  <conditionalFormatting sqref="F5:F92">
    <cfRule type="expression" dxfId="1872" priority="6">
      <formula>$F5="PETROL"</formula>
    </cfRule>
  </conditionalFormatting>
  <conditionalFormatting sqref="G5:G95">
    <cfRule type="expression" dxfId="1871" priority="9">
      <formula>AND(ISNUMBER(G5),MOD(G5,1)&lt;&gt;0)</formula>
    </cfRule>
  </conditionalFormatting>
  <conditionalFormatting sqref="R13:R94">
    <cfRule type="expression" dxfId="1870" priority="11">
      <formula>AND(R13&lt;&gt;"",R13=R12)</formula>
    </cfRule>
  </conditionalFormatting>
  <conditionalFormatting sqref="R13:X94">
    <cfRule type="expression" dxfId="1869" priority="12">
      <formula>$X13="Petrol"</formula>
    </cfRule>
  </conditionalFormatting>
  <hyperlinks>
    <hyperlink ref="K1" location="Index!A1" display="→ Index" xr:uid="{8324FE3C-3AAD-D040-A4C6-DBE42591E3A6}"/>
  </hyperlinks>
  <printOptions horizontalCentered="1"/>
  <pageMargins left="0.25" right="0.25" top="0.25" bottom="1.35" header="0" footer="0.2"/>
  <pageSetup paperSize="9" fitToHeight="0" orientation="portrait" r:id="rId1"/>
  <headerFooter>
    <oddFooter>&amp;R&amp;G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7B1F-2D0B-B243-8E21-EBA28FAAC9BA}">
  <sheetPr codeName="Sheet9">
    <pageSetUpPr fitToPage="1"/>
  </sheetPr>
  <dimension ref="A1:X95"/>
  <sheetViews>
    <sheetView zoomScale="140" zoomScaleNormal="140" workbookViewId="0">
      <selection activeCell="G6" sqref="G6"/>
    </sheetView>
  </sheetViews>
  <sheetFormatPr baseColWidth="10" defaultColWidth="11" defaultRowHeight="16" x14ac:dyDescent="0.2"/>
  <cols>
    <col min="1" max="1" width="12.1640625" customWidth="1"/>
    <col min="2" max="2" width="14.5" customWidth="1"/>
    <col min="3" max="3" width="9.83203125" customWidth="1"/>
    <col min="4" max="4" width="17" customWidth="1"/>
    <col min="5" max="5" width="17.5" customWidth="1"/>
    <col min="6" max="6" width="14.33203125" customWidth="1"/>
    <col min="7" max="7" width="20.1640625" customWidth="1"/>
    <col min="8" max="8" width="31" customWidth="1"/>
    <col min="9" max="9" width="18.33203125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2.33203125" customWidth="1"/>
    <col min="22" max="22" width="11.6640625" customWidth="1"/>
    <col min="23" max="23" width="12.83203125" customWidth="1"/>
    <col min="24" max="24" width="13.83203125" customWidth="1"/>
  </cols>
  <sheetData>
    <row r="1" spans="1:24" ht="32" customHeight="1" x14ac:dyDescent="0.2">
      <c r="A1" s="521" t="s">
        <v>15</v>
      </c>
      <c r="B1" s="522"/>
      <c r="C1" s="522"/>
      <c r="D1" s="522"/>
      <c r="E1" s="522"/>
      <c r="F1" s="522"/>
      <c r="G1" s="523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J3" s="17"/>
      <c r="K3" s="157" t="s">
        <v>15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Paid],MasterPaid[Customer],$K$24,MasterPaid[Date],$A5)</f>
        <v>0</v>
      </c>
      <c r="F5" s="75"/>
      <c r="G5" s="57">
        <f>IFERROR(INDEX(Outstanding!$N$4:$Z$69,MATCH($K$3,Outstanding!$M$4:$M$66,0),MATCH($A$5,Outstanding!$N$3:$Z$3,0)),0)</f>
        <v>948228.3</v>
      </c>
      <c r="H5" s="20"/>
      <c r="I5" s="58">
        <f>G5+SUM(D5:D49)-SUM(E5:E49)</f>
        <v>648228.30000000005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46239</v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0</v>
      </c>
      <c r="E6" s="61">
        <f>IF($H6="TOTAL",0,IF($A6="",0,IF(COUNTIF($A$6:$A6,$A6)=1,SUMIFS(MasterPaid[Amount Paid],MasterPaid[Customer],$K$3,MasterPaid[Date],$A6),0)))</f>
        <v>300000</v>
      </c>
      <c r="F6" s="62" t="str" cm="1">
        <f t="array" ref="F6">IFERROR(INDEX(_xlfn.ANCHORARRAY($K$6),ROW()-5,2),"")</f>
        <v/>
      </c>
      <c r="G6" s="57">
        <f>IF($H6="TOTAL",IFERROR(LOOKUP(9.99E+307,$G$5:$G5),""),IF($A6="","",G5+N(D6)-N(E6)))</f>
        <v>648228.30000000005</v>
      </c>
      <c r="H6" s="20"/>
      <c r="I6" s="20"/>
      <c r="J6" s="20"/>
      <c r="K6" cm="1">
        <f t="array" ref="K6:L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46239</v>
      </c>
      <c r="L6" s="17" t="str"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customHeight="1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String  Logistics</v>
      </c>
      <c r="R9" s="44"/>
      <c r="S9" s="44"/>
      <c r="T9" s="44"/>
      <c r="U9" s="45"/>
      <c r="V9" s="45"/>
      <c r="W9" s="46" t="s">
        <v>1282</v>
      </c>
      <c r="X9" s="47">
        <f ca="1">X8</f>
        <v>46262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customHeight="1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GSTIN:21CTRPS5446J1Z4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17"/>
      <c r="J12" s="17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17"/>
      <c r="J13" s="17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17"/>
      <c r="J14" s="17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53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53"/>
      <c r="W17" s="184"/>
      <c r="X17" s="53"/>
    </row>
    <row r="18" spans="1:24" ht="21.75" customHeight="1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53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53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53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53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53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53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31"/>
      <c r="L24" s="17"/>
      <c r="M24" s="17"/>
      <c r="N24" s="17"/>
      <c r="O24" s="17"/>
      <c r="P24" s="17"/>
      <c r="Q24" s="180"/>
      <c r="R24" s="181"/>
      <c r="S24" s="182"/>
      <c r="T24" s="182"/>
      <c r="U24" s="182"/>
      <c r="V24" s="182"/>
      <c r="W24" s="185"/>
      <c r="X24" s="182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53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53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53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53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53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53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53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53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53"/>
      <c r="W33" s="184"/>
      <c r="X33" s="53"/>
    </row>
    <row r="34" spans="1:24" ht="21.75" customHeight="1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53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53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53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53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80"/>
      <c r="R38" s="181"/>
      <c r="S38" s="182"/>
      <c r="T38" s="182"/>
      <c r="U38" s="182"/>
      <c r="V38" s="182"/>
      <c r="W38" s="185"/>
      <c r="X38" s="182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53"/>
      <c r="W39" s="53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53"/>
      <c r="W40" s="53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53"/>
      <c r="W41" s="53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53"/>
      <c r="W42" s="53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47"/>
      <c r="S43" s="44"/>
      <c r="T43" s="44"/>
      <c r="U43" s="54"/>
      <c r="V43" s="55"/>
      <c r="W43" s="54"/>
      <c r="X43" s="44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47"/>
      <c r="S44" s="44"/>
      <c r="T44" s="44"/>
      <c r="U44" s="54"/>
      <c r="V44" s="55"/>
      <c r="W44" s="54"/>
      <c r="X44" s="44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47"/>
      <c r="S45" s="44"/>
      <c r="T45" s="44"/>
      <c r="U45" s="54"/>
      <c r="V45" s="55"/>
      <c r="W45" s="54"/>
      <c r="X45" s="44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47"/>
      <c r="S46" s="44"/>
      <c r="T46" s="44"/>
      <c r="U46" s="54"/>
      <c r="V46" s="55"/>
      <c r="W46" s="54"/>
      <c r="X46" s="44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47"/>
      <c r="S47" s="44"/>
      <c r="T47" s="44"/>
      <c r="U47" s="54"/>
      <c r="V47" s="55"/>
      <c r="W47" s="54"/>
      <c r="X47" s="44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47"/>
      <c r="S48" s="44"/>
      <c r="T48" s="44"/>
      <c r="U48" s="54"/>
      <c r="V48" s="55"/>
      <c r="W48" s="54"/>
      <c r="X48" s="44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47"/>
      <c r="S49" s="44"/>
      <c r="T49" s="44"/>
      <c r="U49" s="54"/>
      <c r="V49" s="55"/>
      <c r="W49" s="54"/>
      <c r="X49" s="44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47"/>
      <c r="S50" s="44"/>
      <c r="T50" s="44"/>
      <c r="U50" s="54"/>
      <c r="V50" s="55"/>
      <c r="W50" s="54"/>
      <c r="X50" s="44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47"/>
      <c r="S51" s="44"/>
      <c r="T51" s="44"/>
      <c r="U51" s="54"/>
      <c r="V51" s="55"/>
      <c r="W51" s="54"/>
      <c r="X51" s="44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47"/>
      <c r="S52" s="44"/>
      <c r="T52" s="44"/>
      <c r="U52" s="54"/>
      <c r="V52" s="55"/>
      <c r="W52" s="54"/>
      <c r="X52" s="44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47"/>
      <c r="S53" s="44"/>
      <c r="T53" s="44"/>
      <c r="U53" s="54"/>
      <c r="V53" s="55"/>
      <c r="W53" s="54"/>
      <c r="X53" s="44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47"/>
      <c r="S54" s="44"/>
      <c r="T54" s="44"/>
      <c r="U54" s="54"/>
      <c r="V54" s="55"/>
      <c r="W54" s="54"/>
      <c r="X54" s="44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47"/>
      <c r="S55" s="44"/>
      <c r="T55" s="44"/>
      <c r="U55" s="54"/>
      <c r="V55" s="55"/>
      <c r="W55" s="54"/>
      <c r="X55" s="44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47"/>
      <c r="S56" s="44"/>
      <c r="T56" s="44"/>
      <c r="U56" s="54"/>
      <c r="V56" s="55"/>
      <c r="W56" s="54"/>
      <c r="X56" s="44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47"/>
      <c r="S57" s="44"/>
      <c r="T57" s="44"/>
      <c r="U57" s="44"/>
      <c r="V57" s="44"/>
      <c r="W57" s="44"/>
      <c r="X57" s="44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47"/>
      <c r="S58" s="44"/>
      <c r="T58" s="44"/>
      <c r="U58" s="44"/>
      <c r="V58" s="17"/>
      <c r="W58" s="17"/>
      <c r="X58" s="44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68" priority="14">
      <formula>AND($A6&lt;&gt;"",$A6=$A5)</formula>
    </cfRule>
  </conditionalFormatting>
  <conditionalFormatting sqref="A6:A85">
    <cfRule type="expression" dxfId="1867" priority="10">
      <formula>$A6=$A5</formula>
    </cfRule>
  </conditionalFormatting>
  <conditionalFormatting sqref="B5:D92">
    <cfRule type="expression" dxfId="1866" priority="5">
      <formula>$F5="PETROL"</formula>
    </cfRule>
  </conditionalFormatting>
  <conditionalFormatting sqref="B5:D95">
    <cfRule type="expression" dxfId="1865" priority="7">
      <formula>AND(ISNUMBER(B5),MOD(B5,1)&lt;&gt;0)</formula>
    </cfRule>
  </conditionalFormatting>
  <conditionalFormatting sqref="B7:G60">
    <cfRule type="expression" dxfId="1864" priority="13">
      <formula>$H7="TOTAL"</formula>
    </cfRule>
  </conditionalFormatting>
  <conditionalFormatting sqref="E5:E95">
    <cfRule type="expression" dxfId="1863" priority="8">
      <formula>AND(ISNUMBER(E5),MOD(E5,1)&lt;&gt;0)</formula>
    </cfRule>
  </conditionalFormatting>
  <conditionalFormatting sqref="F5:F92">
    <cfRule type="expression" dxfId="1862" priority="6">
      <formula>$F5="PETROL"</formula>
    </cfRule>
  </conditionalFormatting>
  <conditionalFormatting sqref="G5:G95">
    <cfRule type="expression" dxfId="1861" priority="9">
      <formula>AND(ISNUMBER(G5),MOD(G5,1)&lt;&gt;0)</formula>
    </cfRule>
  </conditionalFormatting>
  <conditionalFormatting sqref="R13:R94">
    <cfRule type="expression" dxfId="1860" priority="11">
      <formula>AND(R13&lt;&gt;"",R13=R12)</formula>
    </cfRule>
  </conditionalFormatting>
  <conditionalFormatting sqref="R58:U58 R59:X94 X58 R13:X57">
    <cfRule type="expression" dxfId="1859" priority="12">
      <formula>$X13="Petrol"</formula>
    </cfRule>
  </conditionalFormatting>
  <hyperlinks>
    <hyperlink ref="K1" location="Index!A1" display="→ Index" xr:uid="{7C541223-92F3-5842-BAED-0E6769C6955D}"/>
  </hyperlinks>
  <pageMargins left="0.25" right="0.25" top="0.25" bottom="1.35" header="0" footer="0.2"/>
  <pageSetup paperSize="9" fitToHeight="0" orientation="portrait" r:id="rId1"/>
  <headerFooter>
    <oddFooter>&amp;R&amp;G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6031F-49B5-0E49-8D4B-2D5878067427}">
  <sheetPr codeName="Sheet11">
    <pageSetUpPr fitToPage="1"/>
  </sheetPr>
  <dimension ref="A1:X102"/>
  <sheetViews>
    <sheetView zoomScale="120" zoomScaleNormal="12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83203125" customWidth="1"/>
    <col min="3" max="3" width="11.33203125" customWidth="1"/>
    <col min="4" max="4" width="20" customWidth="1"/>
    <col min="5" max="5" width="17.1640625" customWidth="1"/>
    <col min="6" max="6" width="14.5" customWidth="1"/>
    <col min="7" max="7" width="19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1.83203125" customWidth="1"/>
    <col min="22" max="22" width="11.6640625" customWidth="1"/>
    <col min="23" max="23" width="14" customWidth="1"/>
    <col min="24" max="24" width="13.83203125" customWidth="1"/>
  </cols>
  <sheetData>
    <row r="1" spans="1:24" ht="29" customHeight="1" x14ac:dyDescent="0.2">
      <c r="A1" s="531" t="s">
        <v>59</v>
      </c>
      <c r="B1" s="532"/>
      <c r="C1" s="532"/>
      <c r="D1" s="532"/>
      <c r="E1" s="532"/>
      <c r="F1" s="532"/>
      <c r="G1" s="53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59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Paid],MasterPaid[Customer],$K$25,MasterPaid[Date],$A5)</f>
        <v>0</v>
      </c>
      <c r="F5" s="38"/>
      <c r="G5" s="57">
        <f>IFERROR(INDEX(Outstanding!$N$4:$Z$69,MATCH($K$3,Outstanding!$M$4:$M$66,0),MATCH($A$5,Outstanding!$N$3:$Z$3,0)),0)</f>
        <v>658138.82999999996</v>
      </c>
      <c r="H5" s="20"/>
      <c r="I5" s="58">
        <f>G5+SUM(D5:D45)-SUM(E5:E45)</f>
        <v>180000.59999999998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400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40296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698434.83</v>
      </c>
      <c r="H6" s="20"/>
      <c r="I6" s="20"/>
      <c r="J6" s="20"/>
      <c r="K6" cm="1">
        <f t="array" ref="K6:L9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46246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174.01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17529.77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715964.6</v>
      </c>
      <c r="H7" s="20"/>
      <c r="I7" s="20"/>
      <c r="J7" s="20"/>
      <c r="K7">
        <v>46246</v>
      </c>
      <c r="L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46258</v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0</v>
      </c>
      <c r="E8" s="61">
        <f>IF($H8="TOTAL",SUM($E$6:$E7)-SUMIF($H$6:$H7,"TOTAL",$E$6:$E7),IF($A8="",0,IF(COUNTIF($A$6:$A8,$A8)=1,SUMIFS(MasterPaid[Amount Paid],MasterPaid[Customer],$K$3,MasterPaid[Date],$A8),0)))</f>
        <v>365964</v>
      </c>
      <c r="F8" s="62" t="str" cm="1">
        <f t="array" ref="F8">IFERROR(INDEX(_xlfn.ANCHORARRAY($K$6),ROW()-5,2),"")</f>
        <v/>
      </c>
      <c r="G8" s="57">
        <f>IF($H8="TOTAL",IFERROR(LOOKUP(9.99E+307,$G$6:$G7),""),IF($A8="","",G7+N(D8)-N(E8)))</f>
        <v>350000.6</v>
      </c>
      <c r="H8" s="20"/>
      <c r="I8" s="20"/>
      <c r="J8" s="20"/>
      <c r="K8" s="17">
        <v>46258</v>
      </c>
      <c r="L8" s="17" t="str">
        <v/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46261</v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0</v>
      </c>
      <c r="E9" s="61">
        <f>IF($H9="TOTAL",SUM($E$6:$E8)-SUMIF($H$6:$H8,"TOTAL",$E$6:$E8),IF($A9="",0,IF(COUNTIF($A$6:$A9,$A9)=1,SUMIFS(MasterPaid[Amount Paid],MasterPaid[Customer],$K$3,MasterPaid[Date],$A9),0)))</f>
        <v>170000</v>
      </c>
      <c r="F9" s="62" t="str" cm="1">
        <f t="array" ref="F9">IFERROR(INDEX(_xlfn.ANCHORARRAY($K$6),ROW()-5,2),"")</f>
        <v/>
      </c>
      <c r="G9" s="57">
        <f>IF($H9="TOTAL",IFERROR(LOOKUP(9.99E+307,$G$6:$G8),""),IF($A9="","",G8+N(D9)-N(E9)))</f>
        <v>180000.59999999998</v>
      </c>
      <c r="H9" s="20"/>
      <c r="I9" s="20"/>
      <c r="J9" s="20"/>
      <c r="K9" s="17">
        <v>46261</v>
      </c>
      <c r="L9" s="17" t="str">
        <v/>
      </c>
      <c r="M9" s="17"/>
      <c r="N9" s="17"/>
      <c r="O9" s="17"/>
      <c r="P9" s="17"/>
      <c r="Q9" s="63" t="str">
        <f>K3</f>
        <v>Pioneer Pultru Tech Engineering Private Limited</v>
      </c>
      <c r="R9" s="44"/>
      <c r="S9" s="44"/>
      <c r="T9" s="44"/>
      <c r="U9" s="45"/>
      <c r="V9" s="45"/>
      <c r="W9" s="46" t="s">
        <v>1282</v>
      </c>
      <c r="X9" s="47">
        <v>46246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GSTIN:21AAECP4601K1ZR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155"/>
      <c r="T13" s="155"/>
      <c r="U13" s="155"/>
      <c r="V13" s="155"/>
      <c r="W13" s="200"/>
      <c r="X13" s="155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64"/>
      <c r="S16" s="155"/>
      <c r="T16" s="155"/>
      <c r="U16" s="155"/>
      <c r="V16" s="156"/>
      <c r="W16" s="200"/>
      <c r="X16" s="155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64"/>
      <c r="S17" s="155"/>
      <c r="T17" s="155"/>
      <c r="U17" s="155"/>
      <c r="V17" s="156"/>
      <c r="W17" s="200"/>
      <c r="X17" s="155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1.75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1.75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31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1.75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80"/>
      <c r="R29" s="181"/>
      <c r="S29" s="182"/>
      <c r="T29" s="182"/>
      <c r="U29" s="182"/>
      <c r="V29" s="183"/>
      <c r="W29" s="185"/>
      <c r="X29" s="182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80"/>
      <c r="R32" s="181"/>
      <c r="S32" s="182"/>
      <c r="T32" s="182"/>
      <c r="U32" s="182"/>
      <c r="V32" s="183"/>
      <c r="W32" s="185"/>
      <c r="X32" s="182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80"/>
      <c r="R34" s="181"/>
      <c r="S34" s="182"/>
      <c r="T34" s="182"/>
      <c r="U34" s="182"/>
      <c r="V34" s="183"/>
      <c r="W34" s="185"/>
      <c r="X34" s="182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80"/>
      <c r="R38" s="181"/>
      <c r="S38" s="182"/>
      <c r="T38" s="182"/>
      <c r="U38" s="182"/>
      <c r="V38" s="183"/>
      <c r="W38" s="185"/>
      <c r="X38" s="182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80"/>
      <c r="R41" s="181"/>
      <c r="S41" s="182"/>
      <c r="T41" s="182"/>
      <c r="U41" s="182"/>
      <c r="V41" s="183"/>
      <c r="W41" s="185"/>
      <c r="X41" s="182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80"/>
      <c r="R43" s="181"/>
      <c r="S43" s="182"/>
      <c r="T43" s="182"/>
      <c r="U43" s="182"/>
      <c r="V43" s="183"/>
      <c r="W43" s="185"/>
      <c r="X43" s="182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80"/>
      <c r="S48" s="81"/>
      <c r="T48" s="81"/>
      <c r="U48" s="81"/>
      <c r="V48" s="83"/>
      <c r="W48" s="207"/>
      <c r="X48" s="81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84"/>
      <c r="U81" s="17"/>
      <c r="V81" s="17"/>
      <c r="W81" s="201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84"/>
      <c r="U82" s="17"/>
      <c r="V82" s="17"/>
      <c r="W82" s="201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84"/>
      <c r="U83" s="17"/>
      <c r="V83" s="17"/>
      <c r="W83" s="201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84"/>
      <c r="U84" s="17"/>
      <c r="V84" s="17"/>
      <c r="W84" s="201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84"/>
      <c r="U85" s="17"/>
      <c r="V85" s="17"/>
      <c r="W85" s="201"/>
      <c r="X85" s="17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84"/>
      <c r="U86" s="17"/>
      <c r="V86" s="17"/>
      <c r="W86" s="201"/>
      <c r="X86" s="17"/>
    </row>
    <row r="87" spans="1:24" x14ac:dyDescent="0.2">
      <c r="B87" s="7"/>
      <c r="C87" s="7"/>
      <c r="D87" s="7"/>
      <c r="E87" s="8"/>
      <c r="G87" s="10"/>
      <c r="T87" s="16"/>
      <c r="W87" s="206"/>
    </row>
    <row r="88" spans="1:24" x14ac:dyDescent="0.2">
      <c r="B88" s="7"/>
      <c r="C88" s="7"/>
      <c r="D88" s="7"/>
      <c r="E88" s="8"/>
      <c r="G88" s="10"/>
      <c r="W88" s="206"/>
    </row>
    <row r="89" spans="1:24" x14ac:dyDescent="0.2">
      <c r="B89" s="7"/>
      <c r="C89" s="7"/>
      <c r="D89" s="7"/>
      <c r="E89" s="8"/>
      <c r="G89" s="10"/>
      <c r="W89" s="206"/>
    </row>
    <row r="90" spans="1:24" x14ac:dyDescent="0.2">
      <c r="B90" s="7"/>
      <c r="C90" s="7"/>
      <c r="D90" s="7"/>
      <c r="E90" s="8"/>
      <c r="G90" s="10"/>
      <c r="W90" s="206"/>
    </row>
    <row r="91" spans="1:24" x14ac:dyDescent="0.2">
      <c r="B91" s="7"/>
      <c r="C91" s="7"/>
      <c r="D91" s="7"/>
      <c r="E91" s="8"/>
      <c r="G91" s="10"/>
      <c r="W91" s="206"/>
    </row>
    <row r="92" spans="1:24" x14ac:dyDescent="0.2">
      <c r="B92" s="7"/>
      <c r="C92" s="7"/>
      <c r="D92" s="7"/>
      <c r="E92" s="8"/>
      <c r="G92" s="10"/>
      <c r="W92" s="206"/>
    </row>
    <row r="93" spans="1:24" x14ac:dyDescent="0.2">
      <c r="B93" s="7"/>
      <c r="C93" s="7"/>
      <c r="D93" s="7"/>
      <c r="E93" s="9"/>
      <c r="G93" s="10"/>
      <c r="W93" s="206"/>
    </row>
    <row r="94" spans="1:24" x14ac:dyDescent="0.2">
      <c r="B94" s="7"/>
      <c r="C94" s="7"/>
      <c r="D94" s="7"/>
      <c r="E94" s="9"/>
      <c r="G94" s="10"/>
      <c r="W94" s="206"/>
    </row>
    <row r="95" spans="1:24" x14ac:dyDescent="0.2">
      <c r="B95" s="7"/>
      <c r="C95" s="7"/>
      <c r="D95" s="7"/>
      <c r="E95" s="9"/>
      <c r="G95" s="10"/>
      <c r="W95" s="206"/>
    </row>
    <row r="96" spans="1:24" x14ac:dyDescent="0.2">
      <c r="W96" s="206"/>
    </row>
    <row r="97" spans="17:24" x14ac:dyDescent="0.2">
      <c r="W97" s="206"/>
    </row>
    <row r="98" spans="17:24" x14ac:dyDescent="0.2">
      <c r="W98" s="206"/>
    </row>
    <row r="99" spans="17:24" x14ac:dyDescent="0.2">
      <c r="W99" s="206"/>
    </row>
    <row r="100" spans="17:24" x14ac:dyDescent="0.2">
      <c r="W100" s="206"/>
    </row>
    <row r="101" spans="17:24" x14ac:dyDescent="0.2">
      <c r="W101" s="206"/>
    </row>
    <row r="102" spans="17:24" x14ac:dyDescent="0.2">
      <c r="Q102" s="208"/>
      <c r="R102" s="208"/>
      <c r="S102" s="208"/>
      <c r="T102" s="208"/>
      <c r="U102" s="208"/>
      <c r="V102" s="208"/>
      <c r="W102" s="209"/>
      <c r="X102" s="208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58" priority="10">
      <formula>AND($A6&lt;&gt;"",$A6=$A5)</formula>
    </cfRule>
  </conditionalFormatting>
  <conditionalFormatting sqref="A6:A85">
    <cfRule type="expression" dxfId="1857" priority="6">
      <formula>$A6=$A5</formula>
    </cfRule>
  </conditionalFormatting>
  <conditionalFormatting sqref="B5:D92">
    <cfRule type="expression" dxfId="1856" priority="1">
      <formula>$F5="PETROL"</formula>
    </cfRule>
  </conditionalFormatting>
  <conditionalFormatting sqref="B5:D95">
    <cfRule type="expression" dxfId="1855" priority="3">
      <formula>AND(ISNUMBER(B5),MOD(B5,1)&lt;&gt;0)</formula>
    </cfRule>
  </conditionalFormatting>
  <conditionalFormatting sqref="B7:G60">
    <cfRule type="expression" dxfId="1854" priority="9">
      <formula>$H7="TOTAL"</formula>
    </cfRule>
  </conditionalFormatting>
  <conditionalFormatting sqref="E5:E95">
    <cfRule type="expression" dxfId="1853" priority="4">
      <formula>AND(ISNUMBER(E5),MOD(E5,1)&lt;&gt;0)</formula>
    </cfRule>
  </conditionalFormatting>
  <conditionalFormatting sqref="F5:F92">
    <cfRule type="expression" dxfId="1852" priority="2">
      <formula>$F5="PETROL"</formula>
    </cfRule>
  </conditionalFormatting>
  <conditionalFormatting sqref="G5:G95">
    <cfRule type="expression" dxfId="1851" priority="5">
      <formula>AND(ISNUMBER(G5),MOD(G5,1)&lt;&gt;0)</formula>
    </cfRule>
  </conditionalFormatting>
  <conditionalFormatting sqref="R13:R94">
    <cfRule type="expression" dxfId="1850" priority="7">
      <formula>AND(R13&lt;&gt;"",R13=R12)</formula>
    </cfRule>
  </conditionalFormatting>
  <conditionalFormatting sqref="R13:X94">
    <cfRule type="expression" dxfId="1849" priority="8">
      <formula>$X13="Petrol"</formula>
    </cfRule>
  </conditionalFormatting>
  <hyperlinks>
    <hyperlink ref="K1" location="Index!A1" display="→ Index" xr:uid="{92E946AB-52CC-9E43-88CE-3669CA980E07}"/>
  </hyperlinks>
  <printOptions horizontalCentered="1"/>
  <pageMargins left="0.25" right="0.25" top="0.25" bottom="1.35" header="0" footer="0.5"/>
  <pageSetup paperSize="9" orientation="portrait" r:id="rId1"/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88999-C175-464D-9EA6-987BE70F97E4}">
  <sheetPr codeName="Sheet33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5.1640625" customWidth="1"/>
    <col min="3" max="3" width="11" customWidth="1"/>
    <col min="4" max="4" width="17.33203125" customWidth="1"/>
    <col min="5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2.1640625" customWidth="1"/>
    <col min="22" max="22" width="11.6640625" customWidth="1"/>
    <col min="23" max="23" width="13.5" customWidth="1"/>
    <col min="24" max="24" width="13.83203125" customWidth="1"/>
  </cols>
  <sheetData>
    <row r="1" spans="1:24" ht="29" customHeight="1" x14ac:dyDescent="0.2">
      <c r="A1" s="521" t="s">
        <v>1646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1646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Paid],MasterPaid[Customer],$K$25,MasterPaid[Date],$A5)</f>
        <v>0</v>
      </c>
      <c r="F5" s="38"/>
      <c r="G5" s="57">
        <f>IFERROR(INDEX(Outstanding!$N$4:$Z$69,MATCH($K$3,Outstanding!$M$4:$M$66,0),MATCH($A$5,Outstanding!$N$3:$Z$3,0)),0)</f>
        <v>1532.67</v>
      </c>
      <c r="H5" s="20"/>
      <c r="I5" s="58">
        <f>G5+SUM(D5:D45)-SUM(E5:E45)</f>
        <v>1532.67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t="str" cm="1">
        <f t="array" ref="A6">IFERROR(INDEX(_xlfn.ANCHORARRAY($K$6),ROW()-5,1),"")</f>
        <v/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 t="str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/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/>
      </c>
      <c r="G6" s="57" t="str">
        <f>IF($H6="TOTAL",IFERROR(LOOKUP(9.99E+307,$G$5:$G5),""),IF($A6="","",G5+N(D6)-N(E6)))</f>
        <v/>
      </c>
      <c r="H6" s="20"/>
      <c r="I6" s="20"/>
      <c r="J6" s="20"/>
      <c r="K6" t="str" cm="1">
        <f t="array" ref="K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Mukesh Rana Ref OMPL</v>
      </c>
      <c r="R9" s="44"/>
      <c r="S9" s="44"/>
      <c r="T9" s="44"/>
      <c r="U9" s="45"/>
      <c r="V9" s="45"/>
      <c r="W9" s="46" t="s">
        <v>1282</v>
      </c>
      <c r="X9" s="47">
        <f ca="1">X8</f>
        <v>46262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155"/>
      <c r="T13" s="155"/>
      <c r="U13" s="155"/>
      <c r="V13" s="155"/>
      <c r="W13" s="200"/>
      <c r="X13" s="155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64"/>
      <c r="S16" s="155"/>
      <c r="T16" s="155"/>
      <c r="U16" s="155"/>
      <c r="V16" s="156"/>
      <c r="W16" s="200"/>
      <c r="X16" s="155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64"/>
      <c r="S17" s="155"/>
      <c r="T17" s="155"/>
      <c r="U17" s="155"/>
      <c r="V17" s="156"/>
      <c r="W17" s="200"/>
      <c r="X17" s="155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80"/>
      <c r="R23" s="181"/>
      <c r="S23" s="182"/>
      <c r="T23" s="182"/>
      <c r="U23" s="182"/>
      <c r="V23" s="183"/>
      <c r="W23" s="185"/>
      <c r="X23" s="182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80"/>
      <c r="R24" s="181"/>
      <c r="S24" s="182"/>
      <c r="T24" s="182"/>
      <c r="U24" s="182"/>
      <c r="V24" s="183"/>
      <c r="W24" s="185"/>
      <c r="X24" s="182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31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80"/>
      <c r="R26" s="181"/>
      <c r="S26" s="182"/>
      <c r="T26" s="182"/>
      <c r="U26" s="182"/>
      <c r="V26" s="183"/>
      <c r="W26" s="185"/>
      <c r="X26" s="182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80"/>
      <c r="R27" s="181"/>
      <c r="S27" s="182"/>
      <c r="T27" s="182"/>
      <c r="U27" s="182"/>
      <c r="V27" s="183"/>
      <c r="W27" s="185"/>
      <c r="X27" s="182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80"/>
      <c r="R32" s="181"/>
      <c r="S32" s="182"/>
      <c r="T32" s="182"/>
      <c r="U32" s="182"/>
      <c r="V32" s="183"/>
      <c r="W32" s="185"/>
      <c r="X32" s="182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80"/>
      <c r="R38" s="181"/>
      <c r="S38" s="182"/>
      <c r="T38" s="182"/>
      <c r="U38" s="182"/>
      <c r="V38" s="183"/>
      <c r="W38" s="185"/>
      <c r="X38" s="182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80"/>
      <c r="R40" s="181"/>
      <c r="S40" s="182"/>
      <c r="T40" s="182"/>
      <c r="U40" s="182"/>
      <c r="V40" s="183"/>
      <c r="W40" s="185"/>
      <c r="X40" s="182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69"/>
      <c r="V41" s="70"/>
      <c r="W41" s="69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69"/>
      <c r="V42" s="70"/>
      <c r="W42" s="69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69"/>
      <c r="V43" s="70"/>
      <c r="W43" s="69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69"/>
      <c r="V44" s="70"/>
      <c r="W44" s="69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69"/>
      <c r="V45" s="70"/>
      <c r="W45" s="69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69"/>
      <c r="V46" s="70"/>
      <c r="W46" s="69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69"/>
      <c r="V47" s="70"/>
      <c r="W47" s="69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80"/>
      <c r="S48" s="81"/>
      <c r="T48" s="81"/>
      <c r="U48" s="82"/>
      <c r="V48" s="83"/>
      <c r="W48" s="82"/>
      <c r="X48" s="81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69"/>
      <c r="V49" s="70"/>
      <c r="W49" s="69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69"/>
      <c r="V50" s="70"/>
      <c r="W50" s="69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69"/>
      <c r="V51" s="70"/>
      <c r="W51" s="69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69"/>
      <c r="V52" s="70"/>
      <c r="W52" s="69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69"/>
      <c r="V53" s="70"/>
      <c r="W53" s="69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69"/>
      <c r="V54" s="70"/>
      <c r="W54" s="69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69"/>
      <c r="V55" s="70"/>
      <c r="W55" s="69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69"/>
      <c r="V56" s="70"/>
      <c r="W56" s="69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69"/>
      <c r="V57" s="70"/>
      <c r="W57" s="69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69"/>
      <c r="V58" s="70"/>
      <c r="W58" s="69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69"/>
      <c r="V59" s="70"/>
      <c r="W59" s="69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69"/>
      <c r="V60" s="70"/>
      <c r="W60" s="69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69"/>
      <c r="V61" s="70"/>
      <c r="W61" s="69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69"/>
      <c r="V62" s="70"/>
      <c r="W62" s="69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69"/>
      <c r="V63" s="70"/>
      <c r="W63" s="69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69"/>
      <c r="V64" s="70"/>
      <c r="W64" s="69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69"/>
      <c r="V65" s="70"/>
      <c r="W65" s="69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69"/>
      <c r="V66" s="70"/>
      <c r="W66" s="69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69"/>
      <c r="V67" s="70"/>
      <c r="W67" s="69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69"/>
      <c r="V68" s="70"/>
      <c r="W68" s="69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69"/>
      <c r="V69" s="70"/>
      <c r="W69" s="69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69"/>
      <c r="V70" s="70"/>
      <c r="W70" s="69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69"/>
      <c r="V71" s="70"/>
      <c r="W71" s="69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69"/>
      <c r="V72" s="70"/>
      <c r="W72" s="69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69"/>
      <c r="V73" s="70"/>
      <c r="W73" s="69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69"/>
      <c r="V74" s="70"/>
      <c r="W74" s="69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69"/>
      <c r="V75" s="70"/>
      <c r="W75" s="69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69"/>
      <c r="V76" s="70"/>
      <c r="W76" s="69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69"/>
      <c r="V77" s="70"/>
      <c r="W77" s="69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69"/>
      <c r="V78" s="70"/>
      <c r="W78" s="69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69"/>
      <c r="V79" s="70"/>
      <c r="W79" s="69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69"/>
      <c r="V80" s="70"/>
      <c r="W80" s="69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84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84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84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84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84"/>
      <c r="U85" s="17"/>
      <c r="V85" s="17"/>
      <c r="W85" s="17"/>
      <c r="X85" s="17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84"/>
      <c r="U86" s="17"/>
      <c r="V86" s="17"/>
      <c r="W86" s="17"/>
      <c r="X86" s="17"/>
    </row>
    <row r="87" spans="1:24" x14ac:dyDescent="0.2">
      <c r="B87" s="7"/>
      <c r="C87" s="7"/>
      <c r="D87" s="7"/>
      <c r="E87" s="8"/>
      <c r="G87" s="10"/>
      <c r="T87" s="16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48" priority="10">
      <formula>AND($A6&lt;&gt;"",$A6=$A5)</formula>
    </cfRule>
  </conditionalFormatting>
  <conditionalFormatting sqref="A6:A85">
    <cfRule type="expression" dxfId="1847" priority="6">
      <formula>$A6=$A5</formula>
    </cfRule>
  </conditionalFormatting>
  <conditionalFormatting sqref="B5:D92">
    <cfRule type="expression" dxfId="1846" priority="1">
      <formula>$F5="PETROL"</formula>
    </cfRule>
  </conditionalFormatting>
  <conditionalFormatting sqref="B5:D95">
    <cfRule type="expression" dxfId="1845" priority="3">
      <formula>AND(ISNUMBER(B5),MOD(B5,1)&lt;&gt;0)</formula>
    </cfRule>
  </conditionalFormatting>
  <conditionalFormatting sqref="B7:G60">
    <cfRule type="expression" dxfId="1844" priority="9">
      <formula>$H7="TOTAL"</formula>
    </cfRule>
  </conditionalFormatting>
  <conditionalFormatting sqref="E5:E95">
    <cfRule type="expression" dxfId="1843" priority="4">
      <formula>AND(ISNUMBER(E5),MOD(E5,1)&lt;&gt;0)</formula>
    </cfRule>
  </conditionalFormatting>
  <conditionalFormatting sqref="F5:F92">
    <cfRule type="expression" dxfId="1842" priority="2">
      <formula>$F5="PETROL"</formula>
    </cfRule>
  </conditionalFormatting>
  <conditionalFormatting sqref="G5:G95">
    <cfRule type="expression" dxfId="1841" priority="5">
      <formula>AND(ISNUMBER(G5),MOD(G5,1)&lt;&gt;0)</formula>
    </cfRule>
  </conditionalFormatting>
  <conditionalFormatting sqref="R13:R94">
    <cfRule type="expression" dxfId="1840" priority="7">
      <formula>AND(R13&lt;&gt;"",R13=R12)</formula>
    </cfRule>
  </conditionalFormatting>
  <conditionalFormatting sqref="R13:X94">
    <cfRule type="expression" dxfId="1839" priority="8">
      <formula>$X13="Petrol"</formula>
    </cfRule>
  </conditionalFormatting>
  <hyperlinks>
    <hyperlink ref="K1" location="Index!A1" display="→ Index" xr:uid="{847FDB95-3D4B-044D-828E-3762CC99F7A4}"/>
  </hyperlinks>
  <printOptions horizontalCentered="1"/>
  <pageMargins left="0.25" right="0.25" top="0.25" bottom="1.35" header="0" footer="0.2"/>
  <pageSetup paperSize="9" fitToHeight="0" orientation="portrait" r:id="rId1"/>
  <headerFooter>
    <oddFooter>&amp;R&amp;G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B641E-2C9D-B54D-A067-9B963866940B}">
  <sheetPr codeName="Sheet34">
    <pageSetUpPr fitToPage="1"/>
  </sheetPr>
  <dimension ref="A1:X11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5.6640625" customWidth="1"/>
    <col min="3" max="3" width="11" customWidth="1"/>
    <col min="4" max="4" width="17.33203125" customWidth="1"/>
    <col min="5" max="5" width="16.83203125" customWidth="1"/>
    <col min="6" max="6" width="13.1640625" customWidth="1"/>
    <col min="7" max="7" width="23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3.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">
        <v>58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58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Paid],MasterPaid[Customer],$K$25,MasterPaid[Date],$A5)</f>
        <v>0</v>
      </c>
      <c r="F5" s="38"/>
      <c r="G5" s="57">
        <f>IFERROR(INDEX(Outstanding!$N$4:$Z$69,MATCH($K$3,Outstanding!$M$4:$M$66,0),MATCH($A$5,Outstanding!$N$3:$Z$3,0)),0)</f>
        <v>3753160.93</v>
      </c>
      <c r="H5" s="20"/>
      <c r="I5" s="58">
        <f>G5+SUM(D5:D45)-SUM(E5:E45)</f>
        <v>4375832.09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1934.68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194900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3948060.93</v>
      </c>
      <c r="H6" s="20"/>
      <c r="I6" s="20"/>
      <c r="J6" s="20"/>
      <c r="K6" cm="1">
        <f t="array" ref="K6:L33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1804.65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181800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4129860.93</v>
      </c>
      <c r="H7" s="20"/>
      <c r="I7" s="20"/>
      <c r="J7" s="20"/>
      <c r="K7">
        <v>46236</v>
      </c>
      <c r="L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46237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2235.46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225200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4355060.93</v>
      </c>
      <c r="H8" s="20"/>
      <c r="I8" s="20"/>
      <c r="J8" s="20"/>
      <c r="K8" s="17">
        <v>46237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46238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1607.7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161960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4517020.93</v>
      </c>
      <c r="H9" s="20"/>
      <c r="I9" s="20"/>
      <c r="J9" s="20"/>
      <c r="K9" s="17">
        <v>46238</v>
      </c>
      <c r="L9" s="17" t="str">
        <v>DIESEL</v>
      </c>
      <c r="M9" s="17"/>
      <c r="N9" s="17"/>
      <c r="O9" s="17"/>
      <c r="P9" s="17"/>
      <c r="Q9" s="63" t="str">
        <f>K3</f>
        <v>Steels and Carriers Private Limited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46239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2405.1999999999998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242300</v>
      </c>
      <c r="E10" s="61">
        <f>IF($H10="TOTAL",SUM($E$6:$E9)-SUMIF($H$6:$H9,"TOTAL",$E$6:$E9),IF($A10="",0,IF(COUNTIF($A$6:$A10,$A10)=1,SUMIFS(MasterPaid[Amount Paid],MasterPaid[Customer],$K$3,MasterPaid[Date],$A10),0)))</f>
        <v>2630011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2129309.9299999997</v>
      </c>
      <c r="H10" s="20"/>
      <c r="I10" s="20"/>
      <c r="J10" s="20"/>
      <c r="K10" s="17">
        <v>46239</v>
      </c>
      <c r="L10" s="17" t="str">
        <v>DIESEL</v>
      </c>
      <c r="M10" s="17"/>
      <c r="N10" s="17"/>
      <c r="O10" s="17"/>
      <c r="P10" s="17"/>
      <c r="Q10" s="48" t="s">
        <v>2572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46240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1674.16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168655.26</v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2297965.1899999995</v>
      </c>
      <c r="H11" s="20"/>
      <c r="I11" s="20"/>
      <c r="J11" s="20"/>
      <c r="K11" s="17">
        <v>46240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GSTIN:21AAICS8597H2ZV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46241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2797.3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281800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2579765.1899999995</v>
      </c>
      <c r="H12" s="20"/>
      <c r="I12" s="20"/>
      <c r="J12" s="20"/>
      <c r="K12" s="17">
        <v>46241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46242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2780.4300000000003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280100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2859865.1899999995</v>
      </c>
      <c r="H13" s="20"/>
      <c r="I13" s="20"/>
      <c r="J13" s="20"/>
      <c r="K13" s="17">
        <v>46242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155" t="str">
        <f ca="1"/>
        <v>2527</v>
      </c>
      <c r="T13" s="155" t="str">
        <f ca="1"/>
        <v>Transporting</v>
      </c>
      <c r="U13" s="155">
        <f ca="1"/>
        <v>2034.94</v>
      </c>
      <c r="V13" s="155">
        <f ca="1"/>
        <v>100.74</v>
      </c>
      <c r="W13" s="200">
        <f ca="1"/>
        <v>205000</v>
      </c>
      <c r="X13" s="155" t="str">
        <f ca="1"/>
        <v>Diesel</v>
      </c>
    </row>
    <row r="14" spans="1:24" ht="21.75" x14ac:dyDescent="0.25">
      <c r="A14" s="71" cm="1">
        <f t="array" ref="A14">IFERROR(INDEX(_xlfn.ANCHORARRAY($K$6),ROW()-5,1),"")</f>
        <v>46243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4278.34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431000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3290865.1899999995</v>
      </c>
      <c r="H14" s="20"/>
      <c r="I14" s="20"/>
      <c r="J14" s="20"/>
      <c r="K14" s="17">
        <v>46243</v>
      </c>
      <c r="L14" s="17" t="str">
        <v>DIESEL</v>
      </c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cm="1">
        <f t="array" ref="A15">IFERROR(INDEX(_xlfn.ANCHORARRAY($K$6),ROW()-5,1),"")</f>
        <v>46244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2517.38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253600</v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3544465.1899999995</v>
      </c>
      <c r="H15" s="20"/>
      <c r="I15" s="20"/>
      <c r="J15" s="20"/>
      <c r="K15" s="17">
        <v>46244</v>
      </c>
      <c r="L15" s="17" t="str">
        <v>DIESEL</v>
      </c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customHeight="1" x14ac:dyDescent="0.25">
      <c r="A16" s="71" cm="1">
        <f t="array" ref="A16">IFERROR(INDEX(_xlfn.ANCHORARRAY($K$6),ROW()-5,1),"")</f>
        <v>46245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3070.2799999999997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309300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3853765.1899999995</v>
      </c>
      <c r="H16" s="20"/>
      <c r="I16" s="20"/>
      <c r="J16" s="20"/>
      <c r="K16" s="17">
        <v>46245</v>
      </c>
      <c r="L16" s="17" t="str">
        <v>DIESEL</v>
      </c>
      <c r="M16" s="17"/>
      <c r="N16" s="17"/>
      <c r="O16" s="17"/>
      <c r="P16" s="17"/>
      <c r="Q16" s="17"/>
      <c r="R16" s="64"/>
      <c r="S16" s="155"/>
      <c r="T16" s="155"/>
      <c r="U16" s="155"/>
      <c r="V16" s="156"/>
      <c r="W16" s="200"/>
      <c r="X16" s="155"/>
    </row>
    <row r="17" spans="1:24" ht="21.75" x14ac:dyDescent="0.25">
      <c r="A17" s="71" cm="1">
        <f t="array" ref="A17">IFERROR(INDEX(_xlfn.ANCHORARRAY($K$6),ROW()-5,1),"")</f>
        <v>46246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3380.21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340522.2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4194287.3899999997</v>
      </c>
      <c r="H17" s="20"/>
      <c r="I17" s="20"/>
      <c r="J17" s="20"/>
      <c r="K17" s="17">
        <v>46246</v>
      </c>
      <c r="L17" s="17" t="str">
        <v>DIESEL</v>
      </c>
      <c r="M17" s="17"/>
      <c r="N17" s="17"/>
      <c r="O17" s="17"/>
      <c r="P17" s="17"/>
      <c r="Q17" s="17"/>
      <c r="R17" s="64"/>
      <c r="S17" s="155"/>
      <c r="T17" s="155"/>
      <c r="U17" s="155"/>
      <c r="V17" s="156"/>
      <c r="W17" s="200"/>
      <c r="X17" s="155"/>
    </row>
    <row r="18" spans="1:24" ht="21.75" x14ac:dyDescent="0.25">
      <c r="A18" s="71" cm="1">
        <f t="array" ref="A18">IFERROR(INDEX(_xlfn.ANCHORARRAY($K$6),ROW()-5,1),"")</f>
        <v>46247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2358.5500000000002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237600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4431887.3899999997</v>
      </c>
      <c r="H18" s="20"/>
      <c r="I18" s="20"/>
      <c r="J18" s="20"/>
      <c r="K18" s="17">
        <v>46247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46248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3043.48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306600</v>
      </c>
      <c r="E19" s="61">
        <f>IF($H19="TOTAL",SUM($E$6:$E18)-SUMIF($H$6:$H18,"TOTAL",$E$6:$E18),IF($A19="",0,IF(COUNTIF($A$6:$A19,$A19)=1,SUMIFS(MasterPaid[Amount Paid],MasterPaid[Customer],$K$3,MasterPaid[Date],$A19),0)))</f>
        <v>1017503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3720984.3899999997</v>
      </c>
      <c r="H19" s="20"/>
      <c r="I19" s="20"/>
      <c r="J19" s="20"/>
      <c r="K19" s="17">
        <v>46248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46249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2222.5499999999997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223900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3944884.3899999997</v>
      </c>
      <c r="H20" s="20"/>
      <c r="I20" s="20"/>
      <c r="J20" s="20"/>
      <c r="K20" s="17">
        <v>46249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46250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2418.11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243600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4188484.3899999997</v>
      </c>
      <c r="H21" s="20"/>
      <c r="I21" s="20"/>
      <c r="J21" s="20"/>
      <c r="K21" s="17">
        <v>46250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46251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1114.75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100.74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112300</v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>DIESEL</v>
      </c>
      <c r="G22" s="57">
        <f>IF($H22="TOTAL",IFERROR(LOOKUP(9.99E+307,$G$6:$G21),""),IF($A22="","",G21+N(D22)-N(E22)))</f>
        <v>4300784.3899999997</v>
      </c>
      <c r="H22" s="20"/>
      <c r="I22" s="20"/>
      <c r="J22" s="20"/>
      <c r="K22" s="17">
        <v>46251</v>
      </c>
      <c r="L22" s="17" t="str">
        <v>DIESEL</v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46252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2042.8799999999999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100.74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205800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4506584.3899999997</v>
      </c>
      <c r="H23" s="20"/>
      <c r="I23" s="20"/>
      <c r="J23" s="20"/>
      <c r="K23" s="17">
        <v>46252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46253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2779.43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280000</v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4786584.3899999997</v>
      </c>
      <c r="H24" s="20"/>
      <c r="I24" s="20"/>
      <c r="J24" s="20"/>
      <c r="K24" s="17">
        <v>46253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cm="1">
        <f t="array" ref="A25">IFERROR(INDEX(_xlfn.ANCHORARRAY($K$6),ROW()-5,1),"")</f>
        <v>46254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3191.38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100.74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321500</v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DIESEL</v>
      </c>
      <c r="G25" s="57">
        <f>IF($H25="TOTAL",IFERROR(LOOKUP(9.99E+307,$G$6:$G24),""),IF($A25="","",G24+N(D25)-N(E25)))</f>
        <v>5108084.3899999997</v>
      </c>
      <c r="H25" s="20"/>
      <c r="I25" s="20"/>
      <c r="J25" s="20"/>
      <c r="K25" s="31">
        <v>46254</v>
      </c>
      <c r="L25" s="17" t="str">
        <v>DIESEL</v>
      </c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cm="1">
        <f t="array" ref="A26">IFERROR(INDEX(_xlfn.ANCHORARRAY($K$6),ROW()-5,1),"")</f>
        <v>46255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1861.48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187525.9</v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5295610.29</v>
      </c>
      <c r="H26" s="20"/>
      <c r="I26" s="20"/>
      <c r="J26" s="20"/>
      <c r="K26" s="17">
        <v>46255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cm="1">
        <f t="array" ref="A27">IFERROR(INDEX(_xlfn.ANCHORARRAY($K$6),ROW()-5,1),"")</f>
        <v>46256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1097.8800000000001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100.74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110600</v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>DIESEL</v>
      </c>
      <c r="G27" s="57">
        <f>IF($H27="TOTAL",IFERROR(LOOKUP(9.99E+307,$G$6:$G26),""),IF($A27="","",G26+N(D27)-N(E27)))</f>
        <v>5406210.29</v>
      </c>
      <c r="H27" s="20"/>
      <c r="I27" s="20"/>
      <c r="J27" s="20"/>
      <c r="K27" s="17">
        <v>46256</v>
      </c>
      <c r="L27" s="17" t="str">
        <v>DIESEL</v>
      </c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cm="1">
        <f t="array" ref="A28">IFERROR(INDEX(_xlfn.ANCHORARRAY($K$6),ROW()-5,1),"")</f>
        <v>46257</v>
      </c>
      <c r="B28" s="159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>2615.64</v>
      </c>
      <c r="C28" s="161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>100.74</v>
      </c>
      <c r="D28" s="159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>263500</v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>DIESEL</v>
      </c>
      <c r="G28" s="57">
        <f>IF($H28="TOTAL",IFERROR(LOOKUP(9.99E+307,$G$6:$G27),""),IF($A28="","",G27+N(D28)-N(E28)))</f>
        <v>5669710.29</v>
      </c>
      <c r="H28" s="20"/>
      <c r="I28" s="20"/>
      <c r="J28" s="20"/>
      <c r="K28" s="17">
        <v>46257</v>
      </c>
      <c r="L28" s="17" t="str">
        <v>DIESEL</v>
      </c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cm="1">
        <f t="array" ref="A29">IFERROR(INDEX(_xlfn.ANCHORARRAY($K$6),ROW()-5,1),"")</f>
        <v>46258</v>
      </c>
      <c r="B29" s="159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>2350.61</v>
      </c>
      <c r="C29" s="161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>100.74</v>
      </c>
      <c r="D29" s="159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>236800</v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>DIESEL</v>
      </c>
      <c r="G29" s="57">
        <f>IF($H29="TOTAL",IFERROR(LOOKUP(9.99E+307,$G$6:$G28),""),IF($A29="","",G28+N(D29)-N(E29)))</f>
        <v>5906510.29</v>
      </c>
      <c r="H29" s="20"/>
      <c r="I29" s="20"/>
      <c r="J29" s="20"/>
      <c r="K29" s="17">
        <v>46258</v>
      </c>
      <c r="L29" s="17" t="str">
        <v>DIESEL</v>
      </c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cm="1">
        <f t="array" ref="A30">IFERROR(INDEX(_xlfn.ANCHORARRAY($K$6),ROW()-5,1),"")</f>
        <v>46259</v>
      </c>
      <c r="B30" s="159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>1827.62</v>
      </c>
      <c r="C30" s="161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>100.74</v>
      </c>
      <c r="D30" s="159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>184114.8</v>
      </c>
      <c r="E30" s="61">
        <f>IF($H30="TOTAL",SUM($E$6:$E29)-SUMIF($H$6:$H29,"TOTAL",$E$6:$E29),IF($A30="",0,IF(COUNTIF($A$6:$A30,$A30)=1,SUMIFS(MasterPaid[Amount Paid],MasterPaid[Customer],$K$3,MasterPaid[Date],$A30),0)))</f>
        <v>2418593</v>
      </c>
      <c r="F30" s="62" t="str" cm="1">
        <f t="array" ref="F30">IFERROR(INDEX(_xlfn.ANCHORARRAY($K$6),ROW()-5,2),"")</f>
        <v>DIESEL</v>
      </c>
      <c r="G30" s="57">
        <f>IF($H30="TOTAL",IFERROR(LOOKUP(9.99E+307,$G$6:$G29),""),IF($A30="","",G29+N(D30)-N(E30)))</f>
        <v>3672032.09</v>
      </c>
      <c r="H30" s="20"/>
      <c r="I30" s="20"/>
      <c r="J30" s="20"/>
      <c r="K30" s="17">
        <v>46259</v>
      </c>
      <c r="L30" s="17" t="str">
        <v>DIESEL</v>
      </c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cm="1">
        <f t="array" ref="A31">IFERROR(INDEX(_xlfn.ANCHORARRAY($K$6),ROW()-5,1),"")</f>
        <v>46260</v>
      </c>
      <c r="B31" s="159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>2386.34</v>
      </c>
      <c r="C31" s="161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>100.74</v>
      </c>
      <c r="D31" s="159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>240400</v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>DIESEL</v>
      </c>
      <c r="G31" s="57">
        <f>IF($H31="TOTAL",IFERROR(LOOKUP(9.99E+307,$G$6:$G30),""),IF($A31="","",G30+N(D31)-N(E31)))</f>
        <v>3912432.09</v>
      </c>
      <c r="H31" s="20"/>
      <c r="I31" s="20"/>
      <c r="J31" s="20"/>
      <c r="K31" s="17">
        <v>46260</v>
      </c>
      <c r="L31" s="17" t="str">
        <v>DIESEL</v>
      </c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cm="1">
        <f t="array" ref="A32">IFERROR(INDEX(_xlfn.ANCHORARRAY($K$6),ROW()-5,1),"")</f>
        <v>46261</v>
      </c>
      <c r="B32" s="159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>2565.02</v>
      </c>
      <c r="C32" s="161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>100.74</v>
      </c>
      <c r="D32" s="159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>258400</v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>DIESEL</v>
      </c>
      <c r="G32" s="57">
        <f>IF($H32="TOTAL",IFERROR(LOOKUP(9.99E+307,$G$6:$G31),""),IF($A32="","",G31+N(D32)-N(E32)))</f>
        <v>4170832.09</v>
      </c>
      <c r="H32" s="20"/>
      <c r="I32" s="20"/>
      <c r="J32" s="20"/>
      <c r="K32" s="17">
        <v>46261</v>
      </c>
      <c r="L32" s="17" t="str">
        <v>DIESEL</v>
      </c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cm="1">
        <f t="array" ref="A33">IFERROR(INDEX(_xlfn.ANCHORARRAY($K$6),ROW()-5,1),"")</f>
        <v>46262</v>
      </c>
      <c r="B33" s="159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>2034.94</v>
      </c>
      <c r="C33" s="161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>100.74</v>
      </c>
      <c r="D33" s="159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>205000</v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>DIESEL</v>
      </c>
      <c r="G33" s="57">
        <f>IF($H33="TOTAL",IFERROR(LOOKUP(9.99E+307,$G$6:$G32),""),IF($A33="","",G32+N(D33)-N(E33)))</f>
        <v>4375832.09</v>
      </c>
      <c r="H33" s="20"/>
      <c r="I33" s="20"/>
      <c r="J33" s="20"/>
      <c r="K33" s="17">
        <v>46262</v>
      </c>
      <c r="L33" s="17" t="str">
        <v>DIESEL</v>
      </c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80"/>
      <c r="R39" s="181"/>
      <c r="S39" s="182"/>
      <c r="T39" s="182"/>
      <c r="U39" s="182"/>
      <c r="V39" s="183"/>
      <c r="W39" s="185"/>
      <c r="X39" s="182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80"/>
      <c r="R40" s="181"/>
      <c r="S40" s="182"/>
      <c r="T40" s="182"/>
      <c r="U40" s="182"/>
      <c r="V40" s="183"/>
      <c r="W40" s="185"/>
      <c r="X40" s="182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80"/>
      <c r="R42" s="181"/>
      <c r="S42" s="182"/>
      <c r="T42" s="182"/>
      <c r="U42" s="182"/>
      <c r="V42" s="183"/>
      <c r="W42" s="185"/>
      <c r="X42" s="182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80"/>
      <c r="R43" s="181"/>
      <c r="S43" s="182"/>
      <c r="T43" s="182"/>
      <c r="U43" s="182"/>
      <c r="V43" s="183"/>
      <c r="W43" s="185"/>
      <c r="X43" s="182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80"/>
      <c r="R46" s="181"/>
      <c r="S46" s="182"/>
      <c r="T46" s="182"/>
      <c r="U46" s="182"/>
      <c r="V46" s="183"/>
      <c r="W46" s="185"/>
      <c r="X46" s="182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80"/>
      <c r="S48" s="81"/>
      <c r="T48" s="81"/>
      <c r="U48" s="81"/>
      <c r="V48" s="83"/>
      <c r="W48" s="207"/>
      <c r="X48" s="81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80"/>
      <c r="R49" s="181"/>
      <c r="S49" s="182"/>
      <c r="T49" s="182"/>
      <c r="U49" s="182"/>
      <c r="V49" s="183"/>
      <c r="W49" s="185"/>
      <c r="X49" s="182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80"/>
      <c r="R51" s="181"/>
      <c r="S51" s="182"/>
      <c r="T51" s="182"/>
      <c r="U51" s="182"/>
      <c r="V51" s="183"/>
      <c r="W51" s="185"/>
      <c r="X51" s="182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80"/>
      <c r="R60" s="181"/>
      <c r="S60" s="182"/>
      <c r="T60" s="182"/>
      <c r="U60" s="182"/>
      <c r="V60" s="183"/>
      <c r="W60" s="185"/>
      <c r="X60" s="182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84"/>
      <c r="U81" s="17"/>
      <c r="V81" s="17"/>
      <c r="W81" s="201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84"/>
      <c r="U82" s="17"/>
      <c r="V82" s="17"/>
      <c r="W82" s="201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84"/>
      <c r="U83" s="17"/>
      <c r="V83" s="17"/>
      <c r="W83" s="201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84"/>
      <c r="U84" s="17"/>
      <c r="V84" s="17"/>
      <c r="W84" s="201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84"/>
      <c r="U85" s="17"/>
      <c r="V85" s="17"/>
      <c r="W85" s="201"/>
      <c r="X85" s="17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84"/>
      <c r="U86" s="17"/>
      <c r="V86" s="17"/>
      <c r="W86" s="201"/>
      <c r="X86" s="17"/>
    </row>
    <row r="87" spans="1:24" x14ac:dyDescent="0.2">
      <c r="B87" s="7"/>
      <c r="C87" s="7"/>
      <c r="D87" s="7"/>
      <c r="E87" s="8"/>
      <c r="G87" s="10"/>
      <c r="T87" s="16"/>
      <c r="W87" s="206"/>
    </row>
    <row r="88" spans="1:24" x14ac:dyDescent="0.2">
      <c r="B88" s="7"/>
      <c r="C88" s="7"/>
      <c r="D88" s="7"/>
      <c r="E88" s="8"/>
      <c r="G88" s="10"/>
      <c r="W88" s="206"/>
    </row>
    <row r="89" spans="1:24" x14ac:dyDescent="0.2">
      <c r="B89" s="7"/>
      <c r="C89" s="7"/>
      <c r="D89" s="7"/>
      <c r="E89" s="8"/>
      <c r="G89" s="10"/>
      <c r="W89" s="206"/>
    </row>
    <row r="90" spans="1:24" x14ac:dyDescent="0.2">
      <c r="B90" s="7"/>
      <c r="C90" s="7"/>
      <c r="D90" s="7"/>
      <c r="E90" s="8"/>
      <c r="G90" s="10"/>
      <c r="W90" s="206"/>
    </row>
    <row r="91" spans="1:24" x14ac:dyDescent="0.2">
      <c r="B91" s="7"/>
      <c r="C91" s="7"/>
      <c r="D91" s="7"/>
      <c r="E91" s="8"/>
      <c r="G91" s="10"/>
      <c r="W91" s="206"/>
    </row>
    <row r="92" spans="1:24" x14ac:dyDescent="0.2">
      <c r="B92" s="7"/>
      <c r="C92" s="7"/>
      <c r="D92" s="7"/>
      <c r="E92" s="8"/>
      <c r="G92" s="10"/>
      <c r="W92" s="206"/>
    </row>
    <row r="93" spans="1:24" x14ac:dyDescent="0.2">
      <c r="B93" s="7"/>
      <c r="C93" s="7"/>
      <c r="D93" s="7"/>
      <c r="E93" s="9"/>
      <c r="G93" s="10"/>
      <c r="W93" s="206"/>
    </row>
    <row r="94" spans="1:24" x14ac:dyDescent="0.2">
      <c r="B94" s="7"/>
      <c r="C94" s="7"/>
      <c r="D94" s="7"/>
      <c r="E94" s="9"/>
      <c r="G94" s="10"/>
      <c r="W94" s="206"/>
    </row>
    <row r="95" spans="1:24" x14ac:dyDescent="0.2">
      <c r="B95" s="7"/>
      <c r="C95" s="7"/>
      <c r="D95" s="7"/>
      <c r="E95" s="9"/>
      <c r="G95" s="10"/>
      <c r="W95" s="206"/>
    </row>
    <row r="96" spans="1:24" x14ac:dyDescent="0.2">
      <c r="W96" s="206"/>
    </row>
    <row r="97" spans="23:23" x14ac:dyDescent="0.2">
      <c r="W97" s="206"/>
    </row>
    <row r="98" spans="23:23" x14ac:dyDescent="0.2">
      <c r="W98" s="206"/>
    </row>
    <row r="99" spans="23:23" x14ac:dyDescent="0.2">
      <c r="W99" s="206"/>
    </row>
    <row r="100" spans="23:23" x14ac:dyDescent="0.2">
      <c r="W100" s="206"/>
    </row>
    <row r="101" spans="23:23" x14ac:dyDescent="0.2">
      <c r="W101" s="206"/>
    </row>
    <row r="102" spans="23:23" x14ac:dyDescent="0.2">
      <c r="W102" s="206"/>
    </row>
    <row r="103" spans="23:23" x14ac:dyDescent="0.2">
      <c r="W103" s="206"/>
    </row>
    <row r="104" spans="23:23" x14ac:dyDescent="0.2">
      <c r="W104" s="206"/>
    </row>
    <row r="105" spans="23:23" x14ac:dyDescent="0.2">
      <c r="W105" s="206"/>
    </row>
    <row r="106" spans="23:23" x14ac:dyDescent="0.2">
      <c r="W106" s="206"/>
    </row>
    <row r="107" spans="23:23" x14ac:dyDescent="0.2">
      <c r="W107" s="206"/>
    </row>
    <row r="108" spans="23:23" x14ac:dyDescent="0.2">
      <c r="W108" s="206"/>
    </row>
    <row r="109" spans="23:23" x14ac:dyDescent="0.2">
      <c r="W109" s="206"/>
    </row>
    <row r="110" spans="23:23" x14ac:dyDescent="0.2">
      <c r="W110" s="206"/>
    </row>
    <row r="111" spans="23:23" x14ac:dyDescent="0.2">
      <c r="W111" s="206"/>
    </row>
    <row r="112" spans="23:23" x14ac:dyDescent="0.2">
      <c r="W112" s="206"/>
    </row>
    <row r="113" spans="17:24" x14ac:dyDescent="0.2">
      <c r="Q113" s="208"/>
      <c r="R113" s="208"/>
      <c r="S113" s="208"/>
      <c r="T113" s="208"/>
      <c r="U113" s="208"/>
      <c r="V113" s="208"/>
      <c r="W113" s="209"/>
      <c r="X113" s="208"/>
    </row>
    <row r="114" spans="17:24" x14ac:dyDescent="0.2">
      <c r="W114" s="206"/>
    </row>
    <row r="115" spans="17:24" x14ac:dyDescent="0.2">
      <c r="Q115" s="208"/>
      <c r="R115" s="208"/>
      <c r="S115" s="208"/>
      <c r="T115" s="208"/>
      <c r="U115" s="208"/>
      <c r="V115" s="208"/>
      <c r="W115" s="209"/>
      <c r="X115" s="208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38" priority="10">
      <formula>AND($A6&lt;&gt;"",$A6=$A5)</formula>
    </cfRule>
  </conditionalFormatting>
  <conditionalFormatting sqref="A6:A85">
    <cfRule type="expression" dxfId="1837" priority="6">
      <formula>$A6=$A5</formula>
    </cfRule>
  </conditionalFormatting>
  <conditionalFormatting sqref="B5:D92">
    <cfRule type="expression" dxfId="1836" priority="1">
      <formula>$F5="PETROL"</formula>
    </cfRule>
  </conditionalFormatting>
  <conditionalFormatting sqref="B5:D95">
    <cfRule type="expression" dxfId="1835" priority="3">
      <formula>AND(ISNUMBER(B5),MOD(B5,1)&lt;&gt;0)</formula>
    </cfRule>
  </conditionalFormatting>
  <conditionalFormatting sqref="B7:G60">
    <cfRule type="expression" dxfId="1834" priority="9">
      <formula>$H7="TOTAL"</formula>
    </cfRule>
  </conditionalFormatting>
  <conditionalFormatting sqref="E5:E95">
    <cfRule type="expression" dxfId="1833" priority="4">
      <formula>AND(ISNUMBER(E5),MOD(E5,1)&lt;&gt;0)</formula>
    </cfRule>
  </conditionalFormatting>
  <conditionalFormatting sqref="F5:F92">
    <cfRule type="expression" dxfId="1832" priority="2">
      <formula>$F5="PETROL"</formula>
    </cfRule>
  </conditionalFormatting>
  <conditionalFormatting sqref="G5:G95">
    <cfRule type="expression" dxfId="1831" priority="5">
      <formula>AND(ISNUMBER(G5),MOD(G5,1)&lt;&gt;0)</formula>
    </cfRule>
  </conditionalFormatting>
  <conditionalFormatting sqref="R13:R94">
    <cfRule type="expression" dxfId="1830" priority="7">
      <formula>AND(R13&lt;&gt;"",R13=R12)</formula>
    </cfRule>
  </conditionalFormatting>
  <conditionalFormatting sqref="R13:X94">
    <cfRule type="expression" dxfId="1829" priority="8">
      <formula>$X13="Petrol"</formula>
    </cfRule>
  </conditionalFormatting>
  <hyperlinks>
    <hyperlink ref="K1" location="Index!A1" display="→ Index" xr:uid="{4F9A49F9-CD69-284A-9621-4B7E0D971463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AD5C5-C3A0-1149-BE69-C88D7442E975}">
  <sheetPr codeName="Sheet12">
    <pageSetUpPr fitToPage="1"/>
  </sheetPr>
  <dimension ref="A1:X113"/>
  <sheetViews>
    <sheetView zoomScale="140" zoomScaleNormal="140" workbookViewId="0">
      <selection activeCell="G6" sqref="G6"/>
    </sheetView>
  </sheetViews>
  <sheetFormatPr baseColWidth="10" defaultColWidth="11" defaultRowHeight="16" x14ac:dyDescent="0.2"/>
  <cols>
    <col min="1" max="1" width="12.1640625" customWidth="1"/>
    <col min="2" max="2" width="15.1640625" customWidth="1"/>
    <col min="3" max="3" width="11" customWidth="1"/>
    <col min="4" max="4" width="17.33203125" customWidth="1"/>
    <col min="5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2.1640625" customWidth="1"/>
    <col min="22" max="22" width="11.6640625" customWidth="1"/>
    <col min="23" max="23" width="13.5" customWidth="1"/>
    <col min="24" max="24" width="13.83203125" customWidth="1"/>
  </cols>
  <sheetData>
    <row r="1" spans="1:24" ht="29" customHeight="1" x14ac:dyDescent="0.2">
      <c r="A1" s="521" t="s">
        <v>1191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56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Paid],MasterPaid[Customer],$K$25,MasterPaid[Date],$A5)</f>
        <v>0</v>
      </c>
      <c r="F5" s="38"/>
      <c r="G5" s="57">
        <f>IFERROR(INDEX(Outstanding!$N$4:$Z$69,MATCH($K$3,Outstanding!$M$4:$M$66,0),MATCH($A$5,Outstanding!$N$3:$Z$3,0)),0)</f>
        <v>165784.35999999999</v>
      </c>
      <c r="H5" s="20"/>
      <c r="I5" s="58">
        <f>G5+SUM(D5:D45)-SUM(E5:E45)</f>
        <v>219050.63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239.52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24129.230000000003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189913.59</v>
      </c>
      <c r="H6" s="20"/>
      <c r="I6" s="20"/>
      <c r="J6" s="20"/>
      <c r="K6" cm="1">
        <f t="array" ref="K6:L31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46235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58.88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109.01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6418.5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PETROL</v>
      </c>
      <c r="G7" s="57">
        <f>IF($H7="TOTAL",IFERROR(LOOKUP(9.99E+307,$G$6:$G6),""),IF($A7="","",G6+N(D7)-N(E7)))</f>
        <v>196332.09</v>
      </c>
      <c r="H7" s="20"/>
      <c r="I7" s="20"/>
      <c r="J7" s="20"/>
      <c r="K7">
        <v>46235</v>
      </c>
      <c r="L7" t="str">
        <v>PETROL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46237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42.19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4250.22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200582.31</v>
      </c>
      <c r="H8" s="20"/>
      <c r="I8" s="20"/>
      <c r="J8" s="20"/>
      <c r="K8" s="17">
        <v>46237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46238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199.68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20115.75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220698.06</v>
      </c>
      <c r="H9" s="20"/>
      <c r="I9" s="20"/>
      <c r="J9" s="20"/>
      <c r="K9" s="17">
        <v>46238</v>
      </c>
      <c r="L9" s="17" t="str">
        <v>DIESEL</v>
      </c>
      <c r="M9" s="17"/>
      <c r="N9" s="17"/>
      <c r="O9" s="17"/>
      <c r="P9" s="17"/>
      <c r="Q9" s="63" t="str">
        <f>K3</f>
        <v>Simar Infrastructure LTD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46240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35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3525.9</v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224223.96</v>
      </c>
      <c r="H10" s="20"/>
      <c r="I10" s="20"/>
      <c r="J10" s="20"/>
      <c r="K10" s="17">
        <v>46240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46241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194.37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19580.82</v>
      </c>
      <c r="E11" s="61">
        <f>IF($H11="TOTAL",SUM($E$6:$E10)-SUMIF($H$6:$H10,"TOTAL",$E$6:$E10),IF($A11="",0,IF(COUNTIF($A$6:$A11,$A11)=1,SUMIFS(MasterPaid[Amount Paid],MasterPaid[Customer],$K$3,MasterPaid[Date],$A11),0)))</f>
        <v>156560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87244.78</v>
      </c>
      <c r="H11" s="20"/>
      <c r="I11" s="20"/>
      <c r="J11" s="20"/>
      <c r="K11" s="17">
        <v>46241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46244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146.84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14792.650000000001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102037.43</v>
      </c>
      <c r="H12" s="20"/>
      <c r="I12" s="20"/>
      <c r="J12" s="20"/>
      <c r="K12" s="17">
        <v>46244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46245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51.45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5183.07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107220.5</v>
      </c>
      <c r="H13" s="20"/>
      <c r="I13" s="20"/>
      <c r="J13" s="20"/>
      <c r="K13" s="17">
        <v>46245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155" t="str">
        <f ca="1"/>
        <v>2481</v>
      </c>
      <c r="T13" s="155" t="str">
        <f ca="1"/>
        <v>JH01FS6302</v>
      </c>
      <c r="U13" s="155">
        <f ca="1"/>
        <v>20</v>
      </c>
      <c r="V13" s="155">
        <f ca="1"/>
        <v>100.74</v>
      </c>
      <c r="W13" s="200">
        <f ca="1"/>
        <v>2014.8</v>
      </c>
      <c r="X13" s="155" t="str">
        <f ca="1"/>
        <v>Diesel</v>
      </c>
    </row>
    <row r="14" spans="1:24" ht="21.75" x14ac:dyDescent="0.25">
      <c r="A14" s="71" cm="1">
        <f t="array" ref="A14">IFERROR(INDEX(_xlfn.ANCHORARRAY($K$6),ROW()-5,1),"")</f>
        <v>46245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6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109.01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654.05999999999995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PETROL</v>
      </c>
      <c r="G14" s="57">
        <f>IF($H14="TOTAL",IFERROR(LOOKUP(9.99E+307,$G$6:$G13),""),IF($A14="","",G13+N(D14)-N(E14)))</f>
        <v>107874.56</v>
      </c>
      <c r="H14" s="20"/>
      <c r="I14" s="20"/>
      <c r="J14" s="20"/>
      <c r="K14" s="17">
        <v>46245</v>
      </c>
      <c r="L14" s="17" t="str">
        <v>PETROL</v>
      </c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cm="1">
        <f t="array" ref="A15">IFERROR(INDEX(_xlfn.ANCHORARRAY($K$6),ROW()-5,1),"")</f>
        <v>46246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44.23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4455.7299999999996</v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112330.29</v>
      </c>
      <c r="H15" s="20"/>
      <c r="I15" s="20"/>
      <c r="J15" s="20"/>
      <c r="K15" s="17">
        <v>46246</v>
      </c>
      <c r="L15" s="17" t="str">
        <v>DIESEL</v>
      </c>
      <c r="M15" s="17"/>
      <c r="N15" s="17"/>
      <c r="O15" s="17"/>
      <c r="P15" s="17"/>
      <c r="Q15" s="17"/>
      <c r="R15" s="64"/>
      <c r="S15" s="155"/>
      <c r="T15" s="155"/>
      <c r="U15" s="155"/>
      <c r="V15" s="155"/>
      <c r="W15" s="200"/>
      <c r="X15" s="155"/>
    </row>
    <row r="16" spans="1:24" ht="21.75" customHeight="1" x14ac:dyDescent="0.25">
      <c r="A16" s="71" cm="1">
        <f t="array" ref="A16">IFERROR(INDEX(_xlfn.ANCHORARRAY($K$6),ROW()-5,1),"")</f>
        <v>46247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176.7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17800.75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130131.04</v>
      </c>
      <c r="H16" s="20"/>
      <c r="I16" s="20"/>
      <c r="J16" s="20"/>
      <c r="K16" s="17">
        <v>46247</v>
      </c>
      <c r="L16" s="17" t="str">
        <v>DIESEL</v>
      </c>
      <c r="M16" s="17"/>
      <c r="N16" s="17"/>
      <c r="O16" s="17"/>
      <c r="P16" s="17"/>
      <c r="Q16" s="17"/>
      <c r="R16" s="64"/>
      <c r="S16" s="155"/>
      <c r="T16" s="155"/>
      <c r="U16" s="155"/>
      <c r="V16" s="156"/>
      <c r="W16" s="200"/>
      <c r="X16" s="155"/>
    </row>
    <row r="17" spans="1:24" ht="21.75" x14ac:dyDescent="0.25">
      <c r="A17" s="71" cm="1">
        <f t="array" ref="A17">IFERROR(INDEX(_xlfn.ANCHORARRAY($K$6),ROW()-5,1),"")</f>
        <v>46249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114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11484.36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141615.4</v>
      </c>
      <c r="H17" s="20"/>
      <c r="I17" s="20"/>
      <c r="J17" s="20"/>
      <c r="K17" s="17">
        <v>46249</v>
      </c>
      <c r="L17" s="17" t="str">
        <v>DIESEL</v>
      </c>
      <c r="M17" s="17"/>
      <c r="N17" s="17"/>
      <c r="O17" s="17"/>
      <c r="P17" s="17"/>
      <c r="Q17" s="17"/>
      <c r="R17" s="64"/>
      <c r="S17" s="155"/>
      <c r="T17" s="155"/>
      <c r="U17" s="155"/>
      <c r="V17" s="156"/>
      <c r="W17" s="200"/>
      <c r="X17" s="155"/>
    </row>
    <row r="18" spans="1:24" ht="21.75" x14ac:dyDescent="0.25">
      <c r="A18" s="71" cm="1">
        <f t="array" ref="A18">IFERROR(INDEX(_xlfn.ANCHORARRAY($K$6),ROW()-5,1),"")</f>
        <v>46250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49.21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4957.41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146572.81</v>
      </c>
      <c r="H18" s="20"/>
      <c r="I18" s="20"/>
      <c r="J18" s="20"/>
      <c r="K18" s="17">
        <v>46250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46252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146.4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14748.329999999998</v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161321.13999999998</v>
      </c>
      <c r="H19" s="20"/>
      <c r="I19" s="20"/>
      <c r="J19" s="20"/>
      <c r="K19" s="17">
        <v>46252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46254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45.9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4623.96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165945.09999999998</v>
      </c>
      <c r="H20" s="20"/>
      <c r="I20" s="20"/>
      <c r="J20" s="20"/>
      <c r="K20" s="17">
        <v>46254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46255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93.48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9417.17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175362.27</v>
      </c>
      <c r="H21" s="20"/>
      <c r="I21" s="20"/>
      <c r="J21" s="20"/>
      <c r="K21" s="17">
        <v>46255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46255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20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109.01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2180.1999999999998</v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>PETROL</v>
      </c>
      <c r="G22" s="57">
        <f>IF($H22="TOTAL",IFERROR(LOOKUP(9.99E+307,$G$6:$G21),""),IF($A22="","",G21+N(D22)-N(E22)))</f>
        <v>177542.47</v>
      </c>
      <c r="H22" s="20"/>
      <c r="I22" s="20"/>
      <c r="J22" s="20"/>
      <c r="K22" s="17">
        <v>46255</v>
      </c>
      <c r="L22" s="17" t="str">
        <v>PETROL</v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46256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20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100.74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2014.8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179557.27</v>
      </c>
      <c r="H23" s="20"/>
      <c r="I23" s="20"/>
      <c r="J23" s="20"/>
      <c r="K23" s="17">
        <v>46256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46257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49.8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5016.8499999999995</v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184574.12</v>
      </c>
      <c r="H24" s="20"/>
      <c r="I24" s="20"/>
      <c r="J24" s="20"/>
      <c r="K24" s="17">
        <v>46257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cm="1">
        <f t="array" ref="A25">IFERROR(INDEX(_xlfn.ANCHORARRAY($K$6),ROW()-5,1),"")</f>
        <v>46258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103.09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100.74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10385.280000000001</v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DIESEL</v>
      </c>
      <c r="G25" s="57">
        <f>IF($H25="TOTAL",IFERROR(LOOKUP(9.99E+307,$G$6:$G24),""),IF($A25="","",G24+N(D25)-N(E25)))</f>
        <v>194959.4</v>
      </c>
      <c r="H25" s="20"/>
      <c r="I25" s="20"/>
      <c r="J25" s="20"/>
      <c r="K25" s="31">
        <v>46258</v>
      </c>
      <c r="L25" s="17" t="str">
        <v>DIESEL</v>
      </c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cm="1">
        <f t="array" ref="A26">IFERROR(INDEX(_xlfn.ANCHORARRAY($K$6),ROW()-5,1),"")</f>
        <v>46259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30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3022.2</v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197981.6</v>
      </c>
      <c r="H26" s="20"/>
      <c r="I26" s="20"/>
      <c r="J26" s="20"/>
      <c r="K26" s="17">
        <v>46259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cm="1">
        <f t="array" ref="A27">IFERROR(INDEX(_xlfn.ANCHORARRAY($K$6),ROW()-5,1),"")</f>
        <v>46259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25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109.01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2725.25</v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>PETROL</v>
      </c>
      <c r="G27" s="57">
        <f>IF($H27="TOTAL",IFERROR(LOOKUP(9.99E+307,$G$6:$G26),""),IF($A27="","",G26+N(D27)-N(E27)))</f>
        <v>200706.85</v>
      </c>
      <c r="H27" s="20"/>
      <c r="I27" s="20"/>
      <c r="J27" s="20"/>
      <c r="K27" s="17">
        <v>46259</v>
      </c>
      <c r="L27" s="17" t="str">
        <v>PETROL</v>
      </c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cm="1">
        <f t="array" ref="A28">IFERROR(INDEX(_xlfn.ANCHORARRAY($K$6),ROW()-5,1),"")</f>
        <v>46260</v>
      </c>
      <c r="B28" s="159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>56.04</v>
      </c>
      <c r="C28" s="161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>100.74</v>
      </c>
      <c r="D28" s="159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>5645.46</v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>DIESEL</v>
      </c>
      <c r="G28" s="57">
        <f>IF($H28="TOTAL",IFERROR(LOOKUP(9.99E+307,$G$6:$G27),""),IF($A28="","",G27+N(D28)-N(E28)))</f>
        <v>206352.31</v>
      </c>
      <c r="H28" s="20"/>
      <c r="I28" s="20"/>
      <c r="J28" s="20"/>
      <c r="K28" s="17">
        <v>46260</v>
      </c>
      <c r="L28" s="17" t="str">
        <v>DIESEL</v>
      </c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cm="1">
        <f t="array" ref="A29">IFERROR(INDEX(_xlfn.ANCHORARRAY($K$6),ROW()-5,1),"")</f>
        <v>46260</v>
      </c>
      <c r="B29" s="159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>5</v>
      </c>
      <c r="C29" s="161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>109.01</v>
      </c>
      <c r="D29" s="159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>545.04999999999995</v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>PETROL</v>
      </c>
      <c r="G29" s="57">
        <f>IF($H29="TOTAL",IFERROR(LOOKUP(9.99E+307,$G$6:$G28),""),IF($A29="","",G28+N(D29)-N(E29)))</f>
        <v>206897.36</v>
      </c>
      <c r="H29" s="20"/>
      <c r="I29" s="20"/>
      <c r="J29" s="20"/>
      <c r="K29" s="17">
        <v>46260</v>
      </c>
      <c r="L29" s="17" t="str">
        <v>PETROL</v>
      </c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cm="1">
        <f t="array" ref="A30">IFERROR(INDEX(_xlfn.ANCHORARRAY($K$6),ROW()-5,1),"")</f>
        <v>46261</v>
      </c>
      <c r="B30" s="159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>100.64</v>
      </c>
      <c r="C30" s="161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>100.74</v>
      </c>
      <c r="D30" s="159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>10138.469999999999</v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>DIESEL</v>
      </c>
      <c r="G30" s="57">
        <f>IF($H30="TOTAL",IFERROR(LOOKUP(9.99E+307,$G$6:$G29),""),IF($A30="","",G29+N(D30)-N(E30)))</f>
        <v>217035.83</v>
      </c>
      <c r="H30" s="20"/>
      <c r="I30" s="20"/>
      <c r="J30" s="20"/>
      <c r="K30" s="17">
        <v>46261</v>
      </c>
      <c r="L30" s="17" t="str">
        <v>DIESEL</v>
      </c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cm="1">
        <f t="array" ref="A31">IFERROR(INDEX(_xlfn.ANCHORARRAY($K$6),ROW()-5,1),"")</f>
        <v>46262</v>
      </c>
      <c r="B31" s="159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>20</v>
      </c>
      <c r="C31" s="161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>100.74</v>
      </c>
      <c r="D31" s="159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>2014.8</v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>DIESEL</v>
      </c>
      <c r="G31" s="57">
        <f>IF($H31="TOTAL",IFERROR(LOOKUP(9.99E+307,$G$6:$G30),""),IF($A31="","",G30+N(D31)-N(E31)))</f>
        <v>219050.62999999998</v>
      </c>
      <c r="H31" s="20"/>
      <c r="I31" s="20"/>
      <c r="J31" s="20"/>
      <c r="K31" s="17">
        <v>46262</v>
      </c>
      <c r="L31" s="17" t="str">
        <v>DIESEL</v>
      </c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80"/>
      <c r="R32" s="181"/>
      <c r="S32" s="182"/>
      <c r="T32" s="182"/>
      <c r="U32" s="182"/>
      <c r="V32" s="183"/>
      <c r="W32" s="185"/>
      <c r="X32" s="182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80"/>
      <c r="R34" s="181"/>
      <c r="S34" s="182"/>
      <c r="T34" s="182"/>
      <c r="U34" s="182"/>
      <c r="V34" s="183"/>
      <c r="W34" s="185"/>
      <c r="X34" s="182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80"/>
      <c r="R36" s="181"/>
      <c r="S36" s="182"/>
      <c r="T36" s="182"/>
      <c r="U36" s="182"/>
      <c r="V36" s="183"/>
      <c r="W36" s="185"/>
      <c r="X36" s="182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80"/>
      <c r="R38" s="181"/>
      <c r="S38" s="182"/>
      <c r="T38" s="182"/>
      <c r="U38" s="182"/>
      <c r="V38" s="183"/>
      <c r="W38" s="185"/>
      <c r="X38" s="182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80"/>
      <c r="R42" s="181"/>
      <c r="S42" s="182"/>
      <c r="T42" s="182"/>
      <c r="U42" s="182"/>
      <c r="V42" s="183"/>
      <c r="W42" s="185"/>
      <c r="X42" s="182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80"/>
      <c r="R48" s="369"/>
      <c r="S48" s="370"/>
      <c r="T48" s="370"/>
      <c r="U48" s="370"/>
      <c r="V48" s="371"/>
      <c r="W48" s="466"/>
      <c r="X48" s="370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80"/>
      <c r="R49" s="181"/>
      <c r="S49" s="182"/>
      <c r="T49" s="182"/>
      <c r="U49" s="182"/>
      <c r="V49" s="183"/>
      <c r="W49" s="185"/>
      <c r="X49" s="182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84"/>
      <c r="U81" s="17"/>
      <c r="V81" s="17"/>
      <c r="W81" s="201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84"/>
      <c r="U82" s="17"/>
      <c r="V82" s="17"/>
      <c r="W82" s="201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84"/>
      <c r="U83" s="17"/>
      <c r="V83" s="17"/>
      <c r="W83" s="201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84"/>
      <c r="U84" s="17"/>
      <c r="V84" s="17"/>
      <c r="W84" s="201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84"/>
      <c r="U85" s="17"/>
      <c r="V85" s="17"/>
      <c r="W85" s="201"/>
      <c r="X85" s="17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84"/>
      <c r="U86" s="17"/>
      <c r="V86" s="17"/>
      <c r="W86" s="201"/>
      <c r="X86" s="17"/>
    </row>
    <row r="87" spans="1:24" x14ac:dyDescent="0.2">
      <c r="B87" s="7"/>
      <c r="C87" s="7"/>
      <c r="D87" s="7"/>
      <c r="E87" s="8"/>
      <c r="G87" s="10"/>
      <c r="T87" s="16"/>
      <c r="W87" s="206"/>
    </row>
    <row r="88" spans="1:24" x14ac:dyDescent="0.2">
      <c r="B88" s="7"/>
      <c r="C88" s="7"/>
      <c r="D88" s="7"/>
      <c r="E88" s="8"/>
      <c r="G88" s="10"/>
      <c r="W88" s="206"/>
    </row>
    <row r="89" spans="1:24" x14ac:dyDescent="0.2">
      <c r="B89" s="7"/>
      <c r="C89" s="7"/>
      <c r="D89" s="7"/>
      <c r="E89" s="8"/>
      <c r="G89" s="10"/>
      <c r="W89" s="206"/>
    </row>
    <row r="90" spans="1:24" x14ac:dyDescent="0.2">
      <c r="B90" s="7"/>
      <c r="C90" s="7"/>
      <c r="D90" s="7"/>
      <c r="E90" s="8"/>
      <c r="G90" s="10"/>
      <c r="W90" s="206"/>
    </row>
    <row r="91" spans="1:24" x14ac:dyDescent="0.2">
      <c r="B91" s="7"/>
      <c r="C91" s="7"/>
      <c r="D91" s="7"/>
      <c r="E91" s="8"/>
      <c r="G91" s="10"/>
      <c r="W91" s="206"/>
    </row>
    <row r="92" spans="1:24" x14ac:dyDescent="0.2">
      <c r="B92" s="7"/>
      <c r="C92" s="7"/>
      <c r="D92" s="7"/>
      <c r="E92" s="8"/>
      <c r="G92" s="10"/>
      <c r="W92" s="206"/>
    </row>
    <row r="93" spans="1:24" x14ac:dyDescent="0.2">
      <c r="B93" s="7"/>
      <c r="C93" s="7"/>
      <c r="D93" s="7"/>
      <c r="E93" s="9"/>
      <c r="G93" s="10"/>
      <c r="W93" s="206"/>
    </row>
    <row r="94" spans="1:24" x14ac:dyDescent="0.2">
      <c r="B94" s="7"/>
      <c r="C94" s="7"/>
      <c r="D94" s="7"/>
      <c r="E94" s="9"/>
      <c r="G94" s="10"/>
      <c r="W94" s="206"/>
    </row>
    <row r="95" spans="1:24" x14ac:dyDescent="0.2">
      <c r="B95" s="7"/>
      <c r="C95" s="7"/>
      <c r="D95" s="7"/>
      <c r="E95" s="9"/>
      <c r="G95" s="10"/>
      <c r="W95" s="206"/>
    </row>
    <row r="96" spans="1:24" x14ac:dyDescent="0.2">
      <c r="W96" s="206"/>
    </row>
    <row r="97" spans="23:23" x14ac:dyDescent="0.2">
      <c r="W97" s="206"/>
    </row>
    <row r="98" spans="23:23" x14ac:dyDescent="0.2">
      <c r="W98" s="206"/>
    </row>
    <row r="99" spans="23:23" x14ac:dyDescent="0.2">
      <c r="W99" s="206"/>
    </row>
    <row r="100" spans="23:23" x14ac:dyDescent="0.2">
      <c r="W100" s="206"/>
    </row>
    <row r="101" spans="23:23" x14ac:dyDescent="0.2">
      <c r="W101" s="206"/>
    </row>
    <row r="102" spans="23:23" x14ac:dyDescent="0.2">
      <c r="W102" s="206"/>
    </row>
    <row r="103" spans="23:23" x14ac:dyDescent="0.2">
      <c r="W103" s="206"/>
    </row>
    <row r="104" spans="23:23" x14ac:dyDescent="0.2">
      <c r="W104" s="206"/>
    </row>
    <row r="105" spans="23:23" x14ac:dyDescent="0.2">
      <c r="W105" s="206"/>
    </row>
    <row r="106" spans="23:23" x14ac:dyDescent="0.2">
      <c r="W106" s="206"/>
    </row>
    <row r="107" spans="23:23" x14ac:dyDescent="0.2">
      <c r="W107" s="206"/>
    </row>
    <row r="108" spans="23:23" x14ac:dyDescent="0.2">
      <c r="W108" s="206"/>
    </row>
    <row r="109" spans="23:23" x14ac:dyDescent="0.2">
      <c r="W109" s="206"/>
    </row>
    <row r="110" spans="23:23" x14ac:dyDescent="0.2">
      <c r="W110" s="206"/>
    </row>
    <row r="111" spans="23:23" x14ac:dyDescent="0.2">
      <c r="W111" s="206"/>
    </row>
    <row r="112" spans="23:23" x14ac:dyDescent="0.2">
      <c r="W112" s="206"/>
    </row>
    <row r="113" spans="17:24" x14ac:dyDescent="0.2">
      <c r="Q113" s="208"/>
      <c r="R113" s="208"/>
      <c r="S113" s="208"/>
      <c r="T113" s="208"/>
      <c r="U113" s="208"/>
      <c r="V113" s="208"/>
      <c r="W113" s="209"/>
      <c r="X113" s="208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28" priority="14">
      <formula>AND($A6&lt;&gt;"",$A6=$A5)</formula>
    </cfRule>
  </conditionalFormatting>
  <conditionalFormatting sqref="A6:A85">
    <cfRule type="expression" dxfId="1827" priority="10">
      <formula>$A6=$A5</formula>
    </cfRule>
  </conditionalFormatting>
  <conditionalFormatting sqref="B5:D92">
    <cfRule type="expression" dxfId="1826" priority="3">
      <formula>$F5="PETROL"</formula>
    </cfRule>
  </conditionalFormatting>
  <conditionalFormatting sqref="B5:D95">
    <cfRule type="expression" dxfId="1825" priority="5">
      <formula>AND(ISNUMBER(B5),MOD(B5,1)&lt;&gt;0)</formula>
    </cfRule>
  </conditionalFormatting>
  <conditionalFormatting sqref="B7:G60">
    <cfRule type="expression" dxfId="1824" priority="13">
      <formula>$H7="TOTAL"</formula>
    </cfRule>
  </conditionalFormatting>
  <conditionalFormatting sqref="E5:E95">
    <cfRule type="expression" dxfId="1823" priority="8">
      <formula>AND(ISNUMBER(E5),MOD(E5,1)&lt;&gt;0)</formula>
    </cfRule>
  </conditionalFormatting>
  <conditionalFormatting sqref="F5:F92">
    <cfRule type="expression" dxfId="1822" priority="4">
      <formula>$F5="PETROL"</formula>
    </cfRule>
  </conditionalFormatting>
  <conditionalFormatting sqref="G5:G95">
    <cfRule type="expression" dxfId="1821" priority="9">
      <formula>AND(ISNUMBER(G5),MOD(G5,1)&lt;&gt;0)</formula>
    </cfRule>
  </conditionalFormatting>
  <conditionalFormatting sqref="R13:R94">
    <cfRule type="expression" dxfId="1820" priority="11">
      <formula>AND(R13&lt;&gt;"",R13=R12)</formula>
    </cfRule>
  </conditionalFormatting>
  <conditionalFormatting sqref="R13:X94">
    <cfRule type="expression" dxfId="1819" priority="12">
      <formula>$X13="Petrol"</formula>
    </cfRule>
  </conditionalFormatting>
  <hyperlinks>
    <hyperlink ref="K1" location="Index!A1" display="→ Index" xr:uid="{AD055484-D9A2-EA48-B57F-C9BF22E859E8}"/>
  </hyperlinks>
  <printOptions horizontalCentered="1"/>
  <pageMargins left="0.25" right="0.25" top="0.25" bottom="1.35" header="0" footer="0.5"/>
  <pageSetup paperSize="9" orientation="portrait" r:id="rId1"/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AAE22-53EA-AF4C-ADF0-ACDF7DFE29B8}">
  <sheetPr codeName="Sheet13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">
        <v>1190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96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IFERROR(INDEX(Outstanding!$N$4:$Z$69,MATCH($K$3,Outstanding!$M$4:$M$66,0),MATCH($A$5,Outstanding!$N$3:$Z$3,0)),0)</f>
        <v>352591.5</v>
      </c>
      <c r="H5" s="20"/>
      <c r="I5" s="58">
        <f>G5+SUM(D5:D45)-SUM(E5:E45)</f>
        <v>403695.94999999972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1500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100.24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150360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502951.5</v>
      </c>
      <c r="H6" s="20"/>
      <c r="I6" s="20"/>
      <c r="J6" s="20"/>
      <c r="K6" cm="1">
        <f t="array" ref="K6:L24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46237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2100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100.24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210504</v>
      </c>
      <c r="E7" s="61">
        <f>IF($H7="TOTAL",SUM($E$6:$E6)-SUMIF($H$6:$H6,"TOTAL",$E$6:$E6),IF($A7="",0,IF(COUNTIF($A$6:$A7,$A7)=1,SUMIFS(MasterPaid[Amount Paid],MasterPaid[Customer],$K$3,MasterPaid[Date],$A7),0)))</f>
        <v>502951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210504.5</v>
      </c>
      <c r="H7" s="20"/>
      <c r="I7" s="20"/>
      <c r="J7" s="20"/>
      <c r="K7" s="17">
        <v>46237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46239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1999.82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100.24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200461.96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410966.45999999996</v>
      </c>
      <c r="H8" s="20"/>
      <c r="I8" s="20"/>
      <c r="J8" s="20"/>
      <c r="K8" s="17">
        <v>46239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46241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2000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100.24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200480</v>
      </c>
      <c r="E9" s="61">
        <f>IF($H9="TOTAL",SUM($E$6:$E8)-SUMIF($H$6:$H8,"TOTAL",$E$6:$E8),IF($A9="",0,IF(COUNTIF($A$6:$A9,$A9)=1,SUMIFS(MasterPaid[Amount Paid],MasterPaid[Customer],$K$3,MasterPaid[Date],$A9),0)))</f>
        <v>410966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200480.45999999996</v>
      </c>
      <c r="H9" s="20"/>
      <c r="I9" s="20"/>
      <c r="J9" s="20"/>
      <c r="K9" s="17">
        <v>46241</v>
      </c>
      <c r="L9" s="17" t="str">
        <v>DIESEL</v>
      </c>
      <c r="M9" s="17"/>
      <c r="N9" s="17"/>
      <c r="O9" s="17"/>
      <c r="P9" s="17"/>
      <c r="Q9" s="63" t="str">
        <f>K3</f>
        <v>Shivaay Logistics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46243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2000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100.24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200480</v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400960.45999999996</v>
      </c>
      <c r="H10" s="20"/>
      <c r="I10" s="20"/>
      <c r="J10" s="20"/>
      <c r="K10" s="17">
        <v>46243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46244</v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0</v>
      </c>
      <c r="E11" s="61">
        <f>IF($H11="TOTAL",SUM($E$6:$E10)-SUMIF($H$6:$H10,"TOTAL",$E$6:$E10),IF($A11="",0,IF(COUNTIF($A$6:$A11,$A11)=1,SUMIFS(MasterPaid[Amount Paid],MasterPaid[Customer],$K$3,MasterPaid[Date],$A11),0)))</f>
        <v>400960</v>
      </c>
      <c r="F11" s="62" t="str" cm="1">
        <f t="array" ref="F11">IFERROR(INDEX(_xlfn.ANCHORARRAY($K$6),ROW()-5,2),"")</f>
        <v/>
      </c>
      <c r="G11" s="57">
        <f>IF($H11="TOTAL",IFERROR(LOOKUP(9.99E+307,$G$6:$G10),""),IF($A11="","",G10+N(D11)-N(E11)))</f>
        <v>0.4599999999627471</v>
      </c>
      <c r="H11" s="20"/>
      <c r="I11" s="20"/>
      <c r="J11" s="20"/>
      <c r="K11" s="17">
        <v>46244</v>
      </c>
      <c r="L11" s="17" t="str">
        <v/>
      </c>
      <c r="M11" s="17"/>
      <c r="N11" s="17"/>
      <c r="O11" s="17"/>
      <c r="P11" s="17"/>
      <c r="Q11" s="199" t="str">
        <f>IFERROR(_xlfn.XLOOKUP($K$3,'Customer GST'!$A:$A,'Customer GST'!$B:$B,""),"")</f>
        <v>GSTIN:21AERFS8379H1ZD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46245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2000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100.24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200480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200480.45999999996</v>
      </c>
      <c r="H12" s="20"/>
      <c r="I12" s="20"/>
      <c r="J12" s="20"/>
      <c r="K12" s="17">
        <v>46245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46246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2000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100.24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200480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400960.45999999996</v>
      </c>
      <c r="H13" s="20"/>
      <c r="I13" s="20"/>
      <c r="J13" s="20"/>
      <c r="K13" s="17">
        <v>46246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2530</v>
      </c>
      <c r="T13" s="53" t="str">
        <f ca="1"/>
        <v>OD15AF5510</v>
      </c>
      <c r="U13" s="53">
        <f ca="1"/>
        <v>2027.29</v>
      </c>
      <c r="V13" s="53">
        <f ca="1"/>
        <v>100.24</v>
      </c>
      <c r="W13" s="184">
        <f ca="1"/>
        <v>203215.55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46247</v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0</v>
      </c>
      <c r="E14" s="61">
        <f>IF($H14="TOTAL",SUM($E$6:$E13)-SUMIF($H$6:$H13,"TOTAL",$E$6:$E13),IF($A14="",0,IF(COUNTIF($A$6:$A14,$A14)=1,SUMIFS(MasterPaid[Amount Paid],MasterPaid[Customer],$K$3,MasterPaid[Date],$A14),0)))</f>
        <v>300000</v>
      </c>
      <c r="F14" s="62" t="str" cm="1">
        <f t="array" ref="F14">IFERROR(INDEX(_xlfn.ANCHORARRAY($K$6),ROW()-5,2),"")</f>
        <v/>
      </c>
      <c r="G14" s="57">
        <f>IF($H14="TOTAL",IFERROR(LOOKUP(9.99E+307,$G$6:$G13),""),IF($A14="","",G13+N(D14)-N(E14)))</f>
        <v>100960.45999999996</v>
      </c>
      <c r="H14" s="20"/>
      <c r="I14" s="20"/>
      <c r="J14" s="20"/>
      <c r="K14" s="17">
        <v>46247</v>
      </c>
      <c r="L14" s="17" t="str">
        <v/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46248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2000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100.24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200480</v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301440.45999999996</v>
      </c>
      <c r="H15" s="20"/>
      <c r="I15" s="20"/>
      <c r="J15" s="20"/>
      <c r="K15" s="17">
        <v>46248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46250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2000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100.24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200480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501920.45999999996</v>
      </c>
      <c r="H16" s="20"/>
      <c r="I16" s="20"/>
      <c r="J16" s="20"/>
      <c r="K16" s="17">
        <v>46250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46252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2000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100.24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200480</v>
      </c>
      <c r="E17" s="61">
        <f>IF($H17="TOTAL",SUM($E$6:$E16)-SUMIF($H$6:$H16,"TOTAL",$E$6:$E16),IF($A17="",0,IF(COUNTIF($A$6:$A17,$A17)=1,SUMIFS(MasterPaid[Amount Paid],MasterPaid[Customer],$K$3,MasterPaid[Date],$A17),0)))</f>
        <v>500000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202400.45999999996</v>
      </c>
      <c r="H17" s="20"/>
      <c r="I17" s="20"/>
      <c r="J17" s="20"/>
      <c r="K17" s="17">
        <v>46252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46254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2400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100.24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240576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442976.45999999996</v>
      </c>
      <c r="H18" s="20"/>
      <c r="I18" s="20"/>
      <c r="J18" s="20"/>
      <c r="K18" s="17">
        <v>46254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46255</v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0</v>
      </c>
      <c r="E19" s="61">
        <f>IF($H19="TOTAL",SUM($E$6:$E18)-SUMIF($H$6:$H18,"TOTAL",$E$6:$E18),IF($A19="",0,IF(COUNTIF($A$6:$A19,$A19)=1,SUMIFS(MasterPaid[Amount Paid],MasterPaid[Customer],$K$3,MasterPaid[Date],$A19),0)))</f>
        <v>442976</v>
      </c>
      <c r="F19" s="62" t="str" cm="1">
        <f t="array" ref="F19">IFERROR(INDEX(_xlfn.ANCHORARRAY($K$6),ROW()-5,2),"")</f>
        <v/>
      </c>
      <c r="G19" s="57">
        <f>IF($H19="TOTAL",IFERROR(LOOKUP(9.99E+307,$G$6:$G18),""),IF($A19="","",G18+N(D19)-N(E19)))</f>
        <v>0.4599999999627471</v>
      </c>
      <c r="H19" s="20"/>
      <c r="I19" s="20"/>
      <c r="J19" s="20"/>
      <c r="K19" s="17">
        <v>46255</v>
      </c>
      <c r="L19" s="17" t="str">
        <v/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46256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1999.73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100.24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200452.94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200453.39999999997</v>
      </c>
      <c r="H20" s="20"/>
      <c r="I20" s="20"/>
      <c r="J20" s="20"/>
      <c r="K20" s="31">
        <v>46256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46258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2000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100.24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200480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400933.39999999997</v>
      </c>
      <c r="H21" s="20"/>
      <c r="I21" s="20"/>
      <c r="J21" s="20"/>
      <c r="K21" s="17">
        <v>46258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46259</v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0</v>
      </c>
      <c r="E22" s="61">
        <f>IF($H22="TOTAL",SUM($E$6:$E21)-SUMIF($H$6:$H21,"TOTAL",$E$6:$E21),IF($A22="",0,IF(COUNTIF($A$6:$A22,$A22)=1,SUMIFS(MasterPaid[Amount Paid],MasterPaid[Customer],$K$3,MasterPaid[Date],$A22),0)))</f>
        <v>400933</v>
      </c>
      <c r="F22" s="62" t="str" cm="1">
        <f t="array" ref="F22">IFERROR(INDEX(_xlfn.ANCHORARRAY($K$6),ROW()-5,2),"")</f>
        <v/>
      </c>
      <c r="G22" s="57">
        <f>IF($H22="TOTAL",IFERROR(LOOKUP(9.99E+307,$G$6:$G21),""),IF($A22="","",G21+N(D22)-N(E22)))</f>
        <v>0.3999999999650754</v>
      </c>
      <c r="H22" s="20"/>
      <c r="I22" s="20"/>
      <c r="J22" s="20"/>
      <c r="K22" s="17">
        <v>46259</v>
      </c>
      <c r="L22" s="17" t="str">
        <v/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46260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2000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100.24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200480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200480.39999999997</v>
      </c>
      <c r="H23" s="20"/>
      <c r="I23" s="20"/>
      <c r="J23" s="20"/>
      <c r="K23" s="17">
        <v>46260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46262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2027.29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100.24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203215.55</v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403695.94999999995</v>
      </c>
      <c r="H24" s="20"/>
      <c r="I24" s="20"/>
      <c r="J24" s="20"/>
      <c r="K24" s="17">
        <v>46262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80"/>
      <c r="R31" s="181"/>
      <c r="S31" s="182"/>
      <c r="T31" s="182"/>
      <c r="U31" s="182"/>
      <c r="V31" s="183"/>
      <c r="W31" s="185"/>
      <c r="X31" s="182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18" priority="14">
      <formula>AND($A6&lt;&gt;"",$A6=$A5)</formula>
    </cfRule>
  </conditionalFormatting>
  <conditionalFormatting sqref="A6:A85">
    <cfRule type="expression" dxfId="1817" priority="10">
      <formula>$A6=$A5</formula>
    </cfRule>
  </conditionalFormatting>
  <conditionalFormatting sqref="B5:D92">
    <cfRule type="expression" dxfId="1816" priority="3">
      <formula>$F5="PETROL"</formula>
    </cfRule>
  </conditionalFormatting>
  <conditionalFormatting sqref="B5:D95">
    <cfRule type="expression" dxfId="1815" priority="5">
      <formula>AND(ISNUMBER(B5),MOD(B5,1)&lt;&gt;0)</formula>
    </cfRule>
  </conditionalFormatting>
  <conditionalFormatting sqref="B7:G60">
    <cfRule type="expression" dxfId="1814" priority="13">
      <formula>$H7="TOTAL"</formula>
    </cfRule>
  </conditionalFormatting>
  <conditionalFormatting sqref="E5:E95">
    <cfRule type="expression" dxfId="1813" priority="8">
      <formula>AND(ISNUMBER(E5),MOD(E5,1)&lt;&gt;0)</formula>
    </cfRule>
  </conditionalFormatting>
  <conditionalFormatting sqref="F5:F92">
    <cfRule type="expression" dxfId="1812" priority="4">
      <formula>$F5="PETROL"</formula>
    </cfRule>
  </conditionalFormatting>
  <conditionalFormatting sqref="G5:G95">
    <cfRule type="expression" dxfId="1811" priority="9">
      <formula>AND(ISNUMBER(G5),MOD(G5,1)&lt;&gt;0)</formula>
    </cfRule>
  </conditionalFormatting>
  <conditionalFormatting sqref="R13:R106">
    <cfRule type="expression" dxfId="1810" priority="11">
      <formula>AND(R13&lt;&gt;"",R13=R12)</formula>
    </cfRule>
  </conditionalFormatting>
  <conditionalFormatting sqref="R13:X106">
    <cfRule type="expression" dxfId="1809" priority="12">
      <formula>$X13="Petrol"</formula>
    </cfRule>
  </conditionalFormatting>
  <hyperlinks>
    <hyperlink ref="K1" location="Index!A1" display="→ Index" xr:uid="{7FDD81A0-CEF1-294B-95F7-B21AAE548757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C8B6-B481-7748-9C9C-B35E23A9C236}">
  <sheetPr codeName="Sheet35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A.K.V. Logistics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3083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IFERROR(INDEX(Outstanding!$N$4:$Z$70,MATCH($K$3,Outstanding!$M$4:$M$69,0),MATCH($A$5,Outstanding!$N$3:$Z$3,0)),0)</f>
        <v>-19926.13</v>
      </c>
      <c r="H5" s="20"/>
      <c r="I5" s="58">
        <f>G5+SUM(D5:D45)-SUM(E5:E45)</f>
        <v>0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197.8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19926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-0.13000000000101863</v>
      </c>
      <c r="H6" s="20"/>
      <c r="I6" s="20"/>
      <c r="J6" s="20"/>
      <c r="K6" cm="1">
        <f t="array" ref="K6:L20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225.89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22756.15</v>
      </c>
      <c r="E7" s="61">
        <f>IF($H7="TOTAL",SUM($E$6:$E6)-SUMIF($H$6:$H6,"TOTAL",$E$6:$E6),IF($A7="",0,IF(COUNTIF($A$6:$A7,$A7)=1,SUMIFS(MasterPaid[Amount Paid],MasterPaid[Customer],$K$3,MasterPaid[Date],$A7),0)))</f>
        <v>30000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-7243.98</v>
      </c>
      <c r="H7" s="20"/>
      <c r="I7" s="20"/>
      <c r="J7" s="20"/>
      <c r="K7" s="17">
        <v>46236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46237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200.95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20243.98</v>
      </c>
      <c r="E8" s="61">
        <f>IF($H8="TOTAL",SUM($E$6:$E7)-SUMIF($H$6:$H7,"TOTAL",$E$6:$E7),IF($A8="",0,IF(COUNTIF($A$6:$A8,$A8)=1,SUMIFS(MasterPaid[Amount Paid],MasterPaid[Customer],$K$3,MasterPaid[Date],$A8),0)))</f>
        <v>13000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0</v>
      </c>
      <c r="H8" s="20"/>
      <c r="I8" s="20"/>
      <c r="J8" s="20"/>
      <c r="K8" s="17">
        <v>46237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46238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297.8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30000</v>
      </c>
      <c r="E9" s="61">
        <f>IF($H9="TOTAL",SUM($E$6:$E8)-SUMIF($H$6:$H8,"TOTAL",$E$6:$E8),IF($A9="",0,IF(COUNTIF($A$6:$A9,$A9)=1,SUMIFS(MasterPaid[Amount Paid],MasterPaid[Customer],$K$3,MasterPaid[Date],$A9),0)))</f>
        <v>60000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-30000</v>
      </c>
      <c r="H9" s="20"/>
      <c r="I9" s="20"/>
      <c r="J9" s="20"/>
      <c r="K9" s="17">
        <v>46238</v>
      </c>
      <c r="L9" s="17" t="str">
        <v>DIESEL</v>
      </c>
      <c r="M9" s="17"/>
      <c r="N9" s="17"/>
      <c r="O9" s="17"/>
      <c r="P9" s="17"/>
      <c r="Q9" s="63" t="str">
        <f>K3</f>
        <v>A.K.V. Logistics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46239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297.8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30000</v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0</v>
      </c>
      <c r="H10" s="20"/>
      <c r="I10" s="20"/>
      <c r="J10" s="20"/>
      <c r="K10" s="17">
        <v>46239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46242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297.8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30000</v>
      </c>
      <c r="E11" s="61">
        <f>IF($H11="TOTAL",SUM($E$6:$E10)-SUMIF($H$6:$H10,"TOTAL",$E$6:$E10),IF($A11="",0,IF(COUNTIF($A$6:$A11,$A11)=1,SUMIFS(MasterPaid[Amount Paid],MasterPaid[Customer],$K$3,MasterPaid[Date],$A11),0)))</f>
        <v>30000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0</v>
      </c>
      <c r="H11" s="20"/>
      <c r="I11" s="20"/>
      <c r="J11" s="20"/>
      <c r="K11" s="17">
        <v>46242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 09ABFFA8986K1ZN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46243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297.8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30000</v>
      </c>
      <c r="E12" s="61">
        <f>IF($H12="TOTAL",SUM($E$6:$E11)-SUMIF($H$6:$H11,"TOTAL",$E$6:$E11),IF($A12="",0,IF(COUNTIF($A$6:$A12,$A12)=1,SUMIFS(MasterPaid[Amount Paid],MasterPaid[Customer],$K$3,MasterPaid[Date],$A12),0)))</f>
        <v>30000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0</v>
      </c>
      <c r="H12" s="20"/>
      <c r="I12" s="20"/>
      <c r="J12" s="20"/>
      <c r="K12" s="17">
        <v>46243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46246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297.8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30000</v>
      </c>
      <c r="E13" s="61">
        <f>IF($H13="TOTAL",SUM($E$6:$E12)-SUMIF($H$6:$H12,"TOTAL",$E$6:$E12),IF($A13="",0,IF(COUNTIF($A$6:$A13,$A13)=1,SUMIFS(MasterPaid[Amount Paid],MasterPaid[Customer],$K$3,MasterPaid[Date],$A13),0)))</f>
        <v>30000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0</v>
      </c>
      <c r="H13" s="20"/>
      <c r="I13" s="20"/>
      <c r="J13" s="20"/>
      <c r="K13" s="17">
        <v>46246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2478</v>
      </c>
      <c r="T13" s="53" t="str">
        <f ca="1"/>
        <v>OD23M0874</v>
      </c>
      <c r="U13" s="53">
        <f ca="1"/>
        <v>297.8</v>
      </c>
      <c r="V13" s="53">
        <f ca="1"/>
        <v>100.74</v>
      </c>
      <c r="W13" s="184">
        <f ca="1"/>
        <v>30000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46250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150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15111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15111</v>
      </c>
      <c r="H14" s="20"/>
      <c r="I14" s="20"/>
      <c r="J14" s="20"/>
      <c r="K14" s="17">
        <v>46250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46251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198.53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20000</v>
      </c>
      <c r="E15" s="61">
        <f>IF($H15="TOTAL",SUM($E$6:$E14)-SUMIF($H$6:$H14,"TOTAL",$E$6:$E14),IF($A15="",0,IF(COUNTIF($A$6:$A15,$A15)=1,SUMIFS(MasterPaid[Amount Paid],MasterPaid[Customer],$K$3,MasterPaid[Date],$A15),0)))</f>
        <v>50000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-14889</v>
      </c>
      <c r="H15" s="20"/>
      <c r="I15" s="20"/>
      <c r="J15" s="20"/>
      <c r="K15" s="17">
        <v>46251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46252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147.80000000000001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14889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0</v>
      </c>
      <c r="H16" s="20"/>
      <c r="I16" s="20"/>
      <c r="J16" s="20"/>
      <c r="K16" s="17">
        <v>46252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46253</v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0</v>
      </c>
      <c r="E17" s="61">
        <f>IF($H17="TOTAL",SUM($E$6:$E16)-SUMIF($H$6:$H16,"TOTAL",$E$6:$E16),IF($A17="",0,IF(COUNTIF($A$6:$A17,$A17)=1,SUMIFS(MasterPaid[Amount Paid],MasterPaid[Customer],$K$3,MasterPaid[Date],$A17),0)))</f>
        <v>30000</v>
      </c>
      <c r="F17" s="62" t="str" cm="1">
        <f t="array" ref="F17">IFERROR(INDEX(_xlfn.ANCHORARRAY($K$6),ROW()-5,2),"")</f>
        <v/>
      </c>
      <c r="G17" s="57">
        <f>IF($H17="TOTAL",IFERROR(LOOKUP(9.99E+307,$G$6:$G16),""),IF($A17="","",G16+N(D17)-N(E17)))</f>
        <v>-30000</v>
      </c>
      <c r="H17" s="20"/>
      <c r="I17" s="20"/>
      <c r="J17" s="20"/>
      <c r="K17" s="17">
        <v>46253</v>
      </c>
      <c r="L17" s="17" t="str">
        <v/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46254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297.8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30000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0</v>
      </c>
      <c r="H18" s="20"/>
      <c r="I18" s="20"/>
      <c r="J18" s="20"/>
      <c r="K18" s="17">
        <v>46254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46258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297.8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30000</v>
      </c>
      <c r="E19" s="61">
        <f>IF($H19="TOTAL",SUM($E$6:$E18)-SUMIF($H$6:$H18,"TOTAL",$E$6:$E18),IF($A19="",0,IF(COUNTIF($A$6:$A19,$A19)=1,SUMIFS(MasterPaid[Amount Paid],MasterPaid[Customer],$K$3,MasterPaid[Date],$A19),0)))</f>
        <v>30000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0</v>
      </c>
      <c r="H19" s="20"/>
      <c r="I19" s="20"/>
      <c r="J19" s="20"/>
      <c r="K19" s="17">
        <v>46258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46262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297.8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30000</v>
      </c>
      <c r="E20" s="61">
        <f>IF($H20="TOTAL",SUM($E$6:$E19)-SUMIF($H$6:$H19,"TOTAL",$E$6:$E19),IF($A20="",0,IF(COUNTIF($A$6:$A20,$A20)=1,SUMIFS(MasterPaid[Amount Paid],MasterPaid[Customer],$K$3,MasterPaid[Date],$A20),0)))</f>
        <v>30000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0</v>
      </c>
      <c r="H20" s="20"/>
      <c r="I20" s="20"/>
      <c r="J20" s="20"/>
      <c r="K20" s="31">
        <v>46262</v>
      </c>
      <c r="L20" s="17" t="str">
        <v>DIESEL</v>
      </c>
      <c r="M20" s="17"/>
      <c r="N20" s="17"/>
      <c r="O20" s="17"/>
      <c r="P20" s="17"/>
      <c r="Q20" s="180"/>
      <c r="R20" s="181"/>
      <c r="S20" s="182"/>
      <c r="T20" s="182"/>
      <c r="U20" s="182"/>
      <c r="V20" s="183"/>
      <c r="W20" s="185"/>
      <c r="X20" s="182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808" priority="10">
      <formula>AND($A6&lt;&gt;"",$A6=$A5)</formula>
    </cfRule>
  </conditionalFormatting>
  <conditionalFormatting sqref="A6:A85">
    <cfRule type="expression" dxfId="1807" priority="6">
      <formula>$A6=$A5</formula>
    </cfRule>
  </conditionalFormatting>
  <conditionalFormatting sqref="B5:D92">
    <cfRule type="expression" dxfId="1806" priority="1">
      <formula>$F5="PETROL"</formula>
    </cfRule>
  </conditionalFormatting>
  <conditionalFormatting sqref="B5:D95">
    <cfRule type="expression" dxfId="1805" priority="3">
      <formula>AND(ISNUMBER(B5),MOD(B5,1)&lt;&gt;0)</formula>
    </cfRule>
  </conditionalFormatting>
  <conditionalFormatting sqref="B7:G60">
    <cfRule type="expression" dxfId="1804" priority="9">
      <formula>$H7="TOTAL"</formula>
    </cfRule>
  </conditionalFormatting>
  <conditionalFormatting sqref="E5:E95">
    <cfRule type="expression" dxfId="1803" priority="4">
      <formula>AND(ISNUMBER(E5),MOD(E5,1)&lt;&gt;0)</formula>
    </cfRule>
  </conditionalFormatting>
  <conditionalFormatting sqref="F5:F92">
    <cfRule type="expression" dxfId="1802" priority="2">
      <formula>$F5="PETROL"</formula>
    </cfRule>
  </conditionalFormatting>
  <conditionalFormatting sqref="G5:G95">
    <cfRule type="expression" dxfId="1801" priority="5">
      <formula>AND(ISNUMBER(G5),MOD(G5,1)&lt;&gt;0)</formula>
    </cfRule>
  </conditionalFormatting>
  <conditionalFormatting sqref="R13:R106">
    <cfRule type="expression" dxfId="1800" priority="7">
      <formula>AND(R13&lt;&gt;"",R13=R12)</formula>
    </cfRule>
  </conditionalFormatting>
  <conditionalFormatting sqref="R13:X106">
    <cfRule type="expression" dxfId="1799" priority="8">
      <formula>$X13="Petrol"</formula>
    </cfRule>
  </conditionalFormatting>
  <hyperlinks>
    <hyperlink ref="K1" location="Index!A1" display="→ Index" xr:uid="{7153E314-2BAF-5D44-A056-C8CED8A6C3BD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BB39F-AE04-D745-B97A-15F971019F0E}">
  <sheetPr codeName="Sheet32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34" t="str">
        <f>$K$3</f>
        <v>Bhatia Energy and Minerals (Sundargarh) Private Limited</v>
      </c>
      <c r="B1" s="535"/>
      <c r="C1" s="535"/>
      <c r="D1" s="535"/>
      <c r="E1" s="535"/>
      <c r="F1" s="535"/>
      <c r="G1" s="536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2611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IFERROR(INDEX(Outstanding!$N$4:$Z$70,MATCH($K$3,Outstanding!$M$4:$M$69,0),MATCH($A$5,Outstanding!$N$3:$Z$3,0)),0)</f>
        <v>-1.23</v>
      </c>
      <c r="H5" s="20"/>
      <c r="I5" s="58">
        <f>G5+SUM(D5:D45)-SUM(E5:E45)</f>
        <v>-60001.229999999981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46236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99.27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10000</v>
      </c>
      <c r="E6" s="61">
        <f>IF($H6="TOTAL",0,IF($A6="",0,IF(COUNTIF($A$6:$A6,$A6)=1,SUMIFS(MasterPaid[Amount Paid],MasterPaid[Customer],$K$3,MasterPaid[Date],$A6),0)))</f>
        <v>30000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-20001.23</v>
      </c>
      <c r="H6" s="20"/>
      <c r="I6" s="20"/>
      <c r="J6" s="20"/>
      <c r="K6" cm="1">
        <f t="array" ref="K6:L19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46236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46237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198.53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20000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-1.2299999999995634</v>
      </c>
      <c r="H7" s="20"/>
      <c r="I7" s="20"/>
      <c r="J7" s="20"/>
      <c r="K7" s="17">
        <v>46237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46238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248.17000000000002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25000</v>
      </c>
      <c r="E8" s="61">
        <f>IF($H8="TOTAL",SUM($E$6:$E7)-SUMIF($H$6:$H7,"TOTAL",$E$6:$E7),IF($A8="",0,IF(COUNTIF($A$6:$A8,$A8)=1,SUMIFS(MasterPaid[Amount Paid],MasterPaid[Customer],$K$3,MasterPaid[Date],$A8),0)))</f>
        <v>25000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-1.2299999999995634</v>
      </c>
      <c r="H8" s="20"/>
      <c r="I8" s="20"/>
      <c r="J8" s="20"/>
      <c r="K8" s="17">
        <v>46238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46239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248.16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25000</v>
      </c>
      <c r="E9" s="61">
        <f>IF($H9="TOTAL",SUM($E$6:$E8)-SUMIF($H$6:$H8,"TOTAL",$E$6:$E8),IF($A9="",0,IF(COUNTIF($A$6:$A9,$A9)=1,SUMIFS(MasterPaid[Amount Paid],MasterPaid[Customer],$K$3,MasterPaid[Date],$A9),0)))</f>
        <v>25000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-1.2299999999995634</v>
      </c>
      <c r="H9" s="20"/>
      <c r="I9" s="20"/>
      <c r="J9" s="20"/>
      <c r="K9" s="17">
        <v>46239</v>
      </c>
      <c r="L9" s="17" t="str">
        <v>DIESEL</v>
      </c>
      <c r="M9" s="17"/>
      <c r="N9" s="17"/>
      <c r="O9" s="17"/>
      <c r="P9" s="17"/>
      <c r="Q9" s="399" t="str">
        <f>K3</f>
        <v>Bhatia Energy and Minerals (Sundargarh) Private Limited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46240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248.16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25000</v>
      </c>
      <c r="E10" s="61">
        <f>IF($H10="TOTAL",SUM($E$6:$E9)-SUMIF($H$6:$H9,"TOTAL",$E$6:$E9),IF($A10="",0,IF(COUNTIF($A$6:$A10,$A10)=1,SUMIFS(MasterPaid[Amount Paid],MasterPaid[Customer],$K$3,MasterPaid[Date],$A10),0)))</f>
        <v>25000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-1.2299999999995634</v>
      </c>
      <c r="H10" s="20"/>
      <c r="I10" s="20"/>
      <c r="J10" s="20"/>
      <c r="K10" s="17">
        <v>46240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46242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248.16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25000</v>
      </c>
      <c r="E11" s="61">
        <f>IF($H11="TOTAL",SUM($E$6:$E10)-SUMIF($H$6:$H10,"TOTAL",$E$6:$E10),IF($A11="",0,IF(COUNTIF($A$6:$A11,$A11)=1,SUMIFS(MasterPaid[Amount Paid],MasterPaid[Customer],$K$3,MasterPaid[Date],$A11),0)))</f>
        <v>25000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-1.2299999999995634</v>
      </c>
      <c r="H11" s="20"/>
      <c r="I11" s="20"/>
      <c r="J11" s="20"/>
      <c r="K11" s="17">
        <v>46242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 21AAICB3285D2Z1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46243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148.9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15000</v>
      </c>
      <c r="E12" s="61">
        <f>IF($H12="TOTAL",SUM($E$6:$E11)-SUMIF($H$6:$H11,"TOTAL",$E$6:$E11),IF($A12="",0,IF(COUNTIF($A$6:$A12,$A12)=1,SUMIFS(MasterPaid[Amount Paid],MasterPaid[Customer],$K$3,MasterPaid[Date],$A12),0)))</f>
        <v>15000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-1.2299999999995634</v>
      </c>
      <c r="H12" s="20"/>
      <c r="I12" s="20"/>
      <c r="J12" s="20"/>
      <c r="K12" s="17">
        <v>46243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46244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148.88999999999999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15000</v>
      </c>
      <c r="E13" s="61">
        <f>IF($H13="TOTAL",SUM($E$6:$E12)-SUMIF($H$6:$H12,"TOTAL",$E$6:$E12),IF($A13="",0,IF(COUNTIF($A$6:$A13,$A13)=1,SUMIFS(MasterPaid[Amount Paid],MasterPaid[Customer],$K$3,MasterPaid[Date],$A13),0)))</f>
        <v>15000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-1.2299999999995634</v>
      </c>
      <c r="H13" s="20"/>
      <c r="I13" s="20"/>
      <c r="J13" s="20"/>
      <c r="K13" s="17">
        <v>46244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2528</v>
      </c>
      <c r="T13" s="53" t="str">
        <f ca="1"/>
        <v>OD15AF5510</v>
      </c>
      <c r="U13" s="53">
        <f ca="1"/>
        <v>198.53</v>
      </c>
      <c r="V13" s="53">
        <f ca="1"/>
        <v>100.74</v>
      </c>
      <c r="W13" s="184">
        <f ca="1"/>
        <v>20000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46245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248.16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25000</v>
      </c>
      <c r="E14" s="61">
        <f>IF($H14="TOTAL",SUM($E$6:$E13)-SUMIF($H$6:$H13,"TOTAL",$E$6:$E13),IF($A14="",0,IF(COUNTIF($A$6:$A14,$A14)=1,SUMIFS(MasterPaid[Amount Paid],MasterPaid[Customer],$K$3,MasterPaid[Date],$A14),0)))</f>
        <v>25000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-1.2299999999995634</v>
      </c>
      <c r="H14" s="20"/>
      <c r="I14" s="20"/>
      <c r="J14" s="20"/>
      <c r="K14" s="17">
        <v>46245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46246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248.16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25000</v>
      </c>
      <c r="E15" s="61">
        <f>IF($H15="TOTAL",SUM($E$6:$E14)-SUMIF($H$6:$H14,"TOTAL",$E$6:$E14),IF($A15="",0,IF(COUNTIF($A$6:$A15,$A15)=1,SUMIFS(MasterPaid[Amount Paid],MasterPaid[Customer],$K$3,MasterPaid[Date],$A15),0)))</f>
        <v>25000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-1.2299999999995634</v>
      </c>
      <c r="H15" s="20"/>
      <c r="I15" s="20"/>
      <c r="J15" s="20"/>
      <c r="K15" s="17">
        <v>46246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46257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198.53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20000</v>
      </c>
      <c r="E16" s="61">
        <f>IF($H16="TOTAL",SUM($E$6:$E15)-SUMIF($H$6:$H15,"TOTAL",$E$6:$E15),IF($A16="",0,IF(COUNTIF($A$6:$A16,$A16)=1,SUMIFS(MasterPaid[Amount Paid],MasterPaid[Customer],$K$3,MasterPaid[Date],$A16),0)))</f>
        <v>20000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-1.2299999999995634</v>
      </c>
      <c r="H16" s="20"/>
      <c r="I16" s="20"/>
      <c r="J16" s="20"/>
      <c r="K16" s="17">
        <v>46257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46260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198.53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20000</v>
      </c>
      <c r="E17" s="61">
        <f>IF($H17="TOTAL",SUM($E$6:$E16)-SUMIF($H$6:$H16,"TOTAL",$E$6:$E16),IF($A17="",0,IF(COUNTIF($A$6:$A17,$A17)=1,SUMIFS(MasterPaid[Amount Paid],MasterPaid[Customer],$K$3,MasterPaid[Date],$A17),0)))</f>
        <v>20000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-1.2299999999995634</v>
      </c>
      <c r="H17" s="20"/>
      <c r="I17" s="20"/>
      <c r="J17" s="20"/>
      <c r="K17" s="17">
        <v>46260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46261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99.27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10000</v>
      </c>
      <c r="E18" s="61">
        <f>IF($H18="TOTAL",SUM($E$6:$E17)-SUMIF($H$6:$H17,"TOTAL",$E$6:$E17),IF($A18="",0,IF(COUNTIF($A$6:$A18,$A18)=1,SUMIFS(MasterPaid[Amount Paid],MasterPaid[Customer],$K$3,MasterPaid[Date],$A18),0)))</f>
        <v>90000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-80001.23</v>
      </c>
      <c r="H18" s="20"/>
      <c r="I18" s="20"/>
      <c r="J18" s="20"/>
      <c r="K18" s="17">
        <v>46261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46262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198.53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20000</v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-60001.229999999996</v>
      </c>
      <c r="H19" s="20"/>
      <c r="I19" s="20"/>
      <c r="J19" s="20"/>
      <c r="K19" s="17">
        <v>46262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31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80"/>
      <c r="R36" s="181"/>
      <c r="S36" s="182"/>
      <c r="T36" s="182"/>
      <c r="U36" s="182"/>
      <c r="V36" s="183"/>
      <c r="W36" s="185"/>
      <c r="X36" s="182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98" priority="10">
      <formula>AND($A6&lt;&gt;"",$A6=$A5)</formula>
    </cfRule>
  </conditionalFormatting>
  <conditionalFormatting sqref="A6:A85">
    <cfRule type="expression" dxfId="1797" priority="6">
      <formula>$A6=$A5</formula>
    </cfRule>
  </conditionalFormatting>
  <conditionalFormatting sqref="B5:D92">
    <cfRule type="expression" dxfId="1796" priority="1">
      <formula>$F5="PETROL"</formula>
    </cfRule>
  </conditionalFormatting>
  <conditionalFormatting sqref="B5:D95">
    <cfRule type="expression" dxfId="1795" priority="3">
      <formula>AND(ISNUMBER(B5),MOD(B5,1)&lt;&gt;0)</formula>
    </cfRule>
  </conditionalFormatting>
  <conditionalFormatting sqref="B7:G60">
    <cfRule type="expression" dxfId="1794" priority="9">
      <formula>$H7="TOTAL"</formula>
    </cfRule>
  </conditionalFormatting>
  <conditionalFormatting sqref="E5:E95">
    <cfRule type="expression" dxfId="1793" priority="4">
      <formula>AND(ISNUMBER(E5),MOD(E5,1)&lt;&gt;0)</formula>
    </cfRule>
  </conditionalFormatting>
  <conditionalFormatting sqref="F5:F92">
    <cfRule type="expression" dxfId="1792" priority="2">
      <formula>$F5="PETROL"</formula>
    </cfRule>
  </conditionalFormatting>
  <conditionalFormatting sqref="G5:G95">
    <cfRule type="expression" dxfId="1791" priority="5">
      <formula>AND(ISNUMBER(G5),MOD(G5,1)&lt;&gt;0)</formula>
    </cfRule>
  </conditionalFormatting>
  <conditionalFormatting sqref="R13:R106">
    <cfRule type="expression" dxfId="1790" priority="7">
      <formula>AND(R13&lt;&gt;"",R13=R12)</formula>
    </cfRule>
  </conditionalFormatting>
  <conditionalFormatting sqref="R13:X106">
    <cfRule type="expression" dxfId="1789" priority="8">
      <formula>$X13="Petrol"</formula>
    </cfRule>
  </conditionalFormatting>
  <hyperlinks>
    <hyperlink ref="K1" location="Index!A1" display="→ Index" xr:uid="{769D934B-9C3C-6A4A-98C3-93D2C615CBCD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B3302-E3D2-1E4B-B6AC-BC9BE9ED3123}">
  <sheetPr codeName="Sheet20">
    <pageSetUpPr fitToPage="1"/>
  </sheetPr>
  <dimension ref="A1:X174"/>
  <sheetViews>
    <sheetView topLeftCell="I1"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Keshav Minerals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2570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IFERROR(INDEX(Outstanding!$N$4:$Z$70,MATCH($K$3,Outstanding!$M$4:$M$68,0),MATCH($A$5,Outstanding!$N$3:$Z$3,0)),0)</f>
        <v>76884.399999999994</v>
      </c>
      <c r="H5" s="20"/>
      <c r="I5" s="58">
        <f>G5+SUM(D5:D45)-SUM(E5:E45)</f>
        <v>191740.40000000002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188.6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19000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95884.4</v>
      </c>
      <c r="H6" s="20"/>
      <c r="I6" s="20"/>
      <c r="J6" s="20"/>
      <c r="K6" cm="1">
        <f t="array" ref="K6:L21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46241</v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0</v>
      </c>
      <c r="E7" s="61">
        <f>IF($H7="TOTAL",SUM($E$6:$E6)-SUMIF($H$6:$H6,"TOTAL",$E$6:$E6),IF($A7="",0,IF(COUNTIF($A$6:$A7,$A7)=1,SUMIFS(MasterPaid[Amount Paid],MasterPaid[Customer],$K$3,MasterPaid[Date],$A7),0)))</f>
        <v>76884</v>
      </c>
      <c r="F7" s="62" t="str" cm="1">
        <f t="array" ref="F7">IFERROR(INDEX(_xlfn.ANCHORARRAY($K$6),ROW()-5,2),"")</f>
        <v/>
      </c>
      <c r="G7" s="57">
        <f>IF($H7="TOTAL",IFERROR(LOOKUP(9.99E+307,$G$6:$G6),""),IF($A7="","",G6+N(D7)-N(E7)))</f>
        <v>19000.399999999994</v>
      </c>
      <c r="H7" s="20"/>
      <c r="I7" s="20"/>
      <c r="J7" s="20"/>
      <c r="K7" s="17">
        <v>46241</v>
      </c>
      <c r="L7" s="17" t="str">
        <v/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46246</v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0</v>
      </c>
      <c r="E8" s="61">
        <f>IF($H8="TOTAL",SUM($E$6:$E7)-SUMIF($H$6:$H7,"TOTAL",$E$6:$E7),IF($A8="",0,IF(COUNTIF($A$6:$A8,$A8)=1,SUMIFS(MasterPaid[Amount Paid],MasterPaid[Customer],$K$3,MasterPaid[Date],$A8),0)))</f>
        <v>19000</v>
      </c>
      <c r="F8" s="62" t="str" cm="1">
        <f t="array" ref="F8">IFERROR(INDEX(_xlfn.ANCHORARRAY($K$6),ROW()-5,2),"")</f>
        <v/>
      </c>
      <c r="G8" s="57">
        <f>IF($H8="TOTAL",IFERROR(LOOKUP(9.99E+307,$G$6:$G7),""),IF($A8="","",G7+N(D8)-N(E8)))</f>
        <v>0.39999999999417923</v>
      </c>
      <c r="H8" s="20"/>
      <c r="I8" s="20"/>
      <c r="J8" s="20"/>
      <c r="K8" s="17">
        <v>46246</v>
      </c>
      <c r="L8" s="17" t="str">
        <v/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46248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800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80592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80592.399999999994</v>
      </c>
      <c r="H9" s="20"/>
      <c r="I9" s="20"/>
      <c r="J9" s="20"/>
      <c r="K9" s="17">
        <v>46248</v>
      </c>
      <c r="L9" s="17" t="str">
        <v>DIESEL</v>
      </c>
      <c r="M9" s="17"/>
      <c r="N9" s="17"/>
      <c r="O9" s="17"/>
      <c r="P9" s="17"/>
      <c r="Q9" s="63" t="str">
        <f>K3</f>
        <v>Keshav Minerals</v>
      </c>
      <c r="R9" s="44"/>
      <c r="S9" s="44"/>
      <c r="T9" s="44"/>
      <c r="U9" s="45"/>
      <c r="V9" s="45"/>
      <c r="W9" s="46" t="s">
        <v>1282</v>
      </c>
      <c r="X9" s="47">
        <v>46261</v>
      </c>
    </row>
    <row r="10" spans="1:24" ht="21.75" x14ac:dyDescent="0.25">
      <c r="A10" s="71" cm="1">
        <f t="array" ref="A10">IFERROR(INDEX(_xlfn.ANCHORARRAY($K$6),ROW()-5,1),"")</f>
        <v>46249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200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20148</v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100740.4</v>
      </c>
      <c r="H10" s="20"/>
      <c r="I10" s="20"/>
      <c r="J10" s="20"/>
      <c r="K10" s="17">
        <v>46249</v>
      </c>
      <c r="L10" s="17" t="str">
        <v>DIESEL</v>
      </c>
      <c r="M10" s="17"/>
      <c r="N10" s="17"/>
      <c r="O10" s="17"/>
      <c r="P10" s="17"/>
      <c r="Q10" s="48" t="s">
        <v>2572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46250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400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40296</v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141036.4</v>
      </c>
      <c r="H11" s="20"/>
      <c r="I11" s="20"/>
      <c r="J11" s="20"/>
      <c r="K11" s="17">
        <v>46250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GSTIN:21AAJFK7671C1ZI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46251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600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60444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201480.4</v>
      </c>
      <c r="H12" s="20"/>
      <c r="I12" s="20"/>
      <c r="J12" s="20"/>
      <c r="K12" s="17">
        <v>46251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46253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238.23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24000</v>
      </c>
      <c r="E13" s="61">
        <f>IF($H13="TOTAL",SUM($E$6:$E12)-SUMIF($H$6:$H12,"TOTAL",$E$6:$E12),IF($A13="",0,IF(COUNTIF($A$6:$A13,$A13)=1,SUMIFS(MasterPaid[Amount Paid],MasterPaid[Customer],$K$3,MasterPaid[Date],$A13),0)))</f>
        <v>201480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24000.399999999994</v>
      </c>
      <c r="H13" s="20"/>
      <c r="I13" s="20"/>
      <c r="J13" s="20"/>
      <c r="K13" s="17">
        <v>46253</v>
      </c>
      <c r="L13" s="17" t="str">
        <v>DIESEL</v>
      </c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cm="1">
        <f t="array" ref="A14">IFERROR(INDEX(_xlfn.ANCHORARRAY($K$6),ROW()-5,1),"")</f>
        <v>46254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904.79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91148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115148.4</v>
      </c>
      <c r="H14" s="20"/>
      <c r="I14" s="20"/>
      <c r="J14" s="20"/>
      <c r="K14" s="17">
        <v>46254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46255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79.41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8000</v>
      </c>
      <c r="E15" s="61">
        <f>IF($H15="TOTAL",SUM($E$6:$E14)-SUMIF($H$6:$H14,"TOTAL",$E$6:$E14),IF($A15="",0,IF(COUNTIF($A$6:$A15,$A15)=1,SUMIFS(MasterPaid[Amount Paid],MasterPaid[Customer],$K$3,MasterPaid[Date],$A15),0)))</f>
        <v>100000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23148.399999999994</v>
      </c>
      <c r="H15" s="20"/>
      <c r="I15" s="20"/>
      <c r="J15" s="20"/>
      <c r="K15" s="17">
        <v>46255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46256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972.81000000000017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98000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121148.4</v>
      </c>
      <c r="H16" s="20"/>
      <c r="I16" s="20"/>
      <c r="J16" s="20"/>
      <c r="K16" s="17">
        <v>46256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46257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178.68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18000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139148.4</v>
      </c>
      <c r="H17" s="20"/>
      <c r="I17" s="20"/>
      <c r="J17" s="20"/>
      <c r="K17" s="17">
        <v>46257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46258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178.68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18000</v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157148.4</v>
      </c>
      <c r="H18" s="20"/>
      <c r="I18" s="20"/>
      <c r="J18" s="20"/>
      <c r="K18" s="17">
        <v>46258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46259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200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20148</v>
      </c>
      <c r="E19" s="61">
        <f>IF($H19="TOTAL",SUM($E$6:$E18)-SUMIF($H$6:$H18,"TOTAL",$E$6:$E18),IF($A19="",0,IF(COUNTIF($A$6:$A19,$A19)=1,SUMIFS(MasterPaid[Amount Paid],MasterPaid[Customer],$K$3,MasterPaid[Date],$A19),0)))</f>
        <v>100000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77296.399999999994</v>
      </c>
      <c r="H19" s="20"/>
      <c r="I19" s="20"/>
      <c r="J19" s="20"/>
      <c r="K19" s="17">
        <v>46259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46260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936.04000000000019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94296</v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171592.4</v>
      </c>
      <c r="H20" s="20"/>
      <c r="I20" s="20"/>
      <c r="J20" s="20"/>
      <c r="K20" s="31">
        <v>46260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46261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200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20148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191740.4</v>
      </c>
      <c r="H21" s="20"/>
      <c r="I21" s="20"/>
      <c r="J21" s="20"/>
      <c r="K21" s="17">
        <v>46261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80"/>
      <c r="R47" s="181"/>
      <c r="S47" s="182"/>
      <c r="T47" s="182"/>
      <c r="U47" s="182"/>
      <c r="V47" s="183"/>
      <c r="W47" s="185"/>
      <c r="X47" s="182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184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184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184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184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184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184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184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184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184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184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184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184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184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184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184"/>
      <c r="X95" s="53"/>
    </row>
    <row r="96" spans="1:24" ht="18" x14ac:dyDescent="0.2">
      <c r="R96" s="52"/>
      <c r="S96" s="53"/>
      <c r="T96" s="53"/>
      <c r="U96" s="53"/>
      <c r="V96" s="70"/>
      <c r="W96" s="184"/>
      <c r="X96" s="53"/>
    </row>
    <row r="97" spans="18:24" ht="18" x14ac:dyDescent="0.2">
      <c r="R97" s="52"/>
      <c r="S97" s="53"/>
      <c r="T97" s="53"/>
      <c r="U97" s="53"/>
      <c r="V97" s="70"/>
      <c r="W97" s="184"/>
      <c r="X97" s="53"/>
    </row>
    <row r="98" spans="18:24" ht="18" x14ac:dyDescent="0.2">
      <c r="R98" s="52"/>
      <c r="S98" s="53"/>
      <c r="T98" s="53"/>
      <c r="U98" s="53"/>
      <c r="V98" s="70"/>
      <c r="W98" s="184"/>
      <c r="X98" s="53"/>
    </row>
    <row r="99" spans="18:24" ht="18" x14ac:dyDescent="0.2">
      <c r="R99" s="52"/>
      <c r="S99" s="53"/>
      <c r="T99" s="53"/>
      <c r="U99" s="53"/>
      <c r="V99" s="70"/>
      <c r="W99" s="184"/>
      <c r="X99" s="53"/>
    </row>
    <row r="100" spans="18:24" ht="18" x14ac:dyDescent="0.2">
      <c r="R100" s="52"/>
      <c r="S100" s="53"/>
      <c r="T100" s="53"/>
      <c r="U100" s="53"/>
      <c r="V100" s="70"/>
      <c r="W100" s="184"/>
      <c r="X100" s="53"/>
    </row>
    <row r="101" spans="18:24" ht="18" x14ac:dyDescent="0.2">
      <c r="R101" s="52"/>
      <c r="S101" s="53"/>
      <c r="T101" s="53"/>
      <c r="U101" s="53"/>
      <c r="V101" s="70"/>
      <c r="W101" s="184"/>
      <c r="X101" s="53"/>
    </row>
    <row r="102" spans="18:24" ht="18" x14ac:dyDescent="0.2">
      <c r="R102" s="52"/>
      <c r="S102" s="53"/>
      <c r="T102" s="53"/>
      <c r="U102" s="53"/>
      <c r="V102" s="70"/>
      <c r="W102" s="184"/>
      <c r="X102" s="53"/>
    </row>
    <row r="103" spans="18:24" ht="18" x14ac:dyDescent="0.2">
      <c r="R103" s="52"/>
      <c r="S103" s="53"/>
      <c r="T103" s="53"/>
      <c r="U103" s="53"/>
      <c r="V103" s="70"/>
      <c r="W103" s="184"/>
      <c r="X103" s="53"/>
    </row>
    <row r="104" spans="18:24" ht="18" x14ac:dyDescent="0.2">
      <c r="R104" s="52"/>
      <c r="S104" s="53"/>
      <c r="T104" s="53"/>
      <c r="U104" s="53"/>
      <c r="V104" s="70"/>
      <c r="W104" s="184"/>
      <c r="X104" s="53"/>
    </row>
    <row r="105" spans="18:24" ht="18" x14ac:dyDescent="0.2">
      <c r="R105" s="52"/>
      <c r="S105" s="53"/>
      <c r="T105" s="53"/>
      <c r="U105" s="53"/>
      <c r="V105" s="70"/>
      <c r="W105" s="184"/>
      <c r="X105" s="53"/>
    </row>
    <row r="106" spans="18:24" ht="18" x14ac:dyDescent="0.2">
      <c r="R106" s="52"/>
      <c r="S106" s="53"/>
      <c r="T106" s="53"/>
      <c r="U106" s="53"/>
      <c r="V106" s="70"/>
      <c r="W106" s="184"/>
      <c r="X106" s="53"/>
    </row>
    <row r="107" spans="18:24" ht="18" x14ac:dyDescent="0.2">
      <c r="R107" s="52"/>
      <c r="S107" s="53"/>
      <c r="T107" s="53"/>
      <c r="U107" s="53"/>
      <c r="V107" s="70"/>
      <c r="W107" s="184"/>
      <c r="X107" s="53"/>
    </row>
    <row r="108" spans="18:24" ht="18" x14ac:dyDescent="0.2">
      <c r="R108" s="52"/>
      <c r="S108" s="53"/>
      <c r="T108" s="53"/>
      <c r="U108" s="53"/>
      <c r="V108" s="70"/>
      <c r="W108" s="184"/>
      <c r="X108" s="53"/>
    </row>
    <row r="109" spans="18:24" ht="18" x14ac:dyDescent="0.2">
      <c r="R109" s="52"/>
      <c r="S109" s="53"/>
      <c r="T109" s="53"/>
      <c r="U109" s="53"/>
      <c r="V109" s="70"/>
      <c r="W109" s="184"/>
      <c r="X109" s="53"/>
    </row>
    <row r="110" spans="18:24" ht="18" x14ac:dyDescent="0.2">
      <c r="R110" s="52"/>
      <c r="S110" s="53"/>
      <c r="T110" s="53"/>
      <c r="U110" s="53"/>
      <c r="V110" s="70"/>
      <c r="W110" s="184"/>
      <c r="X110" s="53"/>
    </row>
    <row r="111" spans="18:24" ht="18" x14ac:dyDescent="0.2">
      <c r="R111" s="52"/>
      <c r="S111" s="53"/>
      <c r="T111" s="53"/>
      <c r="U111" s="53"/>
      <c r="V111" s="70"/>
      <c r="W111" s="184"/>
      <c r="X111" s="53"/>
    </row>
    <row r="112" spans="18:24" ht="18" x14ac:dyDescent="0.2">
      <c r="R112" s="52"/>
      <c r="S112" s="53"/>
      <c r="T112" s="53"/>
      <c r="U112" s="53"/>
      <c r="V112" s="70"/>
      <c r="W112" s="184"/>
      <c r="X112" s="53"/>
    </row>
    <row r="113" spans="18:24" ht="18" x14ac:dyDescent="0.2">
      <c r="R113" s="52"/>
      <c r="S113" s="53"/>
      <c r="T113" s="53"/>
      <c r="U113" s="53"/>
      <c r="V113" s="70"/>
      <c r="W113" s="184"/>
      <c r="X113" s="53"/>
    </row>
    <row r="114" spans="18:24" ht="18" x14ac:dyDescent="0.2">
      <c r="R114" s="52"/>
      <c r="S114" s="53"/>
      <c r="T114" s="53"/>
      <c r="U114" s="53"/>
      <c r="V114" s="70"/>
      <c r="W114" s="184"/>
      <c r="X114" s="53"/>
    </row>
    <row r="115" spans="18:24" ht="18" x14ac:dyDescent="0.2">
      <c r="R115" s="52"/>
      <c r="S115" s="53"/>
      <c r="T115" s="53"/>
      <c r="U115" s="53"/>
      <c r="V115" s="70"/>
      <c r="W115" s="184"/>
      <c r="X115" s="53"/>
    </row>
    <row r="116" spans="18:24" ht="18" x14ac:dyDescent="0.2">
      <c r="R116" s="52"/>
      <c r="S116" s="53"/>
      <c r="T116" s="53"/>
      <c r="U116" s="53"/>
      <c r="V116" s="70"/>
      <c r="W116" s="184"/>
      <c r="X116" s="53"/>
    </row>
    <row r="117" spans="18:24" ht="18" x14ac:dyDescent="0.2">
      <c r="R117" s="52"/>
      <c r="S117" s="53"/>
      <c r="T117" s="53"/>
      <c r="U117" s="53"/>
      <c r="V117" s="70"/>
      <c r="W117" s="184"/>
      <c r="X117" s="53"/>
    </row>
    <row r="118" spans="18:24" ht="18" x14ac:dyDescent="0.2">
      <c r="R118" s="52"/>
      <c r="S118" s="53"/>
      <c r="T118" s="53"/>
      <c r="U118" s="53"/>
      <c r="V118" s="70"/>
      <c r="W118" s="184"/>
      <c r="X118" s="53"/>
    </row>
    <row r="119" spans="18:24" ht="18" x14ac:dyDescent="0.2">
      <c r="R119" s="52"/>
      <c r="S119" s="53"/>
      <c r="T119" s="53"/>
      <c r="U119" s="53"/>
      <c r="V119" s="70"/>
      <c r="W119" s="184"/>
      <c r="X119" s="53"/>
    </row>
    <row r="120" spans="18:24" ht="18" x14ac:dyDescent="0.2">
      <c r="R120" s="52"/>
      <c r="S120" s="53"/>
      <c r="T120" s="53"/>
      <c r="U120" s="53"/>
      <c r="V120" s="70"/>
      <c r="W120" s="184"/>
      <c r="X120" s="53"/>
    </row>
    <row r="121" spans="18:24" ht="18" x14ac:dyDescent="0.2">
      <c r="R121" s="52"/>
      <c r="S121" s="53"/>
      <c r="T121" s="53"/>
      <c r="U121" s="53"/>
      <c r="V121" s="70"/>
      <c r="W121" s="184"/>
      <c r="X121" s="53"/>
    </row>
    <row r="122" spans="18:24" ht="18" x14ac:dyDescent="0.2">
      <c r="R122" s="52"/>
      <c r="S122" s="53"/>
      <c r="T122" s="53"/>
      <c r="U122" s="53"/>
      <c r="V122" s="70"/>
      <c r="W122" s="184"/>
      <c r="X122" s="53"/>
    </row>
    <row r="123" spans="18:24" ht="18" x14ac:dyDescent="0.2">
      <c r="R123" s="52"/>
      <c r="S123" s="53"/>
      <c r="T123" s="53"/>
      <c r="U123" s="53"/>
      <c r="V123" s="70"/>
      <c r="W123" s="184"/>
      <c r="X123" s="53"/>
    </row>
    <row r="124" spans="18:24" ht="18" x14ac:dyDescent="0.2">
      <c r="R124" s="52"/>
      <c r="S124" s="53"/>
      <c r="T124" s="53"/>
      <c r="U124" s="53"/>
      <c r="V124" s="70"/>
      <c r="W124" s="184"/>
      <c r="X124" s="53"/>
    </row>
    <row r="125" spans="18:24" ht="18" x14ac:dyDescent="0.2">
      <c r="R125" s="52"/>
      <c r="S125" s="53"/>
      <c r="T125" s="53"/>
      <c r="U125" s="53"/>
      <c r="V125" s="70"/>
      <c r="W125" s="184"/>
      <c r="X125" s="53"/>
    </row>
    <row r="126" spans="18:24" ht="18" x14ac:dyDescent="0.2">
      <c r="R126" s="52"/>
      <c r="S126" s="53"/>
      <c r="T126" s="53"/>
      <c r="U126" s="53"/>
      <c r="V126" s="70"/>
      <c r="W126" s="184"/>
      <c r="X126" s="53"/>
    </row>
    <row r="127" spans="18:24" ht="18" x14ac:dyDescent="0.2">
      <c r="R127" s="52"/>
      <c r="S127" s="53"/>
      <c r="T127" s="53"/>
      <c r="U127" s="53"/>
      <c r="V127" s="70"/>
      <c r="W127" s="184"/>
      <c r="X127" s="53"/>
    </row>
    <row r="128" spans="18:24" ht="18" x14ac:dyDescent="0.2">
      <c r="R128" s="52"/>
      <c r="S128" s="53"/>
      <c r="T128" s="53"/>
      <c r="U128" s="53"/>
      <c r="V128" s="70"/>
      <c r="W128" s="184"/>
      <c r="X128" s="53"/>
    </row>
    <row r="129" spans="17:24" ht="18" x14ac:dyDescent="0.2">
      <c r="R129" s="52"/>
      <c r="S129" s="53"/>
      <c r="T129" s="53"/>
      <c r="U129" s="53"/>
      <c r="V129" s="70"/>
      <c r="W129" s="184"/>
      <c r="X129" s="53"/>
    </row>
    <row r="130" spans="17:24" ht="18" x14ac:dyDescent="0.2">
      <c r="R130" s="52"/>
      <c r="S130" s="53"/>
      <c r="T130" s="53"/>
      <c r="U130" s="53"/>
      <c r="V130" s="70"/>
      <c r="W130" s="184"/>
      <c r="X130" s="53"/>
    </row>
    <row r="131" spans="17:24" ht="18" x14ac:dyDescent="0.2">
      <c r="R131" s="52"/>
      <c r="S131" s="53"/>
      <c r="T131" s="53"/>
      <c r="U131" s="53"/>
      <c r="V131" s="70"/>
      <c r="W131" s="184"/>
      <c r="X131" s="53"/>
    </row>
    <row r="132" spans="17:24" ht="18" x14ac:dyDescent="0.2">
      <c r="R132" s="52"/>
      <c r="S132" s="53"/>
      <c r="T132" s="53"/>
      <c r="U132" s="53"/>
      <c r="V132" s="70"/>
      <c r="W132" s="184"/>
      <c r="X132" s="53"/>
    </row>
    <row r="133" spans="17:24" ht="18" x14ac:dyDescent="0.2">
      <c r="R133" s="52"/>
      <c r="S133" s="53"/>
      <c r="T133" s="53"/>
      <c r="U133" s="53"/>
      <c r="V133" s="70"/>
      <c r="W133" s="184"/>
      <c r="X133" s="53"/>
    </row>
    <row r="134" spans="17:24" ht="18" x14ac:dyDescent="0.2">
      <c r="R134" s="52"/>
      <c r="S134" s="53"/>
      <c r="T134" s="53"/>
      <c r="U134" s="53"/>
      <c r="V134" s="70"/>
      <c r="W134" s="184"/>
      <c r="X134" s="53"/>
    </row>
    <row r="135" spans="17:24" ht="18" x14ac:dyDescent="0.2">
      <c r="R135" s="52"/>
      <c r="S135" s="53"/>
      <c r="T135" s="53"/>
      <c r="U135" s="53"/>
      <c r="V135" s="70"/>
      <c r="W135" s="184"/>
      <c r="X135" s="53"/>
    </row>
    <row r="136" spans="17:24" ht="18" x14ac:dyDescent="0.2">
      <c r="R136" s="52"/>
      <c r="S136" s="53"/>
      <c r="T136" s="53"/>
      <c r="U136" s="53"/>
      <c r="V136" s="70"/>
      <c r="W136" s="184"/>
      <c r="X136" s="53"/>
    </row>
    <row r="137" spans="17:24" ht="18" x14ac:dyDescent="0.2">
      <c r="R137" s="52"/>
      <c r="S137" s="53"/>
      <c r="T137" s="53"/>
      <c r="U137" s="53"/>
      <c r="V137" s="70"/>
      <c r="W137" s="184"/>
      <c r="X137" s="53"/>
    </row>
    <row r="138" spans="17:24" ht="18" x14ac:dyDescent="0.2">
      <c r="R138" s="52"/>
      <c r="S138" s="53"/>
      <c r="T138" s="53"/>
      <c r="U138" s="53"/>
      <c r="V138" s="70"/>
      <c r="W138" s="184"/>
      <c r="X138" s="53"/>
    </row>
    <row r="139" spans="17:24" ht="18" x14ac:dyDescent="0.2">
      <c r="R139" s="52"/>
      <c r="S139" s="53"/>
      <c r="T139" s="53"/>
      <c r="U139" s="53"/>
      <c r="V139" s="70"/>
      <c r="W139" s="184"/>
      <c r="X139" s="53"/>
    </row>
    <row r="140" spans="17:24" ht="18" x14ac:dyDescent="0.2">
      <c r="R140" s="52"/>
      <c r="S140" s="53"/>
      <c r="T140" s="53"/>
      <c r="U140" s="53"/>
      <c r="V140" s="70"/>
      <c r="W140" s="184"/>
      <c r="X140" s="53"/>
    </row>
    <row r="141" spans="17:24" ht="18" x14ac:dyDescent="0.2">
      <c r="R141" s="52"/>
      <c r="S141" s="53"/>
      <c r="T141" s="53"/>
      <c r="U141" s="53"/>
      <c r="V141" s="70"/>
      <c r="W141" s="184"/>
      <c r="X141" s="53"/>
    </row>
    <row r="142" spans="17:24" ht="18" x14ac:dyDescent="0.2">
      <c r="Q142" s="208"/>
      <c r="R142" s="181"/>
      <c r="S142" s="182"/>
      <c r="T142" s="182"/>
      <c r="U142" s="182"/>
      <c r="V142" s="183"/>
      <c r="W142" s="185"/>
      <c r="X142" s="182"/>
    </row>
    <row r="143" spans="17:24" ht="18" x14ac:dyDescent="0.2">
      <c r="R143" s="52"/>
      <c r="S143" s="53"/>
      <c r="T143" s="53"/>
      <c r="U143" s="53"/>
      <c r="V143" s="70"/>
      <c r="W143" s="184"/>
      <c r="X143" s="53"/>
    </row>
    <row r="144" spans="17:24" ht="18" x14ac:dyDescent="0.2">
      <c r="R144" s="52"/>
      <c r="S144" s="53"/>
      <c r="T144" s="53"/>
      <c r="U144" s="53"/>
      <c r="V144" s="70"/>
      <c r="W144" s="184"/>
      <c r="X144" s="53"/>
    </row>
    <row r="145" spans="18:24" ht="18" x14ac:dyDescent="0.2">
      <c r="R145" s="52"/>
      <c r="S145" s="53"/>
      <c r="T145" s="53"/>
      <c r="U145" s="53"/>
      <c r="V145" s="70"/>
      <c r="W145" s="184"/>
      <c r="X145" s="53"/>
    </row>
    <row r="146" spans="18:24" ht="18" x14ac:dyDescent="0.2">
      <c r="R146" s="52"/>
      <c r="S146" s="53"/>
      <c r="T146" s="53"/>
      <c r="U146" s="53"/>
      <c r="V146" s="70"/>
      <c r="W146" s="184"/>
      <c r="X146" s="53"/>
    </row>
    <row r="147" spans="18:24" ht="18" x14ac:dyDescent="0.2">
      <c r="R147" s="52"/>
      <c r="S147" s="53"/>
      <c r="T147" s="53"/>
      <c r="U147" s="53"/>
      <c r="V147" s="70"/>
      <c r="W147" s="184"/>
      <c r="X147" s="53"/>
    </row>
    <row r="148" spans="18:24" ht="18" x14ac:dyDescent="0.2">
      <c r="R148" s="52"/>
      <c r="S148" s="53"/>
      <c r="T148" s="53"/>
      <c r="U148" s="53"/>
      <c r="V148" s="70"/>
      <c r="W148" s="184"/>
      <c r="X148" s="53"/>
    </row>
    <row r="149" spans="18:24" ht="18" x14ac:dyDescent="0.2">
      <c r="R149" s="52"/>
      <c r="S149" s="53"/>
      <c r="T149" s="53"/>
      <c r="U149" s="53"/>
      <c r="V149" s="70"/>
      <c r="W149" s="184"/>
      <c r="X149" s="53"/>
    </row>
    <row r="150" spans="18:24" ht="18" x14ac:dyDescent="0.2">
      <c r="R150" s="52"/>
      <c r="S150" s="53"/>
      <c r="T150" s="53"/>
      <c r="U150" s="53"/>
      <c r="V150" s="70"/>
      <c r="W150" s="184"/>
      <c r="X150" s="53"/>
    </row>
    <row r="151" spans="18:24" ht="18" x14ac:dyDescent="0.2">
      <c r="R151" s="52"/>
      <c r="S151" s="53"/>
      <c r="T151" s="53"/>
      <c r="U151" s="53"/>
      <c r="V151" s="70"/>
      <c r="W151" s="184"/>
      <c r="X151" s="53"/>
    </row>
    <row r="152" spans="18:24" ht="18" x14ac:dyDescent="0.2">
      <c r="R152" s="52"/>
      <c r="S152" s="53"/>
      <c r="T152" s="53"/>
      <c r="U152" s="53"/>
      <c r="V152" s="70"/>
      <c r="W152" s="184"/>
      <c r="X152" s="53"/>
    </row>
    <row r="153" spans="18:24" ht="18" x14ac:dyDescent="0.2">
      <c r="R153" s="52"/>
      <c r="S153" s="53"/>
      <c r="T153" s="53"/>
      <c r="U153" s="53"/>
      <c r="V153" s="70"/>
      <c r="W153" s="184"/>
      <c r="X153" s="53"/>
    </row>
    <row r="154" spans="18:24" ht="18" x14ac:dyDescent="0.2">
      <c r="R154" s="52"/>
      <c r="S154" s="53"/>
      <c r="T154" s="53"/>
      <c r="U154" s="53"/>
      <c r="V154" s="70"/>
      <c r="W154" s="184"/>
      <c r="X154" s="53"/>
    </row>
    <row r="155" spans="18:24" ht="18" x14ac:dyDescent="0.2">
      <c r="R155" s="52"/>
      <c r="S155" s="53"/>
      <c r="T155" s="53"/>
      <c r="U155" s="53"/>
      <c r="V155" s="70"/>
      <c r="W155" s="184"/>
      <c r="X155" s="53"/>
    </row>
    <row r="156" spans="18:24" ht="18" x14ac:dyDescent="0.2">
      <c r="R156" s="52"/>
      <c r="S156" s="53"/>
      <c r="T156" s="53"/>
      <c r="U156" s="53"/>
      <c r="V156" s="70"/>
      <c r="W156" s="184"/>
      <c r="X156" s="53"/>
    </row>
    <row r="157" spans="18:24" ht="18" x14ac:dyDescent="0.2">
      <c r="R157" s="52"/>
      <c r="S157" s="53"/>
      <c r="T157" s="53"/>
      <c r="U157" s="53"/>
      <c r="V157" s="70"/>
      <c r="W157" s="184"/>
      <c r="X157" s="53"/>
    </row>
    <row r="158" spans="18:24" ht="18" x14ac:dyDescent="0.2">
      <c r="R158" s="52"/>
      <c r="S158" s="53"/>
      <c r="T158" s="53"/>
      <c r="U158" s="53"/>
      <c r="V158" s="70"/>
      <c r="W158" s="184"/>
      <c r="X158" s="53"/>
    </row>
    <row r="159" spans="18:24" ht="18" x14ac:dyDescent="0.2">
      <c r="R159" s="52"/>
      <c r="S159" s="53"/>
      <c r="T159" s="53"/>
      <c r="U159" s="53"/>
      <c r="V159" s="70"/>
      <c r="W159" s="184"/>
      <c r="X159" s="53"/>
    </row>
    <row r="160" spans="18:24" ht="18" x14ac:dyDescent="0.2">
      <c r="R160" s="52"/>
      <c r="S160" s="53"/>
      <c r="T160" s="53"/>
      <c r="U160" s="53"/>
      <c r="V160" s="70"/>
      <c r="W160" s="184"/>
      <c r="X160" s="53"/>
    </row>
    <row r="161" spans="18:24" ht="18" x14ac:dyDescent="0.2">
      <c r="R161" s="52"/>
      <c r="S161" s="53"/>
      <c r="T161" s="53"/>
      <c r="U161" s="53"/>
      <c r="V161" s="70"/>
      <c r="W161" s="184"/>
      <c r="X161" s="53"/>
    </row>
    <row r="162" spans="18:24" ht="18" x14ac:dyDescent="0.2">
      <c r="R162" s="52"/>
      <c r="S162" s="53"/>
      <c r="T162" s="53"/>
      <c r="U162" s="53"/>
      <c r="V162" s="70"/>
      <c r="W162" s="184"/>
      <c r="X162" s="53"/>
    </row>
    <row r="163" spans="18:24" ht="18" x14ac:dyDescent="0.2">
      <c r="R163" s="52"/>
      <c r="S163" s="53"/>
      <c r="T163" s="53"/>
      <c r="U163" s="53"/>
      <c r="V163" s="70"/>
      <c r="W163" s="184"/>
      <c r="X163" s="53"/>
    </row>
    <row r="164" spans="18:24" ht="18" x14ac:dyDescent="0.2">
      <c r="R164" s="52"/>
      <c r="S164" s="53"/>
      <c r="T164" s="53"/>
      <c r="U164" s="53"/>
      <c r="V164" s="70"/>
      <c r="W164" s="184"/>
      <c r="X164" s="53"/>
    </row>
    <row r="165" spans="18:24" ht="18" x14ac:dyDescent="0.2">
      <c r="R165" s="52"/>
      <c r="S165" s="53"/>
      <c r="T165" s="53"/>
      <c r="U165" s="53"/>
      <c r="V165" s="70"/>
      <c r="W165" s="184"/>
      <c r="X165" s="53"/>
    </row>
    <row r="166" spans="18:24" ht="18" x14ac:dyDescent="0.2">
      <c r="R166" s="52"/>
      <c r="S166" s="53"/>
      <c r="T166" s="53"/>
      <c r="U166" s="53"/>
      <c r="V166" s="70"/>
      <c r="W166" s="184"/>
      <c r="X166" s="53"/>
    </row>
    <row r="167" spans="18:24" ht="18" x14ac:dyDescent="0.2">
      <c r="R167" s="52"/>
      <c r="S167" s="53"/>
      <c r="T167" s="53"/>
      <c r="U167" s="53"/>
      <c r="V167" s="70"/>
      <c r="W167" s="184"/>
      <c r="X167" s="53"/>
    </row>
    <row r="168" spans="18:24" ht="18" x14ac:dyDescent="0.2">
      <c r="R168" s="52"/>
      <c r="S168" s="53"/>
      <c r="T168" s="53"/>
      <c r="U168" s="53"/>
      <c r="V168" s="70"/>
      <c r="W168" s="184"/>
      <c r="X168" s="53"/>
    </row>
    <row r="169" spans="18:24" ht="18" x14ac:dyDescent="0.2">
      <c r="R169" s="52"/>
      <c r="S169" s="53"/>
      <c r="T169" s="53"/>
      <c r="U169" s="53"/>
      <c r="V169" s="70"/>
      <c r="W169" s="184"/>
      <c r="X169" s="53"/>
    </row>
    <row r="170" spans="18:24" ht="18" x14ac:dyDescent="0.2">
      <c r="R170" s="52"/>
      <c r="S170" s="53"/>
      <c r="T170" s="53"/>
      <c r="U170" s="53"/>
      <c r="V170" s="70"/>
      <c r="W170" s="184"/>
      <c r="X170" s="53"/>
    </row>
    <row r="171" spans="18:24" ht="18" x14ac:dyDescent="0.2">
      <c r="R171" s="52"/>
      <c r="S171" s="53"/>
      <c r="T171" s="53"/>
      <c r="U171" s="53"/>
      <c r="V171" s="70"/>
      <c r="W171" s="184"/>
      <c r="X171" s="53"/>
    </row>
    <row r="172" spans="18:24" ht="18" x14ac:dyDescent="0.2">
      <c r="R172" s="52"/>
      <c r="S172" s="53"/>
      <c r="T172" s="53"/>
      <c r="U172" s="53"/>
      <c r="V172" s="70"/>
      <c r="W172" s="184"/>
      <c r="X172" s="53"/>
    </row>
    <row r="173" spans="18:24" ht="18" x14ac:dyDescent="0.2">
      <c r="R173" s="52"/>
      <c r="S173" s="53"/>
      <c r="T173" s="53"/>
      <c r="U173" s="53"/>
      <c r="V173" s="70"/>
      <c r="W173" s="184"/>
      <c r="X173" s="53"/>
    </row>
    <row r="174" spans="18:24" ht="18" x14ac:dyDescent="0.2">
      <c r="R174" s="52"/>
      <c r="S174" s="53"/>
      <c r="T174" s="53"/>
      <c r="U174" s="53"/>
      <c r="V174" s="70"/>
      <c r="W174" s="184"/>
      <c r="X174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88" priority="10">
      <formula>AND($A6&lt;&gt;"",$A6=$A5)</formula>
    </cfRule>
  </conditionalFormatting>
  <conditionalFormatting sqref="A6:A85">
    <cfRule type="expression" dxfId="1787" priority="6">
      <formula>$A6=$A5</formula>
    </cfRule>
  </conditionalFormatting>
  <conditionalFormatting sqref="B5:D92">
    <cfRule type="expression" dxfId="1786" priority="1">
      <formula>$F5="PETROL"</formula>
    </cfRule>
  </conditionalFormatting>
  <conditionalFormatting sqref="B5:D95">
    <cfRule type="expression" dxfId="1785" priority="3">
      <formula>AND(ISNUMBER(B5),MOD(B5,1)&lt;&gt;0)</formula>
    </cfRule>
  </conditionalFormatting>
  <conditionalFormatting sqref="B7:G60">
    <cfRule type="expression" dxfId="1784" priority="9">
      <formula>$H7="TOTAL"</formula>
    </cfRule>
  </conditionalFormatting>
  <conditionalFormatting sqref="E5:E95">
    <cfRule type="expression" dxfId="1783" priority="4">
      <formula>AND(ISNUMBER(E5),MOD(E5,1)&lt;&gt;0)</formula>
    </cfRule>
  </conditionalFormatting>
  <conditionalFormatting sqref="F5:F92">
    <cfRule type="expression" dxfId="1782" priority="2">
      <formula>$F5="PETROL"</formula>
    </cfRule>
  </conditionalFormatting>
  <conditionalFormatting sqref="G5:G95">
    <cfRule type="expression" dxfId="1781" priority="5">
      <formula>AND(ISNUMBER(G5),MOD(G5,1)&lt;&gt;0)</formula>
    </cfRule>
  </conditionalFormatting>
  <conditionalFormatting sqref="R13:R174">
    <cfRule type="expression" dxfId="1780" priority="7">
      <formula>AND(R13&lt;&gt;"",R13=R12)</formula>
    </cfRule>
  </conditionalFormatting>
  <conditionalFormatting sqref="R13:X174">
    <cfRule type="expression" dxfId="1779" priority="8">
      <formula>$X13="Petrol"</formula>
    </cfRule>
  </conditionalFormatting>
  <hyperlinks>
    <hyperlink ref="K1" location="Index!A1" display="→ Index" xr:uid="{C322DD9F-203C-D748-8F92-D60C08BA8850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09D40-9EF5-E948-8AE1-E10CB71C30B0}">
  <sheetPr codeName="Sheet49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Pine Labs Nodal Account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2364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IFERROR(INDEX(Outstanding!$N$4:$Z$69,MATCH($K$3,Outstanding!$M$4:$M$66,0),MATCH($A$5,Outstanding!$N$3:$Z$3,0)),0)</f>
        <v>9893.48</v>
      </c>
      <c r="H5" s="20"/>
      <c r="I5" s="58">
        <f>G5+SUM(D5:D45)-SUM(E5:E45)</f>
        <v>23095.999999999971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112.17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11300</v>
      </c>
      <c r="E6" s="61">
        <f>IF($H6="TOTAL",0,IF($A6="",0,IF(COUNTIF($A$6:$A6,$A6)=1,SUMIFS(MasterPaid[Amount Paid],MasterPaid[Customer],$K$3,MasterPaid[Date],$A6),0)))</f>
        <v>9894.06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11299.42</v>
      </c>
      <c r="H6" s="20"/>
      <c r="I6" s="20"/>
      <c r="J6" s="20"/>
      <c r="K6" cm="1">
        <f t="array" ref="K6:L5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46235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92.56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109.01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10089.69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PETROL</v>
      </c>
      <c r="G7" s="57">
        <f>IF($H7="TOTAL",IFERROR(LOOKUP(9.99E+307,$G$6:$G6),""),IF($A7="","",G6+N(D7)-N(E7)))</f>
        <v>21389.11</v>
      </c>
      <c r="H7" s="20"/>
      <c r="I7" s="20"/>
      <c r="J7" s="20"/>
      <c r="K7" s="17">
        <v>46235</v>
      </c>
      <c r="L7" s="17" t="str">
        <v>PETROL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46236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38.85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3914</v>
      </c>
      <c r="E8" s="61">
        <f>IF($H8="TOTAL",SUM($E$6:$E7)-SUMIF($H$6:$H7,"TOTAL",$E$6:$E7),IF($A8="",0,IF(COUNTIF($A$6:$A8,$A8)=1,SUMIFS(MasterPaid[Amount Paid],MasterPaid[Customer],$K$3,MasterPaid[Date],$A8),0)))</f>
        <v>21389.69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3913.4200000000019</v>
      </c>
      <c r="H8" s="20"/>
      <c r="I8" s="20"/>
      <c r="J8" s="20"/>
      <c r="K8" s="17">
        <v>46236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46236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27.44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109.01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2990.87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PETROL</v>
      </c>
      <c r="G9" s="57">
        <f>IF($H9="TOTAL",IFERROR(LOOKUP(9.99E+307,$G$6:$G8),""),IF($A9="","",G8+N(D9)-N(E9)))</f>
        <v>6904.2900000000018</v>
      </c>
      <c r="H9" s="20"/>
      <c r="I9" s="20"/>
      <c r="J9" s="20"/>
      <c r="K9" s="17">
        <v>46236</v>
      </c>
      <c r="L9" s="17" t="str">
        <v>PETROL</v>
      </c>
      <c r="M9" s="17"/>
      <c r="N9" s="17"/>
      <c r="O9" s="17"/>
      <c r="P9" s="17"/>
      <c r="Q9" s="63" t="str">
        <f>K3</f>
        <v>Pine Labs Nodal Account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46237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14.89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1500</v>
      </c>
      <c r="E10" s="61">
        <f>IF($H10="TOTAL",SUM($E$6:$E9)-SUMIF($H$6:$H9,"TOTAL",$E$6:$E9),IF($A10="",0,IF(COUNTIF($A$6:$A10,$A10)=1,SUMIFS(MasterPaid[Amount Paid],MasterPaid[Customer],$K$3,MasterPaid[Date],$A10),0)))</f>
        <v>4990.87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3413.420000000001</v>
      </c>
      <c r="H10" s="20"/>
      <c r="I10" s="20"/>
      <c r="J10" s="20"/>
      <c r="K10" s="17">
        <v>46237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46237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35.08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109.01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3824.1</v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>PETROL</v>
      </c>
      <c r="G11" s="57">
        <f>IF($H11="TOTAL",IFERROR(LOOKUP(9.99E+307,$G$6:$G10),""),IF($A11="","",G10+N(D11)-N(E11)))</f>
        <v>7237.52</v>
      </c>
      <c r="H11" s="20"/>
      <c r="I11" s="20"/>
      <c r="J11" s="20"/>
      <c r="K11" s="17">
        <v>46237</v>
      </c>
      <c r="L11" s="17" t="str">
        <v>PETROL</v>
      </c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46238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39.71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4000</v>
      </c>
      <c r="E12" s="61">
        <f>IF($H12="TOTAL",SUM($E$6:$E11)-SUMIF($H$6:$H11,"TOTAL",$E$6:$E11),IF($A12="",0,IF(COUNTIF($A$6:$A12,$A12)=1,SUMIFS(MasterPaid[Amount Paid],MasterPaid[Customer],$K$3,MasterPaid[Date],$A12),0)))</f>
        <v>7238.1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3999.42</v>
      </c>
      <c r="H12" s="20"/>
      <c r="I12" s="20"/>
      <c r="J12" s="20"/>
      <c r="K12" s="17">
        <v>46238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46238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55.68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109.01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6070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PETROL</v>
      </c>
      <c r="G13" s="57">
        <f>IF($H13="TOTAL",IFERROR(LOOKUP(9.99E+307,$G$6:$G12),""),IF($A13="","",G12+N(D13)-N(E13)))</f>
        <v>10069.42</v>
      </c>
      <c r="H13" s="20"/>
      <c r="I13" s="20"/>
      <c r="J13" s="20"/>
      <c r="K13" s="17">
        <v>46238</v>
      </c>
      <c r="L13" s="17" t="str">
        <v>PETROL</v>
      </c>
      <c r="M13" s="17"/>
      <c r="N13" s="17"/>
      <c r="O13" s="17"/>
      <c r="P13" s="17"/>
      <c r="Q13" s="17"/>
      <c r="R13" s="64" cm="1">
        <f t="array" aca="1" ref="R13:X14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2524</v>
      </c>
      <c r="T13" s="53" t="str">
        <f ca="1"/>
        <v/>
      </c>
      <c r="U13" s="53">
        <f ca="1"/>
        <v>5.18</v>
      </c>
      <c r="V13" s="53">
        <f ca="1"/>
        <v>100.74</v>
      </c>
      <c r="W13" s="184">
        <f ca="1"/>
        <v>522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46239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36.369999999999997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109.01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3965.1</v>
      </c>
      <c r="E14" s="61">
        <f>IF($H14="TOTAL",SUM($E$6:$E13)-SUMIF($H$6:$H13,"TOTAL",$E$6:$E13),IF($A14="",0,IF(COUNTIF($A$6:$A14,$A14)=1,SUMIFS(MasterPaid[Amount Paid],MasterPaid[Customer],$K$3,MasterPaid[Date],$A14),0)))</f>
        <v>10070</v>
      </c>
      <c r="F14" s="62" t="str" cm="1">
        <f t="array" ref="F14">IFERROR(INDEX(_xlfn.ANCHORARRAY($K$6),ROW()-5,2),"")</f>
        <v>PETROL</v>
      </c>
      <c r="G14" s="57">
        <f>IF($H14="TOTAL",IFERROR(LOOKUP(9.99E+307,$G$6:$G13),""),IF($A14="","",G13+N(D14)-N(E14)))</f>
        <v>3964.5200000000004</v>
      </c>
      <c r="H14" s="20"/>
      <c r="I14" s="20"/>
      <c r="J14" s="20"/>
      <c r="K14" s="17">
        <v>46239</v>
      </c>
      <c r="L14" s="17" t="str">
        <v>PETROL</v>
      </c>
      <c r="M14" s="17"/>
      <c r="N14" s="17"/>
      <c r="O14" s="17"/>
      <c r="P14" s="17"/>
      <c r="Q14" s="17"/>
      <c r="R14" s="52">
        <f ca="1"/>
        <v>46262</v>
      </c>
      <c r="S14" s="53" t="str">
        <f ca="1"/>
        <v>MS472</v>
      </c>
      <c r="T14" s="53" t="str">
        <f ca="1"/>
        <v/>
      </c>
      <c r="U14" s="53">
        <f ca="1"/>
        <v>27.98</v>
      </c>
      <c r="V14" s="53">
        <f ca="1"/>
        <v>109.01</v>
      </c>
      <c r="W14" s="184">
        <f ca="1"/>
        <v>3050.1</v>
      </c>
      <c r="X14" s="53" t="str">
        <f ca="1"/>
        <v>Petrol</v>
      </c>
    </row>
    <row r="15" spans="1:24" ht="21.75" x14ac:dyDescent="0.25">
      <c r="A15" s="71" cm="1">
        <f t="array" ref="A15">IFERROR(INDEX(_xlfn.ANCHORARRAY($K$6),ROW()-5,1),"")</f>
        <v>46240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52.75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109.01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5750</v>
      </c>
      <c r="E15" s="61">
        <f>IF($H15="TOTAL",SUM($E$6:$E14)-SUMIF($H$6:$H14,"TOTAL",$E$6:$E14),IF($A15="",0,IF(COUNTIF($A$6:$A15,$A15)=1,SUMIFS(MasterPaid[Amount Paid],MasterPaid[Customer],$K$3,MasterPaid[Date],$A15),0)))</f>
        <v>3965.1</v>
      </c>
      <c r="F15" s="62" t="str" cm="1">
        <f t="array" ref="F15">IFERROR(INDEX(_xlfn.ANCHORARRAY($K$6),ROW()-5,2),"")</f>
        <v>PETROL</v>
      </c>
      <c r="G15" s="57">
        <f>IF($H15="TOTAL",IFERROR(LOOKUP(9.99E+307,$G$6:$G14),""),IF($A15="","",G14+N(D15)-N(E15)))</f>
        <v>5749.42</v>
      </c>
      <c r="H15" s="20"/>
      <c r="I15" s="20"/>
      <c r="J15" s="20"/>
      <c r="K15" s="17">
        <v>46240</v>
      </c>
      <c r="L15" s="17" t="str">
        <v>PETROL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46241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39.979999999999997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109.01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4358</v>
      </c>
      <c r="E16" s="61">
        <f>IF($H16="TOTAL",SUM($E$6:$E15)-SUMIF($H$6:$H15,"TOTAL",$E$6:$E15),IF($A16="",0,IF(COUNTIF($A$6:$A16,$A16)=1,SUMIFS(MasterPaid[Amount Paid],MasterPaid[Customer],$K$3,MasterPaid[Date],$A16),0)))</f>
        <v>5750</v>
      </c>
      <c r="F16" s="62" t="str" cm="1">
        <f t="array" ref="F16">IFERROR(INDEX(_xlfn.ANCHORARRAY($K$6),ROW()-5,2),"")</f>
        <v>PETROL</v>
      </c>
      <c r="G16" s="57">
        <f>IF($H16="TOTAL",IFERROR(LOOKUP(9.99E+307,$G$6:$G15),""),IF($A16="","",G15+N(D16)-N(E16)))</f>
        <v>4357.42</v>
      </c>
      <c r="H16" s="20"/>
      <c r="I16" s="20"/>
      <c r="J16" s="20"/>
      <c r="K16" s="17">
        <v>46241</v>
      </c>
      <c r="L16" s="17" t="str">
        <v>PETROL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46242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94.36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109.01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10286.1</v>
      </c>
      <c r="E17" s="61">
        <f>IF($H17="TOTAL",SUM($E$6:$E16)-SUMIF($H$6:$H16,"TOTAL",$E$6:$E16),IF($A17="",0,IF(COUNTIF($A$6:$A17,$A17)=1,SUMIFS(MasterPaid[Amount Paid],MasterPaid[Customer],$K$3,MasterPaid[Date],$A17),0)))</f>
        <v>4358</v>
      </c>
      <c r="F17" s="62" t="str" cm="1">
        <f t="array" ref="F17">IFERROR(INDEX(_xlfn.ANCHORARRAY($K$6),ROW()-5,2),"")</f>
        <v>PETROL</v>
      </c>
      <c r="G17" s="57">
        <f>IF($H17="TOTAL",IFERROR(LOOKUP(9.99E+307,$G$6:$G16),""),IF($A17="","",G16+N(D17)-N(E17)))</f>
        <v>10285.52</v>
      </c>
      <c r="H17" s="20"/>
      <c r="I17" s="20"/>
      <c r="J17" s="20"/>
      <c r="K17" s="17">
        <v>46242</v>
      </c>
      <c r="L17" s="17" t="str">
        <v>PETROL</v>
      </c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cm="1">
        <f t="array" ref="A18">IFERROR(INDEX(_xlfn.ANCHORARRAY($K$6),ROW()-5,1),"")</f>
        <v>46243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64.48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6495.58</v>
      </c>
      <c r="E18" s="61">
        <f>IF($H18="TOTAL",SUM($E$6:$E17)-SUMIF($H$6:$H17,"TOTAL",$E$6:$E17),IF($A18="",0,IF(COUNTIF($A$6:$A18,$A18)=1,SUMIFS(MasterPaid[Amount Paid],MasterPaid[Customer],$K$3,MasterPaid[Date],$A18),0)))</f>
        <v>14781.1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1999.9999999999982</v>
      </c>
      <c r="H18" s="20"/>
      <c r="I18" s="20"/>
      <c r="J18" s="20"/>
      <c r="K18" s="17">
        <v>46243</v>
      </c>
      <c r="L18" s="17" t="str">
        <v>DIESEL</v>
      </c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cm="1">
        <f t="array" ref="A19">IFERROR(INDEX(_xlfn.ANCHORARRAY($K$6),ROW()-5,1),"")</f>
        <v>46243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22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109.01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2397.87</v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>PETROL</v>
      </c>
      <c r="G19" s="57">
        <f>IF($H19="TOTAL",IFERROR(LOOKUP(9.99E+307,$G$6:$G18),""),IF($A19="","",G18+N(D19)-N(E19)))</f>
        <v>4397.8699999999981</v>
      </c>
      <c r="H19" s="20"/>
      <c r="I19" s="20"/>
      <c r="J19" s="20"/>
      <c r="K19" s="17">
        <v>46243</v>
      </c>
      <c r="L19" s="17" t="str">
        <v>PETROL</v>
      </c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cm="1">
        <f t="array" ref="A20">IFERROR(INDEX(_xlfn.ANCHORARRAY($K$6),ROW()-5,1),"")</f>
        <v>46244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35.049999999999997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3530.93</v>
      </c>
      <c r="E20" s="61">
        <f>IF($H20="TOTAL",SUM($E$6:$E19)-SUMIF($H$6:$H19,"TOTAL",$E$6:$E19),IF($A20="",0,IF(COUNTIF($A$6:$A20,$A20)=1,SUMIFS(MasterPaid[Amount Paid],MasterPaid[Customer],$K$3,MasterPaid[Date],$A20),0)))</f>
        <v>4397.87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3530.9299999999976</v>
      </c>
      <c r="H20" s="20"/>
      <c r="I20" s="20"/>
      <c r="J20" s="20"/>
      <c r="K20" s="31">
        <v>46244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cm="1">
        <f t="array" ref="A21">IFERROR(INDEX(_xlfn.ANCHORARRAY($K$6),ROW()-5,1),"")</f>
        <v>46244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26.22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109.01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2857.87</v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PETROL</v>
      </c>
      <c r="G21" s="57">
        <f>IF($H21="TOTAL",IFERROR(LOOKUP(9.99E+307,$G$6:$G20),""),IF($A21="","",G20+N(D21)-N(E21)))</f>
        <v>6388.7999999999975</v>
      </c>
      <c r="H21" s="20"/>
      <c r="I21" s="20"/>
      <c r="J21" s="20"/>
      <c r="K21" s="17">
        <v>46244</v>
      </c>
      <c r="L21" s="17" t="str">
        <v>PETROL</v>
      </c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cm="1">
        <f t="array" ref="A22">IFERROR(INDEX(_xlfn.ANCHORARRAY($K$6),ROW()-5,1),"")</f>
        <v>46245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45.47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100.74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4580.6000000000004</v>
      </c>
      <c r="E22" s="61">
        <f>IF($H22="TOTAL",SUM($E$6:$E21)-SUMIF($H$6:$H21,"TOTAL",$E$6:$E21),IF($A22="",0,IF(COUNTIF($A$6:$A22,$A22)=1,SUMIFS(MasterPaid[Amount Paid],MasterPaid[Customer],$K$3,MasterPaid[Date],$A22),0)))</f>
        <v>6388.8</v>
      </c>
      <c r="F22" s="62" t="str" cm="1">
        <f t="array" ref="F22">IFERROR(INDEX(_xlfn.ANCHORARRAY($K$6),ROW()-5,2),"")</f>
        <v>DIESEL</v>
      </c>
      <c r="G22" s="57">
        <f>IF($H22="TOTAL",IFERROR(LOOKUP(9.99E+307,$G$6:$G21),""),IF($A22="","",G21+N(D22)-N(E22)))</f>
        <v>4580.5999999999976</v>
      </c>
      <c r="H22" s="20"/>
      <c r="I22" s="20"/>
      <c r="J22" s="20"/>
      <c r="K22" s="17">
        <v>46245</v>
      </c>
      <c r="L22" s="17" t="str">
        <v>DIESEL</v>
      </c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cm="1">
        <f t="array" ref="A23">IFERROR(INDEX(_xlfn.ANCHORARRAY($K$6),ROW()-5,1),"")</f>
        <v>46245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14.98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109.01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1632.61</v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>PETROL</v>
      </c>
      <c r="G23" s="57">
        <f>IF($H23="TOTAL",IFERROR(LOOKUP(9.99E+307,$G$6:$G22),""),IF($A23="","",G22+N(D23)-N(E23)))</f>
        <v>6213.2099999999973</v>
      </c>
      <c r="H23" s="20"/>
      <c r="I23" s="20"/>
      <c r="J23" s="20"/>
      <c r="K23" s="17">
        <v>46245</v>
      </c>
      <c r="L23" s="17" t="str">
        <v>PETROL</v>
      </c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cm="1">
        <f t="array" ref="A24">IFERROR(INDEX(_xlfn.ANCHORARRAY($K$6),ROW()-5,1),"")</f>
        <v>46246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89.34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9000</v>
      </c>
      <c r="E24" s="61">
        <f>IF($H24="TOTAL",SUM($E$6:$E23)-SUMIF($H$6:$H23,"TOTAL",$E$6:$E23),IF($A24="",0,IF(COUNTIF($A$6:$A24,$A24)=1,SUMIFS(MasterPaid[Amount Paid],MasterPaid[Customer],$K$3,MasterPaid[Date],$A24),0)))</f>
        <v>6213.21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8999.9999999999964</v>
      </c>
      <c r="H24" s="20"/>
      <c r="I24" s="20"/>
      <c r="J24" s="20"/>
      <c r="K24" s="17">
        <v>46246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cm="1">
        <f t="array" ref="A25">IFERROR(INDEX(_xlfn.ANCHORARRAY($K$6),ROW()-5,1),"")</f>
        <v>46246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70.42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109.01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7676.1</v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PETROL</v>
      </c>
      <c r="G25" s="57">
        <f>IF($H25="TOTAL",IFERROR(LOOKUP(9.99E+307,$G$6:$G24),""),IF($A25="","",G24+N(D25)-N(E25)))</f>
        <v>16676.099999999999</v>
      </c>
      <c r="H25" s="20"/>
      <c r="I25" s="20"/>
      <c r="J25" s="20"/>
      <c r="K25" s="17">
        <v>46246</v>
      </c>
      <c r="L25" s="17" t="str">
        <v>PETROL</v>
      </c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cm="1">
        <f t="array" ref="A26">IFERROR(INDEX(_xlfn.ANCHORARRAY($K$6),ROW()-5,1),"")</f>
        <v>46247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23.78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2395.59</v>
      </c>
      <c r="E26" s="61">
        <f>IF($H26="TOTAL",SUM($E$6:$E25)-SUMIF($H$6:$H25,"TOTAL",$E$6:$E25),IF($A26="",0,IF(COUNTIF($A$6:$A26,$A26)=1,SUMIFS(MasterPaid[Amount Paid],MasterPaid[Customer],$K$3,MasterPaid[Date],$A26),0)))</f>
        <v>16676.099999999999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2395.59</v>
      </c>
      <c r="H26" s="20"/>
      <c r="I26" s="20"/>
      <c r="J26" s="20"/>
      <c r="K26" s="17">
        <v>46247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cm="1">
        <f t="array" ref="A27">IFERROR(INDEX(_xlfn.ANCHORARRAY($K$6),ROW()-5,1),"")</f>
        <v>46247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25.23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109.01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2750</v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>PETROL</v>
      </c>
      <c r="G27" s="57">
        <f>IF($H27="TOTAL",IFERROR(LOOKUP(9.99E+307,$G$6:$G26),""),IF($A27="","",G26+N(D27)-N(E27)))</f>
        <v>5145.59</v>
      </c>
      <c r="H27" s="20"/>
      <c r="I27" s="20"/>
      <c r="J27" s="20"/>
      <c r="K27" s="17">
        <v>46247</v>
      </c>
      <c r="L27" s="17" t="str">
        <v>PETROL</v>
      </c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cm="1">
        <f t="array" ref="A28">IFERROR(INDEX(_xlfn.ANCHORARRAY($K$6),ROW()-5,1),"")</f>
        <v>46248</v>
      </c>
      <c r="B28" s="159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>59.01</v>
      </c>
      <c r="C28" s="161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>100.74</v>
      </c>
      <c r="D28" s="159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>5945</v>
      </c>
      <c r="E28" s="61">
        <f>IF($H28="TOTAL",SUM($E$6:$E27)-SUMIF($H$6:$H27,"TOTAL",$E$6:$E27),IF($A28="",0,IF(COUNTIF($A$6:$A28,$A28)=1,SUMIFS(MasterPaid[Amount Paid],MasterPaid[Customer],$K$3,MasterPaid[Date],$A28),0)))</f>
        <v>5145.59</v>
      </c>
      <c r="F28" s="62" t="str" cm="1">
        <f t="array" ref="F28">IFERROR(INDEX(_xlfn.ANCHORARRAY($K$6),ROW()-5,2),"")</f>
        <v>DIESEL</v>
      </c>
      <c r="G28" s="57">
        <f>IF($H28="TOTAL",IFERROR(LOOKUP(9.99E+307,$G$6:$G27),""),IF($A28="","",G27+N(D28)-N(E28)))</f>
        <v>5945</v>
      </c>
      <c r="H28" s="20"/>
      <c r="I28" s="20"/>
      <c r="J28" s="20"/>
      <c r="K28" s="17">
        <v>46248</v>
      </c>
      <c r="L28" s="17" t="str">
        <v>DIESEL</v>
      </c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cm="1">
        <f t="array" ref="A29">IFERROR(INDEX(_xlfn.ANCHORARRAY($K$6),ROW()-5,1),"")</f>
        <v>46248</v>
      </c>
      <c r="B29" s="159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>120.56</v>
      </c>
      <c r="C29" s="161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>109.01</v>
      </c>
      <c r="D29" s="159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>13141.85</v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>PETROL</v>
      </c>
      <c r="G29" s="57">
        <f>IF($H29="TOTAL",IFERROR(LOOKUP(9.99E+307,$G$6:$G28),""),IF($A29="","",G28+N(D29)-N(E29)))</f>
        <v>19086.849999999999</v>
      </c>
      <c r="H29" s="20"/>
      <c r="I29" s="20"/>
      <c r="J29" s="20"/>
      <c r="K29" s="17">
        <v>46248</v>
      </c>
      <c r="L29" s="17" t="str">
        <v>PETROL</v>
      </c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cm="1">
        <f t="array" ref="A30">IFERROR(INDEX(_xlfn.ANCHORARRAY($K$6),ROW()-5,1),"")</f>
        <v>46249</v>
      </c>
      <c r="B30" s="159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>29.78</v>
      </c>
      <c r="C30" s="161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>100.74</v>
      </c>
      <c r="D30" s="159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>3000</v>
      </c>
      <c r="E30" s="61">
        <f>IF($H30="TOTAL",SUM($E$6:$E29)-SUMIF($H$6:$H29,"TOTAL",$E$6:$E29),IF($A30="",0,IF(COUNTIF($A$6:$A30,$A30)=1,SUMIFS(MasterPaid[Amount Paid],MasterPaid[Customer],$K$3,MasterPaid[Date],$A30),0)))</f>
        <v>19086.849999999999</v>
      </c>
      <c r="F30" s="62" t="str" cm="1">
        <f t="array" ref="F30">IFERROR(INDEX(_xlfn.ANCHORARRAY($K$6),ROW()-5,2),"")</f>
        <v>DIESEL</v>
      </c>
      <c r="G30" s="57">
        <f>IF($H30="TOTAL",IFERROR(LOOKUP(9.99E+307,$G$6:$G29),""),IF($A30="","",G29+N(D30)-N(E30)))</f>
        <v>3000</v>
      </c>
      <c r="H30" s="20"/>
      <c r="I30" s="20"/>
      <c r="J30" s="20"/>
      <c r="K30" s="17">
        <v>46249</v>
      </c>
      <c r="L30" s="17" t="str">
        <v>DIESEL</v>
      </c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cm="1">
        <f t="array" ref="A31">IFERROR(INDEX(_xlfn.ANCHORARRAY($K$6),ROW()-5,1),"")</f>
        <v>46249</v>
      </c>
      <c r="B31" s="159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>13.03</v>
      </c>
      <c r="C31" s="161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>109.01</v>
      </c>
      <c r="D31" s="159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>1420</v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>PETROL</v>
      </c>
      <c r="G31" s="57">
        <f>IF($H31="TOTAL",IFERROR(LOOKUP(9.99E+307,$G$6:$G30),""),IF($A31="","",G30+N(D31)-N(E31)))</f>
        <v>4420</v>
      </c>
      <c r="H31" s="20"/>
      <c r="I31" s="20"/>
      <c r="J31" s="20"/>
      <c r="K31" s="17">
        <v>46249</v>
      </c>
      <c r="L31" s="17" t="str">
        <v>PETROL</v>
      </c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cm="1">
        <f t="array" ref="A32">IFERROR(INDEX(_xlfn.ANCHORARRAY($K$6),ROW()-5,1),"")</f>
        <v>46250</v>
      </c>
      <c r="B32" s="159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>6.29</v>
      </c>
      <c r="C32" s="161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>100.74</v>
      </c>
      <c r="D32" s="159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>633.65</v>
      </c>
      <c r="E32" s="61">
        <f>IF($H32="TOTAL",SUM($E$6:$E31)-SUMIF($H$6:$H31,"TOTAL",$E$6:$E31),IF($A32="",0,IF(COUNTIF($A$6:$A32,$A32)=1,SUMIFS(MasterPaid[Amount Paid],MasterPaid[Customer],$K$3,MasterPaid[Date],$A32),0)))</f>
        <v>2420</v>
      </c>
      <c r="F32" s="62" t="str" cm="1">
        <f t="array" ref="F32">IFERROR(INDEX(_xlfn.ANCHORARRAY($K$6),ROW()-5,2),"")</f>
        <v>DIESEL</v>
      </c>
      <c r="G32" s="57">
        <f>IF($H32="TOTAL",IFERROR(LOOKUP(9.99E+307,$G$6:$G31),""),IF($A32="","",G31+N(D32)-N(E32)))</f>
        <v>2633.6499999999996</v>
      </c>
      <c r="H32" s="20"/>
      <c r="I32" s="20"/>
      <c r="J32" s="20"/>
      <c r="K32" s="17">
        <v>46250</v>
      </c>
      <c r="L32" s="17" t="str">
        <v>DIESEL</v>
      </c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cm="1">
        <f t="array" ref="A33">IFERROR(INDEX(_xlfn.ANCHORARRAY($K$6),ROW()-5,1),"")</f>
        <v>46250</v>
      </c>
      <c r="B33" s="159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>100.8</v>
      </c>
      <c r="C33" s="161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>109.01</v>
      </c>
      <c r="D33" s="159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>10987.82</v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>PETROL</v>
      </c>
      <c r="G33" s="57">
        <f>IF($H33="TOTAL",IFERROR(LOOKUP(9.99E+307,$G$6:$G32),""),IF($A33="","",G32+N(D33)-N(E33)))</f>
        <v>13621.47</v>
      </c>
      <c r="H33" s="20"/>
      <c r="I33" s="20"/>
      <c r="J33" s="20"/>
      <c r="K33" s="17">
        <v>46250</v>
      </c>
      <c r="L33" s="17" t="str">
        <v>PETROL</v>
      </c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cm="1">
        <f t="array" ref="A34">IFERROR(INDEX(_xlfn.ANCHORARRAY($K$6),ROW()-5,1),"")</f>
        <v>46251</v>
      </c>
      <c r="B34" s="159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>14.89</v>
      </c>
      <c r="C34" s="161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>100.74</v>
      </c>
      <c r="D34" s="159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>1500</v>
      </c>
      <c r="E34" s="61">
        <f>IF($H34="TOTAL",SUM($E$6:$E33)-SUMIF($H$6:$H33,"TOTAL",$E$6:$E33),IF($A34="",0,IF(COUNTIF($A$6:$A34,$A34)=1,SUMIFS(MasterPaid[Amount Paid],MasterPaid[Customer],$K$3,MasterPaid[Date],$A34),0)))</f>
        <v>13621.47</v>
      </c>
      <c r="F34" s="62" t="str" cm="1">
        <f t="array" ref="F34">IFERROR(INDEX(_xlfn.ANCHORARRAY($K$6),ROW()-5,2),"")</f>
        <v>DIESEL</v>
      </c>
      <c r="G34" s="57">
        <f>IF($H34="TOTAL",IFERROR(LOOKUP(9.99E+307,$G$6:$G33),""),IF($A34="","",G33+N(D34)-N(E34)))</f>
        <v>1500</v>
      </c>
      <c r="H34" s="20"/>
      <c r="I34" s="20"/>
      <c r="J34" s="20"/>
      <c r="K34" s="17">
        <v>46251</v>
      </c>
      <c r="L34" s="17" t="str">
        <v>DIESEL</v>
      </c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cm="1">
        <f t="array" ref="A35">IFERROR(INDEX(_xlfn.ANCHORARRAY($K$6),ROW()-5,1),"")</f>
        <v>46251</v>
      </c>
      <c r="B35" s="159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>54.73</v>
      </c>
      <c r="C35" s="161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>109.01</v>
      </c>
      <c r="D35" s="159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>5966</v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>PETROL</v>
      </c>
      <c r="G35" s="57">
        <f>IF($H35="TOTAL",IFERROR(LOOKUP(9.99E+307,$G$6:$G34),""),IF($A35="","",G34+N(D35)-N(E35)))</f>
        <v>7466</v>
      </c>
      <c r="H35" s="20"/>
      <c r="I35" s="20"/>
      <c r="J35" s="20"/>
      <c r="K35" s="17">
        <v>46251</v>
      </c>
      <c r="L35" s="17" t="str">
        <v>PETROL</v>
      </c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cm="1">
        <f t="array" ref="A36">IFERROR(INDEX(_xlfn.ANCHORARRAY($K$6),ROW()-5,1),"")</f>
        <v>46252</v>
      </c>
      <c r="B36" s="159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>35.770000000000003</v>
      </c>
      <c r="C36" s="161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>100.74</v>
      </c>
      <c r="D36" s="159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>3603.43</v>
      </c>
      <c r="E36" s="61">
        <f>IF($H36="TOTAL",SUM($E$6:$E35)-SUMIF($H$6:$H35,"TOTAL",$E$6:$E35),IF($A36="",0,IF(COUNTIF($A$6:$A36,$A36)=1,SUMIFS(MasterPaid[Amount Paid],MasterPaid[Customer],$K$3,MasterPaid[Date],$A36),0)))</f>
        <v>7466</v>
      </c>
      <c r="F36" s="62" t="str" cm="1">
        <f t="array" ref="F36">IFERROR(INDEX(_xlfn.ANCHORARRAY($K$6),ROW()-5,2),"")</f>
        <v>DIESEL</v>
      </c>
      <c r="G36" s="57">
        <f>IF($H36="TOTAL",IFERROR(LOOKUP(9.99E+307,$G$6:$G35),""),IF($A36="","",G35+N(D36)-N(E36)))</f>
        <v>3603.4300000000003</v>
      </c>
      <c r="H36" s="20"/>
      <c r="I36" s="20"/>
      <c r="J36" s="20"/>
      <c r="K36" s="17">
        <v>46252</v>
      </c>
      <c r="L36" s="17" t="str">
        <v>DIESEL</v>
      </c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cm="1">
        <f t="array" ref="A37">IFERROR(INDEX(_xlfn.ANCHORARRAY($K$6),ROW()-5,1),"")</f>
        <v>46252</v>
      </c>
      <c r="B37" s="159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>30.27</v>
      </c>
      <c r="C37" s="161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>109.01</v>
      </c>
      <c r="D37" s="159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>3300</v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>PETROL</v>
      </c>
      <c r="G37" s="57">
        <f>IF($H37="TOTAL",IFERROR(LOOKUP(9.99E+307,$G$6:$G36),""),IF($A37="","",G36+N(D37)-N(E37)))</f>
        <v>6903.43</v>
      </c>
      <c r="H37" s="20"/>
      <c r="I37" s="20"/>
      <c r="J37" s="20"/>
      <c r="K37" s="17">
        <v>46252</v>
      </c>
      <c r="L37" s="17" t="str">
        <v>PETROL</v>
      </c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cm="1">
        <f t="array" ref="A38">IFERROR(INDEX(_xlfn.ANCHORARRAY($K$6),ROW()-5,1),"")</f>
        <v>46253</v>
      </c>
      <c r="B38" s="159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>75.540000000000006</v>
      </c>
      <c r="C38" s="161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>100.74</v>
      </c>
      <c r="D38" s="159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>7610</v>
      </c>
      <c r="E38" s="61">
        <f>IF($H38="TOTAL",SUM($E$6:$E37)-SUMIF($H$6:$H37,"TOTAL",$E$6:$E37),IF($A38="",0,IF(COUNTIF($A$6:$A38,$A38)=1,SUMIFS(MasterPaid[Amount Paid],MasterPaid[Customer],$K$3,MasterPaid[Date],$A38),0)))</f>
        <v>6903.43</v>
      </c>
      <c r="F38" s="62" t="str" cm="1">
        <f t="array" ref="F38">IFERROR(INDEX(_xlfn.ANCHORARRAY($K$6),ROW()-5,2),"")</f>
        <v>DIESEL</v>
      </c>
      <c r="G38" s="57">
        <f>IF($H38="TOTAL",IFERROR(LOOKUP(9.99E+307,$G$6:$G37),""),IF($A38="","",G37+N(D38)-N(E38)))</f>
        <v>7610</v>
      </c>
      <c r="H38" s="20"/>
      <c r="I38" s="20"/>
      <c r="J38" s="20"/>
      <c r="K38" s="17">
        <v>46253</v>
      </c>
      <c r="L38" s="17" t="str">
        <v>DIESEL</v>
      </c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cm="1">
        <f t="array" ref="A39">IFERROR(INDEX(_xlfn.ANCHORARRAY($K$6),ROW()-5,1),"")</f>
        <v>46253</v>
      </c>
      <c r="B39" s="159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>33.299999999999997</v>
      </c>
      <c r="C39" s="161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>109.01</v>
      </c>
      <c r="D39" s="159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>3630</v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>PETROL</v>
      </c>
      <c r="G39" s="57">
        <f>IF($H39="TOTAL",IFERROR(LOOKUP(9.99E+307,$G$6:$G38),""),IF($A39="","",G38+N(D39)-N(E39)))</f>
        <v>11240</v>
      </c>
      <c r="H39" s="20"/>
      <c r="I39" s="20"/>
      <c r="J39" s="20"/>
      <c r="K39" s="17">
        <v>46253</v>
      </c>
      <c r="L39" s="17" t="str">
        <v>PETROL</v>
      </c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cm="1">
        <f t="array" ref="A40">IFERROR(INDEX(_xlfn.ANCHORARRAY($K$6),ROW()-5,1),"")</f>
        <v>46254</v>
      </c>
      <c r="B40" s="159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>120</v>
      </c>
      <c r="C40" s="161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>100.74</v>
      </c>
      <c r="D40" s="159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>12088.8</v>
      </c>
      <c r="E40" s="61">
        <f>IF($H40="TOTAL",SUM($E$6:$E39)-SUMIF($H$6:$H39,"TOTAL",$E$6:$E39),IF($A40="",0,IF(COUNTIF($A$6:$A40,$A40)=1,SUMIFS(MasterPaid[Amount Paid],MasterPaid[Customer],$K$3,MasterPaid[Date],$A40),0)))</f>
        <v>11240</v>
      </c>
      <c r="F40" s="62" t="str" cm="1">
        <f t="array" ref="F40">IFERROR(INDEX(_xlfn.ANCHORARRAY($K$6),ROW()-5,2),"")</f>
        <v>DIESEL</v>
      </c>
      <c r="G40" s="57">
        <f>IF($H40="TOTAL",IFERROR(LOOKUP(9.99E+307,$G$6:$G39),""),IF($A40="","",G39+N(D40)-N(E40)))</f>
        <v>12088.8</v>
      </c>
      <c r="H40" s="20"/>
      <c r="I40" s="20"/>
      <c r="J40" s="20"/>
      <c r="K40" s="17">
        <v>46254</v>
      </c>
      <c r="L40" s="17" t="str">
        <v>DIESEL</v>
      </c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cm="1">
        <f t="array" ref="A41">IFERROR(INDEX(_xlfn.ANCHORARRAY($K$6),ROW()-5,1),"")</f>
        <v>46254</v>
      </c>
      <c r="B41" s="159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>79.11</v>
      </c>
      <c r="C41" s="161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>109.01</v>
      </c>
      <c r="D41" s="159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>8623.82</v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>PETROL</v>
      </c>
      <c r="G41" s="57">
        <f>IF($H41="TOTAL",IFERROR(LOOKUP(9.99E+307,$G$6:$G40),""),IF($A41="","",G40+N(D41)-N(E41)))</f>
        <v>20712.62</v>
      </c>
      <c r="H41" s="20"/>
      <c r="I41" s="20"/>
      <c r="J41" s="20"/>
      <c r="K41" s="17">
        <v>46254</v>
      </c>
      <c r="L41" s="17" t="str">
        <v>PETROL</v>
      </c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cm="1">
        <f t="array" ref="A42">IFERROR(INDEX(_xlfn.ANCHORARRAY($K$6),ROW()-5,1),"")</f>
        <v>46255</v>
      </c>
      <c r="B42" s="159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>128.46</v>
      </c>
      <c r="C42" s="161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>109.01</v>
      </c>
      <c r="D42" s="159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>14003.95</v>
      </c>
      <c r="E42" s="61">
        <f>IF($H42="TOTAL",SUM($E$6:$E41)-SUMIF($H$6:$H41,"TOTAL",$E$6:$E41),IF($A42="",0,IF(COUNTIF($A$6:$A42,$A42)=1,SUMIFS(MasterPaid[Amount Paid],MasterPaid[Customer],$K$3,MasterPaid[Date],$A42),0)))</f>
        <v>20712.62</v>
      </c>
      <c r="F42" s="62" t="str" cm="1">
        <f t="array" ref="F42">IFERROR(INDEX(_xlfn.ANCHORARRAY($K$6),ROW()-5,2),"")</f>
        <v>PETROL</v>
      </c>
      <c r="G42" s="57">
        <f>IF($H42="TOTAL",IFERROR(LOOKUP(9.99E+307,$G$6:$G41),""),IF($A42="","",G41+N(D42)-N(E42)))</f>
        <v>14003.95</v>
      </c>
      <c r="H42" s="20"/>
      <c r="I42" s="20"/>
      <c r="J42" s="20"/>
      <c r="K42" s="17">
        <v>46255</v>
      </c>
      <c r="L42" s="17" t="str">
        <v>PETROL</v>
      </c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cm="1">
        <f t="array" ref="A43">IFERROR(INDEX(_xlfn.ANCHORARRAY($K$6),ROW()-5,1),"")</f>
        <v>46256</v>
      </c>
      <c r="B43" s="159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>9.93</v>
      </c>
      <c r="C43" s="161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>100.74</v>
      </c>
      <c r="D43" s="159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>1000</v>
      </c>
      <c r="E43" s="61">
        <f>IF($H43="TOTAL",SUM($E$6:$E42)-SUMIF($H$6:$H42,"TOTAL",$E$6:$E42),IF($A43="",0,IF(COUNTIF($A$6:$A43,$A43)=1,SUMIFS(MasterPaid[Amount Paid],MasterPaid[Customer],$K$3,MasterPaid[Date],$A43),0)))</f>
        <v>14003.95</v>
      </c>
      <c r="F43" s="62" t="str" cm="1">
        <f t="array" ref="F43">IFERROR(INDEX(_xlfn.ANCHORARRAY($K$6),ROW()-5,2),"")</f>
        <v>DIESEL</v>
      </c>
      <c r="G43" s="57">
        <f>IF($H43="TOTAL",IFERROR(LOOKUP(9.99E+307,$G$6:$G42),""),IF($A43="","",G42+N(D43)-N(E43)))</f>
        <v>1000</v>
      </c>
      <c r="H43" s="20"/>
      <c r="I43" s="20"/>
      <c r="J43" s="20"/>
      <c r="K43" s="17">
        <v>46256</v>
      </c>
      <c r="L43" s="17" t="str">
        <v>DIESEL</v>
      </c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cm="1">
        <f t="array" ref="A44">IFERROR(INDEX(_xlfn.ANCHORARRAY($K$6),ROW()-5,1),"")</f>
        <v>46256</v>
      </c>
      <c r="B44" s="159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>71.02</v>
      </c>
      <c r="C44" s="161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>109.01</v>
      </c>
      <c r="D44" s="159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>7742</v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>PETROL</v>
      </c>
      <c r="G44" s="57">
        <f>IF($H44="TOTAL",IFERROR(LOOKUP(9.99E+307,$G$6:$G43),""),IF($A44="","",G43+N(D44)-N(E44)))</f>
        <v>8742</v>
      </c>
      <c r="H44" s="20"/>
      <c r="I44" s="20"/>
      <c r="J44" s="20"/>
      <c r="K44" s="17">
        <v>46256</v>
      </c>
      <c r="L44" s="17" t="str">
        <v>PETROL</v>
      </c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cm="1">
        <f t="array" ref="A45">IFERROR(INDEX(_xlfn.ANCHORARRAY($K$6),ROW()-5,1),"")</f>
        <v>46257</v>
      </c>
      <c r="B45" s="159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>142.49</v>
      </c>
      <c r="C45" s="161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>100.74</v>
      </c>
      <c r="D45" s="159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>14354</v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>DIESEL</v>
      </c>
      <c r="G45" s="57">
        <f>IF($H45="TOTAL",IFERROR(LOOKUP(9.99E+307,$G$6:$G44),""),IF($A45="","",G44+N(D45)-N(E45)))</f>
        <v>23096</v>
      </c>
      <c r="H45" s="20"/>
      <c r="I45" s="20"/>
      <c r="J45" s="20"/>
      <c r="K45" s="17">
        <v>46257</v>
      </c>
      <c r="L45" s="17" t="str">
        <v>DIESEL</v>
      </c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cm="1">
        <f t="array" ref="A46">IFERROR(INDEX(_xlfn.ANCHORARRAY($K$6),ROW()-5,1),"")</f>
        <v>46257</v>
      </c>
      <c r="B46" s="60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>121.32</v>
      </c>
      <c r="C46" s="60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>109.01</v>
      </c>
      <c r="D46" s="60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>13224.85</v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>PETROL</v>
      </c>
      <c r="G46" s="57">
        <f>IF($H46="TOTAL",IFERROR(LOOKUP(9.99E+307,$G$6:$G45),""),IF($A46="","",G45+N(D46)-N(E46)))</f>
        <v>36320.85</v>
      </c>
      <c r="H46" s="20"/>
      <c r="I46" s="20"/>
      <c r="J46" s="20"/>
      <c r="K46" s="17">
        <v>46257</v>
      </c>
      <c r="L46" s="17" t="str">
        <v>PETROL</v>
      </c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cm="1">
        <f t="array" ref="A47">IFERROR(INDEX(_xlfn.ANCHORARRAY($K$6),ROW()-5,1),"")</f>
        <v>46258</v>
      </c>
      <c r="B47" s="60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>15.6</v>
      </c>
      <c r="C47" s="60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>100.74</v>
      </c>
      <c r="D47" s="60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>1572</v>
      </c>
      <c r="E47" s="61">
        <f>IF($H47="TOTAL",SUM($E$6:$E46)-SUMIF($H$6:$H46,"TOTAL",$E$6:$E46),IF($A47="",0,IF(COUNTIF($A$6:$A47,$A47)=1,SUMIFS(MasterPaid[Amount Paid],MasterPaid[Customer],$K$3,MasterPaid[Date],$A47),0)))</f>
        <v>36320.85</v>
      </c>
      <c r="F47" s="62" t="str" cm="1">
        <f t="array" ref="F47">IFERROR(INDEX(_xlfn.ANCHORARRAY($K$6),ROW()-5,2),"")</f>
        <v>DIESEL</v>
      </c>
      <c r="G47" s="57">
        <f>IF($H47="TOTAL",IFERROR(LOOKUP(9.99E+307,$G$6:$G46),""),IF($A47="","",G46+N(D47)-N(E47)))</f>
        <v>1572</v>
      </c>
      <c r="H47" s="17"/>
      <c r="I47" s="17"/>
      <c r="J47" s="17"/>
      <c r="K47" s="17">
        <v>46258</v>
      </c>
      <c r="L47" s="17" t="str">
        <v>DIESEL</v>
      </c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cm="1">
        <f t="array" ref="A48">IFERROR(INDEX(_xlfn.ANCHORARRAY($K$6),ROW()-5,1),"")</f>
        <v>46258</v>
      </c>
      <c r="B48" s="60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>93.16</v>
      </c>
      <c r="C48" s="60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>109.01</v>
      </c>
      <c r="D48" s="60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>10155.84</v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>PETROL</v>
      </c>
      <c r="G48" s="57">
        <f>IF($H48="TOTAL",IFERROR(LOOKUP(9.99E+307,$G$6:$G47),""),IF($A48="","",G47+N(D48)-N(E48)))</f>
        <v>11727.84</v>
      </c>
      <c r="H48" s="17"/>
      <c r="I48" s="17"/>
      <c r="J48" s="17"/>
      <c r="K48" s="17">
        <v>46258</v>
      </c>
      <c r="L48" s="17" t="str">
        <v>PETROL</v>
      </c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cm="1">
        <f t="array" ref="A49">IFERROR(INDEX(_xlfn.ANCHORARRAY($K$6),ROW()-5,1),"")</f>
        <v>46259</v>
      </c>
      <c r="B49" s="60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>9.93</v>
      </c>
      <c r="C49" s="60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>100.74</v>
      </c>
      <c r="D49" s="60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>1000</v>
      </c>
      <c r="E49" s="61">
        <f>IF($H49="TOTAL",SUM($E$6:$E48)-SUMIF($H$6:$H48,"TOTAL",$E$6:$E48),IF($A49="",0,IF(COUNTIF($A$6:$A49,$A49)=1,SUMIFS(MasterPaid[Amount Paid],MasterPaid[Customer],$K$3,MasterPaid[Date],$A49),0)))</f>
        <v>10427.84</v>
      </c>
      <c r="F49" s="62" t="str" cm="1">
        <f t="array" ref="F49">IFERROR(INDEX(_xlfn.ANCHORARRAY($K$6),ROW()-5,2),"")</f>
        <v>DIESEL</v>
      </c>
      <c r="G49" s="57">
        <f>IF($H49="TOTAL",IFERROR(LOOKUP(9.99E+307,$G$6:$G48),""),IF($A49="","",G48+N(D49)-N(E49)))</f>
        <v>2300</v>
      </c>
      <c r="H49" s="17"/>
      <c r="I49" s="17"/>
      <c r="J49" s="17"/>
      <c r="K49" s="17">
        <v>46259</v>
      </c>
      <c r="L49" s="17" t="str">
        <v>DIESEL</v>
      </c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cm="1">
        <f t="array" ref="A50">IFERROR(INDEX(_xlfn.ANCHORARRAY($K$6),ROW()-5,1),"")</f>
        <v>46259</v>
      </c>
      <c r="B50" s="60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>43.04</v>
      </c>
      <c r="C50" s="60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>109.01</v>
      </c>
      <c r="D50" s="60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>4692</v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>PETROL</v>
      </c>
      <c r="G50" s="57">
        <f>IF($H50="TOTAL",IFERROR(LOOKUP(9.99E+307,$G$6:$G49),""),IF($A50="","",G49+N(D50)-N(E50)))</f>
        <v>6992</v>
      </c>
      <c r="H50" s="17"/>
      <c r="I50" s="17"/>
      <c r="J50" s="17"/>
      <c r="K50" s="17">
        <v>46259</v>
      </c>
      <c r="L50" s="17" t="str">
        <v>PETROL</v>
      </c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cm="1">
        <f t="array" ref="A51">IFERROR(INDEX(_xlfn.ANCHORARRAY($K$6),ROW()-5,1),"")</f>
        <v>46260</v>
      </c>
      <c r="B51" s="60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>4.67</v>
      </c>
      <c r="C51" s="60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>100.74</v>
      </c>
      <c r="D51" s="60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>470</v>
      </c>
      <c r="E51" s="61">
        <f>IF($H51="TOTAL",SUM($E$6:$E50)-SUMIF($H$6:$H50,"TOTAL",$E$6:$E50),IF($A51="",0,IF(COUNTIF($A$6:$A51,$A51)=1,SUMIFS(MasterPaid[Amount Paid],MasterPaid[Customer],$K$3,MasterPaid[Date],$A51),0)))</f>
        <v>6992</v>
      </c>
      <c r="F51" s="62" t="str" cm="1">
        <f t="array" ref="F51">IFERROR(INDEX(_xlfn.ANCHORARRAY($K$6),ROW()-5,2),"")</f>
        <v>DIESEL</v>
      </c>
      <c r="G51" s="57">
        <f>IF($H51="TOTAL",IFERROR(LOOKUP(9.99E+307,$G$6:$G50),""),IF($A51="","",G50+N(D51)-N(E51)))</f>
        <v>470</v>
      </c>
      <c r="H51" s="17"/>
      <c r="I51" s="17"/>
      <c r="J51" s="17"/>
      <c r="K51" s="17">
        <v>46260</v>
      </c>
      <c r="L51" s="17" t="str">
        <v>DIESEL</v>
      </c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cm="1">
        <f t="array" ref="A52">IFERROR(INDEX(_xlfn.ANCHORARRAY($K$6),ROW()-5,1),"")</f>
        <v>46260</v>
      </c>
      <c r="B52" s="60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>82.66</v>
      </c>
      <c r="C52" s="60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>109.01</v>
      </c>
      <c r="D52" s="60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>9011</v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>PETROL</v>
      </c>
      <c r="G52" s="57">
        <f>IF($H52="TOTAL",IFERROR(LOOKUP(9.99E+307,$G$6:$G51),""),IF($A52="","",G51+N(D52)-N(E52)))</f>
        <v>9481</v>
      </c>
      <c r="H52" s="17"/>
      <c r="I52" s="17"/>
      <c r="J52" s="17"/>
      <c r="K52" s="17">
        <v>46260</v>
      </c>
      <c r="L52" s="17" t="str">
        <v>PETROL</v>
      </c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cm="1">
        <f t="array" ref="A53">IFERROR(INDEX(_xlfn.ANCHORARRAY($K$6),ROW()-5,1),"")</f>
        <v>46261</v>
      </c>
      <c r="B53" s="60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>47.61</v>
      </c>
      <c r="C53" s="60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>109.01</v>
      </c>
      <c r="D53" s="60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>5190</v>
      </c>
      <c r="E53" s="61">
        <f>IF($H53="TOTAL",SUM($E$6:$E52)-SUMIF($H$6:$H52,"TOTAL",$E$6:$E52),IF($A53="",0,IF(COUNTIF($A$6:$A53,$A53)=1,SUMIFS(MasterPaid[Amount Paid],MasterPaid[Customer],$K$3,MasterPaid[Date],$A53),0)))</f>
        <v>9481</v>
      </c>
      <c r="F53" s="62" t="str" cm="1">
        <f t="array" ref="F53">IFERROR(INDEX(_xlfn.ANCHORARRAY($K$6),ROW()-5,2),"")</f>
        <v>PETROL</v>
      </c>
      <c r="G53" s="57">
        <f>IF($H53="TOTAL",IFERROR(LOOKUP(9.99E+307,$G$6:$G52),""),IF($A53="","",G52+N(D53)-N(E53)))</f>
        <v>5190</v>
      </c>
      <c r="H53" s="17"/>
      <c r="I53" s="17"/>
      <c r="J53" s="17"/>
      <c r="K53" s="17">
        <v>46261</v>
      </c>
      <c r="L53" s="17" t="str">
        <v>PETROL</v>
      </c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cm="1">
        <f t="array" ref="A54">IFERROR(INDEX(_xlfn.ANCHORARRAY($K$6),ROW()-5,1),"")</f>
        <v>46262</v>
      </c>
      <c r="B54" s="60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>5.18</v>
      </c>
      <c r="C54" s="60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>100.74</v>
      </c>
      <c r="D54" s="60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>522</v>
      </c>
      <c r="E54" s="61">
        <f>IF($H54="TOTAL",SUM($E$6:$E53)-SUMIF($H$6:$H53,"TOTAL",$E$6:$E53),IF($A54="",0,IF(COUNTIF($A$6:$A54,$A54)=1,SUMIFS(MasterPaid[Amount Paid],MasterPaid[Customer],$K$3,MasterPaid[Date],$A54),0)))</f>
        <v>5190</v>
      </c>
      <c r="F54" s="62" t="str" cm="1">
        <f t="array" ref="F54">IFERROR(INDEX(_xlfn.ANCHORARRAY($K$6),ROW()-5,2),"")</f>
        <v>DIESEL</v>
      </c>
      <c r="G54" s="57">
        <f>IF($H54="TOTAL",IFERROR(LOOKUP(9.99E+307,$G$6:$G53),""),IF($A54="","",G53+N(D54)-N(E54)))</f>
        <v>522</v>
      </c>
      <c r="H54" s="17"/>
      <c r="I54" s="17"/>
      <c r="J54" s="17"/>
      <c r="K54" s="17">
        <v>46262</v>
      </c>
      <c r="L54" s="17" t="str">
        <v>DIESEL</v>
      </c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cm="1">
        <f t="array" ref="A55">IFERROR(INDEX(_xlfn.ANCHORARRAY($K$6),ROW()-5,1),"")</f>
        <v>46262</v>
      </c>
      <c r="B55" s="60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>27.98</v>
      </c>
      <c r="C55" s="60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>109.01</v>
      </c>
      <c r="D55" s="60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>3050.1</v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>PETROL</v>
      </c>
      <c r="G55" s="57">
        <f>IF($H55="TOTAL",IFERROR(LOOKUP(9.99E+307,$G$6:$G54),""),IF($A55="","",G54+N(D55)-N(E55)))</f>
        <v>3572.1</v>
      </c>
      <c r="H55" s="17"/>
      <c r="I55" s="17"/>
      <c r="J55" s="17"/>
      <c r="K55" s="17">
        <v>46262</v>
      </c>
      <c r="L55" s="17" t="str">
        <v>PETROL</v>
      </c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cm="1">
        <f t="array" ref="A56">IFERROR(INDEX(_xlfn.ANCHORARRAY($K$6),ROW()-5,1),"")</f>
        <v>46263</v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>0</v>
      </c>
      <c r="E56" s="61">
        <f>IF($H56="TOTAL",SUM($E$6:$E55)-SUMIF($H$6:$H55,"TOTAL",$E$6:$E55),IF($A56="",0,IF(COUNTIF($A$6:$A56,$A56)=1,SUMIFS(MasterPaid[Amount Paid],MasterPaid[Customer],$K$3,MasterPaid[Date],$A56),0)))</f>
        <v>3572.1</v>
      </c>
      <c r="F56" s="62" t="str" cm="1">
        <f t="array" ref="F56">IFERROR(INDEX(_xlfn.ANCHORARRAY($K$6),ROW()-5,2),"")</f>
        <v/>
      </c>
      <c r="G56" s="57">
        <f>IF($H56="TOTAL",IFERROR(LOOKUP(9.99E+307,$G$6:$G55),""),IF($A56="","",G55+N(D56)-N(E56)))</f>
        <v>0</v>
      </c>
      <c r="H56" s="17"/>
      <c r="I56" s="17"/>
      <c r="J56" s="17"/>
      <c r="K56" s="17">
        <v>46263</v>
      </c>
      <c r="L56" s="17" t="str">
        <v/>
      </c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80"/>
      <c r="R57" s="181"/>
      <c r="S57" s="182"/>
      <c r="T57" s="182"/>
      <c r="U57" s="182"/>
      <c r="V57" s="183"/>
      <c r="W57" s="185"/>
      <c r="X57" s="182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80"/>
      <c r="R58" s="181"/>
      <c r="S58" s="182"/>
      <c r="T58" s="182"/>
      <c r="U58" s="182"/>
      <c r="V58" s="183"/>
      <c r="W58" s="185"/>
      <c r="X58" s="182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80"/>
      <c r="R65" s="181"/>
      <c r="S65" s="182"/>
      <c r="T65" s="182"/>
      <c r="U65" s="182"/>
      <c r="V65" s="183"/>
      <c r="W65" s="185"/>
      <c r="X65" s="182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78" priority="10">
      <formula>AND($A6&lt;&gt;"",$A6=$A5)</formula>
    </cfRule>
  </conditionalFormatting>
  <conditionalFormatting sqref="A6:A85">
    <cfRule type="expression" dxfId="1777" priority="6">
      <formula>$A6=$A5</formula>
    </cfRule>
  </conditionalFormatting>
  <conditionalFormatting sqref="B5:D92">
    <cfRule type="expression" dxfId="1776" priority="1">
      <formula>$F5="PETROL"</formula>
    </cfRule>
  </conditionalFormatting>
  <conditionalFormatting sqref="B5:D95">
    <cfRule type="expression" dxfId="1775" priority="3">
      <formula>AND(ISNUMBER(B5),MOD(B5,1)&lt;&gt;0)</formula>
    </cfRule>
  </conditionalFormatting>
  <conditionalFormatting sqref="B7:G60">
    <cfRule type="expression" dxfId="1774" priority="9">
      <formula>$H7="TOTAL"</formula>
    </cfRule>
  </conditionalFormatting>
  <conditionalFormatting sqref="E5:E95">
    <cfRule type="expression" dxfId="1773" priority="4">
      <formula>AND(ISNUMBER(E5),MOD(E5,1)&lt;&gt;0)</formula>
    </cfRule>
  </conditionalFormatting>
  <conditionalFormatting sqref="F5:F92">
    <cfRule type="expression" dxfId="1772" priority="2">
      <formula>$F5="PETROL"</formula>
    </cfRule>
  </conditionalFormatting>
  <conditionalFormatting sqref="G5:G95">
    <cfRule type="expression" dxfId="1771" priority="5">
      <formula>AND(ISNUMBER(G5),MOD(G5,1)&lt;&gt;0)</formula>
    </cfRule>
  </conditionalFormatting>
  <conditionalFormatting sqref="R13:R106">
    <cfRule type="expression" dxfId="1770" priority="7">
      <formula>AND(R13&lt;&gt;"",R13=R12)</formula>
    </cfRule>
  </conditionalFormatting>
  <conditionalFormatting sqref="R13:X106">
    <cfRule type="expression" dxfId="1769" priority="8">
      <formula>$X13="Petrol"</formula>
    </cfRule>
  </conditionalFormatting>
  <hyperlinks>
    <hyperlink ref="K1" location="Index!A1" display="→ Index" xr:uid="{BB4D20B0-74D4-9340-B46B-9BAC449A696F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97EE-7004-DE4C-A5F1-AB22EE05AB91}">
  <sheetPr codeName="Sheet45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Animesh Builders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1483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IFERROR(INDEX(Outstanding!$N$4:$Z$69,MATCH($K$3,Outstanding!$M$4:$M$66,0),MATCH($A$5,Outstanding!$N$3:$Z$3,0)),0)</f>
        <v>60444.05</v>
      </c>
      <c r="H5" s="20"/>
      <c r="I5" s="58">
        <f>G5+SUM(D5:D45)-SUM(E5:E45)</f>
        <v>4.9999999988358468E-2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46239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600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60444</v>
      </c>
      <c r="E6" s="61">
        <f>IF($H6="TOTAL",0,IF($A6="",0,IF(COUNTIF($A$6:$A6,$A6)=1,SUMIFS(MasterPaid[Amount Paid],MasterPaid[Customer],$K$3,MasterPaid[Date],$A6),0)))</f>
        <v>60444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60444.05</v>
      </c>
      <c r="H6" s="20"/>
      <c r="I6" s="20"/>
      <c r="J6" s="20"/>
      <c r="K6" cm="1">
        <f t="array" ref="K6:L8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46239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46246</v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0</v>
      </c>
      <c r="E7" s="61">
        <f>IF($H7="TOTAL",SUM($E$6:$E6)-SUMIF($H$6:$H6,"TOTAL",$E$6:$E6),IF($A7="",0,IF(COUNTIF($A$6:$A7,$A7)=1,SUMIFS(MasterPaid[Amount Paid],MasterPaid[Customer],$K$3,MasterPaid[Date],$A7),0)))</f>
        <v>60444</v>
      </c>
      <c r="F7" s="62" t="str" cm="1">
        <f t="array" ref="F7">IFERROR(INDEX(_xlfn.ANCHORARRAY($K$6),ROW()-5,2),"")</f>
        <v/>
      </c>
      <c r="G7" s="57">
        <f>IF($H7="TOTAL",IFERROR(LOOKUP(9.99E+307,$G$6:$G6),""),IF($A7="","",G6+N(D7)-N(E7)))</f>
        <v>5.0000000002910383E-2</v>
      </c>
      <c r="H7" s="20"/>
      <c r="I7" s="20"/>
      <c r="J7" s="20"/>
      <c r="K7" s="17">
        <v>46246</v>
      </c>
      <c r="L7" s="17" t="str">
        <v/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46248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600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60444</v>
      </c>
      <c r="E8" s="61">
        <f>IF($H8="TOTAL",SUM($E$6:$E7)-SUMIF($H$6:$H7,"TOTAL",$E$6:$E7),IF($A8="",0,IF(COUNTIF($A$6:$A8,$A8)=1,SUMIFS(MasterPaid[Amount Paid],MasterPaid[Customer],$K$3,MasterPaid[Date],$A8),0)))</f>
        <v>60444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5.0000000002910383E-2</v>
      </c>
      <c r="H8" s="20"/>
      <c r="I8" s="20"/>
      <c r="J8" s="20"/>
      <c r="K8" s="17">
        <v>46248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Animesh Builders</v>
      </c>
      <c r="R9" s="44"/>
      <c r="S9" s="44"/>
      <c r="T9" s="44"/>
      <c r="U9" s="45"/>
      <c r="V9" s="45"/>
      <c r="W9" s="46" t="s">
        <v>1282</v>
      </c>
      <c r="X9" s="47">
        <v>46248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GSTIN:21AGKPN0942L1ZE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80"/>
      <c r="R15" s="181"/>
      <c r="S15" s="182"/>
      <c r="T15" s="182"/>
      <c r="U15" s="182"/>
      <c r="V15" s="182"/>
      <c r="W15" s="185"/>
      <c r="X15" s="182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80"/>
      <c r="R16" s="181"/>
      <c r="S16" s="182"/>
      <c r="T16" s="182"/>
      <c r="U16" s="182"/>
      <c r="V16" s="183"/>
      <c r="W16" s="185"/>
      <c r="X16" s="182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80"/>
      <c r="R19" s="181"/>
      <c r="S19" s="182"/>
      <c r="T19" s="182"/>
      <c r="U19" s="182"/>
      <c r="V19" s="183"/>
      <c r="W19" s="185"/>
      <c r="X19" s="182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31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80"/>
      <c r="R55" s="181"/>
      <c r="S55" s="182"/>
      <c r="T55" s="182"/>
      <c r="U55" s="182"/>
      <c r="V55" s="183"/>
      <c r="W55" s="185"/>
      <c r="X55" s="182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80"/>
      <c r="R56" s="181"/>
      <c r="S56" s="182"/>
      <c r="T56" s="182"/>
      <c r="U56" s="182"/>
      <c r="V56" s="183"/>
      <c r="W56" s="185"/>
      <c r="X56" s="182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80"/>
      <c r="R75" s="181"/>
      <c r="S75" s="182"/>
      <c r="T75" s="182"/>
      <c r="U75" s="182"/>
      <c r="V75" s="183"/>
      <c r="W75" s="185"/>
      <c r="X75" s="182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68" priority="10">
      <formula>AND($A6&lt;&gt;"",$A6=$A5)</formula>
    </cfRule>
  </conditionalFormatting>
  <conditionalFormatting sqref="A6:A85">
    <cfRule type="expression" dxfId="1767" priority="6">
      <formula>$A6=$A5</formula>
    </cfRule>
  </conditionalFormatting>
  <conditionalFormatting sqref="B5:D92">
    <cfRule type="expression" dxfId="1766" priority="1">
      <formula>$F5="PETROL"</formula>
    </cfRule>
  </conditionalFormatting>
  <conditionalFormatting sqref="B5:D95">
    <cfRule type="expression" dxfId="1765" priority="3">
      <formula>AND(ISNUMBER(B5),MOD(B5,1)&lt;&gt;0)</formula>
    </cfRule>
  </conditionalFormatting>
  <conditionalFormatting sqref="B7:G60">
    <cfRule type="expression" dxfId="1764" priority="9">
      <formula>$H7="TOTAL"</formula>
    </cfRule>
  </conditionalFormatting>
  <conditionalFormatting sqref="E5:E95">
    <cfRule type="expression" dxfId="1763" priority="4">
      <formula>AND(ISNUMBER(E5),MOD(E5,1)&lt;&gt;0)</formula>
    </cfRule>
  </conditionalFormatting>
  <conditionalFormatting sqref="F5:F92">
    <cfRule type="expression" dxfId="1762" priority="2">
      <formula>$F5="PETROL"</formula>
    </cfRule>
  </conditionalFormatting>
  <conditionalFormatting sqref="G5:G95">
    <cfRule type="expression" dxfId="1761" priority="5">
      <formula>AND(ISNUMBER(G5),MOD(G5,1)&lt;&gt;0)</formula>
    </cfRule>
  </conditionalFormatting>
  <conditionalFormatting sqref="R13:R106">
    <cfRule type="expression" dxfId="1760" priority="7">
      <formula>AND(R13&lt;&gt;"",R13=R12)</formula>
    </cfRule>
  </conditionalFormatting>
  <conditionalFormatting sqref="R13:X106">
    <cfRule type="expression" dxfId="1759" priority="8">
      <formula>$X13="Petrol"</formula>
    </cfRule>
  </conditionalFormatting>
  <hyperlinks>
    <hyperlink ref="K1" location="Index!A1" display="→ Index" xr:uid="{B6BD892D-4E16-7D44-8FCD-8652EF57EDA6}"/>
  </hyperlinks>
  <printOptions horizontalCentered="1"/>
  <pageMargins left="0.25" right="0.25" top="0.25" bottom="1.35" header="0" footer="0.5"/>
  <pageSetup paperSize="9" scale="96" orientation="portrait" r:id="rId1"/>
  <drawing r:id="rId2"/>
  <legacyDrawingHF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2ED9-D3F0-F64F-BFD5-57B225CEBE64}">
  <sheetPr codeName="Sheet37">
    <pageSetUpPr fitToPage="1"/>
  </sheetPr>
  <dimension ref="A1:X200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Maa Samlai Logistics Private Limited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1786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IFERROR(INDEX(Outstanding!$N$4:$Z$69,MATCH($K$3,Outstanding!$M$4:$M$66,0),MATCH($A$5,Outstanding!$N$3:$Z$3,0)),0)</f>
        <v>0</v>
      </c>
      <c r="H5" s="20"/>
      <c r="I5" s="58">
        <f>G5+SUM(D5:D45)-SUM(E5:E45)</f>
        <v>109200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46241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166.8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16800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16800</v>
      </c>
      <c r="H6" s="20"/>
      <c r="I6" s="20"/>
      <c r="J6" s="20"/>
      <c r="K6" cm="1">
        <f t="array" ref="K6:L20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46241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46242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111.2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11200</v>
      </c>
      <c r="E7" s="61">
        <f>IF($H7="TOTAL",SUM($E$6:$E6)-SUMIF($H$6:$H6,"TOTAL",$E$6:$E6),IF($A7="",0,IF(COUNTIF($A$6:$A7,$A7)=1,SUMIFS(MasterPaid[Amount Paid],MasterPaid[Customer],$K$3,MasterPaid[Date],$A7),0)))</f>
        <v>16800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11200</v>
      </c>
      <c r="H7" s="20"/>
      <c r="I7" s="20"/>
      <c r="J7" s="20"/>
      <c r="K7" s="17">
        <v>46242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46243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222.40000000000003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22400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33600</v>
      </c>
      <c r="H8" s="20"/>
      <c r="I8" s="20"/>
      <c r="J8" s="20"/>
      <c r="K8" s="17">
        <v>46243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cm="1">
        <f t="array" ref="A9">IFERROR(INDEX(_xlfn.ANCHORARRAY($K$6),ROW()-5,1),"")</f>
        <v>46244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55.6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5600</v>
      </c>
      <c r="E9" s="61">
        <f>IF($H9="TOTAL",SUM($E$6:$E8)-SUMIF($H$6:$H8,"TOTAL",$E$6:$E8),IF($A9="",0,IF(COUNTIF($A$6:$A9,$A9)=1,SUMIFS(MasterPaid[Amount Paid],MasterPaid[Customer],$K$3,MasterPaid[Date],$A9),0)))</f>
        <v>33600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5600</v>
      </c>
      <c r="H9" s="20"/>
      <c r="I9" s="20"/>
      <c r="J9" s="20"/>
      <c r="K9" s="17">
        <v>46244</v>
      </c>
      <c r="L9" s="17" t="str">
        <v>DIESEL</v>
      </c>
      <c r="M9" s="17"/>
      <c r="N9" s="17"/>
      <c r="O9" s="17"/>
      <c r="P9" s="17"/>
      <c r="Q9" s="63" t="str">
        <f>K3</f>
        <v>Maa Samlai Logistics Private Limited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46245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83.4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8400</v>
      </c>
      <c r="E10" s="61">
        <f>IF($H10="TOTAL",SUM($E$6:$E9)-SUMIF($H$6:$H9,"TOTAL",$E$6:$E9),IF($A10="",0,IF(COUNTIF($A$6:$A10,$A10)=1,SUMIFS(MasterPaid[Amount Paid],MasterPaid[Customer],$K$3,MasterPaid[Date],$A10),0)))</f>
        <v>5600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8400</v>
      </c>
      <c r="H10" s="20"/>
      <c r="I10" s="20"/>
      <c r="J10" s="20"/>
      <c r="K10" s="17">
        <v>46245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46246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305.80000000000007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30800</v>
      </c>
      <c r="E11" s="61">
        <f>IF($H11="TOTAL",SUM($E$6:$E10)-SUMIF($H$6:$H10,"TOTAL",$E$6:$E10),IF($A11="",0,IF(COUNTIF($A$6:$A11,$A11)=1,SUMIFS(MasterPaid[Amount Paid],MasterPaid[Customer],$K$3,MasterPaid[Date],$A11),0)))</f>
        <v>8400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30800</v>
      </c>
      <c r="H11" s="20"/>
      <c r="I11" s="20"/>
      <c r="J11" s="20"/>
      <c r="K11" s="17">
        <v>46246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GSTIN:21AASCM5400H1ZO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46247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194.60000000000002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19600</v>
      </c>
      <c r="E12" s="61">
        <f>IF($H12="TOTAL",SUM($E$6:$E11)-SUMIF($H$6:$H11,"TOTAL",$E$6:$E11),IF($A12="",0,IF(COUNTIF($A$6:$A12,$A12)=1,SUMIFS(MasterPaid[Amount Paid],MasterPaid[Customer],$K$3,MasterPaid[Date],$A12),0)))</f>
        <v>30800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19600</v>
      </c>
      <c r="H12" s="20"/>
      <c r="I12" s="20"/>
      <c r="J12" s="20"/>
      <c r="K12" s="17">
        <v>46247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46248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27.79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2800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22400</v>
      </c>
      <c r="H13" s="20"/>
      <c r="I13" s="20"/>
      <c r="J13" s="20"/>
      <c r="K13" s="17">
        <v>46248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51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2484</v>
      </c>
      <c r="T13" s="53" t="str">
        <f ca="1"/>
        <v>OD16E9644</v>
      </c>
      <c r="U13" s="53">
        <f ca="1"/>
        <v>27.8</v>
      </c>
      <c r="V13" s="53">
        <f ca="1"/>
        <v>100.74</v>
      </c>
      <c r="W13" s="184">
        <f ca="1"/>
        <v>2800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46249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27.79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2800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25200</v>
      </c>
      <c r="H14" s="20"/>
      <c r="I14" s="20"/>
      <c r="J14" s="20"/>
      <c r="K14" s="17">
        <v>46249</v>
      </c>
      <c r="L14" s="17" t="str">
        <v>DIESEL</v>
      </c>
      <c r="M14" s="17"/>
      <c r="N14" s="17"/>
      <c r="O14" s="17"/>
      <c r="P14" s="17"/>
      <c r="Q14" s="17"/>
      <c r="R14" s="52">
        <f ca="1"/>
        <v>46262</v>
      </c>
      <c r="S14" s="53" t="str">
        <f ca="1"/>
        <v>2485</v>
      </c>
      <c r="T14" s="53" t="str">
        <f ca="1"/>
        <v>OD16D6574</v>
      </c>
      <c r="U14" s="53">
        <f ca="1"/>
        <v>27.8</v>
      </c>
      <c r="V14" s="53">
        <f ca="1"/>
        <v>100.74</v>
      </c>
      <c r="W14" s="184">
        <f ca="1"/>
        <v>2800</v>
      </c>
      <c r="X14" s="53" t="str">
        <f ca="1"/>
        <v>Diesel</v>
      </c>
    </row>
    <row r="15" spans="1:24" ht="21.75" x14ac:dyDescent="0.25">
      <c r="A15" s="71" cm="1">
        <f t="array" ref="A15">IFERROR(INDEX(_xlfn.ANCHORARRAY($K$6),ROW()-5,1),"")</f>
        <v>46251</v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0</v>
      </c>
      <c r="E15" s="61">
        <f>IF($H15="TOTAL",SUM($E$6:$E14)-SUMIF($H$6:$H14,"TOTAL",$E$6:$E14),IF($A15="",0,IF(COUNTIF($A$6:$A15,$A15)=1,SUMIFS(MasterPaid[Amount Paid],MasterPaid[Customer],$K$3,MasterPaid[Date],$A15),0)))</f>
        <v>25200</v>
      </c>
      <c r="F15" s="62" t="str" cm="1">
        <f t="array" ref="F15">IFERROR(INDEX(_xlfn.ANCHORARRAY($K$6),ROW()-5,2),"")</f>
        <v/>
      </c>
      <c r="G15" s="57">
        <f>IF($H15="TOTAL",IFERROR(LOOKUP(9.99E+307,$G$6:$G14),""),IF($A15="","",G14+N(D15)-N(E15)))</f>
        <v>0</v>
      </c>
      <c r="H15" s="20"/>
      <c r="I15" s="20"/>
      <c r="J15" s="20"/>
      <c r="K15" s="17">
        <v>46251</v>
      </c>
      <c r="L15" s="17" t="str">
        <v/>
      </c>
      <c r="M15" s="17"/>
      <c r="N15" s="17"/>
      <c r="O15" s="17"/>
      <c r="P15" s="17"/>
      <c r="Q15" s="17"/>
      <c r="R15" s="52">
        <f ca="1"/>
        <v>46262</v>
      </c>
      <c r="S15" s="53" t="str">
        <f ca="1"/>
        <v>2486</v>
      </c>
      <c r="T15" s="53" t="str">
        <f ca="1"/>
        <v>OD16D9822</v>
      </c>
      <c r="U15" s="53">
        <f ca="1"/>
        <v>27.8</v>
      </c>
      <c r="V15" s="53">
        <f ca="1"/>
        <v>100.74</v>
      </c>
      <c r="W15" s="184">
        <f ca="1"/>
        <v>2800</v>
      </c>
      <c r="X15" s="53" t="str">
        <f ca="1"/>
        <v>Diesel</v>
      </c>
    </row>
    <row r="16" spans="1:24" ht="21.75" customHeight="1" x14ac:dyDescent="0.25">
      <c r="A16" s="71" cm="1">
        <f t="array" ref="A16">IFERROR(INDEX(_xlfn.ANCHORARRAY($K$6),ROW()-5,1),"")</f>
        <v>46258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111.2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11200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11200</v>
      </c>
      <c r="H16" s="20"/>
      <c r="I16" s="20"/>
      <c r="J16" s="20"/>
      <c r="K16" s="17">
        <v>46258</v>
      </c>
      <c r="L16" s="17" t="str">
        <v>DIESEL</v>
      </c>
      <c r="M16" s="17"/>
      <c r="N16" s="17"/>
      <c r="O16" s="17"/>
      <c r="P16" s="17"/>
      <c r="Q16" s="180"/>
      <c r="R16" s="181">
        <f ca="1"/>
        <v>46262</v>
      </c>
      <c r="S16" s="182" t="str">
        <f ca="1"/>
        <v>2487</v>
      </c>
      <c r="T16" s="182" t="str">
        <f ca="1"/>
        <v>OD23V1223</v>
      </c>
      <c r="U16" s="182">
        <f ca="1"/>
        <v>27.8</v>
      </c>
      <c r="V16" s="183">
        <f ca="1"/>
        <v>100.74</v>
      </c>
      <c r="W16" s="185">
        <f ca="1"/>
        <v>2800</v>
      </c>
      <c r="X16" s="182" t="str">
        <f ca="1"/>
        <v>Diesel</v>
      </c>
    </row>
    <row r="17" spans="1:24" ht="21.75" x14ac:dyDescent="0.25">
      <c r="A17" s="71" cm="1">
        <f t="array" ref="A17">IFERROR(INDEX(_xlfn.ANCHORARRAY($K$6),ROW()-5,1),"")</f>
        <v>46259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305.80000000000007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30800</v>
      </c>
      <c r="E17" s="61">
        <f>IF($H17="TOTAL",SUM($E$6:$E16)-SUMIF($H$6:$H16,"TOTAL",$E$6:$E16),IF($A17="",0,IF(COUNTIF($A$6:$A17,$A17)=1,SUMIFS(MasterPaid[Amount Paid],MasterPaid[Customer],$K$3,MasterPaid[Date],$A17),0)))</f>
        <v>11200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30800</v>
      </c>
      <c r="H17" s="20"/>
      <c r="I17" s="20"/>
      <c r="J17" s="20"/>
      <c r="K17" s="17">
        <v>46259</v>
      </c>
      <c r="L17" s="17" t="str">
        <v>DIESEL</v>
      </c>
      <c r="M17" s="17"/>
      <c r="N17" s="17"/>
      <c r="O17" s="17"/>
      <c r="P17" s="17"/>
      <c r="Q17" s="17"/>
      <c r="R17" s="52">
        <f ca="1"/>
        <v>46262</v>
      </c>
      <c r="S17" s="53" t="str">
        <f ca="1"/>
        <v>2488</v>
      </c>
      <c r="T17" s="53" t="str">
        <f ca="1"/>
        <v>OD16D7094</v>
      </c>
      <c r="U17" s="53">
        <f ca="1"/>
        <v>27.8</v>
      </c>
      <c r="V17" s="70">
        <f ca="1"/>
        <v>100.74</v>
      </c>
      <c r="W17" s="184">
        <f ca="1"/>
        <v>2800</v>
      </c>
      <c r="X17" s="53" t="str">
        <f ca="1"/>
        <v>Diesel</v>
      </c>
    </row>
    <row r="18" spans="1:24" ht="21.75" x14ac:dyDescent="0.25">
      <c r="A18" s="71" cm="1">
        <f t="array" ref="A18">IFERROR(INDEX(_xlfn.ANCHORARRAY($K$6),ROW()-5,1),"")</f>
        <v>46260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639.4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100.73999999999998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64400</v>
      </c>
      <c r="E18" s="61">
        <f>IF($H18="TOTAL",SUM($E$6:$E17)-SUMIF($H$6:$H17,"TOTAL",$E$6:$E17),IF($A18="",0,IF(COUNTIF($A$6:$A18,$A18)=1,SUMIFS(MasterPaid[Amount Paid],MasterPaid[Customer],$K$3,MasterPaid[Date],$A18),0)))</f>
        <v>30800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64400</v>
      </c>
      <c r="H18" s="20"/>
      <c r="I18" s="20"/>
      <c r="J18" s="20"/>
      <c r="K18" s="17">
        <v>46260</v>
      </c>
      <c r="L18" s="17" t="str">
        <v>DIESEL</v>
      </c>
      <c r="M18" s="17"/>
      <c r="N18" s="17"/>
      <c r="O18" s="17"/>
      <c r="P18" s="17"/>
      <c r="Q18" s="17"/>
      <c r="R18" s="52">
        <f ca="1"/>
        <v>46262</v>
      </c>
      <c r="S18" s="53" t="str">
        <f ca="1"/>
        <v>2489</v>
      </c>
      <c r="T18" s="53" t="str">
        <f ca="1"/>
        <v>OD16D7087</v>
      </c>
      <c r="U18" s="53">
        <f ca="1"/>
        <v>27.8</v>
      </c>
      <c r="V18" s="70">
        <f ca="1"/>
        <v>100.74</v>
      </c>
      <c r="W18" s="184">
        <f ca="1"/>
        <v>2800</v>
      </c>
      <c r="X18" s="53" t="str">
        <f ca="1"/>
        <v>Diesel</v>
      </c>
    </row>
    <row r="19" spans="1:24" ht="21.75" x14ac:dyDescent="0.25">
      <c r="A19" s="71" cm="1">
        <f t="array" ref="A19">IFERROR(INDEX(_xlfn.ANCHORARRAY($K$6),ROW()-5,1),"")</f>
        <v>46261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917.39999999999952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100.73999999999992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92400</v>
      </c>
      <c r="E19" s="61">
        <f>IF($H19="TOTAL",SUM($E$6:$E18)-SUMIF($H$6:$H18,"TOTAL",$E$6:$E18),IF($A19="",0,IF(COUNTIF($A$6:$A19,$A19)=1,SUMIFS(MasterPaid[Amount Paid],MasterPaid[Customer],$K$3,MasterPaid[Date],$A19),0)))</f>
        <v>64400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92400</v>
      </c>
      <c r="H19" s="20"/>
      <c r="I19" s="20"/>
      <c r="J19" s="20"/>
      <c r="K19" s="17">
        <v>46261</v>
      </c>
      <c r="L19" s="17" t="str">
        <v>DIESEL</v>
      </c>
      <c r="M19" s="17"/>
      <c r="N19" s="17"/>
      <c r="O19" s="17"/>
      <c r="P19" s="17"/>
      <c r="Q19" s="17"/>
      <c r="R19" s="52">
        <f ca="1"/>
        <v>46262</v>
      </c>
      <c r="S19" s="53" t="str">
        <f ca="1"/>
        <v>2490</v>
      </c>
      <c r="T19" s="53" t="str">
        <f ca="1"/>
        <v>OD16D7089</v>
      </c>
      <c r="U19" s="53">
        <f ca="1"/>
        <v>27.8</v>
      </c>
      <c r="V19" s="70">
        <f ca="1"/>
        <v>100.74</v>
      </c>
      <c r="W19" s="184">
        <f ca="1"/>
        <v>2800</v>
      </c>
      <c r="X19" s="53" t="str">
        <f ca="1"/>
        <v>Diesel</v>
      </c>
    </row>
    <row r="20" spans="1:24" ht="21.75" x14ac:dyDescent="0.25">
      <c r="A20" s="71" cm="1">
        <f t="array" ref="A20">IFERROR(INDEX(_xlfn.ANCHORARRAY($K$6),ROW()-5,1),"")</f>
        <v>46262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1084.1999999999994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100.7399999999999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109200</v>
      </c>
      <c r="E20" s="61">
        <f>IF($H20="TOTAL",SUM($E$6:$E19)-SUMIF($H$6:$H19,"TOTAL",$E$6:$E19),IF($A20="",0,IF(COUNTIF($A$6:$A20,$A20)=1,SUMIFS(MasterPaid[Amount Paid],MasterPaid[Customer],$K$3,MasterPaid[Date],$A20),0)))</f>
        <v>92400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109200</v>
      </c>
      <c r="H20" s="20"/>
      <c r="I20" s="20"/>
      <c r="J20" s="20"/>
      <c r="K20" s="31">
        <v>46262</v>
      </c>
      <c r="L20" s="17" t="str">
        <v>DIESEL</v>
      </c>
      <c r="M20" s="17"/>
      <c r="N20" s="17"/>
      <c r="O20" s="17"/>
      <c r="P20" s="17"/>
      <c r="Q20" s="17"/>
      <c r="R20" s="52">
        <f ca="1"/>
        <v>46262</v>
      </c>
      <c r="S20" s="53" t="str">
        <f ca="1"/>
        <v>2491</v>
      </c>
      <c r="T20" s="53" t="str">
        <f ca="1"/>
        <v>OD23P1029</v>
      </c>
      <c r="U20" s="53">
        <f ca="1"/>
        <v>27.8</v>
      </c>
      <c r="V20" s="70">
        <f ca="1"/>
        <v>100.74</v>
      </c>
      <c r="W20" s="184">
        <f ca="1"/>
        <v>2800</v>
      </c>
      <c r="X20" s="53" t="str">
        <f ca="1"/>
        <v>Diesel</v>
      </c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>
        <f ca="1"/>
        <v>46262</v>
      </c>
      <c r="S21" s="53" t="str">
        <f ca="1"/>
        <v>2492</v>
      </c>
      <c r="T21" s="53" t="str">
        <f ca="1"/>
        <v>OD16E9519</v>
      </c>
      <c r="U21" s="53">
        <f ca="1"/>
        <v>27.8</v>
      </c>
      <c r="V21" s="70">
        <f ca="1"/>
        <v>100.74</v>
      </c>
      <c r="W21" s="184">
        <f ca="1"/>
        <v>2800</v>
      </c>
      <c r="X21" s="53" t="str">
        <f ca="1"/>
        <v>Diesel</v>
      </c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>
        <f ca="1"/>
        <v>46262</v>
      </c>
      <c r="S22" s="53" t="str">
        <f ca="1"/>
        <v>2493</v>
      </c>
      <c r="T22" s="53" t="str">
        <f ca="1"/>
        <v>OD23N9933</v>
      </c>
      <c r="U22" s="53">
        <f ca="1"/>
        <v>27.8</v>
      </c>
      <c r="V22" s="70">
        <f ca="1"/>
        <v>100.74</v>
      </c>
      <c r="W22" s="184">
        <f ca="1"/>
        <v>2800</v>
      </c>
      <c r="X22" s="53" t="str">
        <f ca="1"/>
        <v>Diesel</v>
      </c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>
        <f ca="1"/>
        <v>46262</v>
      </c>
      <c r="S23" s="53" t="str">
        <f ca="1"/>
        <v>2494</v>
      </c>
      <c r="T23" s="53" t="str">
        <f ca="1"/>
        <v>OD23N9737</v>
      </c>
      <c r="U23" s="53">
        <f ca="1"/>
        <v>27.8</v>
      </c>
      <c r="V23" s="70">
        <f ca="1"/>
        <v>100.74</v>
      </c>
      <c r="W23" s="184">
        <f ca="1"/>
        <v>2800</v>
      </c>
      <c r="X23" s="53" t="str">
        <f ca="1"/>
        <v>Diesel</v>
      </c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>
        <f ca="1"/>
        <v>46262</v>
      </c>
      <c r="S24" s="53" t="str">
        <f ca="1"/>
        <v>2495</v>
      </c>
      <c r="T24" s="53" t="str">
        <f ca="1"/>
        <v>OD23P1073</v>
      </c>
      <c r="U24" s="53">
        <f ca="1"/>
        <v>27.8</v>
      </c>
      <c r="V24" s="70">
        <f ca="1"/>
        <v>100.74</v>
      </c>
      <c r="W24" s="184">
        <f ca="1"/>
        <v>2800</v>
      </c>
      <c r="X24" s="53" t="str">
        <f ca="1"/>
        <v>Diesel</v>
      </c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>
        <f ca="1"/>
        <v>46262</v>
      </c>
      <c r="S25" s="53" t="str">
        <f ca="1"/>
        <v>2496</v>
      </c>
      <c r="T25" s="53" t="str">
        <f ca="1"/>
        <v>OD16E9647</v>
      </c>
      <c r="U25" s="53">
        <f ca="1"/>
        <v>27.8</v>
      </c>
      <c r="V25" s="70">
        <f ca="1"/>
        <v>100.74</v>
      </c>
      <c r="W25" s="184">
        <f ca="1"/>
        <v>2800</v>
      </c>
      <c r="X25" s="53" t="str">
        <f ca="1"/>
        <v>Diesel</v>
      </c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>
        <f ca="1"/>
        <v>46262</v>
      </c>
      <c r="S26" s="53" t="str">
        <f ca="1"/>
        <v>2497</v>
      </c>
      <c r="T26" s="53" t="str">
        <f ca="1"/>
        <v>OD16E9642</v>
      </c>
      <c r="U26" s="53">
        <f ca="1"/>
        <v>27.8</v>
      </c>
      <c r="V26" s="70">
        <f ca="1"/>
        <v>100.74</v>
      </c>
      <c r="W26" s="184">
        <f ca="1"/>
        <v>2800</v>
      </c>
      <c r="X26" s="53" t="str">
        <f ca="1"/>
        <v>Diesel</v>
      </c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>
        <f ca="1"/>
        <v>46262</v>
      </c>
      <c r="S27" s="53" t="str">
        <f ca="1"/>
        <v>2498</v>
      </c>
      <c r="T27" s="53" t="str">
        <f ca="1"/>
        <v>OD16D7103</v>
      </c>
      <c r="U27" s="53">
        <f ca="1"/>
        <v>27.8</v>
      </c>
      <c r="V27" s="70">
        <f ca="1"/>
        <v>100.74</v>
      </c>
      <c r="W27" s="184">
        <f ca="1"/>
        <v>2800</v>
      </c>
      <c r="X27" s="53" t="str">
        <f ca="1"/>
        <v>Diesel</v>
      </c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>
        <f ca="1"/>
        <v>46262</v>
      </c>
      <c r="S28" s="53" t="str">
        <f ca="1"/>
        <v>2499</v>
      </c>
      <c r="T28" s="53" t="str">
        <f ca="1"/>
        <v>OD23P1087</v>
      </c>
      <c r="U28" s="53">
        <f ca="1"/>
        <v>27.8</v>
      </c>
      <c r="V28" s="70">
        <f ca="1"/>
        <v>100.74</v>
      </c>
      <c r="W28" s="184">
        <f ca="1"/>
        <v>2800</v>
      </c>
      <c r="X28" s="53" t="str">
        <f ca="1"/>
        <v>Diesel</v>
      </c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>
        <f ca="1"/>
        <v>46262</v>
      </c>
      <c r="S29" s="53" t="str">
        <f ca="1"/>
        <v>2500</v>
      </c>
      <c r="T29" s="53" t="str">
        <f ca="1"/>
        <v>OD23N9937</v>
      </c>
      <c r="U29" s="53">
        <f ca="1"/>
        <v>27.8</v>
      </c>
      <c r="V29" s="70">
        <f ca="1"/>
        <v>100.74</v>
      </c>
      <c r="W29" s="184">
        <f ca="1"/>
        <v>2800</v>
      </c>
      <c r="X29" s="53" t="str">
        <f ca="1"/>
        <v>Diesel</v>
      </c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>
        <f ca="1"/>
        <v>46262</v>
      </c>
      <c r="S30" s="53" t="str">
        <f ca="1"/>
        <v>2501</v>
      </c>
      <c r="T30" s="53" t="str">
        <f ca="1"/>
        <v>OD23N9947</v>
      </c>
      <c r="U30" s="53">
        <f ca="1"/>
        <v>27.8</v>
      </c>
      <c r="V30" s="70">
        <f ca="1"/>
        <v>100.74</v>
      </c>
      <c r="W30" s="184">
        <f ca="1"/>
        <v>2800</v>
      </c>
      <c r="X30" s="53" t="str">
        <f ca="1"/>
        <v>Diesel</v>
      </c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>
        <f ca="1"/>
        <v>46262</v>
      </c>
      <c r="S31" s="53" t="str">
        <f ca="1"/>
        <v>2502</v>
      </c>
      <c r="T31" s="53" t="str">
        <f ca="1"/>
        <v>OD23P1018</v>
      </c>
      <c r="U31" s="53">
        <f ca="1"/>
        <v>27.8</v>
      </c>
      <c r="V31" s="70">
        <f ca="1"/>
        <v>100.74</v>
      </c>
      <c r="W31" s="184">
        <f ca="1"/>
        <v>2800</v>
      </c>
      <c r="X31" s="53" t="str">
        <f ca="1"/>
        <v>Diesel</v>
      </c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>
        <f ca="1"/>
        <v>46262</v>
      </c>
      <c r="S32" s="53" t="str">
        <f ca="1"/>
        <v>2503</v>
      </c>
      <c r="T32" s="53" t="str">
        <f ca="1"/>
        <v>OD23N9926</v>
      </c>
      <c r="U32" s="53">
        <f ca="1"/>
        <v>27.8</v>
      </c>
      <c r="V32" s="70">
        <f ca="1"/>
        <v>100.74</v>
      </c>
      <c r="W32" s="184">
        <f ca="1"/>
        <v>2800</v>
      </c>
      <c r="X32" s="53" t="str">
        <f ca="1"/>
        <v>Diesel</v>
      </c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>
        <f ca="1"/>
        <v>46262</v>
      </c>
      <c r="S33" s="53" t="str">
        <f ca="1"/>
        <v>2504</v>
      </c>
      <c r="T33" s="53" t="str">
        <f ca="1"/>
        <v>OD16E9647</v>
      </c>
      <c r="U33" s="53">
        <f ca="1"/>
        <v>27.8</v>
      </c>
      <c r="V33" s="70">
        <f ca="1"/>
        <v>100.74</v>
      </c>
      <c r="W33" s="184">
        <f ca="1"/>
        <v>2800</v>
      </c>
      <c r="X33" s="53" t="str">
        <f ca="1"/>
        <v>Diesel</v>
      </c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>
        <f ca="1"/>
        <v>46262</v>
      </c>
      <c r="S34" s="53" t="str">
        <f ca="1"/>
        <v>2505</v>
      </c>
      <c r="T34" s="53" t="str">
        <f ca="1"/>
        <v>OD16D7082</v>
      </c>
      <c r="U34" s="53">
        <f ca="1"/>
        <v>27.8</v>
      </c>
      <c r="V34" s="70">
        <f ca="1"/>
        <v>100.74</v>
      </c>
      <c r="W34" s="184">
        <f ca="1"/>
        <v>2800</v>
      </c>
      <c r="X34" s="53" t="str">
        <f ca="1"/>
        <v>Diesel</v>
      </c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>
        <f ca="1"/>
        <v>46262</v>
      </c>
      <c r="S35" s="53" t="str">
        <f ca="1"/>
        <v>2506</v>
      </c>
      <c r="T35" s="53" t="str">
        <f ca="1"/>
        <v>OD23V1223</v>
      </c>
      <c r="U35" s="53">
        <f ca="1"/>
        <v>27.8</v>
      </c>
      <c r="V35" s="70">
        <f ca="1"/>
        <v>100.74</v>
      </c>
      <c r="W35" s="184">
        <f ca="1"/>
        <v>2800</v>
      </c>
      <c r="X35" s="53" t="str">
        <f ca="1"/>
        <v>Diesel</v>
      </c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>
        <f ca="1"/>
        <v>46262</v>
      </c>
      <c r="S36" s="53" t="str">
        <f ca="1"/>
        <v>2507</v>
      </c>
      <c r="T36" s="53" t="str">
        <f ca="1"/>
        <v>OD23P1018</v>
      </c>
      <c r="U36" s="53">
        <f ca="1"/>
        <v>27.8</v>
      </c>
      <c r="V36" s="70">
        <f ca="1"/>
        <v>100.74</v>
      </c>
      <c r="W36" s="184">
        <f ca="1"/>
        <v>2800</v>
      </c>
      <c r="X36" s="53" t="str">
        <f ca="1"/>
        <v>Diesel</v>
      </c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>
        <f ca="1"/>
        <v>46262</v>
      </c>
      <c r="S37" s="53" t="str">
        <f ca="1"/>
        <v>2508</v>
      </c>
      <c r="T37" s="53" t="str">
        <f ca="1"/>
        <v>OD23V1293</v>
      </c>
      <c r="U37" s="53">
        <f ca="1"/>
        <v>27.8</v>
      </c>
      <c r="V37" s="70">
        <f ca="1"/>
        <v>100.74</v>
      </c>
      <c r="W37" s="184">
        <f ca="1"/>
        <v>2800</v>
      </c>
      <c r="X37" s="53" t="str">
        <f ca="1"/>
        <v>Diesel</v>
      </c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>
        <f ca="1"/>
        <v>46262</v>
      </c>
      <c r="S38" s="53" t="str">
        <f ca="1"/>
        <v>2509</v>
      </c>
      <c r="T38" s="53" t="str">
        <f ca="1"/>
        <v>OD23N9947</v>
      </c>
      <c r="U38" s="53">
        <f ca="1"/>
        <v>27.8</v>
      </c>
      <c r="V38" s="70">
        <f ca="1"/>
        <v>100.74</v>
      </c>
      <c r="W38" s="184">
        <f ca="1"/>
        <v>2800</v>
      </c>
      <c r="X38" s="53" t="str">
        <f ca="1"/>
        <v>Diesel</v>
      </c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>
        <f ca="1"/>
        <v>46262</v>
      </c>
      <c r="S39" s="53" t="str">
        <f ca="1"/>
        <v>2510</v>
      </c>
      <c r="T39" s="53" t="str">
        <f ca="1"/>
        <v>OD16D7094</v>
      </c>
      <c r="U39" s="53">
        <f ca="1"/>
        <v>27.8</v>
      </c>
      <c r="V39" s="70">
        <f ca="1"/>
        <v>100.74</v>
      </c>
      <c r="W39" s="184">
        <f ca="1"/>
        <v>2800</v>
      </c>
      <c r="X39" s="53" t="str">
        <f ca="1"/>
        <v>Diesel</v>
      </c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>
        <f ca="1"/>
        <v>46262</v>
      </c>
      <c r="S40" s="53" t="str">
        <f ca="1"/>
        <v>2511</v>
      </c>
      <c r="T40" s="53" t="str">
        <f ca="1"/>
        <v>OD23N9937</v>
      </c>
      <c r="U40" s="53">
        <f ca="1"/>
        <v>27.8</v>
      </c>
      <c r="V40" s="70">
        <f ca="1"/>
        <v>100.74</v>
      </c>
      <c r="W40" s="184">
        <f ca="1"/>
        <v>2800</v>
      </c>
      <c r="X40" s="53" t="str">
        <f ca="1"/>
        <v>Diesel</v>
      </c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>
        <f ca="1"/>
        <v>46262</v>
      </c>
      <c r="S41" s="53" t="str">
        <f ca="1"/>
        <v>2512</v>
      </c>
      <c r="T41" s="53" t="str">
        <f ca="1"/>
        <v>OD23V1268</v>
      </c>
      <c r="U41" s="53">
        <f ca="1"/>
        <v>27.8</v>
      </c>
      <c r="V41" s="70">
        <f ca="1"/>
        <v>100.74</v>
      </c>
      <c r="W41" s="184">
        <f ca="1"/>
        <v>2800</v>
      </c>
      <c r="X41" s="53" t="str">
        <f ca="1"/>
        <v>Diesel</v>
      </c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>
        <f ca="1"/>
        <v>46262</v>
      </c>
      <c r="S42" s="53" t="str">
        <f ca="1"/>
        <v>2513</v>
      </c>
      <c r="T42" s="53" t="str">
        <f ca="1"/>
        <v>OD23V1271</v>
      </c>
      <c r="U42" s="53">
        <f ca="1"/>
        <v>27.8</v>
      </c>
      <c r="V42" s="70">
        <f ca="1"/>
        <v>100.74</v>
      </c>
      <c r="W42" s="184">
        <f ca="1"/>
        <v>2800</v>
      </c>
      <c r="X42" s="53" t="str">
        <f ca="1"/>
        <v>Diesel</v>
      </c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>
        <f ca="1"/>
        <v>46262</v>
      </c>
      <c r="S43" s="53" t="str">
        <f ca="1"/>
        <v>2514</v>
      </c>
      <c r="T43" s="53" t="str">
        <f ca="1"/>
        <v>OD23N9737</v>
      </c>
      <c r="U43" s="53">
        <f ca="1"/>
        <v>27.8</v>
      </c>
      <c r="V43" s="70">
        <f ca="1"/>
        <v>100.74</v>
      </c>
      <c r="W43" s="184">
        <f ca="1"/>
        <v>2800</v>
      </c>
      <c r="X43" s="53" t="str">
        <f ca="1"/>
        <v>Diesel</v>
      </c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>
        <f ca="1"/>
        <v>46262</v>
      </c>
      <c r="S44" s="182" t="str">
        <f ca="1"/>
        <v>2515</v>
      </c>
      <c r="T44" s="182" t="str">
        <f ca="1"/>
        <v>OD16D7070</v>
      </c>
      <c r="U44" s="182">
        <f ca="1"/>
        <v>27.8</v>
      </c>
      <c r="V44" s="183">
        <f ca="1"/>
        <v>100.74</v>
      </c>
      <c r="W44" s="185">
        <f ca="1"/>
        <v>2800</v>
      </c>
      <c r="X44" s="182" t="str">
        <f ca="1"/>
        <v>Diesel</v>
      </c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>
        <f ca="1"/>
        <v>46262</v>
      </c>
      <c r="S45" s="53" t="str">
        <f ca="1"/>
        <v>2516</v>
      </c>
      <c r="T45" s="53" t="str">
        <f ca="1"/>
        <v>OD16D7089</v>
      </c>
      <c r="U45" s="53">
        <f ca="1"/>
        <v>27.8</v>
      </c>
      <c r="V45" s="70">
        <f ca="1"/>
        <v>100.74</v>
      </c>
      <c r="W45" s="184">
        <f ca="1"/>
        <v>2800</v>
      </c>
      <c r="X45" s="53" t="str">
        <f ca="1"/>
        <v>Diesel</v>
      </c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>
        <f ca="1"/>
        <v>46262</v>
      </c>
      <c r="S46" s="53" t="str">
        <f ca="1"/>
        <v>2517</v>
      </c>
      <c r="T46" s="53" t="str">
        <f ca="1"/>
        <v>OD16D7087</v>
      </c>
      <c r="U46" s="53">
        <f ca="1"/>
        <v>27.8</v>
      </c>
      <c r="V46" s="70">
        <f ca="1"/>
        <v>100.74</v>
      </c>
      <c r="W46" s="184">
        <f ca="1"/>
        <v>2800</v>
      </c>
      <c r="X46" s="53" t="str">
        <f ca="1"/>
        <v>Diesel</v>
      </c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>
        <f ca="1"/>
        <v>46262</v>
      </c>
      <c r="S47" s="53" t="str">
        <f ca="1"/>
        <v>2518</v>
      </c>
      <c r="T47" s="53" t="str">
        <f ca="1"/>
        <v>OD16D7068</v>
      </c>
      <c r="U47" s="53">
        <f ca="1"/>
        <v>27.8</v>
      </c>
      <c r="V47" s="70">
        <f ca="1"/>
        <v>100.74</v>
      </c>
      <c r="W47" s="184">
        <f ca="1"/>
        <v>2800</v>
      </c>
      <c r="X47" s="53" t="str">
        <f ca="1"/>
        <v>Diesel</v>
      </c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>
        <f ca="1"/>
        <v>46262</v>
      </c>
      <c r="S48" s="53" t="str">
        <f ca="1"/>
        <v>2519</v>
      </c>
      <c r="T48" s="53" t="str">
        <f ca="1"/>
        <v>OD23P1029</v>
      </c>
      <c r="U48" s="53">
        <f ca="1"/>
        <v>27.8</v>
      </c>
      <c r="V48" s="70">
        <f ca="1"/>
        <v>100.74</v>
      </c>
      <c r="W48" s="184">
        <f ca="1"/>
        <v>2800</v>
      </c>
      <c r="X48" s="53" t="str">
        <f ca="1"/>
        <v>Diesel</v>
      </c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>
        <f ca="1"/>
        <v>46262</v>
      </c>
      <c r="S49" s="53" t="str">
        <f ca="1"/>
        <v>2520</v>
      </c>
      <c r="T49" s="53" t="str">
        <f ca="1"/>
        <v>OD16D7069</v>
      </c>
      <c r="U49" s="53">
        <f ca="1"/>
        <v>27.8</v>
      </c>
      <c r="V49" s="70">
        <f ca="1"/>
        <v>100.74</v>
      </c>
      <c r="W49" s="184">
        <f ca="1"/>
        <v>2800</v>
      </c>
      <c r="X49" s="53" t="str">
        <f ca="1"/>
        <v>Diesel</v>
      </c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80"/>
      <c r="R50" s="181">
        <f ca="1"/>
        <v>46262</v>
      </c>
      <c r="S50" s="182" t="str">
        <f ca="1"/>
        <v>2521</v>
      </c>
      <c r="T50" s="182" t="str">
        <f ca="1"/>
        <v>OD16E9519</v>
      </c>
      <c r="U50" s="182">
        <f ca="1"/>
        <v>27.8</v>
      </c>
      <c r="V50" s="183">
        <f ca="1"/>
        <v>100.74</v>
      </c>
      <c r="W50" s="185">
        <f ca="1"/>
        <v>2800</v>
      </c>
      <c r="X50" s="182" t="str">
        <f ca="1"/>
        <v>Diesel</v>
      </c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>
        <f ca="1"/>
        <v>46262</v>
      </c>
      <c r="S51" s="53" t="str">
        <f ca="1"/>
        <v>2522</v>
      </c>
      <c r="T51" s="53" t="str">
        <f ca="1"/>
        <v>OD16D6515</v>
      </c>
      <c r="U51" s="53">
        <f ca="1"/>
        <v>27.8</v>
      </c>
      <c r="V51" s="70">
        <f ca="1"/>
        <v>100.74</v>
      </c>
      <c r="W51" s="184">
        <f ca="1"/>
        <v>2800</v>
      </c>
      <c r="X51" s="53" t="str">
        <f ca="1"/>
        <v>Diesel</v>
      </c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80"/>
      <c r="R70" s="181"/>
      <c r="S70" s="182"/>
      <c r="T70" s="182"/>
      <c r="U70" s="182"/>
      <c r="V70" s="183"/>
      <c r="W70" s="185"/>
      <c r="X70" s="182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184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184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184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184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184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184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184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184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184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184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184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184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184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184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184"/>
      <c r="X95" s="53"/>
    </row>
    <row r="96" spans="1:24" ht="18" x14ac:dyDescent="0.2">
      <c r="R96" s="52"/>
      <c r="S96" s="53"/>
      <c r="T96" s="53"/>
      <c r="U96" s="53"/>
      <c r="V96" s="70"/>
      <c r="W96" s="184"/>
      <c r="X96" s="53"/>
    </row>
    <row r="97" spans="18:24" ht="18" x14ac:dyDescent="0.2">
      <c r="R97" s="52"/>
      <c r="S97" s="53"/>
      <c r="T97" s="53"/>
      <c r="U97" s="53"/>
      <c r="V97" s="70"/>
      <c r="W97" s="184"/>
      <c r="X97" s="53"/>
    </row>
    <row r="98" spans="18:24" ht="18" x14ac:dyDescent="0.2">
      <c r="R98" s="52"/>
      <c r="S98" s="53"/>
      <c r="T98" s="53"/>
      <c r="U98" s="53"/>
      <c r="V98" s="70"/>
      <c r="W98" s="184"/>
      <c r="X98" s="53"/>
    </row>
    <row r="99" spans="18:24" ht="18" x14ac:dyDescent="0.2">
      <c r="R99" s="52"/>
      <c r="S99" s="53"/>
      <c r="T99" s="53"/>
      <c r="U99" s="53"/>
      <c r="V99" s="70"/>
      <c r="W99" s="184"/>
      <c r="X99" s="53"/>
    </row>
    <row r="100" spans="18:24" ht="18" x14ac:dyDescent="0.2">
      <c r="R100" s="52"/>
      <c r="S100" s="53"/>
      <c r="T100" s="53"/>
      <c r="U100" s="53"/>
      <c r="V100" s="70"/>
      <c r="W100" s="184"/>
      <c r="X100" s="53"/>
    </row>
    <row r="101" spans="18:24" ht="18" x14ac:dyDescent="0.2">
      <c r="R101" s="52"/>
      <c r="S101" s="53"/>
      <c r="T101" s="53"/>
      <c r="U101" s="53"/>
      <c r="V101" s="70"/>
      <c r="W101" s="184"/>
      <c r="X101" s="53"/>
    </row>
    <row r="102" spans="18:24" ht="18" x14ac:dyDescent="0.2">
      <c r="R102" s="52"/>
      <c r="S102" s="53"/>
      <c r="T102" s="53"/>
      <c r="U102" s="53"/>
      <c r="V102" s="70"/>
      <c r="W102" s="184"/>
      <c r="X102" s="53"/>
    </row>
    <row r="103" spans="18:24" ht="18" x14ac:dyDescent="0.2">
      <c r="R103" s="52"/>
      <c r="S103" s="53"/>
      <c r="T103" s="53"/>
      <c r="U103" s="53"/>
      <c r="V103" s="70"/>
      <c r="W103" s="184"/>
      <c r="X103" s="53"/>
    </row>
    <row r="104" spans="18:24" ht="18" x14ac:dyDescent="0.2">
      <c r="R104" s="52"/>
      <c r="S104" s="53"/>
      <c r="T104" s="53"/>
      <c r="U104" s="53"/>
      <c r="V104" s="70"/>
      <c r="W104" s="184"/>
      <c r="X104" s="53"/>
    </row>
    <row r="105" spans="18:24" ht="18" x14ac:dyDescent="0.2">
      <c r="R105" s="52"/>
      <c r="S105" s="53"/>
      <c r="T105" s="53"/>
      <c r="U105" s="53"/>
      <c r="V105" s="70"/>
      <c r="W105" s="184"/>
      <c r="X105" s="53"/>
    </row>
    <row r="106" spans="18:24" ht="18" x14ac:dyDescent="0.2">
      <c r="R106" s="52"/>
      <c r="S106" s="53"/>
      <c r="T106" s="53"/>
      <c r="U106" s="53"/>
      <c r="V106" s="70"/>
      <c r="W106" s="184"/>
      <c r="X106" s="53"/>
    </row>
    <row r="107" spans="18:24" ht="18" x14ac:dyDescent="0.2">
      <c r="R107" s="52"/>
      <c r="S107" s="53"/>
      <c r="T107" s="53"/>
      <c r="U107" s="53"/>
      <c r="V107" s="70"/>
      <c r="W107" s="184"/>
      <c r="X107" s="53"/>
    </row>
    <row r="108" spans="18:24" ht="18" x14ac:dyDescent="0.2">
      <c r="R108" s="52"/>
      <c r="S108" s="53"/>
      <c r="T108" s="53"/>
      <c r="U108" s="53"/>
      <c r="V108" s="70"/>
      <c r="W108" s="184"/>
      <c r="X108" s="53"/>
    </row>
    <row r="109" spans="18:24" ht="18" x14ac:dyDescent="0.2">
      <c r="R109" s="52"/>
      <c r="S109" s="53"/>
      <c r="T109" s="53"/>
      <c r="U109" s="53"/>
      <c r="V109" s="70"/>
      <c r="W109" s="184"/>
      <c r="X109" s="53"/>
    </row>
    <row r="110" spans="18:24" ht="18" x14ac:dyDescent="0.2">
      <c r="R110" s="52"/>
      <c r="S110" s="53"/>
      <c r="T110" s="53"/>
      <c r="U110" s="53"/>
      <c r="V110" s="70"/>
      <c r="W110" s="184"/>
      <c r="X110" s="53"/>
    </row>
    <row r="111" spans="18:24" ht="18" x14ac:dyDescent="0.2">
      <c r="R111" s="52"/>
      <c r="S111" s="53"/>
      <c r="T111" s="53"/>
      <c r="U111" s="53"/>
      <c r="V111" s="70"/>
      <c r="W111" s="184"/>
      <c r="X111" s="53"/>
    </row>
    <row r="112" spans="18:24" ht="18" x14ac:dyDescent="0.2">
      <c r="R112" s="52"/>
      <c r="S112" s="53"/>
      <c r="T112" s="53"/>
      <c r="U112" s="53"/>
      <c r="V112" s="70"/>
      <c r="W112" s="184"/>
      <c r="X112" s="53"/>
    </row>
    <row r="113" spans="18:24" ht="18" x14ac:dyDescent="0.2">
      <c r="R113" s="52"/>
      <c r="S113" s="53"/>
      <c r="T113" s="53"/>
      <c r="U113" s="53"/>
      <c r="V113" s="70"/>
      <c r="W113" s="184"/>
      <c r="X113" s="53"/>
    </row>
    <row r="114" spans="18:24" ht="18" x14ac:dyDescent="0.2">
      <c r="R114" s="52"/>
      <c r="S114" s="53"/>
      <c r="T114" s="53"/>
      <c r="U114" s="53"/>
      <c r="V114" s="70"/>
      <c r="W114" s="184"/>
      <c r="X114" s="53"/>
    </row>
    <row r="115" spans="18:24" ht="18" x14ac:dyDescent="0.2">
      <c r="R115" s="52"/>
      <c r="S115" s="53"/>
      <c r="T115" s="53"/>
      <c r="U115" s="53"/>
      <c r="V115" s="70"/>
      <c r="W115" s="184"/>
      <c r="X115" s="53"/>
    </row>
    <row r="116" spans="18:24" ht="18" x14ac:dyDescent="0.2">
      <c r="R116" s="52"/>
      <c r="S116" s="53"/>
      <c r="T116" s="53"/>
      <c r="U116" s="53"/>
      <c r="V116" s="70"/>
      <c r="W116" s="184"/>
      <c r="X116" s="53"/>
    </row>
    <row r="117" spans="18:24" ht="18" x14ac:dyDescent="0.2">
      <c r="R117" s="52"/>
      <c r="S117" s="53"/>
      <c r="T117" s="53"/>
      <c r="U117" s="53"/>
      <c r="V117" s="70"/>
      <c r="W117" s="184"/>
      <c r="X117" s="53"/>
    </row>
    <row r="118" spans="18:24" ht="18" x14ac:dyDescent="0.2">
      <c r="R118" s="52"/>
      <c r="S118" s="53"/>
      <c r="T118" s="53"/>
      <c r="U118" s="53"/>
      <c r="V118" s="70"/>
      <c r="W118" s="184"/>
      <c r="X118" s="53"/>
    </row>
    <row r="119" spans="18:24" ht="18" x14ac:dyDescent="0.2">
      <c r="R119" s="52"/>
      <c r="S119" s="53"/>
      <c r="T119" s="53"/>
      <c r="U119" s="53"/>
      <c r="V119" s="70"/>
      <c r="W119" s="184"/>
      <c r="X119" s="53"/>
    </row>
    <row r="120" spans="18:24" ht="18" x14ac:dyDescent="0.2">
      <c r="R120" s="52"/>
      <c r="S120" s="53"/>
      <c r="T120" s="53"/>
      <c r="U120" s="53"/>
      <c r="V120" s="70"/>
      <c r="W120" s="184"/>
      <c r="X120" s="53"/>
    </row>
    <row r="121" spans="18:24" ht="18" x14ac:dyDescent="0.2">
      <c r="R121" s="52"/>
      <c r="S121" s="53"/>
      <c r="T121" s="53"/>
      <c r="U121" s="53"/>
      <c r="V121" s="70"/>
      <c r="W121" s="184"/>
      <c r="X121" s="53"/>
    </row>
    <row r="122" spans="18:24" ht="18" x14ac:dyDescent="0.2">
      <c r="R122" s="52"/>
      <c r="S122" s="53"/>
      <c r="T122" s="53"/>
      <c r="U122" s="53"/>
      <c r="V122" s="70"/>
      <c r="W122" s="184"/>
      <c r="X122" s="53"/>
    </row>
    <row r="123" spans="18:24" ht="18" x14ac:dyDescent="0.2">
      <c r="R123" s="52"/>
      <c r="S123" s="53"/>
      <c r="T123" s="53"/>
      <c r="U123" s="53"/>
      <c r="V123" s="70"/>
      <c r="W123" s="184"/>
      <c r="X123" s="53"/>
    </row>
    <row r="124" spans="18:24" ht="18" x14ac:dyDescent="0.2">
      <c r="R124" s="52"/>
      <c r="S124" s="53"/>
      <c r="T124" s="53"/>
      <c r="U124" s="53"/>
      <c r="V124" s="70"/>
      <c r="W124" s="184"/>
      <c r="X124" s="53"/>
    </row>
    <row r="125" spans="18:24" ht="18" x14ac:dyDescent="0.2">
      <c r="R125" s="52"/>
      <c r="S125" s="53"/>
      <c r="T125" s="53"/>
      <c r="U125" s="53"/>
      <c r="V125" s="70"/>
      <c r="W125" s="184"/>
      <c r="X125" s="53"/>
    </row>
    <row r="126" spans="18:24" ht="18" x14ac:dyDescent="0.2">
      <c r="R126" s="52"/>
      <c r="S126" s="53"/>
      <c r="T126" s="53"/>
      <c r="U126" s="53"/>
      <c r="V126" s="70"/>
      <c r="W126" s="184"/>
      <c r="X126" s="53"/>
    </row>
    <row r="127" spans="18:24" ht="18" x14ac:dyDescent="0.2">
      <c r="R127" s="52"/>
      <c r="S127" s="53"/>
      <c r="T127" s="53"/>
      <c r="U127" s="53"/>
      <c r="V127" s="70"/>
      <c r="W127" s="184"/>
      <c r="X127" s="53"/>
    </row>
    <row r="128" spans="18:24" ht="18" x14ac:dyDescent="0.2">
      <c r="R128" s="52"/>
      <c r="S128" s="53"/>
      <c r="T128" s="53"/>
      <c r="U128" s="53"/>
      <c r="V128" s="70"/>
      <c r="W128" s="184"/>
      <c r="X128" s="53"/>
    </row>
    <row r="129" spans="17:24" ht="18" x14ac:dyDescent="0.2">
      <c r="R129" s="52"/>
      <c r="S129" s="53"/>
      <c r="T129" s="53"/>
      <c r="U129" s="53"/>
      <c r="V129" s="70"/>
      <c r="W129" s="184"/>
      <c r="X129" s="53"/>
    </row>
    <row r="130" spans="17:24" ht="18" x14ac:dyDescent="0.2">
      <c r="R130" s="52"/>
      <c r="S130" s="53"/>
      <c r="T130" s="53"/>
      <c r="U130" s="53"/>
      <c r="V130" s="70"/>
      <c r="W130" s="184"/>
      <c r="X130" s="53"/>
    </row>
    <row r="131" spans="17:24" ht="18" x14ac:dyDescent="0.2">
      <c r="R131" s="52"/>
      <c r="S131" s="53"/>
      <c r="T131" s="53"/>
      <c r="U131" s="53"/>
      <c r="V131" s="70"/>
      <c r="W131" s="184"/>
      <c r="X131" s="53"/>
    </row>
    <row r="132" spans="17:24" ht="18" x14ac:dyDescent="0.2">
      <c r="R132" s="52"/>
      <c r="S132" s="53"/>
      <c r="T132" s="53"/>
      <c r="U132" s="53"/>
      <c r="V132" s="70"/>
      <c r="W132" s="184"/>
      <c r="X132" s="53"/>
    </row>
    <row r="133" spans="17:24" ht="18" x14ac:dyDescent="0.2">
      <c r="R133" s="52"/>
      <c r="S133" s="53"/>
      <c r="T133" s="53"/>
      <c r="U133" s="53"/>
      <c r="V133" s="70"/>
      <c r="W133" s="184"/>
      <c r="X133" s="53"/>
    </row>
    <row r="134" spans="17:24" ht="18" x14ac:dyDescent="0.2">
      <c r="R134" s="52"/>
      <c r="S134" s="53"/>
      <c r="T134" s="53"/>
      <c r="U134" s="53"/>
      <c r="V134" s="70"/>
      <c r="W134" s="184"/>
      <c r="X134" s="53"/>
    </row>
    <row r="135" spans="17:24" ht="18" x14ac:dyDescent="0.2">
      <c r="R135" s="52"/>
      <c r="S135" s="53"/>
      <c r="T135" s="53"/>
      <c r="U135" s="53"/>
      <c r="V135" s="70"/>
      <c r="W135" s="184"/>
      <c r="X135" s="53"/>
    </row>
    <row r="136" spans="17:24" ht="18" x14ac:dyDescent="0.2">
      <c r="R136" s="52"/>
      <c r="S136" s="53"/>
      <c r="T136" s="53"/>
      <c r="U136" s="53"/>
      <c r="V136" s="70"/>
      <c r="W136" s="184"/>
      <c r="X136" s="53"/>
    </row>
    <row r="137" spans="17:24" ht="18" x14ac:dyDescent="0.2">
      <c r="R137" s="52"/>
      <c r="S137" s="53"/>
      <c r="T137" s="53"/>
      <c r="U137" s="53"/>
      <c r="V137" s="70"/>
      <c r="W137" s="184"/>
      <c r="X137" s="53"/>
    </row>
    <row r="138" spans="17:24" ht="18" x14ac:dyDescent="0.2">
      <c r="R138" s="52"/>
      <c r="S138" s="53"/>
      <c r="T138" s="53"/>
      <c r="U138" s="53"/>
      <c r="V138" s="70"/>
      <c r="W138" s="184"/>
      <c r="X138" s="53"/>
    </row>
    <row r="139" spans="17:24" ht="18" x14ac:dyDescent="0.2">
      <c r="R139" s="52"/>
      <c r="S139" s="53"/>
      <c r="T139" s="53"/>
      <c r="U139" s="53"/>
      <c r="V139" s="70"/>
      <c r="W139" s="184"/>
      <c r="X139" s="53"/>
    </row>
    <row r="140" spans="17:24" ht="18" x14ac:dyDescent="0.2">
      <c r="Q140" s="208"/>
      <c r="R140" s="181"/>
      <c r="S140" s="182"/>
      <c r="T140" s="182"/>
      <c r="U140" s="182"/>
      <c r="V140" s="183"/>
      <c r="W140" s="185"/>
      <c r="X140" s="182"/>
    </row>
    <row r="141" spans="17:24" ht="18" x14ac:dyDescent="0.2">
      <c r="R141" s="52"/>
      <c r="S141" s="53"/>
      <c r="T141" s="53"/>
      <c r="U141" s="53"/>
      <c r="V141" s="70"/>
      <c r="W141" s="184"/>
      <c r="X141" s="53"/>
    </row>
    <row r="142" spans="17:24" ht="18" x14ac:dyDescent="0.2">
      <c r="R142" s="52"/>
      <c r="S142" s="53"/>
      <c r="T142" s="53"/>
      <c r="U142" s="53"/>
      <c r="V142" s="70"/>
      <c r="W142" s="184"/>
      <c r="X142" s="53"/>
    </row>
    <row r="143" spans="17:24" ht="18" x14ac:dyDescent="0.2">
      <c r="R143" s="52"/>
      <c r="S143" s="53"/>
      <c r="T143" s="53"/>
      <c r="U143" s="53"/>
      <c r="V143" s="70"/>
      <c r="W143" s="184"/>
      <c r="X143" s="53"/>
    </row>
    <row r="144" spans="17:24" ht="18" x14ac:dyDescent="0.2">
      <c r="R144" s="52"/>
      <c r="S144" s="53"/>
      <c r="T144" s="53"/>
      <c r="U144" s="53"/>
      <c r="V144" s="70"/>
      <c r="W144" s="184"/>
      <c r="X144" s="53"/>
    </row>
    <row r="145" spans="18:24" ht="18" x14ac:dyDescent="0.2">
      <c r="R145" s="52"/>
      <c r="S145" s="53"/>
      <c r="T145" s="53"/>
      <c r="U145" s="53"/>
      <c r="V145" s="70"/>
      <c r="W145" s="184"/>
      <c r="X145" s="53"/>
    </row>
    <row r="146" spans="18:24" ht="18" x14ac:dyDescent="0.2">
      <c r="R146" s="52"/>
      <c r="S146" s="53"/>
      <c r="T146" s="53"/>
      <c r="U146" s="53"/>
      <c r="V146" s="70"/>
      <c r="W146" s="184"/>
      <c r="X146" s="53"/>
    </row>
    <row r="147" spans="18:24" ht="18" x14ac:dyDescent="0.2">
      <c r="R147" s="52"/>
      <c r="S147" s="53"/>
      <c r="T147" s="53"/>
      <c r="U147" s="53"/>
      <c r="V147" s="70"/>
      <c r="W147" s="184"/>
      <c r="X147" s="53"/>
    </row>
    <row r="148" spans="18:24" ht="18" x14ac:dyDescent="0.2">
      <c r="R148" s="52"/>
      <c r="S148" s="53"/>
      <c r="T148" s="53"/>
      <c r="U148" s="53"/>
      <c r="V148" s="70"/>
      <c r="W148" s="184"/>
      <c r="X148" s="53"/>
    </row>
    <row r="149" spans="18:24" ht="18" x14ac:dyDescent="0.2">
      <c r="R149" s="52"/>
      <c r="S149" s="53"/>
      <c r="T149" s="53"/>
      <c r="U149" s="53"/>
      <c r="V149" s="70"/>
      <c r="W149" s="184"/>
      <c r="X149" s="53"/>
    </row>
    <row r="150" spans="18:24" ht="18" x14ac:dyDescent="0.2">
      <c r="R150" s="52"/>
      <c r="S150" s="53"/>
      <c r="T150" s="53"/>
      <c r="U150" s="53"/>
      <c r="V150" s="70"/>
      <c r="W150" s="184"/>
      <c r="X150" s="53"/>
    </row>
    <row r="151" spans="18:24" ht="18" x14ac:dyDescent="0.2">
      <c r="R151" s="52"/>
      <c r="S151" s="53"/>
      <c r="T151" s="53"/>
      <c r="U151" s="53"/>
      <c r="V151" s="70"/>
      <c r="W151" s="184"/>
      <c r="X151" s="53"/>
    </row>
    <row r="152" spans="18:24" ht="18" x14ac:dyDescent="0.2">
      <c r="R152" s="52"/>
      <c r="S152" s="53"/>
      <c r="T152" s="53"/>
      <c r="U152" s="53"/>
      <c r="V152" s="70"/>
      <c r="W152" s="184"/>
      <c r="X152" s="53"/>
    </row>
    <row r="153" spans="18:24" ht="18" x14ac:dyDescent="0.2">
      <c r="R153" s="52"/>
      <c r="S153" s="53"/>
      <c r="T153" s="53"/>
      <c r="U153" s="53"/>
      <c r="V153" s="70"/>
      <c r="W153" s="184"/>
      <c r="X153" s="53"/>
    </row>
    <row r="154" spans="18:24" ht="18" x14ac:dyDescent="0.2">
      <c r="R154" s="52"/>
      <c r="S154" s="53"/>
      <c r="T154" s="53"/>
      <c r="U154" s="53"/>
      <c r="V154" s="70"/>
      <c r="W154" s="184"/>
      <c r="X154" s="53"/>
    </row>
    <row r="155" spans="18:24" ht="18" x14ac:dyDescent="0.2">
      <c r="R155" s="52"/>
      <c r="S155" s="53"/>
      <c r="T155" s="53"/>
      <c r="U155" s="53"/>
      <c r="V155" s="70"/>
      <c r="W155" s="184"/>
      <c r="X155" s="53"/>
    </row>
    <row r="156" spans="18:24" ht="18" x14ac:dyDescent="0.2">
      <c r="R156" s="52"/>
      <c r="S156" s="53"/>
      <c r="T156" s="53"/>
      <c r="U156" s="53"/>
      <c r="V156" s="70"/>
      <c r="W156" s="184"/>
      <c r="X156" s="53"/>
    </row>
    <row r="157" spans="18:24" ht="18" x14ac:dyDescent="0.2">
      <c r="R157" s="52"/>
      <c r="S157" s="53"/>
      <c r="T157" s="53"/>
      <c r="U157" s="53"/>
      <c r="V157" s="70"/>
      <c r="W157" s="184"/>
      <c r="X157" s="53"/>
    </row>
    <row r="158" spans="18:24" ht="18" x14ac:dyDescent="0.2">
      <c r="R158" s="52"/>
      <c r="S158" s="53"/>
      <c r="T158" s="53"/>
      <c r="U158" s="53"/>
      <c r="V158" s="70"/>
      <c r="W158" s="184"/>
      <c r="X158" s="53"/>
    </row>
    <row r="159" spans="18:24" ht="18" x14ac:dyDescent="0.2">
      <c r="R159" s="52"/>
      <c r="S159" s="53"/>
      <c r="T159" s="53"/>
      <c r="U159" s="53"/>
      <c r="V159" s="70"/>
      <c r="W159" s="184"/>
      <c r="X159" s="53"/>
    </row>
    <row r="160" spans="18:24" ht="18" x14ac:dyDescent="0.2">
      <c r="R160" s="52"/>
      <c r="S160" s="53"/>
      <c r="T160" s="53"/>
      <c r="U160" s="53"/>
      <c r="V160" s="70"/>
      <c r="W160" s="184"/>
      <c r="X160" s="53"/>
    </row>
    <row r="161" spans="18:24" ht="18" x14ac:dyDescent="0.2">
      <c r="R161" s="52"/>
      <c r="S161" s="53"/>
      <c r="T161" s="53"/>
      <c r="U161" s="53"/>
      <c r="V161" s="70"/>
      <c r="W161" s="184"/>
      <c r="X161" s="53"/>
    </row>
    <row r="162" spans="18:24" ht="18" x14ac:dyDescent="0.2">
      <c r="R162" s="52"/>
      <c r="S162" s="53"/>
      <c r="T162" s="53"/>
      <c r="U162" s="53"/>
      <c r="V162" s="70"/>
      <c r="W162" s="184"/>
      <c r="X162" s="53"/>
    </row>
    <row r="163" spans="18:24" ht="18" x14ac:dyDescent="0.2">
      <c r="R163" s="52"/>
      <c r="S163" s="53"/>
      <c r="T163" s="53"/>
      <c r="U163" s="53"/>
      <c r="V163" s="70"/>
      <c r="W163" s="184"/>
      <c r="X163" s="53"/>
    </row>
    <row r="164" spans="18:24" ht="18" x14ac:dyDescent="0.2">
      <c r="R164" s="52"/>
      <c r="S164" s="53"/>
      <c r="T164" s="53"/>
      <c r="U164" s="53"/>
      <c r="V164" s="70"/>
      <c r="W164" s="184"/>
      <c r="X164" s="53"/>
    </row>
    <row r="165" spans="18:24" ht="18" x14ac:dyDescent="0.2">
      <c r="R165" s="52"/>
      <c r="S165" s="53"/>
      <c r="T165" s="53"/>
      <c r="U165" s="53"/>
      <c r="V165" s="70"/>
      <c r="W165" s="184"/>
      <c r="X165" s="53"/>
    </row>
    <row r="166" spans="18:24" ht="18" x14ac:dyDescent="0.2">
      <c r="R166" s="52"/>
      <c r="S166" s="53"/>
      <c r="T166" s="53"/>
      <c r="U166" s="53"/>
      <c r="V166" s="70"/>
      <c r="W166" s="184"/>
      <c r="X166" s="53"/>
    </row>
    <row r="167" spans="18:24" ht="18" x14ac:dyDescent="0.2">
      <c r="R167" s="52"/>
      <c r="S167" s="53"/>
      <c r="T167" s="53"/>
      <c r="U167" s="53"/>
      <c r="V167" s="70"/>
      <c r="W167" s="184"/>
      <c r="X167" s="53"/>
    </row>
    <row r="168" spans="18:24" ht="18" x14ac:dyDescent="0.2">
      <c r="R168" s="52"/>
      <c r="S168" s="53"/>
      <c r="T168" s="53"/>
      <c r="U168" s="53"/>
      <c r="V168" s="70"/>
      <c r="W168" s="184"/>
      <c r="X168" s="53"/>
    </row>
    <row r="169" spans="18:24" ht="18" x14ac:dyDescent="0.2">
      <c r="R169" s="52"/>
      <c r="S169" s="53"/>
      <c r="T169" s="53"/>
      <c r="U169" s="53"/>
      <c r="V169" s="70"/>
      <c r="W169" s="184"/>
      <c r="X169" s="53"/>
    </row>
    <row r="170" spans="18:24" ht="18" x14ac:dyDescent="0.2">
      <c r="R170" s="52"/>
      <c r="S170" s="53"/>
      <c r="T170" s="53"/>
      <c r="U170" s="53"/>
      <c r="V170" s="70"/>
      <c r="W170" s="184"/>
      <c r="X170" s="53"/>
    </row>
    <row r="171" spans="18:24" ht="18" x14ac:dyDescent="0.2">
      <c r="R171" s="52"/>
      <c r="S171" s="53"/>
      <c r="T171" s="53"/>
      <c r="U171" s="53"/>
      <c r="V171" s="70"/>
      <c r="W171" s="184"/>
      <c r="X171" s="53"/>
    </row>
    <row r="172" spans="18:24" ht="18" x14ac:dyDescent="0.2">
      <c r="R172" s="52"/>
      <c r="S172" s="53"/>
      <c r="T172" s="53"/>
      <c r="U172" s="53"/>
      <c r="V172" s="70"/>
      <c r="W172" s="184"/>
      <c r="X172" s="53"/>
    </row>
    <row r="173" spans="18:24" ht="18" x14ac:dyDescent="0.2">
      <c r="R173" s="52"/>
      <c r="S173" s="53"/>
      <c r="T173" s="53"/>
      <c r="U173" s="53"/>
      <c r="V173" s="70"/>
      <c r="W173" s="184"/>
      <c r="X173" s="53"/>
    </row>
    <row r="174" spans="18:24" ht="18" x14ac:dyDescent="0.2">
      <c r="R174" s="52"/>
      <c r="S174" s="53"/>
      <c r="T174" s="53"/>
      <c r="U174" s="53"/>
      <c r="V174" s="70"/>
      <c r="W174" s="184"/>
      <c r="X174" s="53"/>
    </row>
    <row r="175" spans="18:24" ht="18" x14ac:dyDescent="0.2">
      <c r="R175" s="52"/>
      <c r="S175" s="53"/>
      <c r="T175" s="53"/>
      <c r="U175" s="53"/>
      <c r="V175" s="70"/>
      <c r="W175" s="184"/>
      <c r="X175" s="53"/>
    </row>
    <row r="176" spans="18:24" ht="18" x14ac:dyDescent="0.2">
      <c r="R176" s="52"/>
      <c r="S176" s="53"/>
      <c r="T176" s="53"/>
      <c r="U176" s="53"/>
      <c r="V176" s="70"/>
      <c r="W176" s="184"/>
      <c r="X176" s="53"/>
    </row>
    <row r="177" spans="18:24" ht="18" x14ac:dyDescent="0.2">
      <c r="R177" s="52"/>
      <c r="S177" s="53"/>
      <c r="T177" s="53"/>
      <c r="U177" s="53"/>
      <c r="V177" s="70"/>
      <c r="W177" s="184"/>
      <c r="X177" s="53"/>
    </row>
    <row r="178" spans="18:24" ht="18" x14ac:dyDescent="0.2">
      <c r="R178" s="52"/>
      <c r="S178" s="53"/>
      <c r="T178" s="53"/>
      <c r="U178" s="53"/>
      <c r="V178" s="70"/>
      <c r="W178" s="184"/>
      <c r="X178" s="53"/>
    </row>
    <row r="179" spans="18:24" ht="18" x14ac:dyDescent="0.2">
      <c r="R179" s="52"/>
      <c r="S179" s="53"/>
      <c r="T179" s="53"/>
      <c r="U179" s="53"/>
      <c r="V179" s="70"/>
      <c r="W179" s="184"/>
      <c r="X179" s="53"/>
    </row>
    <row r="180" spans="18:24" ht="18" x14ac:dyDescent="0.2">
      <c r="R180" s="52"/>
      <c r="S180" s="53"/>
      <c r="T180" s="53"/>
      <c r="U180" s="53"/>
      <c r="V180" s="70"/>
      <c r="W180" s="184"/>
      <c r="X180" s="53"/>
    </row>
    <row r="181" spans="18:24" ht="18" x14ac:dyDescent="0.2">
      <c r="R181" s="52"/>
      <c r="S181" s="53"/>
      <c r="T181" s="53"/>
      <c r="U181" s="53"/>
      <c r="V181" s="70"/>
      <c r="W181" s="184"/>
      <c r="X181" s="53"/>
    </row>
    <row r="182" spans="18:24" ht="18" x14ac:dyDescent="0.2">
      <c r="R182" s="52"/>
      <c r="S182" s="53"/>
      <c r="T182" s="53"/>
      <c r="U182" s="53"/>
      <c r="V182" s="70"/>
      <c r="W182" s="184"/>
      <c r="X182" s="53"/>
    </row>
    <row r="183" spans="18:24" ht="18" x14ac:dyDescent="0.2">
      <c r="R183" s="52"/>
      <c r="S183" s="53"/>
      <c r="T183" s="53"/>
      <c r="U183" s="53"/>
      <c r="V183" s="70"/>
      <c r="W183" s="184"/>
      <c r="X183" s="53"/>
    </row>
    <row r="184" spans="18:24" ht="18" x14ac:dyDescent="0.2">
      <c r="R184" s="52"/>
      <c r="S184" s="53"/>
      <c r="T184" s="53"/>
      <c r="U184" s="53"/>
      <c r="V184" s="70"/>
      <c r="W184" s="184"/>
      <c r="X184" s="53"/>
    </row>
    <row r="185" spans="18:24" ht="18" x14ac:dyDescent="0.2">
      <c r="R185" s="52"/>
      <c r="S185" s="53"/>
      <c r="T185" s="53"/>
      <c r="U185" s="53"/>
      <c r="V185" s="70"/>
      <c r="W185" s="184"/>
      <c r="X185" s="53"/>
    </row>
    <row r="186" spans="18:24" ht="18" x14ac:dyDescent="0.2">
      <c r="R186" s="52"/>
      <c r="S186" s="53"/>
      <c r="T186" s="53"/>
      <c r="U186" s="53"/>
      <c r="V186" s="70"/>
      <c r="W186" s="184"/>
      <c r="X186" s="53"/>
    </row>
    <row r="187" spans="18:24" ht="18" x14ac:dyDescent="0.2">
      <c r="R187" s="52"/>
      <c r="S187" s="53"/>
      <c r="T187" s="53"/>
      <c r="U187" s="53"/>
      <c r="V187" s="70"/>
      <c r="W187" s="184"/>
      <c r="X187" s="53"/>
    </row>
    <row r="188" spans="18:24" ht="18" x14ac:dyDescent="0.2">
      <c r="R188" s="52"/>
      <c r="S188" s="53"/>
      <c r="T188" s="53"/>
      <c r="U188" s="53"/>
      <c r="V188" s="70"/>
      <c r="W188" s="184"/>
      <c r="X188" s="53"/>
    </row>
    <row r="189" spans="18:24" ht="18" x14ac:dyDescent="0.2">
      <c r="R189" s="52"/>
      <c r="S189" s="53"/>
      <c r="T189" s="53"/>
      <c r="U189" s="53"/>
      <c r="V189" s="70"/>
      <c r="W189" s="184"/>
      <c r="X189" s="53"/>
    </row>
    <row r="190" spans="18:24" ht="18" x14ac:dyDescent="0.2">
      <c r="R190" s="52"/>
      <c r="S190" s="53"/>
      <c r="T190" s="53"/>
      <c r="U190" s="53"/>
      <c r="V190" s="70"/>
      <c r="W190" s="184"/>
      <c r="X190" s="53"/>
    </row>
    <row r="191" spans="18:24" ht="18" x14ac:dyDescent="0.2">
      <c r="R191" s="52"/>
      <c r="S191" s="53"/>
      <c r="T191" s="53"/>
      <c r="U191" s="53"/>
      <c r="V191" s="70"/>
      <c r="W191" s="184"/>
      <c r="X191" s="53"/>
    </row>
    <row r="192" spans="18:24" ht="18" x14ac:dyDescent="0.2">
      <c r="R192" s="52"/>
      <c r="S192" s="53"/>
      <c r="T192" s="53"/>
      <c r="U192" s="53"/>
      <c r="V192" s="70"/>
      <c r="W192" s="184"/>
      <c r="X192" s="53"/>
    </row>
    <row r="193" spans="18:24" ht="18" x14ac:dyDescent="0.2">
      <c r="R193" s="52"/>
      <c r="S193" s="53"/>
      <c r="T193" s="53"/>
      <c r="U193" s="53"/>
      <c r="V193" s="70"/>
      <c r="W193" s="184"/>
      <c r="X193" s="53"/>
    </row>
    <row r="194" spans="18:24" ht="18" x14ac:dyDescent="0.2">
      <c r="R194" s="52"/>
      <c r="S194" s="53"/>
      <c r="T194" s="53"/>
      <c r="U194" s="53"/>
      <c r="V194" s="70"/>
      <c r="W194" s="184"/>
      <c r="X194" s="53"/>
    </row>
    <row r="195" spans="18:24" ht="18" x14ac:dyDescent="0.2">
      <c r="R195" s="52"/>
      <c r="S195" s="53"/>
      <c r="T195" s="53"/>
      <c r="U195" s="53"/>
      <c r="V195" s="70"/>
      <c r="W195" s="184"/>
      <c r="X195" s="53"/>
    </row>
    <row r="196" spans="18:24" ht="18" x14ac:dyDescent="0.2">
      <c r="R196" s="52"/>
      <c r="S196" s="53"/>
      <c r="T196" s="53"/>
      <c r="U196" s="53"/>
      <c r="V196" s="70"/>
      <c r="W196" s="184"/>
      <c r="X196" s="53"/>
    </row>
    <row r="197" spans="18:24" ht="18" x14ac:dyDescent="0.2">
      <c r="R197" s="52"/>
      <c r="S197" s="53"/>
      <c r="T197" s="53"/>
      <c r="U197" s="53"/>
      <c r="V197" s="70"/>
      <c r="W197" s="184"/>
      <c r="X197" s="53"/>
    </row>
    <row r="198" spans="18:24" ht="18" x14ac:dyDescent="0.2">
      <c r="R198" s="52"/>
      <c r="S198" s="53"/>
      <c r="T198" s="53"/>
      <c r="U198" s="53"/>
      <c r="V198" s="70"/>
      <c r="W198" s="184"/>
      <c r="X198" s="53"/>
    </row>
    <row r="199" spans="18:24" ht="18" x14ac:dyDescent="0.2">
      <c r="R199" s="52"/>
      <c r="S199" s="53"/>
      <c r="T199" s="53"/>
      <c r="U199" s="53"/>
      <c r="V199" s="70"/>
      <c r="W199" s="184"/>
      <c r="X199" s="53"/>
    </row>
    <row r="200" spans="18:24" ht="18" x14ac:dyDescent="0.2">
      <c r="R200" s="52"/>
      <c r="S200" s="53"/>
      <c r="T200" s="53"/>
      <c r="U200" s="53"/>
      <c r="V200" s="70"/>
      <c r="W200" s="184"/>
      <c r="X200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58" priority="10">
      <formula>AND($A6&lt;&gt;"",$A6=$A5)</formula>
    </cfRule>
  </conditionalFormatting>
  <conditionalFormatting sqref="A6:A85">
    <cfRule type="expression" dxfId="1757" priority="6">
      <formula>$A6=$A5</formula>
    </cfRule>
  </conditionalFormatting>
  <conditionalFormatting sqref="B5:D92">
    <cfRule type="expression" dxfId="1756" priority="1">
      <formula>$F5="PETROL"</formula>
    </cfRule>
  </conditionalFormatting>
  <conditionalFormatting sqref="B5:D95">
    <cfRule type="expression" dxfId="1755" priority="3">
      <formula>AND(ISNUMBER(B5),MOD(B5,1)&lt;&gt;0)</formula>
    </cfRule>
  </conditionalFormatting>
  <conditionalFormatting sqref="B7:G60">
    <cfRule type="expression" dxfId="1754" priority="9">
      <formula>$H7="TOTAL"</formula>
    </cfRule>
  </conditionalFormatting>
  <conditionalFormatting sqref="E5:E95">
    <cfRule type="expression" dxfId="1753" priority="4">
      <formula>AND(ISNUMBER(E5),MOD(E5,1)&lt;&gt;0)</formula>
    </cfRule>
  </conditionalFormatting>
  <conditionalFormatting sqref="F5:F92">
    <cfRule type="expression" dxfId="1752" priority="2">
      <formula>$F5="PETROL"</formula>
    </cfRule>
  </conditionalFormatting>
  <conditionalFormatting sqref="G5:G95">
    <cfRule type="expression" dxfId="1751" priority="5">
      <formula>AND(ISNUMBER(G5),MOD(G5,1)&lt;&gt;0)</formula>
    </cfRule>
  </conditionalFormatting>
  <conditionalFormatting sqref="R13:R200">
    <cfRule type="expression" dxfId="1750" priority="7">
      <formula>AND(R13&lt;&gt;"",R13=R12)</formula>
    </cfRule>
  </conditionalFormatting>
  <conditionalFormatting sqref="R13:X200">
    <cfRule type="expression" dxfId="1749" priority="8">
      <formula>$X13="Petrol"</formula>
    </cfRule>
  </conditionalFormatting>
  <hyperlinks>
    <hyperlink ref="K1" location="Index!A1" display="→ Index" xr:uid="{0E47E40B-BEE9-0646-AB77-C92EA7D85F22}"/>
  </hyperlinks>
  <printOptions horizontalCentered="1"/>
  <pageMargins left="0.25" right="0.25" top="0.25" bottom="1.35" header="0" footer="0.5"/>
  <pageSetup paperSize="9" scale="66" orientation="portrait" r:id="rId1"/>
  <drawing r:id="rId2"/>
  <legacyDrawingHF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EEAD-76D5-3645-87CD-7DFCD3B8DA9A}">
  <sheetPr codeName="Sheet36">
    <pageSetUpPr fitToPage="1"/>
  </sheetPr>
  <dimension ref="A1:X106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1640625" customWidth="1"/>
    <col min="3" max="3" width="10" customWidth="1"/>
    <col min="4" max="4" width="19.83203125" customWidth="1"/>
    <col min="5" max="5" width="17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1640625" customWidth="1"/>
    <col min="21" max="21" width="13.1640625" customWidth="1"/>
    <col min="22" max="22" width="11.6640625" customWidth="1"/>
    <col min="23" max="23" width="15.5" customWidth="1"/>
    <col min="24" max="24" width="13.83203125" customWidth="1"/>
  </cols>
  <sheetData>
    <row r="1" spans="1:24" ht="29" customHeight="1" x14ac:dyDescent="0.2">
      <c r="A1" s="521" t="str">
        <f>$K$3</f>
        <v>SHRI LAL KHETAN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202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Paid],MasterPaid[Customer],$K$20,MasterPaid[Date],$A5)</f>
        <v>0</v>
      </c>
      <c r="F5" s="38"/>
      <c r="G5" s="57">
        <f>IFERROR(INDEX(Outstanding!$N$4:$Z$69,MATCH($K$3,Outstanding!$M$4:$M$66,0),MATCH($A$5,Outstanding!$N$3:$Z$3,0)),0)</f>
        <v>7973.43</v>
      </c>
      <c r="H5" s="20"/>
      <c r="I5" s="58">
        <f>G5+SUM(D5:D45)-SUM(E5:E45)</f>
        <v>1.430000000000291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46237</v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0</v>
      </c>
      <c r="E6" s="61">
        <f>IF($H6="TOTAL",0,IF($A6="",0,IF(COUNTIF($A$6:$A6,$A6)=1,SUMIFS(MasterPaid[Amount Paid],MasterPaid[Customer],$K$3,MasterPaid[Date],$A6),0)))</f>
        <v>7972</v>
      </c>
      <c r="F6" s="62" t="str" cm="1">
        <f t="array" ref="F6">IFERROR(INDEX(_xlfn.ANCHORARRAY($K$6),ROW()-5,2),"")</f>
        <v/>
      </c>
      <c r="G6" s="57">
        <f>IF($H6="TOTAL",IFERROR(LOOKUP(9.99E+307,$G$5:$G5),""),IF($A6="","",G5+N(D6)-N(E6)))</f>
        <v>1.430000000000291</v>
      </c>
      <c r="H6" s="20"/>
      <c r="I6" s="20"/>
      <c r="J6" s="20"/>
      <c r="K6" cm="1">
        <f t="array" ref="K6:L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46237</v>
      </c>
      <c r="L6" s="17" t="str"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customHeight="1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SHRI LAL KHETAN</v>
      </c>
      <c r="R9" s="44"/>
      <c r="S9" s="44"/>
      <c r="T9" s="44"/>
      <c r="U9" s="45"/>
      <c r="V9" s="45"/>
      <c r="W9" s="46" t="s">
        <v>1282</v>
      </c>
      <c r="X9" s="47">
        <f ca="1">EOMONTH(TODAY(),0)</f>
        <v>46265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80"/>
      <c r="R18" s="181"/>
      <c r="S18" s="182"/>
      <c r="T18" s="182"/>
      <c r="U18" s="182"/>
      <c r="V18" s="183"/>
      <c r="W18" s="185"/>
      <c r="X18" s="182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80"/>
      <c r="R19" s="181"/>
      <c r="S19" s="182"/>
      <c r="T19" s="182"/>
      <c r="U19" s="182"/>
      <c r="V19" s="183"/>
      <c r="W19" s="185"/>
      <c r="X19" s="182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31"/>
      <c r="L20" s="17"/>
      <c r="M20" s="17"/>
      <c r="N20" s="17"/>
      <c r="O20" s="17"/>
      <c r="P20" s="17"/>
      <c r="Q20" s="180"/>
      <c r="R20" s="181"/>
      <c r="S20" s="182"/>
      <c r="T20" s="182"/>
      <c r="U20" s="182"/>
      <c r="V20" s="183"/>
      <c r="W20" s="185"/>
      <c r="X20" s="182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80"/>
      <c r="R44" s="181"/>
      <c r="S44" s="182"/>
      <c r="T44" s="182"/>
      <c r="U44" s="182"/>
      <c r="V44" s="183"/>
      <c r="W44" s="185"/>
      <c r="X44" s="182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80"/>
      <c r="R49" s="181"/>
      <c r="S49" s="182"/>
      <c r="T49" s="182"/>
      <c r="U49" s="182"/>
      <c r="V49" s="183"/>
      <c r="W49" s="185"/>
      <c r="X49" s="182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53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53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53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53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53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53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53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53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53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53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53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53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53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53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53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53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53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53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53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53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53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53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53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53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53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53"/>
      <c r="X85" s="53"/>
    </row>
    <row r="86" spans="1:24" ht="18" x14ac:dyDescent="0.2">
      <c r="B86" s="7"/>
      <c r="C86" s="7"/>
      <c r="D86" s="7"/>
      <c r="E86" s="8"/>
      <c r="G86" s="10"/>
      <c r="R86" s="52"/>
      <c r="S86" s="53"/>
      <c r="T86" s="53"/>
      <c r="U86" s="53"/>
      <c r="V86" s="70"/>
      <c r="W86" s="53"/>
      <c r="X86" s="53"/>
    </row>
    <row r="87" spans="1:24" ht="18" x14ac:dyDescent="0.2">
      <c r="B87" s="7"/>
      <c r="C87" s="7"/>
      <c r="D87" s="7"/>
      <c r="E87" s="8"/>
      <c r="G87" s="10"/>
      <c r="R87" s="52"/>
      <c r="S87" s="53"/>
      <c r="T87" s="53"/>
      <c r="U87" s="53"/>
      <c r="V87" s="70"/>
      <c r="W87" s="53"/>
      <c r="X87" s="53"/>
    </row>
    <row r="88" spans="1:24" ht="18" x14ac:dyDescent="0.2">
      <c r="B88" s="7"/>
      <c r="C88" s="7"/>
      <c r="D88" s="7"/>
      <c r="E88" s="8"/>
      <c r="G88" s="10"/>
      <c r="R88" s="52"/>
      <c r="S88" s="53"/>
      <c r="T88" s="53"/>
      <c r="U88" s="53"/>
      <c r="V88" s="70"/>
      <c r="W88" s="53"/>
      <c r="X88" s="53"/>
    </row>
    <row r="89" spans="1:24" ht="18" x14ac:dyDescent="0.2">
      <c r="B89" s="7"/>
      <c r="C89" s="7"/>
      <c r="D89" s="7"/>
      <c r="E89" s="8"/>
      <c r="G89" s="10"/>
      <c r="R89" s="52"/>
      <c r="S89" s="53"/>
      <c r="T89" s="53"/>
      <c r="U89" s="53"/>
      <c r="V89" s="70"/>
      <c r="W89" s="53"/>
      <c r="X89" s="53"/>
    </row>
    <row r="90" spans="1:24" ht="18" x14ac:dyDescent="0.2">
      <c r="B90" s="7"/>
      <c r="C90" s="7"/>
      <c r="D90" s="7"/>
      <c r="E90" s="8"/>
      <c r="G90" s="10"/>
      <c r="R90" s="52"/>
      <c r="S90" s="53"/>
      <c r="T90" s="53"/>
      <c r="U90" s="53"/>
      <c r="V90" s="70"/>
      <c r="W90" s="53"/>
      <c r="X90" s="53"/>
    </row>
    <row r="91" spans="1:24" ht="18" x14ac:dyDescent="0.2">
      <c r="B91" s="7"/>
      <c r="C91" s="7"/>
      <c r="D91" s="7"/>
      <c r="E91" s="8"/>
      <c r="G91" s="10"/>
      <c r="R91" s="52"/>
      <c r="S91" s="53"/>
      <c r="T91" s="53"/>
      <c r="U91" s="53"/>
      <c r="V91" s="70"/>
      <c r="W91" s="53"/>
      <c r="X91" s="53"/>
    </row>
    <row r="92" spans="1:24" ht="18" x14ac:dyDescent="0.2">
      <c r="B92" s="7"/>
      <c r="C92" s="7"/>
      <c r="D92" s="7"/>
      <c r="E92" s="8"/>
      <c r="G92" s="10"/>
      <c r="R92" s="52"/>
      <c r="S92" s="53"/>
      <c r="T92" s="53"/>
      <c r="U92" s="53"/>
      <c r="V92" s="70"/>
      <c r="W92" s="53"/>
      <c r="X92" s="53"/>
    </row>
    <row r="93" spans="1:24" ht="18" x14ac:dyDescent="0.2">
      <c r="B93" s="7"/>
      <c r="C93" s="7"/>
      <c r="D93" s="7"/>
      <c r="E93" s="9"/>
      <c r="G93" s="10"/>
      <c r="R93" s="52"/>
      <c r="S93" s="53"/>
      <c r="T93" s="53"/>
      <c r="U93" s="53"/>
      <c r="V93" s="70"/>
      <c r="W93" s="53"/>
      <c r="X93" s="53"/>
    </row>
    <row r="94" spans="1:24" ht="18" x14ac:dyDescent="0.2">
      <c r="B94" s="7"/>
      <c r="C94" s="7"/>
      <c r="D94" s="7"/>
      <c r="E94" s="9"/>
      <c r="G94" s="10"/>
      <c r="R94" s="52"/>
      <c r="S94" s="53"/>
      <c r="T94" s="53"/>
      <c r="U94" s="53"/>
      <c r="V94" s="70"/>
      <c r="W94" s="53"/>
      <c r="X94" s="53"/>
    </row>
    <row r="95" spans="1:24" ht="18" x14ac:dyDescent="0.2">
      <c r="B95" s="7"/>
      <c r="C95" s="7"/>
      <c r="D95" s="7"/>
      <c r="E95" s="9"/>
      <c r="G95" s="10"/>
      <c r="R95" s="52"/>
      <c r="S95" s="53"/>
      <c r="T95" s="53"/>
      <c r="U95" s="53"/>
      <c r="V95" s="70"/>
      <c r="W95" s="53"/>
      <c r="X95" s="53"/>
    </row>
    <row r="96" spans="1:24" ht="18" x14ac:dyDescent="0.2">
      <c r="R96" s="52"/>
      <c r="S96" s="53"/>
      <c r="T96" s="53"/>
      <c r="U96" s="53"/>
      <c r="V96" s="70"/>
      <c r="W96" s="53"/>
      <c r="X96" s="53"/>
    </row>
    <row r="97" spans="18:24" ht="18" x14ac:dyDescent="0.2">
      <c r="R97" s="52"/>
      <c r="S97" s="53"/>
      <c r="T97" s="53"/>
      <c r="U97" s="53"/>
      <c r="V97" s="70"/>
      <c r="W97" s="53"/>
      <c r="X97" s="53"/>
    </row>
    <row r="98" spans="18:24" ht="18" x14ac:dyDescent="0.2">
      <c r="R98" s="52"/>
      <c r="S98" s="53"/>
      <c r="T98" s="53"/>
      <c r="U98" s="53"/>
      <c r="V98" s="70"/>
      <c r="W98" s="53"/>
      <c r="X98" s="53"/>
    </row>
    <row r="99" spans="18:24" ht="18" x14ac:dyDescent="0.2">
      <c r="R99" s="52"/>
      <c r="S99" s="53"/>
      <c r="T99" s="53"/>
      <c r="U99" s="53"/>
      <c r="V99" s="70"/>
      <c r="W99" s="53"/>
      <c r="X99" s="53"/>
    </row>
    <row r="100" spans="18:24" ht="18" x14ac:dyDescent="0.2">
      <c r="R100" s="52"/>
      <c r="S100" s="53"/>
      <c r="T100" s="53"/>
      <c r="U100" s="53"/>
      <c r="V100" s="70"/>
      <c r="W100" s="53"/>
      <c r="X100" s="53"/>
    </row>
    <row r="101" spans="18:24" ht="18" x14ac:dyDescent="0.2">
      <c r="R101" s="52"/>
      <c r="S101" s="53"/>
      <c r="T101" s="53"/>
      <c r="U101" s="53"/>
      <c r="V101" s="70"/>
      <c r="W101" s="53"/>
      <c r="X101" s="53"/>
    </row>
    <row r="102" spans="18:24" ht="18" x14ac:dyDescent="0.2">
      <c r="R102" s="52"/>
      <c r="S102" s="53"/>
      <c r="T102" s="53"/>
      <c r="U102" s="53"/>
      <c r="V102" s="70"/>
      <c r="W102" s="53"/>
      <c r="X102" s="53"/>
    </row>
    <row r="103" spans="18:24" ht="18" x14ac:dyDescent="0.2">
      <c r="R103" s="52"/>
      <c r="S103" s="53"/>
      <c r="T103" s="53"/>
      <c r="U103" s="53"/>
      <c r="V103" s="70"/>
      <c r="W103" s="53"/>
      <c r="X103" s="53"/>
    </row>
    <row r="104" spans="18:24" ht="18" x14ac:dyDescent="0.2">
      <c r="R104" s="52"/>
      <c r="S104" s="53"/>
      <c r="T104" s="53"/>
      <c r="U104" s="53"/>
      <c r="V104" s="70"/>
      <c r="W104" s="53"/>
      <c r="X104" s="53"/>
    </row>
    <row r="105" spans="18:24" ht="18" x14ac:dyDescent="0.2">
      <c r="R105" s="52"/>
      <c r="S105" s="53"/>
      <c r="T105" s="53"/>
      <c r="U105" s="53"/>
      <c r="V105" s="70"/>
      <c r="W105" s="53"/>
      <c r="X105" s="53"/>
    </row>
    <row r="106" spans="18:24" ht="18" x14ac:dyDescent="0.2">
      <c r="R106" s="52"/>
      <c r="S106" s="53"/>
      <c r="T106" s="53"/>
      <c r="U106" s="53"/>
      <c r="V106" s="70"/>
      <c r="W106" s="53"/>
      <c r="X106" s="53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48" priority="10">
      <formula>AND($A6&lt;&gt;"",$A6=$A5)</formula>
    </cfRule>
  </conditionalFormatting>
  <conditionalFormatting sqref="A6:A85">
    <cfRule type="expression" dxfId="1747" priority="6">
      <formula>$A6=$A5</formula>
    </cfRule>
  </conditionalFormatting>
  <conditionalFormatting sqref="B5:D92">
    <cfRule type="expression" dxfId="1746" priority="1">
      <formula>$F5="PETROL"</formula>
    </cfRule>
  </conditionalFormatting>
  <conditionalFormatting sqref="B5:D95">
    <cfRule type="expression" dxfId="1745" priority="3">
      <formula>AND(ISNUMBER(B5),MOD(B5,1)&lt;&gt;0)</formula>
    </cfRule>
  </conditionalFormatting>
  <conditionalFormatting sqref="B7:G60">
    <cfRule type="expression" dxfId="1744" priority="9">
      <formula>$H7="TOTAL"</formula>
    </cfRule>
  </conditionalFormatting>
  <conditionalFormatting sqref="E5:E95">
    <cfRule type="expression" dxfId="1743" priority="4">
      <formula>AND(ISNUMBER(E5),MOD(E5,1)&lt;&gt;0)</formula>
    </cfRule>
  </conditionalFormatting>
  <conditionalFormatting sqref="F5:F92">
    <cfRule type="expression" dxfId="1742" priority="2">
      <formula>$F5="PETROL"</formula>
    </cfRule>
  </conditionalFormatting>
  <conditionalFormatting sqref="G5:G95">
    <cfRule type="expression" dxfId="1741" priority="5">
      <formula>AND(ISNUMBER(G5),MOD(G5,1)&lt;&gt;0)</formula>
    </cfRule>
  </conditionalFormatting>
  <conditionalFormatting sqref="R13:R106">
    <cfRule type="expression" dxfId="1740" priority="7">
      <formula>AND(R13&lt;&gt;"",R13=R12)</formula>
    </cfRule>
  </conditionalFormatting>
  <conditionalFormatting sqref="R13:X106">
    <cfRule type="expression" dxfId="1739" priority="8">
      <formula>$X13="Petrol"</formula>
    </cfRule>
  </conditionalFormatting>
  <hyperlinks>
    <hyperlink ref="K1" location="Index!A1" display="→ Index" xr:uid="{4446DD9B-4F3B-0D40-98C0-934272A32B50}"/>
  </hyperlinks>
  <printOptions horizontalCentered="1"/>
  <pageMargins left="0.25" right="0.25" top="0.25" bottom="1.35" header="0" footer="0.2"/>
  <pageSetup paperSize="9" scale="96" fitToHeight="0" orientation="portrait" r:id="rId1"/>
  <headerFooter>
    <oddFooter>&amp;R&amp;G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BDEE-CAC0-C942-AE84-BC46BE4A31F5}">
  <sheetPr codeName="Sheet14">
    <pageSetUpPr fitToPage="1"/>
  </sheetPr>
  <dimension ref="A1:X106"/>
  <sheetViews>
    <sheetView zoomScale="130" zoomScaleNormal="13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6640625" customWidth="1"/>
    <col min="3" max="3" width="9.5" customWidth="1"/>
    <col min="4" max="4" width="18.33203125" customWidth="1"/>
    <col min="5" max="5" width="17.1640625" customWidth="1"/>
    <col min="6" max="6" width="14.5" customWidth="1"/>
    <col min="7" max="7" width="19.164062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20.1640625" customWidth="1"/>
    <col min="21" max="21" width="12.5" customWidth="1"/>
    <col min="22" max="22" width="11.6640625" customWidth="1"/>
    <col min="23" max="23" width="14" customWidth="1"/>
    <col min="24" max="24" width="13.83203125" customWidth="1"/>
  </cols>
  <sheetData>
    <row r="1" spans="1:24" ht="34" customHeight="1" x14ac:dyDescent="0.2">
      <c r="A1" s="521" t="s">
        <v>1189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2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55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Paid],MasterPaid[Customer],$K$29,MasterPaid[Date],$A5)</f>
        <v>0</v>
      </c>
      <c r="F5" s="42"/>
      <c r="G5" s="57">
        <f>IFERROR(INDEX(Outstanding!$N$4:$Z$69,MATCH($K$3,Outstanding!$M$4:$M$66,0),MATCH($A$5,Outstanding!$N$3:$Z$3,0)),0)</f>
        <v>59844.65</v>
      </c>
      <c r="H5" s="20"/>
      <c r="I5" s="58">
        <f>G5+SUM(D5:D53)-SUM(E5:E53)</f>
        <v>-1231.3499999999985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x14ac:dyDescent="0.25">
      <c r="A6" s="71" cm="1">
        <f t="array" ref="A6">IFERROR(INDEX(_xlfn.ANCHORARRAY($K$6),ROW()-5,1),"")</f>
        <v>46254</v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0</v>
      </c>
      <c r="E6" s="61">
        <f>IF($H6="TOTAL",0,IF($A6="",0,IF(COUNTIF($A$6:$A6,$A6)=1,SUMIFS(MasterPaid[Amount Paid],MasterPaid[Customer],$K$3,MasterPaid[Date],$A6),0)))</f>
        <v>61076</v>
      </c>
      <c r="F6" s="62" t="str" cm="1">
        <f t="array" ref="F6">IFERROR(INDEX(_xlfn.ANCHORARRAY($K$6),ROW()-5,2),"")</f>
        <v/>
      </c>
      <c r="G6" s="57">
        <f>IF($H6="TOTAL",IFERROR(LOOKUP(9.99E+307,$G$5:$G5),""),IF($A6="","",G5+N(D6)-N(E6)))</f>
        <v>-1231.3499999999985</v>
      </c>
      <c r="H6" s="20"/>
      <c r="I6" s="20"/>
      <c r="J6" s="20"/>
      <c r="K6" cm="1">
        <f t="array" ref="K6:L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46254</v>
      </c>
      <c r="L6" t="str"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SAPNA BUILDERS AND SUPPLIERS</v>
      </c>
      <c r="R9" s="44"/>
      <c r="S9" s="44"/>
      <c r="T9" s="44"/>
      <c r="U9" s="45"/>
      <c r="V9" s="45"/>
      <c r="W9" s="46" t="s">
        <v>1282</v>
      </c>
      <c r="X9" s="47">
        <f ca="1">X8</f>
        <v>46262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customHeight="1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155"/>
      <c r="T13" s="155"/>
      <c r="U13" s="155"/>
      <c r="V13" s="155"/>
      <c r="W13" s="200"/>
      <c r="X13" s="155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64"/>
      <c r="S14" s="155"/>
      <c r="T14" s="155"/>
      <c r="U14" s="155"/>
      <c r="V14" s="155"/>
      <c r="W14" s="200"/>
      <c r="X14" s="155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1.75" customHeight="1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31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80"/>
      <c r="R39" s="181"/>
      <c r="S39" s="182"/>
      <c r="T39" s="182"/>
      <c r="U39" s="182"/>
      <c r="V39" s="183"/>
      <c r="W39" s="185"/>
      <c r="X39" s="182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20"/>
      <c r="I47" s="20"/>
      <c r="J47" s="20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184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184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184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184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184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184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184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184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184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184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184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184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2"/>
      <c r="S81" s="53"/>
      <c r="T81" s="53"/>
      <c r="U81" s="53"/>
      <c r="V81" s="70"/>
      <c r="W81" s="184"/>
      <c r="X81" s="53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2"/>
      <c r="S82" s="53"/>
      <c r="T82" s="53"/>
      <c r="U82" s="53"/>
      <c r="V82" s="70"/>
      <c r="W82" s="184"/>
      <c r="X82" s="53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2"/>
      <c r="S83" s="53"/>
      <c r="T83" s="53"/>
      <c r="U83" s="53"/>
      <c r="V83" s="70"/>
      <c r="W83" s="184"/>
      <c r="X83" s="53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2"/>
      <c r="S84" s="53"/>
      <c r="T84" s="53"/>
      <c r="U84" s="53"/>
      <c r="V84" s="70"/>
      <c r="W84" s="184"/>
      <c r="X84" s="53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2"/>
      <c r="S85" s="53"/>
      <c r="T85" s="53"/>
      <c r="U85" s="53"/>
      <c r="V85" s="70"/>
      <c r="W85" s="184"/>
      <c r="X85" s="53"/>
    </row>
    <row r="86" spans="1:24" ht="23" x14ac:dyDescent="0.25">
      <c r="A86" s="68"/>
      <c r="B86" s="40"/>
      <c r="C86" s="40"/>
      <c r="D86" s="40"/>
      <c r="E86" s="41"/>
      <c r="F86" s="42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52"/>
      <c r="S86" s="53"/>
      <c r="T86" s="53"/>
      <c r="U86" s="53"/>
      <c r="V86" s="70"/>
      <c r="W86" s="184"/>
      <c r="X86" s="53"/>
    </row>
    <row r="87" spans="1:24" ht="23" x14ac:dyDescent="0.25">
      <c r="A87" s="68"/>
      <c r="B87" s="40"/>
      <c r="C87" s="40"/>
      <c r="D87" s="40"/>
      <c r="E87" s="41"/>
      <c r="F87" s="42"/>
      <c r="G87" s="39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52"/>
      <c r="S87" s="53"/>
      <c r="T87" s="53"/>
      <c r="U87" s="53"/>
      <c r="V87" s="70"/>
      <c r="W87" s="184"/>
      <c r="X87" s="53"/>
    </row>
    <row r="88" spans="1:24" ht="23" x14ac:dyDescent="0.25">
      <c r="A88" s="68"/>
      <c r="B88" s="40"/>
      <c r="C88" s="40"/>
      <c r="D88" s="40"/>
      <c r="E88" s="41"/>
      <c r="F88" s="42"/>
      <c r="G88" s="39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52"/>
      <c r="S88" s="53"/>
      <c r="T88" s="53"/>
      <c r="U88" s="53"/>
      <c r="V88" s="70"/>
      <c r="W88" s="184"/>
      <c r="X88" s="53"/>
    </row>
    <row r="89" spans="1:24" ht="23" x14ac:dyDescent="0.25">
      <c r="A89" s="68"/>
      <c r="B89" s="40"/>
      <c r="C89" s="40"/>
      <c r="D89" s="40"/>
      <c r="E89" s="41"/>
      <c r="F89" s="42"/>
      <c r="G89" s="39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52"/>
      <c r="S89" s="53"/>
      <c r="T89" s="53"/>
      <c r="U89" s="53"/>
      <c r="V89" s="70"/>
      <c r="W89" s="184"/>
      <c r="X89" s="53"/>
    </row>
    <row r="90" spans="1:24" ht="23" x14ac:dyDescent="0.25">
      <c r="A90" s="68"/>
      <c r="B90" s="40"/>
      <c r="C90" s="40"/>
      <c r="D90" s="40"/>
      <c r="E90" s="41"/>
      <c r="F90" s="42"/>
      <c r="G90" s="39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201"/>
      <c r="X90" s="17"/>
    </row>
    <row r="91" spans="1:24" x14ac:dyDescent="0.2">
      <c r="B91" s="7"/>
      <c r="C91" s="7"/>
      <c r="D91" s="7"/>
      <c r="E91" s="8"/>
      <c r="G91" s="10"/>
      <c r="W91" s="206"/>
    </row>
    <row r="92" spans="1:24" x14ac:dyDescent="0.2">
      <c r="B92" s="7"/>
      <c r="C92" s="7"/>
      <c r="D92" s="7"/>
      <c r="E92" s="8"/>
      <c r="G92" s="10"/>
      <c r="W92" s="206"/>
    </row>
    <row r="93" spans="1:24" x14ac:dyDescent="0.2">
      <c r="B93" s="7"/>
      <c r="C93" s="7"/>
      <c r="D93" s="7"/>
      <c r="E93" s="9"/>
      <c r="G93" s="10"/>
      <c r="W93" s="206"/>
    </row>
    <row r="94" spans="1:24" x14ac:dyDescent="0.2">
      <c r="B94" s="7"/>
      <c r="C94" s="7"/>
      <c r="D94" s="7"/>
      <c r="E94" s="9"/>
      <c r="G94" s="10"/>
      <c r="W94" s="206"/>
    </row>
    <row r="95" spans="1:24" x14ac:dyDescent="0.2">
      <c r="B95" s="7"/>
      <c r="C95" s="7"/>
      <c r="D95" s="7"/>
      <c r="E95" s="9"/>
      <c r="G95" s="10"/>
      <c r="W95" s="206"/>
    </row>
    <row r="96" spans="1:24" x14ac:dyDescent="0.2">
      <c r="W96" s="206"/>
    </row>
    <row r="97" spans="17:24" x14ac:dyDescent="0.2">
      <c r="W97" s="206"/>
    </row>
    <row r="98" spans="17:24" x14ac:dyDescent="0.2">
      <c r="W98" s="206"/>
    </row>
    <row r="99" spans="17:24" x14ac:dyDescent="0.2">
      <c r="W99" s="206"/>
    </row>
    <row r="100" spans="17:24" x14ac:dyDescent="0.2">
      <c r="W100" s="206"/>
    </row>
    <row r="101" spans="17:24" x14ac:dyDescent="0.2">
      <c r="W101" s="206"/>
    </row>
    <row r="102" spans="17:24" x14ac:dyDescent="0.2">
      <c r="W102" s="206"/>
    </row>
    <row r="103" spans="17:24" x14ac:dyDescent="0.2">
      <c r="W103" s="206"/>
    </row>
    <row r="104" spans="17:24" x14ac:dyDescent="0.2">
      <c r="W104" s="206"/>
    </row>
    <row r="105" spans="17:24" x14ac:dyDescent="0.2">
      <c r="W105" s="206"/>
    </row>
    <row r="106" spans="17:24" x14ac:dyDescent="0.2">
      <c r="Q106" s="208"/>
      <c r="R106" s="208"/>
      <c r="S106" s="208"/>
      <c r="T106" s="208"/>
      <c r="U106" s="208"/>
      <c r="V106" s="208"/>
      <c r="W106" s="209"/>
      <c r="X106" s="208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38" priority="14">
      <formula>AND($A6&lt;&gt;"",$A6=$A5)</formula>
    </cfRule>
  </conditionalFormatting>
  <conditionalFormatting sqref="A6:A85">
    <cfRule type="expression" dxfId="1737" priority="10">
      <formula>$A6=$A5</formula>
    </cfRule>
  </conditionalFormatting>
  <conditionalFormatting sqref="B5:D92">
    <cfRule type="expression" dxfId="1736" priority="3">
      <formula>$F5="PETROL"</formula>
    </cfRule>
  </conditionalFormatting>
  <conditionalFormatting sqref="B5:D95">
    <cfRule type="expression" dxfId="1735" priority="5">
      <formula>AND(ISNUMBER(B5),MOD(B5,1)&lt;&gt;0)</formula>
    </cfRule>
  </conditionalFormatting>
  <conditionalFormatting sqref="B7:G60">
    <cfRule type="expression" dxfId="1734" priority="13">
      <formula>$H7="TOTAL"</formula>
    </cfRule>
  </conditionalFormatting>
  <conditionalFormatting sqref="E5:E95">
    <cfRule type="expression" dxfId="1733" priority="8">
      <formula>AND(ISNUMBER(E5),MOD(E5,1)&lt;&gt;0)</formula>
    </cfRule>
  </conditionalFormatting>
  <conditionalFormatting sqref="F5:F92">
    <cfRule type="expression" dxfId="1732" priority="4">
      <formula>$F5="PETROL"</formula>
    </cfRule>
  </conditionalFormatting>
  <conditionalFormatting sqref="G5:G95">
    <cfRule type="expression" dxfId="1731" priority="9">
      <formula>AND(ISNUMBER(G5),MOD(G5,1)&lt;&gt;0)</formula>
    </cfRule>
  </conditionalFormatting>
  <conditionalFormatting sqref="R13:R94">
    <cfRule type="expression" dxfId="1730" priority="11">
      <formula>AND(R13&lt;&gt;"",R13=R12)</formula>
    </cfRule>
  </conditionalFormatting>
  <conditionalFormatting sqref="R13:X94">
    <cfRule type="expression" dxfId="1729" priority="12">
      <formula>$X13="Petrol"</formula>
    </cfRule>
  </conditionalFormatting>
  <hyperlinks>
    <hyperlink ref="K1" location="Index!A1" display="→ Index" xr:uid="{C67C5059-3DBD-914C-AEFA-6CBDC07D9A6E}"/>
  </hyperlinks>
  <pageMargins left="0.25" right="0.25" top="0.25" bottom="1.35" header="0" footer="0.2"/>
  <pageSetup paperSize="9" scale="94" fitToHeight="0" orientation="portrait" r:id="rId1"/>
  <headerFooter>
    <oddFooter>&amp;R&amp;G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E506-4A61-934A-9AC7-8BE96D9555A5}">
  <sheetPr codeName="Sheet15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2.83203125" customWidth="1"/>
    <col min="3" max="3" width="11" customWidth="1"/>
    <col min="4" max="4" width="16.33203125" customWidth="1"/>
    <col min="5" max="5" width="17.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5" customWidth="1"/>
    <col min="21" max="21" width="13.6640625" customWidth="1"/>
    <col min="22" max="22" width="11.6640625" customWidth="1"/>
    <col min="23" max="23" width="13" customWidth="1"/>
    <col min="24" max="24" width="13.83203125" customWidth="1"/>
  </cols>
  <sheetData>
    <row r="1" spans="1:24" ht="29" customHeight="1" x14ac:dyDescent="0.2">
      <c r="A1" s="521" t="s">
        <v>257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257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Paid],MasterPaid[Customer],$K$21,MasterPaid[Date],$A5)</f>
        <v>0</v>
      </c>
      <c r="F5" s="38"/>
      <c r="G5" s="57">
        <f>IFERROR(INDEX(Outstanding!$N$4:$Z$69,MATCH($K$3,Outstanding!$M$4:$M$66,0),MATCH($A$5,Outstanding!$N$3:$Z$3,0)),0)</f>
        <v>168207.63</v>
      </c>
      <c r="H5" s="20"/>
      <c r="I5" s="58">
        <f>G5+SUM(D5:D45)-SUM(E5:E45)</f>
        <v>20582.059999999998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316.77999999999997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31909.73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200117.36000000002</v>
      </c>
      <c r="H6" s="20"/>
      <c r="I6" s="20"/>
      <c r="J6" s="20"/>
      <c r="K6" cm="1">
        <f t="array" ref="K6:L15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903.38000000000022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91000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291117.36</v>
      </c>
      <c r="H7" s="20"/>
      <c r="I7" s="20"/>
      <c r="J7" s="20"/>
      <c r="K7" s="17">
        <v>46236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46238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1046.4100000000001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105412.34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396529.69999999995</v>
      </c>
      <c r="H8" s="20"/>
      <c r="I8" s="20"/>
      <c r="J8" s="20"/>
      <c r="K8" s="17">
        <v>46238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46239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511.40000000000009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51514.8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448044.49999999994</v>
      </c>
      <c r="H9" s="20"/>
      <c r="I9" s="20"/>
      <c r="J9" s="20"/>
      <c r="K9" s="17">
        <v>46239</v>
      </c>
      <c r="L9" s="17" t="str">
        <v>DIESEL</v>
      </c>
      <c r="M9" s="17"/>
      <c r="N9" s="17"/>
      <c r="O9" s="17"/>
      <c r="P9" s="17"/>
      <c r="Q9" s="63" t="str">
        <f>K3</f>
        <v>Radhe Shyam Mining</v>
      </c>
      <c r="R9" s="44"/>
      <c r="S9" s="44"/>
      <c r="T9" s="44"/>
      <c r="U9" s="45"/>
      <c r="V9" s="45"/>
      <c r="W9" s="46" t="s">
        <v>1282</v>
      </c>
      <c r="X9" s="47">
        <v>46261</v>
      </c>
    </row>
    <row r="10" spans="1:24" ht="21.75" x14ac:dyDescent="0.25">
      <c r="A10" s="71" cm="1">
        <f t="array" ref="A10">IFERROR(INDEX(_xlfn.ANCHORARRAY($K$6),ROW()-5,1),"")</f>
        <v>46240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505.74000000000007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50945.009999999995</v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498989.50999999995</v>
      </c>
      <c r="H10" s="20"/>
      <c r="I10" s="20"/>
      <c r="J10" s="20"/>
      <c r="K10" s="17">
        <v>46240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46252</v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0</v>
      </c>
      <c r="E11" s="61">
        <f>IF($H11="TOTAL",SUM($E$6:$E10)-SUMIF($H$6:$H10,"TOTAL",$E$6:$E10),IF($A11="",0,IF(COUNTIF($A$6:$A11,$A11)=1,SUMIFS(MasterPaid[Amount Paid],MasterPaid[Customer],$K$3,MasterPaid[Date],$A11),0)))</f>
        <v>498989.51</v>
      </c>
      <c r="F11" s="62" t="str" cm="1">
        <f t="array" ref="F11">IFERROR(INDEX(_xlfn.ANCHORARRAY($K$6),ROW()-5,2),"")</f>
        <v/>
      </c>
      <c r="G11" s="57">
        <f>IF($H11="TOTAL",IFERROR(LOOKUP(9.99E+307,$G$6:$G10),""),IF($A11="","",G10+N(D11)-N(E11)))</f>
        <v>-5.8207660913467407E-11</v>
      </c>
      <c r="H11" s="20"/>
      <c r="I11" s="20"/>
      <c r="J11" s="20"/>
      <c r="K11" s="17">
        <v>46252</v>
      </c>
      <c r="L11" s="17" t="str">
        <v/>
      </c>
      <c r="M11" s="17"/>
      <c r="N11" s="17"/>
      <c r="O11" s="17"/>
      <c r="P11" s="17"/>
      <c r="Q11" s="199" t="str">
        <f>IFERROR(_xlfn.XLOOKUP($K$3,'Customer GST'!$A:$A,'Customer GST'!$B:$B,""),"")</f>
        <v>GSTIN:21CNQPB5660J2ZX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46256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54.6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5500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5499.9999999999418</v>
      </c>
      <c r="H12" s="20"/>
      <c r="I12" s="20"/>
      <c r="J12" s="20"/>
      <c r="K12" s="17">
        <v>46256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46256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11.01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109.01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1200.2</v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>PETROL</v>
      </c>
      <c r="G13" s="57">
        <f>IF($H13="TOTAL",IFERROR(LOOKUP(9.99E+307,$G$6:$G12),""),IF($A13="","",G12+N(D13)-N(E13)))</f>
        <v>6700.1999999999416</v>
      </c>
      <c r="H13" s="20"/>
      <c r="I13" s="20"/>
      <c r="J13" s="20"/>
      <c r="K13" s="17">
        <v>46256</v>
      </c>
      <c r="L13" s="17" t="str">
        <v>PETROL</v>
      </c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cm="1">
        <f t="array" ref="A14">IFERROR(INDEX(_xlfn.ANCHORARRAY($K$6),ROW()-5,1),"")</f>
        <v>46257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48.46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4881.8599999999997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11582.059999999941</v>
      </c>
      <c r="H14" s="20"/>
      <c r="I14" s="20"/>
      <c r="J14" s="20"/>
      <c r="K14" s="17">
        <v>46257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46261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89.34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9000</v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20582.059999999939</v>
      </c>
      <c r="H15" s="20"/>
      <c r="I15" s="20"/>
      <c r="J15" s="20"/>
      <c r="K15" s="17">
        <v>46261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customHeight="1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31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80"/>
      <c r="R26" s="181"/>
      <c r="S26" s="182"/>
      <c r="T26" s="182"/>
      <c r="U26" s="182"/>
      <c r="V26" s="183"/>
      <c r="W26" s="185"/>
      <c r="X26" s="182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80"/>
      <c r="R27" s="181"/>
      <c r="S27" s="182"/>
      <c r="T27" s="182"/>
      <c r="U27" s="182"/>
      <c r="V27" s="183"/>
      <c r="W27" s="185"/>
      <c r="X27" s="182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80"/>
      <c r="R28" s="181"/>
      <c r="S28" s="182"/>
      <c r="T28" s="182"/>
      <c r="U28" s="182"/>
      <c r="V28" s="183"/>
      <c r="W28" s="185"/>
      <c r="X28" s="182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80"/>
      <c r="R29" s="181"/>
      <c r="S29" s="182"/>
      <c r="T29" s="182"/>
      <c r="U29" s="182"/>
      <c r="V29" s="183"/>
      <c r="W29" s="185"/>
      <c r="X29" s="182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80"/>
      <c r="R31" s="181"/>
      <c r="S31" s="182"/>
      <c r="T31" s="182"/>
      <c r="U31" s="182"/>
      <c r="V31" s="183"/>
      <c r="W31" s="185"/>
      <c r="X31" s="182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70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70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70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70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70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184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80"/>
      <c r="R54" s="181"/>
      <c r="S54" s="182"/>
      <c r="T54" s="182"/>
      <c r="U54" s="182"/>
      <c r="V54" s="183"/>
      <c r="W54" s="185"/>
      <c r="X54" s="182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80"/>
      <c r="R66" s="181"/>
      <c r="S66" s="182"/>
      <c r="T66" s="182"/>
      <c r="U66" s="182"/>
      <c r="V66" s="183"/>
      <c r="W66" s="185"/>
      <c r="X66" s="182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69"/>
      <c r="V67" s="70"/>
      <c r="W67" s="69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69"/>
      <c r="V68" s="70"/>
      <c r="W68" s="69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69"/>
      <c r="V69" s="70"/>
      <c r="W69" s="69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69"/>
      <c r="V70" s="70"/>
      <c r="W70" s="69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69"/>
      <c r="V71" s="70"/>
      <c r="W71" s="69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69"/>
      <c r="V72" s="70"/>
      <c r="W72" s="69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69"/>
      <c r="V73" s="70"/>
      <c r="W73" s="69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69"/>
      <c r="V74" s="70"/>
      <c r="W74" s="69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69"/>
      <c r="V75" s="70"/>
      <c r="W75" s="69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69"/>
      <c r="V76" s="70"/>
      <c r="W76" s="69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69"/>
      <c r="V77" s="70"/>
      <c r="W77" s="69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69"/>
      <c r="V78" s="70"/>
      <c r="W78" s="69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69"/>
      <c r="V79" s="70"/>
      <c r="W79" s="69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28" priority="14">
      <formula>AND($A6&lt;&gt;"",$A6=$A5)</formula>
    </cfRule>
  </conditionalFormatting>
  <conditionalFormatting sqref="A6:A85">
    <cfRule type="expression" dxfId="1727" priority="10">
      <formula>$A6=$A5</formula>
    </cfRule>
  </conditionalFormatting>
  <conditionalFormatting sqref="B5:D92">
    <cfRule type="expression" dxfId="1726" priority="3">
      <formula>$F5="PETROL"</formula>
    </cfRule>
  </conditionalFormatting>
  <conditionalFormatting sqref="B5:D95">
    <cfRule type="expression" dxfId="1725" priority="5">
      <formula>AND(ISNUMBER(B5),MOD(B5,1)&lt;&gt;0)</formula>
    </cfRule>
  </conditionalFormatting>
  <conditionalFormatting sqref="B7:G60">
    <cfRule type="expression" dxfId="1724" priority="13">
      <formula>$H7="TOTAL"</formula>
    </cfRule>
  </conditionalFormatting>
  <conditionalFormatting sqref="E5:E95">
    <cfRule type="expression" dxfId="1723" priority="8">
      <formula>AND(ISNUMBER(E5),MOD(E5,1)&lt;&gt;0)</formula>
    </cfRule>
  </conditionalFormatting>
  <conditionalFormatting sqref="F5:F92">
    <cfRule type="expression" dxfId="1722" priority="4">
      <formula>$F5="PETROL"</formula>
    </cfRule>
  </conditionalFormatting>
  <conditionalFormatting sqref="G5:G95">
    <cfRule type="expression" dxfId="1721" priority="9">
      <formula>AND(ISNUMBER(G5),MOD(G5,1)&lt;&gt;0)</formula>
    </cfRule>
  </conditionalFormatting>
  <conditionalFormatting sqref="R13:R94">
    <cfRule type="expression" dxfId="1720" priority="11">
      <formula>AND(R13&lt;&gt;"",R13=R12)</formula>
    </cfRule>
  </conditionalFormatting>
  <conditionalFormatting sqref="R13:X94">
    <cfRule type="expression" dxfId="1719" priority="12">
      <formula>$X13="Petrol"</formula>
    </cfRule>
  </conditionalFormatting>
  <hyperlinks>
    <hyperlink ref="K1" location="Index!A1" display="→ Index" xr:uid="{F2FFA3BA-1896-C348-8C77-4A8567F3E1B2}"/>
  </hyperlinks>
  <printOptions horizontalCentered="1"/>
  <pageMargins left="0.25" right="0.25" top="0.25" bottom="1.35" header="0" footer="0.5"/>
  <pageSetup paperSize="9" scale="98" orientation="portrait" r:id="rId1"/>
  <drawing r:id="rId2"/>
  <legacyDrawingHF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5FE69-6734-9F4E-B27F-EA84CD00953D}">
  <sheetPr codeName="Sheet16">
    <pageSetUpPr fitToPage="1"/>
  </sheetPr>
  <dimension ref="A1:X95"/>
  <sheetViews>
    <sheetView zoomScale="130" zoomScaleNormal="13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1640625" customWidth="1"/>
    <col min="3" max="3" width="10.6640625" customWidth="1"/>
    <col min="4" max="4" width="15.5" customWidth="1"/>
    <col min="5" max="5" width="18" customWidth="1"/>
    <col min="6" max="6" width="14.33203125" customWidth="1"/>
    <col min="7" max="7" width="20.1640625" customWidth="1"/>
    <col min="8" max="8" width="31" customWidth="1"/>
    <col min="9" max="9" width="18.33203125" customWidth="1"/>
    <col min="17" max="17" width="0.33203125" customWidth="1"/>
    <col min="18" max="18" width="12.6640625" customWidth="1"/>
    <col min="19" max="19" width="12.5" customWidth="1"/>
    <col min="20" max="20" width="16.5" customWidth="1"/>
    <col min="21" max="21" width="12.6640625" customWidth="1"/>
    <col min="22" max="22" width="11.6640625" customWidth="1"/>
    <col min="23" max="23" width="13" customWidth="1"/>
    <col min="24" max="24" width="13.83203125" customWidth="1"/>
  </cols>
  <sheetData>
    <row r="1" spans="1:24" ht="32" customHeight="1" x14ac:dyDescent="0.2">
      <c r="A1" s="521" t="s">
        <v>103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103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Paid],MasterPaid[Customer],$K$24,MasterPaid[Date],$A5)</f>
        <v>0</v>
      </c>
      <c r="F5" s="75"/>
      <c r="G5" s="57">
        <f>IFERROR(INDEX(Outstanding!$N$4:$Z$69,MATCH($K$3,Outstanding!$M$4:$M$66,0),MATCH($A$5,Outstanding!$N$3:$Z$3,0)),0)</f>
        <v>31569.65</v>
      </c>
      <c r="H5" s="20"/>
      <c r="I5" s="58">
        <f>G5+SUM(D5:D49)-SUM(E5:E49)</f>
        <v>30330.020000000004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46239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32.090000000000003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109.01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3498.13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PETROL</v>
      </c>
      <c r="G6" s="57">
        <f>IF($H6="TOTAL",IFERROR(LOOKUP(9.99E+307,$G$5:$G5),""),IF($A6="","",G5+N(D6)-N(E6)))</f>
        <v>35067.78</v>
      </c>
      <c r="H6" s="20"/>
      <c r="I6" s="20"/>
      <c r="J6" s="20"/>
      <c r="K6" cm="1">
        <f t="array" ref="K6:L12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46239</v>
      </c>
      <c r="L6" t="str">
        <v>PETROL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71" cm="1">
        <f t="array" ref="A7">IFERROR(INDEX(_xlfn.ANCHORARRAY($K$6),ROW()-5,1),"")</f>
        <v>46240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38.92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109.01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4242.66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PETROL</v>
      </c>
      <c r="G7" s="57">
        <f>IF($H7="TOTAL",IFERROR(LOOKUP(9.99E+307,$G$6:$G6),""),IF($A7="","",G6+N(D7)-N(E7)))</f>
        <v>39310.44</v>
      </c>
      <c r="H7" s="20"/>
      <c r="I7" s="20"/>
      <c r="J7" s="20"/>
      <c r="K7" s="17">
        <v>46240</v>
      </c>
      <c r="L7" s="17" t="str">
        <v>PETROL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customHeight="1" x14ac:dyDescent="0.25">
      <c r="A8" s="71" cm="1">
        <f t="array" ref="A8">IFERROR(INDEX(_xlfn.ANCHORARRAY($K$6),ROW()-5,1),"")</f>
        <v>46247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37.43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109.01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4080.24</v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>PETROL</v>
      </c>
      <c r="G8" s="57">
        <f>IF($H8="TOTAL",IFERROR(LOOKUP(9.99E+307,$G$6:$G7),""),IF($A8="","",G7+N(D8)-N(E8)))</f>
        <v>43390.68</v>
      </c>
      <c r="H8" s="20"/>
      <c r="I8" s="20"/>
      <c r="J8" s="20"/>
      <c r="K8" s="17">
        <v>46247</v>
      </c>
      <c r="L8" s="17" t="str">
        <v>PETROL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46251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40.74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109.01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4441.0600000000004</v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PETROL</v>
      </c>
      <c r="G9" s="57">
        <f>IF($H9="TOTAL",IFERROR(LOOKUP(9.99E+307,$G$6:$G8),""),IF($A9="","",G8+N(D9)-N(E9)))</f>
        <v>47831.74</v>
      </c>
      <c r="H9" s="20"/>
      <c r="I9" s="20"/>
      <c r="J9" s="20"/>
      <c r="K9" s="17">
        <v>46251</v>
      </c>
      <c r="L9" s="17" t="str">
        <v>PETROL</v>
      </c>
      <c r="M9" s="17"/>
      <c r="N9" s="17"/>
      <c r="O9" s="17"/>
      <c r="P9" s="17"/>
      <c r="Q9" s="63" t="str">
        <f>K3</f>
        <v>JYOTI RANJAN DASH</v>
      </c>
      <c r="R9" s="44"/>
      <c r="S9" s="44"/>
      <c r="T9" s="44"/>
      <c r="U9" s="45"/>
      <c r="V9" s="45"/>
      <c r="W9" s="46" t="s">
        <v>1282</v>
      </c>
      <c r="X9" s="47">
        <v>46260</v>
      </c>
    </row>
    <row r="10" spans="1:24" ht="21.75" x14ac:dyDescent="0.25">
      <c r="A10" s="71" cm="1">
        <f t="array" ref="A10">IFERROR(INDEX(_xlfn.ANCHORARRAY($K$6),ROW()-5,1),"")</f>
        <v>46253</v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0</v>
      </c>
      <c r="E10" s="61">
        <f>IF($H10="TOTAL",SUM($E$6:$E9)-SUMIF($H$6:$H9,"TOTAL",$E$6:$E9),IF($A10="",0,IF(COUNTIF($A$6:$A10,$A10)=1,SUMIFS(MasterPaid[Amount Paid],MasterPaid[Customer],$K$3,MasterPaid[Date],$A10),0)))</f>
        <v>15805</v>
      </c>
      <c r="F10" s="62" t="str" cm="1">
        <f t="array" ref="F10">IFERROR(INDEX(_xlfn.ANCHORARRAY($K$6),ROW()-5,2),"")</f>
        <v/>
      </c>
      <c r="G10" s="57">
        <f>IF($H10="TOTAL",IFERROR(LOOKUP(9.99E+307,$G$6:$G9),""),IF($A10="","",G9+N(D10)-N(E10)))</f>
        <v>32026.739999999998</v>
      </c>
      <c r="H10" s="20"/>
      <c r="I10" s="20"/>
      <c r="J10" s="20"/>
      <c r="K10" s="17">
        <v>46253</v>
      </c>
      <c r="L10" s="17" t="str">
        <v/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customHeight="1" x14ac:dyDescent="0.25">
      <c r="A11" s="71" cm="1">
        <f t="array" ref="A11">IFERROR(INDEX(_xlfn.ANCHORARRAY($K$6),ROW()-5,1),"")</f>
        <v>46255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36.39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109.01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3966.87</v>
      </c>
      <c r="E11" s="61">
        <f>IF($H11="TOTAL",SUM($E$6:$E10)-SUMIF($H$6:$H10,"TOTAL",$E$6:$E10),IF($A11="",0,IF(COUNTIF($A$6:$A11,$A11)=1,SUMIFS(MasterPaid[Amount Paid],MasterPaid[Customer],$K$3,MasterPaid[Date],$A11),0)))</f>
        <v>10000</v>
      </c>
      <c r="F11" s="62" t="str" cm="1">
        <f t="array" ref="F11">IFERROR(INDEX(_xlfn.ANCHORARRAY($K$6),ROW()-5,2),"")</f>
        <v>PETROL</v>
      </c>
      <c r="G11" s="57">
        <f>IF($H11="TOTAL",IFERROR(LOOKUP(9.99E+307,$G$6:$G10),""),IF($A11="","",G10+N(D11)-N(E11)))</f>
        <v>25993.61</v>
      </c>
      <c r="H11" s="20"/>
      <c r="I11" s="20"/>
      <c r="J11" s="20"/>
      <c r="K11" s="17">
        <v>46255</v>
      </c>
      <c r="L11" s="17" t="str">
        <v>PETROL</v>
      </c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46260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39.78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109.01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4336.41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PETROL</v>
      </c>
      <c r="G12" s="57">
        <f>IF($H12="TOTAL",IFERROR(LOOKUP(9.99E+307,$G$6:$G11),""),IF($A12="","",G11+N(D12)-N(E12)))</f>
        <v>30330.02</v>
      </c>
      <c r="H12" s="20"/>
      <c r="I12" s="17"/>
      <c r="J12" s="17"/>
      <c r="K12" s="17">
        <v>46260</v>
      </c>
      <c r="L12" s="17" t="str">
        <v>PETROL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17"/>
      <c r="J13" s="17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155"/>
      <c r="T13" s="155"/>
      <c r="U13" s="155"/>
      <c r="V13" s="155"/>
      <c r="W13" s="200"/>
      <c r="X13" s="155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17"/>
      <c r="J14" s="17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customHeight="1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80"/>
      <c r="R21" s="181"/>
      <c r="S21" s="182"/>
      <c r="T21" s="182"/>
      <c r="U21" s="182"/>
      <c r="V21" s="183"/>
      <c r="W21" s="185"/>
      <c r="X21" s="182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80"/>
      <c r="R22" s="181"/>
      <c r="S22" s="182"/>
      <c r="T22" s="182"/>
      <c r="U22" s="182"/>
      <c r="V22" s="183"/>
      <c r="W22" s="185"/>
      <c r="X22" s="182"/>
    </row>
    <row r="23" spans="1:24" ht="21.75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80"/>
      <c r="R23" s="181"/>
      <c r="S23" s="182"/>
      <c r="T23" s="182"/>
      <c r="U23" s="182"/>
      <c r="V23" s="183"/>
      <c r="W23" s="185"/>
      <c r="X23" s="182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31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1.75" customHeight="1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80"/>
      <c r="R35" s="181"/>
      <c r="S35" s="182"/>
      <c r="T35" s="182"/>
      <c r="U35" s="182"/>
      <c r="V35" s="183"/>
      <c r="W35" s="185"/>
      <c r="X35" s="182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69"/>
      <c r="V36" s="70"/>
      <c r="W36" s="69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69"/>
      <c r="V37" s="70"/>
      <c r="W37" s="69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69"/>
      <c r="V38" s="70"/>
      <c r="W38" s="69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69"/>
      <c r="V39" s="70"/>
      <c r="W39" s="69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69"/>
      <c r="V40" s="70"/>
      <c r="W40" s="69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69"/>
      <c r="V41" s="70"/>
      <c r="W41" s="69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69"/>
      <c r="V42" s="70"/>
      <c r="W42" s="69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69"/>
      <c r="V43" s="70"/>
      <c r="W43" s="69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69"/>
      <c r="V44" s="70"/>
      <c r="W44" s="69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69"/>
      <c r="V45" s="70"/>
      <c r="W45" s="69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69"/>
      <c r="V46" s="70"/>
      <c r="W46" s="69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69"/>
      <c r="V47" s="70"/>
      <c r="W47" s="69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69"/>
      <c r="V48" s="70"/>
      <c r="W48" s="69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69"/>
      <c r="V49" s="70"/>
      <c r="W49" s="69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69"/>
      <c r="V50" s="70"/>
      <c r="W50" s="69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69"/>
      <c r="V51" s="70"/>
      <c r="W51" s="69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69"/>
      <c r="V52" s="70"/>
      <c r="W52" s="69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69"/>
      <c r="V53" s="70"/>
      <c r="W53" s="69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69"/>
      <c r="V54" s="70"/>
      <c r="W54" s="69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69"/>
      <c r="V55" s="70"/>
      <c r="W55" s="69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69"/>
      <c r="V56" s="70"/>
      <c r="W56" s="69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69"/>
      <c r="V57" s="70"/>
      <c r="W57" s="69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69"/>
      <c r="V58" s="70"/>
      <c r="W58" s="69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69"/>
      <c r="V59" s="70"/>
      <c r="W59" s="69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69"/>
      <c r="V60" s="70"/>
      <c r="W60" s="69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69"/>
      <c r="V61" s="70"/>
      <c r="W61" s="69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69"/>
      <c r="V62" s="70"/>
      <c r="W62" s="69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69"/>
      <c r="V63" s="70"/>
      <c r="W63" s="69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69"/>
      <c r="V64" s="70"/>
      <c r="W64" s="69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69"/>
      <c r="V65" s="70"/>
      <c r="W65" s="69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69"/>
      <c r="V66" s="70"/>
      <c r="W66" s="69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69"/>
      <c r="V67" s="70"/>
      <c r="W67" s="69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69"/>
      <c r="V68" s="70"/>
      <c r="W68" s="69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69"/>
      <c r="V69" s="70"/>
      <c r="W69" s="69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69"/>
      <c r="V70" s="70"/>
      <c r="W70" s="69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69"/>
      <c r="V71" s="70"/>
      <c r="W71" s="69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69"/>
      <c r="V72" s="70"/>
      <c r="W72" s="69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69"/>
      <c r="V73" s="70"/>
      <c r="W73" s="69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69"/>
      <c r="V74" s="70"/>
      <c r="W74" s="69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69"/>
      <c r="V75" s="70"/>
      <c r="W75" s="69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69"/>
      <c r="V76" s="70"/>
      <c r="W76" s="69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69"/>
      <c r="V77" s="70"/>
      <c r="W77" s="69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18" priority="12">
      <formula>AND($A6&lt;&gt;"",$A6=$A5)</formula>
    </cfRule>
  </conditionalFormatting>
  <conditionalFormatting sqref="A6:A85">
    <cfRule type="expression" dxfId="1717" priority="8">
      <formula>$A6=$A5</formula>
    </cfRule>
  </conditionalFormatting>
  <conditionalFormatting sqref="B5:D92">
    <cfRule type="expression" dxfId="1716" priority="3">
      <formula>$F5="PETROL"</formula>
    </cfRule>
  </conditionalFormatting>
  <conditionalFormatting sqref="B5:D95">
    <cfRule type="expression" dxfId="1715" priority="5">
      <formula>AND(ISNUMBER(B5),MOD(B5,1)&lt;&gt;0)</formula>
    </cfRule>
  </conditionalFormatting>
  <conditionalFormatting sqref="B7:G60">
    <cfRule type="expression" dxfId="1714" priority="11">
      <formula>$H7="TOTAL"</formula>
    </cfRule>
  </conditionalFormatting>
  <conditionalFormatting sqref="E5:E95">
    <cfRule type="expression" dxfId="1713" priority="6">
      <formula>AND(ISNUMBER(E5),MOD(E5,1)&lt;&gt;0)</formula>
    </cfRule>
  </conditionalFormatting>
  <conditionalFormatting sqref="F5:F92">
    <cfRule type="expression" dxfId="1712" priority="4">
      <formula>$F5="PETROL"</formula>
    </cfRule>
  </conditionalFormatting>
  <conditionalFormatting sqref="G5:G95">
    <cfRule type="expression" dxfId="1711" priority="7">
      <formula>AND(ISNUMBER(G5),MOD(G5,1)&lt;&gt;0)</formula>
    </cfRule>
  </conditionalFormatting>
  <conditionalFormatting sqref="R13:R94">
    <cfRule type="expression" dxfId="1710" priority="9">
      <formula>AND(R13&lt;&gt;"",R13=R12)</formula>
    </cfRule>
  </conditionalFormatting>
  <conditionalFormatting sqref="R13:X94">
    <cfRule type="expression" dxfId="1709" priority="10">
      <formula>$X13="Petrol"</formula>
    </cfRule>
  </conditionalFormatting>
  <hyperlinks>
    <hyperlink ref="K1" location="Index!A1" display="→ Index" xr:uid="{F4B62D85-8404-D446-84D7-E1AB45F6C67A}"/>
  </hyperlinks>
  <printOptions horizontalCentered="1"/>
  <pageMargins left="0.25" right="0.25" top="0.25" bottom="1.35" header="0" footer="0.5"/>
  <pageSetup paperSize="9" scale="99" orientation="portrait" r:id="rId1"/>
  <drawing r:id="rId2"/>
  <legacyDrawingHF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47A51-BAC9-424D-84DD-01D2C1BB96A9}">
  <sheetPr codeName="Sheet17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2.33203125" customWidth="1"/>
    <col min="3" max="3" width="10.83203125" customWidth="1"/>
    <col min="4" max="4" width="15.5" customWidth="1"/>
    <col min="5" max="5" width="16.332031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5" customWidth="1"/>
    <col min="21" max="21" width="13.1640625" customWidth="1"/>
    <col min="22" max="22" width="11.6640625" customWidth="1"/>
    <col min="23" max="23" width="13.6640625" customWidth="1"/>
    <col min="24" max="24" width="13.83203125" customWidth="1"/>
  </cols>
  <sheetData>
    <row r="1" spans="1:24" ht="29" customHeight="1" x14ac:dyDescent="0.2">
      <c r="A1" s="521" t="s">
        <v>1185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137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Paid],MasterPaid[Customer],$K$5,MasterPaid[Date],$A5)</f>
        <v>0</v>
      </c>
      <c r="F5" s="38"/>
      <c r="G5" s="57">
        <f>IFERROR(INDEX(Outstanding!$N$4:$Z$69,MATCH($K$3,Outstanding!$M$4:$M$66,0),MATCH($A$5,Outstanding!$N$3:$Z$3,0)),0)</f>
        <v>10357.26</v>
      </c>
      <c r="H5" s="20"/>
      <c r="I5" s="58">
        <f>G5+SUM(D5:D45)-SUM(E5:E45)</f>
        <v>15057.78</v>
      </c>
      <c r="J5" s="20"/>
      <c r="K5" s="31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46246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46.66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4700.5200000000004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15057.78</v>
      </c>
      <c r="H6" s="20"/>
      <c r="I6" s="20"/>
      <c r="J6" s="20"/>
      <c r="K6" cm="1">
        <f t="array" ref="K6:L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46246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M/s Shree Balajee Enterprises</v>
      </c>
      <c r="R9" s="44"/>
      <c r="S9" s="44"/>
      <c r="T9" s="44"/>
      <c r="U9" s="45"/>
      <c r="V9" s="45"/>
      <c r="W9" s="46" t="s">
        <v>1282</v>
      </c>
      <c r="X9" s="47">
        <v>46246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GSTIN:21ABZPK7570R1ZM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80"/>
      <c r="R15" s="181"/>
      <c r="S15" s="182"/>
      <c r="T15" s="182"/>
      <c r="U15" s="182"/>
      <c r="V15" s="182"/>
      <c r="W15" s="185"/>
      <c r="X15" s="182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53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53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53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80"/>
      <c r="R19" s="181"/>
      <c r="S19" s="182"/>
      <c r="T19" s="182"/>
      <c r="U19" s="182"/>
      <c r="V19" s="182"/>
      <c r="W19" s="185"/>
      <c r="X19" s="182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53"/>
      <c r="W20" s="53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53"/>
      <c r="W21" s="53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53"/>
      <c r="W22" s="53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53"/>
      <c r="W23" s="53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53"/>
      <c r="W24" s="53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53"/>
      <c r="W25" s="53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53"/>
      <c r="W26" s="53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53"/>
      <c r="W27" s="53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53"/>
      <c r="W28" s="53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53"/>
      <c r="W29" s="53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53"/>
      <c r="W30" s="53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53"/>
      <c r="W31" s="53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53"/>
      <c r="W32" s="53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53"/>
      <c r="W33" s="53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53"/>
      <c r="W34" s="53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53"/>
      <c r="W35" s="53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53"/>
      <c r="W36" s="53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53"/>
      <c r="W37" s="53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53"/>
      <c r="W38" s="53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53"/>
      <c r="W39" s="53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53"/>
      <c r="W40" s="53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53"/>
      <c r="W41" s="53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53"/>
      <c r="W42" s="53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53"/>
      <c r="W43" s="53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53"/>
      <c r="W44" s="53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53"/>
      <c r="W45" s="53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53"/>
      <c r="W46" s="53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53"/>
      <c r="W47" s="53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53"/>
      <c r="W48" s="53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53"/>
      <c r="W49" s="53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53"/>
      <c r="W50" s="53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53"/>
      <c r="W51" s="53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53"/>
      <c r="W52" s="53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53"/>
      <c r="W53" s="53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53"/>
      <c r="W54" s="53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53"/>
      <c r="W55" s="53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53"/>
      <c r="W56" s="53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53"/>
      <c r="W57" s="53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53"/>
      <c r="W58" s="53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53"/>
      <c r="W59" s="53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53"/>
      <c r="W60" s="53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708" priority="14">
      <formula>AND($A6&lt;&gt;"",$A6=$A5)</formula>
    </cfRule>
  </conditionalFormatting>
  <conditionalFormatting sqref="A6:A85">
    <cfRule type="expression" dxfId="1707" priority="10">
      <formula>$A6=$A5</formula>
    </cfRule>
  </conditionalFormatting>
  <conditionalFormatting sqref="B5:D92">
    <cfRule type="expression" dxfId="1706" priority="3">
      <formula>$F5="PETROL"</formula>
    </cfRule>
  </conditionalFormatting>
  <conditionalFormatting sqref="B5:D95">
    <cfRule type="expression" dxfId="1705" priority="5">
      <formula>AND(ISNUMBER(B5),MOD(B5,1)&lt;&gt;0)</formula>
    </cfRule>
  </conditionalFormatting>
  <conditionalFormatting sqref="B7:G60">
    <cfRule type="expression" dxfId="1704" priority="13">
      <formula>$H7="TOTAL"</formula>
    </cfRule>
  </conditionalFormatting>
  <conditionalFormatting sqref="E5:E95">
    <cfRule type="expression" dxfId="1703" priority="8">
      <formula>AND(ISNUMBER(E5),MOD(E5,1)&lt;&gt;0)</formula>
    </cfRule>
  </conditionalFormatting>
  <conditionalFormatting sqref="F5:F92">
    <cfRule type="expression" dxfId="1702" priority="4">
      <formula>$F5="PETROL"</formula>
    </cfRule>
  </conditionalFormatting>
  <conditionalFormatting sqref="G5:G95">
    <cfRule type="expression" dxfId="1701" priority="9">
      <formula>AND(ISNUMBER(G5),MOD(G5,1)&lt;&gt;0)</formula>
    </cfRule>
  </conditionalFormatting>
  <conditionalFormatting sqref="R13:R94">
    <cfRule type="expression" dxfId="1700" priority="11">
      <formula>AND(R13&lt;&gt;"",R13=R12)</formula>
    </cfRule>
  </conditionalFormatting>
  <conditionalFormatting sqref="R13:X94">
    <cfRule type="expression" dxfId="1699" priority="12">
      <formula>$X13="Petrol"</formula>
    </cfRule>
  </conditionalFormatting>
  <hyperlinks>
    <hyperlink ref="K1" location="Index!A1" display="→ Index" xr:uid="{649603B2-2CC0-2A43-A83C-52488FA506A8}"/>
  </hyperlinks>
  <printOptions horizontalCentered="1"/>
  <pageMargins left="0.25" right="0.25" top="0.25" bottom="1.35" header="0" footer="0.5"/>
  <pageSetup paperSize="9" scale="98" orientation="portrait" r:id="rId1"/>
  <drawing r:id="rId2"/>
  <legacyDrawingHF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EF50E-BA47-5A4E-B0BE-C2EC620E7011}">
  <sheetPr codeName="Sheet19">
    <pageSetUpPr fitToPage="1"/>
  </sheetPr>
  <dimension ref="A1:X95"/>
  <sheetViews>
    <sheetView topLeftCell="D1"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6640625" customWidth="1"/>
    <col min="3" max="3" width="10.83203125" customWidth="1"/>
    <col min="4" max="4" width="16.33203125" customWidth="1"/>
    <col min="5" max="5" width="16.1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83203125" customWidth="1"/>
    <col min="21" max="21" width="13.1640625" customWidth="1"/>
    <col min="22" max="22" width="11.6640625" customWidth="1"/>
    <col min="23" max="23" width="12.83203125" customWidth="1"/>
    <col min="24" max="24" width="13.83203125" customWidth="1"/>
  </cols>
  <sheetData>
    <row r="1" spans="1:24" ht="29" customHeight="1" x14ac:dyDescent="0.2">
      <c r="A1" s="521" t="s">
        <v>199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199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Paid],MasterPaid[Customer],$K$25,MasterPaid[Date],$A5)</f>
        <v>0</v>
      </c>
      <c r="F5" s="38"/>
      <c r="G5" s="57">
        <f>IFERROR(INDEX(Outstanding!$N$4:$Z$69,MATCH($K$3,Outstanding!$M$4:$M$66,0),MATCH($A$5,Outstanding!$N$3:$Z$3,0)),0)</f>
        <v>36446.400000000001</v>
      </c>
      <c r="H5" s="20"/>
      <c r="I5" s="58">
        <f>G5+SUM(D5:D45)-SUM(E5:E45)</f>
        <v>58951.370000000054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0</v>
      </c>
      <c r="E6" s="61">
        <f>IF($H6="TOTAL",0,IF($A6="",0,IF(COUNTIF($A$6:$A6,$A6)=1,SUMIFS(MasterPaid[Amount Paid],MasterPaid[Customer],$K$3,MasterPaid[Date],$A6),0)))</f>
        <v>36446</v>
      </c>
      <c r="F6" s="62" t="str" cm="1">
        <f t="array" ref="F6">IFERROR(INDEX(_xlfn.ANCHORARRAY($K$6),ROW()-5,2),"")</f>
        <v/>
      </c>
      <c r="G6" s="57">
        <f>IF($H6="TOTAL",IFERROR(LOOKUP(9.99E+307,$G$5:$G5),""),IF($A6="","",G5+N(D6)-N(E6)))</f>
        <v>0.40000000000145519</v>
      </c>
      <c r="H6" s="20"/>
      <c r="I6" s="20"/>
      <c r="J6" s="20"/>
      <c r="K6" cm="1">
        <f t="array" ref="K6:L19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46236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367.31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37002.800000000003</v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37003.200000000004</v>
      </c>
      <c r="H7" s="20"/>
      <c r="I7" s="20"/>
      <c r="J7" s="20"/>
      <c r="K7" s="17">
        <v>46236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46240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235.76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23750.46</v>
      </c>
      <c r="E8" s="61">
        <f>IF($H8="TOTAL",SUM($E$6:$E7)-SUMIF($H$6:$H7,"TOTAL",$E$6:$E7),IF($A8="",0,IF(COUNTIF($A$6:$A8,$A8)=1,SUMIFS(MasterPaid[Amount Paid],MasterPaid[Customer],$K$3,MasterPaid[Date],$A8),0)))</f>
        <v>37003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23750.660000000003</v>
      </c>
      <c r="H8" s="20"/>
      <c r="I8" s="20"/>
      <c r="J8" s="20"/>
      <c r="K8" s="17">
        <v>46240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46241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272.99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27501.01</v>
      </c>
      <c r="E9" s="61">
        <f>IF($H9="TOTAL",SUM($E$6:$E8)-SUMIF($H$6:$H8,"TOTAL",$E$6:$E8),IF($A9="",0,IF(COUNTIF($A$6:$A9,$A9)=1,SUMIFS(MasterPaid[Amount Paid],MasterPaid[Customer],$K$3,MasterPaid[Date],$A9),0)))</f>
        <v>23751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27500.67</v>
      </c>
      <c r="H9" s="20"/>
      <c r="I9" s="20"/>
      <c r="J9" s="20"/>
      <c r="K9" s="17">
        <v>46241</v>
      </c>
      <c r="L9" s="17" t="str">
        <v>DIESEL</v>
      </c>
      <c r="M9" s="17"/>
      <c r="N9" s="17"/>
      <c r="O9" s="17"/>
      <c r="P9" s="17"/>
      <c r="Q9" s="63" t="str">
        <f>K3</f>
        <v>Ekdant Logistic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46242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1056.69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106450.94</v>
      </c>
      <c r="E10" s="61">
        <f>IF($H10="TOTAL",SUM($E$6:$E9)-SUMIF($H$6:$H9,"TOTAL",$E$6:$E9),IF($A10="",0,IF(COUNTIF($A$6:$A10,$A10)=1,SUMIFS(MasterPaid[Amount Paid],MasterPaid[Customer],$K$3,MasterPaid[Date],$A10),0)))</f>
        <v>27501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106450.60999999999</v>
      </c>
      <c r="H10" s="20"/>
      <c r="I10" s="20"/>
      <c r="J10" s="20"/>
      <c r="K10" s="17">
        <v>46242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46243</v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0</v>
      </c>
      <c r="E11" s="61">
        <f>IF($H11="TOTAL",SUM($E$6:$E10)-SUMIF($H$6:$H10,"TOTAL",$E$6:$E10),IF($A11="",0,IF(COUNTIF($A$6:$A11,$A11)=1,SUMIFS(MasterPaid[Amount Paid],MasterPaid[Customer],$K$3,MasterPaid[Date],$A11),0)))</f>
        <v>70572</v>
      </c>
      <c r="F11" s="62" t="str" cm="1">
        <f t="array" ref="F11">IFERROR(INDEX(_xlfn.ANCHORARRAY($K$6),ROW()-5,2),"")</f>
        <v/>
      </c>
      <c r="G11" s="57">
        <f>IF($H11="TOTAL",IFERROR(LOOKUP(9.99E+307,$G$6:$G10),""),IF($A11="","",G10+N(D11)-N(E11)))</f>
        <v>35878.609999999986</v>
      </c>
      <c r="H11" s="20"/>
      <c r="I11" s="20"/>
      <c r="J11" s="20"/>
      <c r="K11" s="17">
        <v>46243</v>
      </c>
      <c r="L11" s="17" t="str">
        <v/>
      </c>
      <c r="M11" s="17"/>
      <c r="N11" s="17"/>
      <c r="O11" s="17"/>
      <c r="P11" s="17"/>
      <c r="Q11" s="199" t="str">
        <f>IFERROR(_xlfn.XLOOKUP($K$3,'Customer GST'!$A:$A,'Customer GST'!$B:$B,""),"")</f>
        <v>GSTIN:21ELGPS9317K1ZP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46245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367.36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37007.839999999997</v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72886.449999999983</v>
      </c>
      <c r="H12" s="20"/>
      <c r="I12" s="20"/>
      <c r="J12" s="20"/>
      <c r="K12" s="17">
        <v>46245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46252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379.6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38240.9</v>
      </c>
      <c r="E13" s="61">
        <f>IF($H13="TOTAL",SUM($E$6:$E12)-SUMIF($H$6:$H12,"TOTAL",$E$6:$E12),IF($A13="",0,IF(COUNTIF($A$6:$A13,$A13)=1,SUMIFS(MasterPaid[Amount Paid],MasterPaid[Customer],$K$3,MasterPaid[Date],$A13),0)))</f>
        <v>72886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38241.349999999977</v>
      </c>
      <c r="H13" s="20"/>
      <c r="I13" s="20"/>
      <c r="J13" s="20"/>
      <c r="K13" s="17">
        <v>46252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2480</v>
      </c>
      <c r="T13" s="53" t="str">
        <f ca="1"/>
        <v>OD07T4372</v>
      </c>
      <c r="U13" s="53">
        <f ca="1"/>
        <v>340</v>
      </c>
      <c r="V13" s="53">
        <f ca="1"/>
        <v>100.74</v>
      </c>
      <c r="W13" s="184">
        <f ca="1"/>
        <v>34251.599999999999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46253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337.51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34000.75</v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72242.099999999977</v>
      </c>
      <c r="H14" s="20"/>
      <c r="I14" s="20"/>
      <c r="J14" s="20"/>
      <c r="K14" s="17">
        <v>46253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46255</v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0</v>
      </c>
      <c r="E15" s="61">
        <f>IF($H15="TOTAL",SUM($E$6:$E14)-SUMIF($H$6:$H14,"TOTAL",$E$6:$E14),IF($A15="",0,IF(COUNTIF($A$6:$A15,$A15)=1,SUMIFS(MasterPaid[Amount Paid],MasterPaid[Customer],$K$3,MasterPaid[Date],$A15),0)))</f>
        <v>72242</v>
      </c>
      <c r="F15" s="62" t="str" cm="1">
        <f t="array" ref="F15">IFERROR(INDEX(_xlfn.ANCHORARRAY($K$6),ROW()-5,2),"")</f>
        <v/>
      </c>
      <c r="G15" s="57">
        <f>IF($H15="TOTAL",IFERROR(LOOKUP(9.99E+307,$G$6:$G14),""),IF($A15="","",G14+N(D15)-N(E15)))</f>
        <v>9.9999999976716936E-2</v>
      </c>
      <c r="H15" s="20"/>
      <c r="I15" s="20"/>
      <c r="J15" s="20"/>
      <c r="K15" s="17">
        <v>46255</v>
      </c>
      <c r="L15" s="17" t="str">
        <v/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46256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683.47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68852.759999999995</v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68852.859999999971</v>
      </c>
      <c r="H16" s="20"/>
      <c r="I16" s="20"/>
      <c r="J16" s="20"/>
      <c r="K16" s="17">
        <v>46256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cm="1">
        <f t="array" ref="A17">IFERROR(INDEX(_xlfn.ANCHORARRAY($K$6),ROW()-5,1),"")</f>
        <v>46258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204.69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20620.47</v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89473.329999999973</v>
      </c>
      <c r="H17" s="20"/>
      <c r="I17" s="20"/>
      <c r="J17" s="20"/>
      <c r="K17" s="17">
        <v>46258</v>
      </c>
      <c r="L17" s="17" t="str">
        <v>DIESEL</v>
      </c>
      <c r="M17" s="17"/>
      <c r="N17" s="17"/>
      <c r="O17" s="17"/>
      <c r="P17" s="17"/>
      <c r="Q17" s="180"/>
      <c r="R17" s="181"/>
      <c r="S17" s="182"/>
      <c r="T17" s="182"/>
      <c r="U17" s="182"/>
      <c r="V17" s="183"/>
      <c r="W17" s="185"/>
      <c r="X17" s="182"/>
    </row>
    <row r="18" spans="1:24" ht="21.75" x14ac:dyDescent="0.25">
      <c r="A18" s="71" cm="1">
        <f t="array" ref="A18">IFERROR(INDEX(_xlfn.ANCHORARRAY($K$6),ROW()-5,1),"")</f>
        <v>46259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245.19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24700.44</v>
      </c>
      <c r="E18" s="61">
        <f>IF($H18="TOTAL",SUM($E$6:$E17)-SUMIF($H$6:$H17,"TOTAL",$E$6:$E17),IF($A18="",0,IF(COUNTIF($A$6:$A18,$A18)=1,SUMIFS(MasterPaid[Amount Paid],MasterPaid[Customer],$K$3,MasterPaid[Date],$A18),0)))</f>
        <v>89474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24699.769999999975</v>
      </c>
      <c r="H18" s="20"/>
      <c r="I18" s="20"/>
      <c r="J18" s="20"/>
      <c r="K18" s="17">
        <v>46259</v>
      </c>
      <c r="L18" s="17" t="str">
        <v>DIESEL</v>
      </c>
      <c r="M18" s="17"/>
      <c r="N18" s="17"/>
      <c r="O18" s="17"/>
      <c r="P18" s="17"/>
      <c r="Q18" s="180"/>
      <c r="R18" s="181"/>
      <c r="S18" s="182"/>
      <c r="T18" s="182"/>
      <c r="U18" s="182"/>
      <c r="V18" s="183"/>
      <c r="W18" s="185"/>
      <c r="X18" s="182"/>
    </row>
    <row r="19" spans="1:24" ht="21.75" x14ac:dyDescent="0.25">
      <c r="A19" s="71" cm="1">
        <f t="array" ref="A19">IFERROR(INDEX(_xlfn.ANCHORARRAY($K$6),ROW()-5,1),"")</f>
        <v>46262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340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34251.599999999999</v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58951.369999999974</v>
      </c>
      <c r="H19" s="20"/>
      <c r="I19" s="20"/>
      <c r="J19" s="20"/>
      <c r="K19" s="17">
        <v>46262</v>
      </c>
      <c r="L19" s="17" t="str">
        <v>DIESEL</v>
      </c>
      <c r="M19" s="17"/>
      <c r="N19" s="17"/>
      <c r="O19" s="17"/>
      <c r="P19" s="17"/>
      <c r="Q19" s="180"/>
      <c r="R19" s="181"/>
      <c r="S19" s="182"/>
      <c r="T19" s="182"/>
      <c r="U19" s="182"/>
      <c r="V19" s="183"/>
      <c r="W19" s="185"/>
      <c r="X19" s="182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80"/>
      <c r="R21" s="181"/>
      <c r="S21" s="182"/>
      <c r="T21" s="182"/>
      <c r="U21" s="182"/>
      <c r="V21" s="183"/>
      <c r="W21" s="185"/>
      <c r="X21" s="182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70"/>
      <c r="W22" s="184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80"/>
      <c r="R23" s="181"/>
      <c r="S23" s="182"/>
      <c r="T23" s="182"/>
      <c r="U23" s="182"/>
      <c r="V23" s="183"/>
      <c r="W23" s="185"/>
      <c r="X23" s="182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31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80"/>
      <c r="R27" s="181"/>
      <c r="S27" s="182"/>
      <c r="T27" s="182"/>
      <c r="U27" s="182"/>
      <c r="V27" s="183"/>
      <c r="W27" s="185"/>
      <c r="X27" s="182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69"/>
      <c r="V28" s="70"/>
      <c r="W28" s="69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69"/>
      <c r="V29" s="70"/>
      <c r="W29" s="69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69"/>
      <c r="V30" s="70"/>
      <c r="W30" s="69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69"/>
      <c r="V31" s="70"/>
      <c r="W31" s="69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69"/>
      <c r="V32" s="70"/>
      <c r="W32" s="69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69"/>
      <c r="V33" s="70"/>
      <c r="W33" s="69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69"/>
      <c r="V34" s="70"/>
      <c r="W34" s="69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69"/>
      <c r="V35" s="70"/>
      <c r="W35" s="69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69"/>
      <c r="V36" s="70"/>
      <c r="W36" s="69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69"/>
      <c r="V37" s="70"/>
      <c r="W37" s="69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69"/>
      <c r="V38" s="70"/>
      <c r="W38" s="69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69"/>
      <c r="V39" s="70"/>
      <c r="W39" s="69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69"/>
      <c r="V40" s="70"/>
      <c r="W40" s="69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69"/>
      <c r="V41" s="70"/>
      <c r="W41" s="69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69"/>
      <c r="V42" s="70"/>
      <c r="W42" s="69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69"/>
      <c r="V43" s="70"/>
      <c r="W43" s="69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69"/>
      <c r="V44" s="70"/>
      <c r="W44" s="69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69"/>
      <c r="V45" s="70"/>
      <c r="W45" s="69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69"/>
      <c r="V46" s="70"/>
      <c r="W46" s="69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69"/>
      <c r="V47" s="70"/>
      <c r="W47" s="69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80"/>
      <c r="S48" s="81"/>
      <c r="T48" s="81"/>
      <c r="U48" s="82"/>
      <c r="V48" s="83"/>
      <c r="W48" s="82"/>
      <c r="X48" s="81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69"/>
      <c r="V49" s="70"/>
      <c r="W49" s="69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69"/>
      <c r="V50" s="70"/>
      <c r="W50" s="69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69"/>
      <c r="V51" s="70"/>
      <c r="W51" s="69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69"/>
      <c r="V52" s="70"/>
      <c r="W52" s="69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69"/>
      <c r="V53" s="70"/>
      <c r="W53" s="69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47"/>
      <c r="S54" s="44"/>
      <c r="T54" s="48"/>
      <c r="U54" s="54"/>
      <c r="V54" s="55"/>
      <c r="W54" s="54"/>
      <c r="X54" s="44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47"/>
      <c r="S55" s="44"/>
      <c r="T55" s="48"/>
      <c r="U55" s="54"/>
      <c r="V55" s="55"/>
      <c r="W55" s="54"/>
      <c r="X55" s="44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47"/>
      <c r="S56" s="44"/>
      <c r="T56" s="48"/>
      <c r="U56" s="54"/>
      <c r="V56" s="55"/>
      <c r="W56" s="54"/>
      <c r="X56" s="44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47"/>
      <c r="S57" s="44"/>
      <c r="T57" s="48"/>
      <c r="U57" s="44"/>
      <c r="V57" s="44"/>
      <c r="W57" s="44"/>
      <c r="X57" s="44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47"/>
      <c r="S58" s="44"/>
      <c r="T58" s="48"/>
      <c r="U58" s="44"/>
      <c r="V58" s="17"/>
      <c r="W58" s="17"/>
      <c r="X58" s="44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84"/>
      <c r="U59" s="17"/>
      <c r="V59" s="17"/>
      <c r="W59" s="17"/>
      <c r="X59" s="17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84"/>
      <c r="U60" s="17"/>
      <c r="V60" s="17"/>
      <c r="W60" s="17"/>
      <c r="X60" s="17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85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84"/>
      <c r="U61" s="17"/>
      <c r="V61" s="17"/>
      <c r="W61" s="17"/>
      <c r="X61" s="17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84"/>
      <c r="U62" s="17"/>
      <c r="V62" s="17"/>
      <c r="W62" s="17"/>
      <c r="X62" s="17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84"/>
      <c r="U63" s="17"/>
      <c r="V63" s="17"/>
      <c r="W63" s="17"/>
      <c r="X63" s="17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84"/>
      <c r="U64" s="17"/>
      <c r="V64" s="17"/>
      <c r="W64" s="17"/>
      <c r="X64" s="17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84"/>
      <c r="U65" s="17"/>
      <c r="V65" s="17"/>
      <c r="W65" s="17"/>
      <c r="X65" s="17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84"/>
      <c r="U66" s="17"/>
      <c r="V66" s="17"/>
      <c r="W66" s="17"/>
      <c r="X66" s="17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84"/>
      <c r="U67" s="17"/>
      <c r="V67" s="17"/>
      <c r="W67" s="17"/>
      <c r="X67" s="17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84"/>
      <c r="U68" s="17"/>
      <c r="V68" s="17"/>
      <c r="W68" s="17"/>
      <c r="X68" s="17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84"/>
      <c r="U69" s="17"/>
      <c r="V69" s="17"/>
      <c r="W69" s="17"/>
      <c r="X69" s="17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84"/>
      <c r="U70" s="17"/>
      <c r="V70" s="17"/>
      <c r="W70" s="17"/>
      <c r="X70" s="17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si="0"/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84"/>
      <c r="U71" s="17"/>
      <c r="V71" s="17"/>
      <c r="W71" s="17"/>
      <c r="X71" s="17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0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84"/>
      <c r="U72" s="17"/>
      <c r="V72" s="17"/>
      <c r="W72" s="17"/>
      <c r="X72" s="17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0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84"/>
      <c r="U73" s="17"/>
      <c r="V73" s="17"/>
      <c r="W73" s="17"/>
      <c r="X73" s="17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0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84"/>
      <c r="U74" s="17"/>
      <c r="V74" s="17"/>
      <c r="W74" s="17"/>
      <c r="X74" s="17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0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84"/>
      <c r="U75" s="17"/>
      <c r="V75" s="17"/>
      <c r="W75" s="17"/>
      <c r="X75" s="17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0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84"/>
      <c r="U76" s="17"/>
      <c r="V76" s="17"/>
      <c r="W76" s="17"/>
      <c r="X76" s="17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0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84"/>
      <c r="U77" s="17"/>
      <c r="V77" s="17"/>
      <c r="W77" s="17"/>
      <c r="X77" s="17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0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84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0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84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0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84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0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84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0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84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0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84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0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84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0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84"/>
      <c r="U85" s="17"/>
      <c r="V85" s="17"/>
      <c r="W85" s="17"/>
      <c r="X85" s="17"/>
    </row>
    <row r="86" spans="1:24" ht="23" x14ac:dyDescent="0.25">
      <c r="A86" s="68"/>
      <c r="B86" s="40"/>
      <c r="C86" s="36"/>
      <c r="D86" s="36"/>
      <c r="E86" s="37"/>
      <c r="F86" s="38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84"/>
      <c r="U86" s="17"/>
      <c r="V86" s="17"/>
      <c r="W86" s="17"/>
      <c r="X86" s="17"/>
    </row>
    <row r="87" spans="1:24" x14ac:dyDescent="0.2">
      <c r="B87" s="7"/>
      <c r="C87" s="7"/>
      <c r="D87" s="7"/>
      <c r="E87" s="8"/>
      <c r="G87" s="10"/>
      <c r="T87" s="16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698" priority="10">
      <formula>AND($A6&lt;&gt;"",$A6=$A5)</formula>
    </cfRule>
  </conditionalFormatting>
  <conditionalFormatting sqref="A6:A85">
    <cfRule type="expression" dxfId="1697" priority="6">
      <formula>$A6=$A5</formula>
    </cfRule>
  </conditionalFormatting>
  <conditionalFormatting sqref="B5:D92">
    <cfRule type="expression" dxfId="1696" priority="1">
      <formula>$F5="PETROL"</formula>
    </cfRule>
  </conditionalFormatting>
  <conditionalFormatting sqref="B5:D95">
    <cfRule type="expression" dxfId="1695" priority="3">
      <formula>AND(ISNUMBER(B5),MOD(B5,1)&lt;&gt;0)</formula>
    </cfRule>
  </conditionalFormatting>
  <conditionalFormatting sqref="B7:G60">
    <cfRule type="expression" dxfId="1694" priority="9">
      <formula>$H7="TOTAL"</formula>
    </cfRule>
  </conditionalFormatting>
  <conditionalFormatting sqref="E5:E95">
    <cfRule type="expression" dxfId="1693" priority="4">
      <formula>AND(ISNUMBER(E5),MOD(E5,1)&lt;&gt;0)</formula>
    </cfRule>
  </conditionalFormatting>
  <conditionalFormatting sqref="F5:F92">
    <cfRule type="expression" dxfId="1692" priority="2">
      <formula>$F5="PETROL"</formula>
    </cfRule>
  </conditionalFormatting>
  <conditionalFormatting sqref="G5:G95">
    <cfRule type="expression" dxfId="1691" priority="5">
      <formula>AND(ISNUMBER(G5),MOD(G5,1)&lt;&gt;0)</formula>
    </cfRule>
  </conditionalFormatting>
  <conditionalFormatting sqref="R13:R94">
    <cfRule type="expression" dxfId="1690" priority="7">
      <formula>AND(R13&lt;&gt;"",R13=R12)</formula>
    </cfRule>
  </conditionalFormatting>
  <conditionalFormatting sqref="R13:X57 R58:U58 R59:X94 X58">
    <cfRule type="expression" dxfId="1689" priority="8">
      <formula>$X13="Petrol"</formula>
    </cfRule>
  </conditionalFormatting>
  <hyperlinks>
    <hyperlink ref="K1" location="Index!A1" display="→ Index" xr:uid="{A8712AC0-C660-064B-9D92-955D4FA3EDDF}"/>
  </hyperlinks>
  <printOptions horizontalCentered="1"/>
  <pageMargins left="0.25" right="0.25" top="0.25" bottom="1.35" header="0" footer="0.5"/>
  <pageSetup paperSize="9" scale="98" orientation="portrait" r:id="rId1"/>
  <drawing r:id="rId2"/>
  <legacyDrawingHF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C78EA-7D05-9E47-BDFA-8DDF703BA644}">
  <sheetPr codeName="Sheet18">
    <pageSetUpPr fitToPage="1"/>
  </sheetPr>
  <dimension ref="A1:X95"/>
  <sheetViews>
    <sheetView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1640625" customWidth="1"/>
    <col min="3" max="3" width="11" customWidth="1"/>
    <col min="4" max="4" width="16.1640625" customWidth="1"/>
    <col min="5" max="5" width="14.33203125" customWidth="1"/>
    <col min="6" max="6" width="15.1640625" customWidth="1"/>
    <col min="7" max="7" width="19.164062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6.5" customWidth="1"/>
    <col min="21" max="21" width="12.83203125" customWidth="1"/>
    <col min="22" max="22" width="11.6640625" customWidth="1"/>
    <col min="23" max="23" width="13.33203125" customWidth="1"/>
    <col min="24" max="24" width="13.83203125" customWidth="1"/>
  </cols>
  <sheetData>
    <row r="1" spans="1:24" ht="30" customHeight="1" x14ac:dyDescent="0.2">
      <c r="A1" s="521" t="s">
        <v>136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2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7" t="str">
        <f>"for The Month of  "&amp;TEXT(MAX(A5:A50),"mmmm-yyyy")</f>
        <v>for The Month of  August-2026</v>
      </c>
      <c r="B3" s="528"/>
      <c r="C3" s="528"/>
      <c r="D3" s="528"/>
      <c r="E3" s="528"/>
      <c r="F3" s="528"/>
      <c r="G3" s="529"/>
      <c r="H3" s="17"/>
      <c r="I3" s="17"/>
      <c r="J3" s="17"/>
      <c r="K3" s="157" t="s">
        <v>136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32" t="s">
        <v>6</v>
      </c>
      <c r="B4" s="33" t="s">
        <v>1179</v>
      </c>
      <c r="C4" s="33" t="s">
        <v>1180</v>
      </c>
      <c r="D4" s="33" t="s">
        <v>4</v>
      </c>
      <c r="E4" s="33" t="s">
        <v>1181</v>
      </c>
      <c r="F4" s="33" t="s">
        <v>1183</v>
      </c>
      <c r="G4" s="34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Paid],MasterPaid[Customer],$K$5,MasterPaid[Date],$A5)</f>
        <v>0</v>
      </c>
      <c r="F5" s="42"/>
      <c r="G5" s="57">
        <f>IFERROR(INDEX(Outstanding!$N$4:$Z$69,MATCH($K$3,Outstanding!$M$4:$M$66,0),MATCH($A$5,Outstanding!$N$3:$Z$3,0)),0)</f>
        <v>14389.38</v>
      </c>
      <c r="H5" s="20"/>
      <c r="I5" s="58">
        <f>G5+SUM(D5:D45)-SUM(E5:E45)</f>
        <v>3801.2999999999993</v>
      </c>
      <c r="J5" s="20"/>
      <c r="K5" s="31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x14ac:dyDescent="0.25">
      <c r="A6" s="71" cm="1">
        <f t="array" ref="A6">IFERROR(INDEX(_xlfn.ANCHORARRAY($K$6),ROW()-5,1),"")</f>
        <v>46259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37.729999999999997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3800.92</v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18190.3</v>
      </c>
      <c r="H6" s="20"/>
      <c r="I6" s="20"/>
      <c r="J6" s="20"/>
      <c r="K6" cm="1">
        <f t="array" ref="K6:L7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46259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46260</v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0</v>
      </c>
      <c r="E7" s="61">
        <f>IF($H7="TOTAL",SUM($E$6:$E6)-SUMIF($H$6:$H6,"TOTAL",$E$6:$E6),IF($A7="",0,IF(COUNTIF($A$6:$A7,$A7)=1,SUMIFS(MasterPaid[Amount Paid],MasterPaid[Customer],$K$3,MasterPaid[Date],$A7),0)))</f>
        <v>14389</v>
      </c>
      <c r="F7" s="62" t="str" cm="1">
        <f t="array" ref="F7">IFERROR(INDEX(_xlfn.ANCHORARRAY($K$6),ROW()-5,2),"")</f>
        <v/>
      </c>
      <c r="G7" s="57">
        <f>IF($H7="TOTAL",IFERROR(LOOKUP(9.99E+307,$G$6:$G6),""),IF($A7="","",G6+N(D7)-N(E7)))</f>
        <v>3801.2999999999993</v>
      </c>
      <c r="H7" s="20"/>
      <c r="I7" s="20"/>
      <c r="J7" s="20"/>
      <c r="K7" s="17">
        <v>46260</v>
      </c>
      <c r="L7" s="17" t="str">
        <v/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Maruti Realities &amp; Developers</v>
      </c>
      <c r="R9" s="44"/>
      <c r="S9" s="44"/>
      <c r="T9" s="44"/>
      <c r="U9" s="45"/>
      <c r="V9" s="45"/>
      <c r="W9" s="46" t="s">
        <v>1282</v>
      </c>
      <c r="X9" s="47">
        <v>46259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GSTIN:21ABMFM9070B1ZG</v>
      </c>
      <c r="R11" s="50"/>
      <c r="S11" s="50"/>
      <c r="T11" s="50"/>
      <c r="U11" s="50"/>
      <c r="V11" s="50"/>
      <c r="W11" s="50"/>
      <c r="X11" s="17"/>
    </row>
    <row r="12" spans="1:24" ht="21.75" customHeight="1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80"/>
      <c r="R14" s="181"/>
      <c r="S14" s="182"/>
      <c r="T14" s="182"/>
      <c r="U14" s="182"/>
      <c r="V14" s="182"/>
      <c r="W14" s="185"/>
      <c r="X14" s="182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80"/>
      <c r="R15" s="181"/>
      <c r="S15" s="182"/>
      <c r="T15" s="182"/>
      <c r="U15" s="182"/>
      <c r="V15" s="182"/>
      <c r="W15" s="185"/>
      <c r="X15" s="182"/>
    </row>
    <row r="16" spans="1:24" ht="21.75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53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53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53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53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53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80"/>
      <c r="R21" s="181"/>
      <c r="S21" s="182"/>
      <c r="T21" s="182"/>
      <c r="U21" s="182"/>
      <c r="V21" s="182"/>
      <c r="W21" s="185"/>
      <c r="X21" s="182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53"/>
      <c r="W22" s="53"/>
      <c r="X22" s="53"/>
    </row>
    <row r="23" spans="1:24" ht="23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53"/>
      <c r="W23" s="53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53"/>
      <c r="W24" s="53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53"/>
      <c r="W25" s="53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53"/>
      <c r="W26" s="53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53"/>
      <c r="W27" s="53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53"/>
      <c r="W28" s="53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53"/>
      <c r="W29" s="53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53"/>
      <c r="W30" s="53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53"/>
      <c r="W31" s="53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53"/>
      <c r="W32" s="53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53"/>
      <c r="W33" s="53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53"/>
      <c r="W34" s="53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53"/>
      <c r="W35" s="53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53"/>
      <c r="W36" s="53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53"/>
      <c r="W37" s="53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53"/>
      <c r="W38" s="53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53"/>
      <c r="W39" s="53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53"/>
      <c r="W40" s="53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53"/>
      <c r="W41" s="53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53"/>
      <c r="W42" s="53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53"/>
      <c r="W43" s="53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53"/>
      <c r="W44" s="53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53"/>
      <c r="W45" s="53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53"/>
      <c r="W46" s="53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20"/>
      <c r="I47" s="20"/>
      <c r="J47" s="20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53"/>
      <c r="W47" s="53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53"/>
      <c r="W48" s="53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53"/>
      <c r="W49" s="53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53"/>
      <c r="W50" s="53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53"/>
      <c r="W51" s="53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53"/>
      <c r="W52" s="53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53"/>
      <c r="W53" s="53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53"/>
      <c r="W54" s="53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53"/>
      <c r="W55" s="53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53"/>
      <c r="W56" s="53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53"/>
      <c r="W57" s="53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53"/>
      <c r="W58" s="53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53"/>
      <c r="W59" s="53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53"/>
      <c r="W60" s="53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53"/>
      <c r="W61" s="53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53"/>
      <c r="W62" s="53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53"/>
      <c r="W63" s="53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53"/>
      <c r="W64" s="53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53"/>
      <c r="W65" s="53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53"/>
      <c r="W66" s="53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53"/>
      <c r="W67" s="53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53"/>
      <c r="W68" s="53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53"/>
      <c r="W69" s="53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53"/>
      <c r="W70" s="53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53"/>
      <c r="W71" s="53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53"/>
      <c r="W72" s="53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53"/>
      <c r="W73" s="53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53"/>
      <c r="W74" s="53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53"/>
      <c r="W75" s="53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53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53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53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53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53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688" priority="14">
      <formula>AND($A6&lt;&gt;"",$A6=$A5)</formula>
    </cfRule>
  </conditionalFormatting>
  <conditionalFormatting sqref="A6:A85">
    <cfRule type="expression" dxfId="1687" priority="10">
      <formula>$A6=$A5</formula>
    </cfRule>
  </conditionalFormatting>
  <conditionalFormatting sqref="B5:D92">
    <cfRule type="expression" dxfId="1686" priority="3">
      <formula>$F5="PETROL"</formula>
    </cfRule>
  </conditionalFormatting>
  <conditionalFormatting sqref="B5:D95">
    <cfRule type="expression" dxfId="1685" priority="5">
      <formula>AND(ISNUMBER(B5),MOD(B5,1)&lt;&gt;0)</formula>
    </cfRule>
  </conditionalFormatting>
  <conditionalFormatting sqref="B7:G60">
    <cfRule type="expression" dxfId="1684" priority="13">
      <formula>$H7="TOTAL"</formula>
    </cfRule>
  </conditionalFormatting>
  <conditionalFormatting sqref="E5:E95">
    <cfRule type="expression" dxfId="1683" priority="8">
      <formula>AND(ISNUMBER(E5),MOD(E5,1)&lt;&gt;0)</formula>
    </cfRule>
  </conditionalFormatting>
  <conditionalFormatting sqref="F5:F92">
    <cfRule type="expression" dxfId="1682" priority="4">
      <formula>$F5="PETROL"</formula>
    </cfRule>
  </conditionalFormatting>
  <conditionalFormatting sqref="G5:G95">
    <cfRule type="expression" dxfId="1681" priority="9">
      <formula>AND(ISNUMBER(G5),MOD(G5,1)&lt;&gt;0)</formula>
    </cfRule>
  </conditionalFormatting>
  <conditionalFormatting sqref="R13:R94">
    <cfRule type="expression" dxfId="1680" priority="11">
      <formula>AND(R13&lt;&gt;"",R13=R12)</formula>
    </cfRule>
  </conditionalFormatting>
  <conditionalFormatting sqref="R13:X94">
    <cfRule type="expression" dxfId="1679" priority="12">
      <formula>$X13="Petrol"</formula>
    </cfRule>
  </conditionalFormatting>
  <hyperlinks>
    <hyperlink ref="K1" location="Index!A1" display="→ Index" xr:uid="{10FCE244-0439-8D40-B1A1-5069E2E361C6}"/>
  </hyperlinks>
  <printOptions horizontalCentered="1"/>
  <pageMargins left="0.25" right="0.25" top="0.25" bottom="1.35" header="0" footer="0.5"/>
  <pageSetup paperSize="9" scale="99" orientation="portrait" r:id="rId1"/>
  <drawing r:id="rId2"/>
  <legacyDrawingHF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EF8CF-5463-DC4B-BBEB-6A3834FDCD3E}">
  <sheetPr codeName="Sheet21">
    <pageSetUpPr fitToPage="1"/>
  </sheetPr>
  <dimension ref="A1:X95"/>
  <sheetViews>
    <sheetView zoomScale="135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4.6640625" customWidth="1"/>
    <col min="3" max="3" width="11.33203125" customWidth="1"/>
    <col min="4" max="4" width="19.33203125" customWidth="1"/>
    <col min="5" max="5" width="19.6640625" customWidth="1"/>
    <col min="6" max="6" width="14.5" customWidth="1"/>
    <col min="7" max="7" width="18.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7.1640625" customWidth="1"/>
    <col min="21" max="21" width="13" customWidth="1"/>
    <col min="22" max="22" width="11.6640625" customWidth="1"/>
    <col min="23" max="23" width="15.6640625" customWidth="1"/>
    <col min="24" max="24" width="13.83203125" customWidth="1"/>
  </cols>
  <sheetData>
    <row r="1" spans="1:24" ht="29" customHeight="1" x14ac:dyDescent="0.2">
      <c r="A1" s="521" t="s">
        <v>901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901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1.75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31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85"/>
      <c r="F5" s="38"/>
      <c r="G5" s="57">
        <f>IFERROR(INDEX(Outstanding!$N$4:$Z$69,MATCH($K$3,Outstanding!$M$4:$M$66,0),MATCH($A$5,Outstanding!$N$3:$Z$3,0)),0)</f>
        <v>570749.41</v>
      </c>
      <c r="H5" s="20"/>
      <c r="I5" s="58">
        <f>G5+SUM(D5:D45)-SUM(E5:E45)</f>
        <v>152015.10999999987</v>
      </c>
      <c r="J5" s="20"/>
      <c r="K5" s="17" t="s">
        <v>1193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46238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2044.84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205997.18</v>
      </c>
      <c r="E6" s="86">
        <f>IF($H6="TOTAL",0,IF($A6="",0,IF(COUNTIF($A$6:$A6,$A6)=1,SUMIFS(MasterPaid[Amount Paid],MasterPaid[Customer],$K$3,MasterPaid[Date],$A6),0)))</f>
        <v>370749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405997.59000000008</v>
      </c>
      <c r="H6" s="20"/>
      <c r="I6" s="20"/>
      <c r="J6" s="20"/>
      <c r="K6" cm="1">
        <f t="array" ref="K6:L12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46238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46240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1923.51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100.74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193774.4</v>
      </c>
      <c r="E7" s="86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DIESEL</v>
      </c>
      <c r="G7" s="57">
        <f>IF($H7="TOTAL",IFERROR(LOOKUP(9.99E+307,$G$6:$G6),""),IF($A7="","",G6+N(D7)-N(E7)))</f>
        <v>599771.99000000011</v>
      </c>
      <c r="H7" s="20"/>
      <c r="I7" s="20"/>
      <c r="J7" s="20"/>
      <c r="K7" s="17">
        <v>46240</v>
      </c>
      <c r="L7" s="17" t="str">
        <v>DIESEL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46244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2500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251850</v>
      </c>
      <c r="E8" s="86">
        <f>IF($H8="TOTAL",SUM($E$6:$E7)-SUMIF($H$6:$H7,"TOTAL",$E$6:$E7),IF($A8="",0,IF(COUNTIF($A$6:$A8,$A8)=1,SUMIFS(MasterPaid[Amount Paid],MasterPaid[Customer],$K$3,MasterPaid[Date],$A8),0)))</f>
        <v>405998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445623.99000000011</v>
      </c>
      <c r="H8" s="20"/>
      <c r="I8" s="20"/>
      <c r="J8" s="20"/>
      <c r="K8" s="17">
        <v>46244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46245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2047.73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206288.32</v>
      </c>
      <c r="E9" s="86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651912.31000000006</v>
      </c>
      <c r="H9" s="20"/>
      <c r="I9" s="20"/>
      <c r="J9" s="20"/>
      <c r="K9" s="17">
        <v>46245</v>
      </c>
      <c r="L9" s="17" t="str">
        <v>DIESEL</v>
      </c>
      <c r="M9" s="17"/>
      <c r="N9" s="17"/>
      <c r="O9" s="17"/>
      <c r="P9" s="17"/>
      <c r="Q9" s="63" t="str">
        <f>K3</f>
        <v>Indiabuild Infra Private Limited</v>
      </c>
      <c r="R9" s="44"/>
      <c r="S9" s="44"/>
      <c r="T9" s="44"/>
      <c r="U9" s="45"/>
      <c r="V9" s="45"/>
      <c r="W9" s="46" t="s">
        <v>1282</v>
      </c>
      <c r="X9" s="47">
        <v>46251</v>
      </c>
    </row>
    <row r="10" spans="1:24" ht="21.75" x14ac:dyDescent="0.25">
      <c r="A10" s="71" cm="1">
        <f t="array" ref="A10">IFERROR(INDEX(_xlfn.ANCHORARRAY($K$6),ROW()-5,1),"")</f>
        <v>46251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20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2014.8</v>
      </c>
      <c r="E10" s="86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653927.1100000001</v>
      </c>
      <c r="H10" s="20"/>
      <c r="I10" s="20"/>
      <c r="J10" s="20"/>
      <c r="K10" s="31">
        <v>46251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46253</v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0</v>
      </c>
      <c r="E11" s="86">
        <f>IF($H11="TOTAL",SUM($E$6:$E10)-SUMIF($H$6:$H10,"TOTAL",$E$6:$E10),IF($A11="",0,IF(COUNTIF($A$6:$A11,$A11)=1,SUMIFS(MasterPaid[Amount Paid],MasterPaid[Customer],$K$3,MasterPaid[Date],$A11),0)))</f>
        <v>251912</v>
      </c>
      <c r="F11" s="62" t="str" cm="1">
        <f t="array" ref="F11">IFERROR(INDEX(_xlfn.ANCHORARRAY($K$6),ROW()-5,2),"")</f>
        <v/>
      </c>
      <c r="G11" s="57">
        <f>IF($H11="TOTAL",IFERROR(LOOKUP(9.99E+307,$G$6:$G10),""),IF($A11="","",G10+N(D11)-N(E11)))</f>
        <v>402015.1100000001</v>
      </c>
      <c r="H11" s="20"/>
      <c r="I11" s="20"/>
      <c r="J11" s="20"/>
      <c r="K11" s="17">
        <v>46253</v>
      </c>
      <c r="L11" s="17" t="str">
        <v/>
      </c>
      <c r="M11" s="17"/>
      <c r="N11" s="17"/>
      <c r="O11" s="17"/>
      <c r="P11" s="17"/>
      <c r="Q11" s="199" t="str">
        <f>IFERROR(_xlfn.XLOOKUP($K$3,'Customer GST'!$A:$A,'Customer GST'!$B:$B,""),"")</f>
        <v>GSTIN:21AAFCI5264G1ZT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46259</v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0</v>
      </c>
      <c r="E12" s="86">
        <f>IF($H12="TOTAL",SUM($E$6:$E11)-SUMIF($H$6:$H11,"TOTAL",$E$6:$E11),IF($A12="",0,IF(COUNTIF($A$6:$A12,$A12)=1,SUMIFS(MasterPaid[Amount Paid],MasterPaid[Customer],$K$3,MasterPaid[Date],$A12),0)))</f>
        <v>250000</v>
      </c>
      <c r="F12" s="62" t="str" cm="1">
        <f t="array" ref="F12">IFERROR(INDEX(_xlfn.ANCHORARRAY($K$6),ROW()-5,2),"")</f>
        <v/>
      </c>
      <c r="G12" s="57">
        <f>IF($H12="TOTAL",IFERROR(LOOKUP(9.99E+307,$G$6:$G11),""),IF($A12="","",G11+N(D12)-N(E12)))</f>
        <v>152015.1100000001</v>
      </c>
      <c r="H12" s="20"/>
      <c r="I12" s="20"/>
      <c r="J12" s="20"/>
      <c r="K12" s="17">
        <v>46259</v>
      </c>
      <c r="L12" s="17" t="str">
        <v/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86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86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86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86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70"/>
      <c r="W16" s="184"/>
      <c r="X16" s="53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86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70"/>
      <c r="W17" s="184"/>
      <c r="X17" s="53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86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70"/>
      <c r="W18" s="184"/>
      <c r="X18" s="53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86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70"/>
      <c r="W19" s="184"/>
      <c r="X19" s="53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86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70"/>
      <c r="W20" s="184"/>
      <c r="X20" s="53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86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70"/>
      <c r="W21" s="184"/>
      <c r="X21" s="53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86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80"/>
      <c r="R22" s="181"/>
      <c r="S22" s="182"/>
      <c r="T22" s="182"/>
      <c r="U22" s="182"/>
      <c r="V22" s="183"/>
      <c r="W22" s="185"/>
      <c r="X22" s="182"/>
    </row>
    <row r="23" spans="1:24" ht="21.75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86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70"/>
      <c r="W23" s="184"/>
      <c r="X23" s="53"/>
    </row>
    <row r="24" spans="1:24" ht="23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86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70"/>
      <c r="W24" s="184"/>
      <c r="X24" s="53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86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70"/>
      <c r="W25" s="184"/>
      <c r="X25" s="53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86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70"/>
      <c r="W26" s="184"/>
      <c r="X26" s="53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86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70"/>
      <c r="W27" s="184"/>
      <c r="X27" s="53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86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70"/>
      <c r="W28" s="184"/>
      <c r="X28" s="53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86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70"/>
      <c r="W29" s="184"/>
      <c r="X29" s="53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86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70"/>
      <c r="W30" s="184"/>
      <c r="X30" s="53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86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70"/>
      <c r="W31" s="184"/>
      <c r="X31" s="53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86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70"/>
      <c r="W32" s="184"/>
      <c r="X32" s="53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86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70"/>
      <c r="W33" s="184"/>
      <c r="X33" s="53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86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70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86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70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86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70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86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70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86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70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86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70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86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70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86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80"/>
      <c r="R41" s="181"/>
      <c r="S41" s="182"/>
      <c r="T41" s="182"/>
      <c r="U41" s="182"/>
      <c r="V41" s="183"/>
      <c r="W41" s="185"/>
      <c r="X41" s="182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86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80"/>
      <c r="R42" s="181"/>
      <c r="S42" s="182"/>
      <c r="T42" s="182"/>
      <c r="U42" s="182"/>
      <c r="V42" s="183"/>
      <c r="W42" s="185"/>
      <c r="X42" s="182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86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80"/>
      <c r="R43" s="181"/>
      <c r="S43" s="182"/>
      <c r="T43" s="182"/>
      <c r="U43" s="182"/>
      <c r="V43" s="183"/>
      <c r="W43" s="185"/>
      <c r="X43" s="182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86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70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86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80"/>
      <c r="R45" s="181"/>
      <c r="S45" s="182"/>
      <c r="T45" s="182"/>
      <c r="U45" s="182"/>
      <c r="V45" s="183"/>
      <c r="W45" s="185"/>
      <c r="X45" s="182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161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86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70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161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86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80"/>
      <c r="R47" s="181"/>
      <c r="S47" s="182"/>
      <c r="T47" s="182"/>
      <c r="U47" s="182"/>
      <c r="V47" s="183"/>
      <c r="W47" s="185"/>
      <c r="X47" s="182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161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86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52"/>
      <c r="S48" s="53"/>
      <c r="T48" s="53"/>
      <c r="U48" s="53"/>
      <c r="V48" s="70"/>
      <c r="W48" s="53"/>
      <c r="X48" s="53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161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86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70"/>
      <c r="W49" s="53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161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86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70"/>
      <c r="W50" s="53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161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86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70"/>
      <c r="W51" s="53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161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86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70"/>
      <c r="W52" s="53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161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86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70"/>
      <c r="W53" s="53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161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86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70"/>
      <c r="W54" s="53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161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86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70"/>
      <c r="W55" s="53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161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86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70"/>
      <c r="W56" s="53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161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86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70"/>
      <c r="W57" s="53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161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86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70"/>
      <c r="W58" s="53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161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86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70"/>
      <c r="W59" s="53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161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86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70"/>
      <c r="W60" s="53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IF($A61="","",IF($F61="DIESEL",SUMIFS(Table1[Quantity],Table1[Customer],$K$4,Table1[Date],$A61),IF($F61="PETROL",SUMIFS(Table14[Quantity],Table14[Customer],$K$4,Table14[Date],$A61),IF($F61="XtraGreen",SUMIFS(Table146[Quantity],Table146[Company],$K$4,Table146[Date],$A61),""))))</f>
        <v/>
      </c>
      <c r="C61" s="161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IF($A61="","",IF($F61="DIESEL",SUMIFS(Table1[Amount],Table1[Customer],$K$4,Table1[Date],$A61),IF($F61="PETROL",SUMIFS(Table14[Amount],Table14[Customer],$K$4,Table14[Date],$A61),IF($F61="XtraGreen",SUMIFS(Table146[Amount],Table146[Company],$K$4,Table146[Date],$A61),""))))</f>
        <v/>
      </c>
      <c r="E61" s="86">
        <f>IF($A61="",0,IF(COUNTIF($A$6:$A61,$A61)=1,SUMIFS(MasterPaid[Amount Paid],MasterPaid[Customer],$K$4,MasterPaid[Date],$A61),0))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70"/>
      <c r="W61" s="53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IF($A62="","",IF($F62="DIESEL",SUMIFS(Table1[Quantity],Table1[Customer],$K$4,Table1[Date],$A62),IF($F62="PETROL",SUMIFS(Table14[Quantity],Table14[Customer],$K$4,Table14[Date],$A62),IF($F62="XtraGreen",SUMIFS(Table146[Quantity],Table146[Company],$K$4,Table146[Date],$A62),""))))</f>
        <v/>
      </c>
      <c r="C62" s="161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IF($A62="","",IF($F62="DIESEL",SUMIFS(Table1[Amount],Table1[Customer],$K$4,Table1[Date],$A62),IF($F62="PETROL",SUMIFS(Table14[Amount],Table14[Customer],$K$4,Table14[Date],$A62),IF($F62="XtraGreen",SUMIFS(Table146[Amount],Table146[Company],$K$4,Table146[Date],$A62),""))))</f>
        <v/>
      </c>
      <c r="E62" s="86">
        <f>IF($A62="",0,IF(COUNTIF($A$6:$A62,$A62)=1,SUMIFS(MasterPaid[Amount Paid],MasterPaid[Customer],$K$4,MasterPaid[Date],$A62),0))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70"/>
      <c r="W62" s="53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IF($A63="","",IF($F63="DIESEL",SUMIFS(Table1[Quantity],Table1[Customer],$K$4,Table1[Date],$A63),IF($F63="PETROL",SUMIFS(Table14[Quantity],Table14[Customer],$K$4,Table14[Date],$A63),IF($F63="XtraGreen",SUMIFS(Table146[Quantity],Table146[Company],$K$4,Table146[Date],$A63),""))))</f>
        <v/>
      </c>
      <c r="C63" s="161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IF($A63="","",IF($F63="DIESEL",SUMIFS(Table1[Amount],Table1[Customer],$K$4,Table1[Date],$A63),IF($F63="PETROL",SUMIFS(Table14[Amount],Table14[Customer],$K$4,Table14[Date],$A63),IF($F63="XtraGreen",SUMIFS(Table146[Amount],Table146[Company],$K$4,Table146[Date],$A63),""))))</f>
        <v/>
      </c>
      <c r="E63" s="86">
        <f>IF($A63="",0,IF(COUNTIF($A$6:$A63,$A63)=1,SUMIFS(MasterPaid[Amount Paid],MasterPaid[Customer],$K$4,MasterPaid[Date],$A63),0))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70"/>
      <c r="W63" s="53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IF($A64="","",IF($F64="DIESEL",SUMIFS(Table1[Quantity],Table1[Customer],$K$4,Table1[Date],$A64),IF($F64="PETROL",SUMIFS(Table14[Quantity],Table14[Customer],$K$4,Table14[Date],$A64),IF($F64="XtraGreen",SUMIFS(Table146[Quantity],Table146[Company],$K$4,Table146[Date],$A64),""))))</f>
        <v/>
      </c>
      <c r="C64" s="161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IF($A64="","",IF($F64="DIESEL",SUMIFS(Table1[Amount],Table1[Customer],$K$4,Table1[Date],$A64),IF($F64="PETROL",SUMIFS(Table14[Amount],Table14[Customer],$K$4,Table14[Date],$A64),IF($F64="XtraGreen",SUMIFS(Table146[Amount],Table146[Company],$K$4,Table146[Date],$A64),""))))</f>
        <v/>
      </c>
      <c r="E64" s="86">
        <f>IF($A64="",0,IF(COUNTIF($A$6:$A64,$A64)=1,SUMIFS(MasterPaid[Amount Paid],MasterPaid[Customer],$K$4,MasterPaid[Date],$A64),0))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70"/>
      <c r="W64" s="53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IF($A65="","",IF($F65="DIESEL",SUMIFS(Table1[Quantity],Table1[Customer],$K$4,Table1[Date],$A65),IF($F65="PETROL",SUMIFS(Table14[Quantity],Table14[Customer],$K$4,Table14[Date],$A65),IF($F65="XtraGreen",SUMIFS(Table146[Quantity],Table146[Company],$K$4,Table146[Date],$A65),""))))</f>
        <v/>
      </c>
      <c r="C65" s="161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IF($A65="","",IF($F65="DIESEL",SUMIFS(Table1[Amount],Table1[Customer],$K$4,Table1[Date],$A65),IF($F65="PETROL",SUMIFS(Table14[Amount],Table14[Customer],$K$4,Table14[Date],$A65),IF($F65="XtraGreen",SUMIFS(Table146[Amount],Table146[Company],$K$4,Table146[Date],$A65),""))))</f>
        <v/>
      </c>
      <c r="E65" s="86">
        <f>IF($A65="",0,IF(COUNTIF($A$6:$A65,$A65)=1,SUMIFS(MasterPaid[Amount Paid],MasterPaid[Customer],$K$4,MasterPaid[Date],$A65),0))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70"/>
      <c r="W65" s="53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IF($A66="","",IF($F66="DIESEL",SUMIFS(Table1[Quantity],Table1[Customer],$K$4,Table1[Date],$A66),IF($F66="PETROL",SUMIFS(Table14[Quantity],Table14[Customer],$K$4,Table14[Date],$A66),IF($F66="XtraGreen",SUMIFS(Table146[Quantity],Table146[Company],$K$4,Table146[Date],$A66),""))))</f>
        <v/>
      </c>
      <c r="C66" s="161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IF($A66="","",IF($F66="DIESEL",SUMIFS(Table1[Amount],Table1[Customer],$K$4,Table1[Date],$A66),IF($F66="PETROL",SUMIFS(Table14[Amount],Table14[Customer],$K$4,Table14[Date],$A66),IF($F66="XtraGreen",SUMIFS(Table146[Amount],Table146[Company],$K$4,Table146[Date],$A66),""))))</f>
        <v/>
      </c>
      <c r="E66" s="86">
        <f>IF($A66="",0,IF(COUNTIF($A$6:$A66,$A66)=1,SUMIFS(MasterPaid[Amount Paid],MasterPaid[Customer],$K$4,MasterPaid[Date],$A66),0))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70"/>
      <c r="W66" s="53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IF($A67="","",IF($F67="DIESEL",SUMIFS(Table1[Quantity],Table1[Customer],$K$4,Table1[Date],$A67),IF($F67="PETROL",SUMIFS(Table14[Quantity],Table14[Customer],$K$4,Table14[Date],$A67),IF($F67="XtraGreen",SUMIFS(Table146[Quantity],Table146[Company],$K$4,Table146[Date],$A67),""))))</f>
        <v/>
      </c>
      <c r="C67" s="161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IF($A67="","",IF($F67="DIESEL",SUMIFS(Table1[Amount],Table1[Customer],$K$4,Table1[Date],$A67),IF($F67="PETROL",SUMIFS(Table14[Amount],Table14[Customer],$K$4,Table14[Date],$A67),IF($F67="XtraGreen",SUMIFS(Table146[Amount],Table146[Company],$K$4,Table146[Date],$A67),""))))</f>
        <v/>
      </c>
      <c r="E67" s="86">
        <f>IF($A67="",0,IF(COUNTIF($A$6:$A67,$A67)=1,SUMIFS(MasterPaid[Amount Paid],MasterPaid[Customer],$K$4,MasterPaid[Date],$A67),0))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70"/>
      <c r="W67" s="53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IF($A68="","",IF($F68="DIESEL",SUMIFS(Table1[Quantity],Table1[Customer],$K$4,Table1[Date],$A68),IF($F68="PETROL",SUMIFS(Table14[Quantity],Table14[Customer],$K$4,Table14[Date],$A68),IF($F68="XtraGreen",SUMIFS(Table146[Quantity],Table146[Company],$K$4,Table146[Date],$A68),""))))</f>
        <v/>
      </c>
      <c r="C68" s="161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IF($A68="","",IF($F68="DIESEL",SUMIFS(Table1[Amount],Table1[Customer],$K$4,Table1[Date],$A68),IF($F68="PETROL",SUMIFS(Table14[Amount],Table14[Customer],$K$4,Table14[Date],$A68),IF($F68="XtraGreen",SUMIFS(Table146[Amount],Table146[Company],$K$4,Table146[Date],$A68),""))))</f>
        <v/>
      </c>
      <c r="E68" s="86">
        <f>IF($A68="",0,IF(COUNTIF($A$6:$A68,$A68)=1,SUMIFS(MasterPaid[Amount Paid],MasterPaid[Customer],$K$4,MasterPaid[Date],$A68),0))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70"/>
      <c r="W68" s="53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IF($A69="","",IF($F69="DIESEL",SUMIFS(Table1[Quantity],Table1[Customer],$K$4,Table1[Date],$A69),IF($F69="PETROL",SUMIFS(Table14[Quantity],Table14[Customer],$K$4,Table14[Date],$A69),IF($F69="XtraGreen",SUMIFS(Table146[Quantity],Table146[Company],$K$4,Table146[Date],$A69),""))))</f>
        <v/>
      </c>
      <c r="C69" s="161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IF($A69="","",IF($F69="DIESEL",SUMIFS(Table1[Amount],Table1[Customer],$K$4,Table1[Date],$A69),IF($F69="PETROL",SUMIFS(Table14[Amount],Table14[Customer],$K$4,Table14[Date],$A69),IF($F69="XtraGreen",SUMIFS(Table146[Amount],Table146[Company],$K$4,Table146[Date],$A69),""))))</f>
        <v/>
      </c>
      <c r="E69" s="86">
        <f>IF($A69="",0,IF(COUNTIF($A$6:$A69,$A69)=1,SUMIFS(MasterPaid[Amount Paid],MasterPaid[Customer],$K$4,MasterPaid[Date],$A69),0))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52"/>
      <c r="S69" s="53"/>
      <c r="T69" s="53"/>
      <c r="U69" s="53"/>
      <c r="V69" s="70"/>
      <c r="W69" s="53"/>
      <c r="X69" s="53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IF($A70="","",IF($F70="DIESEL",SUMIFS(Table1[Quantity],Table1[Customer],$K$4,Table1[Date],$A70),IF($F70="PETROL",SUMIFS(Table14[Quantity],Table14[Customer],$K$4,Table14[Date],$A70),IF($F70="XtraGreen",SUMIFS(Table146[Quantity],Table146[Company],$K$4,Table146[Date],$A70),""))))</f>
        <v/>
      </c>
      <c r="C70" s="161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IF($A70="","",IF($F70="DIESEL",SUMIFS(Table1[Amount],Table1[Customer],$K$4,Table1[Date],$A70),IF($F70="PETROL",SUMIFS(Table14[Amount],Table14[Customer],$K$4,Table14[Date],$A70),IF($F70="XtraGreen",SUMIFS(Table146[Amount],Table146[Company],$K$4,Table146[Date],$A70),""))))</f>
        <v/>
      </c>
      <c r="E70" s="86">
        <f>IF($A70="",0,IF(COUNTIF($A$6:$A70,$A70)=1,SUMIFS(MasterPaid[Amount Paid],MasterPaid[Customer],$K$4,MasterPaid[Date],$A70),0))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52"/>
      <c r="S70" s="53"/>
      <c r="T70" s="53"/>
      <c r="U70" s="53"/>
      <c r="V70" s="70"/>
      <c r="W70" s="53"/>
      <c r="X70" s="53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IF($A71="","",IF($F71="DIESEL",SUMIFS(Table1[Quantity],Table1[Customer],$K$4,Table1[Date],$A71),IF($F71="PETROL",SUMIFS(Table14[Quantity],Table14[Customer],$K$4,Table14[Date],$A71),IF($F71="XtraGreen",SUMIFS(Table146[Quantity],Table146[Company],$K$4,Table146[Date],$A71),""))))</f>
        <v/>
      </c>
      <c r="C71" s="161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IF($A71="","",IF($F71="DIESEL",SUMIFS(Table1[Amount],Table1[Customer],$K$4,Table1[Date],$A71),IF($F71="PETROL",SUMIFS(Table14[Amount],Table14[Customer],$K$4,Table14[Date],$A71),IF($F71="XtraGreen",SUMIFS(Table146[Amount],Table146[Company],$K$4,Table146[Date],$A71),""))))</f>
        <v/>
      </c>
      <c r="E71" s="86">
        <f>IF($A71="",0,IF(COUNTIF($A$6:$A71,$A71)=1,SUMIFS(MasterPaid[Amount Paid],MasterPaid[Customer],$K$4,MasterPaid[Date],$A71),0))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2"/>
      <c r="S71" s="53"/>
      <c r="T71" s="53"/>
      <c r="U71" s="53"/>
      <c r="V71" s="70"/>
      <c r="W71" s="53"/>
      <c r="X71" s="53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IF($A72="","",IF($F72="DIESEL",SUMIFS(Table1[Quantity],Table1[Customer],$K$4,Table1[Date],$A72),IF($F72="PETROL",SUMIFS(Table14[Quantity],Table14[Customer],$K$4,Table14[Date],$A72),IF($F72="XtraGreen",SUMIFS(Table146[Quantity],Table146[Company],$K$4,Table146[Date],$A72),""))))</f>
        <v/>
      </c>
      <c r="C72" s="161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IF($A72="","",IF($F72="DIESEL",SUMIFS(Table1[Amount],Table1[Customer],$K$4,Table1[Date],$A72),IF($F72="PETROL",SUMIFS(Table14[Amount],Table14[Customer],$K$4,Table14[Date],$A72),IF($F72="XtraGreen",SUMIFS(Table146[Amount],Table146[Company],$K$4,Table146[Date],$A72),""))))</f>
        <v/>
      </c>
      <c r="E72" s="86">
        <f>IF($A72="",0,IF(COUNTIF($A$6:$A72,$A72)=1,SUMIFS(MasterPaid[Amount Paid],MasterPaid[Customer],$K$4,MasterPaid[Date],$A72),0))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2"/>
      <c r="S72" s="53"/>
      <c r="T72" s="53"/>
      <c r="U72" s="53"/>
      <c r="V72" s="70"/>
      <c r="W72" s="53"/>
      <c r="X72" s="53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IF($A73="","",IF($F73="DIESEL",SUMIFS(Table1[Quantity],Table1[Customer],$K$4,Table1[Date],$A73),IF($F73="PETROL",SUMIFS(Table14[Quantity],Table14[Customer],$K$4,Table14[Date],$A73),IF($F73="XtraGreen",SUMIFS(Table146[Quantity],Table146[Company],$K$4,Table146[Date],$A73),""))))</f>
        <v/>
      </c>
      <c r="C73" s="161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IF($A73="","",IF($F73="DIESEL",SUMIFS(Table1[Amount],Table1[Customer],$K$4,Table1[Date],$A73),IF($F73="PETROL",SUMIFS(Table14[Amount],Table14[Customer],$K$4,Table14[Date],$A73),IF($F73="XtraGreen",SUMIFS(Table146[Amount],Table146[Company],$K$4,Table146[Date],$A73),""))))</f>
        <v/>
      </c>
      <c r="E73" s="86">
        <f>IF($A73="",0,IF(COUNTIF($A$6:$A73,$A73)=1,SUMIFS(MasterPaid[Amount Paid],MasterPaid[Customer],$K$4,MasterPaid[Date],$A73),0))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2"/>
      <c r="S73" s="53"/>
      <c r="T73" s="53"/>
      <c r="U73" s="53"/>
      <c r="V73" s="70"/>
      <c r="W73" s="53"/>
      <c r="X73" s="53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IF($A74="","",IF($F74="DIESEL",SUMIFS(Table1[Quantity],Table1[Customer],$K$4,Table1[Date],$A74),IF($F74="PETROL",SUMIFS(Table14[Quantity],Table14[Customer],$K$4,Table14[Date],$A74),IF($F74="XtraGreen",SUMIFS(Table146[Quantity],Table146[Company],$K$4,Table146[Date],$A74),""))))</f>
        <v/>
      </c>
      <c r="C74" s="161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IF($A74="","",IF($F74="DIESEL",SUMIFS(Table1[Amount],Table1[Customer],$K$4,Table1[Date],$A74),IF($F74="PETROL",SUMIFS(Table14[Amount],Table14[Customer],$K$4,Table14[Date],$A74),IF($F74="XtraGreen",SUMIFS(Table146[Amount],Table146[Company],$K$4,Table146[Date],$A74),""))))</f>
        <v/>
      </c>
      <c r="E74" s="86">
        <f>IF($A74="",0,IF(COUNTIF($A$6:$A74,$A74)=1,SUMIFS(MasterPaid[Amount Paid],MasterPaid[Customer],$K$4,MasterPaid[Date],$A74),0))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2"/>
      <c r="S74" s="53"/>
      <c r="T74" s="53"/>
      <c r="U74" s="53"/>
      <c r="V74" s="70"/>
      <c r="W74" s="53"/>
      <c r="X74" s="53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IF($A75="","",IF($F75="DIESEL",SUMIFS(Table1[Quantity],Table1[Customer],$K$4,Table1[Date],$A75),IF($F75="PETROL",SUMIFS(Table14[Quantity],Table14[Customer],$K$4,Table14[Date],$A75),IF($F75="XtraGreen",SUMIFS(Table146[Quantity],Table146[Company],$K$4,Table146[Date],$A75),""))))</f>
        <v/>
      </c>
      <c r="C75" s="161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IF($A75="","",IF($F75="DIESEL",SUMIFS(Table1[Amount],Table1[Customer],$K$4,Table1[Date],$A75),IF($F75="PETROL",SUMIFS(Table14[Amount],Table14[Customer],$K$4,Table14[Date],$A75),IF($F75="XtraGreen",SUMIFS(Table146[Amount],Table146[Company],$K$4,Table146[Date],$A75),""))))</f>
        <v/>
      </c>
      <c r="E75" s="86">
        <f>IF($A75="",0,IF(COUNTIF($A$6:$A75,$A75)=1,SUMIFS(MasterPaid[Amount Paid],MasterPaid[Customer],$K$4,MasterPaid[Date],$A75),0))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2"/>
      <c r="S75" s="53"/>
      <c r="T75" s="53"/>
      <c r="U75" s="53"/>
      <c r="V75" s="70"/>
      <c r="W75" s="53"/>
      <c r="X75" s="53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IF($A76="","",IF($F76="DIESEL",SUMIFS(Table1[Quantity],Table1[Customer],$K$4,Table1[Date],$A76),IF($F76="PETROL",SUMIFS(Table14[Quantity],Table14[Customer],$K$4,Table14[Date],$A76),IF($F76="XtraGreen",SUMIFS(Table146[Quantity],Table146[Company],$K$4,Table146[Date],$A76),""))))</f>
        <v/>
      </c>
      <c r="C76" s="161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IF($A76="","",IF($F76="DIESEL",SUMIFS(Table1[Amount],Table1[Customer],$K$4,Table1[Date],$A76),IF($F76="PETROL",SUMIFS(Table14[Amount],Table14[Customer],$K$4,Table14[Date],$A76),IF($F76="XtraGreen",SUMIFS(Table146[Amount],Table146[Company],$K$4,Table146[Date],$A76),""))))</f>
        <v/>
      </c>
      <c r="E76" s="86">
        <f>IF($A76="",0,IF(COUNTIF($A$6:$A76,$A76)=1,SUMIFS(MasterPaid[Amount Paid],MasterPaid[Customer],$K$4,MasterPaid[Date],$A76),0))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2"/>
      <c r="S76" s="53"/>
      <c r="T76" s="53"/>
      <c r="U76" s="53"/>
      <c r="V76" s="70"/>
      <c r="W76" s="53"/>
      <c r="X76" s="53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IF($A77="","",IF($F77="DIESEL",SUMIFS(Table1[Quantity],Table1[Customer],$K$4,Table1[Date],$A77),IF($F77="PETROL",SUMIFS(Table14[Quantity],Table14[Customer],$K$4,Table14[Date],$A77),IF($F77="XtraGreen",SUMIFS(Table146[Quantity],Table146[Company],$K$4,Table146[Date],$A77),""))))</f>
        <v/>
      </c>
      <c r="C77" s="161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IF($A77="","",IF($F77="DIESEL",SUMIFS(Table1[Amount],Table1[Customer],$K$4,Table1[Date],$A77),IF($F77="PETROL",SUMIFS(Table14[Amount],Table14[Customer],$K$4,Table14[Date],$A77),IF($F77="XtraGreen",SUMIFS(Table146[Amount],Table146[Company],$K$4,Table146[Date],$A77),""))))</f>
        <v/>
      </c>
      <c r="E77" s="86">
        <f>IF($A77="",0,IF(COUNTIF($A$6:$A77,$A77)=1,SUMIFS(MasterPaid[Amount Paid],MasterPaid[Customer],$K$4,MasterPaid[Date],$A77),0))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2"/>
      <c r="S77" s="53"/>
      <c r="T77" s="53"/>
      <c r="U77" s="53"/>
      <c r="V77" s="70"/>
      <c r="W77" s="53"/>
      <c r="X77" s="53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IF($A78="","",IF($F78="DIESEL",SUMIFS(Table1[Quantity],Table1[Customer],$K$4,Table1[Date],$A78),IF($F78="PETROL",SUMIFS(Table14[Quantity],Table14[Customer],$K$4,Table14[Date],$A78),IF($F78="XtraGreen",SUMIFS(Table146[Quantity],Table146[Company],$K$4,Table146[Date],$A78),""))))</f>
        <v/>
      </c>
      <c r="C78" s="161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IF($A78="","",IF($F78="DIESEL",SUMIFS(Table1[Amount],Table1[Customer],$K$4,Table1[Date],$A78),IF($F78="PETROL",SUMIFS(Table14[Amount],Table14[Customer],$K$4,Table14[Date],$A78),IF($F78="XtraGreen",SUMIFS(Table146[Amount],Table146[Company],$K$4,Table146[Date],$A78),""))))</f>
        <v/>
      </c>
      <c r="E78" s="86">
        <f>IF($A78="",0,IF(COUNTIF($A$6:$A78,$A78)=1,SUMIFS(MasterPaid[Amount Paid],MasterPaid[Customer],$K$4,MasterPaid[Date],$A78),0))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2"/>
      <c r="S78" s="53"/>
      <c r="T78" s="53"/>
      <c r="U78" s="53"/>
      <c r="V78" s="70"/>
      <c r="W78" s="53"/>
      <c r="X78" s="53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IF($A79="","",IF($F79="DIESEL",SUMIFS(Table1[Quantity],Table1[Customer],$K$4,Table1[Date],$A79),IF($F79="PETROL",SUMIFS(Table14[Quantity],Table14[Customer],$K$4,Table14[Date],$A79),IF($F79="XtraGreen",SUMIFS(Table146[Quantity],Table146[Company],$K$4,Table146[Date],$A79),""))))</f>
        <v/>
      </c>
      <c r="C79" s="161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IF($A79="","",IF($F79="DIESEL",SUMIFS(Table1[Amount],Table1[Customer],$K$4,Table1[Date],$A79),IF($F79="PETROL",SUMIFS(Table14[Amount],Table14[Customer],$K$4,Table14[Date],$A79),IF($F79="XtraGreen",SUMIFS(Table146[Amount],Table146[Company],$K$4,Table146[Date],$A79),""))))</f>
        <v/>
      </c>
      <c r="E79" s="86">
        <f>IF($A79="",0,IF(COUNTIF($A$6:$A79,$A79)=1,SUMIFS(MasterPaid[Amount Paid],MasterPaid[Customer],$K$4,MasterPaid[Date],$A79),0))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2"/>
      <c r="S79" s="53"/>
      <c r="T79" s="53"/>
      <c r="U79" s="53"/>
      <c r="V79" s="70"/>
      <c r="W79" s="53"/>
      <c r="X79" s="53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IF($A80="","",IF($F80="DIESEL",SUMIFS(Table1[Quantity],Table1[Customer],$K$4,Table1[Date],$A80),IF($F80="PETROL",SUMIFS(Table14[Quantity],Table14[Customer],$K$4,Table14[Date],$A80),IF($F80="XtraGreen",SUMIFS(Table146[Quantity],Table146[Company],$K$4,Table146[Date],$A80),""))))</f>
        <v/>
      </c>
      <c r="C80" s="161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IF($A80="","",IF($F80="DIESEL",SUMIFS(Table1[Amount],Table1[Customer],$K$4,Table1[Date],$A80),IF($F80="PETROL",SUMIFS(Table14[Amount],Table14[Customer],$K$4,Table14[Date],$A80),IF($F80="XtraGreen",SUMIFS(Table146[Amount],Table146[Company],$K$4,Table146[Date],$A80),""))))</f>
        <v/>
      </c>
      <c r="E80" s="86">
        <f>IF($A80="",0,IF(COUNTIF($A$6:$A80,$A80)=1,SUMIFS(MasterPaid[Amount Paid],MasterPaid[Customer],$K$4,MasterPaid[Date],$A80),0))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2"/>
      <c r="S80" s="53"/>
      <c r="T80" s="53"/>
      <c r="U80" s="53"/>
      <c r="V80" s="70"/>
      <c r="W80" s="53"/>
      <c r="X80" s="53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IF($A81="","",IF($F81="DIESEL",SUMIFS(Table1[Quantity],Table1[Customer],$K$4,Table1[Date],$A81),IF($F81="PETROL",SUMIFS(Table14[Quantity],Table14[Customer],$K$4,Table14[Date],$A81),IF($F81="XtraGreen",SUMIFS(Table146[Quantity],Table146[Company],$K$4,Table146[Date],$A81),""))))</f>
        <v/>
      </c>
      <c r="C81" s="161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IF($A81="","",IF($F81="DIESEL",SUMIFS(Table1[Amount],Table1[Customer],$K$4,Table1[Date],$A81),IF($F81="PETROL",SUMIFS(Table14[Amount],Table14[Customer],$K$4,Table14[Date],$A81),IF($F81="XtraGreen",SUMIFS(Table146[Amount],Table146[Company],$K$4,Table146[Date],$A81),""))))</f>
        <v/>
      </c>
      <c r="E81" s="86">
        <f>IF($A81="",0,IF(COUNTIF($A$6:$A81,$A81)=1,SUMIFS(MasterPaid[Amount Paid],MasterPaid[Customer],$K$4,MasterPaid[Date],$A81),0))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IF($A82="","",IF($F82="DIESEL",SUMIFS(Table1[Quantity],Table1[Customer],$K$4,Table1[Date],$A82),IF($F82="PETROL",SUMIFS(Table14[Quantity],Table14[Customer],$K$4,Table14[Date],$A82),IF($F82="XtraGreen",SUMIFS(Table146[Quantity],Table146[Company],$K$4,Table146[Date],$A82),""))))</f>
        <v/>
      </c>
      <c r="C82" s="161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IF($A82="","",IF($F82="DIESEL",SUMIFS(Table1[Amount],Table1[Customer],$K$4,Table1[Date],$A82),IF($F82="PETROL",SUMIFS(Table14[Amount],Table14[Customer],$K$4,Table14[Date],$A82),IF($F82="XtraGreen",SUMIFS(Table146[Amount],Table146[Company],$K$4,Table146[Date],$A82),""))))</f>
        <v/>
      </c>
      <c r="E82" s="86">
        <f>IF($A82="",0,IF(COUNTIF($A$6:$A82,$A82)=1,SUMIFS(MasterPaid[Amount Paid],MasterPaid[Customer],$K$4,MasterPaid[Date],$A82),0))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IF($A83="","",IF($F83="DIESEL",SUMIFS(Table1[Quantity],Table1[Customer],$K$4,Table1[Date],$A83),IF($F83="PETROL",SUMIFS(Table14[Quantity],Table14[Customer],$K$4,Table14[Date],$A83),IF($F83="XtraGreen",SUMIFS(Table146[Quantity],Table146[Company],$K$4,Table146[Date],$A83),""))))</f>
        <v/>
      </c>
      <c r="C83" s="161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IF($A83="","",IF($F83="DIESEL",SUMIFS(Table1[Amount],Table1[Customer],$K$4,Table1[Date],$A83),IF($F83="PETROL",SUMIFS(Table14[Amount],Table14[Customer],$K$4,Table14[Date],$A83),IF($F83="XtraGreen",SUMIFS(Table146[Amount],Table146[Company],$K$4,Table146[Date],$A83),""))))</f>
        <v/>
      </c>
      <c r="E83" s="86">
        <f>IF($A83="",0,IF(COUNTIF($A$6:$A83,$A83)=1,SUMIFS(MasterPaid[Amount Paid],MasterPaid[Customer],$K$4,MasterPaid[Date],$A83),0))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IF($A84="","",IF($F84="DIESEL",SUMIFS(Table1[Quantity],Table1[Customer],$K$4,Table1[Date],$A84),IF($F84="PETROL",SUMIFS(Table14[Quantity],Table14[Customer],$K$4,Table14[Date],$A84),IF($F84="XtraGreen",SUMIFS(Table146[Quantity],Table146[Company],$K$4,Table146[Date],$A84),""))))</f>
        <v/>
      </c>
      <c r="C84" s="161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IF($A84="","",IF($F84="DIESEL",SUMIFS(Table1[Amount],Table1[Customer],$K$4,Table1[Date],$A84),IF($F84="PETROL",SUMIFS(Table14[Amount],Table14[Customer],$K$4,Table14[Date],$A84),IF($F84="XtraGreen",SUMIFS(Table146[Amount],Table146[Company],$K$4,Table146[Date],$A84),""))))</f>
        <v/>
      </c>
      <c r="E84" s="86">
        <f>IF($A84="",0,IF(COUNTIF($A$6:$A84,$A84)=1,SUMIFS(MasterPaid[Amount Paid],MasterPaid[Customer],$K$4,MasterPaid[Date],$A84),0))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IF($A85="","",IF($F85="DIESEL",SUMIFS(Table1[Quantity],Table1[Customer],$K$4,Table1[Date],$A85),IF($F85="PETROL",SUMIFS(Table14[Quantity],Table14[Customer],$K$4,Table14[Date],$A85),IF($F85="XtraGreen",SUMIFS(Table146[Quantity],Table146[Company],$K$4,Table146[Date],$A85),""))))</f>
        <v/>
      </c>
      <c r="C85" s="161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IF($A85="","",IF($F85="DIESEL",SUMIFS(Table1[Amount],Table1[Customer],$K$4,Table1[Date],$A85),IF($F85="PETROL",SUMIFS(Table14[Amount],Table14[Customer],$K$4,Table14[Date],$A85),IF($F85="XtraGreen",SUMIFS(Table146[Amount],Table146[Company],$K$4,Table146[Date],$A85),""))))</f>
        <v/>
      </c>
      <c r="E85" s="86">
        <f>IF($A85="",0,IF(COUNTIF($A$6:$A85,$A85)=1,SUMIFS(MasterPaid[Amount Paid],MasterPaid[Customer],$K$4,MasterPaid[Date],$A85),0))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9"/>
      <c r="G86" s="10"/>
    </row>
    <row r="87" spans="1:24" x14ac:dyDescent="0.2">
      <c r="B87" s="7"/>
      <c r="C87" s="7"/>
      <c r="D87" s="7"/>
      <c r="E87" s="9"/>
      <c r="G87" s="10"/>
    </row>
    <row r="88" spans="1:24" x14ac:dyDescent="0.2">
      <c r="B88" s="7"/>
      <c r="C88" s="7"/>
      <c r="D88" s="7"/>
      <c r="E88" s="9"/>
      <c r="G88" s="10"/>
    </row>
    <row r="89" spans="1:24" x14ac:dyDescent="0.2">
      <c r="B89" s="7"/>
      <c r="C89" s="7"/>
      <c r="D89" s="7"/>
      <c r="E89" s="9"/>
      <c r="G89" s="10"/>
    </row>
    <row r="90" spans="1:24" x14ac:dyDescent="0.2">
      <c r="B90" s="7"/>
      <c r="C90" s="7"/>
      <c r="D90" s="7"/>
      <c r="E90" s="9"/>
      <c r="G90" s="10"/>
    </row>
    <row r="91" spans="1:24" x14ac:dyDescent="0.2">
      <c r="B91" s="7"/>
      <c r="C91" s="7"/>
      <c r="D91" s="7"/>
      <c r="E91" s="9"/>
      <c r="G91" s="10"/>
    </row>
    <row r="92" spans="1:24" x14ac:dyDescent="0.2">
      <c r="B92" s="7"/>
      <c r="C92" s="7"/>
      <c r="D92" s="7"/>
      <c r="E92" s="9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678" priority="14">
      <formula>AND($A6&lt;&gt;"",$A6=$A5)</formula>
    </cfRule>
  </conditionalFormatting>
  <conditionalFormatting sqref="A6:A85">
    <cfRule type="expression" dxfId="1677" priority="10">
      <formula>$A6=$A5</formula>
    </cfRule>
  </conditionalFormatting>
  <conditionalFormatting sqref="B5:D92">
    <cfRule type="expression" dxfId="1676" priority="3">
      <formula>$F5="PETROL"</formula>
    </cfRule>
  </conditionalFormatting>
  <conditionalFormatting sqref="B5:D95">
    <cfRule type="expression" dxfId="1675" priority="5">
      <formula>AND(ISNUMBER(B5),MOD(B5,1)&lt;&gt;0)</formula>
    </cfRule>
  </conditionalFormatting>
  <conditionalFormatting sqref="B7:G60">
    <cfRule type="expression" dxfId="1674" priority="13">
      <formula>$H7="TOTAL"</formula>
    </cfRule>
  </conditionalFormatting>
  <conditionalFormatting sqref="E5:E95">
    <cfRule type="expression" dxfId="1673" priority="8">
      <formula>AND(ISNUMBER(E5),MOD(E5,1)&lt;&gt;0)</formula>
    </cfRule>
  </conditionalFormatting>
  <conditionalFormatting sqref="F5:F92">
    <cfRule type="expression" dxfId="1672" priority="4">
      <formula>$F5="PETROL"</formula>
    </cfRule>
  </conditionalFormatting>
  <conditionalFormatting sqref="G5:G95">
    <cfRule type="expression" dxfId="1671" priority="9">
      <formula>AND(ISNUMBER(G5),MOD(G5,1)&lt;&gt;0)</formula>
    </cfRule>
  </conditionalFormatting>
  <conditionalFormatting sqref="R13:R94">
    <cfRule type="expression" dxfId="1670" priority="11">
      <formula>AND(R13&lt;&gt;"",R13=R12)</formula>
    </cfRule>
  </conditionalFormatting>
  <conditionalFormatting sqref="R13:X94">
    <cfRule type="expression" dxfId="1669" priority="12">
      <formula>$X13="Petrol"</formula>
    </cfRule>
  </conditionalFormatting>
  <hyperlinks>
    <hyperlink ref="K1" location="Index!A1" display="→ Index" xr:uid="{D5C40B24-6860-DB4B-8644-DEE39C235637}"/>
  </hyperlinks>
  <printOptions horizontalCentered="1"/>
  <pageMargins left="0.25" right="0.25" top="0.25" bottom="1.35" header="0" footer="0.5"/>
  <pageSetup paperSize="9" scale="95" orientation="portrait" r:id="rId1"/>
  <drawing r:id="rId2"/>
  <legacyDrawingHF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775B-D3B1-E442-A07B-1A2FE5A902F5}">
  <sheetPr codeName="Sheet22">
    <pageSetUpPr fitToPage="1"/>
  </sheetPr>
  <dimension ref="A1:X95"/>
  <sheetViews>
    <sheetView topLeftCell="F1" zoomScale="140" zoomScaleNormal="14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3.5" customWidth="1"/>
    <col min="3" max="3" width="11.5" customWidth="1"/>
    <col min="4" max="4" width="19.6640625" customWidth="1"/>
    <col min="5" max="5" width="17.5" customWidth="1"/>
    <col min="6" max="6" width="14.5" customWidth="1"/>
    <col min="7" max="7" width="20.5" customWidth="1"/>
    <col min="8" max="8" width="31.6640625" bestFit="1" customWidth="1"/>
    <col min="9" max="9" width="19.1640625" customWidth="1"/>
    <col min="10" max="10" width="16.6640625" bestFit="1" customWidth="1"/>
    <col min="17" max="17" width="0.33203125" customWidth="1"/>
    <col min="18" max="18" width="12.6640625" customWidth="1"/>
    <col min="19" max="19" width="12.5" customWidth="1"/>
    <col min="20" max="20" width="17.1640625" customWidth="1"/>
    <col min="21" max="21" width="13.33203125" customWidth="1"/>
    <col min="22" max="22" width="11.6640625" customWidth="1"/>
    <col min="23" max="23" width="13.6640625" customWidth="1"/>
    <col min="24" max="24" width="13.83203125" customWidth="1"/>
  </cols>
  <sheetData>
    <row r="1" spans="1:24" ht="32" customHeight="1" x14ac:dyDescent="0.2">
      <c r="A1" s="521" t="s">
        <v>2549</v>
      </c>
      <c r="B1" s="538"/>
      <c r="C1" s="538"/>
      <c r="D1" s="538"/>
      <c r="E1" s="538"/>
      <c r="F1" s="538"/>
      <c r="G1" s="539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2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37" t="str">
        <f>"for The Month of  "&amp;TEXT(MAX(A5:A60),"mmmm-yyyy")</f>
        <v>for The Month of  August-2026</v>
      </c>
      <c r="B3" s="528"/>
      <c r="C3" s="528"/>
      <c r="D3" s="528"/>
      <c r="E3" s="528"/>
      <c r="F3" s="528"/>
      <c r="G3" s="529"/>
      <c r="H3" s="17"/>
      <c r="I3" s="17"/>
      <c r="J3" s="17"/>
      <c r="K3" s="157" t="s">
        <v>95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32" t="s">
        <v>6</v>
      </c>
      <c r="B4" s="33" t="s">
        <v>1179</v>
      </c>
      <c r="C4" s="33" t="s">
        <v>1180</v>
      </c>
      <c r="D4" s="33" t="s">
        <v>4</v>
      </c>
      <c r="E4" s="33" t="s">
        <v>1181</v>
      </c>
      <c r="F4" s="33" t="s">
        <v>1183</v>
      </c>
      <c r="G4" s="34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0"/>
      <c r="D5" s="85"/>
      <c r="E5" s="56">
        <f>SUMIFS(MasterPaid[Amount Paid],MasterPaid[Customer],$K$5,MasterPaid[Date],$A5)</f>
        <v>0</v>
      </c>
      <c r="F5" s="38"/>
      <c r="G5" s="57">
        <f>IFERROR(INDEX(Outstanding!$N$4:$Z$69,MATCH($K$3,Outstanding!$M$4:$M$66,0),MATCH($A$5,Outstanding!$N$3:$Z$3,0)),0)</f>
        <v>148883.5</v>
      </c>
      <c r="H5" s="20"/>
      <c r="I5" s="58">
        <f>G5+SUM(D5:D55)-SUM(E5:E55)</f>
        <v>438786.17000000086</v>
      </c>
      <c r="J5" s="20"/>
      <c r="K5" s="31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customHeight="1" x14ac:dyDescent="0.25">
      <c r="A6" s="71" cm="1">
        <f t="array" ref="A6">IFERROR(INDEX(_xlfn.ANCHORARRAY($K$6),ROW()-5,1),"")</f>
        <v>46235</v>
      </c>
      <c r="B6" s="159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>1251.3</v>
      </c>
      <c r="C6" s="161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>100.74</v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126055.96</v>
      </c>
      <c r="E6" s="86">
        <f>IF($H6="TOTAL",0,IF($A6="",0,IF(COUNTIF($A$6:$A6,$A6)=1,SUMIFS(MasterPaid[Amount Paid],MasterPaid[Customer],$K$3,MasterPaid[Date],$A6),0)))</f>
        <v>100000</v>
      </c>
      <c r="F6" s="62" t="str" cm="1">
        <f t="array" ref="F6">IFERROR(INDEX(_xlfn.ANCHORARRAY($K$6),ROW()-5,2),"")</f>
        <v>DIESEL</v>
      </c>
      <c r="G6" s="57">
        <f>IF($H6="TOTAL",IFERROR(LOOKUP(9.99E+307,$G$5:$G5),""),IF($A6="","",G5+N(D6)-N(E6)))</f>
        <v>174939.46000000002</v>
      </c>
      <c r="H6" s="20"/>
      <c r="I6" s="20"/>
      <c r="J6" s="20"/>
      <c r="K6" cm="1">
        <f t="array" ref="K6:L34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46235</v>
      </c>
      <c r="L6" s="17" t="str">
        <v>DIESEL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cm="1">
        <f t="array" ref="A7">IFERROR(INDEX(_xlfn.ANCHORARRAY($K$6),ROW()-5,1),"")</f>
        <v>46235</v>
      </c>
      <c r="B7" s="159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>10</v>
      </c>
      <c r="C7" s="161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>109.01</v>
      </c>
      <c r="D7" s="159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>1090.0999999999999</v>
      </c>
      <c r="E7" s="86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>PETROL</v>
      </c>
      <c r="G7" s="57">
        <f>IF($H7="TOTAL",IFERROR(LOOKUP(9.99E+307,$G$6:$G6),""),IF($A7="","",G6+N(D7)-N(E7)))</f>
        <v>176029.56000000003</v>
      </c>
      <c r="H7" s="20"/>
      <c r="I7" s="20"/>
      <c r="J7" s="20"/>
      <c r="K7" s="17">
        <v>46235</v>
      </c>
      <c r="L7" s="17" t="str">
        <v>PETROL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cm="1">
        <f t="array" ref="A8">IFERROR(INDEX(_xlfn.ANCHORARRAY($K$6),ROW()-5,1),"")</f>
        <v>46236</v>
      </c>
      <c r="B8" s="159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>1985.99</v>
      </c>
      <c r="C8" s="161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>100.74</v>
      </c>
      <c r="D8" s="159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>200068.63</v>
      </c>
      <c r="E8" s="86">
        <f>IF($H8="TOTAL",SUM($E$6:$E7)-SUMIF($H$6:$H7,"TOTAL",$E$6:$E7),IF($A8="",0,IF(COUNTIF($A$6:$A8,$A8)=1,SUMIFS(MasterPaid[Amount Paid],MasterPaid[Customer],$K$3,MasterPaid[Date],$A8),0)))</f>
        <v>100000</v>
      </c>
      <c r="F8" s="62" t="str" cm="1">
        <f t="array" ref="F8">IFERROR(INDEX(_xlfn.ANCHORARRAY($K$6),ROW()-5,2),"")</f>
        <v>DIESEL</v>
      </c>
      <c r="G8" s="57">
        <f>IF($H8="TOTAL",IFERROR(LOOKUP(9.99E+307,$G$6:$G7),""),IF($A8="","",G7+N(D8)-N(E8)))</f>
        <v>276098.19000000006</v>
      </c>
      <c r="H8" s="20"/>
      <c r="I8" s="20"/>
      <c r="J8" s="20"/>
      <c r="K8" s="17">
        <v>46236</v>
      </c>
      <c r="L8" s="17" t="str">
        <v>DIESEL</v>
      </c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cm="1">
        <f t="array" ref="A9">IFERROR(INDEX(_xlfn.ANCHORARRAY($K$6),ROW()-5,1),"")</f>
        <v>46237</v>
      </c>
      <c r="B9" s="159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>1178.26</v>
      </c>
      <c r="C9" s="161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>100.74</v>
      </c>
      <c r="D9" s="159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>118697.91</v>
      </c>
      <c r="E9" s="86">
        <f>IF($H9="TOTAL",SUM($E$6:$E8)-SUMIF($H$6:$H8,"TOTAL",$E$6:$E8),IF($A9="",0,IF(COUNTIF($A$6:$A9,$A9)=1,SUMIFS(MasterPaid[Amount Paid],MasterPaid[Customer],$K$3,MasterPaid[Date],$A9),0)))</f>
        <v>200000</v>
      </c>
      <c r="F9" s="62" t="str" cm="1">
        <f t="array" ref="F9">IFERROR(INDEX(_xlfn.ANCHORARRAY($K$6),ROW()-5,2),"")</f>
        <v>DIESEL</v>
      </c>
      <c r="G9" s="57">
        <f>IF($H9="TOTAL",IFERROR(LOOKUP(9.99E+307,$G$6:$G8),""),IF($A9="","",G8+N(D9)-N(E9)))</f>
        <v>194796.10000000009</v>
      </c>
      <c r="H9" s="20"/>
      <c r="I9" s="17"/>
      <c r="J9" s="17"/>
      <c r="K9" s="17">
        <v>46237</v>
      </c>
      <c r="L9" s="17" t="str">
        <v>DIESEL</v>
      </c>
      <c r="M9" s="17"/>
      <c r="N9" s="17"/>
      <c r="O9" s="17"/>
      <c r="P9" s="17"/>
      <c r="Q9" s="63" t="str">
        <f>K3</f>
        <v>Ember Coal Beneficiation Private Limited</v>
      </c>
      <c r="R9" s="44"/>
      <c r="S9" s="44"/>
      <c r="T9" s="44"/>
      <c r="U9" s="45"/>
      <c r="V9" s="45"/>
      <c r="W9" s="46" t="s">
        <v>1282</v>
      </c>
      <c r="X9" s="47">
        <v>46262</v>
      </c>
    </row>
    <row r="10" spans="1:24" ht="21.75" x14ac:dyDescent="0.25">
      <c r="A10" s="71" cm="1">
        <f t="array" ref="A10">IFERROR(INDEX(_xlfn.ANCHORARRAY($K$6),ROW()-5,1),"")</f>
        <v>46238</v>
      </c>
      <c r="B10" s="159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>614.9</v>
      </c>
      <c r="C10" s="161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>100.74</v>
      </c>
      <c r="D10" s="159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>61945.03</v>
      </c>
      <c r="E10" s="86">
        <f>IF($H10="TOTAL",SUM($E$6:$E9)-SUMIF($H$6:$H9,"TOTAL",$E$6:$E9),IF($A10="",0,IF(COUNTIF($A$6:$A10,$A10)=1,SUMIFS(MasterPaid[Amount Paid],MasterPaid[Customer],$K$3,MasterPaid[Date],$A10),0)))</f>
        <v>100000</v>
      </c>
      <c r="F10" s="62" t="str" cm="1">
        <f t="array" ref="F10">IFERROR(INDEX(_xlfn.ANCHORARRAY($K$6),ROW()-5,2),"")</f>
        <v>DIESEL</v>
      </c>
      <c r="G10" s="57">
        <f>IF($H10="TOTAL",IFERROR(LOOKUP(9.99E+307,$G$6:$G9),""),IF($A10="","",G9+N(D10)-N(E10)))</f>
        <v>156741.13000000009</v>
      </c>
      <c r="H10" s="20"/>
      <c r="I10" s="17"/>
      <c r="J10" s="17"/>
      <c r="K10" s="17">
        <v>46238</v>
      </c>
      <c r="L10" s="17" t="str">
        <v>DIESEL</v>
      </c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cm="1">
        <f t="array" ref="A11">IFERROR(INDEX(_xlfn.ANCHORARRAY($K$6),ROW()-5,1),"")</f>
        <v>46239</v>
      </c>
      <c r="B11" s="159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>1144.95</v>
      </c>
      <c r="C11" s="161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>100.74</v>
      </c>
      <c r="D11" s="159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>115342.26</v>
      </c>
      <c r="E11" s="86">
        <f>IF($H11="TOTAL",SUM($E$6:$E10)-SUMIF($H$6:$H10,"TOTAL",$E$6:$E10),IF($A11="",0,IF(COUNTIF($A$6:$A11,$A11)=1,SUMIFS(MasterPaid[Amount Paid],MasterPaid[Customer],$K$3,MasterPaid[Date],$A11),0)))</f>
        <v>100000</v>
      </c>
      <c r="F11" s="62" t="str" cm="1">
        <f t="array" ref="F11">IFERROR(INDEX(_xlfn.ANCHORARRAY($K$6),ROW()-5,2),"")</f>
        <v>DIESEL</v>
      </c>
      <c r="G11" s="57">
        <f>IF($H11="TOTAL",IFERROR(LOOKUP(9.99E+307,$G$6:$G10),""),IF($A11="","",G10+N(D11)-N(E11)))</f>
        <v>172083.39000000007</v>
      </c>
      <c r="H11" s="20"/>
      <c r="I11" s="17"/>
      <c r="J11" s="17"/>
      <c r="K11" s="17">
        <v>46239</v>
      </c>
      <c r="L11" s="17" t="str">
        <v>DIESEL</v>
      </c>
      <c r="M11" s="17"/>
      <c r="N11" s="17"/>
      <c r="O11" s="17"/>
      <c r="P11" s="17"/>
      <c r="Q11" s="199" t="str">
        <f>IFERROR(_xlfn.XLOOKUP($K$3,'Customer GST'!$A:$A,'Customer GST'!$B:$B,""),"")</f>
        <v>GSTIN:21AAICE0656P1ZH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71" cm="1">
        <f t="array" ref="A12">IFERROR(INDEX(_xlfn.ANCHORARRAY($K$6),ROW()-5,1),"")</f>
        <v>46240</v>
      </c>
      <c r="B12" s="159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>1147.03</v>
      </c>
      <c r="C12" s="161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>100.74</v>
      </c>
      <c r="D12" s="159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>115551.8</v>
      </c>
      <c r="E12" s="86">
        <f>IF($H12="TOTAL",SUM($E$6:$E11)-SUMIF($H$6:$H11,"TOTAL",$E$6:$E11),IF($A12="",0,IF(COUNTIF($A$6:$A12,$A12)=1,SUMIFS(MasterPaid[Amount Paid],MasterPaid[Customer],$K$3,MasterPaid[Date],$A12),0)))</f>
        <v>100000</v>
      </c>
      <c r="F12" s="62" t="str" cm="1">
        <f t="array" ref="F12">IFERROR(INDEX(_xlfn.ANCHORARRAY($K$6),ROW()-5,2),"")</f>
        <v>DIESEL</v>
      </c>
      <c r="G12" s="57">
        <f>IF($H12="TOTAL",IFERROR(LOOKUP(9.99E+307,$G$6:$G11),""),IF($A12="","",G11+N(D12)-N(E12)))</f>
        <v>187635.19000000006</v>
      </c>
      <c r="H12" s="20"/>
      <c r="I12" s="20"/>
      <c r="J12" s="20"/>
      <c r="K12" s="17">
        <v>46240</v>
      </c>
      <c r="L12" s="17" t="str">
        <v>DIESEL</v>
      </c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cm="1">
        <f t="array" ref="A13">IFERROR(INDEX(_xlfn.ANCHORARRAY($K$6),ROW()-5,1),"")</f>
        <v>46241</v>
      </c>
      <c r="B13" s="159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>843.67</v>
      </c>
      <c r="C13" s="161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>100.74</v>
      </c>
      <c r="D13" s="159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>84991.32</v>
      </c>
      <c r="E13" s="86">
        <f>IF($H13="TOTAL",SUM($E$6:$E12)-SUMIF($H$6:$H12,"TOTAL",$E$6:$E12),IF($A13="",0,IF(COUNTIF($A$6:$A13,$A13)=1,SUMIFS(MasterPaid[Amount Paid],MasterPaid[Customer],$K$3,MasterPaid[Date],$A13),0)))</f>
        <v>150000</v>
      </c>
      <c r="F13" s="62" t="str" cm="1">
        <f t="array" ref="F13">IFERROR(INDEX(_xlfn.ANCHORARRAY($K$6),ROW()-5,2),"")</f>
        <v>DIESEL</v>
      </c>
      <c r="G13" s="57">
        <f>IF($H13="TOTAL",IFERROR(LOOKUP(9.99E+307,$G$6:$G12),""),IF($A13="","",G12+N(D13)-N(E13)))</f>
        <v>122626.51000000007</v>
      </c>
      <c r="H13" s="20"/>
      <c r="I13" s="20"/>
      <c r="J13" s="20"/>
      <c r="K13" s="17">
        <v>46241</v>
      </c>
      <c r="L13" s="17" t="str">
        <v>DIESEL</v>
      </c>
      <c r="M13" s="17"/>
      <c r="N13" s="17"/>
      <c r="O13" s="17"/>
      <c r="P13" s="17"/>
      <c r="Q13" s="17"/>
      <c r="R13" s="64" cm="1">
        <f t="array" aca="1" ref="R13:X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46262</v>
      </c>
      <c r="S13" s="53" t="str">
        <f ca="1"/>
        <v>2529</v>
      </c>
      <c r="T13" s="53" t="str">
        <f ca="1"/>
        <v>OD15AF5510</v>
      </c>
      <c r="U13" s="53">
        <f ca="1"/>
        <v>985.97</v>
      </c>
      <c r="V13" s="53">
        <f ca="1"/>
        <v>100.74</v>
      </c>
      <c r="W13" s="184">
        <f ca="1"/>
        <v>99326.62</v>
      </c>
      <c r="X13" s="53" t="str">
        <f ca="1"/>
        <v>Diesel</v>
      </c>
    </row>
    <row r="14" spans="1:24" ht="21.75" x14ac:dyDescent="0.25">
      <c r="A14" s="71" cm="1">
        <f t="array" ref="A14">IFERROR(INDEX(_xlfn.ANCHORARRAY($K$6),ROW()-5,1),"")</f>
        <v>46242</v>
      </c>
      <c r="B14" s="159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>1148.71</v>
      </c>
      <c r="C14" s="161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>100.74</v>
      </c>
      <c r="D14" s="159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>115721.05</v>
      </c>
      <c r="E14" s="86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>DIESEL</v>
      </c>
      <c r="G14" s="57">
        <f>IF($H14="TOTAL",IFERROR(LOOKUP(9.99E+307,$G$6:$G13),""),IF($A14="","",G13+N(D14)-N(E14)))</f>
        <v>238347.56000000006</v>
      </c>
      <c r="H14" s="20"/>
      <c r="I14" s="20"/>
      <c r="J14" s="20"/>
      <c r="K14" s="17">
        <v>46242</v>
      </c>
      <c r="L14" s="17" t="str">
        <v>DIESEL</v>
      </c>
      <c r="M14" s="17"/>
      <c r="N14" s="17"/>
      <c r="O14" s="17"/>
      <c r="P14" s="17"/>
      <c r="Q14" s="17"/>
      <c r="R14" s="52"/>
      <c r="S14" s="53"/>
      <c r="T14" s="53"/>
      <c r="U14" s="53"/>
      <c r="V14" s="53"/>
      <c r="W14" s="184"/>
      <c r="X14" s="53"/>
    </row>
    <row r="15" spans="1:24" ht="21.75" x14ac:dyDescent="0.25">
      <c r="A15" s="71" cm="1">
        <f t="array" ref="A15">IFERROR(INDEX(_xlfn.ANCHORARRAY($K$6),ROW()-5,1),"")</f>
        <v>46243</v>
      </c>
      <c r="B15" s="159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>846.77</v>
      </c>
      <c r="C15" s="161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>100.74</v>
      </c>
      <c r="D15" s="159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>85303.61</v>
      </c>
      <c r="E15" s="86">
        <f>IF($H15="TOTAL",SUM($E$6:$E14)-SUMIF($H$6:$H14,"TOTAL",$E$6:$E14),IF($A15="",0,IF(COUNTIF($A$6:$A15,$A15)=1,SUMIFS(MasterPaid[Amount Paid],MasterPaid[Customer],$K$3,MasterPaid[Date],$A15),0)))</f>
        <v>200000</v>
      </c>
      <c r="F15" s="62" t="str" cm="1">
        <f t="array" ref="F15">IFERROR(INDEX(_xlfn.ANCHORARRAY($K$6),ROW()-5,2),"")</f>
        <v>DIESEL</v>
      </c>
      <c r="G15" s="57">
        <f>IF($H15="TOTAL",IFERROR(LOOKUP(9.99E+307,$G$6:$G14),""),IF($A15="","",G14+N(D15)-N(E15)))</f>
        <v>123651.17000000004</v>
      </c>
      <c r="H15" s="20"/>
      <c r="I15" s="20"/>
      <c r="J15" s="20"/>
      <c r="K15" s="17">
        <v>46243</v>
      </c>
      <c r="L15" s="17" t="str">
        <v>DIESEL</v>
      </c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cm="1">
        <f t="array" ref="A16">IFERROR(INDEX(_xlfn.ANCHORARRAY($K$6),ROW()-5,1),"")</f>
        <v>46244</v>
      </c>
      <c r="B16" s="159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>1246.7</v>
      </c>
      <c r="C16" s="161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>100.74</v>
      </c>
      <c r="D16" s="159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>125592.56</v>
      </c>
      <c r="E16" s="86">
        <f>IF($H16="TOTAL",SUM($E$6:$E15)-SUMIF($H$6:$H15,"TOTAL",$E$6:$E15),IF($A16="",0,IF(COUNTIF($A$6:$A16,$A16)=1,SUMIFS(MasterPaid[Amount Paid],MasterPaid[Customer],$K$3,MasterPaid[Date],$A16),0)))</f>
        <v>100000</v>
      </c>
      <c r="F16" s="62" t="str" cm="1">
        <f t="array" ref="F16">IFERROR(INDEX(_xlfn.ANCHORARRAY($K$6),ROW()-5,2),"")</f>
        <v>DIESEL</v>
      </c>
      <c r="G16" s="57">
        <f>IF($H16="TOTAL",IFERROR(LOOKUP(9.99E+307,$G$6:$G15),""),IF($A16="","",G15+N(D16)-N(E16)))</f>
        <v>149243.73000000004</v>
      </c>
      <c r="H16" s="20"/>
      <c r="I16" s="20"/>
      <c r="J16" s="20"/>
      <c r="K16" s="17">
        <v>46244</v>
      </c>
      <c r="L16" s="17" t="str">
        <v>DIESEL</v>
      </c>
      <c r="M16" s="17"/>
      <c r="N16" s="17"/>
      <c r="O16" s="17"/>
      <c r="P16" s="17"/>
      <c r="Q16" s="17"/>
      <c r="R16" s="52"/>
      <c r="S16" s="53"/>
      <c r="T16" s="53"/>
      <c r="U16" s="53"/>
      <c r="V16" s="53"/>
      <c r="W16" s="184"/>
      <c r="X16" s="53"/>
    </row>
    <row r="17" spans="1:24" ht="21.75" x14ac:dyDescent="0.25">
      <c r="A17" s="71" cm="1">
        <f t="array" ref="A17">IFERROR(INDEX(_xlfn.ANCHORARRAY($K$6),ROW()-5,1),"")</f>
        <v>46245</v>
      </c>
      <c r="B17" s="159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>1410.25</v>
      </c>
      <c r="C17" s="161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>100.74</v>
      </c>
      <c r="D17" s="159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>142068.59</v>
      </c>
      <c r="E17" s="86">
        <f>IF($H17="TOTAL",SUM($E$6:$E16)-SUMIF($H$6:$H16,"TOTAL",$E$6:$E16),IF($A17="",0,IF(COUNTIF($A$6:$A17,$A17)=1,SUMIFS(MasterPaid[Amount Paid],MasterPaid[Customer],$K$3,MasterPaid[Date],$A17),0)))</f>
        <v>100000</v>
      </c>
      <c r="F17" s="62" t="str" cm="1">
        <f t="array" ref="F17">IFERROR(INDEX(_xlfn.ANCHORARRAY($K$6),ROW()-5,2),"")</f>
        <v>DIESEL</v>
      </c>
      <c r="G17" s="57">
        <f>IF($H17="TOTAL",IFERROR(LOOKUP(9.99E+307,$G$6:$G16),""),IF($A17="","",G16+N(D17)-N(E17)))</f>
        <v>191312.32000000007</v>
      </c>
      <c r="H17" s="20"/>
      <c r="I17" s="20"/>
      <c r="J17" s="20"/>
      <c r="K17" s="17">
        <v>46245</v>
      </c>
      <c r="L17" s="17" t="str">
        <v>DIESEL</v>
      </c>
      <c r="M17" s="17"/>
      <c r="N17" s="17"/>
      <c r="O17" s="17"/>
      <c r="P17" s="17"/>
      <c r="Q17" s="17"/>
      <c r="R17" s="52"/>
      <c r="S17" s="53"/>
      <c r="T17" s="53"/>
      <c r="U17" s="53"/>
      <c r="V17" s="53"/>
      <c r="W17" s="184"/>
      <c r="X17" s="53"/>
    </row>
    <row r="18" spans="1:24" ht="21.75" x14ac:dyDescent="0.25">
      <c r="A18" s="71" cm="1">
        <f t="array" ref="A18">IFERROR(INDEX(_xlfn.ANCHORARRAY($K$6),ROW()-5,1),"")</f>
        <v>46246</v>
      </c>
      <c r="B18" s="159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>906.77</v>
      </c>
      <c r="C18" s="161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>100.74</v>
      </c>
      <c r="D18" s="159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>91348.01</v>
      </c>
      <c r="E18" s="86">
        <f>IF($H18="TOTAL",SUM($E$6:$E17)-SUMIF($H$6:$H17,"TOTAL",$E$6:$E17),IF($A18="",0,IF(COUNTIF($A$6:$A18,$A18)=1,SUMIFS(MasterPaid[Amount Paid],MasterPaid[Customer],$K$3,MasterPaid[Date],$A18),0)))</f>
        <v>100000</v>
      </c>
      <c r="F18" s="62" t="str" cm="1">
        <f t="array" ref="F18">IFERROR(INDEX(_xlfn.ANCHORARRAY($K$6),ROW()-5,2),"")</f>
        <v>DIESEL</v>
      </c>
      <c r="G18" s="57">
        <f>IF($H18="TOTAL",IFERROR(LOOKUP(9.99E+307,$G$6:$G17),""),IF($A18="","",G17+N(D18)-N(E18)))</f>
        <v>182660.33000000007</v>
      </c>
      <c r="H18" s="20"/>
      <c r="I18" s="20"/>
      <c r="J18" s="20"/>
      <c r="K18" s="17">
        <v>46246</v>
      </c>
      <c r="L18" s="17" t="str">
        <v>DIESEL</v>
      </c>
      <c r="M18" s="17"/>
      <c r="N18" s="17"/>
      <c r="O18" s="17"/>
      <c r="P18" s="17"/>
      <c r="Q18" s="180"/>
      <c r="R18" s="181"/>
      <c r="S18" s="182"/>
      <c r="T18" s="182"/>
      <c r="U18" s="182"/>
      <c r="V18" s="182"/>
      <c r="W18" s="185"/>
      <c r="X18" s="182"/>
    </row>
    <row r="19" spans="1:24" ht="21.75" x14ac:dyDescent="0.25">
      <c r="A19" s="71" cm="1">
        <f t="array" ref="A19">IFERROR(INDEX(_xlfn.ANCHORARRAY($K$6),ROW()-5,1),"")</f>
        <v>46247</v>
      </c>
      <c r="B19" s="159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>1269.72</v>
      </c>
      <c r="C19" s="161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>100.74</v>
      </c>
      <c r="D19" s="159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>127911.59</v>
      </c>
      <c r="E19" s="86">
        <f>IF($H19="TOTAL",SUM($E$6:$E18)-SUMIF($H$6:$H18,"TOTAL",$E$6:$E18),IF($A19="",0,IF(COUNTIF($A$6:$A19,$A19)=1,SUMIFS(MasterPaid[Amount Paid],MasterPaid[Customer],$K$3,MasterPaid[Date],$A19),0)))</f>
        <v>100000</v>
      </c>
      <c r="F19" s="62" t="str" cm="1">
        <f t="array" ref="F19">IFERROR(INDEX(_xlfn.ANCHORARRAY($K$6),ROW()-5,2),"")</f>
        <v>DIESEL</v>
      </c>
      <c r="G19" s="57">
        <f>IF($H19="TOTAL",IFERROR(LOOKUP(9.99E+307,$G$6:$G18),""),IF($A19="","",G18+N(D19)-N(E19)))</f>
        <v>210571.92000000004</v>
      </c>
      <c r="H19" s="20"/>
      <c r="I19" s="20"/>
      <c r="J19" s="20"/>
      <c r="K19" s="17">
        <v>46247</v>
      </c>
      <c r="L19" s="17" t="str">
        <v>DIESEL</v>
      </c>
      <c r="M19" s="17"/>
      <c r="N19" s="17"/>
      <c r="O19" s="17"/>
      <c r="P19" s="17"/>
      <c r="Q19" s="17"/>
      <c r="R19" s="52"/>
      <c r="S19" s="53"/>
      <c r="T19" s="53"/>
      <c r="U19" s="53"/>
      <c r="V19" s="53"/>
      <c r="W19" s="184"/>
      <c r="X19" s="53"/>
    </row>
    <row r="20" spans="1:24" ht="21.75" x14ac:dyDescent="0.25">
      <c r="A20" s="71" cm="1">
        <f t="array" ref="A20">IFERROR(INDEX(_xlfn.ANCHORARRAY($K$6),ROW()-5,1),"")</f>
        <v>46248</v>
      </c>
      <c r="B20" s="159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>603.13</v>
      </c>
      <c r="C20" s="161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>100.74</v>
      </c>
      <c r="D20" s="159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>60759.32</v>
      </c>
      <c r="E20" s="86">
        <f>IF($H20="TOTAL",SUM($E$6:$E19)-SUMIF($H$6:$H19,"TOTAL",$E$6:$E19),IF($A20="",0,IF(COUNTIF($A$6:$A20,$A20)=1,SUMIFS(MasterPaid[Amount Paid],MasterPaid[Customer],$K$3,MasterPaid[Date],$A20),0)))</f>
        <v>150000</v>
      </c>
      <c r="F20" s="62" t="str" cm="1">
        <f t="array" ref="F20">IFERROR(INDEX(_xlfn.ANCHORARRAY($K$6),ROW()-5,2),"")</f>
        <v>DIESEL</v>
      </c>
      <c r="G20" s="57">
        <f>IF($H20="TOTAL",IFERROR(LOOKUP(9.99E+307,$G$6:$G19),""),IF($A20="","",G19+N(D20)-N(E20)))</f>
        <v>121331.24000000005</v>
      </c>
      <c r="H20" s="20"/>
      <c r="I20" s="20"/>
      <c r="J20" s="20"/>
      <c r="K20" s="17">
        <v>46248</v>
      </c>
      <c r="L20" s="17" t="str">
        <v>DIESEL</v>
      </c>
      <c r="M20" s="17"/>
      <c r="N20" s="17"/>
      <c r="O20" s="17"/>
      <c r="P20" s="17"/>
      <c r="Q20" s="17"/>
      <c r="R20" s="52"/>
      <c r="S20" s="53"/>
      <c r="T20" s="53"/>
      <c r="U20" s="53"/>
      <c r="V20" s="53"/>
      <c r="W20" s="184"/>
      <c r="X20" s="53"/>
    </row>
    <row r="21" spans="1:24" ht="21.75" x14ac:dyDescent="0.25">
      <c r="A21" s="71" cm="1">
        <f t="array" ref="A21">IFERROR(INDEX(_xlfn.ANCHORARRAY($K$6),ROW()-5,1),"")</f>
        <v>46249</v>
      </c>
      <c r="B21" s="159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>1012.42</v>
      </c>
      <c r="C21" s="161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>100.74</v>
      </c>
      <c r="D21" s="159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>101991.19</v>
      </c>
      <c r="E21" s="86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>DIESEL</v>
      </c>
      <c r="G21" s="57">
        <f>IF($H21="TOTAL",IFERROR(LOOKUP(9.99E+307,$G$6:$G20),""),IF($A21="","",G20+N(D21)-N(E21)))</f>
        <v>223322.43000000005</v>
      </c>
      <c r="H21" s="20"/>
      <c r="I21" s="20"/>
      <c r="J21" s="20"/>
      <c r="K21" s="17">
        <v>46249</v>
      </c>
      <c r="L21" s="17" t="str">
        <v>DIESEL</v>
      </c>
      <c r="M21" s="17"/>
      <c r="N21" s="17"/>
      <c r="O21" s="17"/>
      <c r="P21" s="17"/>
      <c r="Q21" s="17"/>
      <c r="R21" s="52"/>
      <c r="S21" s="53"/>
      <c r="T21" s="53"/>
      <c r="U21" s="53"/>
      <c r="V21" s="53"/>
      <c r="W21" s="184"/>
      <c r="X21" s="53"/>
    </row>
    <row r="22" spans="1:24" ht="21.75" x14ac:dyDescent="0.25">
      <c r="A22" s="71" cm="1">
        <f t="array" ref="A22">IFERROR(INDEX(_xlfn.ANCHORARRAY($K$6),ROW()-5,1),"")</f>
        <v>46250</v>
      </c>
      <c r="B22" s="159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>1242.3499999999999</v>
      </c>
      <c r="C22" s="161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>100.74</v>
      </c>
      <c r="D22" s="159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>125154.34</v>
      </c>
      <c r="E22" s="86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>DIESEL</v>
      </c>
      <c r="G22" s="57">
        <f>IF($H22="TOTAL",IFERROR(LOOKUP(9.99E+307,$G$6:$G21),""),IF($A22="","",G21+N(D22)-N(E22)))</f>
        <v>348476.77</v>
      </c>
      <c r="H22" s="20"/>
      <c r="I22" s="20"/>
      <c r="J22" s="20"/>
      <c r="K22" s="17">
        <v>46250</v>
      </c>
      <c r="L22" s="17" t="str">
        <v>DIESEL</v>
      </c>
      <c r="M22" s="17"/>
      <c r="N22" s="17"/>
      <c r="O22" s="17"/>
      <c r="P22" s="17"/>
      <c r="Q22" s="17"/>
      <c r="R22" s="52"/>
      <c r="S22" s="53"/>
      <c r="T22" s="53"/>
      <c r="U22" s="53"/>
      <c r="V22" s="53"/>
      <c r="W22" s="184"/>
      <c r="X22" s="53"/>
    </row>
    <row r="23" spans="1:24" ht="23" x14ac:dyDescent="0.25">
      <c r="A23" s="71" cm="1">
        <f t="array" ref="A23">IFERROR(INDEX(_xlfn.ANCHORARRAY($K$6),ROW()-5,1),"")</f>
        <v>46251</v>
      </c>
      <c r="B23" s="159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>1051.3699999999999</v>
      </c>
      <c r="C23" s="161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>100.74</v>
      </c>
      <c r="D23" s="159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>105915.01</v>
      </c>
      <c r="E23" s="86">
        <f>IF($H23="TOTAL",SUM($E$6:$E22)-SUMIF($H$6:$H22,"TOTAL",$E$6:$E22),IF($A23="",0,IF(COUNTIF($A$6:$A23,$A23)=1,SUMIFS(MasterPaid[Amount Paid],MasterPaid[Customer],$K$3,MasterPaid[Date],$A23),0)))</f>
        <v>200000</v>
      </c>
      <c r="F23" s="62" t="str" cm="1">
        <f t="array" ref="F23">IFERROR(INDEX(_xlfn.ANCHORARRAY($K$6),ROW()-5,2),"")</f>
        <v>DIESEL</v>
      </c>
      <c r="G23" s="57">
        <f>IF($H23="TOTAL",IFERROR(LOOKUP(9.99E+307,$G$6:$G22),""),IF($A23="","",G22+N(D23)-N(E23)))</f>
        <v>254391.78000000003</v>
      </c>
      <c r="H23" s="20"/>
      <c r="I23" s="20"/>
      <c r="J23" s="20"/>
      <c r="K23" s="17">
        <v>46251</v>
      </c>
      <c r="L23" s="17" t="str">
        <v>DIESEL</v>
      </c>
      <c r="M23" s="17"/>
      <c r="N23" s="17"/>
      <c r="O23" s="17"/>
      <c r="P23" s="17"/>
      <c r="Q23" s="17"/>
      <c r="R23" s="52"/>
      <c r="S23" s="53"/>
      <c r="T23" s="53"/>
      <c r="U23" s="53"/>
      <c r="V23" s="53"/>
      <c r="W23" s="184"/>
      <c r="X23" s="53"/>
    </row>
    <row r="24" spans="1:24" ht="23" x14ac:dyDescent="0.25">
      <c r="A24" s="71" cm="1">
        <f t="array" ref="A24">IFERROR(INDEX(_xlfn.ANCHORARRAY($K$6),ROW()-5,1),"")</f>
        <v>46252</v>
      </c>
      <c r="B24" s="159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>1326.66</v>
      </c>
      <c r="C24" s="161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>100.74</v>
      </c>
      <c r="D24" s="159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>133647.73000000001</v>
      </c>
      <c r="E24" s="86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>DIESEL</v>
      </c>
      <c r="G24" s="57">
        <f>IF($H24="TOTAL",IFERROR(LOOKUP(9.99E+307,$G$6:$G23),""),IF($A24="","",G23+N(D24)-N(E24)))</f>
        <v>388039.51</v>
      </c>
      <c r="H24" s="20"/>
      <c r="I24" s="20"/>
      <c r="J24" s="20"/>
      <c r="K24" s="17">
        <v>46252</v>
      </c>
      <c r="L24" s="17" t="str">
        <v>DIESEL</v>
      </c>
      <c r="M24" s="17"/>
      <c r="N24" s="17"/>
      <c r="O24" s="17"/>
      <c r="P24" s="17"/>
      <c r="Q24" s="17"/>
      <c r="R24" s="52"/>
      <c r="S24" s="53"/>
      <c r="T24" s="53"/>
      <c r="U24" s="53"/>
      <c r="V24" s="53"/>
      <c r="W24" s="184"/>
      <c r="X24" s="53"/>
    </row>
    <row r="25" spans="1:24" ht="23" x14ac:dyDescent="0.25">
      <c r="A25" s="71" cm="1">
        <f t="array" ref="A25">IFERROR(INDEX(_xlfn.ANCHORARRAY($K$6),ROW()-5,1),"")</f>
        <v>46253</v>
      </c>
      <c r="B25" s="159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>868.22</v>
      </c>
      <c r="C25" s="161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>100.74</v>
      </c>
      <c r="D25" s="159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>87464.48</v>
      </c>
      <c r="E25" s="86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>DIESEL</v>
      </c>
      <c r="G25" s="57">
        <f>IF($H25="TOTAL",IFERROR(LOOKUP(9.99E+307,$G$6:$G24),""),IF($A25="","",G24+N(D25)-N(E25)))</f>
        <v>475503.99</v>
      </c>
      <c r="H25" s="20"/>
      <c r="I25" s="20"/>
      <c r="J25" s="20"/>
      <c r="K25" s="17">
        <v>46253</v>
      </c>
      <c r="L25" s="17" t="str">
        <v>DIESEL</v>
      </c>
      <c r="M25" s="17"/>
      <c r="N25" s="17"/>
      <c r="O25" s="17"/>
      <c r="P25" s="17"/>
      <c r="Q25" s="17"/>
      <c r="R25" s="52"/>
      <c r="S25" s="53"/>
      <c r="T25" s="53"/>
      <c r="U25" s="53"/>
      <c r="V25" s="53"/>
      <c r="W25" s="184"/>
      <c r="X25" s="53"/>
    </row>
    <row r="26" spans="1:24" ht="23" x14ac:dyDescent="0.25">
      <c r="A26" s="71" cm="1">
        <f t="array" ref="A26">IFERROR(INDEX(_xlfn.ANCHORARRAY($K$6),ROW()-5,1),"")</f>
        <v>46254</v>
      </c>
      <c r="B26" s="159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>957.1</v>
      </c>
      <c r="C26" s="161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>100.74</v>
      </c>
      <c r="D26" s="159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>96418.25</v>
      </c>
      <c r="E26" s="86">
        <f>IF($H26="TOTAL",SUM($E$6:$E25)-SUMIF($H$6:$H25,"TOTAL",$E$6:$E25),IF($A26="",0,IF(COUNTIF($A$6:$A26,$A26)=1,SUMIFS(MasterPaid[Amount Paid],MasterPaid[Customer],$K$3,MasterPaid[Date],$A26),0)))</f>
        <v>200000</v>
      </c>
      <c r="F26" s="62" t="str" cm="1">
        <f t="array" ref="F26">IFERROR(INDEX(_xlfn.ANCHORARRAY($K$6),ROW()-5,2),"")</f>
        <v>DIESEL</v>
      </c>
      <c r="G26" s="57">
        <f>IF($H26="TOTAL",IFERROR(LOOKUP(9.99E+307,$G$6:$G25),""),IF($A26="","",G25+N(D26)-N(E26)))</f>
        <v>371922.24</v>
      </c>
      <c r="H26" s="20"/>
      <c r="I26" s="20"/>
      <c r="J26" s="20"/>
      <c r="K26" s="17">
        <v>46254</v>
      </c>
      <c r="L26" s="17" t="str">
        <v>DIESEL</v>
      </c>
      <c r="M26" s="17"/>
      <c r="N26" s="17"/>
      <c r="O26" s="17"/>
      <c r="P26" s="17"/>
      <c r="Q26" s="17"/>
      <c r="R26" s="52"/>
      <c r="S26" s="53"/>
      <c r="T26" s="53"/>
      <c r="U26" s="53"/>
      <c r="V26" s="53"/>
      <c r="W26" s="184"/>
      <c r="X26" s="53"/>
    </row>
    <row r="27" spans="1:24" ht="23" x14ac:dyDescent="0.25">
      <c r="A27" s="71" cm="1">
        <f t="array" ref="A27">IFERROR(INDEX(_xlfn.ANCHORARRAY($K$6),ROW()-5,1),"")</f>
        <v>46255</v>
      </c>
      <c r="B27" s="159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>2381.63</v>
      </c>
      <c r="C27" s="161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>100.74</v>
      </c>
      <c r="D27" s="159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>239925.41</v>
      </c>
      <c r="E27" s="86">
        <f>IF($H27="TOTAL",SUM($E$6:$E26)-SUMIF($H$6:$H26,"TOTAL",$E$6:$E26),IF($A27="",0,IF(COUNTIF($A$6:$A27,$A27)=1,SUMIFS(MasterPaid[Amount Paid],MasterPaid[Customer],$K$3,MasterPaid[Date],$A27),0)))</f>
        <v>200000</v>
      </c>
      <c r="F27" s="62" t="str" cm="1">
        <f t="array" ref="F27">IFERROR(INDEX(_xlfn.ANCHORARRAY($K$6),ROW()-5,2),"")</f>
        <v>DIESEL</v>
      </c>
      <c r="G27" s="57">
        <f>IF($H27="TOTAL",IFERROR(LOOKUP(9.99E+307,$G$6:$G26),""),IF($A27="","",G26+N(D27)-N(E27)))</f>
        <v>411847.65</v>
      </c>
      <c r="H27" s="20"/>
      <c r="I27" s="20"/>
      <c r="J27" s="20"/>
      <c r="K27" s="17">
        <v>46255</v>
      </c>
      <c r="L27" s="17" t="str">
        <v>DIESEL</v>
      </c>
      <c r="M27" s="17"/>
      <c r="N27" s="17"/>
      <c r="O27" s="17"/>
      <c r="P27" s="17"/>
      <c r="Q27" s="17"/>
      <c r="R27" s="52"/>
      <c r="S27" s="53"/>
      <c r="T27" s="53"/>
      <c r="U27" s="53"/>
      <c r="V27" s="53"/>
      <c r="W27" s="184"/>
      <c r="X27" s="53"/>
    </row>
    <row r="28" spans="1:24" ht="23" x14ac:dyDescent="0.25">
      <c r="A28" s="71" cm="1">
        <f t="array" ref="A28">IFERROR(INDEX(_xlfn.ANCHORARRAY($K$6),ROW()-5,1),"")</f>
        <v>46256</v>
      </c>
      <c r="B28" s="159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>716.83</v>
      </c>
      <c r="C28" s="161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>100.74</v>
      </c>
      <c r="D28" s="159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>72213.45</v>
      </c>
      <c r="E28" s="86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>DIESEL</v>
      </c>
      <c r="G28" s="57">
        <f>IF($H28="TOTAL",IFERROR(LOOKUP(9.99E+307,$G$6:$G27),""),IF($A28="","",G27+N(D28)-N(E28)))</f>
        <v>484061.10000000003</v>
      </c>
      <c r="H28" s="20"/>
      <c r="I28" s="20"/>
      <c r="J28" s="20"/>
      <c r="K28" s="17">
        <v>46256</v>
      </c>
      <c r="L28" s="17" t="str">
        <v>DIESEL</v>
      </c>
      <c r="M28" s="17"/>
      <c r="N28" s="17"/>
      <c r="O28" s="17"/>
      <c r="P28" s="17"/>
      <c r="Q28" s="17"/>
      <c r="R28" s="52"/>
      <c r="S28" s="53"/>
      <c r="T28" s="53"/>
      <c r="U28" s="53"/>
      <c r="V28" s="53"/>
      <c r="W28" s="184"/>
      <c r="X28" s="53"/>
    </row>
    <row r="29" spans="1:24" ht="23" x14ac:dyDescent="0.25">
      <c r="A29" s="71" cm="1">
        <f t="array" ref="A29">IFERROR(INDEX(_xlfn.ANCHORARRAY($K$6),ROW()-5,1),"")</f>
        <v>46257</v>
      </c>
      <c r="B29" s="159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>1236.47</v>
      </c>
      <c r="C29" s="161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>100.74</v>
      </c>
      <c r="D29" s="159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>124561.99</v>
      </c>
      <c r="E29" s="86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>DIESEL</v>
      </c>
      <c r="G29" s="57">
        <f>IF($H29="TOTAL",IFERROR(LOOKUP(9.99E+307,$G$6:$G28),""),IF($A29="","",G28+N(D29)-N(E29)))</f>
        <v>608623.09000000008</v>
      </c>
      <c r="H29" s="20"/>
      <c r="I29" s="20"/>
      <c r="J29" s="20"/>
      <c r="K29" s="17">
        <v>46257</v>
      </c>
      <c r="L29" s="17" t="str">
        <v>DIESEL</v>
      </c>
      <c r="M29" s="17"/>
      <c r="N29" s="17"/>
      <c r="O29" s="17"/>
      <c r="P29" s="17"/>
      <c r="Q29" s="17"/>
      <c r="R29" s="52"/>
      <c r="S29" s="53"/>
      <c r="T29" s="53"/>
      <c r="U29" s="53"/>
      <c r="V29" s="53"/>
      <c r="W29" s="184"/>
      <c r="X29" s="53"/>
    </row>
    <row r="30" spans="1:24" ht="23" x14ac:dyDescent="0.25">
      <c r="A30" s="71" cm="1">
        <f t="array" ref="A30">IFERROR(INDEX(_xlfn.ANCHORARRAY($K$6),ROW()-5,1),"")</f>
        <v>46258</v>
      </c>
      <c r="B30" s="159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>1429.63</v>
      </c>
      <c r="C30" s="161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>100.74</v>
      </c>
      <c r="D30" s="159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>144020.93</v>
      </c>
      <c r="E30" s="86">
        <f>IF($H30="TOTAL",SUM($E$6:$E29)-SUMIF($H$6:$H29,"TOTAL",$E$6:$E29),IF($A30="",0,IF(COUNTIF($A$6:$A30,$A30)=1,SUMIFS(MasterPaid[Amount Paid],MasterPaid[Customer],$K$3,MasterPaid[Date],$A30),0)))</f>
        <v>200000</v>
      </c>
      <c r="F30" s="62" t="str" cm="1">
        <f t="array" ref="F30">IFERROR(INDEX(_xlfn.ANCHORARRAY($K$6),ROW()-5,2),"")</f>
        <v>DIESEL</v>
      </c>
      <c r="G30" s="57">
        <f>IF($H30="TOTAL",IFERROR(LOOKUP(9.99E+307,$G$6:$G29),""),IF($A30="","",G29+N(D30)-N(E30)))</f>
        <v>552644.02</v>
      </c>
      <c r="H30" s="20"/>
      <c r="I30" s="20"/>
      <c r="J30" s="20"/>
      <c r="K30" s="17">
        <v>46258</v>
      </c>
      <c r="L30" s="17" t="str">
        <v>DIESEL</v>
      </c>
      <c r="M30" s="17"/>
      <c r="N30" s="17"/>
      <c r="O30" s="17"/>
      <c r="P30" s="17"/>
      <c r="Q30" s="17"/>
      <c r="R30" s="52"/>
      <c r="S30" s="53"/>
      <c r="T30" s="53"/>
      <c r="U30" s="53"/>
      <c r="V30" s="53"/>
      <c r="W30" s="184"/>
      <c r="X30" s="53"/>
    </row>
    <row r="31" spans="1:24" ht="23" x14ac:dyDescent="0.25">
      <c r="A31" s="71" cm="1">
        <f t="array" ref="A31">IFERROR(INDEX(_xlfn.ANCHORARRAY($K$6),ROW()-5,1),"")</f>
        <v>46259</v>
      </c>
      <c r="B31" s="159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>1581.44</v>
      </c>
      <c r="C31" s="161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>100.74</v>
      </c>
      <c r="D31" s="159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>159314.26999999999</v>
      </c>
      <c r="E31" s="86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>DIESEL</v>
      </c>
      <c r="G31" s="57">
        <f>IF($H31="TOTAL",IFERROR(LOOKUP(9.99E+307,$G$6:$G30),""),IF($A31="","",G30+N(D31)-N(E31)))</f>
        <v>711958.29</v>
      </c>
      <c r="H31" s="20"/>
      <c r="I31" s="20"/>
      <c r="J31" s="20"/>
      <c r="K31" s="17">
        <v>46259</v>
      </c>
      <c r="L31" s="17" t="str">
        <v>DIESEL</v>
      </c>
      <c r="M31" s="17"/>
      <c r="N31" s="17"/>
      <c r="O31" s="17"/>
      <c r="P31" s="17"/>
      <c r="Q31" s="17"/>
      <c r="R31" s="52"/>
      <c r="S31" s="53"/>
      <c r="T31" s="53"/>
      <c r="U31" s="53"/>
      <c r="V31" s="53"/>
      <c r="W31" s="184"/>
      <c r="X31" s="53"/>
    </row>
    <row r="32" spans="1:24" ht="23" x14ac:dyDescent="0.25">
      <c r="A32" s="71" cm="1">
        <f t="array" ref="A32">IFERROR(INDEX(_xlfn.ANCHORARRAY($K$6),ROW()-5,1),"")</f>
        <v>46260</v>
      </c>
      <c r="B32" s="159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>2294.85</v>
      </c>
      <c r="C32" s="161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>100.74</v>
      </c>
      <c r="D32" s="159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>231183.19</v>
      </c>
      <c r="E32" s="86">
        <f>IF($H32="TOTAL",SUM($E$6:$E31)-SUMIF($H$6:$H31,"TOTAL",$E$6:$E31),IF($A32="",0,IF(COUNTIF($A$6:$A32,$A32)=1,SUMIFS(MasterPaid[Amount Paid],MasterPaid[Customer],$K$3,MasterPaid[Date],$A32),0)))</f>
        <v>711958.29</v>
      </c>
      <c r="F32" s="62" t="str" cm="1">
        <f t="array" ref="F32">IFERROR(INDEX(_xlfn.ANCHORARRAY($K$6),ROW()-5,2),"")</f>
        <v>DIESEL</v>
      </c>
      <c r="G32" s="57">
        <f>IF($H32="TOTAL",IFERROR(LOOKUP(9.99E+307,$G$6:$G31),""),IF($A32="","",G31+N(D32)-N(E32)))</f>
        <v>231183.18999999994</v>
      </c>
      <c r="H32" s="20"/>
      <c r="I32" s="20"/>
      <c r="J32" s="20"/>
      <c r="K32" s="17">
        <v>46260</v>
      </c>
      <c r="L32" s="17" t="str">
        <v>DIESEL</v>
      </c>
      <c r="M32" s="17"/>
      <c r="N32" s="17"/>
      <c r="O32" s="17"/>
      <c r="P32" s="17"/>
      <c r="Q32" s="17"/>
      <c r="R32" s="52"/>
      <c r="S32" s="53"/>
      <c r="T32" s="53"/>
      <c r="U32" s="53"/>
      <c r="V32" s="53"/>
      <c r="W32" s="184"/>
      <c r="X32" s="53"/>
    </row>
    <row r="33" spans="1:24" ht="23" x14ac:dyDescent="0.25">
      <c r="A33" s="71" cm="1">
        <f t="array" ref="A33">IFERROR(INDEX(_xlfn.ANCHORARRAY($K$6),ROW()-5,1),"")</f>
        <v>46261</v>
      </c>
      <c r="B33" s="159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>1074.81</v>
      </c>
      <c r="C33" s="161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>100.74</v>
      </c>
      <c r="D33" s="159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>108276.36</v>
      </c>
      <c r="E33" s="86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>DIESEL</v>
      </c>
      <c r="G33" s="57">
        <f>IF($H33="TOTAL",IFERROR(LOOKUP(9.99E+307,$G$6:$G32),""),IF($A33="","",G32+N(D33)-N(E33)))</f>
        <v>339459.54999999993</v>
      </c>
      <c r="H33" s="20"/>
      <c r="I33" s="20"/>
      <c r="J33" s="20"/>
      <c r="K33" s="17">
        <v>46261</v>
      </c>
      <c r="L33" s="17" t="str">
        <v>DIESEL</v>
      </c>
      <c r="M33" s="17"/>
      <c r="N33" s="17"/>
      <c r="O33" s="17"/>
      <c r="P33" s="17"/>
      <c r="Q33" s="17"/>
      <c r="R33" s="52"/>
      <c r="S33" s="53"/>
      <c r="T33" s="53"/>
      <c r="U33" s="53"/>
      <c r="V33" s="53"/>
      <c r="W33" s="184"/>
      <c r="X33" s="53"/>
    </row>
    <row r="34" spans="1:24" ht="23" x14ac:dyDescent="0.25">
      <c r="A34" s="71" cm="1">
        <f t="array" ref="A34">IFERROR(INDEX(_xlfn.ANCHORARRAY($K$6),ROW()-5,1),"")</f>
        <v>46262</v>
      </c>
      <c r="B34" s="159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>985.97</v>
      </c>
      <c r="C34" s="161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>100.74</v>
      </c>
      <c r="D34" s="159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>99326.62</v>
      </c>
      <c r="E34" s="86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>DIESEL</v>
      </c>
      <c r="G34" s="57">
        <f>IF($H34="TOTAL",IFERROR(LOOKUP(9.99E+307,$G$6:$G33),""),IF($A34="","",G33+N(D34)-N(E34)))</f>
        <v>438786.16999999993</v>
      </c>
      <c r="H34" s="20"/>
      <c r="I34" s="20"/>
      <c r="J34" s="20"/>
      <c r="K34" s="17">
        <v>46262</v>
      </c>
      <c r="L34" s="17" t="str">
        <v>DIESEL</v>
      </c>
      <c r="M34" s="17"/>
      <c r="N34" s="17"/>
      <c r="O34" s="17"/>
      <c r="P34" s="17"/>
      <c r="Q34" s="17"/>
      <c r="R34" s="52"/>
      <c r="S34" s="53"/>
      <c r="T34" s="53"/>
      <c r="U34" s="53"/>
      <c r="V34" s="53"/>
      <c r="W34" s="184"/>
      <c r="X34" s="53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86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53"/>
      <c r="W35" s="184"/>
      <c r="X35" s="53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86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53"/>
      <c r="W36" s="184"/>
      <c r="X36" s="53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86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53"/>
      <c r="W37" s="184"/>
      <c r="X37" s="53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86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53"/>
      <c r="W38" s="184"/>
      <c r="X38" s="53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86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53"/>
      <c r="W39" s="184"/>
      <c r="X39" s="53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86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52"/>
      <c r="S40" s="53"/>
      <c r="T40" s="53"/>
      <c r="U40" s="53"/>
      <c r="V40" s="53"/>
      <c r="W40" s="184"/>
      <c r="X40" s="53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86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52"/>
      <c r="S41" s="53"/>
      <c r="T41" s="53"/>
      <c r="U41" s="53"/>
      <c r="V41" s="53"/>
      <c r="W41" s="184"/>
      <c r="X41" s="53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86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52"/>
      <c r="S42" s="53"/>
      <c r="T42" s="53"/>
      <c r="U42" s="53"/>
      <c r="V42" s="53"/>
      <c r="W42" s="184"/>
      <c r="X42" s="53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86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52"/>
      <c r="S43" s="53"/>
      <c r="T43" s="53"/>
      <c r="U43" s="53"/>
      <c r="V43" s="53"/>
      <c r="W43" s="184"/>
      <c r="X43" s="53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86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52"/>
      <c r="S44" s="53"/>
      <c r="T44" s="53"/>
      <c r="U44" s="53"/>
      <c r="V44" s="53"/>
      <c r="W44" s="184"/>
      <c r="X44" s="53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86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52"/>
      <c r="S45" s="53"/>
      <c r="T45" s="53"/>
      <c r="U45" s="53"/>
      <c r="V45" s="53"/>
      <c r="W45" s="184"/>
      <c r="X45" s="53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86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52"/>
      <c r="S46" s="53"/>
      <c r="T46" s="53"/>
      <c r="U46" s="53"/>
      <c r="V46" s="53"/>
      <c r="W46" s="184"/>
      <c r="X46" s="53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86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52"/>
      <c r="S47" s="53"/>
      <c r="T47" s="53"/>
      <c r="U47" s="53"/>
      <c r="V47" s="53"/>
      <c r="W47" s="184"/>
      <c r="X47" s="53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86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80"/>
      <c r="R48" s="181"/>
      <c r="S48" s="182"/>
      <c r="T48" s="182"/>
      <c r="U48" s="182"/>
      <c r="V48" s="182"/>
      <c r="W48" s="185"/>
      <c r="X48" s="182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86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52"/>
      <c r="S49" s="53"/>
      <c r="T49" s="53"/>
      <c r="U49" s="53"/>
      <c r="V49" s="53"/>
      <c r="W49" s="184"/>
      <c r="X49" s="53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86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52"/>
      <c r="S50" s="53"/>
      <c r="T50" s="53"/>
      <c r="U50" s="53"/>
      <c r="V50" s="53"/>
      <c r="W50" s="184"/>
      <c r="X50" s="53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86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52"/>
      <c r="S51" s="53"/>
      <c r="T51" s="53"/>
      <c r="U51" s="53"/>
      <c r="V51" s="53"/>
      <c r="W51" s="184"/>
      <c r="X51" s="53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86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52"/>
      <c r="S52" s="53"/>
      <c r="T52" s="53"/>
      <c r="U52" s="53"/>
      <c r="V52" s="53"/>
      <c r="W52" s="184"/>
      <c r="X52" s="53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86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52"/>
      <c r="S53" s="53"/>
      <c r="T53" s="53"/>
      <c r="U53" s="53"/>
      <c r="V53" s="53"/>
      <c r="W53" s="184"/>
      <c r="X53" s="53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86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52"/>
      <c r="S54" s="53"/>
      <c r="T54" s="53"/>
      <c r="U54" s="53"/>
      <c r="V54" s="53"/>
      <c r="W54" s="184"/>
      <c r="X54" s="53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86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52"/>
      <c r="S55" s="53"/>
      <c r="T55" s="53"/>
      <c r="U55" s="53"/>
      <c r="V55" s="53"/>
      <c r="W55" s="184"/>
      <c r="X55" s="53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86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52"/>
      <c r="S56" s="53"/>
      <c r="T56" s="53"/>
      <c r="U56" s="53"/>
      <c r="V56" s="53"/>
      <c r="W56" s="184"/>
      <c r="X56" s="53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86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52"/>
      <c r="S57" s="53"/>
      <c r="T57" s="53"/>
      <c r="U57" s="53"/>
      <c r="V57" s="53"/>
      <c r="W57" s="184"/>
      <c r="X57" s="53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86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52"/>
      <c r="S58" s="53"/>
      <c r="T58" s="53"/>
      <c r="U58" s="53"/>
      <c r="V58" s="53"/>
      <c r="W58" s="184"/>
      <c r="X58" s="53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86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52"/>
      <c r="S59" s="53"/>
      <c r="T59" s="53"/>
      <c r="U59" s="53"/>
      <c r="V59" s="53"/>
      <c r="W59" s="184"/>
      <c r="X59" s="53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86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52"/>
      <c r="S60" s="53"/>
      <c r="T60" s="53"/>
      <c r="U60" s="53"/>
      <c r="V60" s="53"/>
      <c r="W60" s="184"/>
      <c r="X60" s="53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86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52"/>
      <c r="S61" s="53"/>
      <c r="T61" s="53"/>
      <c r="U61" s="53"/>
      <c r="V61" s="53"/>
      <c r="W61" s="184"/>
      <c r="X61" s="53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86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52"/>
      <c r="S62" s="53"/>
      <c r="T62" s="53"/>
      <c r="U62" s="53"/>
      <c r="V62" s="53"/>
      <c r="W62" s="184"/>
      <c r="X62" s="53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86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52"/>
      <c r="S63" s="53"/>
      <c r="T63" s="53"/>
      <c r="U63" s="53"/>
      <c r="V63" s="53"/>
      <c r="W63" s="184"/>
      <c r="X63" s="53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86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52"/>
      <c r="S64" s="53"/>
      <c r="T64" s="53"/>
      <c r="U64" s="53"/>
      <c r="V64" s="53"/>
      <c r="W64" s="184"/>
      <c r="X64" s="53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86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52"/>
      <c r="S65" s="53"/>
      <c r="T65" s="53"/>
      <c r="U65" s="53"/>
      <c r="V65" s="53"/>
      <c r="W65" s="184"/>
      <c r="X65" s="53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86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52"/>
      <c r="S66" s="53"/>
      <c r="T66" s="53"/>
      <c r="U66" s="53"/>
      <c r="V66" s="53"/>
      <c r="W66" s="184"/>
      <c r="X66" s="53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86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52"/>
      <c r="S67" s="53"/>
      <c r="T67" s="53"/>
      <c r="U67" s="53"/>
      <c r="V67" s="53"/>
      <c r="W67" s="184"/>
      <c r="X67" s="53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86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52"/>
      <c r="S68" s="53"/>
      <c r="T68" s="53"/>
      <c r="U68" s="53"/>
      <c r="V68" s="53"/>
      <c r="W68" s="184"/>
      <c r="X68" s="53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86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86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86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86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86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86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86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86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86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86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86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86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86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86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86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86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86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668" priority="14">
      <formula>AND($A6&lt;&gt;"",$A6=$A5)</formula>
    </cfRule>
  </conditionalFormatting>
  <conditionalFormatting sqref="A6:A85">
    <cfRule type="expression" dxfId="1667" priority="10">
      <formula>$A6=$A5</formula>
    </cfRule>
  </conditionalFormatting>
  <conditionalFormatting sqref="B5:D92">
    <cfRule type="expression" dxfId="1666" priority="3">
      <formula>$F5="PETROL"</formula>
    </cfRule>
  </conditionalFormatting>
  <conditionalFormatting sqref="B5:D95">
    <cfRule type="expression" dxfId="1665" priority="5">
      <formula>AND(ISNUMBER(B5),MOD(B5,1)&lt;&gt;0)</formula>
    </cfRule>
  </conditionalFormatting>
  <conditionalFormatting sqref="B7:G60">
    <cfRule type="expression" dxfId="1664" priority="13">
      <formula>$H7="TOTAL"</formula>
    </cfRule>
  </conditionalFormatting>
  <conditionalFormatting sqref="E5:E95">
    <cfRule type="expression" dxfId="1663" priority="8">
      <formula>AND(ISNUMBER(E5),MOD(E5,1)&lt;&gt;0)</formula>
    </cfRule>
  </conditionalFormatting>
  <conditionalFormatting sqref="F5:F92">
    <cfRule type="expression" dxfId="1662" priority="4">
      <formula>$F5="PETROL"</formula>
    </cfRule>
  </conditionalFormatting>
  <conditionalFormatting sqref="G5:G95">
    <cfRule type="expression" dxfId="1661" priority="9">
      <formula>AND(ISNUMBER(G5),MOD(G5,1)&lt;&gt;0)</formula>
    </cfRule>
  </conditionalFormatting>
  <conditionalFormatting sqref="R13:R94">
    <cfRule type="expression" dxfId="1660" priority="11">
      <formula>AND(R13&lt;&gt;"",R13=R12)</formula>
    </cfRule>
  </conditionalFormatting>
  <conditionalFormatting sqref="R13:X94">
    <cfRule type="expression" dxfId="1659" priority="12">
      <formula>$X13="Petrol"</formula>
    </cfRule>
  </conditionalFormatting>
  <hyperlinks>
    <hyperlink ref="K1" location="Index!A1" display="→ Index" xr:uid="{E83FC510-E770-524C-A3EF-AAFB0B2A932D}"/>
  </hyperlinks>
  <printOptions horizontalCentered="1"/>
  <pageMargins left="0.25" right="0.25" top="0.25" bottom="1.35" header="0" footer="0.5"/>
  <pageSetup paperSize="9" scale="97" orientation="portrait" r:id="rId1"/>
  <drawing r:id="rId2"/>
  <legacyDrawingHF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759F-2281-C84D-AFFB-19BD1623AFC7}">
  <sheetPr codeName="Sheet23"/>
  <dimension ref="A1:K8500"/>
  <sheetViews>
    <sheetView zoomScale="135" zoomScaleNormal="160" workbookViewId="0">
      <pane ySplit="1" topLeftCell="A1936" activePane="bottomLeft" state="frozen"/>
      <selection activeCell="B1" sqref="B1"/>
      <selection pane="bottomLeft" activeCell="K1" sqref="K1"/>
    </sheetView>
  </sheetViews>
  <sheetFormatPr baseColWidth="10" defaultColWidth="10.83203125" defaultRowHeight="16" x14ac:dyDescent="0.2"/>
  <cols>
    <col min="1" max="2" width="10.83203125" style="1"/>
    <col min="3" max="3" width="16.5" customWidth="1"/>
    <col min="7" max="7" width="42" customWidth="1"/>
    <col min="8" max="8" width="10.83203125" style="3" hidden="1" customWidth="1"/>
  </cols>
  <sheetData>
    <row r="1" spans="1:11" x14ac:dyDescent="0.2">
      <c r="A1" s="87" t="s">
        <v>6</v>
      </c>
      <c r="B1" s="88" t="s">
        <v>0</v>
      </c>
      <c r="C1" s="88" t="s">
        <v>1</v>
      </c>
      <c r="D1" s="89" t="s">
        <v>2</v>
      </c>
      <c r="E1" s="88" t="s">
        <v>3</v>
      </c>
      <c r="F1" s="89" t="s">
        <v>4</v>
      </c>
      <c r="G1" s="90" t="s">
        <v>7</v>
      </c>
      <c r="H1" s="91" t="s">
        <v>16</v>
      </c>
      <c r="I1" s="17"/>
      <c r="J1" s="17"/>
      <c r="K1" s="18" t="s">
        <v>1288</v>
      </c>
    </row>
    <row r="2" spans="1:11" x14ac:dyDescent="0.2">
      <c r="A2" s="92">
        <v>46113</v>
      </c>
      <c r="B2" s="93" t="s">
        <v>23</v>
      </c>
      <c r="C2" s="94" t="s">
        <v>39</v>
      </c>
      <c r="D2" s="95">
        <v>18000</v>
      </c>
      <c r="E2" s="95">
        <v>91.2</v>
      </c>
      <c r="F2" s="96">
        <v>1641600</v>
      </c>
      <c r="G2" s="97" t="s">
        <v>51</v>
      </c>
      <c r="H2" s="114">
        <f>IF(A2&lt;&gt;"", EOMONTH(A2, -1) + 1, "")</f>
        <v>46113</v>
      </c>
      <c r="I2" s="17"/>
      <c r="J2" s="17"/>
      <c r="K2" s="17"/>
    </row>
    <row r="3" spans="1:11" x14ac:dyDescent="0.2">
      <c r="A3" s="115">
        <v>46113</v>
      </c>
      <c r="B3" s="93" t="s">
        <v>24</v>
      </c>
      <c r="C3" s="94" t="s">
        <v>40</v>
      </c>
      <c r="D3" s="95">
        <v>12000</v>
      </c>
      <c r="E3" s="95">
        <v>91.36</v>
      </c>
      <c r="F3" s="96">
        <v>1096320</v>
      </c>
      <c r="G3" s="97" t="s">
        <v>52</v>
      </c>
      <c r="H3" s="114">
        <f>IF(A3&lt;&gt;"", EOMONTH(A3, -1) + 1, "")</f>
        <v>46113</v>
      </c>
      <c r="I3" s="17"/>
      <c r="J3" s="17"/>
      <c r="K3" s="17"/>
    </row>
    <row r="4" spans="1:11" x14ac:dyDescent="0.2">
      <c r="A4" s="115">
        <v>46113</v>
      </c>
      <c r="B4" s="93" t="s">
        <v>25</v>
      </c>
      <c r="C4" s="94" t="s">
        <v>41</v>
      </c>
      <c r="D4" s="95">
        <v>53</v>
      </c>
      <c r="E4" s="95">
        <v>92.74</v>
      </c>
      <c r="F4" s="96">
        <v>4915.22</v>
      </c>
      <c r="G4" s="97" t="s">
        <v>53</v>
      </c>
      <c r="H4" s="114">
        <f t="shared" ref="H4:H67" si="0">IF(A4&lt;&gt;"", EOMONTH(A4, -1) + 1, "")</f>
        <v>46113</v>
      </c>
      <c r="I4" s="17"/>
      <c r="J4" s="17"/>
      <c r="K4" s="17"/>
    </row>
    <row r="5" spans="1:11" x14ac:dyDescent="0.2">
      <c r="A5" s="115">
        <v>46113</v>
      </c>
      <c r="B5" s="93" t="s">
        <v>26</v>
      </c>
      <c r="C5" s="94" t="s">
        <v>42</v>
      </c>
      <c r="D5" s="95">
        <v>296</v>
      </c>
      <c r="E5" s="95">
        <v>92.74</v>
      </c>
      <c r="F5" s="96">
        <v>27451.040000000001</v>
      </c>
      <c r="G5" s="97" t="s">
        <v>54</v>
      </c>
      <c r="H5" s="114">
        <f t="shared" si="0"/>
        <v>46113</v>
      </c>
      <c r="I5" s="17"/>
      <c r="J5" s="17"/>
      <c r="K5" s="17"/>
    </row>
    <row r="6" spans="1:11" x14ac:dyDescent="0.2">
      <c r="A6" s="115">
        <v>46113</v>
      </c>
      <c r="B6" s="93" t="s">
        <v>27</v>
      </c>
      <c r="C6" s="94" t="s">
        <v>43</v>
      </c>
      <c r="D6" s="95">
        <v>8</v>
      </c>
      <c r="E6" s="95">
        <v>92.74</v>
      </c>
      <c r="F6" s="96">
        <v>741.92</v>
      </c>
      <c r="G6" s="97" t="s">
        <v>55</v>
      </c>
      <c r="H6" s="114">
        <f t="shared" si="0"/>
        <v>46113</v>
      </c>
      <c r="I6" s="17"/>
      <c r="J6" s="17"/>
      <c r="K6" s="17"/>
    </row>
    <row r="7" spans="1:11" x14ac:dyDescent="0.2">
      <c r="A7" s="115">
        <v>46113</v>
      </c>
      <c r="B7" s="93" t="s">
        <v>28</v>
      </c>
      <c r="C7" s="94" t="s">
        <v>44</v>
      </c>
      <c r="D7" s="95">
        <v>35</v>
      </c>
      <c r="E7" s="95">
        <v>92.74</v>
      </c>
      <c r="F7" s="96">
        <v>3245.9</v>
      </c>
      <c r="G7" s="97" t="s">
        <v>56</v>
      </c>
      <c r="H7" s="114">
        <f t="shared" si="0"/>
        <v>46113</v>
      </c>
      <c r="I7" s="17"/>
      <c r="J7" s="17"/>
      <c r="K7" s="17"/>
    </row>
    <row r="8" spans="1:11" x14ac:dyDescent="0.2">
      <c r="A8" s="115">
        <v>46113</v>
      </c>
      <c r="B8" s="93" t="s">
        <v>29</v>
      </c>
      <c r="C8" s="94" t="s">
        <v>44</v>
      </c>
      <c r="D8" s="95">
        <v>43</v>
      </c>
      <c r="E8" s="95">
        <v>92.74</v>
      </c>
      <c r="F8" s="96">
        <v>3987.82</v>
      </c>
      <c r="G8" s="97" t="s">
        <v>56</v>
      </c>
      <c r="H8" s="114">
        <f t="shared" si="0"/>
        <v>46113</v>
      </c>
      <c r="I8" s="17"/>
      <c r="J8" s="17"/>
      <c r="K8" s="17"/>
    </row>
    <row r="9" spans="1:11" x14ac:dyDescent="0.2">
      <c r="A9" s="115">
        <v>46113</v>
      </c>
      <c r="B9" s="93" t="s">
        <v>30</v>
      </c>
      <c r="C9" s="94" t="s">
        <v>45</v>
      </c>
      <c r="D9" s="95">
        <v>37.31</v>
      </c>
      <c r="E9" s="95">
        <v>92.74</v>
      </c>
      <c r="F9" s="96">
        <v>3460.12</v>
      </c>
      <c r="G9" s="97" t="s">
        <v>56</v>
      </c>
      <c r="H9" s="114">
        <f t="shared" si="0"/>
        <v>46113</v>
      </c>
      <c r="I9" s="17"/>
      <c r="J9" s="17"/>
      <c r="K9" s="17"/>
    </row>
    <row r="10" spans="1:11" x14ac:dyDescent="0.2">
      <c r="A10" s="115">
        <v>46113</v>
      </c>
      <c r="B10" s="93" t="s">
        <v>31</v>
      </c>
      <c r="C10" s="94" t="s">
        <v>46</v>
      </c>
      <c r="D10" s="95">
        <v>342.47</v>
      </c>
      <c r="E10" s="95">
        <v>92.74</v>
      </c>
      <c r="F10" s="96">
        <v>31760.66</v>
      </c>
      <c r="G10" s="97" t="s">
        <v>14</v>
      </c>
      <c r="H10" s="114">
        <f t="shared" si="0"/>
        <v>46113</v>
      </c>
      <c r="I10" s="17"/>
      <c r="J10" s="17"/>
      <c r="K10" s="17"/>
    </row>
    <row r="11" spans="1:11" x14ac:dyDescent="0.2">
      <c r="A11" s="115">
        <v>46113</v>
      </c>
      <c r="B11" s="93" t="s">
        <v>32</v>
      </c>
      <c r="C11" s="94" t="s">
        <v>47</v>
      </c>
      <c r="D11" s="95">
        <v>269.57</v>
      </c>
      <c r="E11" s="95">
        <v>92.74</v>
      </c>
      <c r="F11" s="96">
        <v>25000</v>
      </c>
      <c r="G11" s="97" t="s">
        <v>14</v>
      </c>
      <c r="H11" s="114">
        <f t="shared" si="0"/>
        <v>46113</v>
      </c>
      <c r="I11" s="17"/>
      <c r="J11" s="17"/>
      <c r="K11" s="17"/>
    </row>
    <row r="12" spans="1:11" x14ac:dyDescent="0.2">
      <c r="A12" s="115">
        <v>46113</v>
      </c>
      <c r="B12" s="93" t="s">
        <v>33</v>
      </c>
      <c r="C12" s="94" t="s">
        <v>48</v>
      </c>
      <c r="D12" s="95">
        <v>150.96</v>
      </c>
      <c r="E12" s="95">
        <v>92.74</v>
      </c>
      <c r="F12" s="96">
        <v>14000.03</v>
      </c>
      <c r="G12" s="97" t="s">
        <v>14</v>
      </c>
      <c r="H12" s="114">
        <f t="shared" si="0"/>
        <v>46113</v>
      </c>
      <c r="I12" s="17"/>
      <c r="J12" s="17"/>
      <c r="K12" s="17"/>
    </row>
    <row r="13" spans="1:11" x14ac:dyDescent="0.2">
      <c r="A13" s="115">
        <v>46113</v>
      </c>
      <c r="B13" s="93" t="s">
        <v>34</v>
      </c>
      <c r="C13" s="94" t="s">
        <v>49</v>
      </c>
      <c r="D13" s="95">
        <v>253.51</v>
      </c>
      <c r="E13" s="95">
        <v>92.74</v>
      </c>
      <c r="F13" s="96">
        <v>23510.51</v>
      </c>
      <c r="G13" s="97" t="s">
        <v>14</v>
      </c>
      <c r="H13" s="114">
        <f t="shared" si="0"/>
        <v>46113</v>
      </c>
      <c r="I13" s="17"/>
      <c r="J13" s="17"/>
      <c r="K13" s="17"/>
    </row>
    <row r="14" spans="1:11" x14ac:dyDescent="0.2">
      <c r="A14" s="115">
        <v>46113</v>
      </c>
      <c r="B14" s="93" t="s">
        <v>35</v>
      </c>
      <c r="C14" s="94" t="s">
        <v>13</v>
      </c>
      <c r="D14" s="95">
        <v>226.44</v>
      </c>
      <c r="E14" s="95">
        <v>92.74</v>
      </c>
      <c r="F14" s="96">
        <v>21000</v>
      </c>
      <c r="G14" s="97" t="s">
        <v>57</v>
      </c>
      <c r="H14" s="114">
        <f t="shared" si="0"/>
        <v>46113</v>
      </c>
      <c r="I14" s="17"/>
      <c r="J14" s="17"/>
      <c r="K14" s="17"/>
    </row>
    <row r="15" spans="1:11" x14ac:dyDescent="0.2">
      <c r="A15" s="115">
        <v>46113</v>
      </c>
      <c r="B15" s="93" t="s">
        <v>36</v>
      </c>
      <c r="C15" s="94" t="s">
        <v>13</v>
      </c>
      <c r="D15" s="95">
        <v>2633.17</v>
      </c>
      <c r="E15" s="95">
        <v>92.74</v>
      </c>
      <c r="F15" s="96">
        <v>244200</v>
      </c>
      <c r="G15" s="97" t="s">
        <v>58</v>
      </c>
      <c r="H15" s="114">
        <f t="shared" si="0"/>
        <v>46113</v>
      </c>
      <c r="I15" s="17"/>
      <c r="J15" s="17"/>
      <c r="K15" s="17"/>
    </row>
    <row r="16" spans="1:11" x14ac:dyDescent="0.2">
      <c r="A16" s="115">
        <v>46113</v>
      </c>
      <c r="B16" s="93" t="s">
        <v>37</v>
      </c>
      <c r="C16" s="94" t="s">
        <v>13</v>
      </c>
      <c r="D16" s="95">
        <v>1221.17</v>
      </c>
      <c r="E16" s="95">
        <v>92.74</v>
      </c>
      <c r="F16" s="96">
        <v>113251.19</v>
      </c>
      <c r="G16" s="97" t="s">
        <v>15</v>
      </c>
      <c r="H16" s="114">
        <f t="shared" si="0"/>
        <v>46113</v>
      </c>
      <c r="I16" s="17"/>
      <c r="J16" s="17"/>
      <c r="K16" s="17"/>
    </row>
    <row r="17" spans="1:11" x14ac:dyDescent="0.2">
      <c r="A17" s="115">
        <v>46113</v>
      </c>
      <c r="B17" s="93" t="s">
        <v>38</v>
      </c>
      <c r="C17" s="94" t="s">
        <v>50</v>
      </c>
      <c r="D17" s="95">
        <v>3999.7</v>
      </c>
      <c r="E17" s="95">
        <v>92.74</v>
      </c>
      <c r="F17" s="96">
        <v>370932.18</v>
      </c>
      <c r="G17" s="97" t="s">
        <v>59</v>
      </c>
      <c r="H17" s="114">
        <f t="shared" si="0"/>
        <v>46113</v>
      </c>
      <c r="I17" s="17"/>
      <c r="J17" s="17"/>
      <c r="K17" s="17"/>
    </row>
    <row r="18" spans="1:11" x14ac:dyDescent="0.2">
      <c r="A18" s="99">
        <v>46114</v>
      </c>
      <c r="B18" s="93" t="s">
        <v>62</v>
      </c>
      <c r="C18" s="94" t="s">
        <v>40</v>
      </c>
      <c r="D18" s="95">
        <v>12000</v>
      </c>
      <c r="E18" s="95">
        <v>91.2</v>
      </c>
      <c r="F18" s="96">
        <v>1094400</v>
      </c>
      <c r="G18" s="97" t="s">
        <v>51</v>
      </c>
      <c r="H18" s="114">
        <f t="shared" si="0"/>
        <v>46113</v>
      </c>
      <c r="I18" s="17"/>
      <c r="J18" s="17"/>
      <c r="K18" s="17"/>
    </row>
    <row r="19" spans="1:11" x14ac:dyDescent="0.2">
      <c r="A19" s="115">
        <v>46114</v>
      </c>
      <c r="B19" s="93" t="s">
        <v>63</v>
      </c>
      <c r="C19" s="94" t="s">
        <v>82</v>
      </c>
      <c r="D19" s="95">
        <v>160</v>
      </c>
      <c r="E19" s="95">
        <v>92.74</v>
      </c>
      <c r="F19" s="96">
        <v>14838.4</v>
      </c>
      <c r="G19" s="97" t="s">
        <v>91</v>
      </c>
      <c r="H19" s="114">
        <f t="shared" si="0"/>
        <v>46113</v>
      </c>
      <c r="I19" s="17"/>
      <c r="J19" s="17"/>
      <c r="K19" s="17"/>
    </row>
    <row r="20" spans="1:11" x14ac:dyDescent="0.2">
      <c r="A20" s="115">
        <v>46114</v>
      </c>
      <c r="B20" s="93" t="s">
        <v>64</v>
      </c>
      <c r="C20" s="94" t="s">
        <v>82</v>
      </c>
      <c r="D20" s="95">
        <v>200</v>
      </c>
      <c r="E20" s="95">
        <v>92.74</v>
      </c>
      <c r="F20" s="96">
        <v>18548</v>
      </c>
      <c r="G20" s="97" t="s">
        <v>91</v>
      </c>
      <c r="H20" s="114">
        <f t="shared" si="0"/>
        <v>46113</v>
      </c>
      <c r="I20" s="17"/>
      <c r="J20" s="17"/>
      <c r="K20" s="17"/>
    </row>
    <row r="21" spans="1:11" x14ac:dyDescent="0.2">
      <c r="A21" s="115">
        <v>46114</v>
      </c>
      <c r="B21" s="93" t="s">
        <v>65</v>
      </c>
      <c r="C21" s="94" t="s">
        <v>82</v>
      </c>
      <c r="D21" s="95">
        <v>21.57</v>
      </c>
      <c r="E21" s="95">
        <v>92.74</v>
      </c>
      <c r="F21" s="96">
        <v>2000</v>
      </c>
      <c r="G21" s="97" t="s">
        <v>91</v>
      </c>
      <c r="H21" s="114">
        <f t="shared" si="0"/>
        <v>46113</v>
      </c>
      <c r="I21" s="17"/>
      <c r="J21" s="17"/>
      <c r="K21" s="17"/>
    </row>
    <row r="22" spans="1:11" x14ac:dyDescent="0.2">
      <c r="A22" s="115">
        <v>46114</v>
      </c>
      <c r="B22" s="93" t="s">
        <v>66</v>
      </c>
      <c r="C22" s="94" t="s">
        <v>42</v>
      </c>
      <c r="D22" s="95">
        <v>12000</v>
      </c>
      <c r="E22" s="95">
        <v>91.36</v>
      </c>
      <c r="F22" s="96">
        <v>1096320</v>
      </c>
      <c r="G22" s="97" t="s">
        <v>52</v>
      </c>
      <c r="H22" s="114">
        <f t="shared" si="0"/>
        <v>46113</v>
      </c>
      <c r="I22" s="17"/>
      <c r="J22" s="17"/>
      <c r="K22" s="17"/>
    </row>
    <row r="23" spans="1:11" x14ac:dyDescent="0.2">
      <c r="A23" s="115">
        <v>46114</v>
      </c>
      <c r="B23" s="93" t="s">
        <v>67</v>
      </c>
      <c r="C23" s="94" t="s">
        <v>83</v>
      </c>
      <c r="D23" s="95">
        <v>800</v>
      </c>
      <c r="E23" s="95">
        <v>92.74</v>
      </c>
      <c r="F23" s="96">
        <v>74192</v>
      </c>
      <c r="G23" s="97" t="s">
        <v>92</v>
      </c>
      <c r="H23" s="114">
        <f t="shared" si="0"/>
        <v>46113</v>
      </c>
      <c r="I23" s="17"/>
      <c r="J23" s="17"/>
      <c r="K23" s="17"/>
    </row>
    <row r="24" spans="1:11" x14ac:dyDescent="0.2">
      <c r="A24" s="115">
        <v>46114</v>
      </c>
      <c r="B24" s="93" t="s">
        <v>68</v>
      </c>
      <c r="C24" s="94" t="s">
        <v>84</v>
      </c>
      <c r="D24" s="95">
        <v>130</v>
      </c>
      <c r="E24" s="95">
        <v>92.74</v>
      </c>
      <c r="F24" s="96">
        <v>12056.2</v>
      </c>
      <c r="G24" s="97" t="s">
        <v>93</v>
      </c>
      <c r="H24" s="114">
        <f t="shared" si="0"/>
        <v>46113</v>
      </c>
      <c r="I24" s="17"/>
      <c r="J24" s="17"/>
      <c r="K24" s="17"/>
    </row>
    <row r="25" spans="1:11" x14ac:dyDescent="0.2">
      <c r="A25" s="115">
        <v>46114</v>
      </c>
      <c r="B25" s="93" t="s">
        <v>69</v>
      </c>
      <c r="C25" s="94" t="s">
        <v>44</v>
      </c>
      <c r="D25" s="95">
        <v>42.27</v>
      </c>
      <c r="E25" s="95">
        <v>92.74</v>
      </c>
      <c r="F25" s="96">
        <v>3920.11</v>
      </c>
      <c r="G25" s="97" t="s">
        <v>56</v>
      </c>
      <c r="H25" s="114">
        <f t="shared" si="0"/>
        <v>46113</v>
      </c>
      <c r="I25" s="17"/>
      <c r="J25" s="17"/>
      <c r="K25" s="17"/>
    </row>
    <row r="26" spans="1:11" x14ac:dyDescent="0.2">
      <c r="A26" s="115">
        <v>46114</v>
      </c>
      <c r="B26" s="93" t="s">
        <v>70</v>
      </c>
      <c r="C26" s="94" t="s">
        <v>85</v>
      </c>
      <c r="D26" s="95">
        <v>226.44</v>
      </c>
      <c r="E26" s="95">
        <v>92.74</v>
      </c>
      <c r="F26" s="96">
        <v>21000.04</v>
      </c>
      <c r="G26" s="97" t="s">
        <v>14</v>
      </c>
      <c r="H26" s="114">
        <f t="shared" si="0"/>
        <v>46113</v>
      </c>
      <c r="I26" s="17"/>
      <c r="J26" s="17"/>
      <c r="K26" s="17"/>
    </row>
    <row r="27" spans="1:11" x14ac:dyDescent="0.2">
      <c r="A27" s="115">
        <v>46114</v>
      </c>
      <c r="B27" s="93" t="s">
        <v>71</v>
      </c>
      <c r="C27" s="94" t="s">
        <v>50</v>
      </c>
      <c r="D27" s="95">
        <v>3000</v>
      </c>
      <c r="E27" s="95">
        <v>92.74</v>
      </c>
      <c r="F27" s="96">
        <v>278220</v>
      </c>
      <c r="G27" s="97" t="s">
        <v>59</v>
      </c>
      <c r="H27" s="114">
        <f t="shared" si="0"/>
        <v>46113</v>
      </c>
      <c r="I27" s="17"/>
      <c r="J27" s="17"/>
      <c r="K27" s="17"/>
    </row>
    <row r="28" spans="1:11" x14ac:dyDescent="0.2">
      <c r="A28" s="115">
        <v>46114</v>
      </c>
      <c r="B28" s="93" t="s">
        <v>72</v>
      </c>
      <c r="C28" s="94" t="s">
        <v>86</v>
      </c>
      <c r="D28" s="95">
        <v>80</v>
      </c>
      <c r="E28" s="95">
        <v>92.74</v>
      </c>
      <c r="F28" s="96">
        <v>7419.2</v>
      </c>
      <c r="G28" s="97" t="s">
        <v>94</v>
      </c>
      <c r="H28" s="114">
        <f t="shared" si="0"/>
        <v>46113</v>
      </c>
      <c r="I28" s="17"/>
      <c r="J28" s="17"/>
      <c r="K28" s="17"/>
    </row>
    <row r="29" spans="1:11" x14ac:dyDescent="0.2">
      <c r="A29" s="115">
        <v>46114</v>
      </c>
      <c r="B29" s="93" t="s">
        <v>73</v>
      </c>
      <c r="C29" s="94" t="s">
        <v>87</v>
      </c>
      <c r="D29" s="95">
        <v>80</v>
      </c>
      <c r="E29" s="95">
        <v>92.74</v>
      </c>
      <c r="F29" s="96">
        <v>7419.2</v>
      </c>
      <c r="G29" s="97" t="s">
        <v>94</v>
      </c>
      <c r="H29" s="114">
        <f t="shared" si="0"/>
        <v>46113</v>
      </c>
      <c r="I29" s="17"/>
      <c r="J29" s="17"/>
      <c r="K29" s="17"/>
    </row>
    <row r="30" spans="1:11" x14ac:dyDescent="0.2">
      <c r="A30" s="115">
        <v>46114</v>
      </c>
      <c r="B30" s="93" t="s">
        <v>74</v>
      </c>
      <c r="C30" s="94" t="s">
        <v>88</v>
      </c>
      <c r="D30" s="95">
        <v>80</v>
      </c>
      <c r="E30" s="95">
        <v>92.74</v>
      </c>
      <c r="F30" s="96">
        <v>7419.2</v>
      </c>
      <c r="G30" s="97" t="s">
        <v>94</v>
      </c>
      <c r="H30" s="114">
        <f t="shared" si="0"/>
        <v>46113</v>
      </c>
      <c r="I30" s="17"/>
      <c r="J30" s="17"/>
      <c r="K30" s="17"/>
    </row>
    <row r="31" spans="1:11" x14ac:dyDescent="0.2">
      <c r="A31" s="115">
        <v>46114</v>
      </c>
      <c r="B31" s="93" t="s">
        <v>75</v>
      </c>
      <c r="C31" s="94" t="s">
        <v>89</v>
      </c>
      <c r="D31" s="95">
        <v>60</v>
      </c>
      <c r="E31" s="95">
        <v>92.74</v>
      </c>
      <c r="F31" s="96">
        <v>5564.4</v>
      </c>
      <c r="G31" s="97" t="s">
        <v>94</v>
      </c>
      <c r="H31" s="114">
        <f t="shared" si="0"/>
        <v>46113</v>
      </c>
      <c r="I31" s="17"/>
      <c r="J31" s="17"/>
      <c r="K31" s="17"/>
    </row>
    <row r="32" spans="1:11" x14ac:dyDescent="0.2">
      <c r="A32" s="115">
        <v>46114</v>
      </c>
      <c r="B32" s="93" t="s">
        <v>76</v>
      </c>
      <c r="C32" s="94" t="s">
        <v>90</v>
      </c>
      <c r="D32" s="95">
        <v>60</v>
      </c>
      <c r="E32" s="95">
        <v>92.74</v>
      </c>
      <c r="F32" s="96">
        <v>5564.4</v>
      </c>
      <c r="G32" s="97" t="s">
        <v>94</v>
      </c>
      <c r="H32" s="114">
        <f t="shared" si="0"/>
        <v>46113</v>
      </c>
      <c r="I32" s="17"/>
      <c r="J32" s="17"/>
      <c r="K32" s="17"/>
    </row>
    <row r="33" spans="1:11" x14ac:dyDescent="0.2">
      <c r="A33" s="115">
        <v>46114</v>
      </c>
      <c r="B33" s="93" t="s">
        <v>77</v>
      </c>
      <c r="C33" s="94" t="s">
        <v>50</v>
      </c>
      <c r="D33" s="95">
        <v>494.6</v>
      </c>
      <c r="E33" s="95">
        <v>92.74</v>
      </c>
      <c r="F33" s="96">
        <v>45869.2</v>
      </c>
      <c r="G33" s="97" t="s">
        <v>95</v>
      </c>
      <c r="H33" s="114">
        <f t="shared" si="0"/>
        <v>46113</v>
      </c>
      <c r="I33" s="17"/>
      <c r="J33" s="17"/>
      <c r="K33" s="17"/>
    </row>
    <row r="34" spans="1:11" x14ac:dyDescent="0.2">
      <c r="A34" s="115">
        <v>46114</v>
      </c>
      <c r="B34" s="93" t="s">
        <v>78</v>
      </c>
      <c r="C34" s="94" t="s">
        <v>50</v>
      </c>
      <c r="D34" s="95">
        <v>1500.01</v>
      </c>
      <c r="E34" s="95">
        <v>92.74</v>
      </c>
      <c r="F34" s="96">
        <v>139110.93</v>
      </c>
      <c r="G34" s="97" t="s">
        <v>96</v>
      </c>
      <c r="H34" s="114">
        <f t="shared" si="0"/>
        <v>46113</v>
      </c>
      <c r="I34" s="17"/>
      <c r="J34" s="17"/>
      <c r="K34" s="17"/>
    </row>
    <row r="35" spans="1:11" x14ac:dyDescent="0.2">
      <c r="A35" s="115">
        <v>46114</v>
      </c>
      <c r="B35" s="93" t="s">
        <v>79</v>
      </c>
      <c r="C35" s="94"/>
      <c r="D35" s="95">
        <v>441.33</v>
      </c>
      <c r="E35" s="95">
        <v>92.74</v>
      </c>
      <c r="F35" s="96">
        <v>40928.800000000003</v>
      </c>
      <c r="G35" s="97" t="s">
        <v>15</v>
      </c>
      <c r="H35" s="114">
        <f t="shared" si="0"/>
        <v>46113</v>
      </c>
      <c r="I35" s="17"/>
      <c r="J35" s="17"/>
      <c r="K35" s="17"/>
    </row>
    <row r="36" spans="1:11" x14ac:dyDescent="0.2">
      <c r="A36" s="115">
        <v>46114</v>
      </c>
      <c r="B36" s="93" t="s">
        <v>80</v>
      </c>
      <c r="C36" s="94"/>
      <c r="D36" s="95">
        <v>4414.49</v>
      </c>
      <c r="E36" s="95">
        <v>92.74</v>
      </c>
      <c r="F36" s="96">
        <v>409400</v>
      </c>
      <c r="G36" s="97" t="s">
        <v>58</v>
      </c>
      <c r="H36" s="114">
        <f t="shared" si="0"/>
        <v>46113</v>
      </c>
      <c r="I36" s="17"/>
      <c r="J36" s="17"/>
      <c r="K36" s="17"/>
    </row>
    <row r="37" spans="1:11" x14ac:dyDescent="0.2">
      <c r="A37" s="115">
        <v>46114</v>
      </c>
      <c r="B37" s="93" t="s">
        <v>81</v>
      </c>
      <c r="C37" s="94"/>
      <c r="D37" s="95">
        <v>226.44</v>
      </c>
      <c r="E37" s="95">
        <v>92.74</v>
      </c>
      <c r="F37" s="96">
        <v>21000</v>
      </c>
      <c r="G37" s="97" t="s">
        <v>57</v>
      </c>
      <c r="H37" s="114">
        <f t="shared" si="0"/>
        <v>46113</v>
      </c>
      <c r="I37" s="17"/>
      <c r="J37" s="17"/>
      <c r="K37" s="17"/>
    </row>
    <row r="38" spans="1:11" x14ac:dyDescent="0.2">
      <c r="A38" s="99">
        <v>46115</v>
      </c>
      <c r="B38" s="93" t="s">
        <v>104</v>
      </c>
      <c r="C38" s="94" t="s">
        <v>122</v>
      </c>
      <c r="D38" s="95">
        <v>1200</v>
      </c>
      <c r="E38" s="95">
        <v>92.74</v>
      </c>
      <c r="F38" s="96">
        <v>111288</v>
      </c>
      <c r="G38" s="97" t="s">
        <v>134</v>
      </c>
      <c r="H38" s="114">
        <f t="shared" si="0"/>
        <v>46113</v>
      </c>
      <c r="I38" s="17"/>
      <c r="J38" s="17"/>
      <c r="K38" s="17"/>
    </row>
    <row r="39" spans="1:11" x14ac:dyDescent="0.2">
      <c r="A39" s="115">
        <v>46115</v>
      </c>
      <c r="B39" s="93" t="s">
        <v>105</v>
      </c>
      <c r="C39" s="94" t="s">
        <v>39</v>
      </c>
      <c r="D39" s="95">
        <v>18000</v>
      </c>
      <c r="E39" s="95">
        <v>91.36</v>
      </c>
      <c r="F39" s="96">
        <v>1644480</v>
      </c>
      <c r="G39" s="97" t="s">
        <v>52</v>
      </c>
      <c r="H39" s="114">
        <f t="shared" si="0"/>
        <v>46113</v>
      </c>
      <c r="I39" s="17"/>
      <c r="J39" s="17"/>
      <c r="K39" s="17"/>
    </row>
    <row r="40" spans="1:11" x14ac:dyDescent="0.2">
      <c r="A40" s="115">
        <v>46115</v>
      </c>
      <c r="B40" s="93" t="s">
        <v>106</v>
      </c>
      <c r="C40" s="94" t="s">
        <v>123</v>
      </c>
      <c r="D40" s="95">
        <v>306.2</v>
      </c>
      <c r="E40" s="95">
        <v>92.74</v>
      </c>
      <c r="F40" s="96">
        <v>28396.98</v>
      </c>
      <c r="G40" s="97" t="s">
        <v>135</v>
      </c>
      <c r="H40" s="114">
        <f t="shared" si="0"/>
        <v>46113</v>
      </c>
      <c r="I40" s="17"/>
      <c r="J40" s="17"/>
      <c r="K40" s="17"/>
    </row>
    <row r="41" spans="1:11" x14ac:dyDescent="0.2">
      <c r="A41" s="115">
        <v>46115</v>
      </c>
      <c r="B41" s="93" t="s">
        <v>107</v>
      </c>
      <c r="C41" s="94" t="s">
        <v>124</v>
      </c>
      <c r="D41" s="95">
        <v>55.48</v>
      </c>
      <c r="E41" s="95">
        <v>92.74</v>
      </c>
      <c r="F41" s="96">
        <v>5145.21</v>
      </c>
      <c r="G41" s="97" t="s">
        <v>136</v>
      </c>
      <c r="H41" s="114">
        <f t="shared" si="0"/>
        <v>46113</v>
      </c>
      <c r="I41" s="17"/>
      <c r="J41" s="17"/>
      <c r="K41" s="17"/>
    </row>
    <row r="42" spans="1:11" x14ac:dyDescent="0.2">
      <c r="A42" s="115">
        <v>46115</v>
      </c>
      <c r="B42" s="93" t="s">
        <v>108</v>
      </c>
      <c r="C42" s="94" t="s">
        <v>125</v>
      </c>
      <c r="D42" s="95">
        <v>80</v>
      </c>
      <c r="E42" s="95">
        <v>92.74</v>
      </c>
      <c r="F42" s="96">
        <v>7419.2</v>
      </c>
      <c r="G42" s="97" t="s">
        <v>94</v>
      </c>
      <c r="H42" s="114">
        <f t="shared" si="0"/>
        <v>46113</v>
      </c>
      <c r="I42" s="17"/>
      <c r="J42" s="17"/>
      <c r="K42" s="17"/>
    </row>
    <row r="43" spans="1:11" x14ac:dyDescent="0.2">
      <c r="A43" s="115">
        <v>46115</v>
      </c>
      <c r="B43" s="93" t="s">
        <v>109</v>
      </c>
      <c r="C43" s="94" t="s">
        <v>126</v>
      </c>
      <c r="D43" s="95">
        <v>19.14</v>
      </c>
      <c r="E43" s="95">
        <v>92.74</v>
      </c>
      <c r="F43" s="96">
        <v>1775</v>
      </c>
      <c r="G43" s="97" t="s">
        <v>94</v>
      </c>
      <c r="H43" s="114">
        <f t="shared" si="0"/>
        <v>46113</v>
      </c>
      <c r="I43" s="17"/>
      <c r="J43" s="17"/>
      <c r="K43" s="17"/>
    </row>
    <row r="44" spans="1:11" x14ac:dyDescent="0.2">
      <c r="A44" s="115">
        <v>46115</v>
      </c>
      <c r="B44" s="93" t="s">
        <v>110</v>
      </c>
      <c r="C44" s="94" t="s">
        <v>127</v>
      </c>
      <c r="D44" s="95">
        <v>500</v>
      </c>
      <c r="E44" s="95">
        <v>92.74</v>
      </c>
      <c r="F44" s="96">
        <v>46370</v>
      </c>
      <c r="G44" s="97" t="s">
        <v>59</v>
      </c>
      <c r="H44" s="114">
        <f t="shared" si="0"/>
        <v>46113</v>
      </c>
      <c r="I44" s="17"/>
      <c r="J44" s="17"/>
      <c r="K44" s="17"/>
    </row>
    <row r="45" spans="1:11" x14ac:dyDescent="0.2">
      <c r="A45" s="115">
        <v>46115</v>
      </c>
      <c r="B45" s="93" t="s">
        <v>111</v>
      </c>
      <c r="C45" s="94" t="s">
        <v>128</v>
      </c>
      <c r="D45" s="95">
        <v>35</v>
      </c>
      <c r="E45" s="95">
        <v>92.74</v>
      </c>
      <c r="F45" s="96">
        <v>3245.9</v>
      </c>
      <c r="G45" s="97" t="s">
        <v>56</v>
      </c>
      <c r="H45" s="114">
        <f t="shared" si="0"/>
        <v>46113</v>
      </c>
      <c r="I45" s="17"/>
      <c r="J45" s="17"/>
      <c r="K45" s="17"/>
    </row>
    <row r="46" spans="1:11" x14ac:dyDescent="0.2">
      <c r="A46" s="115">
        <v>46115</v>
      </c>
      <c r="B46" s="93" t="s">
        <v>112</v>
      </c>
      <c r="C46" s="94" t="s">
        <v>128</v>
      </c>
      <c r="D46" s="95">
        <v>30</v>
      </c>
      <c r="E46" s="95">
        <v>92.74</v>
      </c>
      <c r="F46" s="96">
        <v>2782.2</v>
      </c>
      <c r="G46" s="97" t="s">
        <v>56</v>
      </c>
      <c r="H46" s="114">
        <f t="shared" si="0"/>
        <v>46113</v>
      </c>
      <c r="I46" s="17"/>
      <c r="J46" s="17"/>
      <c r="K46" s="17"/>
    </row>
    <row r="47" spans="1:11" x14ac:dyDescent="0.2">
      <c r="A47" s="115">
        <v>46115</v>
      </c>
      <c r="B47" s="93" t="s">
        <v>113</v>
      </c>
      <c r="C47" s="94" t="s">
        <v>129</v>
      </c>
      <c r="D47" s="95">
        <v>88</v>
      </c>
      <c r="E47" s="95">
        <v>92.74</v>
      </c>
      <c r="F47" s="96">
        <v>8161.12</v>
      </c>
      <c r="G47" s="97" t="s">
        <v>56</v>
      </c>
      <c r="H47" s="114">
        <f t="shared" si="0"/>
        <v>46113</v>
      </c>
      <c r="I47" s="17"/>
      <c r="J47" s="17"/>
      <c r="K47" s="17"/>
    </row>
    <row r="48" spans="1:11" x14ac:dyDescent="0.2">
      <c r="A48" s="115">
        <v>46115</v>
      </c>
      <c r="B48" s="93" t="s">
        <v>114</v>
      </c>
      <c r="C48" s="94" t="s">
        <v>130</v>
      </c>
      <c r="D48" s="95">
        <v>67.5</v>
      </c>
      <c r="E48" s="95">
        <v>92.74</v>
      </c>
      <c r="F48" s="96">
        <v>6259.95</v>
      </c>
      <c r="G48" s="97" t="s">
        <v>137</v>
      </c>
      <c r="H48" s="114">
        <f t="shared" si="0"/>
        <v>46113</v>
      </c>
      <c r="I48" s="17"/>
      <c r="J48" s="17"/>
      <c r="K48" s="17"/>
    </row>
    <row r="49" spans="1:11" x14ac:dyDescent="0.2">
      <c r="A49" s="115">
        <v>46115</v>
      </c>
      <c r="B49" s="93" t="s">
        <v>115</v>
      </c>
      <c r="C49" s="94" t="s">
        <v>131</v>
      </c>
      <c r="D49" s="95">
        <v>38.28</v>
      </c>
      <c r="E49" s="95">
        <v>92.74</v>
      </c>
      <c r="F49" s="96">
        <v>3550.08</v>
      </c>
      <c r="G49" s="97" t="s">
        <v>55</v>
      </c>
      <c r="H49" s="114">
        <f t="shared" si="0"/>
        <v>46113</v>
      </c>
      <c r="I49" s="17"/>
      <c r="J49" s="17"/>
      <c r="K49" s="17"/>
    </row>
    <row r="50" spans="1:11" x14ac:dyDescent="0.2">
      <c r="A50" s="115">
        <v>46115</v>
      </c>
      <c r="B50" s="93" t="s">
        <v>116</v>
      </c>
      <c r="C50" s="94" t="s">
        <v>132</v>
      </c>
      <c r="D50" s="95">
        <v>313.79000000000002</v>
      </c>
      <c r="E50" s="95">
        <v>92.74</v>
      </c>
      <c r="F50" s="96">
        <v>29100.880000000001</v>
      </c>
      <c r="G50" s="97" t="s">
        <v>14</v>
      </c>
      <c r="H50" s="114">
        <f t="shared" si="0"/>
        <v>46113</v>
      </c>
      <c r="I50" s="17"/>
      <c r="J50" s="17"/>
      <c r="K50" s="17"/>
    </row>
    <row r="51" spans="1:11" x14ac:dyDescent="0.2">
      <c r="A51" s="115">
        <v>46115</v>
      </c>
      <c r="B51" s="93" t="s">
        <v>117</v>
      </c>
      <c r="C51" s="94" t="s">
        <v>133</v>
      </c>
      <c r="D51" s="95">
        <v>80</v>
      </c>
      <c r="E51" s="95">
        <v>92.74</v>
      </c>
      <c r="F51" s="96">
        <v>7419.2</v>
      </c>
      <c r="G51" s="97" t="s">
        <v>94</v>
      </c>
      <c r="H51" s="114">
        <f t="shared" si="0"/>
        <v>46113</v>
      </c>
      <c r="I51" s="17"/>
      <c r="J51" s="17"/>
      <c r="K51" s="17"/>
    </row>
    <row r="52" spans="1:11" x14ac:dyDescent="0.2">
      <c r="A52" s="115">
        <v>46115</v>
      </c>
      <c r="B52" s="93" t="s">
        <v>118</v>
      </c>
      <c r="C52" s="94" t="s">
        <v>45</v>
      </c>
      <c r="D52" s="95">
        <v>46.47</v>
      </c>
      <c r="E52" s="95">
        <v>92.74</v>
      </c>
      <c r="F52" s="96">
        <v>4309.62</v>
      </c>
      <c r="G52" s="97" t="s">
        <v>56</v>
      </c>
      <c r="H52" s="114">
        <f t="shared" si="0"/>
        <v>46113</v>
      </c>
      <c r="I52" s="17"/>
      <c r="J52" s="17"/>
      <c r="K52" s="17"/>
    </row>
    <row r="53" spans="1:11" x14ac:dyDescent="0.2">
      <c r="A53" s="115">
        <v>46115</v>
      </c>
      <c r="B53" s="93" t="s">
        <v>119</v>
      </c>
      <c r="C53" s="94" t="s">
        <v>50</v>
      </c>
      <c r="D53" s="95">
        <v>2500.1799999999998</v>
      </c>
      <c r="E53" s="95">
        <v>92.74</v>
      </c>
      <c r="F53" s="96">
        <v>231866.69</v>
      </c>
      <c r="G53" s="97" t="s">
        <v>59</v>
      </c>
      <c r="H53" s="114">
        <f t="shared" si="0"/>
        <v>46113</v>
      </c>
      <c r="I53" s="17"/>
      <c r="J53" s="17"/>
      <c r="K53" s="17"/>
    </row>
    <row r="54" spans="1:11" x14ac:dyDescent="0.2">
      <c r="A54" s="115">
        <v>46115</v>
      </c>
      <c r="B54" s="93" t="s">
        <v>120</v>
      </c>
      <c r="C54" s="94"/>
      <c r="D54" s="95">
        <v>32.35</v>
      </c>
      <c r="E54" s="95">
        <v>92.74</v>
      </c>
      <c r="F54" s="96">
        <v>3000</v>
      </c>
      <c r="G54" s="97" t="s">
        <v>15</v>
      </c>
      <c r="H54" s="114">
        <f t="shared" si="0"/>
        <v>46113</v>
      </c>
      <c r="I54" s="17"/>
      <c r="J54" s="17"/>
      <c r="K54" s="17"/>
    </row>
    <row r="55" spans="1:11" x14ac:dyDescent="0.2">
      <c r="A55" s="115">
        <v>46115</v>
      </c>
      <c r="B55" s="93" t="s">
        <v>121</v>
      </c>
      <c r="C55" s="94"/>
      <c r="D55" s="95">
        <v>3127.02</v>
      </c>
      <c r="E55" s="95">
        <v>92.74</v>
      </c>
      <c r="F55" s="96">
        <v>290000</v>
      </c>
      <c r="G55" s="97" t="s">
        <v>58</v>
      </c>
      <c r="H55" s="114">
        <f t="shared" si="0"/>
        <v>46113</v>
      </c>
      <c r="I55" s="17"/>
      <c r="J55" s="17"/>
      <c r="K55" s="17"/>
    </row>
    <row r="56" spans="1:11" x14ac:dyDescent="0.2">
      <c r="A56" s="99">
        <v>46116</v>
      </c>
      <c r="B56" s="93" t="s">
        <v>144</v>
      </c>
      <c r="C56" s="94" t="s">
        <v>40</v>
      </c>
      <c r="D56" s="95">
        <v>12000</v>
      </c>
      <c r="E56" s="95">
        <v>91.2</v>
      </c>
      <c r="F56" s="96">
        <v>1094400</v>
      </c>
      <c r="G56" s="97" t="s">
        <v>51</v>
      </c>
      <c r="H56" s="114">
        <f t="shared" si="0"/>
        <v>46113</v>
      </c>
      <c r="I56" s="17"/>
      <c r="J56" s="17"/>
      <c r="K56" s="17"/>
    </row>
    <row r="57" spans="1:11" x14ac:dyDescent="0.2">
      <c r="A57" s="115">
        <v>46116</v>
      </c>
      <c r="B57" s="93" t="s">
        <v>145</v>
      </c>
      <c r="C57" s="94" t="s">
        <v>127</v>
      </c>
      <c r="D57" s="95">
        <v>500</v>
      </c>
      <c r="E57" s="95">
        <v>92.74</v>
      </c>
      <c r="F57" s="96">
        <v>46370</v>
      </c>
      <c r="G57" s="97" t="s">
        <v>59</v>
      </c>
      <c r="H57" s="114">
        <f t="shared" si="0"/>
        <v>46113</v>
      </c>
      <c r="I57" s="17"/>
      <c r="J57" s="17"/>
      <c r="K57" s="17"/>
    </row>
    <row r="58" spans="1:11" x14ac:dyDescent="0.2">
      <c r="A58" s="115">
        <v>46116</v>
      </c>
      <c r="B58" s="93" t="s">
        <v>146</v>
      </c>
      <c r="C58" s="94" t="s">
        <v>43</v>
      </c>
      <c r="D58" s="95">
        <v>10</v>
      </c>
      <c r="E58" s="95">
        <v>92.74</v>
      </c>
      <c r="F58" s="96">
        <v>927.4</v>
      </c>
      <c r="G58" s="97" t="s">
        <v>55</v>
      </c>
      <c r="H58" s="114">
        <f t="shared" si="0"/>
        <v>46113</v>
      </c>
      <c r="I58" s="17"/>
      <c r="J58" s="17"/>
      <c r="K58" s="17"/>
    </row>
    <row r="59" spans="1:11" x14ac:dyDescent="0.2">
      <c r="A59" s="115">
        <v>46116</v>
      </c>
      <c r="B59" s="93" t="s">
        <v>147</v>
      </c>
      <c r="C59" s="94" t="s">
        <v>84</v>
      </c>
      <c r="D59" s="95">
        <v>130</v>
      </c>
      <c r="E59" s="95">
        <v>92.74</v>
      </c>
      <c r="F59" s="96">
        <v>12056.2</v>
      </c>
      <c r="G59" s="97" t="s">
        <v>93</v>
      </c>
      <c r="H59" s="114">
        <f t="shared" si="0"/>
        <v>46113</v>
      </c>
      <c r="I59" s="17"/>
      <c r="J59" s="17"/>
      <c r="K59" s="17"/>
    </row>
    <row r="60" spans="1:11" x14ac:dyDescent="0.2">
      <c r="A60" s="115">
        <v>46116</v>
      </c>
      <c r="B60" s="93" t="s">
        <v>148</v>
      </c>
      <c r="C60" s="94" t="s">
        <v>13</v>
      </c>
      <c r="D60" s="95">
        <v>615.70000000000005</v>
      </c>
      <c r="E60" s="95">
        <v>92.74</v>
      </c>
      <c r="F60" s="96">
        <v>57100</v>
      </c>
      <c r="G60" s="97" t="s">
        <v>152</v>
      </c>
      <c r="H60" s="114">
        <f t="shared" si="0"/>
        <v>46113</v>
      </c>
      <c r="I60" s="17"/>
      <c r="J60" s="17"/>
      <c r="K60" s="17"/>
    </row>
    <row r="61" spans="1:11" x14ac:dyDescent="0.2">
      <c r="A61" s="115">
        <v>46116</v>
      </c>
      <c r="B61" s="93" t="s">
        <v>149</v>
      </c>
      <c r="C61" s="94" t="s">
        <v>13</v>
      </c>
      <c r="D61" s="95">
        <v>1289.6300000000001</v>
      </c>
      <c r="E61" s="95">
        <v>92.74</v>
      </c>
      <c r="F61" s="96">
        <v>119600</v>
      </c>
      <c r="G61" s="97" t="s">
        <v>58</v>
      </c>
      <c r="H61" s="114">
        <f t="shared" si="0"/>
        <v>46113</v>
      </c>
      <c r="I61" s="17"/>
      <c r="J61" s="17"/>
      <c r="K61" s="17"/>
    </row>
    <row r="62" spans="1:11" x14ac:dyDescent="0.2">
      <c r="A62" s="115">
        <v>46116</v>
      </c>
      <c r="B62" s="93" t="s">
        <v>150</v>
      </c>
      <c r="C62" s="94" t="s">
        <v>50</v>
      </c>
      <c r="D62" s="95">
        <v>3000.11</v>
      </c>
      <c r="E62" s="95">
        <v>92.74</v>
      </c>
      <c r="F62" s="96">
        <v>278230.2</v>
      </c>
      <c r="G62" s="97" t="s">
        <v>59</v>
      </c>
      <c r="H62" s="114">
        <f t="shared" si="0"/>
        <v>46113</v>
      </c>
      <c r="I62" s="17"/>
      <c r="J62" s="17"/>
      <c r="K62" s="17"/>
    </row>
    <row r="63" spans="1:11" x14ac:dyDescent="0.2">
      <c r="A63" s="115">
        <v>46116</v>
      </c>
      <c r="B63" s="93" t="s">
        <v>151</v>
      </c>
      <c r="C63" s="94" t="s">
        <v>13</v>
      </c>
      <c r="D63" s="95">
        <v>253</v>
      </c>
      <c r="E63" s="95">
        <v>92.74</v>
      </c>
      <c r="F63" s="96">
        <v>23463.22</v>
      </c>
      <c r="G63" s="97" t="s">
        <v>153</v>
      </c>
      <c r="H63" s="114">
        <f t="shared" si="0"/>
        <v>46113</v>
      </c>
      <c r="I63" s="17"/>
      <c r="J63" s="17"/>
      <c r="K63" s="17"/>
    </row>
    <row r="64" spans="1:11" x14ac:dyDescent="0.2">
      <c r="A64" s="99">
        <v>46117</v>
      </c>
      <c r="B64" s="93" t="s">
        <v>158</v>
      </c>
      <c r="C64" s="94" t="s">
        <v>50</v>
      </c>
      <c r="D64" s="95">
        <v>1500.01</v>
      </c>
      <c r="E64" s="95">
        <v>92.74</v>
      </c>
      <c r="F64" s="96">
        <v>139110.93</v>
      </c>
      <c r="G64" s="97" t="s">
        <v>96</v>
      </c>
      <c r="H64" s="114">
        <f t="shared" si="0"/>
        <v>46113</v>
      </c>
      <c r="I64" s="17"/>
      <c r="J64" s="17"/>
      <c r="K64" s="17"/>
    </row>
    <row r="65" spans="1:11" x14ac:dyDescent="0.2">
      <c r="A65" s="115">
        <v>46117</v>
      </c>
      <c r="B65" s="93" t="s">
        <v>159</v>
      </c>
      <c r="C65" s="94" t="s">
        <v>50</v>
      </c>
      <c r="D65" s="95">
        <v>2500.0100000000002</v>
      </c>
      <c r="E65" s="95">
        <v>92.74</v>
      </c>
      <c r="F65" s="96">
        <v>231850.93</v>
      </c>
      <c r="G65" s="97" t="s">
        <v>59</v>
      </c>
      <c r="H65" s="114">
        <f t="shared" si="0"/>
        <v>46113</v>
      </c>
      <c r="I65" s="17"/>
      <c r="J65" s="17"/>
      <c r="K65" s="17"/>
    </row>
    <row r="66" spans="1:11" x14ac:dyDescent="0.2">
      <c r="A66" s="115">
        <v>46117</v>
      </c>
      <c r="B66" s="93" t="s">
        <v>160</v>
      </c>
      <c r="C66" s="94" t="s">
        <v>165</v>
      </c>
      <c r="D66" s="95">
        <v>235.61</v>
      </c>
      <c r="E66" s="95">
        <v>92.74</v>
      </c>
      <c r="F66" s="96">
        <v>21850.47</v>
      </c>
      <c r="G66" s="97" t="s">
        <v>14</v>
      </c>
      <c r="H66" s="114">
        <f t="shared" si="0"/>
        <v>46113</v>
      </c>
      <c r="I66" s="17"/>
      <c r="J66" s="17"/>
      <c r="K66" s="17"/>
    </row>
    <row r="67" spans="1:11" x14ac:dyDescent="0.2">
      <c r="A67" s="115">
        <v>46117</v>
      </c>
      <c r="B67" s="93" t="s">
        <v>161</v>
      </c>
      <c r="C67" s="94" t="s">
        <v>166</v>
      </c>
      <c r="D67" s="95">
        <v>210.33</v>
      </c>
      <c r="E67" s="95">
        <v>92.74</v>
      </c>
      <c r="F67" s="96">
        <v>19506</v>
      </c>
      <c r="G67" s="97" t="s">
        <v>14</v>
      </c>
      <c r="H67" s="114">
        <f t="shared" si="0"/>
        <v>46113</v>
      </c>
      <c r="I67" s="17"/>
      <c r="J67" s="17"/>
      <c r="K67" s="17"/>
    </row>
    <row r="68" spans="1:11" x14ac:dyDescent="0.2">
      <c r="A68" s="115">
        <v>46117</v>
      </c>
      <c r="B68" s="93" t="s">
        <v>162</v>
      </c>
      <c r="C68" s="94"/>
      <c r="D68" s="95">
        <v>1492.34</v>
      </c>
      <c r="E68" s="95">
        <v>92.74</v>
      </c>
      <c r="F68" s="96">
        <v>138400</v>
      </c>
      <c r="G68" s="97" t="s">
        <v>58</v>
      </c>
      <c r="H68" s="114">
        <f t="shared" ref="H68:H131" si="1">IF(A68&lt;&gt;"", EOMONTH(A68, -1) + 1, "")</f>
        <v>46113</v>
      </c>
      <c r="I68" s="17"/>
      <c r="J68" s="17"/>
      <c r="K68" s="17"/>
    </row>
    <row r="69" spans="1:11" x14ac:dyDescent="0.2">
      <c r="A69" s="115">
        <v>46117</v>
      </c>
      <c r="B69" s="93" t="s">
        <v>163</v>
      </c>
      <c r="C69" s="94"/>
      <c r="D69" s="95">
        <v>210.27</v>
      </c>
      <c r="E69" s="95">
        <v>92.74</v>
      </c>
      <c r="F69" s="96">
        <v>19500</v>
      </c>
      <c r="G69" s="97" t="s">
        <v>152</v>
      </c>
      <c r="H69" s="114">
        <f t="shared" si="1"/>
        <v>46113</v>
      </c>
      <c r="I69" s="17"/>
      <c r="J69" s="17"/>
      <c r="K69" s="17"/>
    </row>
    <row r="70" spans="1:11" x14ac:dyDescent="0.2">
      <c r="A70" s="115">
        <v>46117</v>
      </c>
      <c r="B70" s="93" t="s">
        <v>164</v>
      </c>
      <c r="C70" s="94"/>
      <c r="D70" s="95">
        <v>468.27</v>
      </c>
      <c r="E70" s="95">
        <v>92.74</v>
      </c>
      <c r="F70" s="96">
        <v>43427.35</v>
      </c>
      <c r="G70" s="97" t="s">
        <v>57</v>
      </c>
      <c r="H70" s="114">
        <f t="shared" si="1"/>
        <v>46113</v>
      </c>
      <c r="I70" s="17"/>
      <c r="J70" s="17"/>
      <c r="K70" s="17"/>
    </row>
    <row r="71" spans="1:11" x14ac:dyDescent="0.2">
      <c r="A71" s="99">
        <v>46118</v>
      </c>
      <c r="B71" s="93" t="s">
        <v>169</v>
      </c>
      <c r="C71" s="94" t="s">
        <v>42</v>
      </c>
      <c r="D71" s="95">
        <v>8000</v>
      </c>
      <c r="E71" s="95">
        <v>91.36</v>
      </c>
      <c r="F71" s="96">
        <v>730880</v>
      </c>
      <c r="G71" s="97" t="s">
        <v>52</v>
      </c>
      <c r="H71" s="114">
        <f t="shared" si="1"/>
        <v>46113</v>
      </c>
      <c r="I71" s="17"/>
      <c r="J71" s="17"/>
      <c r="K71" s="17"/>
    </row>
    <row r="72" spans="1:11" x14ac:dyDescent="0.2">
      <c r="A72" s="115">
        <v>46118</v>
      </c>
      <c r="B72" s="93" t="s">
        <v>170</v>
      </c>
      <c r="C72" s="94" t="s">
        <v>180</v>
      </c>
      <c r="D72" s="95">
        <v>8000</v>
      </c>
      <c r="E72" s="95">
        <v>91.2</v>
      </c>
      <c r="F72" s="96">
        <v>729600</v>
      </c>
      <c r="G72" s="97" t="s">
        <v>51</v>
      </c>
      <c r="H72" s="114">
        <f t="shared" si="1"/>
        <v>46113</v>
      </c>
      <c r="I72" s="17"/>
      <c r="J72" s="17"/>
      <c r="K72" s="17"/>
    </row>
    <row r="73" spans="1:11" x14ac:dyDescent="0.2">
      <c r="A73" s="115">
        <v>46118</v>
      </c>
      <c r="B73" s="93" t="s">
        <v>171</v>
      </c>
      <c r="C73" s="94" t="s">
        <v>181</v>
      </c>
      <c r="D73" s="95">
        <v>300</v>
      </c>
      <c r="E73" s="95">
        <v>92.74</v>
      </c>
      <c r="F73" s="96">
        <v>27822</v>
      </c>
      <c r="G73" s="97" t="s">
        <v>184</v>
      </c>
      <c r="H73" s="114">
        <f t="shared" si="1"/>
        <v>46113</v>
      </c>
      <c r="I73" s="17"/>
      <c r="J73" s="17"/>
      <c r="K73" s="17"/>
    </row>
    <row r="74" spans="1:11" x14ac:dyDescent="0.2">
      <c r="A74" s="115">
        <v>46118</v>
      </c>
      <c r="B74" s="93" t="s">
        <v>172</v>
      </c>
      <c r="C74" s="94" t="s">
        <v>129</v>
      </c>
      <c r="D74" s="95">
        <v>97.81</v>
      </c>
      <c r="E74" s="95">
        <v>92.74</v>
      </c>
      <c r="F74" s="96">
        <v>9070.89</v>
      </c>
      <c r="G74" s="97" t="s">
        <v>56</v>
      </c>
      <c r="H74" s="114">
        <f t="shared" si="1"/>
        <v>46113</v>
      </c>
      <c r="I74" s="17"/>
      <c r="J74" s="17"/>
      <c r="K74" s="17"/>
    </row>
    <row r="75" spans="1:11" x14ac:dyDescent="0.2">
      <c r="A75" s="115">
        <v>46118</v>
      </c>
      <c r="B75" s="93" t="s">
        <v>173</v>
      </c>
      <c r="C75" s="94" t="s">
        <v>84</v>
      </c>
      <c r="D75" s="95">
        <v>160</v>
      </c>
      <c r="E75" s="95">
        <v>92.74</v>
      </c>
      <c r="F75" s="96">
        <v>14838.4</v>
      </c>
      <c r="G75" s="97" t="s">
        <v>93</v>
      </c>
      <c r="H75" s="114">
        <f t="shared" si="1"/>
        <v>46113</v>
      </c>
      <c r="I75" s="17"/>
      <c r="J75" s="17"/>
      <c r="K75" s="17"/>
    </row>
    <row r="76" spans="1:11" x14ac:dyDescent="0.2">
      <c r="A76" s="115">
        <v>46118</v>
      </c>
      <c r="B76" s="93" t="s">
        <v>174</v>
      </c>
      <c r="C76" s="94" t="s">
        <v>182</v>
      </c>
      <c r="D76" s="95">
        <v>301.92</v>
      </c>
      <c r="E76" s="95">
        <v>92.74</v>
      </c>
      <c r="F76" s="96">
        <v>28000</v>
      </c>
      <c r="G76" s="97" t="s">
        <v>14</v>
      </c>
      <c r="H76" s="114">
        <f t="shared" si="1"/>
        <v>46113</v>
      </c>
      <c r="I76" s="17"/>
      <c r="J76" s="17"/>
      <c r="K76" s="17"/>
    </row>
    <row r="77" spans="1:11" x14ac:dyDescent="0.2">
      <c r="A77" s="115">
        <v>46118</v>
      </c>
      <c r="B77" s="93" t="s">
        <v>175</v>
      </c>
      <c r="C77" s="94" t="s">
        <v>183</v>
      </c>
      <c r="D77" s="95">
        <v>297.83</v>
      </c>
      <c r="E77" s="95">
        <v>92.74</v>
      </c>
      <c r="F77" s="96">
        <v>27620.75</v>
      </c>
      <c r="G77" s="97" t="s">
        <v>14</v>
      </c>
      <c r="H77" s="114">
        <f t="shared" si="1"/>
        <v>46113</v>
      </c>
      <c r="I77" s="17"/>
      <c r="J77" s="17"/>
      <c r="K77" s="17"/>
    </row>
    <row r="78" spans="1:11" x14ac:dyDescent="0.2">
      <c r="A78" s="115">
        <v>46118</v>
      </c>
      <c r="B78" s="93" t="s">
        <v>176</v>
      </c>
      <c r="C78" s="94" t="s">
        <v>50</v>
      </c>
      <c r="D78" s="95">
        <v>48</v>
      </c>
      <c r="E78" s="95">
        <v>92.74</v>
      </c>
      <c r="F78" s="96">
        <v>4451.5200000000004</v>
      </c>
      <c r="G78" s="97" t="s">
        <v>54</v>
      </c>
      <c r="H78" s="114">
        <f t="shared" si="1"/>
        <v>46113</v>
      </c>
      <c r="I78" s="17"/>
      <c r="J78" s="17"/>
      <c r="K78" s="17"/>
    </row>
    <row r="79" spans="1:11" x14ac:dyDescent="0.2">
      <c r="A79" s="115">
        <v>46118</v>
      </c>
      <c r="B79" s="93" t="s">
        <v>177</v>
      </c>
      <c r="C79" s="94" t="s">
        <v>13</v>
      </c>
      <c r="D79" s="95">
        <v>1954.93</v>
      </c>
      <c r="E79" s="95">
        <v>92.74</v>
      </c>
      <c r="F79" s="96">
        <v>181300</v>
      </c>
      <c r="G79" s="97" t="s">
        <v>58</v>
      </c>
      <c r="H79" s="114">
        <f t="shared" si="1"/>
        <v>46113</v>
      </c>
      <c r="I79" s="17"/>
      <c r="J79" s="17"/>
      <c r="K79" s="17"/>
    </row>
    <row r="80" spans="1:11" x14ac:dyDescent="0.2">
      <c r="A80" s="115">
        <v>46118</v>
      </c>
      <c r="B80" s="93" t="s">
        <v>178</v>
      </c>
      <c r="C80" s="94" t="s">
        <v>13</v>
      </c>
      <c r="D80" s="95">
        <v>532.97</v>
      </c>
      <c r="E80" s="95">
        <v>92.74</v>
      </c>
      <c r="F80" s="96">
        <v>49427.4</v>
      </c>
      <c r="G80" s="97" t="s">
        <v>152</v>
      </c>
      <c r="H80" s="114">
        <f t="shared" si="1"/>
        <v>46113</v>
      </c>
      <c r="I80" s="17"/>
      <c r="J80" s="17"/>
      <c r="K80" s="17"/>
    </row>
    <row r="81" spans="1:11" x14ac:dyDescent="0.2">
      <c r="A81" s="115">
        <v>46118</v>
      </c>
      <c r="B81" s="93" t="s">
        <v>179</v>
      </c>
      <c r="C81" s="94" t="s">
        <v>50</v>
      </c>
      <c r="D81" s="95">
        <v>3000</v>
      </c>
      <c r="E81" s="95">
        <v>92.74</v>
      </c>
      <c r="F81" s="96">
        <v>278220</v>
      </c>
      <c r="G81" s="97" t="s">
        <v>59</v>
      </c>
      <c r="H81" s="114">
        <f t="shared" si="1"/>
        <v>46113</v>
      </c>
      <c r="I81" s="17"/>
      <c r="J81" s="17"/>
      <c r="K81" s="17"/>
    </row>
    <row r="82" spans="1:11" x14ac:dyDescent="0.2">
      <c r="A82" s="99">
        <v>46119</v>
      </c>
      <c r="B82" s="93" t="s">
        <v>185</v>
      </c>
      <c r="C82" s="94" t="s">
        <v>50</v>
      </c>
      <c r="D82" s="95">
        <v>3000</v>
      </c>
      <c r="E82" s="95">
        <v>91.36</v>
      </c>
      <c r="F82" s="96">
        <v>274080</v>
      </c>
      <c r="G82" s="97" t="s">
        <v>143</v>
      </c>
      <c r="H82" s="114">
        <f t="shared" si="1"/>
        <v>46113</v>
      </c>
      <c r="I82" s="17"/>
      <c r="J82" s="17"/>
      <c r="K82" s="17"/>
    </row>
    <row r="83" spans="1:11" x14ac:dyDescent="0.2">
      <c r="A83" s="115">
        <v>46119</v>
      </c>
      <c r="B83" s="93" t="s">
        <v>186</v>
      </c>
      <c r="C83" s="94" t="s">
        <v>40</v>
      </c>
      <c r="D83" s="95">
        <v>8000</v>
      </c>
      <c r="E83" s="95">
        <v>91.2</v>
      </c>
      <c r="F83" s="96">
        <v>729600</v>
      </c>
      <c r="G83" s="97" t="s">
        <v>51</v>
      </c>
      <c r="H83" s="114">
        <f t="shared" si="1"/>
        <v>46113</v>
      </c>
      <c r="I83" s="17"/>
      <c r="J83" s="17"/>
      <c r="K83" s="17"/>
    </row>
    <row r="84" spans="1:11" x14ac:dyDescent="0.2">
      <c r="A84" s="115">
        <v>46119</v>
      </c>
      <c r="B84" s="93" t="s">
        <v>187</v>
      </c>
      <c r="C84" s="94" t="s">
        <v>41</v>
      </c>
      <c r="D84" s="95">
        <v>52</v>
      </c>
      <c r="E84" s="95">
        <v>92.74</v>
      </c>
      <c r="F84" s="96">
        <v>4822.4799999999996</v>
      </c>
      <c r="G84" s="97" t="s">
        <v>53</v>
      </c>
      <c r="H84" s="114">
        <f t="shared" si="1"/>
        <v>46113</v>
      </c>
      <c r="I84" s="17"/>
      <c r="J84" s="17"/>
      <c r="K84" s="17"/>
    </row>
    <row r="85" spans="1:11" x14ac:dyDescent="0.2">
      <c r="A85" s="115">
        <v>46119</v>
      </c>
      <c r="B85" s="93" t="s">
        <v>188</v>
      </c>
      <c r="C85" s="94" t="s">
        <v>44</v>
      </c>
      <c r="D85" s="95">
        <v>47.67</v>
      </c>
      <c r="E85" s="95">
        <v>92.74</v>
      </c>
      <c r="F85" s="96">
        <v>4420.91</v>
      </c>
      <c r="G85" s="97" t="s">
        <v>56</v>
      </c>
      <c r="H85" s="114">
        <f t="shared" si="1"/>
        <v>46113</v>
      </c>
      <c r="I85" s="17"/>
      <c r="J85" s="17"/>
      <c r="K85" s="17"/>
    </row>
    <row r="86" spans="1:11" x14ac:dyDescent="0.2">
      <c r="A86" s="115">
        <v>46119</v>
      </c>
      <c r="B86" s="93" t="s">
        <v>189</v>
      </c>
      <c r="C86" s="94" t="s">
        <v>127</v>
      </c>
      <c r="D86" s="95">
        <v>500</v>
      </c>
      <c r="E86" s="95">
        <v>92.74</v>
      </c>
      <c r="F86" s="96">
        <v>46370</v>
      </c>
      <c r="G86" s="97" t="s">
        <v>59</v>
      </c>
      <c r="H86" s="114">
        <f t="shared" si="1"/>
        <v>46113</v>
      </c>
      <c r="I86" s="17"/>
      <c r="J86" s="17"/>
      <c r="K86" s="17"/>
    </row>
    <row r="87" spans="1:11" x14ac:dyDescent="0.2">
      <c r="A87" s="115">
        <v>46119</v>
      </c>
      <c r="B87" s="93" t="s">
        <v>190</v>
      </c>
      <c r="C87" s="94" t="s">
        <v>196</v>
      </c>
      <c r="D87" s="95">
        <v>238.31</v>
      </c>
      <c r="E87" s="95">
        <v>92.74</v>
      </c>
      <c r="F87" s="96">
        <v>22100.86</v>
      </c>
      <c r="G87" s="97" t="s">
        <v>199</v>
      </c>
      <c r="H87" s="114">
        <f t="shared" si="1"/>
        <v>46113</v>
      </c>
      <c r="I87" s="17"/>
      <c r="J87" s="17"/>
      <c r="K87" s="17"/>
    </row>
    <row r="88" spans="1:11" x14ac:dyDescent="0.2">
      <c r="A88" s="115">
        <v>46119</v>
      </c>
      <c r="B88" s="93" t="s">
        <v>191</v>
      </c>
      <c r="C88" s="94" t="s">
        <v>84</v>
      </c>
      <c r="D88" s="95">
        <v>160</v>
      </c>
      <c r="E88" s="95">
        <v>92.74</v>
      </c>
      <c r="F88" s="96">
        <v>14838.4</v>
      </c>
      <c r="G88" s="97" t="s">
        <v>93</v>
      </c>
      <c r="H88" s="114">
        <f t="shared" si="1"/>
        <v>46113</v>
      </c>
      <c r="I88" s="17"/>
      <c r="J88" s="17"/>
      <c r="K88" s="17"/>
    </row>
    <row r="89" spans="1:11" x14ac:dyDescent="0.2">
      <c r="A89" s="115">
        <v>46119</v>
      </c>
      <c r="B89" s="93" t="s">
        <v>192</v>
      </c>
      <c r="C89" s="94" t="s">
        <v>197</v>
      </c>
      <c r="D89" s="95">
        <v>107.83</v>
      </c>
      <c r="E89" s="95">
        <v>92.74</v>
      </c>
      <c r="F89" s="96">
        <v>10000</v>
      </c>
      <c r="G89" s="97" t="s">
        <v>14</v>
      </c>
      <c r="H89" s="114">
        <f t="shared" si="1"/>
        <v>46113</v>
      </c>
      <c r="I89" s="17"/>
      <c r="J89" s="17"/>
      <c r="K89" s="17"/>
    </row>
    <row r="90" spans="1:11" x14ac:dyDescent="0.2">
      <c r="A90" s="115">
        <v>46119</v>
      </c>
      <c r="B90" s="93" t="s">
        <v>193</v>
      </c>
      <c r="C90" s="94" t="s">
        <v>198</v>
      </c>
      <c r="D90" s="95">
        <v>194.09</v>
      </c>
      <c r="E90" s="95">
        <v>92.74</v>
      </c>
      <c r="F90" s="96">
        <v>18000</v>
      </c>
      <c r="G90" s="97" t="s">
        <v>14</v>
      </c>
      <c r="H90" s="114">
        <f t="shared" si="1"/>
        <v>46113</v>
      </c>
      <c r="I90" s="17"/>
      <c r="J90" s="17"/>
      <c r="K90" s="17"/>
    </row>
    <row r="91" spans="1:11" x14ac:dyDescent="0.2">
      <c r="A91" s="115">
        <v>46119</v>
      </c>
      <c r="B91" s="93" t="s">
        <v>194</v>
      </c>
      <c r="C91" s="94"/>
      <c r="D91" s="95">
        <v>3268.28</v>
      </c>
      <c r="E91" s="95">
        <v>92.74</v>
      </c>
      <c r="F91" s="96">
        <v>303100</v>
      </c>
      <c r="G91" s="97" t="s">
        <v>58</v>
      </c>
      <c r="H91" s="114">
        <f t="shared" si="1"/>
        <v>46113</v>
      </c>
      <c r="I91" s="17"/>
      <c r="J91" s="17"/>
      <c r="K91" s="17"/>
    </row>
    <row r="92" spans="1:11" x14ac:dyDescent="0.2">
      <c r="A92" s="115">
        <v>46119</v>
      </c>
      <c r="B92" s="93" t="s">
        <v>195</v>
      </c>
      <c r="C92" s="94"/>
      <c r="D92" s="95">
        <v>1611.77</v>
      </c>
      <c r="E92" s="95">
        <v>92.74</v>
      </c>
      <c r="F92" s="96">
        <v>149475.4</v>
      </c>
      <c r="G92" s="97" t="s">
        <v>152</v>
      </c>
      <c r="H92" s="114">
        <f t="shared" si="1"/>
        <v>46113</v>
      </c>
      <c r="I92" s="17"/>
      <c r="J92" s="17"/>
      <c r="K92" s="17"/>
    </row>
    <row r="93" spans="1:11" x14ac:dyDescent="0.2">
      <c r="A93" s="99">
        <v>46120</v>
      </c>
      <c r="B93" s="93" t="s">
        <v>203</v>
      </c>
      <c r="C93" s="94" t="s">
        <v>50</v>
      </c>
      <c r="D93" s="95">
        <v>3000</v>
      </c>
      <c r="E93" s="95">
        <v>91.36</v>
      </c>
      <c r="F93" s="96">
        <v>274080</v>
      </c>
      <c r="G93" s="100" t="s">
        <v>143</v>
      </c>
      <c r="H93" s="114">
        <f t="shared" si="1"/>
        <v>46113</v>
      </c>
      <c r="I93" s="17"/>
      <c r="J93" s="17"/>
      <c r="K93" s="17"/>
    </row>
    <row r="94" spans="1:11" x14ac:dyDescent="0.2">
      <c r="A94" s="115">
        <v>46120</v>
      </c>
      <c r="B94" s="93" t="s">
        <v>204</v>
      </c>
      <c r="C94" s="94" t="s">
        <v>212</v>
      </c>
      <c r="D94" s="95">
        <v>4000</v>
      </c>
      <c r="E94" s="95">
        <v>91.2</v>
      </c>
      <c r="F94" s="96">
        <v>364800</v>
      </c>
      <c r="G94" s="100" t="s">
        <v>51</v>
      </c>
      <c r="H94" s="114">
        <f t="shared" si="1"/>
        <v>46113</v>
      </c>
      <c r="I94" s="17"/>
      <c r="J94" s="17"/>
      <c r="K94" s="17"/>
    </row>
    <row r="95" spans="1:11" x14ac:dyDescent="0.2">
      <c r="A95" s="115">
        <v>46120</v>
      </c>
      <c r="B95" s="93" t="s">
        <v>205</v>
      </c>
      <c r="C95" s="94" t="s">
        <v>213</v>
      </c>
      <c r="D95" s="95">
        <v>37</v>
      </c>
      <c r="E95" s="95">
        <v>92.74</v>
      </c>
      <c r="F95" s="96">
        <v>3431.38</v>
      </c>
      <c r="G95" s="100" t="s">
        <v>136</v>
      </c>
      <c r="H95" s="114">
        <f t="shared" si="1"/>
        <v>46113</v>
      </c>
      <c r="I95" s="17"/>
      <c r="J95" s="17"/>
      <c r="K95" s="17"/>
    </row>
    <row r="96" spans="1:11" x14ac:dyDescent="0.2">
      <c r="A96" s="115">
        <v>46120</v>
      </c>
      <c r="B96" s="93" t="s">
        <v>206</v>
      </c>
      <c r="C96" s="94" t="s">
        <v>213</v>
      </c>
      <c r="D96" s="95">
        <v>60.01</v>
      </c>
      <c r="E96" s="95">
        <v>92.74</v>
      </c>
      <c r="F96" s="96">
        <v>5565.32</v>
      </c>
      <c r="G96" s="100" t="s">
        <v>136</v>
      </c>
      <c r="H96" s="114">
        <f t="shared" si="1"/>
        <v>46113</v>
      </c>
      <c r="I96" s="17"/>
      <c r="J96" s="17"/>
      <c r="K96" s="17"/>
    </row>
    <row r="97" spans="1:11" x14ac:dyDescent="0.2">
      <c r="A97" s="115">
        <v>46120</v>
      </c>
      <c r="B97" s="93" t="s">
        <v>207</v>
      </c>
      <c r="C97" s="94" t="s">
        <v>214</v>
      </c>
      <c r="D97" s="95">
        <v>339</v>
      </c>
      <c r="E97" s="95">
        <v>92.74</v>
      </c>
      <c r="F97" s="96">
        <v>31438.86</v>
      </c>
      <c r="G97" s="100" t="s">
        <v>14</v>
      </c>
      <c r="H97" s="114">
        <f t="shared" si="1"/>
        <v>46113</v>
      </c>
      <c r="I97" s="17"/>
      <c r="J97" s="17"/>
      <c r="K97" s="17"/>
    </row>
    <row r="98" spans="1:11" x14ac:dyDescent="0.2">
      <c r="A98" s="115">
        <v>46120</v>
      </c>
      <c r="B98" s="93" t="s">
        <v>208</v>
      </c>
      <c r="C98" s="94" t="s">
        <v>215</v>
      </c>
      <c r="D98" s="95">
        <v>350</v>
      </c>
      <c r="E98" s="95">
        <v>92.74</v>
      </c>
      <c r="F98" s="96">
        <v>32459</v>
      </c>
      <c r="G98" s="100" t="s">
        <v>14</v>
      </c>
      <c r="H98" s="114">
        <f t="shared" si="1"/>
        <v>46113</v>
      </c>
      <c r="I98" s="17"/>
      <c r="J98" s="17"/>
      <c r="K98" s="17"/>
    </row>
    <row r="99" spans="1:11" x14ac:dyDescent="0.2">
      <c r="A99" s="115">
        <v>46120</v>
      </c>
      <c r="B99" s="93" t="s">
        <v>209</v>
      </c>
      <c r="C99" s="94" t="s">
        <v>216</v>
      </c>
      <c r="D99" s="95">
        <v>20</v>
      </c>
      <c r="E99" s="95">
        <v>92.74</v>
      </c>
      <c r="F99" s="96">
        <v>1854.8</v>
      </c>
      <c r="G99" s="100" t="s">
        <v>217</v>
      </c>
      <c r="H99" s="114">
        <f t="shared" si="1"/>
        <v>46113</v>
      </c>
      <c r="I99" s="17"/>
      <c r="J99" s="17"/>
      <c r="K99" s="17"/>
    </row>
    <row r="100" spans="1:11" x14ac:dyDescent="0.2">
      <c r="A100" s="115">
        <v>46120</v>
      </c>
      <c r="B100" s="93" t="s">
        <v>210</v>
      </c>
      <c r="C100" s="94" t="s">
        <v>13</v>
      </c>
      <c r="D100" s="95">
        <v>2034.72</v>
      </c>
      <c r="E100" s="95">
        <v>92.74</v>
      </c>
      <c r="F100" s="96">
        <v>188700</v>
      </c>
      <c r="G100" s="100" t="s">
        <v>58</v>
      </c>
      <c r="H100" s="114">
        <f t="shared" si="1"/>
        <v>46113</v>
      </c>
      <c r="I100" s="17"/>
      <c r="J100" s="17"/>
      <c r="K100" s="17"/>
    </row>
    <row r="101" spans="1:11" x14ac:dyDescent="0.2">
      <c r="A101" s="115">
        <v>46120</v>
      </c>
      <c r="B101" s="93" t="s">
        <v>211</v>
      </c>
      <c r="C101" s="94" t="s">
        <v>50</v>
      </c>
      <c r="D101" s="95">
        <v>4000.09</v>
      </c>
      <c r="E101" s="95">
        <v>92.74</v>
      </c>
      <c r="F101" s="96">
        <v>370968.35</v>
      </c>
      <c r="G101" s="100" t="s">
        <v>59</v>
      </c>
      <c r="H101" s="114">
        <f t="shared" si="1"/>
        <v>46113</v>
      </c>
      <c r="I101" s="17"/>
      <c r="J101" s="17"/>
      <c r="K101" s="17"/>
    </row>
    <row r="102" spans="1:11" x14ac:dyDescent="0.2">
      <c r="A102" s="99">
        <v>46121</v>
      </c>
      <c r="B102" s="93" t="s">
        <v>228</v>
      </c>
      <c r="C102" s="94" t="s">
        <v>246</v>
      </c>
      <c r="D102" s="95">
        <v>4000</v>
      </c>
      <c r="E102" s="95">
        <v>91.36</v>
      </c>
      <c r="F102" s="96">
        <v>365440</v>
      </c>
      <c r="G102" s="97" t="s">
        <v>255</v>
      </c>
      <c r="H102" s="114">
        <f t="shared" si="1"/>
        <v>46113</v>
      </c>
      <c r="I102" s="17"/>
      <c r="J102" s="17"/>
      <c r="K102" s="17"/>
    </row>
    <row r="103" spans="1:11" x14ac:dyDescent="0.2">
      <c r="A103" s="115">
        <v>46121</v>
      </c>
      <c r="B103" s="93" t="s">
        <v>229</v>
      </c>
      <c r="C103" s="94" t="s">
        <v>50</v>
      </c>
      <c r="D103" s="95">
        <v>3000</v>
      </c>
      <c r="E103" s="95">
        <v>91.36</v>
      </c>
      <c r="F103" s="96">
        <v>274080</v>
      </c>
      <c r="G103" s="97" t="s">
        <v>143</v>
      </c>
      <c r="H103" s="114">
        <f t="shared" si="1"/>
        <v>46113</v>
      </c>
      <c r="I103" s="17"/>
      <c r="J103" s="17"/>
      <c r="K103" s="17"/>
    </row>
    <row r="104" spans="1:11" x14ac:dyDescent="0.2">
      <c r="A104" s="115">
        <v>46121</v>
      </c>
      <c r="B104" s="93" t="s">
        <v>230</v>
      </c>
      <c r="C104" s="94" t="s">
        <v>247</v>
      </c>
      <c r="D104" s="95">
        <v>4000</v>
      </c>
      <c r="E104" s="95">
        <v>91.2</v>
      </c>
      <c r="F104" s="96">
        <v>364800</v>
      </c>
      <c r="G104" s="97" t="s">
        <v>51</v>
      </c>
      <c r="H104" s="114">
        <f t="shared" si="1"/>
        <v>46113</v>
      </c>
      <c r="I104" s="17"/>
      <c r="J104" s="17"/>
      <c r="K104" s="17"/>
    </row>
    <row r="105" spans="1:11" x14ac:dyDescent="0.2">
      <c r="A105" s="115">
        <v>46121</v>
      </c>
      <c r="B105" s="93" t="s">
        <v>231</v>
      </c>
      <c r="C105" s="94" t="s">
        <v>248</v>
      </c>
      <c r="D105" s="95">
        <v>2000</v>
      </c>
      <c r="E105" s="95">
        <v>92.74</v>
      </c>
      <c r="F105" s="96">
        <v>185480</v>
      </c>
      <c r="G105" s="97" t="s">
        <v>256</v>
      </c>
      <c r="H105" s="114">
        <f t="shared" si="1"/>
        <v>46113</v>
      </c>
      <c r="I105" s="17"/>
      <c r="J105" s="17"/>
      <c r="K105" s="17"/>
    </row>
    <row r="106" spans="1:11" x14ac:dyDescent="0.2">
      <c r="A106" s="115">
        <v>46121</v>
      </c>
      <c r="B106" s="93" t="s">
        <v>232</v>
      </c>
      <c r="C106" s="94" t="s">
        <v>129</v>
      </c>
      <c r="D106" s="95">
        <v>100</v>
      </c>
      <c r="E106" s="95">
        <v>92.74</v>
      </c>
      <c r="F106" s="96">
        <v>9274</v>
      </c>
      <c r="G106" s="97" t="s">
        <v>56</v>
      </c>
      <c r="H106" s="114">
        <f t="shared" si="1"/>
        <v>46113</v>
      </c>
      <c r="I106" s="17"/>
      <c r="J106" s="17"/>
      <c r="K106" s="17"/>
    </row>
    <row r="107" spans="1:11" x14ac:dyDescent="0.2">
      <c r="A107" s="115">
        <v>46121</v>
      </c>
      <c r="B107" s="93" t="s">
        <v>233</v>
      </c>
      <c r="C107" s="94" t="s">
        <v>45</v>
      </c>
      <c r="D107" s="95">
        <v>45.94</v>
      </c>
      <c r="E107" s="95">
        <v>92.74</v>
      </c>
      <c r="F107" s="96">
        <v>4260.47</v>
      </c>
      <c r="G107" s="97" t="s">
        <v>56</v>
      </c>
      <c r="H107" s="114">
        <f t="shared" si="1"/>
        <v>46113</v>
      </c>
      <c r="I107" s="17"/>
      <c r="J107" s="17"/>
      <c r="K107" s="17"/>
    </row>
    <row r="108" spans="1:11" x14ac:dyDescent="0.2">
      <c r="A108" s="115">
        <v>46121</v>
      </c>
      <c r="B108" s="93" t="s">
        <v>234</v>
      </c>
      <c r="C108" s="94" t="s">
        <v>128</v>
      </c>
      <c r="D108" s="95">
        <v>45.47</v>
      </c>
      <c r="E108" s="95">
        <v>92.74</v>
      </c>
      <c r="F108" s="96">
        <v>4216.88</v>
      </c>
      <c r="G108" s="97" t="s">
        <v>56</v>
      </c>
      <c r="H108" s="114">
        <f t="shared" si="1"/>
        <v>46113</v>
      </c>
      <c r="I108" s="17"/>
      <c r="J108" s="17"/>
      <c r="K108" s="17"/>
    </row>
    <row r="109" spans="1:11" x14ac:dyDescent="0.2">
      <c r="A109" s="115">
        <v>46121</v>
      </c>
      <c r="B109" s="93" t="s">
        <v>235</v>
      </c>
      <c r="C109" s="94" t="s">
        <v>44</v>
      </c>
      <c r="D109" s="95">
        <v>45</v>
      </c>
      <c r="E109" s="95">
        <v>92.74</v>
      </c>
      <c r="F109" s="96">
        <v>4173.3</v>
      </c>
      <c r="G109" s="97" t="s">
        <v>56</v>
      </c>
      <c r="H109" s="114">
        <f t="shared" si="1"/>
        <v>46113</v>
      </c>
      <c r="I109" s="17"/>
      <c r="J109" s="17"/>
      <c r="K109" s="17"/>
    </row>
    <row r="110" spans="1:11" x14ac:dyDescent="0.2">
      <c r="A110" s="115">
        <v>46121</v>
      </c>
      <c r="B110" s="93" t="s">
        <v>236</v>
      </c>
      <c r="C110" s="94" t="s">
        <v>249</v>
      </c>
      <c r="D110" s="95">
        <v>293.3</v>
      </c>
      <c r="E110" s="95">
        <v>92.74</v>
      </c>
      <c r="F110" s="96">
        <v>27200.639999999999</v>
      </c>
      <c r="G110" s="97" t="s">
        <v>14</v>
      </c>
      <c r="H110" s="114">
        <f t="shared" si="1"/>
        <v>46113</v>
      </c>
      <c r="I110" s="17"/>
      <c r="J110" s="17"/>
      <c r="K110" s="17"/>
    </row>
    <row r="111" spans="1:11" x14ac:dyDescent="0.2">
      <c r="A111" s="115">
        <v>46121</v>
      </c>
      <c r="B111" s="93" t="s">
        <v>237</v>
      </c>
      <c r="C111" s="94" t="s">
        <v>250</v>
      </c>
      <c r="D111" s="95">
        <v>161.74</v>
      </c>
      <c r="E111" s="95">
        <v>92.74</v>
      </c>
      <c r="F111" s="96">
        <v>15000</v>
      </c>
      <c r="G111" s="97" t="s">
        <v>14</v>
      </c>
      <c r="H111" s="114">
        <f t="shared" si="1"/>
        <v>46113</v>
      </c>
      <c r="I111" s="17"/>
      <c r="J111" s="17"/>
      <c r="K111" s="17"/>
    </row>
    <row r="112" spans="1:11" x14ac:dyDescent="0.2">
      <c r="A112" s="115">
        <v>46121</v>
      </c>
      <c r="B112" s="93" t="s">
        <v>238</v>
      </c>
      <c r="C112" s="94" t="s">
        <v>251</v>
      </c>
      <c r="D112" s="95">
        <v>100</v>
      </c>
      <c r="E112" s="95">
        <v>92.74</v>
      </c>
      <c r="F112" s="96">
        <v>9274</v>
      </c>
      <c r="G112" s="97" t="s">
        <v>257</v>
      </c>
      <c r="H112" s="114">
        <f t="shared" si="1"/>
        <v>46113</v>
      </c>
      <c r="I112" s="17"/>
      <c r="J112" s="17"/>
      <c r="K112" s="17"/>
    </row>
    <row r="113" spans="1:11" x14ac:dyDescent="0.2">
      <c r="A113" s="115">
        <v>46121</v>
      </c>
      <c r="B113" s="93" t="s">
        <v>239</v>
      </c>
      <c r="C113" s="94" t="s">
        <v>252</v>
      </c>
      <c r="D113" s="95">
        <v>100</v>
      </c>
      <c r="E113" s="95">
        <v>92.74</v>
      </c>
      <c r="F113" s="96">
        <v>9274</v>
      </c>
      <c r="G113" s="97" t="s">
        <v>257</v>
      </c>
      <c r="H113" s="114">
        <f t="shared" si="1"/>
        <v>46113</v>
      </c>
      <c r="I113" s="17"/>
      <c r="J113" s="17"/>
      <c r="K113" s="17"/>
    </row>
    <row r="114" spans="1:11" x14ac:dyDescent="0.2">
      <c r="A114" s="115">
        <v>46121</v>
      </c>
      <c r="B114" s="93" t="s">
        <v>240</v>
      </c>
      <c r="C114" s="94" t="s">
        <v>253</v>
      </c>
      <c r="D114" s="95">
        <v>100</v>
      </c>
      <c r="E114" s="95">
        <v>92.74</v>
      </c>
      <c r="F114" s="96">
        <v>9274</v>
      </c>
      <c r="G114" s="97" t="s">
        <v>257</v>
      </c>
      <c r="H114" s="114">
        <f t="shared" si="1"/>
        <v>46113</v>
      </c>
      <c r="I114" s="17"/>
      <c r="J114" s="17"/>
      <c r="K114" s="17"/>
    </row>
    <row r="115" spans="1:11" x14ac:dyDescent="0.2">
      <c r="A115" s="115">
        <v>46121</v>
      </c>
      <c r="B115" s="93" t="s">
        <v>241</v>
      </c>
      <c r="C115" s="94" t="s">
        <v>254</v>
      </c>
      <c r="D115" s="95">
        <v>100</v>
      </c>
      <c r="E115" s="95">
        <v>92.74</v>
      </c>
      <c r="F115" s="96">
        <v>9274</v>
      </c>
      <c r="G115" s="97" t="s">
        <v>257</v>
      </c>
      <c r="H115" s="114">
        <f t="shared" si="1"/>
        <v>46113</v>
      </c>
      <c r="I115" s="17"/>
      <c r="J115" s="17"/>
      <c r="K115" s="17"/>
    </row>
    <row r="116" spans="1:11" x14ac:dyDescent="0.2">
      <c r="A116" s="115">
        <v>46121</v>
      </c>
      <c r="B116" s="93" t="s">
        <v>242</v>
      </c>
      <c r="C116" s="94" t="s">
        <v>50</v>
      </c>
      <c r="D116" s="95">
        <v>1500</v>
      </c>
      <c r="E116" s="95">
        <v>92.74</v>
      </c>
      <c r="F116" s="96">
        <v>139110</v>
      </c>
      <c r="G116" s="97" t="s">
        <v>59</v>
      </c>
      <c r="H116" s="114">
        <f t="shared" si="1"/>
        <v>46113</v>
      </c>
      <c r="I116" s="17"/>
      <c r="J116" s="17"/>
      <c r="K116" s="17"/>
    </row>
    <row r="117" spans="1:11" x14ac:dyDescent="0.2">
      <c r="A117" s="115">
        <v>46121</v>
      </c>
      <c r="B117" s="93" t="s">
        <v>243</v>
      </c>
      <c r="C117" s="94" t="s">
        <v>13</v>
      </c>
      <c r="D117" s="95">
        <v>61.46</v>
      </c>
      <c r="E117" s="95">
        <v>92.74</v>
      </c>
      <c r="F117" s="96">
        <v>5700</v>
      </c>
      <c r="G117" s="97" t="s">
        <v>152</v>
      </c>
      <c r="H117" s="114">
        <f t="shared" si="1"/>
        <v>46113</v>
      </c>
      <c r="I117" s="17"/>
      <c r="J117" s="17"/>
      <c r="K117" s="17"/>
    </row>
    <row r="118" spans="1:11" x14ac:dyDescent="0.2">
      <c r="A118" s="115">
        <v>46121</v>
      </c>
      <c r="B118" s="93" t="s">
        <v>244</v>
      </c>
      <c r="C118" s="94" t="s">
        <v>50</v>
      </c>
      <c r="D118" s="95">
        <v>1500</v>
      </c>
      <c r="E118" s="95">
        <v>92.74</v>
      </c>
      <c r="F118" s="96">
        <v>139110</v>
      </c>
      <c r="G118" s="97" t="s">
        <v>96</v>
      </c>
      <c r="H118" s="114">
        <f t="shared" si="1"/>
        <v>46113</v>
      </c>
      <c r="I118" s="17"/>
      <c r="J118" s="17"/>
      <c r="K118" s="17"/>
    </row>
    <row r="119" spans="1:11" x14ac:dyDescent="0.2">
      <c r="A119" s="115">
        <v>46121</v>
      </c>
      <c r="B119" s="93" t="s">
        <v>245</v>
      </c>
      <c r="C119" s="94" t="s">
        <v>13</v>
      </c>
      <c r="D119" s="95">
        <v>1779.17</v>
      </c>
      <c r="E119" s="95">
        <v>92.74</v>
      </c>
      <c r="F119" s="96">
        <v>165000</v>
      </c>
      <c r="G119" s="97" t="s">
        <v>58</v>
      </c>
      <c r="H119" s="114">
        <f t="shared" si="1"/>
        <v>46113</v>
      </c>
      <c r="I119" s="17"/>
      <c r="J119" s="17"/>
      <c r="K119" s="17"/>
    </row>
    <row r="120" spans="1:11" x14ac:dyDescent="0.2">
      <c r="A120" s="99">
        <v>46122</v>
      </c>
      <c r="B120" s="93" t="s">
        <v>259</v>
      </c>
      <c r="C120" s="94" t="s">
        <v>247</v>
      </c>
      <c r="D120" s="95">
        <v>4000</v>
      </c>
      <c r="E120" s="95">
        <v>91.2</v>
      </c>
      <c r="F120" s="96">
        <v>364800</v>
      </c>
      <c r="G120" s="97" t="s">
        <v>51</v>
      </c>
      <c r="H120" s="114">
        <f t="shared" si="1"/>
        <v>46113</v>
      </c>
      <c r="I120" s="17"/>
      <c r="J120" s="17"/>
      <c r="K120" s="17"/>
    </row>
    <row r="121" spans="1:11" x14ac:dyDescent="0.2">
      <c r="A121" s="115">
        <v>46122</v>
      </c>
      <c r="B121" s="93" t="s">
        <v>260</v>
      </c>
      <c r="C121" s="94" t="s">
        <v>50</v>
      </c>
      <c r="D121" s="95">
        <v>3000.01</v>
      </c>
      <c r="E121" s="95">
        <v>92.74</v>
      </c>
      <c r="F121" s="96">
        <v>278220.93</v>
      </c>
      <c r="G121" s="97" t="s">
        <v>59</v>
      </c>
      <c r="H121" s="114">
        <f t="shared" si="1"/>
        <v>46113</v>
      </c>
      <c r="I121" s="17"/>
      <c r="J121" s="17"/>
      <c r="K121" s="17"/>
    </row>
    <row r="122" spans="1:11" x14ac:dyDescent="0.2">
      <c r="A122" s="115">
        <v>46122</v>
      </c>
      <c r="B122" s="93" t="s">
        <v>261</v>
      </c>
      <c r="C122" s="94" t="s">
        <v>44</v>
      </c>
      <c r="D122" s="95">
        <v>44.43</v>
      </c>
      <c r="E122" s="95">
        <v>92.74</v>
      </c>
      <c r="F122" s="96">
        <v>4120.43</v>
      </c>
      <c r="G122" s="97" t="s">
        <v>56</v>
      </c>
      <c r="H122" s="114">
        <f t="shared" si="1"/>
        <v>46113</v>
      </c>
      <c r="I122" s="17"/>
      <c r="J122" s="17"/>
      <c r="K122" s="17"/>
    </row>
    <row r="123" spans="1:11" x14ac:dyDescent="0.2">
      <c r="A123" s="115">
        <v>46122</v>
      </c>
      <c r="B123" s="93" t="s">
        <v>262</v>
      </c>
      <c r="C123" s="94" t="s">
        <v>272</v>
      </c>
      <c r="D123" s="95">
        <v>248.08</v>
      </c>
      <c r="E123" s="95">
        <v>92.74</v>
      </c>
      <c r="F123" s="96">
        <v>23006.93</v>
      </c>
      <c r="G123" s="97" t="s">
        <v>14</v>
      </c>
      <c r="H123" s="114">
        <f t="shared" si="1"/>
        <v>46113</v>
      </c>
      <c r="I123" s="17"/>
      <c r="J123" s="17"/>
      <c r="K123" s="17"/>
    </row>
    <row r="124" spans="1:11" x14ac:dyDescent="0.2">
      <c r="A124" s="115">
        <v>46122</v>
      </c>
      <c r="B124" s="93" t="s">
        <v>263</v>
      </c>
      <c r="C124" s="94" t="s">
        <v>273</v>
      </c>
      <c r="D124" s="95">
        <v>215.66</v>
      </c>
      <c r="E124" s="95">
        <v>92.74</v>
      </c>
      <c r="F124" s="96">
        <v>20000</v>
      </c>
      <c r="G124" s="97" t="s">
        <v>14</v>
      </c>
      <c r="H124" s="114">
        <f t="shared" si="1"/>
        <v>46113</v>
      </c>
      <c r="I124" s="17"/>
      <c r="J124" s="17"/>
      <c r="K124" s="17"/>
    </row>
    <row r="125" spans="1:11" x14ac:dyDescent="0.2">
      <c r="A125" s="115">
        <v>46122</v>
      </c>
      <c r="B125" s="93" t="s">
        <v>264</v>
      </c>
      <c r="C125" s="94" t="s">
        <v>274</v>
      </c>
      <c r="D125" s="95">
        <v>215.66</v>
      </c>
      <c r="E125" s="95">
        <v>92.74</v>
      </c>
      <c r="F125" s="96">
        <v>20000</v>
      </c>
      <c r="G125" s="97" t="s">
        <v>14</v>
      </c>
      <c r="H125" s="114">
        <f t="shared" si="1"/>
        <v>46113</v>
      </c>
      <c r="I125" s="17"/>
      <c r="J125" s="17"/>
      <c r="K125" s="17"/>
    </row>
    <row r="126" spans="1:11" x14ac:dyDescent="0.2">
      <c r="A126" s="115">
        <v>46122</v>
      </c>
      <c r="B126" s="93" t="s">
        <v>265</v>
      </c>
      <c r="C126" s="94" t="s">
        <v>275</v>
      </c>
      <c r="D126" s="95">
        <v>215.66</v>
      </c>
      <c r="E126" s="95">
        <v>92.74</v>
      </c>
      <c r="F126" s="96">
        <v>20000</v>
      </c>
      <c r="G126" s="97" t="s">
        <v>14</v>
      </c>
      <c r="H126" s="114">
        <f t="shared" si="1"/>
        <v>46113</v>
      </c>
      <c r="I126" s="17"/>
      <c r="J126" s="17"/>
      <c r="K126" s="17"/>
    </row>
    <row r="127" spans="1:11" x14ac:dyDescent="0.2">
      <c r="A127" s="115">
        <v>46122</v>
      </c>
      <c r="B127" s="93" t="s">
        <v>266</v>
      </c>
      <c r="C127" s="94" t="s">
        <v>276</v>
      </c>
      <c r="D127" s="95">
        <v>215.66</v>
      </c>
      <c r="E127" s="95">
        <v>92.74</v>
      </c>
      <c r="F127" s="96">
        <v>20000</v>
      </c>
      <c r="G127" s="97" t="s">
        <v>14</v>
      </c>
      <c r="H127" s="114">
        <f t="shared" si="1"/>
        <v>46113</v>
      </c>
      <c r="I127" s="17"/>
      <c r="J127" s="17"/>
      <c r="K127" s="17"/>
    </row>
    <row r="128" spans="1:11" x14ac:dyDescent="0.2">
      <c r="A128" s="115">
        <v>46122</v>
      </c>
      <c r="B128" s="93" t="s">
        <v>267</v>
      </c>
      <c r="C128" s="94" t="s">
        <v>277</v>
      </c>
      <c r="D128" s="95">
        <v>323.49</v>
      </c>
      <c r="E128" s="95">
        <v>92.74</v>
      </c>
      <c r="F128" s="96">
        <v>30000</v>
      </c>
      <c r="G128" s="97" t="s">
        <v>14</v>
      </c>
      <c r="H128" s="114">
        <f t="shared" si="1"/>
        <v>46113</v>
      </c>
      <c r="I128" s="17"/>
      <c r="J128" s="17"/>
      <c r="K128" s="17"/>
    </row>
    <row r="129" spans="1:11" x14ac:dyDescent="0.2">
      <c r="A129" s="115">
        <v>46122</v>
      </c>
      <c r="B129" s="93" t="s">
        <v>268</v>
      </c>
      <c r="C129" s="94" t="s">
        <v>278</v>
      </c>
      <c r="D129" s="95">
        <v>269.57</v>
      </c>
      <c r="E129" s="95">
        <v>92.74</v>
      </c>
      <c r="F129" s="96">
        <v>25000</v>
      </c>
      <c r="G129" s="97" t="s">
        <v>14</v>
      </c>
      <c r="H129" s="114">
        <f t="shared" si="1"/>
        <v>46113</v>
      </c>
      <c r="I129" s="17"/>
      <c r="J129" s="17"/>
      <c r="K129" s="17"/>
    </row>
    <row r="130" spans="1:11" x14ac:dyDescent="0.2">
      <c r="A130" s="115">
        <v>46122</v>
      </c>
      <c r="B130" s="93" t="s">
        <v>269</v>
      </c>
      <c r="C130" s="94" t="s">
        <v>84</v>
      </c>
      <c r="D130" s="95">
        <v>160</v>
      </c>
      <c r="E130" s="95">
        <v>92.74</v>
      </c>
      <c r="F130" s="96">
        <v>14838.4</v>
      </c>
      <c r="G130" s="97" t="s">
        <v>93</v>
      </c>
      <c r="H130" s="114">
        <f t="shared" si="1"/>
        <v>46113</v>
      </c>
      <c r="I130" s="17"/>
      <c r="J130" s="17"/>
      <c r="K130" s="17"/>
    </row>
    <row r="131" spans="1:11" x14ac:dyDescent="0.2">
      <c r="A131" s="115">
        <v>46122</v>
      </c>
      <c r="B131" s="93" t="s">
        <v>270</v>
      </c>
      <c r="C131" s="94"/>
      <c r="D131" s="95">
        <v>301.92</v>
      </c>
      <c r="E131" s="95">
        <v>92.74</v>
      </c>
      <c r="F131" s="96">
        <v>28000</v>
      </c>
      <c r="G131" s="97" t="s">
        <v>58</v>
      </c>
      <c r="H131" s="114">
        <f t="shared" si="1"/>
        <v>46113</v>
      </c>
      <c r="I131" s="17"/>
      <c r="J131" s="17"/>
      <c r="K131" s="17"/>
    </row>
    <row r="132" spans="1:11" x14ac:dyDescent="0.2">
      <c r="A132" s="115">
        <v>46122</v>
      </c>
      <c r="B132" s="93" t="s">
        <v>271</v>
      </c>
      <c r="C132" s="94"/>
      <c r="D132" s="95">
        <v>178</v>
      </c>
      <c r="E132" s="95">
        <v>92.74</v>
      </c>
      <c r="F132" s="96">
        <v>16507.72</v>
      </c>
      <c r="G132" s="97" t="s">
        <v>153</v>
      </c>
      <c r="H132" s="114">
        <f t="shared" ref="H132:H195" si="2">IF(A132&lt;&gt;"", EOMONTH(A132, -1) + 1, "")</f>
        <v>46113</v>
      </c>
      <c r="I132" s="17"/>
      <c r="J132" s="17"/>
      <c r="K132" s="17"/>
    </row>
    <row r="133" spans="1:11" x14ac:dyDescent="0.2">
      <c r="A133" s="99">
        <v>46123</v>
      </c>
      <c r="B133" s="93" t="s">
        <v>282</v>
      </c>
      <c r="C133" s="94" t="s">
        <v>39</v>
      </c>
      <c r="D133" s="95">
        <v>18000</v>
      </c>
      <c r="E133" s="95">
        <v>91.36</v>
      </c>
      <c r="F133" s="96">
        <v>1644480</v>
      </c>
      <c r="G133" s="97" t="s">
        <v>52</v>
      </c>
      <c r="H133" s="114">
        <f t="shared" si="2"/>
        <v>46113</v>
      </c>
      <c r="I133" s="17"/>
      <c r="J133" s="17"/>
      <c r="K133" s="17"/>
    </row>
    <row r="134" spans="1:11" x14ac:dyDescent="0.2">
      <c r="A134" s="115">
        <v>46123</v>
      </c>
      <c r="B134" s="93" t="s">
        <v>283</v>
      </c>
      <c r="C134" s="94" t="s">
        <v>50</v>
      </c>
      <c r="D134" s="95">
        <v>3000</v>
      </c>
      <c r="E134" s="95">
        <v>91.2</v>
      </c>
      <c r="F134" s="96">
        <v>273600</v>
      </c>
      <c r="G134" s="97" t="s">
        <v>51</v>
      </c>
      <c r="H134" s="114">
        <f t="shared" si="2"/>
        <v>46113</v>
      </c>
      <c r="I134" s="17"/>
      <c r="J134" s="17"/>
      <c r="K134" s="17"/>
    </row>
    <row r="135" spans="1:11" x14ac:dyDescent="0.2">
      <c r="A135" s="115">
        <v>46123</v>
      </c>
      <c r="B135" s="93" t="s">
        <v>284</v>
      </c>
      <c r="C135" s="94" t="s">
        <v>42</v>
      </c>
      <c r="D135" s="95">
        <v>12000</v>
      </c>
      <c r="E135" s="95">
        <v>91.36</v>
      </c>
      <c r="F135" s="96">
        <v>1096320</v>
      </c>
      <c r="G135" s="97" t="s">
        <v>302</v>
      </c>
      <c r="H135" s="114">
        <f t="shared" si="2"/>
        <v>46113</v>
      </c>
      <c r="I135" s="17"/>
      <c r="J135" s="17"/>
      <c r="K135" s="17"/>
    </row>
    <row r="136" spans="1:11" x14ac:dyDescent="0.2">
      <c r="A136" s="115">
        <v>46123</v>
      </c>
      <c r="B136" s="93" t="s">
        <v>285</v>
      </c>
      <c r="C136" s="94" t="s">
        <v>50</v>
      </c>
      <c r="D136" s="95">
        <v>3000.32</v>
      </c>
      <c r="E136" s="95">
        <v>92.74</v>
      </c>
      <c r="F136" s="96">
        <v>278249.68</v>
      </c>
      <c r="G136" s="97" t="s">
        <v>59</v>
      </c>
      <c r="H136" s="114">
        <f t="shared" si="2"/>
        <v>46113</v>
      </c>
      <c r="I136" s="17"/>
      <c r="J136" s="17"/>
      <c r="K136" s="17"/>
    </row>
    <row r="137" spans="1:11" x14ac:dyDescent="0.2">
      <c r="A137" s="115">
        <v>46123</v>
      </c>
      <c r="B137" s="93" t="s">
        <v>286</v>
      </c>
      <c r="C137" s="94" t="s">
        <v>50</v>
      </c>
      <c r="D137" s="95">
        <v>1500.01</v>
      </c>
      <c r="E137" s="95">
        <v>92.74</v>
      </c>
      <c r="F137" s="96">
        <v>139110.93</v>
      </c>
      <c r="G137" s="97" t="s">
        <v>96</v>
      </c>
      <c r="H137" s="114">
        <f t="shared" si="2"/>
        <v>46113</v>
      </c>
      <c r="I137" s="17"/>
      <c r="J137" s="17"/>
      <c r="K137" s="17"/>
    </row>
    <row r="138" spans="1:11" x14ac:dyDescent="0.2">
      <c r="A138" s="115">
        <v>46123</v>
      </c>
      <c r="B138" s="93" t="s">
        <v>287</v>
      </c>
      <c r="C138" s="94" t="s">
        <v>297</v>
      </c>
      <c r="D138" s="95">
        <v>258.8</v>
      </c>
      <c r="E138" s="95">
        <v>92.74</v>
      </c>
      <c r="F138" s="96">
        <v>24001.11</v>
      </c>
      <c r="G138" s="97" t="s">
        <v>14</v>
      </c>
      <c r="H138" s="114">
        <f t="shared" si="2"/>
        <v>46113</v>
      </c>
      <c r="I138" s="17"/>
      <c r="J138" s="17"/>
      <c r="K138" s="17"/>
    </row>
    <row r="139" spans="1:11" x14ac:dyDescent="0.2">
      <c r="A139" s="115">
        <v>46123</v>
      </c>
      <c r="B139" s="93" t="s">
        <v>288</v>
      </c>
      <c r="C139" s="94" t="s">
        <v>298</v>
      </c>
      <c r="D139" s="95">
        <v>275.48</v>
      </c>
      <c r="E139" s="95">
        <v>92.74</v>
      </c>
      <c r="F139" s="96">
        <v>25548.01</v>
      </c>
      <c r="G139" s="97" t="s">
        <v>14</v>
      </c>
      <c r="H139" s="114">
        <f t="shared" si="2"/>
        <v>46113</v>
      </c>
      <c r="I139" s="17"/>
      <c r="J139" s="17"/>
      <c r="K139" s="17"/>
    </row>
    <row r="140" spans="1:11" x14ac:dyDescent="0.2">
      <c r="A140" s="115">
        <v>46123</v>
      </c>
      <c r="B140" s="93" t="s">
        <v>289</v>
      </c>
      <c r="C140" s="94" t="s">
        <v>299</v>
      </c>
      <c r="D140" s="95">
        <v>233.67</v>
      </c>
      <c r="E140" s="95">
        <v>92.74</v>
      </c>
      <c r="F140" s="96">
        <v>21670.55</v>
      </c>
      <c r="G140" s="97" t="s">
        <v>14</v>
      </c>
      <c r="H140" s="114">
        <f t="shared" si="2"/>
        <v>46113</v>
      </c>
      <c r="I140" s="17"/>
      <c r="J140" s="17"/>
      <c r="K140" s="17"/>
    </row>
    <row r="141" spans="1:11" x14ac:dyDescent="0.2">
      <c r="A141" s="115">
        <v>46123</v>
      </c>
      <c r="B141" s="93" t="s">
        <v>290</v>
      </c>
      <c r="C141" s="94" t="s">
        <v>300</v>
      </c>
      <c r="D141" s="95">
        <v>330</v>
      </c>
      <c r="E141" s="95">
        <v>92.74</v>
      </c>
      <c r="F141" s="96">
        <v>30604.2</v>
      </c>
      <c r="G141" s="97" t="s">
        <v>14</v>
      </c>
      <c r="H141" s="114">
        <f t="shared" si="2"/>
        <v>46113</v>
      </c>
      <c r="I141" s="17"/>
      <c r="J141" s="17"/>
      <c r="K141" s="17"/>
    </row>
    <row r="142" spans="1:11" x14ac:dyDescent="0.2">
      <c r="A142" s="115">
        <v>46123</v>
      </c>
      <c r="B142" s="93" t="s">
        <v>291</v>
      </c>
      <c r="C142" s="94" t="s">
        <v>84</v>
      </c>
      <c r="D142" s="95">
        <v>160</v>
      </c>
      <c r="E142" s="95">
        <v>92.74</v>
      </c>
      <c r="F142" s="96">
        <v>14838.4</v>
      </c>
      <c r="G142" s="97" t="s">
        <v>93</v>
      </c>
      <c r="H142" s="114">
        <f t="shared" si="2"/>
        <v>46113</v>
      </c>
      <c r="I142" s="17"/>
      <c r="J142" s="17"/>
      <c r="K142" s="17"/>
    </row>
    <row r="143" spans="1:11" x14ac:dyDescent="0.2">
      <c r="A143" s="115">
        <v>46123</v>
      </c>
      <c r="B143" s="93" t="s">
        <v>292</v>
      </c>
      <c r="C143" s="94" t="s">
        <v>301</v>
      </c>
      <c r="D143" s="95">
        <v>400</v>
      </c>
      <c r="E143" s="95">
        <v>92.74</v>
      </c>
      <c r="F143" s="96">
        <v>37096</v>
      </c>
      <c r="G143" s="97" t="s">
        <v>256</v>
      </c>
      <c r="H143" s="114">
        <f t="shared" si="2"/>
        <v>46113</v>
      </c>
      <c r="I143" s="17"/>
      <c r="J143" s="17"/>
      <c r="K143" s="17"/>
    </row>
    <row r="144" spans="1:11" x14ac:dyDescent="0.2">
      <c r="A144" s="115">
        <v>46123</v>
      </c>
      <c r="B144" s="93" t="s">
        <v>293</v>
      </c>
      <c r="C144" s="94" t="s">
        <v>50</v>
      </c>
      <c r="D144" s="95">
        <v>46.81</v>
      </c>
      <c r="E144" s="95">
        <v>92.74</v>
      </c>
      <c r="F144" s="96">
        <v>4341.1499999999996</v>
      </c>
      <c r="G144" s="97" t="s">
        <v>54</v>
      </c>
      <c r="H144" s="114">
        <f t="shared" si="2"/>
        <v>46113</v>
      </c>
      <c r="I144" s="17"/>
      <c r="J144" s="17"/>
      <c r="K144" s="17"/>
    </row>
    <row r="145" spans="1:11" x14ac:dyDescent="0.2">
      <c r="A145" s="115">
        <v>46123</v>
      </c>
      <c r="B145" s="93" t="s">
        <v>294</v>
      </c>
      <c r="C145" s="94" t="s">
        <v>13</v>
      </c>
      <c r="D145" s="95">
        <v>314.08999999999997</v>
      </c>
      <c r="E145" s="95">
        <v>92.74</v>
      </c>
      <c r="F145" s="96">
        <v>29128.799999999999</v>
      </c>
      <c r="G145" s="97" t="s">
        <v>15</v>
      </c>
      <c r="H145" s="114">
        <f t="shared" si="2"/>
        <v>46113</v>
      </c>
      <c r="I145" s="17"/>
      <c r="J145" s="17"/>
      <c r="K145" s="17"/>
    </row>
    <row r="146" spans="1:11" x14ac:dyDescent="0.2">
      <c r="A146" s="115">
        <v>46123</v>
      </c>
      <c r="B146" s="93" t="s">
        <v>295</v>
      </c>
      <c r="C146" s="94"/>
      <c r="D146" s="95">
        <v>245.85</v>
      </c>
      <c r="E146" s="95">
        <v>92.74</v>
      </c>
      <c r="F146" s="96">
        <v>22800</v>
      </c>
      <c r="G146" s="97" t="s">
        <v>152</v>
      </c>
      <c r="H146" s="114">
        <f t="shared" si="2"/>
        <v>46113</v>
      </c>
      <c r="I146" s="17"/>
      <c r="J146" s="17"/>
      <c r="K146" s="17"/>
    </row>
    <row r="147" spans="1:11" x14ac:dyDescent="0.2">
      <c r="A147" s="115">
        <v>46123</v>
      </c>
      <c r="B147" s="93" t="s">
        <v>296</v>
      </c>
      <c r="C147" s="94"/>
      <c r="D147" s="95">
        <v>2884.41</v>
      </c>
      <c r="E147" s="95">
        <v>92.74</v>
      </c>
      <c r="F147" s="96">
        <v>267500</v>
      </c>
      <c r="G147" s="97" t="s">
        <v>58</v>
      </c>
      <c r="H147" s="114">
        <f t="shared" si="2"/>
        <v>46113</v>
      </c>
      <c r="I147" s="17"/>
      <c r="J147" s="17"/>
      <c r="K147" s="17"/>
    </row>
    <row r="148" spans="1:11" x14ac:dyDescent="0.2">
      <c r="A148" s="99">
        <v>46124</v>
      </c>
      <c r="B148" s="93" t="s">
        <v>307</v>
      </c>
      <c r="C148" s="94" t="s">
        <v>50</v>
      </c>
      <c r="D148" s="95">
        <v>3000</v>
      </c>
      <c r="E148" s="95">
        <v>91.36</v>
      </c>
      <c r="F148" s="96">
        <v>274080</v>
      </c>
      <c r="G148" s="97" t="s">
        <v>143</v>
      </c>
      <c r="H148" s="114">
        <f t="shared" si="2"/>
        <v>46113</v>
      </c>
      <c r="I148" s="17"/>
      <c r="J148" s="17"/>
      <c r="K148" s="17"/>
    </row>
    <row r="149" spans="1:11" x14ac:dyDescent="0.2">
      <c r="A149" s="115">
        <v>46124</v>
      </c>
      <c r="B149" s="93" t="s">
        <v>308</v>
      </c>
      <c r="C149" s="94" t="s">
        <v>50</v>
      </c>
      <c r="D149" s="95">
        <v>3000</v>
      </c>
      <c r="E149" s="95">
        <v>92.74</v>
      </c>
      <c r="F149" s="96">
        <v>278220</v>
      </c>
      <c r="G149" s="97" t="s">
        <v>59</v>
      </c>
      <c r="H149" s="114">
        <f t="shared" si="2"/>
        <v>46113</v>
      </c>
      <c r="I149" s="17"/>
      <c r="J149" s="17"/>
      <c r="K149" s="17"/>
    </row>
    <row r="150" spans="1:11" x14ac:dyDescent="0.2">
      <c r="A150" s="115">
        <v>46124</v>
      </c>
      <c r="B150" s="93" t="s">
        <v>309</v>
      </c>
      <c r="C150" s="94" t="s">
        <v>376</v>
      </c>
      <c r="D150" s="95">
        <v>21.57</v>
      </c>
      <c r="E150" s="95">
        <v>92.74</v>
      </c>
      <c r="F150" s="96">
        <v>2000</v>
      </c>
      <c r="G150" s="97" t="s">
        <v>435</v>
      </c>
      <c r="H150" s="114">
        <f t="shared" si="2"/>
        <v>46113</v>
      </c>
      <c r="I150" s="17"/>
      <c r="J150" s="17"/>
      <c r="K150" s="17"/>
    </row>
    <row r="151" spans="1:11" x14ac:dyDescent="0.2">
      <c r="A151" s="115">
        <v>46124</v>
      </c>
      <c r="B151" s="93" t="s">
        <v>310</v>
      </c>
      <c r="C151" s="94" t="s">
        <v>377</v>
      </c>
      <c r="D151" s="95">
        <v>21.57</v>
      </c>
      <c r="E151" s="95">
        <v>92.74</v>
      </c>
      <c r="F151" s="96">
        <v>2000</v>
      </c>
      <c r="G151" s="97" t="s">
        <v>435</v>
      </c>
      <c r="H151" s="114">
        <f t="shared" si="2"/>
        <v>46113</v>
      </c>
      <c r="I151" s="17"/>
      <c r="J151" s="17"/>
      <c r="K151" s="17"/>
    </row>
    <row r="152" spans="1:11" x14ac:dyDescent="0.2">
      <c r="A152" s="115">
        <v>46124</v>
      </c>
      <c r="B152" s="93" t="s">
        <v>311</v>
      </c>
      <c r="C152" s="94" t="s">
        <v>378</v>
      </c>
      <c r="D152" s="95">
        <v>21.57</v>
      </c>
      <c r="E152" s="95">
        <v>92.74</v>
      </c>
      <c r="F152" s="96">
        <v>2000</v>
      </c>
      <c r="G152" s="97" t="s">
        <v>435</v>
      </c>
      <c r="H152" s="114">
        <f t="shared" si="2"/>
        <v>46113</v>
      </c>
      <c r="I152" s="17"/>
      <c r="J152" s="17"/>
      <c r="K152" s="17"/>
    </row>
    <row r="153" spans="1:11" x14ac:dyDescent="0.2">
      <c r="A153" s="115">
        <v>46124</v>
      </c>
      <c r="B153" s="93" t="s">
        <v>312</v>
      </c>
      <c r="C153" s="94" t="s">
        <v>379</v>
      </c>
      <c r="D153" s="95">
        <v>21.57</v>
      </c>
      <c r="E153" s="95">
        <v>92.74</v>
      </c>
      <c r="F153" s="96">
        <v>2000</v>
      </c>
      <c r="G153" s="97" t="s">
        <v>435</v>
      </c>
      <c r="H153" s="114">
        <f t="shared" si="2"/>
        <v>46113</v>
      </c>
      <c r="I153" s="17"/>
      <c r="J153" s="17"/>
      <c r="K153" s="17"/>
    </row>
    <row r="154" spans="1:11" x14ac:dyDescent="0.2">
      <c r="A154" s="115">
        <v>46124</v>
      </c>
      <c r="B154" s="93" t="s">
        <v>313</v>
      </c>
      <c r="C154" s="94" t="s">
        <v>380</v>
      </c>
      <c r="D154" s="95">
        <v>21.57</v>
      </c>
      <c r="E154" s="95">
        <v>92.74</v>
      </c>
      <c r="F154" s="96">
        <v>2000</v>
      </c>
      <c r="G154" s="97" t="s">
        <v>435</v>
      </c>
      <c r="H154" s="114">
        <f t="shared" si="2"/>
        <v>46113</v>
      </c>
      <c r="I154" s="17"/>
      <c r="J154" s="17"/>
      <c r="K154" s="17"/>
    </row>
    <row r="155" spans="1:11" x14ac:dyDescent="0.2">
      <c r="A155" s="115">
        <v>46124</v>
      </c>
      <c r="B155" s="93" t="s">
        <v>314</v>
      </c>
      <c r="C155" s="94" t="s">
        <v>381</v>
      </c>
      <c r="D155" s="95">
        <v>23.73</v>
      </c>
      <c r="E155" s="95">
        <v>92.74</v>
      </c>
      <c r="F155" s="96">
        <v>2200</v>
      </c>
      <c r="G155" s="97" t="s">
        <v>435</v>
      </c>
      <c r="H155" s="114">
        <f t="shared" si="2"/>
        <v>46113</v>
      </c>
      <c r="I155" s="17"/>
      <c r="J155" s="17"/>
      <c r="K155" s="17"/>
    </row>
    <row r="156" spans="1:11" x14ac:dyDescent="0.2">
      <c r="A156" s="115">
        <v>46124</v>
      </c>
      <c r="B156" s="93" t="s">
        <v>315</v>
      </c>
      <c r="C156" s="94" t="s">
        <v>382</v>
      </c>
      <c r="D156" s="95">
        <v>23.73</v>
      </c>
      <c r="E156" s="95">
        <v>92.74</v>
      </c>
      <c r="F156" s="96">
        <v>2200</v>
      </c>
      <c r="G156" s="97" t="s">
        <v>435</v>
      </c>
      <c r="H156" s="114">
        <f t="shared" si="2"/>
        <v>46113</v>
      </c>
      <c r="I156" s="17"/>
      <c r="J156" s="17"/>
      <c r="K156" s="17"/>
    </row>
    <row r="157" spans="1:11" x14ac:dyDescent="0.2">
      <c r="A157" s="115">
        <v>46124</v>
      </c>
      <c r="B157" s="93" t="s">
        <v>316</v>
      </c>
      <c r="C157" s="94" t="s">
        <v>383</v>
      </c>
      <c r="D157" s="95">
        <v>23.73</v>
      </c>
      <c r="E157" s="95">
        <v>92.74</v>
      </c>
      <c r="F157" s="96">
        <v>2200</v>
      </c>
      <c r="G157" s="97" t="s">
        <v>435</v>
      </c>
      <c r="H157" s="114">
        <f t="shared" si="2"/>
        <v>46113</v>
      </c>
      <c r="I157" s="17"/>
      <c r="J157" s="17"/>
      <c r="K157" s="17"/>
    </row>
    <row r="158" spans="1:11" x14ac:dyDescent="0.2">
      <c r="A158" s="115">
        <v>46124</v>
      </c>
      <c r="B158" s="93" t="s">
        <v>317</v>
      </c>
      <c r="C158" s="94" t="s">
        <v>384</v>
      </c>
      <c r="D158" s="95">
        <v>23.73</v>
      </c>
      <c r="E158" s="95">
        <v>92.74</v>
      </c>
      <c r="F158" s="96">
        <v>2200</v>
      </c>
      <c r="G158" s="97" t="s">
        <v>435</v>
      </c>
      <c r="H158" s="114">
        <f t="shared" si="2"/>
        <v>46113</v>
      </c>
      <c r="I158" s="17"/>
      <c r="J158" s="17"/>
      <c r="K158" s="17"/>
    </row>
    <row r="159" spans="1:11" x14ac:dyDescent="0.2">
      <c r="A159" s="115">
        <v>46124</v>
      </c>
      <c r="B159" s="93" t="s">
        <v>318</v>
      </c>
      <c r="C159" s="94" t="s">
        <v>385</v>
      </c>
      <c r="D159" s="95">
        <v>23.73</v>
      </c>
      <c r="E159" s="95">
        <v>92.74</v>
      </c>
      <c r="F159" s="96">
        <v>2200</v>
      </c>
      <c r="G159" s="97" t="s">
        <v>435</v>
      </c>
      <c r="H159" s="114">
        <f t="shared" si="2"/>
        <v>46113</v>
      </c>
      <c r="I159" s="17"/>
      <c r="J159" s="17"/>
      <c r="K159" s="17"/>
    </row>
    <row r="160" spans="1:11" x14ac:dyDescent="0.2">
      <c r="A160" s="115">
        <v>46124</v>
      </c>
      <c r="B160" s="93" t="s">
        <v>319</v>
      </c>
      <c r="C160" s="94" t="s">
        <v>386</v>
      </c>
      <c r="D160" s="95">
        <v>23.73</v>
      </c>
      <c r="E160" s="95">
        <v>92.74</v>
      </c>
      <c r="F160" s="96">
        <v>2200</v>
      </c>
      <c r="G160" s="97" t="s">
        <v>435</v>
      </c>
      <c r="H160" s="114">
        <f t="shared" si="2"/>
        <v>46113</v>
      </c>
      <c r="I160" s="17"/>
      <c r="J160" s="17"/>
      <c r="K160" s="17"/>
    </row>
    <row r="161" spans="1:11" x14ac:dyDescent="0.2">
      <c r="A161" s="115">
        <v>46124</v>
      </c>
      <c r="B161" s="93" t="s">
        <v>320</v>
      </c>
      <c r="C161" s="94" t="s">
        <v>387</v>
      </c>
      <c r="D161" s="95">
        <v>23.73</v>
      </c>
      <c r="E161" s="95">
        <v>92.74</v>
      </c>
      <c r="F161" s="96">
        <v>2200</v>
      </c>
      <c r="G161" s="97" t="s">
        <v>435</v>
      </c>
      <c r="H161" s="114">
        <f t="shared" si="2"/>
        <v>46113</v>
      </c>
      <c r="I161" s="17"/>
      <c r="J161" s="17"/>
      <c r="K161" s="17"/>
    </row>
    <row r="162" spans="1:11" x14ac:dyDescent="0.2">
      <c r="A162" s="115">
        <v>46124</v>
      </c>
      <c r="B162" s="93" t="s">
        <v>321</v>
      </c>
      <c r="C162" s="94" t="s">
        <v>388</v>
      </c>
      <c r="D162" s="95">
        <v>23.73</v>
      </c>
      <c r="E162" s="95">
        <v>92.74</v>
      </c>
      <c r="F162" s="96">
        <v>2200</v>
      </c>
      <c r="G162" s="97" t="s">
        <v>435</v>
      </c>
      <c r="H162" s="114">
        <f t="shared" si="2"/>
        <v>46113</v>
      </c>
      <c r="I162" s="17"/>
      <c r="J162" s="17"/>
      <c r="K162" s="17"/>
    </row>
    <row r="163" spans="1:11" x14ac:dyDescent="0.2">
      <c r="A163" s="115">
        <v>46124</v>
      </c>
      <c r="B163" s="93" t="s">
        <v>322</v>
      </c>
      <c r="C163" s="94" t="s">
        <v>389</v>
      </c>
      <c r="D163" s="95">
        <v>23.73</v>
      </c>
      <c r="E163" s="95">
        <v>92.74</v>
      </c>
      <c r="F163" s="96">
        <v>2200</v>
      </c>
      <c r="G163" s="97" t="s">
        <v>435</v>
      </c>
      <c r="H163" s="114">
        <f t="shared" si="2"/>
        <v>46113</v>
      </c>
      <c r="I163" s="17"/>
      <c r="J163" s="17"/>
      <c r="K163" s="17"/>
    </row>
    <row r="164" spans="1:11" x14ac:dyDescent="0.2">
      <c r="A164" s="115">
        <v>46124</v>
      </c>
      <c r="B164" s="93" t="s">
        <v>323</v>
      </c>
      <c r="C164" s="94" t="s">
        <v>390</v>
      </c>
      <c r="D164" s="95">
        <v>23.73</v>
      </c>
      <c r="E164" s="95">
        <v>92.74</v>
      </c>
      <c r="F164" s="96">
        <v>2200</v>
      </c>
      <c r="G164" s="97" t="s">
        <v>435</v>
      </c>
      <c r="H164" s="114">
        <f t="shared" si="2"/>
        <v>46113</v>
      </c>
      <c r="I164" s="17"/>
      <c r="J164" s="17"/>
      <c r="K164" s="17"/>
    </row>
    <row r="165" spans="1:11" x14ac:dyDescent="0.2">
      <c r="A165" s="115">
        <v>46124</v>
      </c>
      <c r="B165" s="93" t="s">
        <v>324</v>
      </c>
      <c r="C165" s="94" t="s">
        <v>391</v>
      </c>
      <c r="D165" s="95">
        <v>23.73</v>
      </c>
      <c r="E165" s="95">
        <v>92.74</v>
      </c>
      <c r="F165" s="96">
        <v>2200</v>
      </c>
      <c r="G165" s="97" t="s">
        <v>435</v>
      </c>
      <c r="H165" s="114">
        <f t="shared" si="2"/>
        <v>46113</v>
      </c>
      <c r="I165" s="17"/>
      <c r="J165" s="17"/>
      <c r="K165" s="17"/>
    </row>
    <row r="166" spans="1:11" x14ac:dyDescent="0.2">
      <c r="A166" s="115">
        <v>46124</v>
      </c>
      <c r="B166" s="93" t="s">
        <v>325</v>
      </c>
      <c r="C166" s="94" t="s">
        <v>392</v>
      </c>
      <c r="D166" s="95">
        <v>23.73</v>
      </c>
      <c r="E166" s="95">
        <v>92.74</v>
      </c>
      <c r="F166" s="96">
        <v>2200</v>
      </c>
      <c r="G166" s="97" t="s">
        <v>435</v>
      </c>
      <c r="H166" s="114">
        <f t="shared" si="2"/>
        <v>46113</v>
      </c>
      <c r="I166" s="17"/>
      <c r="J166" s="17"/>
      <c r="K166" s="17"/>
    </row>
    <row r="167" spans="1:11" x14ac:dyDescent="0.2">
      <c r="A167" s="115">
        <v>46124</v>
      </c>
      <c r="B167" s="93" t="s">
        <v>326</v>
      </c>
      <c r="C167" s="94" t="s">
        <v>393</v>
      </c>
      <c r="D167" s="95">
        <v>26.96</v>
      </c>
      <c r="E167" s="95">
        <v>92.74</v>
      </c>
      <c r="F167" s="96">
        <v>2500</v>
      </c>
      <c r="G167" s="97" t="s">
        <v>435</v>
      </c>
      <c r="H167" s="114">
        <f t="shared" si="2"/>
        <v>46113</v>
      </c>
      <c r="I167" s="17"/>
      <c r="J167" s="17"/>
      <c r="K167" s="17"/>
    </row>
    <row r="168" spans="1:11" x14ac:dyDescent="0.2">
      <c r="A168" s="115">
        <v>46124</v>
      </c>
      <c r="B168" s="93" t="s">
        <v>327</v>
      </c>
      <c r="C168" s="94" t="s">
        <v>394</v>
      </c>
      <c r="D168" s="95">
        <v>26.96</v>
      </c>
      <c r="E168" s="95">
        <v>92.74</v>
      </c>
      <c r="F168" s="96">
        <v>2500</v>
      </c>
      <c r="G168" s="97" t="s">
        <v>435</v>
      </c>
      <c r="H168" s="114">
        <f t="shared" si="2"/>
        <v>46113</v>
      </c>
      <c r="I168" s="17"/>
      <c r="J168" s="17"/>
      <c r="K168" s="17"/>
    </row>
    <row r="169" spans="1:11" x14ac:dyDescent="0.2">
      <c r="A169" s="115">
        <v>46124</v>
      </c>
      <c r="B169" s="93" t="s">
        <v>328</v>
      </c>
      <c r="C169" s="94" t="s">
        <v>395</v>
      </c>
      <c r="D169" s="95">
        <v>26.96</v>
      </c>
      <c r="E169" s="95">
        <v>92.74</v>
      </c>
      <c r="F169" s="96">
        <v>2500</v>
      </c>
      <c r="G169" s="97" t="s">
        <v>435</v>
      </c>
      <c r="H169" s="114">
        <f t="shared" si="2"/>
        <v>46113</v>
      </c>
      <c r="I169" s="17"/>
      <c r="J169" s="17"/>
      <c r="K169" s="17"/>
    </row>
    <row r="170" spans="1:11" x14ac:dyDescent="0.2">
      <c r="A170" s="115">
        <v>46124</v>
      </c>
      <c r="B170" s="93" t="s">
        <v>329</v>
      </c>
      <c r="C170" s="94" t="s">
        <v>396</v>
      </c>
      <c r="D170" s="95">
        <v>26.96</v>
      </c>
      <c r="E170" s="95">
        <v>92.74</v>
      </c>
      <c r="F170" s="96">
        <v>2500</v>
      </c>
      <c r="G170" s="97" t="s">
        <v>435</v>
      </c>
      <c r="H170" s="114">
        <f t="shared" si="2"/>
        <v>46113</v>
      </c>
      <c r="I170" s="17"/>
      <c r="J170" s="17"/>
      <c r="K170" s="17"/>
    </row>
    <row r="171" spans="1:11" x14ac:dyDescent="0.2">
      <c r="A171" s="115">
        <v>46124</v>
      </c>
      <c r="B171" s="93" t="s">
        <v>330</v>
      </c>
      <c r="C171" s="94" t="s">
        <v>397</v>
      </c>
      <c r="D171" s="95">
        <v>26.96</v>
      </c>
      <c r="E171" s="95">
        <v>92.74</v>
      </c>
      <c r="F171" s="96">
        <v>2500</v>
      </c>
      <c r="G171" s="97" t="s">
        <v>435</v>
      </c>
      <c r="H171" s="114">
        <f t="shared" si="2"/>
        <v>46113</v>
      </c>
      <c r="I171" s="17"/>
      <c r="J171" s="17"/>
      <c r="K171" s="17"/>
    </row>
    <row r="172" spans="1:11" x14ac:dyDescent="0.2">
      <c r="A172" s="115">
        <v>46124</v>
      </c>
      <c r="B172" s="93" t="s">
        <v>331</v>
      </c>
      <c r="C172" s="94" t="s">
        <v>398</v>
      </c>
      <c r="D172" s="95">
        <v>26.96</v>
      </c>
      <c r="E172" s="95">
        <v>92.74</v>
      </c>
      <c r="F172" s="96">
        <v>2500</v>
      </c>
      <c r="G172" s="97" t="s">
        <v>435</v>
      </c>
      <c r="H172" s="114">
        <f t="shared" si="2"/>
        <v>46113</v>
      </c>
      <c r="I172" s="17"/>
      <c r="J172" s="17"/>
      <c r="K172" s="17"/>
    </row>
    <row r="173" spans="1:11" x14ac:dyDescent="0.2">
      <c r="A173" s="115">
        <v>46124</v>
      </c>
      <c r="B173" s="93" t="s">
        <v>332</v>
      </c>
      <c r="C173" s="94" t="s">
        <v>399</v>
      </c>
      <c r="D173" s="95">
        <v>26.96</v>
      </c>
      <c r="E173" s="95">
        <v>92.74</v>
      </c>
      <c r="F173" s="96">
        <v>2500</v>
      </c>
      <c r="G173" s="97" t="s">
        <v>435</v>
      </c>
      <c r="H173" s="114">
        <f t="shared" si="2"/>
        <v>46113</v>
      </c>
      <c r="I173" s="17"/>
      <c r="J173" s="17"/>
      <c r="K173" s="17"/>
    </row>
    <row r="174" spans="1:11" x14ac:dyDescent="0.2">
      <c r="A174" s="115">
        <v>46124</v>
      </c>
      <c r="B174" s="93" t="s">
        <v>333</v>
      </c>
      <c r="C174" s="94" t="s">
        <v>400</v>
      </c>
      <c r="D174" s="95">
        <v>26.96</v>
      </c>
      <c r="E174" s="95">
        <v>92.74</v>
      </c>
      <c r="F174" s="96">
        <v>2500</v>
      </c>
      <c r="G174" s="97" t="s">
        <v>435</v>
      </c>
      <c r="H174" s="114">
        <f t="shared" si="2"/>
        <v>46113</v>
      </c>
      <c r="I174" s="17"/>
      <c r="J174" s="17"/>
      <c r="K174" s="17"/>
    </row>
    <row r="175" spans="1:11" x14ac:dyDescent="0.2">
      <c r="A175" s="115">
        <v>46124</v>
      </c>
      <c r="B175" s="93" t="s">
        <v>334</v>
      </c>
      <c r="C175" s="94" t="s">
        <v>401</v>
      </c>
      <c r="D175" s="95">
        <v>26.96</v>
      </c>
      <c r="E175" s="95">
        <v>92.74</v>
      </c>
      <c r="F175" s="96">
        <v>2500</v>
      </c>
      <c r="G175" s="97" t="s">
        <v>435</v>
      </c>
      <c r="H175" s="114">
        <f t="shared" si="2"/>
        <v>46113</v>
      </c>
      <c r="I175" s="17"/>
      <c r="J175" s="17"/>
      <c r="K175" s="17"/>
    </row>
    <row r="176" spans="1:11" x14ac:dyDescent="0.2">
      <c r="A176" s="115">
        <v>46124</v>
      </c>
      <c r="B176" s="93" t="s">
        <v>335</v>
      </c>
      <c r="C176" s="94" t="s">
        <v>402</v>
      </c>
      <c r="D176" s="95">
        <v>26.96</v>
      </c>
      <c r="E176" s="95">
        <v>92.74</v>
      </c>
      <c r="F176" s="96">
        <v>2500</v>
      </c>
      <c r="G176" s="97" t="s">
        <v>435</v>
      </c>
      <c r="H176" s="114">
        <f t="shared" si="2"/>
        <v>46113</v>
      </c>
      <c r="I176" s="17"/>
      <c r="J176" s="17"/>
      <c r="K176" s="17"/>
    </row>
    <row r="177" spans="1:11" x14ac:dyDescent="0.2">
      <c r="A177" s="115">
        <v>46124</v>
      </c>
      <c r="B177" s="93" t="s">
        <v>336</v>
      </c>
      <c r="C177" s="94" t="s">
        <v>403</v>
      </c>
      <c r="D177" s="95">
        <v>26.96</v>
      </c>
      <c r="E177" s="95">
        <v>92.74</v>
      </c>
      <c r="F177" s="96">
        <v>2500</v>
      </c>
      <c r="G177" s="97" t="s">
        <v>435</v>
      </c>
      <c r="H177" s="114">
        <f t="shared" si="2"/>
        <v>46113</v>
      </c>
      <c r="I177" s="17"/>
      <c r="J177" s="17"/>
      <c r="K177" s="17"/>
    </row>
    <row r="178" spans="1:11" x14ac:dyDescent="0.2">
      <c r="A178" s="115">
        <v>46124</v>
      </c>
      <c r="B178" s="93" t="s">
        <v>337</v>
      </c>
      <c r="C178" s="94" t="s">
        <v>404</v>
      </c>
      <c r="D178" s="95">
        <v>26.96</v>
      </c>
      <c r="E178" s="95">
        <v>92.74</v>
      </c>
      <c r="F178" s="96">
        <v>2500</v>
      </c>
      <c r="G178" s="97" t="s">
        <v>435</v>
      </c>
      <c r="H178" s="114">
        <f t="shared" si="2"/>
        <v>46113</v>
      </c>
      <c r="I178" s="17"/>
      <c r="J178" s="17"/>
      <c r="K178" s="17"/>
    </row>
    <row r="179" spans="1:11" x14ac:dyDescent="0.2">
      <c r="A179" s="115">
        <v>46124</v>
      </c>
      <c r="B179" s="93" t="s">
        <v>338</v>
      </c>
      <c r="C179" s="94" t="s">
        <v>405</v>
      </c>
      <c r="D179" s="95">
        <v>26.96</v>
      </c>
      <c r="E179" s="95">
        <v>92.74</v>
      </c>
      <c r="F179" s="96">
        <v>2500</v>
      </c>
      <c r="G179" s="97" t="s">
        <v>435</v>
      </c>
      <c r="H179" s="114">
        <f t="shared" si="2"/>
        <v>46113</v>
      </c>
      <c r="I179" s="17"/>
      <c r="J179" s="17"/>
      <c r="K179" s="17"/>
    </row>
    <row r="180" spans="1:11" x14ac:dyDescent="0.2">
      <c r="A180" s="115">
        <v>46124</v>
      </c>
      <c r="B180" s="93" t="s">
        <v>339</v>
      </c>
      <c r="C180" s="94" t="s">
        <v>406</v>
      </c>
      <c r="D180" s="95">
        <v>26.96</v>
      </c>
      <c r="E180" s="95">
        <v>92.74</v>
      </c>
      <c r="F180" s="96">
        <v>2500</v>
      </c>
      <c r="G180" s="97" t="s">
        <v>435</v>
      </c>
      <c r="H180" s="114">
        <f t="shared" si="2"/>
        <v>46113</v>
      </c>
      <c r="I180" s="17"/>
      <c r="J180" s="17"/>
      <c r="K180" s="17"/>
    </row>
    <row r="181" spans="1:11" x14ac:dyDescent="0.2">
      <c r="A181" s="115">
        <v>46124</v>
      </c>
      <c r="B181" s="93" t="s">
        <v>340</v>
      </c>
      <c r="C181" s="94" t="s">
        <v>407</v>
      </c>
      <c r="D181" s="95">
        <v>28.04</v>
      </c>
      <c r="E181" s="95">
        <v>92.74</v>
      </c>
      <c r="F181" s="96">
        <v>2600</v>
      </c>
      <c r="G181" s="97" t="s">
        <v>435</v>
      </c>
      <c r="H181" s="114">
        <f t="shared" si="2"/>
        <v>46113</v>
      </c>
      <c r="I181" s="17"/>
      <c r="J181" s="17"/>
      <c r="K181" s="17"/>
    </row>
    <row r="182" spans="1:11" x14ac:dyDescent="0.2">
      <c r="A182" s="115">
        <v>46124</v>
      </c>
      <c r="B182" s="93" t="s">
        <v>341</v>
      </c>
      <c r="C182" s="94" t="s">
        <v>408</v>
      </c>
      <c r="D182" s="95">
        <v>30.2</v>
      </c>
      <c r="E182" s="95">
        <v>92.74</v>
      </c>
      <c r="F182" s="96">
        <v>2800</v>
      </c>
      <c r="G182" s="97" t="s">
        <v>435</v>
      </c>
      <c r="H182" s="114">
        <f t="shared" si="2"/>
        <v>46113</v>
      </c>
      <c r="I182" s="17"/>
      <c r="J182" s="17"/>
      <c r="K182" s="17"/>
    </row>
    <row r="183" spans="1:11" x14ac:dyDescent="0.2">
      <c r="A183" s="115">
        <v>46124</v>
      </c>
      <c r="B183" s="93" t="s">
        <v>342</v>
      </c>
      <c r="C183" s="94" t="s">
        <v>409</v>
      </c>
      <c r="D183" s="95">
        <v>30.2</v>
      </c>
      <c r="E183" s="95">
        <v>92.74</v>
      </c>
      <c r="F183" s="96">
        <v>2800</v>
      </c>
      <c r="G183" s="97" t="s">
        <v>435</v>
      </c>
      <c r="H183" s="114">
        <f t="shared" si="2"/>
        <v>46113</v>
      </c>
      <c r="I183" s="17"/>
      <c r="J183" s="17"/>
      <c r="K183" s="17"/>
    </row>
    <row r="184" spans="1:11" x14ac:dyDescent="0.2">
      <c r="A184" s="115">
        <v>46124</v>
      </c>
      <c r="B184" s="93" t="s">
        <v>343</v>
      </c>
      <c r="C184" s="94" t="s">
        <v>410</v>
      </c>
      <c r="D184" s="95">
        <v>30.2</v>
      </c>
      <c r="E184" s="95">
        <v>92.74</v>
      </c>
      <c r="F184" s="96">
        <v>2800</v>
      </c>
      <c r="G184" s="97" t="s">
        <v>435</v>
      </c>
      <c r="H184" s="114">
        <f t="shared" si="2"/>
        <v>46113</v>
      </c>
      <c r="I184" s="17"/>
      <c r="J184" s="17"/>
      <c r="K184" s="17"/>
    </row>
    <row r="185" spans="1:11" x14ac:dyDescent="0.2">
      <c r="A185" s="115">
        <v>46124</v>
      </c>
      <c r="B185" s="93" t="s">
        <v>344</v>
      </c>
      <c r="C185" s="94" t="s">
        <v>411</v>
      </c>
      <c r="D185" s="95">
        <v>30.2</v>
      </c>
      <c r="E185" s="95">
        <v>92.74</v>
      </c>
      <c r="F185" s="96">
        <v>2800</v>
      </c>
      <c r="G185" s="97" t="s">
        <v>435</v>
      </c>
      <c r="H185" s="114">
        <f t="shared" si="2"/>
        <v>46113</v>
      </c>
      <c r="I185" s="17"/>
      <c r="J185" s="17"/>
      <c r="K185" s="17"/>
    </row>
    <row r="186" spans="1:11" x14ac:dyDescent="0.2">
      <c r="A186" s="115">
        <v>46124</v>
      </c>
      <c r="B186" s="93" t="s">
        <v>345</v>
      </c>
      <c r="C186" s="94" t="s">
        <v>412</v>
      </c>
      <c r="D186" s="95">
        <v>30.2</v>
      </c>
      <c r="E186" s="95">
        <v>92.74</v>
      </c>
      <c r="F186" s="96">
        <v>2800</v>
      </c>
      <c r="G186" s="97" t="s">
        <v>435</v>
      </c>
      <c r="H186" s="114">
        <f t="shared" si="2"/>
        <v>46113</v>
      </c>
      <c r="I186" s="17"/>
      <c r="J186" s="17"/>
      <c r="K186" s="17"/>
    </row>
    <row r="187" spans="1:11" x14ac:dyDescent="0.2">
      <c r="A187" s="115">
        <v>46124</v>
      </c>
      <c r="B187" s="93" t="s">
        <v>346</v>
      </c>
      <c r="C187" s="94" t="s">
        <v>413</v>
      </c>
      <c r="D187" s="95">
        <v>30.2</v>
      </c>
      <c r="E187" s="95">
        <v>92.74</v>
      </c>
      <c r="F187" s="96">
        <v>2800</v>
      </c>
      <c r="G187" s="97" t="s">
        <v>435</v>
      </c>
      <c r="H187" s="114">
        <f t="shared" si="2"/>
        <v>46113</v>
      </c>
      <c r="I187" s="17"/>
      <c r="J187" s="17"/>
      <c r="K187" s="17"/>
    </row>
    <row r="188" spans="1:11" x14ac:dyDescent="0.2">
      <c r="A188" s="115">
        <v>46124</v>
      </c>
      <c r="B188" s="93" t="s">
        <v>347</v>
      </c>
      <c r="C188" s="94" t="s">
        <v>414</v>
      </c>
      <c r="D188" s="95">
        <v>30.2</v>
      </c>
      <c r="E188" s="95">
        <v>92.74</v>
      </c>
      <c r="F188" s="96">
        <v>2800</v>
      </c>
      <c r="G188" s="97" t="s">
        <v>435</v>
      </c>
      <c r="H188" s="114">
        <f t="shared" si="2"/>
        <v>46113</v>
      </c>
      <c r="I188" s="17"/>
      <c r="J188" s="17"/>
      <c r="K188" s="17"/>
    </row>
    <row r="189" spans="1:11" x14ac:dyDescent="0.2">
      <c r="A189" s="115">
        <v>46124</v>
      </c>
      <c r="B189" s="93" t="s">
        <v>348</v>
      </c>
      <c r="C189" s="94" t="s">
        <v>415</v>
      </c>
      <c r="D189" s="95">
        <v>30.2</v>
      </c>
      <c r="E189" s="95">
        <v>92.74</v>
      </c>
      <c r="F189" s="96">
        <v>2800</v>
      </c>
      <c r="G189" s="97" t="s">
        <v>435</v>
      </c>
      <c r="H189" s="114">
        <f t="shared" si="2"/>
        <v>46113</v>
      </c>
      <c r="I189" s="17"/>
      <c r="J189" s="17"/>
      <c r="K189" s="17"/>
    </row>
    <row r="190" spans="1:11" x14ac:dyDescent="0.2">
      <c r="A190" s="115">
        <v>46124</v>
      </c>
      <c r="B190" s="93" t="s">
        <v>349</v>
      </c>
      <c r="C190" s="94" t="s">
        <v>416</v>
      </c>
      <c r="D190" s="95">
        <v>30.2</v>
      </c>
      <c r="E190" s="95">
        <v>92.74</v>
      </c>
      <c r="F190" s="96">
        <v>2800</v>
      </c>
      <c r="G190" s="97" t="s">
        <v>435</v>
      </c>
      <c r="H190" s="114">
        <f t="shared" si="2"/>
        <v>46113</v>
      </c>
      <c r="I190" s="17"/>
      <c r="J190" s="17"/>
      <c r="K190" s="17"/>
    </row>
    <row r="191" spans="1:11" x14ac:dyDescent="0.2">
      <c r="A191" s="115">
        <v>46124</v>
      </c>
      <c r="B191" s="93" t="s">
        <v>350</v>
      </c>
      <c r="C191" s="94" t="s">
        <v>417</v>
      </c>
      <c r="D191" s="95">
        <v>30.2</v>
      </c>
      <c r="E191" s="95">
        <v>92.74</v>
      </c>
      <c r="F191" s="96">
        <v>2800</v>
      </c>
      <c r="G191" s="97" t="s">
        <v>435</v>
      </c>
      <c r="H191" s="114">
        <f t="shared" si="2"/>
        <v>46113</v>
      </c>
      <c r="I191" s="17"/>
      <c r="J191" s="17"/>
      <c r="K191" s="17"/>
    </row>
    <row r="192" spans="1:11" x14ac:dyDescent="0.2">
      <c r="A192" s="115">
        <v>46124</v>
      </c>
      <c r="B192" s="93" t="s">
        <v>351</v>
      </c>
      <c r="C192" s="94" t="s">
        <v>418</v>
      </c>
      <c r="D192" s="95">
        <v>30.2</v>
      </c>
      <c r="E192" s="95">
        <v>92.74</v>
      </c>
      <c r="F192" s="96">
        <v>2800</v>
      </c>
      <c r="G192" s="97" t="s">
        <v>435</v>
      </c>
      <c r="H192" s="114">
        <f t="shared" si="2"/>
        <v>46113</v>
      </c>
      <c r="I192" s="17"/>
      <c r="J192" s="17"/>
      <c r="K192" s="17"/>
    </row>
    <row r="193" spans="1:11" x14ac:dyDescent="0.2">
      <c r="A193" s="115">
        <v>46124</v>
      </c>
      <c r="B193" s="93" t="s">
        <v>352</v>
      </c>
      <c r="C193" s="94" t="s">
        <v>419</v>
      </c>
      <c r="D193" s="95">
        <v>30.2</v>
      </c>
      <c r="E193" s="95">
        <v>92.74</v>
      </c>
      <c r="F193" s="96">
        <v>2800</v>
      </c>
      <c r="G193" s="97" t="s">
        <v>435</v>
      </c>
      <c r="H193" s="114">
        <f t="shared" si="2"/>
        <v>46113</v>
      </c>
      <c r="I193" s="17"/>
      <c r="J193" s="17"/>
      <c r="K193" s="17"/>
    </row>
    <row r="194" spans="1:11" x14ac:dyDescent="0.2">
      <c r="A194" s="115">
        <v>46124</v>
      </c>
      <c r="B194" s="93" t="s">
        <v>353</v>
      </c>
      <c r="C194" s="94" t="s">
        <v>420</v>
      </c>
      <c r="D194" s="95">
        <v>30.2</v>
      </c>
      <c r="E194" s="95">
        <v>92.74</v>
      </c>
      <c r="F194" s="96">
        <v>2800</v>
      </c>
      <c r="G194" s="97" t="s">
        <v>435</v>
      </c>
      <c r="H194" s="114">
        <f t="shared" si="2"/>
        <v>46113</v>
      </c>
      <c r="I194" s="17"/>
      <c r="J194" s="17"/>
      <c r="K194" s="17"/>
    </row>
    <row r="195" spans="1:11" x14ac:dyDescent="0.2">
      <c r="A195" s="115">
        <v>46124</v>
      </c>
      <c r="B195" s="93" t="s">
        <v>354</v>
      </c>
      <c r="C195" s="94" t="s">
        <v>421</v>
      </c>
      <c r="D195" s="95">
        <v>30.2</v>
      </c>
      <c r="E195" s="95">
        <v>92.74</v>
      </c>
      <c r="F195" s="96">
        <v>2800</v>
      </c>
      <c r="G195" s="97" t="s">
        <v>435</v>
      </c>
      <c r="H195" s="114">
        <f t="shared" si="2"/>
        <v>46113</v>
      </c>
      <c r="I195" s="17"/>
      <c r="J195" s="17"/>
      <c r="K195" s="17"/>
    </row>
    <row r="196" spans="1:11" x14ac:dyDescent="0.2">
      <c r="A196" s="115">
        <v>46124</v>
      </c>
      <c r="B196" s="93" t="s">
        <v>355</v>
      </c>
      <c r="C196" s="94" t="s">
        <v>422</v>
      </c>
      <c r="D196" s="95">
        <v>30.2</v>
      </c>
      <c r="E196" s="95">
        <v>92.74</v>
      </c>
      <c r="F196" s="96">
        <v>2800</v>
      </c>
      <c r="G196" s="97" t="s">
        <v>435</v>
      </c>
      <c r="H196" s="114">
        <f t="shared" ref="H196:H259" si="3">IF(A196&lt;&gt;"", EOMONTH(A196, -1) + 1, "")</f>
        <v>46113</v>
      </c>
      <c r="I196" s="17"/>
      <c r="J196" s="17"/>
      <c r="K196" s="17"/>
    </row>
    <row r="197" spans="1:11" x14ac:dyDescent="0.2">
      <c r="A197" s="115">
        <v>46124</v>
      </c>
      <c r="B197" s="93" t="s">
        <v>356</v>
      </c>
      <c r="C197" s="94" t="s">
        <v>423</v>
      </c>
      <c r="D197" s="95">
        <v>30.2</v>
      </c>
      <c r="E197" s="95">
        <v>92.74</v>
      </c>
      <c r="F197" s="96">
        <v>2800</v>
      </c>
      <c r="G197" s="97" t="s">
        <v>435</v>
      </c>
      <c r="H197" s="114">
        <f t="shared" si="3"/>
        <v>46113</v>
      </c>
      <c r="I197" s="17"/>
      <c r="J197" s="17"/>
      <c r="K197" s="17"/>
    </row>
    <row r="198" spans="1:11" x14ac:dyDescent="0.2">
      <c r="A198" s="115">
        <v>46124</v>
      </c>
      <c r="B198" s="93" t="s">
        <v>357</v>
      </c>
      <c r="C198" s="94" t="s">
        <v>424</v>
      </c>
      <c r="D198" s="95">
        <v>30.2</v>
      </c>
      <c r="E198" s="95">
        <v>92.74</v>
      </c>
      <c r="F198" s="96">
        <v>2800</v>
      </c>
      <c r="G198" s="97" t="s">
        <v>435</v>
      </c>
      <c r="H198" s="114">
        <f t="shared" si="3"/>
        <v>46113</v>
      </c>
      <c r="I198" s="17"/>
      <c r="J198" s="17"/>
      <c r="K198" s="17"/>
    </row>
    <row r="199" spans="1:11" x14ac:dyDescent="0.2">
      <c r="A199" s="115">
        <v>46124</v>
      </c>
      <c r="B199" s="93" t="s">
        <v>358</v>
      </c>
      <c r="C199" s="94" t="s">
        <v>425</v>
      </c>
      <c r="D199" s="95">
        <v>30.2</v>
      </c>
      <c r="E199" s="95">
        <v>92.74</v>
      </c>
      <c r="F199" s="96">
        <v>2800</v>
      </c>
      <c r="G199" s="97" t="s">
        <v>435</v>
      </c>
      <c r="H199" s="114">
        <f t="shared" si="3"/>
        <v>46113</v>
      </c>
      <c r="I199" s="17"/>
      <c r="J199" s="17"/>
      <c r="K199" s="17"/>
    </row>
    <row r="200" spans="1:11" x14ac:dyDescent="0.2">
      <c r="A200" s="115">
        <v>46124</v>
      </c>
      <c r="B200" s="93" t="s">
        <v>359</v>
      </c>
      <c r="C200" s="94" t="s">
        <v>426</v>
      </c>
      <c r="D200" s="95">
        <v>90</v>
      </c>
      <c r="E200" s="95">
        <v>92.74</v>
      </c>
      <c r="F200" s="96">
        <v>8346.6</v>
      </c>
      <c r="G200" s="97" t="s">
        <v>257</v>
      </c>
      <c r="H200" s="114">
        <f t="shared" si="3"/>
        <v>46113</v>
      </c>
      <c r="I200" s="17"/>
      <c r="J200" s="17"/>
      <c r="K200" s="17"/>
    </row>
    <row r="201" spans="1:11" x14ac:dyDescent="0.2">
      <c r="A201" s="115">
        <v>46124</v>
      </c>
      <c r="B201" s="93" t="s">
        <v>360</v>
      </c>
      <c r="C201" s="94" t="s">
        <v>427</v>
      </c>
      <c r="D201" s="95">
        <v>100</v>
      </c>
      <c r="E201" s="95">
        <v>92.74</v>
      </c>
      <c r="F201" s="96">
        <v>9274</v>
      </c>
      <c r="G201" s="97" t="s">
        <v>257</v>
      </c>
      <c r="H201" s="114">
        <f t="shared" si="3"/>
        <v>46113</v>
      </c>
      <c r="I201" s="17"/>
      <c r="J201" s="17"/>
      <c r="K201" s="17"/>
    </row>
    <row r="202" spans="1:11" x14ac:dyDescent="0.2">
      <c r="A202" s="115">
        <v>46124</v>
      </c>
      <c r="B202" s="93" t="s">
        <v>361</v>
      </c>
      <c r="C202" s="94" t="s">
        <v>428</v>
      </c>
      <c r="D202" s="95">
        <v>45.94</v>
      </c>
      <c r="E202" s="95">
        <v>92.74</v>
      </c>
      <c r="F202" s="96">
        <v>4260.47</v>
      </c>
      <c r="G202" s="97" t="s">
        <v>257</v>
      </c>
      <c r="H202" s="114">
        <f t="shared" si="3"/>
        <v>46113</v>
      </c>
      <c r="I202" s="17"/>
      <c r="J202" s="17"/>
      <c r="K202" s="17"/>
    </row>
    <row r="203" spans="1:11" x14ac:dyDescent="0.2">
      <c r="A203" s="115">
        <v>46124</v>
      </c>
      <c r="B203" s="93" t="s">
        <v>362</v>
      </c>
      <c r="C203" s="94" t="s">
        <v>429</v>
      </c>
      <c r="D203" s="95">
        <v>100</v>
      </c>
      <c r="E203" s="95">
        <v>92.74</v>
      </c>
      <c r="F203" s="96">
        <v>9274</v>
      </c>
      <c r="G203" s="97" t="s">
        <v>257</v>
      </c>
      <c r="H203" s="114">
        <f t="shared" si="3"/>
        <v>46113</v>
      </c>
      <c r="I203" s="17"/>
      <c r="J203" s="17"/>
      <c r="K203" s="17"/>
    </row>
    <row r="204" spans="1:11" x14ac:dyDescent="0.2">
      <c r="A204" s="115">
        <v>46124</v>
      </c>
      <c r="B204" s="93" t="s">
        <v>363</v>
      </c>
      <c r="C204" s="94" t="s">
        <v>129</v>
      </c>
      <c r="D204" s="95">
        <v>102.01</v>
      </c>
      <c r="E204" s="95">
        <v>92.74</v>
      </c>
      <c r="F204" s="96">
        <v>9460.4</v>
      </c>
      <c r="G204" s="97" t="s">
        <v>56</v>
      </c>
      <c r="H204" s="114">
        <f t="shared" si="3"/>
        <v>46113</v>
      </c>
      <c r="I204" s="17"/>
      <c r="J204" s="17"/>
      <c r="K204" s="17"/>
    </row>
    <row r="205" spans="1:11" x14ac:dyDescent="0.2">
      <c r="A205" s="115">
        <v>46124</v>
      </c>
      <c r="B205" s="93" t="s">
        <v>364</v>
      </c>
      <c r="C205" s="94" t="s">
        <v>39</v>
      </c>
      <c r="D205" s="95">
        <v>50</v>
      </c>
      <c r="E205" s="95">
        <v>92.74</v>
      </c>
      <c r="F205" s="96">
        <v>4637</v>
      </c>
      <c r="G205" s="97" t="s">
        <v>54</v>
      </c>
      <c r="H205" s="114">
        <f t="shared" si="3"/>
        <v>46113</v>
      </c>
      <c r="I205" s="17"/>
      <c r="J205" s="17"/>
      <c r="K205" s="17"/>
    </row>
    <row r="206" spans="1:11" x14ac:dyDescent="0.2">
      <c r="A206" s="115">
        <v>46124</v>
      </c>
      <c r="B206" s="93" t="s">
        <v>365</v>
      </c>
      <c r="C206" s="94" t="s">
        <v>430</v>
      </c>
      <c r="D206" s="95">
        <v>287.04000000000002</v>
      </c>
      <c r="E206" s="95">
        <v>92.74</v>
      </c>
      <c r="F206" s="96">
        <v>26620.080000000002</v>
      </c>
      <c r="G206" s="97" t="s">
        <v>14</v>
      </c>
      <c r="H206" s="114">
        <f t="shared" si="3"/>
        <v>46113</v>
      </c>
      <c r="I206" s="17"/>
      <c r="J206" s="17"/>
      <c r="K206" s="17"/>
    </row>
    <row r="207" spans="1:11" x14ac:dyDescent="0.2">
      <c r="A207" s="115">
        <v>46124</v>
      </c>
      <c r="B207" s="93" t="s">
        <v>366</v>
      </c>
      <c r="C207" s="94" t="s">
        <v>253</v>
      </c>
      <c r="D207" s="95">
        <v>85</v>
      </c>
      <c r="E207" s="95">
        <v>92.74</v>
      </c>
      <c r="F207" s="96">
        <v>7882.9</v>
      </c>
      <c r="G207" s="97" t="s">
        <v>257</v>
      </c>
      <c r="H207" s="114">
        <f t="shared" si="3"/>
        <v>46113</v>
      </c>
      <c r="I207" s="17"/>
      <c r="J207" s="17"/>
      <c r="K207" s="17"/>
    </row>
    <row r="208" spans="1:11" x14ac:dyDescent="0.2">
      <c r="A208" s="115">
        <v>46124</v>
      </c>
      <c r="B208" s="93" t="s">
        <v>367</v>
      </c>
      <c r="C208" s="94" t="s">
        <v>431</v>
      </c>
      <c r="D208" s="95">
        <v>23.73</v>
      </c>
      <c r="E208" s="95">
        <v>92.74</v>
      </c>
      <c r="F208" s="96">
        <v>2200</v>
      </c>
      <c r="G208" s="97" t="s">
        <v>435</v>
      </c>
      <c r="H208" s="114">
        <f t="shared" si="3"/>
        <v>46113</v>
      </c>
      <c r="I208" s="17"/>
      <c r="J208" s="17"/>
      <c r="K208" s="17"/>
    </row>
    <row r="209" spans="1:11" x14ac:dyDescent="0.2">
      <c r="A209" s="115">
        <v>46124</v>
      </c>
      <c r="B209" s="93" t="s">
        <v>368</v>
      </c>
      <c r="C209" s="94" t="s">
        <v>432</v>
      </c>
      <c r="D209" s="95">
        <v>23.73</v>
      </c>
      <c r="E209" s="95">
        <v>92.74</v>
      </c>
      <c r="F209" s="96">
        <v>2200</v>
      </c>
      <c r="G209" s="97" t="s">
        <v>435</v>
      </c>
      <c r="H209" s="114">
        <f t="shared" si="3"/>
        <v>46113</v>
      </c>
      <c r="I209" s="17"/>
      <c r="J209" s="17"/>
      <c r="K209" s="17"/>
    </row>
    <row r="210" spans="1:11" x14ac:dyDescent="0.2">
      <c r="A210" s="115">
        <v>46124</v>
      </c>
      <c r="B210" s="93" t="s">
        <v>369</v>
      </c>
      <c r="C210" s="94" t="s">
        <v>433</v>
      </c>
      <c r="D210" s="95">
        <v>23.73</v>
      </c>
      <c r="E210" s="95">
        <v>92.74</v>
      </c>
      <c r="F210" s="96">
        <v>2200</v>
      </c>
      <c r="G210" s="97" t="s">
        <v>435</v>
      </c>
      <c r="H210" s="114">
        <f t="shared" si="3"/>
        <v>46113</v>
      </c>
      <c r="I210" s="17"/>
      <c r="J210" s="17"/>
      <c r="K210" s="17"/>
    </row>
    <row r="211" spans="1:11" x14ac:dyDescent="0.2">
      <c r="A211" s="115">
        <v>46124</v>
      </c>
      <c r="B211" s="93" t="s">
        <v>370</v>
      </c>
      <c r="C211" s="94" t="s">
        <v>434</v>
      </c>
      <c r="D211" s="95">
        <v>21.57</v>
      </c>
      <c r="E211" s="95">
        <v>92.74</v>
      </c>
      <c r="F211" s="96">
        <v>2000</v>
      </c>
      <c r="G211" s="97" t="s">
        <v>435</v>
      </c>
      <c r="H211" s="114">
        <f t="shared" si="3"/>
        <v>46113</v>
      </c>
      <c r="I211" s="17"/>
      <c r="J211" s="17"/>
      <c r="K211" s="17"/>
    </row>
    <row r="212" spans="1:11" x14ac:dyDescent="0.2">
      <c r="A212" s="115">
        <v>46124</v>
      </c>
      <c r="B212" s="93" t="s">
        <v>371</v>
      </c>
      <c r="C212" s="94" t="s">
        <v>45</v>
      </c>
      <c r="D212" s="95">
        <v>46</v>
      </c>
      <c r="E212" s="95">
        <v>92.74</v>
      </c>
      <c r="F212" s="96">
        <v>4266.04</v>
      </c>
      <c r="G212" s="97" t="s">
        <v>56</v>
      </c>
      <c r="H212" s="114">
        <f t="shared" si="3"/>
        <v>46113</v>
      </c>
      <c r="I212" s="17"/>
      <c r="J212" s="17"/>
      <c r="K212" s="17"/>
    </row>
    <row r="213" spans="1:11" x14ac:dyDescent="0.2">
      <c r="A213" s="115">
        <v>46124</v>
      </c>
      <c r="B213" s="93" t="s">
        <v>372</v>
      </c>
      <c r="C213" s="94" t="s">
        <v>13</v>
      </c>
      <c r="D213" s="95">
        <v>522</v>
      </c>
      <c r="E213" s="95">
        <v>92.74</v>
      </c>
      <c r="F213" s="96">
        <v>48410.28</v>
      </c>
      <c r="G213" s="97" t="s">
        <v>57</v>
      </c>
      <c r="H213" s="114">
        <f t="shared" si="3"/>
        <v>46113</v>
      </c>
      <c r="I213" s="17"/>
      <c r="J213" s="17"/>
      <c r="K213" s="17"/>
    </row>
    <row r="214" spans="1:11" x14ac:dyDescent="0.2">
      <c r="A214" s="115">
        <v>46124</v>
      </c>
      <c r="B214" s="93" t="s">
        <v>373</v>
      </c>
      <c r="C214" s="94" t="s">
        <v>13</v>
      </c>
      <c r="D214" s="95">
        <v>411.14</v>
      </c>
      <c r="E214" s="95">
        <v>92.74</v>
      </c>
      <c r="F214" s="96">
        <v>38128.800000000003</v>
      </c>
      <c r="G214" s="97" t="s">
        <v>15</v>
      </c>
      <c r="H214" s="114">
        <f t="shared" si="3"/>
        <v>46113</v>
      </c>
      <c r="I214" s="17"/>
      <c r="J214" s="17"/>
      <c r="K214" s="17"/>
    </row>
    <row r="215" spans="1:11" x14ac:dyDescent="0.2">
      <c r="A215" s="115">
        <v>46124</v>
      </c>
      <c r="B215" s="93" t="s">
        <v>374</v>
      </c>
      <c r="C215" s="94" t="s">
        <v>13</v>
      </c>
      <c r="D215" s="95">
        <v>328.88</v>
      </c>
      <c r="E215" s="95">
        <v>92.74</v>
      </c>
      <c r="F215" s="96">
        <v>30500</v>
      </c>
      <c r="G215" s="97" t="s">
        <v>152</v>
      </c>
      <c r="H215" s="114">
        <f t="shared" si="3"/>
        <v>46113</v>
      </c>
      <c r="I215" s="17"/>
      <c r="J215" s="17"/>
      <c r="K215" s="17"/>
    </row>
    <row r="216" spans="1:11" x14ac:dyDescent="0.2">
      <c r="A216" s="115">
        <v>46124</v>
      </c>
      <c r="B216" s="93" t="s">
        <v>375</v>
      </c>
      <c r="C216" s="94" t="s">
        <v>13</v>
      </c>
      <c r="D216" s="95">
        <v>4868.45</v>
      </c>
      <c r="E216" s="95">
        <v>92.74</v>
      </c>
      <c r="F216" s="96">
        <v>451500</v>
      </c>
      <c r="G216" s="97" t="s">
        <v>58</v>
      </c>
      <c r="H216" s="114">
        <f t="shared" si="3"/>
        <v>46113</v>
      </c>
      <c r="I216" s="17"/>
      <c r="J216" s="17"/>
      <c r="K216" s="17"/>
    </row>
    <row r="217" spans="1:11" x14ac:dyDescent="0.2">
      <c r="A217" s="99">
        <v>46125</v>
      </c>
      <c r="B217" s="93" t="s">
        <v>439</v>
      </c>
      <c r="C217" s="94" t="s">
        <v>44</v>
      </c>
      <c r="D217" s="95">
        <v>20</v>
      </c>
      <c r="E217" s="95">
        <v>92.74</v>
      </c>
      <c r="F217" s="96">
        <v>1854.8</v>
      </c>
      <c r="G217" s="97" t="s">
        <v>56</v>
      </c>
      <c r="H217" s="114">
        <f t="shared" si="3"/>
        <v>46113</v>
      </c>
      <c r="I217" s="17"/>
      <c r="J217" s="17"/>
      <c r="K217" s="17"/>
    </row>
    <row r="218" spans="1:11" x14ac:dyDescent="0.2">
      <c r="A218" s="115">
        <v>46125</v>
      </c>
      <c r="B218" s="93" t="s">
        <v>440</v>
      </c>
      <c r="C218" s="94" t="s">
        <v>445</v>
      </c>
      <c r="D218" s="95">
        <v>50</v>
      </c>
      <c r="E218" s="95">
        <v>92.74</v>
      </c>
      <c r="F218" s="96">
        <v>4637</v>
      </c>
      <c r="G218" s="97" t="s">
        <v>54</v>
      </c>
      <c r="H218" s="114">
        <f t="shared" si="3"/>
        <v>46113</v>
      </c>
      <c r="I218" s="17"/>
      <c r="J218" s="17"/>
      <c r="K218" s="17"/>
    </row>
    <row r="219" spans="1:11" x14ac:dyDescent="0.2">
      <c r="A219" s="115">
        <v>46125</v>
      </c>
      <c r="B219" s="93" t="s">
        <v>441</v>
      </c>
      <c r="C219" s="94" t="s">
        <v>444</v>
      </c>
      <c r="D219" s="95">
        <v>45</v>
      </c>
      <c r="E219" s="95">
        <v>92.74</v>
      </c>
      <c r="F219" s="96">
        <v>4173.3</v>
      </c>
      <c r="G219" s="97" t="s">
        <v>202</v>
      </c>
      <c r="H219" s="114">
        <f t="shared" si="3"/>
        <v>46113</v>
      </c>
      <c r="I219" s="17"/>
      <c r="J219" s="17"/>
      <c r="K219" s="17"/>
    </row>
    <row r="220" spans="1:11" x14ac:dyDescent="0.2">
      <c r="A220" s="115">
        <v>46125</v>
      </c>
      <c r="B220" s="93" t="s">
        <v>442</v>
      </c>
      <c r="C220" s="94" t="s">
        <v>13</v>
      </c>
      <c r="D220" s="95">
        <v>2001.29</v>
      </c>
      <c r="E220" s="95">
        <v>92.74</v>
      </c>
      <c r="F220" s="96">
        <v>185600</v>
      </c>
      <c r="G220" s="97" t="s">
        <v>58</v>
      </c>
      <c r="H220" s="114">
        <f t="shared" si="3"/>
        <v>46113</v>
      </c>
      <c r="I220" s="17"/>
      <c r="J220" s="17"/>
      <c r="K220" s="17"/>
    </row>
    <row r="221" spans="1:11" x14ac:dyDescent="0.2">
      <c r="A221" s="115">
        <v>46125</v>
      </c>
      <c r="B221" s="93" t="s">
        <v>443</v>
      </c>
      <c r="C221" s="94"/>
      <c r="D221" s="95">
        <v>300</v>
      </c>
      <c r="E221" s="95">
        <v>92.74</v>
      </c>
      <c r="F221" s="96">
        <v>27822</v>
      </c>
      <c r="G221" s="97" t="s">
        <v>57</v>
      </c>
      <c r="H221" s="114">
        <f t="shared" si="3"/>
        <v>46113</v>
      </c>
      <c r="I221" s="17"/>
      <c r="J221" s="17"/>
      <c r="K221" s="17"/>
    </row>
    <row r="222" spans="1:11" x14ac:dyDescent="0.2">
      <c r="A222" s="99">
        <v>46128</v>
      </c>
      <c r="B222" s="93" t="s">
        <v>457</v>
      </c>
      <c r="C222" s="94" t="s">
        <v>248</v>
      </c>
      <c r="D222" s="95">
        <v>600</v>
      </c>
      <c r="E222" s="95">
        <v>92.74</v>
      </c>
      <c r="F222" s="96">
        <v>55644</v>
      </c>
      <c r="G222" s="97" t="s">
        <v>256</v>
      </c>
      <c r="H222" s="114">
        <f t="shared" si="3"/>
        <v>46113</v>
      </c>
      <c r="I222" s="17"/>
      <c r="J222" s="17"/>
      <c r="K222" s="17"/>
    </row>
    <row r="223" spans="1:11" x14ac:dyDescent="0.2">
      <c r="A223" s="115">
        <v>46128</v>
      </c>
      <c r="B223" s="93" t="s">
        <v>458</v>
      </c>
      <c r="C223" s="94" t="s">
        <v>130</v>
      </c>
      <c r="D223" s="95">
        <v>54</v>
      </c>
      <c r="E223" s="95">
        <v>92.74</v>
      </c>
      <c r="F223" s="96">
        <v>5007.96</v>
      </c>
      <c r="G223" s="97" t="s">
        <v>137</v>
      </c>
      <c r="H223" s="114">
        <f t="shared" si="3"/>
        <v>46113</v>
      </c>
      <c r="I223" s="17"/>
      <c r="J223" s="17"/>
      <c r="K223" s="17"/>
    </row>
    <row r="224" spans="1:11" x14ac:dyDescent="0.2">
      <c r="A224" s="115">
        <v>46128</v>
      </c>
      <c r="B224" s="93" t="s">
        <v>459</v>
      </c>
      <c r="C224" s="94" t="s">
        <v>44</v>
      </c>
      <c r="D224" s="95">
        <v>47</v>
      </c>
      <c r="E224" s="95">
        <v>92.74</v>
      </c>
      <c r="F224" s="96">
        <v>4358.78</v>
      </c>
      <c r="G224" s="97" t="s">
        <v>56</v>
      </c>
      <c r="H224" s="114">
        <f t="shared" si="3"/>
        <v>46113</v>
      </c>
      <c r="I224" s="17"/>
      <c r="J224" s="17"/>
      <c r="K224" s="17"/>
    </row>
    <row r="225" spans="1:11" x14ac:dyDescent="0.2">
      <c r="A225" s="115">
        <v>46128</v>
      </c>
      <c r="B225" s="93" t="s">
        <v>460</v>
      </c>
      <c r="C225" s="94" t="s">
        <v>44</v>
      </c>
      <c r="D225" s="95">
        <v>50</v>
      </c>
      <c r="E225" s="95">
        <v>92.74</v>
      </c>
      <c r="F225" s="96">
        <v>4637</v>
      </c>
      <c r="G225" s="97" t="s">
        <v>56</v>
      </c>
      <c r="H225" s="114">
        <f t="shared" si="3"/>
        <v>46113</v>
      </c>
      <c r="I225" s="17"/>
      <c r="J225" s="17"/>
      <c r="K225" s="17"/>
    </row>
    <row r="226" spans="1:11" x14ac:dyDescent="0.2">
      <c r="A226" s="115">
        <v>46128</v>
      </c>
      <c r="B226" s="93" t="s">
        <v>461</v>
      </c>
      <c r="C226" s="94" t="s">
        <v>45</v>
      </c>
      <c r="D226" s="95">
        <v>48.66</v>
      </c>
      <c r="E226" s="95">
        <v>92.74</v>
      </c>
      <c r="F226" s="96">
        <v>4512.72</v>
      </c>
      <c r="G226" s="97" t="s">
        <v>56</v>
      </c>
      <c r="H226" s="114">
        <f t="shared" si="3"/>
        <v>46113</v>
      </c>
      <c r="I226" s="17"/>
      <c r="J226" s="17"/>
      <c r="K226" s="17"/>
    </row>
    <row r="227" spans="1:11" x14ac:dyDescent="0.2">
      <c r="A227" s="115">
        <v>46128</v>
      </c>
      <c r="B227" s="93" t="s">
        <v>462</v>
      </c>
      <c r="C227" s="94"/>
      <c r="D227" s="95">
        <v>267.41000000000003</v>
      </c>
      <c r="E227" s="95">
        <v>92.74</v>
      </c>
      <c r="F227" s="96">
        <v>24800</v>
      </c>
      <c r="G227" s="97" t="s">
        <v>58</v>
      </c>
      <c r="H227" s="114">
        <f t="shared" si="3"/>
        <v>46113</v>
      </c>
      <c r="I227" s="17"/>
      <c r="J227" s="17"/>
      <c r="K227" s="17"/>
    </row>
    <row r="228" spans="1:11" x14ac:dyDescent="0.2">
      <c r="A228" s="115">
        <v>46128</v>
      </c>
      <c r="B228" s="93" t="s">
        <v>463</v>
      </c>
      <c r="C228" s="94"/>
      <c r="D228" s="95">
        <v>184.39</v>
      </c>
      <c r="E228" s="95">
        <v>92.74</v>
      </c>
      <c r="F228" s="96">
        <v>17100</v>
      </c>
      <c r="G228" s="97" t="s">
        <v>152</v>
      </c>
      <c r="H228" s="114">
        <f t="shared" si="3"/>
        <v>46113</v>
      </c>
      <c r="I228" s="17"/>
      <c r="J228" s="17"/>
      <c r="K228" s="17"/>
    </row>
    <row r="229" spans="1:11" x14ac:dyDescent="0.2">
      <c r="A229" s="99">
        <v>46129</v>
      </c>
      <c r="B229" s="93" t="s">
        <v>468</v>
      </c>
      <c r="C229" s="94" t="s">
        <v>247</v>
      </c>
      <c r="D229" s="95">
        <v>4000</v>
      </c>
      <c r="E229" s="95">
        <v>91.2</v>
      </c>
      <c r="F229" s="96">
        <v>364800</v>
      </c>
      <c r="G229" s="97" t="s">
        <v>51</v>
      </c>
      <c r="H229" s="114">
        <f t="shared" si="3"/>
        <v>46113</v>
      </c>
      <c r="I229" s="17"/>
      <c r="J229" s="17"/>
      <c r="K229" s="17"/>
    </row>
    <row r="230" spans="1:11" x14ac:dyDescent="0.2">
      <c r="A230" s="115">
        <v>46129</v>
      </c>
      <c r="B230" s="93" t="s">
        <v>469</v>
      </c>
      <c r="C230" s="94" t="s">
        <v>50</v>
      </c>
      <c r="D230" s="95">
        <v>3000</v>
      </c>
      <c r="E230" s="95">
        <v>91.36</v>
      </c>
      <c r="F230" s="96">
        <v>274080</v>
      </c>
      <c r="G230" s="97" t="s">
        <v>143</v>
      </c>
      <c r="H230" s="114">
        <f t="shared" si="3"/>
        <v>46113</v>
      </c>
      <c r="I230" s="17"/>
      <c r="J230" s="17"/>
      <c r="K230" s="17"/>
    </row>
    <row r="231" spans="1:11" x14ac:dyDescent="0.2">
      <c r="A231" s="115">
        <v>46129</v>
      </c>
      <c r="B231" s="93" t="s">
        <v>470</v>
      </c>
      <c r="C231" s="94" t="s">
        <v>128</v>
      </c>
      <c r="D231" s="95">
        <v>42.07</v>
      </c>
      <c r="E231" s="95">
        <v>92.74</v>
      </c>
      <c r="F231" s="96">
        <v>3901.57</v>
      </c>
      <c r="G231" s="97" t="s">
        <v>56</v>
      </c>
      <c r="H231" s="114">
        <f t="shared" si="3"/>
        <v>46113</v>
      </c>
      <c r="I231" s="17"/>
      <c r="J231" s="17"/>
      <c r="K231" s="17"/>
    </row>
    <row r="232" spans="1:11" x14ac:dyDescent="0.2">
      <c r="A232" s="115">
        <v>46129</v>
      </c>
      <c r="B232" s="93" t="s">
        <v>471</v>
      </c>
      <c r="C232" s="94" t="s">
        <v>428</v>
      </c>
      <c r="D232" s="95">
        <v>46.12</v>
      </c>
      <c r="E232" s="95">
        <v>92.74</v>
      </c>
      <c r="F232" s="96">
        <v>4277.16</v>
      </c>
      <c r="G232" s="97" t="s">
        <v>257</v>
      </c>
      <c r="H232" s="114">
        <f t="shared" si="3"/>
        <v>46113</v>
      </c>
      <c r="I232" s="17"/>
      <c r="J232" s="17"/>
      <c r="K232" s="17"/>
    </row>
    <row r="233" spans="1:11" x14ac:dyDescent="0.2">
      <c r="A233" s="115">
        <v>46129</v>
      </c>
      <c r="B233" s="93" t="s">
        <v>472</v>
      </c>
      <c r="C233" s="94" t="s">
        <v>484</v>
      </c>
      <c r="D233" s="95">
        <v>207.08</v>
      </c>
      <c r="E233" s="95">
        <v>92.74</v>
      </c>
      <c r="F233" s="96">
        <v>19204.59</v>
      </c>
      <c r="G233" s="97" t="s">
        <v>14</v>
      </c>
      <c r="H233" s="114">
        <f t="shared" si="3"/>
        <v>46113</v>
      </c>
      <c r="I233" s="17"/>
      <c r="J233" s="17"/>
      <c r="K233" s="17"/>
    </row>
    <row r="234" spans="1:11" x14ac:dyDescent="0.2">
      <c r="A234" s="115">
        <v>46129</v>
      </c>
      <c r="B234" s="93" t="s">
        <v>473</v>
      </c>
      <c r="C234" s="94" t="s">
        <v>84</v>
      </c>
      <c r="D234" s="95">
        <v>160</v>
      </c>
      <c r="E234" s="95">
        <v>92.74</v>
      </c>
      <c r="F234" s="96">
        <v>14838.4</v>
      </c>
      <c r="G234" s="97" t="s">
        <v>93</v>
      </c>
      <c r="H234" s="114">
        <f t="shared" si="3"/>
        <v>46113</v>
      </c>
      <c r="I234" s="17"/>
      <c r="J234" s="17"/>
      <c r="K234" s="17"/>
    </row>
    <row r="235" spans="1:11" x14ac:dyDescent="0.2">
      <c r="A235" s="115">
        <v>46129</v>
      </c>
      <c r="B235" s="93" t="s">
        <v>474</v>
      </c>
      <c r="C235" s="94" t="s">
        <v>43</v>
      </c>
      <c r="D235" s="95">
        <v>10</v>
      </c>
      <c r="E235" s="95">
        <v>92.74</v>
      </c>
      <c r="F235" s="96">
        <v>927.4</v>
      </c>
      <c r="G235" s="97" t="s">
        <v>55</v>
      </c>
      <c r="H235" s="114">
        <f t="shared" si="3"/>
        <v>46113</v>
      </c>
      <c r="I235" s="17"/>
      <c r="J235" s="17"/>
      <c r="K235" s="17"/>
    </row>
    <row r="236" spans="1:11" x14ac:dyDescent="0.2">
      <c r="A236" s="115">
        <v>46129</v>
      </c>
      <c r="B236" s="93" t="s">
        <v>475</v>
      </c>
      <c r="C236" s="94" t="s">
        <v>142</v>
      </c>
      <c r="D236" s="95">
        <v>50</v>
      </c>
      <c r="E236" s="95">
        <v>92.74</v>
      </c>
      <c r="F236" s="96">
        <v>4637</v>
      </c>
      <c r="G236" s="97" t="s">
        <v>55</v>
      </c>
      <c r="H236" s="114">
        <f t="shared" si="3"/>
        <v>46113</v>
      </c>
      <c r="I236" s="17"/>
      <c r="J236" s="17"/>
      <c r="K236" s="17"/>
    </row>
    <row r="237" spans="1:11" x14ac:dyDescent="0.2">
      <c r="A237" s="115">
        <v>46129</v>
      </c>
      <c r="B237" s="93" t="s">
        <v>476</v>
      </c>
      <c r="C237" s="94" t="s">
        <v>142</v>
      </c>
      <c r="D237" s="95">
        <v>50</v>
      </c>
      <c r="E237" s="95">
        <v>92.74</v>
      </c>
      <c r="F237" s="96">
        <v>4637</v>
      </c>
      <c r="G237" s="97" t="s">
        <v>55</v>
      </c>
      <c r="H237" s="114">
        <f t="shared" si="3"/>
        <v>46113</v>
      </c>
      <c r="I237" s="17"/>
      <c r="J237" s="17"/>
      <c r="K237" s="17"/>
    </row>
    <row r="238" spans="1:11" x14ac:dyDescent="0.2">
      <c r="A238" s="115">
        <v>46129</v>
      </c>
      <c r="B238" s="93" t="s">
        <v>477</v>
      </c>
      <c r="C238" s="94" t="s">
        <v>129</v>
      </c>
      <c r="D238" s="95">
        <v>103.78</v>
      </c>
      <c r="E238" s="95">
        <v>92.74</v>
      </c>
      <c r="F238" s="96">
        <v>9624.5499999999993</v>
      </c>
      <c r="G238" s="97" t="s">
        <v>56</v>
      </c>
      <c r="H238" s="114">
        <f t="shared" si="3"/>
        <v>46113</v>
      </c>
      <c r="I238" s="17"/>
      <c r="J238" s="17"/>
      <c r="K238" s="17"/>
    </row>
    <row r="239" spans="1:11" x14ac:dyDescent="0.2">
      <c r="A239" s="115">
        <v>46129</v>
      </c>
      <c r="B239" s="93" t="s">
        <v>478</v>
      </c>
      <c r="C239" s="94"/>
      <c r="D239" s="95">
        <v>53.91</v>
      </c>
      <c r="E239" s="95">
        <v>92.74</v>
      </c>
      <c r="F239" s="96">
        <v>5000</v>
      </c>
      <c r="G239" s="97" t="s">
        <v>57</v>
      </c>
      <c r="H239" s="114">
        <f t="shared" si="3"/>
        <v>46113</v>
      </c>
      <c r="I239" s="17"/>
      <c r="J239" s="17"/>
      <c r="K239" s="17"/>
    </row>
    <row r="240" spans="1:11" x14ac:dyDescent="0.2">
      <c r="A240" s="115">
        <v>46129</v>
      </c>
      <c r="B240" s="93" t="s">
        <v>479</v>
      </c>
      <c r="C240" s="94"/>
      <c r="D240" s="95">
        <v>368.77</v>
      </c>
      <c r="E240" s="95">
        <v>92.74</v>
      </c>
      <c r="F240" s="96">
        <v>34200</v>
      </c>
      <c r="G240" s="97" t="s">
        <v>152</v>
      </c>
      <c r="H240" s="114">
        <f t="shared" si="3"/>
        <v>46113</v>
      </c>
      <c r="I240" s="17"/>
      <c r="J240" s="17"/>
      <c r="K240" s="17"/>
    </row>
    <row r="241" spans="1:11" x14ac:dyDescent="0.2">
      <c r="A241" s="115">
        <v>46129</v>
      </c>
      <c r="B241" s="93" t="s">
        <v>480</v>
      </c>
      <c r="C241" s="94"/>
      <c r="D241" s="95">
        <v>355.83</v>
      </c>
      <c r="E241" s="95">
        <v>92.74</v>
      </c>
      <c r="F241" s="96">
        <v>33000</v>
      </c>
      <c r="G241" s="97" t="s">
        <v>15</v>
      </c>
      <c r="H241" s="114">
        <f t="shared" si="3"/>
        <v>46113</v>
      </c>
      <c r="I241" s="17"/>
      <c r="J241" s="17"/>
      <c r="K241" s="17"/>
    </row>
    <row r="242" spans="1:11" x14ac:dyDescent="0.2">
      <c r="A242" s="115">
        <v>46129</v>
      </c>
      <c r="B242" s="93" t="s">
        <v>481</v>
      </c>
      <c r="C242" s="94"/>
      <c r="D242" s="95">
        <v>2414.2800000000002</v>
      </c>
      <c r="E242" s="95">
        <v>92.74</v>
      </c>
      <c r="F242" s="96">
        <v>223900</v>
      </c>
      <c r="G242" s="97" t="s">
        <v>58</v>
      </c>
      <c r="H242" s="114">
        <f t="shared" si="3"/>
        <v>46113</v>
      </c>
      <c r="I242" s="17"/>
      <c r="J242" s="17"/>
      <c r="K242" s="17"/>
    </row>
    <row r="243" spans="1:11" x14ac:dyDescent="0.2">
      <c r="A243" s="115">
        <v>46129</v>
      </c>
      <c r="B243" s="93" t="s">
        <v>482</v>
      </c>
      <c r="C243" s="94"/>
      <c r="D243" s="95">
        <v>1999.89</v>
      </c>
      <c r="E243" s="95">
        <v>92.74</v>
      </c>
      <c r="F243" s="96">
        <v>185469.8</v>
      </c>
      <c r="G243" s="97" t="s">
        <v>96</v>
      </c>
      <c r="H243" s="114">
        <f t="shared" si="3"/>
        <v>46113</v>
      </c>
      <c r="I243" s="17"/>
      <c r="J243" s="17"/>
      <c r="K243" s="17"/>
    </row>
    <row r="244" spans="1:11" x14ac:dyDescent="0.2">
      <c r="A244" s="115">
        <v>46129</v>
      </c>
      <c r="B244" s="93" t="s">
        <v>483</v>
      </c>
      <c r="C244" s="94"/>
      <c r="D244" s="95">
        <v>3000.08</v>
      </c>
      <c r="E244" s="95">
        <v>92.74</v>
      </c>
      <c r="F244" s="96">
        <v>278227.42</v>
      </c>
      <c r="G244" s="97" t="s">
        <v>59</v>
      </c>
      <c r="H244" s="114">
        <f t="shared" si="3"/>
        <v>46113</v>
      </c>
      <c r="I244" s="17"/>
      <c r="J244" s="17"/>
      <c r="K244" s="17"/>
    </row>
    <row r="245" spans="1:11" x14ac:dyDescent="0.2">
      <c r="A245" s="99">
        <v>46130</v>
      </c>
      <c r="B245" s="93" t="s">
        <v>486</v>
      </c>
      <c r="C245" s="94" t="s">
        <v>247</v>
      </c>
      <c r="D245" s="95">
        <v>4000</v>
      </c>
      <c r="E245" s="95">
        <v>91.2</v>
      </c>
      <c r="F245" s="96">
        <v>364800</v>
      </c>
      <c r="G245" s="97" t="s">
        <v>51</v>
      </c>
      <c r="H245" s="114">
        <f t="shared" si="3"/>
        <v>46113</v>
      </c>
      <c r="I245" s="17"/>
      <c r="J245" s="17"/>
      <c r="K245" s="17"/>
    </row>
    <row r="246" spans="1:11" x14ac:dyDescent="0.2">
      <c r="A246" s="115">
        <v>46130</v>
      </c>
      <c r="B246" s="93" t="s">
        <v>487</v>
      </c>
      <c r="C246" s="94" t="s">
        <v>50</v>
      </c>
      <c r="D246" s="95">
        <v>3000</v>
      </c>
      <c r="E246" s="95">
        <v>92.74</v>
      </c>
      <c r="F246" s="96">
        <v>278220</v>
      </c>
      <c r="G246" s="97" t="s">
        <v>143</v>
      </c>
      <c r="H246" s="114">
        <f t="shared" si="3"/>
        <v>46113</v>
      </c>
      <c r="I246" s="17"/>
      <c r="J246" s="17"/>
      <c r="K246" s="17"/>
    </row>
    <row r="247" spans="1:11" x14ac:dyDescent="0.2">
      <c r="A247" s="115">
        <v>46130</v>
      </c>
      <c r="B247" s="93" t="s">
        <v>488</v>
      </c>
      <c r="C247" s="94" t="s">
        <v>499</v>
      </c>
      <c r="D247" s="95">
        <v>1200</v>
      </c>
      <c r="E247" s="95">
        <v>92.74</v>
      </c>
      <c r="F247" s="96">
        <v>111288</v>
      </c>
      <c r="G247" s="97" t="s">
        <v>501</v>
      </c>
      <c r="H247" s="114">
        <f t="shared" si="3"/>
        <v>46113</v>
      </c>
      <c r="I247" s="17"/>
      <c r="J247" s="17"/>
      <c r="K247" s="17"/>
    </row>
    <row r="248" spans="1:11" x14ac:dyDescent="0.2">
      <c r="A248" s="115">
        <v>46130</v>
      </c>
      <c r="B248" s="93" t="s">
        <v>489</v>
      </c>
      <c r="C248" s="94" t="s">
        <v>50</v>
      </c>
      <c r="D248" s="95">
        <v>3000</v>
      </c>
      <c r="E248" s="95">
        <v>91.5</v>
      </c>
      <c r="F248" s="96">
        <v>274500</v>
      </c>
      <c r="G248" s="97" t="s">
        <v>51</v>
      </c>
      <c r="H248" s="114">
        <f t="shared" si="3"/>
        <v>46113</v>
      </c>
      <c r="I248" s="17"/>
      <c r="J248" s="17"/>
      <c r="K248" s="17"/>
    </row>
    <row r="249" spans="1:11" x14ac:dyDescent="0.2">
      <c r="A249" s="115">
        <v>46130</v>
      </c>
      <c r="B249" s="93" t="s">
        <v>490</v>
      </c>
      <c r="C249" s="94" t="s">
        <v>248</v>
      </c>
      <c r="D249" s="95">
        <v>1000</v>
      </c>
      <c r="E249" s="95">
        <v>92.74</v>
      </c>
      <c r="F249" s="96">
        <v>92740</v>
      </c>
      <c r="G249" s="97" t="s">
        <v>256</v>
      </c>
      <c r="H249" s="114">
        <f t="shared" si="3"/>
        <v>46113</v>
      </c>
      <c r="I249" s="17"/>
      <c r="J249" s="17"/>
      <c r="K249" s="17"/>
    </row>
    <row r="250" spans="1:11" x14ac:dyDescent="0.2">
      <c r="A250" s="115">
        <v>46130</v>
      </c>
      <c r="B250" s="93" t="s">
        <v>491</v>
      </c>
      <c r="C250" s="94" t="s">
        <v>247</v>
      </c>
      <c r="D250" s="95">
        <v>4000</v>
      </c>
      <c r="E250" s="95">
        <v>91.5</v>
      </c>
      <c r="F250" s="96">
        <v>366000</v>
      </c>
      <c r="G250" s="97" t="s">
        <v>51</v>
      </c>
      <c r="H250" s="114">
        <f t="shared" si="3"/>
        <v>46113</v>
      </c>
      <c r="I250" s="17"/>
      <c r="J250" s="17"/>
      <c r="K250" s="17"/>
    </row>
    <row r="251" spans="1:11" x14ac:dyDescent="0.2">
      <c r="A251" s="115">
        <v>46130</v>
      </c>
      <c r="B251" s="93" t="s">
        <v>492</v>
      </c>
      <c r="C251" s="94" t="s">
        <v>50</v>
      </c>
      <c r="D251" s="95">
        <v>3000.27</v>
      </c>
      <c r="E251" s="95">
        <v>92.74</v>
      </c>
      <c r="F251" s="96">
        <v>278245.03999999998</v>
      </c>
      <c r="G251" s="97" t="s">
        <v>59</v>
      </c>
      <c r="H251" s="114">
        <f t="shared" si="3"/>
        <v>46113</v>
      </c>
      <c r="I251" s="17"/>
      <c r="J251" s="17"/>
      <c r="K251" s="17"/>
    </row>
    <row r="252" spans="1:11" x14ac:dyDescent="0.2">
      <c r="A252" s="115">
        <v>46130</v>
      </c>
      <c r="B252" s="93" t="s">
        <v>493</v>
      </c>
      <c r="C252" s="94" t="s">
        <v>500</v>
      </c>
      <c r="D252" s="95">
        <v>355.84</v>
      </c>
      <c r="E252" s="95">
        <v>92.74</v>
      </c>
      <c r="F252" s="96">
        <v>33000.839999999997</v>
      </c>
      <c r="G252" s="97" t="s">
        <v>14</v>
      </c>
      <c r="H252" s="114">
        <f t="shared" si="3"/>
        <v>46113</v>
      </c>
      <c r="I252" s="17"/>
      <c r="J252" s="17"/>
      <c r="K252" s="17"/>
    </row>
    <row r="253" spans="1:11" x14ac:dyDescent="0.2">
      <c r="A253" s="115">
        <v>46130</v>
      </c>
      <c r="B253" s="93" t="s">
        <v>494</v>
      </c>
      <c r="C253" s="94"/>
      <c r="D253" s="95">
        <v>388.18</v>
      </c>
      <c r="E253" s="95">
        <v>92.74</v>
      </c>
      <c r="F253" s="96">
        <v>36000</v>
      </c>
      <c r="G253" s="97" t="s">
        <v>15</v>
      </c>
      <c r="H253" s="114">
        <f t="shared" si="3"/>
        <v>46113</v>
      </c>
      <c r="I253" s="17"/>
      <c r="J253" s="17"/>
      <c r="K253" s="17"/>
    </row>
    <row r="254" spans="1:11" x14ac:dyDescent="0.2">
      <c r="A254" s="115">
        <v>46130</v>
      </c>
      <c r="B254" s="93" t="s">
        <v>495</v>
      </c>
      <c r="C254" s="94"/>
      <c r="D254" s="95">
        <v>1917.19</v>
      </c>
      <c r="E254" s="95">
        <v>92.74</v>
      </c>
      <c r="F254" s="96">
        <v>177800</v>
      </c>
      <c r="G254" s="97" t="s">
        <v>58</v>
      </c>
      <c r="H254" s="114">
        <f t="shared" si="3"/>
        <v>46113</v>
      </c>
      <c r="I254" s="17"/>
      <c r="J254" s="17"/>
      <c r="K254" s="17"/>
    </row>
    <row r="255" spans="1:11" x14ac:dyDescent="0.2">
      <c r="A255" s="115">
        <v>46130</v>
      </c>
      <c r="B255" s="93" t="s">
        <v>496</v>
      </c>
      <c r="C255" s="94"/>
      <c r="D255" s="95">
        <v>560</v>
      </c>
      <c r="E255" s="95">
        <v>92.74</v>
      </c>
      <c r="F255" s="96">
        <v>51935.32</v>
      </c>
      <c r="G255" s="97" t="s">
        <v>153</v>
      </c>
      <c r="H255" s="114">
        <f t="shared" si="3"/>
        <v>46113</v>
      </c>
      <c r="I255" s="17"/>
      <c r="J255" s="17"/>
      <c r="K255" s="17"/>
    </row>
    <row r="256" spans="1:11" x14ac:dyDescent="0.2">
      <c r="A256" s="115">
        <v>46130</v>
      </c>
      <c r="B256" s="93" t="s">
        <v>497</v>
      </c>
      <c r="C256" s="94"/>
      <c r="D256" s="95">
        <v>199.48</v>
      </c>
      <c r="E256" s="95">
        <v>92.74</v>
      </c>
      <c r="F256" s="96">
        <v>18500</v>
      </c>
      <c r="G256" s="97" t="s">
        <v>57</v>
      </c>
      <c r="H256" s="114">
        <f t="shared" si="3"/>
        <v>46113</v>
      </c>
      <c r="I256" s="17"/>
      <c r="J256" s="17"/>
      <c r="K256" s="17"/>
    </row>
    <row r="257" spans="1:11" x14ac:dyDescent="0.2">
      <c r="A257" s="115">
        <v>46130</v>
      </c>
      <c r="B257" s="93" t="s">
        <v>498</v>
      </c>
      <c r="C257" s="94"/>
      <c r="D257" s="95">
        <v>3000</v>
      </c>
      <c r="E257" s="95">
        <v>92.74</v>
      </c>
      <c r="F257" s="96">
        <v>278220</v>
      </c>
      <c r="G257" s="97" t="s">
        <v>922</v>
      </c>
      <c r="H257" s="114">
        <f t="shared" si="3"/>
        <v>46113</v>
      </c>
      <c r="I257" s="17"/>
      <c r="J257" s="17"/>
      <c r="K257" s="17"/>
    </row>
    <row r="258" spans="1:11" x14ac:dyDescent="0.2">
      <c r="A258" s="99">
        <v>46131</v>
      </c>
      <c r="B258" s="93" t="s">
        <v>503</v>
      </c>
      <c r="C258" s="94" t="s">
        <v>40</v>
      </c>
      <c r="D258" s="95">
        <v>8000</v>
      </c>
      <c r="E258" s="95">
        <v>92.74</v>
      </c>
      <c r="F258" s="96">
        <v>741920</v>
      </c>
      <c r="G258" s="97" t="s">
        <v>143</v>
      </c>
      <c r="H258" s="114">
        <f t="shared" si="3"/>
        <v>46113</v>
      </c>
      <c r="I258" s="17"/>
      <c r="J258" s="17"/>
      <c r="K258" s="17"/>
    </row>
    <row r="259" spans="1:11" x14ac:dyDescent="0.2">
      <c r="A259" s="115">
        <v>46131</v>
      </c>
      <c r="B259" s="93" t="s">
        <v>504</v>
      </c>
      <c r="C259" s="94" t="s">
        <v>181</v>
      </c>
      <c r="D259" s="95">
        <v>300</v>
      </c>
      <c r="E259" s="95">
        <v>92.74</v>
      </c>
      <c r="F259" s="96">
        <v>27822</v>
      </c>
      <c r="G259" s="97" t="s">
        <v>184</v>
      </c>
      <c r="H259" s="114">
        <f t="shared" si="3"/>
        <v>46113</v>
      </c>
      <c r="I259" s="17"/>
      <c r="J259" s="17"/>
      <c r="K259" s="17"/>
    </row>
    <row r="260" spans="1:11" x14ac:dyDescent="0.2">
      <c r="A260" s="115">
        <v>46131</v>
      </c>
      <c r="B260" s="93" t="s">
        <v>505</v>
      </c>
      <c r="C260" s="94" t="s">
        <v>520</v>
      </c>
      <c r="D260" s="95">
        <v>1000</v>
      </c>
      <c r="E260" s="95">
        <v>92.74</v>
      </c>
      <c r="F260" s="96">
        <v>92740</v>
      </c>
      <c r="G260" s="97" t="s">
        <v>527</v>
      </c>
      <c r="H260" s="114">
        <f t="shared" ref="H260:H323" si="4">IF(A260&lt;&gt;"", EOMONTH(A260, -1) + 1, "")</f>
        <v>46113</v>
      </c>
      <c r="I260" s="17"/>
      <c r="J260" s="17"/>
      <c r="K260" s="17"/>
    </row>
    <row r="261" spans="1:11" x14ac:dyDescent="0.2">
      <c r="A261" s="115">
        <v>46131</v>
      </c>
      <c r="B261" s="93" t="s">
        <v>506</v>
      </c>
      <c r="C261" s="94" t="s">
        <v>248</v>
      </c>
      <c r="D261" s="95">
        <v>500</v>
      </c>
      <c r="E261" s="95">
        <v>92.74</v>
      </c>
      <c r="F261" s="96">
        <v>46370</v>
      </c>
      <c r="G261" s="97" t="s">
        <v>256</v>
      </c>
      <c r="H261" s="114">
        <f t="shared" si="4"/>
        <v>46113</v>
      </c>
      <c r="I261" s="17"/>
      <c r="J261" s="17"/>
      <c r="K261" s="17"/>
    </row>
    <row r="262" spans="1:11" x14ac:dyDescent="0.2">
      <c r="A262" s="115">
        <v>46131</v>
      </c>
      <c r="B262" s="93" t="s">
        <v>507</v>
      </c>
      <c r="C262" s="94" t="s">
        <v>521</v>
      </c>
      <c r="D262" s="95">
        <v>32.35</v>
      </c>
      <c r="E262" s="95">
        <v>92.74</v>
      </c>
      <c r="F262" s="96">
        <v>3000</v>
      </c>
      <c r="G262" s="97" t="s">
        <v>257</v>
      </c>
      <c r="H262" s="114">
        <f t="shared" si="4"/>
        <v>46113</v>
      </c>
      <c r="I262" s="17"/>
      <c r="J262" s="17"/>
      <c r="K262" s="17"/>
    </row>
    <row r="263" spans="1:11" x14ac:dyDescent="0.2">
      <c r="A263" s="115">
        <v>46131</v>
      </c>
      <c r="B263" s="93" t="s">
        <v>508</v>
      </c>
      <c r="C263" s="94" t="s">
        <v>44</v>
      </c>
      <c r="D263" s="95">
        <v>43.99</v>
      </c>
      <c r="E263" s="95">
        <v>92.74</v>
      </c>
      <c r="F263" s="96">
        <v>4079.63</v>
      </c>
      <c r="G263" s="97" t="s">
        <v>56</v>
      </c>
      <c r="H263" s="114">
        <f t="shared" si="4"/>
        <v>46113</v>
      </c>
      <c r="I263" s="17"/>
      <c r="J263" s="17"/>
      <c r="K263" s="17"/>
    </row>
    <row r="264" spans="1:11" x14ac:dyDescent="0.2">
      <c r="A264" s="115">
        <v>46131</v>
      </c>
      <c r="B264" s="93" t="s">
        <v>509</v>
      </c>
      <c r="C264" s="94" t="s">
        <v>40</v>
      </c>
      <c r="D264" s="95">
        <v>20</v>
      </c>
      <c r="E264" s="95">
        <v>92.74</v>
      </c>
      <c r="F264" s="96">
        <v>1854.8</v>
      </c>
      <c r="G264" s="97" t="s">
        <v>54</v>
      </c>
      <c r="H264" s="114">
        <f t="shared" si="4"/>
        <v>46113</v>
      </c>
      <c r="I264" s="17"/>
      <c r="J264" s="17"/>
      <c r="K264" s="17"/>
    </row>
    <row r="265" spans="1:11" x14ac:dyDescent="0.2">
      <c r="A265" s="115">
        <v>46131</v>
      </c>
      <c r="B265" s="93" t="s">
        <v>510</v>
      </c>
      <c r="C265" s="94" t="s">
        <v>41</v>
      </c>
      <c r="D265" s="95">
        <v>43</v>
      </c>
      <c r="E265" s="95">
        <v>92.74</v>
      </c>
      <c r="F265" s="96">
        <v>3987.82</v>
      </c>
      <c r="G265" s="97" t="s">
        <v>53</v>
      </c>
      <c r="H265" s="114">
        <f t="shared" si="4"/>
        <v>46113</v>
      </c>
      <c r="I265" s="17"/>
      <c r="J265" s="17"/>
      <c r="K265" s="17"/>
    </row>
    <row r="266" spans="1:11" x14ac:dyDescent="0.2">
      <c r="A266" s="115">
        <v>46131</v>
      </c>
      <c r="B266" s="93" t="s">
        <v>511</v>
      </c>
      <c r="C266" s="94" t="s">
        <v>84</v>
      </c>
      <c r="D266" s="95">
        <v>160</v>
      </c>
      <c r="E266" s="95">
        <v>92.74</v>
      </c>
      <c r="F266" s="96">
        <v>14838.4</v>
      </c>
      <c r="G266" s="97" t="s">
        <v>93</v>
      </c>
      <c r="H266" s="114">
        <f t="shared" si="4"/>
        <v>46113</v>
      </c>
      <c r="I266" s="17"/>
      <c r="J266" s="17"/>
      <c r="K266" s="17"/>
    </row>
    <row r="267" spans="1:11" x14ac:dyDescent="0.2">
      <c r="A267" s="115">
        <v>46131</v>
      </c>
      <c r="B267" s="93" t="s">
        <v>512</v>
      </c>
      <c r="C267" s="94" t="s">
        <v>522</v>
      </c>
      <c r="D267" s="95">
        <v>357.32</v>
      </c>
      <c r="E267" s="95">
        <v>92.74</v>
      </c>
      <c r="F267" s="96">
        <v>33137.85</v>
      </c>
      <c r="G267" s="97" t="s">
        <v>14</v>
      </c>
      <c r="H267" s="114">
        <f t="shared" si="4"/>
        <v>46113</v>
      </c>
      <c r="I267" s="17"/>
      <c r="J267" s="17"/>
      <c r="K267" s="17"/>
    </row>
    <row r="268" spans="1:11" x14ac:dyDescent="0.2">
      <c r="A268" s="115">
        <v>46131</v>
      </c>
      <c r="B268" s="93" t="s">
        <v>513</v>
      </c>
      <c r="C268" s="94" t="s">
        <v>523</v>
      </c>
      <c r="D268" s="95">
        <v>310.87</v>
      </c>
      <c r="E268" s="95">
        <v>92.74</v>
      </c>
      <c r="F268" s="96">
        <v>28830.080000000002</v>
      </c>
      <c r="G268" s="97" t="s">
        <v>14</v>
      </c>
      <c r="H268" s="114">
        <f t="shared" si="4"/>
        <v>46113</v>
      </c>
      <c r="I268" s="17"/>
      <c r="J268" s="17"/>
      <c r="K268" s="17"/>
    </row>
    <row r="269" spans="1:11" x14ac:dyDescent="0.2">
      <c r="A269" s="115">
        <v>46131</v>
      </c>
      <c r="B269" s="93" t="s">
        <v>514</v>
      </c>
      <c r="C269" s="94" t="s">
        <v>524</v>
      </c>
      <c r="D269" s="95">
        <v>328.89</v>
      </c>
      <c r="E269" s="95">
        <v>92.74</v>
      </c>
      <c r="F269" s="96">
        <v>30501.25</v>
      </c>
      <c r="G269" s="97" t="s">
        <v>14</v>
      </c>
      <c r="H269" s="114">
        <f t="shared" si="4"/>
        <v>46113</v>
      </c>
      <c r="I269" s="17"/>
      <c r="J269" s="17"/>
      <c r="K269" s="17"/>
    </row>
    <row r="270" spans="1:11" x14ac:dyDescent="0.2">
      <c r="A270" s="115">
        <v>46131</v>
      </c>
      <c r="B270" s="93" t="s">
        <v>515</v>
      </c>
      <c r="C270" s="94" t="s">
        <v>13</v>
      </c>
      <c r="D270" s="95">
        <v>237.22</v>
      </c>
      <c r="E270" s="95">
        <v>92.74</v>
      </c>
      <c r="F270" s="96">
        <v>22000</v>
      </c>
      <c r="G270" s="97" t="s">
        <v>15</v>
      </c>
      <c r="H270" s="114">
        <f t="shared" si="4"/>
        <v>46113</v>
      </c>
      <c r="I270" s="17"/>
      <c r="J270" s="17"/>
      <c r="K270" s="17"/>
    </row>
    <row r="271" spans="1:11" x14ac:dyDescent="0.2">
      <c r="A271" s="115">
        <v>46131</v>
      </c>
      <c r="B271" s="93" t="s">
        <v>516</v>
      </c>
      <c r="C271" s="94" t="s">
        <v>525</v>
      </c>
      <c r="D271" s="95">
        <v>436.7</v>
      </c>
      <c r="E271" s="95">
        <v>92.74</v>
      </c>
      <c r="F271" s="96">
        <v>40500</v>
      </c>
      <c r="G271" s="97" t="s">
        <v>58</v>
      </c>
      <c r="H271" s="114">
        <f t="shared" si="4"/>
        <v>46113</v>
      </c>
      <c r="I271" s="17"/>
      <c r="J271" s="17"/>
      <c r="K271" s="17"/>
    </row>
    <row r="272" spans="1:11" x14ac:dyDescent="0.2">
      <c r="A272" s="115">
        <v>46131</v>
      </c>
      <c r="B272" s="93" t="s">
        <v>517</v>
      </c>
      <c r="C272" s="94" t="s">
        <v>526</v>
      </c>
      <c r="D272" s="95">
        <v>3225.15</v>
      </c>
      <c r="E272" s="95">
        <v>92.74</v>
      </c>
      <c r="F272" s="96">
        <v>299100</v>
      </c>
      <c r="G272" s="97" t="s">
        <v>58</v>
      </c>
      <c r="H272" s="114">
        <f t="shared" si="4"/>
        <v>46113</v>
      </c>
      <c r="I272" s="17"/>
      <c r="J272" s="17"/>
      <c r="K272" s="17"/>
    </row>
    <row r="273" spans="1:11" x14ac:dyDescent="0.2">
      <c r="A273" s="115">
        <v>46131</v>
      </c>
      <c r="B273" s="93" t="s">
        <v>518</v>
      </c>
      <c r="C273" s="94" t="s">
        <v>13</v>
      </c>
      <c r="D273" s="95">
        <v>297</v>
      </c>
      <c r="E273" s="95">
        <v>92.74</v>
      </c>
      <c r="F273" s="96">
        <v>27543.78</v>
      </c>
      <c r="G273" s="97" t="s">
        <v>57</v>
      </c>
      <c r="H273" s="114">
        <f t="shared" si="4"/>
        <v>46113</v>
      </c>
      <c r="I273" s="17"/>
      <c r="J273" s="17"/>
      <c r="K273" s="17"/>
    </row>
    <row r="274" spans="1:11" x14ac:dyDescent="0.2">
      <c r="A274" s="115">
        <v>46131</v>
      </c>
      <c r="B274" s="93" t="s">
        <v>519</v>
      </c>
      <c r="C274" s="94" t="s">
        <v>50</v>
      </c>
      <c r="D274" s="95">
        <v>1500</v>
      </c>
      <c r="E274" s="95">
        <v>92.74</v>
      </c>
      <c r="F274" s="96">
        <v>139110</v>
      </c>
      <c r="G274" s="97" t="s">
        <v>96</v>
      </c>
      <c r="H274" s="114">
        <f t="shared" si="4"/>
        <v>46113</v>
      </c>
      <c r="I274" s="17"/>
      <c r="J274" s="17"/>
      <c r="K274" s="17"/>
    </row>
    <row r="275" spans="1:11" x14ac:dyDescent="0.2">
      <c r="A275" s="99">
        <v>46132</v>
      </c>
      <c r="B275" s="93" t="s">
        <v>530</v>
      </c>
      <c r="C275" s="94" t="s">
        <v>50</v>
      </c>
      <c r="D275" s="95">
        <v>3029.12</v>
      </c>
      <c r="E275" s="95">
        <v>92.74</v>
      </c>
      <c r="F275" s="96">
        <v>280920.59000000003</v>
      </c>
      <c r="G275" s="97" t="s">
        <v>59</v>
      </c>
      <c r="H275" s="114">
        <f t="shared" si="4"/>
        <v>46113</v>
      </c>
      <c r="I275" s="17"/>
      <c r="J275" s="17"/>
      <c r="K275" s="17"/>
    </row>
    <row r="276" spans="1:11" x14ac:dyDescent="0.2">
      <c r="A276" s="115">
        <v>46132</v>
      </c>
      <c r="B276" s="93" t="s">
        <v>531</v>
      </c>
      <c r="C276" s="94" t="s">
        <v>526</v>
      </c>
      <c r="D276" s="95">
        <v>4359.5</v>
      </c>
      <c r="E276" s="95">
        <v>92.74</v>
      </c>
      <c r="F276" s="96">
        <v>404300</v>
      </c>
      <c r="G276" s="97" t="s">
        <v>58</v>
      </c>
      <c r="H276" s="114">
        <f t="shared" si="4"/>
        <v>46113</v>
      </c>
      <c r="I276" s="17"/>
      <c r="J276" s="17"/>
      <c r="K276" s="17"/>
    </row>
    <row r="277" spans="1:11" x14ac:dyDescent="0.2">
      <c r="A277" s="115">
        <v>46132</v>
      </c>
      <c r="B277" s="93" t="s">
        <v>532</v>
      </c>
      <c r="C277" s="94" t="s">
        <v>525</v>
      </c>
      <c r="D277" s="95">
        <v>150.96</v>
      </c>
      <c r="E277" s="95">
        <v>92.74</v>
      </c>
      <c r="F277" s="96">
        <v>14000</v>
      </c>
      <c r="G277" s="97" t="s">
        <v>58</v>
      </c>
      <c r="H277" s="114">
        <f t="shared" si="4"/>
        <v>46113</v>
      </c>
      <c r="I277" s="17"/>
      <c r="J277" s="17"/>
      <c r="K277" s="17"/>
    </row>
    <row r="278" spans="1:11" x14ac:dyDescent="0.2">
      <c r="A278" s="115">
        <v>46132</v>
      </c>
      <c r="B278" s="93" t="s">
        <v>533</v>
      </c>
      <c r="C278" s="94" t="s">
        <v>13</v>
      </c>
      <c r="D278" s="95">
        <v>355.83</v>
      </c>
      <c r="E278" s="95">
        <v>92.74</v>
      </c>
      <c r="F278" s="96">
        <v>33000</v>
      </c>
      <c r="G278" s="97" t="s">
        <v>15</v>
      </c>
      <c r="H278" s="114">
        <f t="shared" si="4"/>
        <v>46113</v>
      </c>
      <c r="I278" s="17"/>
      <c r="J278" s="17"/>
      <c r="K278" s="17"/>
    </row>
    <row r="279" spans="1:11" x14ac:dyDescent="0.2">
      <c r="A279" s="115">
        <v>46132</v>
      </c>
      <c r="B279" s="93" t="s">
        <v>534</v>
      </c>
      <c r="C279" s="94" t="s">
        <v>45</v>
      </c>
      <c r="D279" s="95">
        <v>47</v>
      </c>
      <c r="E279" s="95">
        <v>92.74</v>
      </c>
      <c r="F279" s="96">
        <v>4358.78</v>
      </c>
      <c r="G279" s="97" t="s">
        <v>56</v>
      </c>
      <c r="H279" s="114">
        <f t="shared" si="4"/>
        <v>46113</v>
      </c>
      <c r="I279" s="17"/>
      <c r="J279" s="17"/>
      <c r="K279" s="17"/>
    </row>
    <row r="280" spans="1:11" x14ac:dyDescent="0.2">
      <c r="A280" s="115">
        <v>46132</v>
      </c>
      <c r="B280" s="93" t="s">
        <v>535</v>
      </c>
      <c r="C280" s="94" t="s">
        <v>129</v>
      </c>
      <c r="D280" s="95">
        <v>96</v>
      </c>
      <c r="E280" s="95">
        <v>92.74</v>
      </c>
      <c r="F280" s="96">
        <v>8903.0400000000009</v>
      </c>
      <c r="G280" s="97" t="s">
        <v>56</v>
      </c>
      <c r="H280" s="114">
        <f t="shared" si="4"/>
        <v>46113</v>
      </c>
      <c r="I280" s="17"/>
      <c r="J280" s="17"/>
      <c r="K280" s="17"/>
    </row>
    <row r="281" spans="1:11" x14ac:dyDescent="0.2">
      <c r="A281" s="115">
        <v>46132</v>
      </c>
      <c r="B281" s="93" t="s">
        <v>536</v>
      </c>
      <c r="C281" s="94" t="s">
        <v>84</v>
      </c>
      <c r="D281" s="95">
        <v>160</v>
      </c>
      <c r="E281" s="95">
        <v>92.74</v>
      </c>
      <c r="F281" s="96">
        <v>14838.4</v>
      </c>
      <c r="G281" s="97" t="s">
        <v>93</v>
      </c>
      <c r="H281" s="114">
        <f t="shared" si="4"/>
        <v>46113</v>
      </c>
      <c r="I281" s="17"/>
      <c r="J281" s="17"/>
      <c r="K281" s="17"/>
    </row>
    <row r="282" spans="1:11" x14ac:dyDescent="0.2">
      <c r="A282" s="115">
        <v>46132</v>
      </c>
      <c r="B282" s="93" t="s">
        <v>537</v>
      </c>
      <c r="C282" s="94" t="s">
        <v>124</v>
      </c>
      <c r="D282" s="95">
        <v>21.57</v>
      </c>
      <c r="E282" s="95">
        <v>92.74</v>
      </c>
      <c r="F282" s="96">
        <v>2000</v>
      </c>
      <c r="G282" s="97" t="s">
        <v>136</v>
      </c>
      <c r="H282" s="114">
        <f t="shared" si="4"/>
        <v>46113</v>
      </c>
      <c r="I282" s="17"/>
      <c r="J282" s="17"/>
      <c r="K282" s="17"/>
    </row>
    <row r="283" spans="1:11" x14ac:dyDescent="0.2">
      <c r="A283" s="99">
        <v>46133</v>
      </c>
      <c r="B283" s="93" t="s">
        <v>540</v>
      </c>
      <c r="C283" s="94" t="s">
        <v>50</v>
      </c>
      <c r="D283" s="95">
        <v>3000</v>
      </c>
      <c r="E283" s="95">
        <v>91.5</v>
      </c>
      <c r="F283" s="96">
        <v>274500</v>
      </c>
      <c r="G283" s="97" t="s">
        <v>51</v>
      </c>
      <c r="H283" s="114">
        <f t="shared" si="4"/>
        <v>46113</v>
      </c>
      <c r="I283" s="17"/>
      <c r="J283" s="17"/>
      <c r="K283" s="17"/>
    </row>
    <row r="284" spans="1:11" x14ac:dyDescent="0.2">
      <c r="A284" s="115">
        <v>46133</v>
      </c>
      <c r="B284" s="93" t="s">
        <v>541</v>
      </c>
      <c r="C284" s="94" t="s">
        <v>247</v>
      </c>
      <c r="D284" s="95">
        <v>3000</v>
      </c>
      <c r="E284" s="95">
        <v>91.5</v>
      </c>
      <c r="F284" s="96">
        <v>274500</v>
      </c>
      <c r="G284" s="97" t="s">
        <v>51</v>
      </c>
      <c r="H284" s="114">
        <f t="shared" si="4"/>
        <v>46113</v>
      </c>
      <c r="I284" s="17"/>
      <c r="J284" s="17"/>
      <c r="K284" s="17"/>
    </row>
    <row r="285" spans="1:11" x14ac:dyDescent="0.2">
      <c r="A285" s="115">
        <v>46133</v>
      </c>
      <c r="B285" s="93" t="s">
        <v>542</v>
      </c>
      <c r="C285" s="94" t="s">
        <v>550</v>
      </c>
      <c r="D285" s="95">
        <v>120</v>
      </c>
      <c r="E285" s="95">
        <v>92.74</v>
      </c>
      <c r="F285" s="96">
        <v>11128.8</v>
      </c>
      <c r="G285" s="97" t="s">
        <v>552</v>
      </c>
      <c r="H285" s="114">
        <f t="shared" si="4"/>
        <v>46113</v>
      </c>
      <c r="I285" s="17"/>
      <c r="J285" s="17"/>
      <c r="K285" s="17"/>
    </row>
    <row r="286" spans="1:11" x14ac:dyDescent="0.2">
      <c r="A286" s="115">
        <v>46133</v>
      </c>
      <c r="B286" s="93" t="s">
        <v>543</v>
      </c>
      <c r="C286" s="94" t="s">
        <v>526</v>
      </c>
      <c r="D286" s="95">
        <v>3470.99</v>
      </c>
      <c r="E286" s="95">
        <v>92.74</v>
      </c>
      <c r="F286" s="96">
        <v>321900</v>
      </c>
      <c r="G286" s="97" t="s">
        <v>58</v>
      </c>
      <c r="H286" s="114">
        <f t="shared" si="4"/>
        <v>46113</v>
      </c>
      <c r="I286" s="17"/>
      <c r="J286" s="17"/>
      <c r="K286" s="17"/>
    </row>
    <row r="287" spans="1:11" x14ac:dyDescent="0.2">
      <c r="A287" s="115">
        <v>46133</v>
      </c>
      <c r="B287" s="93" t="s">
        <v>544</v>
      </c>
      <c r="C287" s="94" t="s">
        <v>13</v>
      </c>
      <c r="D287" s="95">
        <v>291.14</v>
      </c>
      <c r="E287" s="95">
        <v>92.74</v>
      </c>
      <c r="F287" s="96">
        <v>27000</v>
      </c>
      <c r="G287" s="97" t="s">
        <v>15</v>
      </c>
      <c r="H287" s="114">
        <f t="shared" si="4"/>
        <v>46113</v>
      </c>
      <c r="I287" s="17"/>
      <c r="J287" s="17"/>
      <c r="K287" s="17"/>
    </row>
    <row r="288" spans="1:11" x14ac:dyDescent="0.2">
      <c r="A288" s="115">
        <v>46133</v>
      </c>
      <c r="B288" s="93" t="s">
        <v>545</v>
      </c>
      <c r="C288" s="94" t="s">
        <v>50</v>
      </c>
      <c r="D288" s="95">
        <v>2000</v>
      </c>
      <c r="E288" s="95">
        <v>92.74</v>
      </c>
      <c r="F288" s="96">
        <v>185480</v>
      </c>
      <c r="G288" s="97" t="s">
        <v>59</v>
      </c>
      <c r="H288" s="114">
        <f t="shared" si="4"/>
        <v>46113</v>
      </c>
      <c r="I288" s="17"/>
      <c r="J288" s="17"/>
      <c r="K288" s="17"/>
    </row>
    <row r="289" spans="1:11" x14ac:dyDescent="0.2">
      <c r="A289" s="115">
        <v>46133</v>
      </c>
      <c r="B289" s="93" t="s">
        <v>546</v>
      </c>
      <c r="C289" s="94" t="s">
        <v>50</v>
      </c>
      <c r="D289" s="95">
        <v>1500</v>
      </c>
      <c r="E289" s="95">
        <v>92.74</v>
      </c>
      <c r="F289" s="96">
        <v>139110</v>
      </c>
      <c r="G289" s="97" t="s">
        <v>96</v>
      </c>
      <c r="H289" s="114">
        <f t="shared" si="4"/>
        <v>46113</v>
      </c>
      <c r="I289" s="17"/>
      <c r="J289" s="17"/>
      <c r="K289" s="17"/>
    </row>
    <row r="290" spans="1:11" x14ac:dyDescent="0.2">
      <c r="A290" s="115">
        <v>46133</v>
      </c>
      <c r="B290" s="93" t="s">
        <v>547</v>
      </c>
      <c r="C290" s="94" t="s">
        <v>551</v>
      </c>
      <c r="D290" s="95">
        <v>361.87</v>
      </c>
      <c r="E290" s="95">
        <v>92.74</v>
      </c>
      <c r="F290" s="96">
        <v>33559.82</v>
      </c>
      <c r="G290" s="97" t="s">
        <v>14</v>
      </c>
      <c r="H290" s="114">
        <f t="shared" si="4"/>
        <v>46113</v>
      </c>
      <c r="I290" s="17"/>
      <c r="J290" s="17"/>
      <c r="K290" s="17"/>
    </row>
    <row r="291" spans="1:11" x14ac:dyDescent="0.2">
      <c r="A291" s="115">
        <v>46133</v>
      </c>
      <c r="B291" s="93" t="s">
        <v>548</v>
      </c>
      <c r="C291" s="94" t="s">
        <v>44</v>
      </c>
      <c r="D291" s="95">
        <v>39.15</v>
      </c>
      <c r="E291" s="95">
        <v>92.74</v>
      </c>
      <c r="F291" s="96">
        <v>3630.77</v>
      </c>
      <c r="G291" s="97" t="s">
        <v>56</v>
      </c>
      <c r="H291" s="114">
        <f t="shared" si="4"/>
        <v>46113</v>
      </c>
      <c r="I291" s="17"/>
      <c r="J291" s="17"/>
      <c r="K291" s="17"/>
    </row>
    <row r="292" spans="1:11" x14ac:dyDescent="0.2">
      <c r="A292" s="115">
        <v>46133</v>
      </c>
      <c r="B292" s="93" t="s">
        <v>549</v>
      </c>
      <c r="C292" s="94" t="s">
        <v>50</v>
      </c>
      <c r="D292" s="95">
        <v>20</v>
      </c>
      <c r="E292" s="95">
        <v>92.74</v>
      </c>
      <c r="F292" s="96">
        <v>1854.8</v>
      </c>
      <c r="G292" s="97" t="s">
        <v>54</v>
      </c>
      <c r="H292" s="114">
        <f t="shared" si="4"/>
        <v>46113</v>
      </c>
      <c r="I292" s="17"/>
      <c r="J292" s="17"/>
      <c r="K292" s="17"/>
    </row>
    <row r="293" spans="1:11" x14ac:dyDescent="0.2">
      <c r="A293" s="99">
        <v>46134</v>
      </c>
      <c r="B293" s="93" t="s">
        <v>555</v>
      </c>
      <c r="C293" s="94" t="s">
        <v>50</v>
      </c>
      <c r="D293" s="95">
        <v>3000</v>
      </c>
      <c r="E293" s="95">
        <v>92.74</v>
      </c>
      <c r="F293" s="96">
        <v>278220</v>
      </c>
      <c r="G293" s="97" t="s">
        <v>143</v>
      </c>
      <c r="H293" s="114">
        <f t="shared" si="4"/>
        <v>46113</v>
      </c>
      <c r="I293" s="17"/>
      <c r="J293" s="17"/>
      <c r="K293" s="17"/>
    </row>
    <row r="294" spans="1:11" x14ac:dyDescent="0.2">
      <c r="A294" s="115">
        <v>46134</v>
      </c>
      <c r="B294" s="93" t="s">
        <v>556</v>
      </c>
      <c r="C294" s="94" t="s">
        <v>248</v>
      </c>
      <c r="D294" s="95">
        <v>1000</v>
      </c>
      <c r="E294" s="95">
        <v>92.74</v>
      </c>
      <c r="F294" s="96">
        <v>92740</v>
      </c>
      <c r="G294" s="97" t="s">
        <v>256</v>
      </c>
      <c r="H294" s="114">
        <f t="shared" si="4"/>
        <v>46113</v>
      </c>
      <c r="I294" s="17"/>
      <c r="J294" s="17"/>
      <c r="K294" s="17"/>
    </row>
    <row r="295" spans="1:11" x14ac:dyDescent="0.2">
      <c r="A295" s="115">
        <v>46134</v>
      </c>
      <c r="B295" s="93" t="s">
        <v>557</v>
      </c>
      <c r="C295" s="94" t="s">
        <v>247</v>
      </c>
      <c r="D295" s="95">
        <v>4000</v>
      </c>
      <c r="E295" s="95">
        <v>91.5</v>
      </c>
      <c r="F295" s="96">
        <v>366000</v>
      </c>
      <c r="G295" s="97" t="s">
        <v>51</v>
      </c>
      <c r="H295" s="114">
        <f t="shared" si="4"/>
        <v>46113</v>
      </c>
      <c r="I295" s="17"/>
      <c r="J295" s="17"/>
      <c r="K295" s="17"/>
    </row>
    <row r="296" spans="1:11" x14ac:dyDescent="0.2">
      <c r="A296" s="115">
        <v>46134</v>
      </c>
      <c r="B296" s="93" t="s">
        <v>558</v>
      </c>
      <c r="C296" s="94" t="s">
        <v>50</v>
      </c>
      <c r="D296" s="95">
        <v>2500.7199999999998</v>
      </c>
      <c r="E296" s="95">
        <v>92.74</v>
      </c>
      <c r="F296" s="96">
        <v>231916.77</v>
      </c>
      <c r="G296" s="97" t="s">
        <v>59</v>
      </c>
      <c r="H296" s="114">
        <f t="shared" si="4"/>
        <v>46113</v>
      </c>
      <c r="I296" s="17"/>
      <c r="J296" s="17"/>
      <c r="K296" s="17"/>
    </row>
    <row r="297" spans="1:11" x14ac:dyDescent="0.2">
      <c r="A297" s="115">
        <v>46134</v>
      </c>
      <c r="B297" s="93" t="s">
        <v>559</v>
      </c>
      <c r="C297" s="94" t="s">
        <v>526</v>
      </c>
      <c r="D297" s="95">
        <v>4910.5</v>
      </c>
      <c r="E297" s="95">
        <v>92.74</v>
      </c>
      <c r="F297" s="96">
        <v>455400</v>
      </c>
      <c r="G297" s="97" t="s">
        <v>58</v>
      </c>
      <c r="H297" s="114">
        <f t="shared" si="4"/>
        <v>46113</v>
      </c>
      <c r="I297" s="17"/>
      <c r="J297" s="17"/>
      <c r="K297" s="17"/>
    </row>
    <row r="298" spans="1:11" x14ac:dyDescent="0.2">
      <c r="A298" s="115">
        <v>46134</v>
      </c>
      <c r="B298" s="93" t="s">
        <v>560</v>
      </c>
      <c r="C298" s="94" t="s">
        <v>525</v>
      </c>
      <c r="D298" s="95">
        <v>89.5</v>
      </c>
      <c r="E298" s="95">
        <v>92.74</v>
      </c>
      <c r="F298" s="96">
        <v>8300</v>
      </c>
      <c r="G298" s="97" t="s">
        <v>58</v>
      </c>
      <c r="H298" s="114">
        <f t="shared" si="4"/>
        <v>46113</v>
      </c>
      <c r="I298" s="17"/>
      <c r="J298" s="17"/>
      <c r="K298" s="17"/>
    </row>
    <row r="299" spans="1:11" x14ac:dyDescent="0.2">
      <c r="A299" s="115">
        <v>46134</v>
      </c>
      <c r="B299" s="93" t="s">
        <v>561</v>
      </c>
      <c r="C299" s="94" t="s">
        <v>13</v>
      </c>
      <c r="D299" s="95">
        <v>194.09</v>
      </c>
      <c r="E299" s="95">
        <v>92.74</v>
      </c>
      <c r="F299" s="96">
        <v>18000</v>
      </c>
      <c r="G299" s="97" t="s">
        <v>15</v>
      </c>
      <c r="H299" s="114">
        <f t="shared" si="4"/>
        <v>46113</v>
      </c>
      <c r="I299" s="17"/>
      <c r="J299" s="17"/>
      <c r="K299" s="17"/>
    </row>
    <row r="300" spans="1:11" x14ac:dyDescent="0.2">
      <c r="A300" s="115">
        <v>46134</v>
      </c>
      <c r="B300" s="93" t="s">
        <v>562</v>
      </c>
      <c r="C300" s="94" t="s">
        <v>130</v>
      </c>
      <c r="D300" s="95">
        <v>65</v>
      </c>
      <c r="E300" s="95">
        <v>92.74</v>
      </c>
      <c r="F300" s="96">
        <v>6028.1</v>
      </c>
      <c r="G300" s="97" t="s">
        <v>137</v>
      </c>
      <c r="H300" s="114">
        <f t="shared" si="4"/>
        <v>46113</v>
      </c>
      <c r="I300" s="17"/>
      <c r="J300" s="17"/>
      <c r="K300" s="17"/>
    </row>
    <row r="301" spans="1:11" x14ac:dyDescent="0.2">
      <c r="A301" s="115">
        <v>46134</v>
      </c>
      <c r="B301" s="93" t="s">
        <v>563</v>
      </c>
      <c r="C301" s="94" t="s">
        <v>84</v>
      </c>
      <c r="D301" s="95">
        <v>130</v>
      </c>
      <c r="E301" s="95">
        <v>92.74</v>
      </c>
      <c r="F301" s="96">
        <v>12056.2</v>
      </c>
      <c r="G301" s="97" t="s">
        <v>93</v>
      </c>
      <c r="H301" s="114">
        <f t="shared" si="4"/>
        <v>46113</v>
      </c>
      <c r="I301" s="17"/>
      <c r="J301" s="17"/>
      <c r="K301" s="17"/>
    </row>
    <row r="302" spans="1:11" x14ac:dyDescent="0.2">
      <c r="A302" s="99">
        <v>46135</v>
      </c>
      <c r="B302" s="93" t="s">
        <v>567</v>
      </c>
      <c r="C302" s="101" t="s">
        <v>50</v>
      </c>
      <c r="D302" s="95">
        <v>3000</v>
      </c>
      <c r="E302" s="95">
        <v>91.5</v>
      </c>
      <c r="F302" s="96">
        <v>274500</v>
      </c>
      <c r="G302" s="97" t="s">
        <v>51</v>
      </c>
      <c r="H302" s="114">
        <f t="shared" si="4"/>
        <v>46113</v>
      </c>
      <c r="I302" s="17"/>
      <c r="J302" s="17"/>
      <c r="K302" s="17"/>
    </row>
    <row r="303" spans="1:11" x14ac:dyDescent="0.2">
      <c r="A303" s="115">
        <v>46135</v>
      </c>
      <c r="B303" s="93" t="s">
        <v>568</v>
      </c>
      <c r="C303" s="101" t="s">
        <v>40</v>
      </c>
      <c r="D303" s="95">
        <v>12000</v>
      </c>
      <c r="E303" s="95">
        <v>92.74</v>
      </c>
      <c r="F303" s="96">
        <v>1112880</v>
      </c>
      <c r="G303" s="97" t="s">
        <v>584</v>
      </c>
      <c r="H303" s="114">
        <f t="shared" si="4"/>
        <v>46113</v>
      </c>
      <c r="I303" s="17"/>
      <c r="J303" s="17"/>
      <c r="K303" s="17"/>
    </row>
    <row r="304" spans="1:11" x14ac:dyDescent="0.2">
      <c r="A304" s="115">
        <v>46135</v>
      </c>
      <c r="B304" s="93" t="s">
        <v>569</v>
      </c>
      <c r="C304" s="101" t="s">
        <v>582</v>
      </c>
      <c r="D304" s="95">
        <v>500</v>
      </c>
      <c r="E304" s="95">
        <v>92.74</v>
      </c>
      <c r="F304" s="96">
        <v>46370</v>
      </c>
      <c r="G304" s="97" t="s">
        <v>95</v>
      </c>
      <c r="H304" s="114">
        <f t="shared" si="4"/>
        <v>46113</v>
      </c>
      <c r="I304" s="17"/>
      <c r="J304" s="17"/>
      <c r="K304" s="17"/>
    </row>
    <row r="305" spans="1:11" x14ac:dyDescent="0.2">
      <c r="A305" s="115">
        <v>46135</v>
      </c>
      <c r="B305" s="93" t="s">
        <v>570</v>
      </c>
      <c r="C305" s="101" t="s">
        <v>247</v>
      </c>
      <c r="D305" s="95">
        <v>4000</v>
      </c>
      <c r="E305" s="95">
        <v>91.5</v>
      </c>
      <c r="F305" s="96">
        <v>366000</v>
      </c>
      <c r="G305" s="97" t="s">
        <v>51</v>
      </c>
      <c r="H305" s="114">
        <f t="shared" si="4"/>
        <v>46113</v>
      </c>
      <c r="I305" s="17"/>
      <c r="J305" s="17"/>
      <c r="K305" s="17"/>
    </row>
    <row r="306" spans="1:11" x14ac:dyDescent="0.2">
      <c r="A306" s="115">
        <v>46135</v>
      </c>
      <c r="B306" s="93" t="s">
        <v>571</v>
      </c>
      <c r="C306" s="101" t="s">
        <v>40</v>
      </c>
      <c r="D306" s="95">
        <v>50</v>
      </c>
      <c r="E306" s="95">
        <v>92.74</v>
      </c>
      <c r="F306" s="96">
        <v>4637</v>
      </c>
      <c r="G306" s="97" t="s">
        <v>54</v>
      </c>
      <c r="H306" s="114">
        <f t="shared" si="4"/>
        <v>46113</v>
      </c>
      <c r="I306" s="17"/>
      <c r="J306" s="17"/>
      <c r="K306" s="17"/>
    </row>
    <row r="307" spans="1:11" x14ac:dyDescent="0.2">
      <c r="A307" s="115">
        <v>46135</v>
      </c>
      <c r="B307" s="93" t="s">
        <v>572</v>
      </c>
      <c r="C307" s="101" t="s">
        <v>129</v>
      </c>
      <c r="D307" s="95">
        <v>98</v>
      </c>
      <c r="E307" s="95">
        <v>92.74</v>
      </c>
      <c r="F307" s="96">
        <v>9088.52</v>
      </c>
      <c r="G307" s="97" t="s">
        <v>56</v>
      </c>
      <c r="H307" s="114">
        <f t="shared" si="4"/>
        <v>46113</v>
      </c>
      <c r="I307" s="17"/>
      <c r="J307" s="17"/>
      <c r="K307" s="17"/>
    </row>
    <row r="308" spans="1:11" x14ac:dyDescent="0.2">
      <c r="A308" s="115">
        <v>46135</v>
      </c>
      <c r="B308" s="93" t="s">
        <v>573</v>
      </c>
      <c r="C308" s="101" t="s">
        <v>44</v>
      </c>
      <c r="D308" s="95">
        <v>35</v>
      </c>
      <c r="E308" s="95">
        <v>92.74</v>
      </c>
      <c r="F308" s="96">
        <v>3245.9</v>
      </c>
      <c r="G308" s="97" t="s">
        <v>56</v>
      </c>
      <c r="H308" s="114">
        <f t="shared" si="4"/>
        <v>46113</v>
      </c>
      <c r="I308" s="17"/>
      <c r="J308" s="17"/>
      <c r="K308" s="17"/>
    </row>
    <row r="309" spans="1:11" x14ac:dyDescent="0.2">
      <c r="A309" s="115">
        <v>46135</v>
      </c>
      <c r="B309" s="93" t="s">
        <v>574</v>
      </c>
      <c r="C309" s="101" t="s">
        <v>44</v>
      </c>
      <c r="D309" s="95">
        <v>43.57</v>
      </c>
      <c r="E309" s="95">
        <v>92.74</v>
      </c>
      <c r="F309" s="96">
        <v>4040.68</v>
      </c>
      <c r="G309" s="97" t="s">
        <v>56</v>
      </c>
      <c r="H309" s="114">
        <f t="shared" si="4"/>
        <v>46113</v>
      </c>
      <c r="I309" s="17"/>
      <c r="J309" s="17"/>
      <c r="K309" s="17"/>
    </row>
    <row r="310" spans="1:11" x14ac:dyDescent="0.2">
      <c r="A310" s="115">
        <v>46135</v>
      </c>
      <c r="B310" s="93" t="s">
        <v>575</v>
      </c>
      <c r="C310" s="101" t="s">
        <v>583</v>
      </c>
      <c r="D310" s="95">
        <v>40</v>
      </c>
      <c r="E310" s="95">
        <v>92.74</v>
      </c>
      <c r="F310" s="96">
        <v>3709.6</v>
      </c>
      <c r="G310" s="97" t="s">
        <v>136</v>
      </c>
      <c r="H310" s="114">
        <f t="shared" si="4"/>
        <v>46113</v>
      </c>
      <c r="I310" s="17"/>
      <c r="J310" s="17"/>
      <c r="K310" s="17"/>
    </row>
    <row r="311" spans="1:11" x14ac:dyDescent="0.2">
      <c r="A311" s="115">
        <v>46135</v>
      </c>
      <c r="B311" s="93" t="s">
        <v>576</v>
      </c>
      <c r="C311" s="101" t="s">
        <v>526</v>
      </c>
      <c r="D311" s="95">
        <v>3666.16</v>
      </c>
      <c r="E311" s="95">
        <v>92.74</v>
      </c>
      <c r="F311" s="96">
        <v>340000</v>
      </c>
      <c r="G311" s="97" t="s">
        <v>58</v>
      </c>
      <c r="H311" s="114">
        <f t="shared" si="4"/>
        <v>46113</v>
      </c>
      <c r="I311" s="17"/>
      <c r="J311" s="17"/>
      <c r="K311" s="17"/>
    </row>
    <row r="312" spans="1:11" x14ac:dyDescent="0.2">
      <c r="A312" s="115">
        <v>46135</v>
      </c>
      <c r="B312" s="93" t="s">
        <v>577</v>
      </c>
      <c r="C312" s="101" t="s">
        <v>525</v>
      </c>
      <c r="D312" s="95">
        <v>32.35</v>
      </c>
      <c r="E312" s="95">
        <v>92.74</v>
      </c>
      <c r="F312" s="96">
        <v>3000</v>
      </c>
      <c r="G312" s="97" t="s">
        <v>58</v>
      </c>
      <c r="H312" s="114">
        <f t="shared" si="4"/>
        <v>46113</v>
      </c>
      <c r="I312" s="17"/>
      <c r="J312" s="17"/>
      <c r="K312" s="17"/>
    </row>
    <row r="313" spans="1:11" x14ac:dyDescent="0.2">
      <c r="A313" s="115">
        <v>46135</v>
      </c>
      <c r="B313" s="93" t="s">
        <v>578</v>
      </c>
      <c r="C313" s="94"/>
      <c r="D313" s="95">
        <v>91.65</v>
      </c>
      <c r="E313" s="95">
        <v>92.74</v>
      </c>
      <c r="F313" s="96">
        <v>8500</v>
      </c>
      <c r="G313" s="97" t="s">
        <v>152</v>
      </c>
      <c r="H313" s="114">
        <f t="shared" si="4"/>
        <v>46113</v>
      </c>
      <c r="I313" s="17"/>
      <c r="J313" s="17"/>
      <c r="K313" s="17"/>
    </row>
    <row r="314" spans="1:11" x14ac:dyDescent="0.2">
      <c r="A314" s="115">
        <v>46135</v>
      </c>
      <c r="B314" s="93" t="s">
        <v>579</v>
      </c>
      <c r="C314" s="94"/>
      <c r="D314" s="95">
        <v>517.58000000000004</v>
      </c>
      <c r="E314" s="95">
        <v>92.74</v>
      </c>
      <c r="F314" s="96">
        <v>48000</v>
      </c>
      <c r="G314" s="97" t="s">
        <v>15</v>
      </c>
      <c r="H314" s="114">
        <f t="shared" si="4"/>
        <v>46113</v>
      </c>
      <c r="I314" s="17"/>
      <c r="J314" s="17"/>
      <c r="K314" s="17"/>
    </row>
    <row r="315" spans="1:11" x14ac:dyDescent="0.2">
      <c r="A315" s="115">
        <v>46135</v>
      </c>
      <c r="B315" s="93" t="s">
        <v>580</v>
      </c>
      <c r="C315" s="94"/>
      <c r="D315" s="95">
        <v>246.01</v>
      </c>
      <c r="E315" s="95">
        <v>92.74</v>
      </c>
      <c r="F315" s="96">
        <v>22814.959999999999</v>
      </c>
      <c r="G315" s="97" t="s">
        <v>57</v>
      </c>
      <c r="H315" s="114">
        <f t="shared" si="4"/>
        <v>46113</v>
      </c>
      <c r="I315" s="17"/>
      <c r="J315" s="17"/>
      <c r="K315" s="17"/>
    </row>
    <row r="316" spans="1:11" x14ac:dyDescent="0.2">
      <c r="A316" s="115">
        <v>46135</v>
      </c>
      <c r="B316" s="93" t="s">
        <v>581</v>
      </c>
      <c r="C316" s="101" t="s">
        <v>50</v>
      </c>
      <c r="D316" s="95">
        <v>2999.25</v>
      </c>
      <c r="E316" s="95">
        <v>92.74</v>
      </c>
      <c r="F316" s="96">
        <v>278150.45</v>
      </c>
      <c r="G316" s="97" t="s">
        <v>59</v>
      </c>
      <c r="H316" s="114">
        <f t="shared" si="4"/>
        <v>46113</v>
      </c>
      <c r="I316" s="17"/>
      <c r="J316" s="17"/>
      <c r="K316" s="17"/>
    </row>
    <row r="317" spans="1:11" x14ac:dyDescent="0.2">
      <c r="A317" s="99">
        <v>46136</v>
      </c>
      <c r="B317" s="93" t="s">
        <v>587</v>
      </c>
      <c r="C317" s="94" t="s">
        <v>50</v>
      </c>
      <c r="D317" s="95">
        <v>1000</v>
      </c>
      <c r="E317" s="95">
        <v>92.74</v>
      </c>
      <c r="F317" s="96">
        <v>92740</v>
      </c>
      <c r="G317" s="97" t="s">
        <v>143</v>
      </c>
      <c r="H317" s="114">
        <f t="shared" si="4"/>
        <v>46113</v>
      </c>
      <c r="I317" s="17"/>
      <c r="J317" s="17"/>
      <c r="K317" s="17"/>
    </row>
    <row r="318" spans="1:11" x14ac:dyDescent="0.2">
      <c r="A318" s="115">
        <v>46136</v>
      </c>
      <c r="B318" s="93" t="s">
        <v>588</v>
      </c>
      <c r="C318" s="94" t="s">
        <v>50</v>
      </c>
      <c r="D318" s="95">
        <v>2000</v>
      </c>
      <c r="E318" s="95">
        <v>92.74</v>
      </c>
      <c r="F318" s="96">
        <v>185480</v>
      </c>
      <c r="G318" s="97" t="s">
        <v>143</v>
      </c>
      <c r="H318" s="114">
        <f t="shared" si="4"/>
        <v>46113</v>
      </c>
      <c r="I318" s="17"/>
      <c r="J318" s="17"/>
      <c r="K318" s="17"/>
    </row>
    <row r="319" spans="1:11" x14ac:dyDescent="0.2">
      <c r="A319" s="115">
        <v>46136</v>
      </c>
      <c r="B319" s="93" t="s">
        <v>589</v>
      </c>
      <c r="C319" s="94" t="s">
        <v>247</v>
      </c>
      <c r="D319" s="95">
        <v>4000</v>
      </c>
      <c r="E319" s="95">
        <v>91.5</v>
      </c>
      <c r="F319" s="96">
        <v>366000</v>
      </c>
      <c r="G319" s="97" t="s">
        <v>51</v>
      </c>
      <c r="H319" s="114">
        <f t="shared" si="4"/>
        <v>46113</v>
      </c>
      <c r="I319" s="17"/>
      <c r="J319" s="17"/>
      <c r="K319" s="17"/>
    </row>
    <row r="320" spans="1:11" x14ac:dyDescent="0.2">
      <c r="A320" s="115">
        <v>46136</v>
      </c>
      <c r="B320" s="93" t="s">
        <v>590</v>
      </c>
      <c r="C320" s="94" t="s">
        <v>50</v>
      </c>
      <c r="D320" s="95">
        <v>46.77</v>
      </c>
      <c r="E320" s="95">
        <v>92.74</v>
      </c>
      <c r="F320" s="96">
        <v>4337.4399999999996</v>
      </c>
      <c r="G320" s="97" t="s">
        <v>54</v>
      </c>
      <c r="H320" s="114">
        <f t="shared" si="4"/>
        <v>46113</v>
      </c>
      <c r="I320" s="17"/>
      <c r="J320" s="17"/>
      <c r="K320" s="17"/>
    </row>
    <row r="321" spans="1:11" x14ac:dyDescent="0.2">
      <c r="A321" s="115">
        <v>46136</v>
      </c>
      <c r="B321" s="93" t="s">
        <v>591</v>
      </c>
      <c r="C321" s="94" t="s">
        <v>582</v>
      </c>
      <c r="D321" s="95">
        <v>1000</v>
      </c>
      <c r="E321" s="95">
        <v>92.74</v>
      </c>
      <c r="F321" s="96">
        <v>92740</v>
      </c>
      <c r="G321" s="97" t="s">
        <v>95</v>
      </c>
      <c r="H321" s="114">
        <f t="shared" si="4"/>
        <v>46113</v>
      </c>
      <c r="I321" s="17"/>
      <c r="J321" s="17"/>
      <c r="K321" s="17"/>
    </row>
    <row r="322" spans="1:11" x14ac:dyDescent="0.2">
      <c r="A322" s="115">
        <v>46136</v>
      </c>
      <c r="B322" s="93" t="s">
        <v>592</v>
      </c>
      <c r="C322" s="94" t="s">
        <v>50</v>
      </c>
      <c r="D322" s="95">
        <v>1500.57</v>
      </c>
      <c r="E322" s="95">
        <v>92.74</v>
      </c>
      <c r="F322" s="96">
        <v>139162.85999999999</v>
      </c>
      <c r="G322" s="97" t="s">
        <v>96</v>
      </c>
      <c r="H322" s="114">
        <f t="shared" si="4"/>
        <v>46113</v>
      </c>
      <c r="I322" s="17"/>
      <c r="J322" s="17"/>
      <c r="K322" s="17"/>
    </row>
    <row r="323" spans="1:11" x14ac:dyDescent="0.2">
      <c r="A323" s="115">
        <v>46136</v>
      </c>
      <c r="B323" s="93" t="s">
        <v>593</v>
      </c>
      <c r="C323" s="94" t="s">
        <v>50</v>
      </c>
      <c r="D323" s="95">
        <v>3000.04</v>
      </c>
      <c r="E323" s="95">
        <v>92.74</v>
      </c>
      <c r="F323" s="96">
        <v>278223.71000000002</v>
      </c>
      <c r="G323" s="97" t="s">
        <v>59</v>
      </c>
      <c r="H323" s="114">
        <f t="shared" si="4"/>
        <v>46113</v>
      </c>
      <c r="I323" s="17"/>
      <c r="J323" s="17"/>
      <c r="K323" s="17"/>
    </row>
    <row r="324" spans="1:11" x14ac:dyDescent="0.2">
      <c r="A324" s="115">
        <v>46136</v>
      </c>
      <c r="B324" s="93" t="s">
        <v>594</v>
      </c>
      <c r="C324" s="94" t="s">
        <v>13</v>
      </c>
      <c r="D324" s="95">
        <v>292.91000000000003</v>
      </c>
      <c r="E324" s="95">
        <v>92.74</v>
      </c>
      <c r="F324" s="96">
        <v>27164.86</v>
      </c>
      <c r="G324" s="97" t="s">
        <v>57</v>
      </c>
      <c r="H324" s="114">
        <f t="shared" ref="H324:H387" si="5">IF(A324&lt;&gt;"", EOMONTH(A324, -1) + 1, "")</f>
        <v>46113</v>
      </c>
      <c r="I324" s="17"/>
      <c r="J324" s="17"/>
      <c r="K324" s="17"/>
    </row>
    <row r="325" spans="1:11" x14ac:dyDescent="0.2">
      <c r="A325" s="115">
        <v>46136</v>
      </c>
      <c r="B325" s="93" t="s">
        <v>595</v>
      </c>
      <c r="C325" s="94" t="s">
        <v>13</v>
      </c>
      <c r="D325" s="95">
        <v>124</v>
      </c>
      <c r="E325" s="95">
        <v>92.74</v>
      </c>
      <c r="F325" s="96">
        <v>11500</v>
      </c>
      <c r="G325" s="97" t="s">
        <v>15</v>
      </c>
      <c r="H325" s="114">
        <f t="shared" si="5"/>
        <v>46113</v>
      </c>
      <c r="I325" s="17"/>
      <c r="J325" s="17"/>
      <c r="K325" s="17"/>
    </row>
    <row r="326" spans="1:11" x14ac:dyDescent="0.2">
      <c r="A326" s="115">
        <v>46136</v>
      </c>
      <c r="B326" s="93" t="s">
        <v>596</v>
      </c>
      <c r="C326" s="94" t="s">
        <v>526</v>
      </c>
      <c r="D326" s="95">
        <v>3365.32</v>
      </c>
      <c r="E326" s="95">
        <v>92.74</v>
      </c>
      <c r="F326" s="96">
        <v>312100</v>
      </c>
      <c r="G326" s="97" t="s">
        <v>58</v>
      </c>
      <c r="H326" s="114">
        <f t="shared" si="5"/>
        <v>46113</v>
      </c>
      <c r="I326" s="17"/>
      <c r="J326" s="17"/>
      <c r="K326" s="17"/>
    </row>
    <row r="327" spans="1:11" x14ac:dyDescent="0.2">
      <c r="A327" s="115">
        <v>46136</v>
      </c>
      <c r="B327" s="93" t="s">
        <v>597</v>
      </c>
      <c r="C327" s="94" t="s">
        <v>525</v>
      </c>
      <c r="D327" s="95">
        <v>10.79</v>
      </c>
      <c r="E327" s="95">
        <v>92.74</v>
      </c>
      <c r="F327" s="96">
        <v>1000</v>
      </c>
      <c r="G327" s="97" t="s">
        <v>58</v>
      </c>
      <c r="H327" s="114">
        <f t="shared" si="5"/>
        <v>46113</v>
      </c>
      <c r="I327" s="17"/>
      <c r="J327" s="17"/>
      <c r="K327" s="17"/>
    </row>
    <row r="328" spans="1:11" x14ac:dyDescent="0.2">
      <c r="A328" s="99">
        <v>46137</v>
      </c>
      <c r="B328" s="93" t="s">
        <v>603</v>
      </c>
      <c r="C328" s="94" t="s">
        <v>525</v>
      </c>
      <c r="D328" s="95">
        <v>32.35</v>
      </c>
      <c r="E328" s="95">
        <v>92.74</v>
      </c>
      <c r="F328" s="96">
        <v>3000</v>
      </c>
      <c r="G328" s="97" t="s">
        <v>58</v>
      </c>
      <c r="H328" s="114">
        <f t="shared" si="5"/>
        <v>46113</v>
      </c>
      <c r="I328" s="17"/>
      <c r="J328" s="17"/>
      <c r="K328" s="17"/>
    </row>
    <row r="329" spans="1:11" x14ac:dyDescent="0.2">
      <c r="A329" s="115">
        <v>46137</v>
      </c>
      <c r="B329" s="93" t="s">
        <v>604</v>
      </c>
      <c r="C329" s="94" t="s">
        <v>526</v>
      </c>
      <c r="D329" s="95">
        <v>3185.25</v>
      </c>
      <c r="E329" s="95">
        <v>92.74</v>
      </c>
      <c r="F329" s="96">
        <v>295400</v>
      </c>
      <c r="G329" s="97" t="s">
        <v>58</v>
      </c>
      <c r="H329" s="114">
        <f t="shared" si="5"/>
        <v>46113</v>
      </c>
      <c r="I329" s="17"/>
      <c r="J329" s="17"/>
      <c r="K329" s="17"/>
    </row>
    <row r="330" spans="1:11" x14ac:dyDescent="0.2">
      <c r="A330" s="115">
        <v>46137</v>
      </c>
      <c r="B330" s="93" t="s">
        <v>605</v>
      </c>
      <c r="C330" s="94" t="s">
        <v>13</v>
      </c>
      <c r="D330" s="95">
        <v>129.38999999999999</v>
      </c>
      <c r="E330" s="95">
        <v>92.74</v>
      </c>
      <c r="F330" s="96">
        <v>12000</v>
      </c>
      <c r="G330" s="97" t="s">
        <v>15</v>
      </c>
      <c r="H330" s="114">
        <f t="shared" si="5"/>
        <v>46113</v>
      </c>
      <c r="I330" s="17"/>
      <c r="J330" s="17"/>
      <c r="K330" s="17"/>
    </row>
    <row r="331" spans="1:11" x14ac:dyDescent="0.2">
      <c r="A331" s="115">
        <v>46137</v>
      </c>
      <c r="B331" s="93" t="s">
        <v>606</v>
      </c>
      <c r="C331" s="94" t="s">
        <v>13</v>
      </c>
      <c r="D331" s="95">
        <v>603</v>
      </c>
      <c r="E331" s="95">
        <v>92.74</v>
      </c>
      <c r="F331" s="96">
        <v>55922.21</v>
      </c>
      <c r="G331" s="97" t="s">
        <v>57</v>
      </c>
      <c r="H331" s="114">
        <f t="shared" si="5"/>
        <v>46113</v>
      </c>
      <c r="I331" s="17"/>
      <c r="J331" s="17"/>
      <c r="K331" s="17"/>
    </row>
    <row r="332" spans="1:11" x14ac:dyDescent="0.2">
      <c r="A332" s="115">
        <v>46137</v>
      </c>
      <c r="B332" s="93" t="s">
        <v>607</v>
      </c>
      <c r="C332" s="94" t="s">
        <v>50</v>
      </c>
      <c r="D332" s="95">
        <v>3000.06</v>
      </c>
      <c r="E332" s="95">
        <v>92.74</v>
      </c>
      <c r="F332" s="96">
        <v>278225.56</v>
      </c>
      <c r="G332" s="97" t="s">
        <v>59</v>
      </c>
      <c r="H332" s="114">
        <f t="shared" si="5"/>
        <v>46113</v>
      </c>
      <c r="I332" s="17"/>
      <c r="J332" s="17"/>
      <c r="K332" s="17"/>
    </row>
    <row r="333" spans="1:11" x14ac:dyDescent="0.2">
      <c r="A333" s="115">
        <v>46137</v>
      </c>
      <c r="B333" s="93" t="s">
        <v>608</v>
      </c>
      <c r="C333" s="94" t="s">
        <v>127</v>
      </c>
      <c r="D333" s="95">
        <v>200</v>
      </c>
      <c r="E333" s="95">
        <v>92.74</v>
      </c>
      <c r="F333" s="96">
        <v>18548</v>
      </c>
      <c r="G333" s="97" t="s">
        <v>59</v>
      </c>
      <c r="H333" s="114">
        <f t="shared" si="5"/>
        <v>46113</v>
      </c>
      <c r="I333" s="17"/>
      <c r="J333" s="17"/>
      <c r="K333" s="17"/>
    </row>
    <row r="334" spans="1:11" x14ac:dyDescent="0.2">
      <c r="A334" s="115">
        <v>46137</v>
      </c>
      <c r="B334" s="93" t="s">
        <v>609</v>
      </c>
      <c r="C334" s="94" t="s">
        <v>610</v>
      </c>
      <c r="D334" s="95">
        <v>120</v>
      </c>
      <c r="E334" s="95">
        <v>92.74</v>
      </c>
      <c r="F334" s="96">
        <v>11128.8</v>
      </c>
      <c r="G334" s="97" t="s">
        <v>552</v>
      </c>
      <c r="H334" s="114">
        <f t="shared" si="5"/>
        <v>46113</v>
      </c>
      <c r="I334" s="17"/>
      <c r="J334" s="17"/>
      <c r="K334" s="17"/>
    </row>
    <row r="335" spans="1:11" x14ac:dyDescent="0.2">
      <c r="A335" s="99">
        <v>46139</v>
      </c>
      <c r="B335" s="93" t="s">
        <v>618</v>
      </c>
      <c r="C335" s="94" t="s">
        <v>50</v>
      </c>
      <c r="D335" s="95">
        <v>3000</v>
      </c>
      <c r="E335" s="95">
        <v>91.5</v>
      </c>
      <c r="F335" s="96">
        <v>274500</v>
      </c>
      <c r="G335" s="97" t="s">
        <v>51</v>
      </c>
      <c r="H335" s="114">
        <f t="shared" si="5"/>
        <v>46113</v>
      </c>
      <c r="I335" s="17"/>
      <c r="J335" s="17"/>
      <c r="K335" s="17"/>
    </row>
    <row r="336" spans="1:11" x14ac:dyDescent="0.2">
      <c r="A336" s="115">
        <v>46139</v>
      </c>
      <c r="B336" s="93" t="s">
        <v>619</v>
      </c>
      <c r="C336" s="94" t="s">
        <v>247</v>
      </c>
      <c r="D336" s="95">
        <v>3000</v>
      </c>
      <c r="E336" s="95">
        <v>91.5</v>
      </c>
      <c r="F336" s="96">
        <v>274500</v>
      </c>
      <c r="G336" s="97" t="s">
        <v>51</v>
      </c>
      <c r="H336" s="114">
        <f t="shared" si="5"/>
        <v>46113</v>
      </c>
      <c r="I336" s="17"/>
      <c r="J336" s="17"/>
      <c r="K336" s="17"/>
    </row>
    <row r="337" spans="1:11" x14ac:dyDescent="0.2">
      <c r="A337" s="115">
        <v>46139</v>
      </c>
      <c r="B337" s="93" t="s">
        <v>620</v>
      </c>
      <c r="C337" s="94" t="s">
        <v>582</v>
      </c>
      <c r="D337" s="95">
        <v>500</v>
      </c>
      <c r="E337" s="95">
        <v>92.74</v>
      </c>
      <c r="F337" s="96">
        <v>46370</v>
      </c>
      <c r="G337" s="97" t="s">
        <v>95</v>
      </c>
      <c r="H337" s="114">
        <f t="shared" si="5"/>
        <v>46113</v>
      </c>
      <c r="I337" s="17"/>
      <c r="J337" s="17"/>
      <c r="K337" s="17"/>
    </row>
    <row r="338" spans="1:11" x14ac:dyDescent="0.2">
      <c r="A338" s="115">
        <v>46139</v>
      </c>
      <c r="B338" s="93" t="s">
        <v>621</v>
      </c>
      <c r="C338" s="94" t="s">
        <v>526</v>
      </c>
      <c r="D338" s="95">
        <v>2748.54</v>
      </c>
      <c r="E338" s="95">
        <v>92.74</v>
      </c>
      <c r="F338" s="96">
        <v>254900</v>
      </c>
      <c r="G338" s="97" t="s">
        <v>58</v>
      </c>
      <c r="H338" s="114">
        <f t="shared" si="5"/>
        <v>46113</v>
      </c>
      <c r="I338" s="17"/>
      <c r="J338" s="17"/>
      <c r="K338" s="17"/>
    </row>
    <row r="339" spans="1:11" x14ac:dyDescent="0.2">
      <c r="A339" s="115">
        <v>46139</v>
      </c>
      <c r="B339" s="93" t="s">
        <v>622</v>
      </c>
      <c r="C339" s="94" t="s">
        <v>44</v>
      </c>
      <c r="D339" s="95">
        <v>50.2</v>
      </c>
      <c r="E339" s="95">
        <v>92.74</v>
      </c>
      <c r="F339" s="96">
        <v>4655.54</v>
      </c>
      <c r="G339" s="97" t="s">
        <v>56</v>
      </c>
      <c r="H339" s="114">
        <f t="shared" si="5"/>
        <v>46113</v>
      </c>
      <c r="I339" s="17"/>
      <c r="J339" s="17"/>
      <c r="K339" s="17"/>
    </row>
    <row r="340" spans="1:11" x14ac:dyDescent="0.2">
      <c r="A340" s="115">
        <v>46139</v>
      </c>
      <c r="B340" s="93" t="s">
        <v>623</v>
      </c>
      <c r="C340" s="94" t="s">
        <v>45</v>
      </c>
      <c r="D340" s="95">
        <v>50</v>
      </c>
      <c r="E340" s="95">
        <v>92.74</v>
      </c>
      <c r="F340" s="96">
        <v>4637</v>
      </c>
      <c r="G340" s="97" t="s">
        <v>56</v>
      </c>
      <c r="H340" s="114">
        <f t="shared" si="5"/>
        <v>46113</v>
      </c>
      <c r="I340" s="17"/>
      <c r="J340" s="17"/>
      <c r="K340" s="17"/>
    </row>
    <row r="341" spans="1:11" x14ac:dyDescent="0.2">
      <c r="A341" s="115">
        <v>46139</v>
      </c>
      <c r="B341" s="93" t="s">
        <v>624</v>
      </c>
      <c r="C341" s="94" t="s">
        <v>45</v>
      </c>
      <c r="D341" s="95">
        <v>50.47</v>
      </c>
      <c r="E341" s="95">
        <v>92.74</v>
      </c>
      <c r="F341" s="96">
        <v>4680.58</v>
      </c>
      <c r="G341" s="97" t="s">
        <v>56</v>
      </c>
      <c r="H341" s="114">
        <f t="shared" si="5"/>
        <v>46113</v>
      </c>
      <c r="I341" s="17"/>
      <c r="J341" s="17"/>
      <c r="K341" s="17"/>
    </row>
    <row r="342" spans="1:11" x14ac:dyDescent="0.2">
      <c r="A342" s="99">
        <v>46140</v>
      </c>
      <c r="B342" s="93" t="s">
        <v>626</v>
      </c>
      <c r="C342" s="94" t="s">
        <v>50</v>
      </c>
      <c r="D342" s="95">
        <v>3000</v>
      </c>
      <c r="E342" s="95">
        <v>92.74</v>
      </c>
      <c r="F342" s="96">
        <v>278220</v>
      </c>
      <c r="G342" s="97" t="s">
        <v>143</v>
      </c>
      <c r="H342" s="114">
        <f t="shared" si="5"/>
        <v>46113</v>
      </c>
      <c r="I342" s="17"/>
      <c r="J342" s="17"/>
      <c r="K342" s="17"/>
    </row>
    <row r="343" spans="1:11" x14ac:dyDescent="0.2">
      <c r="A343" s="115">
        <v>46140</v>
      </c>
      <c r="B343" s="93" t="s">
        <v>627</v>
      </c>
      <c r="C343" s="94" t="s">
        <v>248</v>
      </c>
      <c r="D343" s="95">
        <v>1000</v>
      </c>
      <c r="E343" s="95">
        <v>92.74</v>
      </c>
      <c r="F343" s="96">
        <v>92740</v>
      </c>
      <c r="G343" s="97" t="s">
        <v>256</v>
      </c>
      <c r="H343" s="114">
        <f t="shared" si="5"/>
        <v>46113</v>
      </c>
      <c r="I343" s="17"/>
      <c r="J343" s="17"/>
      <c r="K343" s="17"/>
    </row>
    <row r="344" spans="1:11" x14ac:dyDescent="0.2">
      <c r="A344" s="115">
        <v>46140</v>
      </c>
      <c r="B344" s="93" t="s">
        <v>628</v>
      </c>
      <c r="C344" s="94" t="s">
        <v>50</v>
      </c>
      <c r="D344" s="95">
        <v>1850.75</v>
      </c>
      <c r="E344" s="95">
        <v>92.74</v>
      </c>
      <c r="F344" s="96">
        <v>171638.56</v>
      </c>
      <c r="G344" s="97" t="s">
        <v>59</v>
      </c>
      <c r="H344" s="114">
        <f t="shared" si="5"/>
        <v>46113</v>
      </c>
      <c r="I344" s="17"/>
      <c r="J344" s="17"/>
      <c r="K344" s="17"/>
    </row>
    <row r="345" spans="1:11" x14ac:dyDescent="0.2">
      <c r="A345" s="115">
        <v>46140</v>
      </c>
      <c r="B345" s="93" t="s">
        <v>629</v>
      </c>
      <c r="C345" s="94" t="s">
        <v>13</v>
      </c>
      <c r="D345" s="95">
        <v>20</v>
      </c>
      <c r="E345" s="95">
        <v>92.74</v>
      </c>
      <c r="F345" s="96">
        <v>1854.8</v>
      </c>
      <c r="G345" s="97" t="s">
        <v>217</v>
      </c>
      <c r="H345" s="114">
        <f t="shared" si="5"/>
        <v>46113</v>
      </c>
      <c r="I345" s="17"/>
      <c r="J345" s="17"/>
      <c r="K345" s="17"/>
    </row>
    <row r="346" spans="1:11" x14ac:dyDescent="0.2">
      <c r="A346" s="115">
        <v>46140</v>
      </c>
      <c r="B346" s="93" t="s">
        <v>630</v>
      </c>
      <c r="C346" s="94" t="s">
        <v>44</v>
      </c>
      <c r="D346" s="95">
        <v>35</v>
      </c>
      <c r="E346" s="95">
        <v>92.74</v>
      </c>
      <c r="F346" s="96">
        <v>3245.9</v>
      </c>
      <c r="G346" s="97" t="s">
        <v>56</v>
      </c>
      <c r="H346" s="114">
        <f t="shared" si="5"/>
        <v>46113</v>
      </c>
      <c r="I346" s="17"/>
      <c r="J346" s="17"/>
      <c r="K346" s="17"/>
    </row>
    <row r="347" spans="1:11" x14ac:dyDescent="0.2">
      <c r="A347" s="115">
        <v>46140</v>
      </c>
      <c r="B347" s="93" t="s">
        <v>631</v>
      </c>
      <c r="C347" s="94" t="s">
        <v>129</v>
      </c>
      <c r="D347" s="95">
        <v>105.03</v>
      </c>
      <c r="E347" s="95">
        <v>92.74</v>
      </c>
      <c r="F347" s="96">
        <v>9740.48</v>
      </c>
      <c r="G347" s="97" t="s">
        <v>56</v>
      </c>
      <c r="H347" s="114">
        <f t="shared" si="5"/>
        <v>46113</v>
      </c>
      <c r="I347" s="17"/>
      <c r="J347" s="17"/>
      <c r="K347" s="17"/>
    </row>
    <row r="348" spans="1:11" x14ac:dyDescent="0.2">
      <c r="A348" s="115">
        <v>46140</v>
      </c>
      <c r="B348" s="93" t="s">
        <v>632</v>
      </c>
      <c r="C348" s="94" t="s">
        <v>41</v>
      </c>
      <c r="D348" s="95">
        <v>32.35</v>
      </c>
      <c r="E348" s="95">
        <v>92.74</v>
      </c>
      <c r="F348" s="96">
        <v>3000.13</v>
      </c>
      <c r="G348" s="97" t="s">
        <v>53</v>
      </c>
      <c r="H348" s="114">
        <f t="shared" si="5"/>
        <v>46113</v>
      </c>
      <c r="I348" s="17"/>
      <c r="J348" s="17"/>
      <c r="K348" s="17"/>
    </row>
    <row r="349" spans="1:11" x14ac:dyDescent="0.2">
      <c r="A349" s="115">
        <v>46140</v>
      </c>
      <c r="B349" s="93" t="s">
        <v>633</v>
      </c>
      <c r="C349" s="94" t="s">
        <v>637</v>
      </c>
      <c r="D349" s="95">
        <v>55.85</v>
      </c>
      <c r="E349" s="95">
        <v>92.74</v>
      </c>
      <c r="F349" s="96">
        <v>5179.5200000000004</v>
      </c>
      <c r="G349" s="97" t="s">
        <v>552</v>
      </c>
      <c r="H349" s="114">
        <f t="shared" si="5"/>
        <v>46113</v>
      </c>
      <c r="I349" s="17"/>
      <c r="J349" s="17"/>
      <c r="K349" s="17"/>
    </row>
    <row r="350" spans="1:11" x14ac:dyDescent="0.2">
      <c r="A350" s="115">
        <v>46140</v>
      </c>
      <c r="B350" s="93" t="s">
        <v>634</v>
      </c>
      <c r="C350" s="94" t="s">
        <v>13</v>
      </c>
      <c r="D350" s="95">
        <v>150.97999999999999</v>
      </c>
      <c r="E350" s="95">
        <v>92.74</v>
      </c>
      <c r="F350" s="96">
        <v>14001.73</v>
      </c>
      <c r="G350" s="97" t="s">
        <v>57</v>
      </c>
      <c r="H350" s="114">
        <f t="shared" si="5"/>
        <v>46113</v>
      </c>
      <c r="I350" s="17"/>
      <c r="J350" s="17"/>
      <c r="K350" s="17"/>
    </row>
    <row r="351" spans="1:11" x14ac:dyDescent="0.2">
      <c r="A351" s="115">
        <v>46140</v>
      </c>
      <c r="B351" s="93" t="s">
        <v>635</v>
      </c>
      <c r="C351" s="94" t="s">
        <v>526</v>
      </c>
      <c r="D351" s="95">
        <v>3642.44</v>
      </c>
      <c r="E351" s="95">
        <v>92.74</v>
      </c>
      <c r="F351" s="96">
        <v>337800</v>
      </c>
      <c r="G351" s="97" t="s">
        <v>58</v>
      </c>
      <c r="H351" s="114">
        <f t="shared" si="5"/>
        <v>46113</v>
      </c>
      <c r="I351" s="17"/>
      <c r="J351" s="17"/>
      <c r="K351" s="17"/>
    </row>
    <row r="352" spans="1:11" x14ac:dyDescent="0.2">
      <c r="A352" s="115">
        <v>46140</v>
      </c>
      <c r="B352" s="93" t="s">
        <v>636</v>
      </c>
      <c r="C352" s="94" t="s">
        <v>525</v>
      </c>
      <c r="D352" s="95">
        <v>43.13</v>
      </c>
      <c r="E352" s="95">
        <v>92.74</v>
      </c>
      <c r="F352" s="96">
        <v>4000</v>
      </c>
      <c r="G352" s="97" t="s">
        <v>58</v>
      </c>
      <c r="H352" s="114">
        <f t="shared" si="5"/>
        <v>46113</v>
      </c>
      <c r="I352" s="17"/>
      <c r="J352" s="17"/>
      <c r="K352" s="17"/>
    </row>
    <row r="353" spans="1:11" x14ac:dyDescent="0.2">
      <c r="A353" s="99">
        <v>46141</v>
      </c>
      <c r="B353" s="93" t="s">
        <v>642</v>
      </c>
      <c r="C353" s="94" t="s">
        <v>50</v>
      </c>
      <c r="D353" s="95">
        <v>3000</v>
      </c>
      <c r="E353" s="95">
        <v>92.74</v>
      </c>
      <c r="F353" s="96">
        <v>278220</v>
      </c>
      <c r="G353" s="97" t="s">
        <v>143</v>
      </c>
      <c r="H353" s="114">
        <f t="shared" si="5"/>
        <v>46113</v>
      </c>
      <c r="I353" s="17"/>
      <c r="J353" s="17"/>
      <c r="K353" s="17"/>
    </row>
    <row r="354" spans="1:11" x14ac:dyDescent="0.2">
      <c r="A354" s="115">
        <v>46141</v>
      </c>
      <c r="B354" s="93" t="s">
        <v>643</v>
      </c>
      <c r="C354" s="94" t="s">
        <v>50</v>
      </c>
      <c r="D354" s="95">
        <v>1500</v>
      </c>
      <c r="E354" s="95">
        <v>92.74</v>
      </c>
      <c r="F354" s="96">
        <v>139110</v>
      </c>
      <c r="G354" s="97" t="s">
        <v>96</v>
      </c>
      <c r="H354" s="114">
        <f t="shared" si="5"/>
        <v>46113</v>
      </c>
      <c r="I354" s="17"/>
      <c r="J354" s="17"/>
      <c r="K354" s="17"/>
    </row>
    <row r="355" spans="1:11" x14ac:dyDescent="0.2">
      <c r="A355" s="115">
        <v>46141</v>
      </c>
      <c r="B355" s="93" t="s">
        <v>644</v>
      </c>
      <c r="C355" s="94" t="s">
        <v>526</v>
      </c>
      <c r="D355" s="95">
        <v>2060.6</v>
      </c>
      <c r="E355" s="95">
        <v>92.74</v>
      </c>
      <c r="F355" s="96">
        <v>191100</v>
      </c>
      <c r="G355" s="97" t="s">
        <v>58</v>
      </c>
      <c r="H355" s="114">
        <f t="shared" si="5"/>
        <v>46113</v>
      </c>
      <c r="I355" s="17"/>
      <c r="J355" s="17"/>
      <c r="K355" s="17"/>
    </row>
    <row r="356" spans="1:11" x14ac:dyDescent="0.2">
      <c r="A356" s="115">
        <v>46141</v>
      </c>
      <c r="B356" s="93" t="s">
        <v>645</v>
      </c>
      <c r="C356" s="94" t="s">
        <v>13</v>
      </c>
      <c r="D356" s="95">
        <v>835.13</v>
      </c>
      <c r="E356" s="95">
        <v>92.74</v>
      </c>
      <c r="F356" s="96">
        <v>77450.039999999994</v>
      </c>
      <c r="G356" s="97" t="s">
        <v>57</v>
      </c>
      <c r="H356" s="114">
        <f t="shared" si="5"/>
        <v>46113</v>
      </c>
      <c r="I356" s="17"/>
      <c r="J356" s="17"/>
      <c r="K356" s="17"/>
    </row>
    <row r="357" spans="1:11" x14ac:dyDescent="0.2">
      <c r="A357" s="115">
        <v>46141</v>
      </c>
      <c r="B357" s="93" t="s">
        <v>646</v>
      </c>
      <c r="C357" s="94" t="s">
        <v>127</v>
      </c>
      <c r="D357" s="95">
        <v>600</v>
      </c>
      <c r="E357" s="95">
        <v>92.74</v>
      </c>
      <c r="F357" s="96">
        <v>55644</v>
      </c>
      <c r="G357" s="97" t="s">
        <v>59</v>
      </c>
      <c r="H357" s="114">
        <f t="shared" si="5"/>
        <v>46113</v>
      </c>
      <c r="I357" s="17"/>
      <c r="J357" s="17"/>
      <c r="K357" s="17"/>
    </row>
    <row r="358" spans="1:11" x14ac:dyDescent="0.2">
      <c r="A358" s="115">
        <v>46141</v>
      </c>
      <c r="B358" s="93" t="s">
        <v>647</v>
      </c>
      <c r="C358" s="94" t="s">
        <v>41</v>
      </c>
      <c r="D358" s="95">
        <v>24</v>
      </c>
      <c r="E358" s="95">
        <v>92.74</v>
      </c>
      <c r="F358" s="96">
        <v>2225.7600000000002</v>
      </c>
      <c r="G358" s="97" t="s">
        <v>53</v>
      </c>
      <c r="H358" s="114">
        <f t="shared" si="5"/>
        <v>46113</v>
      </c>
      <c r="I358" s="17"/>
      <c r="J358" s="17"/>
      <c r="K358" s="17"/>
    </row>
    <row r="359" spans="1:11" x14ac:dyDescent="0.2">
      <c r="A359" s="115">
        <v>46141</v>
      </c>
      <c r="B359" s="93" t="s">
        <v>648</v>
      </c>
      <c r="C359" s="94" t="s">
        <v>650</v>
      </c>
      <c r="D359" s="95">
        <v>27.5</v>
      </c>
      <c r="E359" s="95">
        <v>92.74</v>
      </c>
      <c r="F359" s="96">
        <v>2550.34</v>
      </c>
      <c r="G359" s="97" t="s">
        <v>55</v>
      </c>
      <c r="H359" s="114">
        <f t="shared" si="5"/>
        <v>46113</v>
      </c>
      <c r="I359" s="17"/>
      <c r="J359" s="17"/>
      <c r="K359" s="17"/>
    </row>
    <row r="360" spans="1:11" x14ac:dyDescent="0.2">
      <c r="A360" s="115">
        <v>46141</v>
      </c>
      <c r="B360" s="93" t="s">
        <v>649</v>
      </c>
      <c r="C360" s="94" t="s">
        <v>650</v>
      </c>
      <c r="D360" s="95">
        <v>17.600000000000001</v>
      </c>
      <c r="E360" s="95">
        <v>92.74</v>
      </c>
      <c r="F360" s="96">
        <v>1632.22</v>
      </c>
      <c r="G360" s="97" t="s">
        <v>55</v>
      </c>
      <c r="H360" s="114">
        <f t="shared" si="5"/>
        <v>46113</v>
      </c>
      <c r="I360" s="17"/>
      <c r="J360" s="17"/>
      <c r="K360" s="17"/>
    </row>
    <row r="361" spans="1:11" x14ac:dyDescent="0.2">
      <c r="A361" s="99">
        <v>46142</v>
      </c>
      <c r="B361" s="93" t="s">
        <v>652</v>
      </c>
      <c r="C361" s="94" t="s">
        <v>526</v>
      </c>
      <c r="D361" s="95">
        <v>3586.37</v>
      </c>
      <c r="E361" s="95">
        <v>92.74</v>
      </c>
      <c r="F361" s="96">
        <v>332600</v>
      </c>
      <c r="G361" s="97" t="s">
        <v>58</v>
      </c>
      <c r="H361" s="114">
        <f t="shared" si="5"/>
        <v>46113</v>
      </c>
      <c r="I361" s="17"/>
      <c r="J361" s="17"/>
      <c r="K361" s="17"/>
    </row>
    <row r="362" spans="1:11" x14ac:dyDescent="0.2">
      <c r="A362" s="115">
        <v>46142</v>
      </c>
      <c r="B362" s="93" t="s">
        <v>653</v>
      </c>
      <c r="C362" s="94" t="s">
        <v>13</v>
      </c>
      <c r="D362" s="95">
        <v>370.93</v>
      </c>
      <c r="E362" s="95">
        <v>92.74</v>
      </c>
      <c r="F362" s="96">
        <v>34400</v>
      </c>
      <c r="G362" s="97" t="s">
        <v>152</v>
      </c>
      <c r="H362" s="114">
        <f t="shared" si="5"/>
        <v>46113</v>
      </c>
      <c r="I362" s="17"/>
      <c r="J362" s="17"/>
      <c r="K362" s="17"/>
    </row>
    <row r="363" spans="1:11" x14ac:dyDescent="0.2">
      <c r="A363" s="115">
        <v>46142</v>
      </c>
      <c r="B363" s="93" t="s">
        <v>654</v>
      </c>
      <c r="C363" s="94" t="s">
        <v>50</v>
      </c>
      <c r="D363" s="95">
        <v>1500</v>
      </c>
      <c r="E363" s="95">
        <v>92.74</v>
      </c>
      <c r="F363" s="96">
        <v>139110</v>
      </c>
      <c r="G363" s="97" t="s">
        <v>96</v>
      </c>
      <c r="H363" s="114">
        <f t="shared" si="5"/>
        <v>46113</v>
      </c>
      <c r="I363" s="17"/>
      <c r="J363" s="17"/>
      <c r="K363" s="17"/>
    </row>
    <row r="364" spans="1:11" x14ac:dyDescent="0.2">
      <c r="A364" s="115">
        <v>46142</v>
      </c>
      <c r="B364" s="93" t="s">
        <v>655</v>
      </c>
      <c r="C364" s="94" t="s">
        <v>50</v>
      </c>
      <c r="D364" s="95">
        <v>3000</v>
      </c>
      <c r="E364" s="95">
        <v>92.74</v>
      </c>
      <c r="F364" s="96">
        <v>278220</v>
      </c>
      <c r="G364" s="97" t="s">
        <v>143</v>
      </c>
      <c r="H364" s="114">
        <f t="shared" si="5"/>
        <v>46113</v>
      </c>
      <c r="I364" s="17"/>
      <c r="J364" s="17"/>
      <c r="K364" s="17"/>
    </row>
    <row r="365" spans="1:11" x14ac:dyDescent="0.2">
      <c r="A365" s="115">
        <v>46142</v>
      </c>
      <c r="B365" s="93" t="s">
        <v>656</v>
      </c>
      <c r="C365" s="94" t="s">
        <v>180</v>
      </c>
      <c r="D365" s="95">
        <v>12000</v>
      </c>
      <c r="E365" s="95">
        <v>92.74</v>
      </c>
      <c r="F365" s="96">
        <v>1112880</v>
      </c>
      <c r="G365" s="97" t="s">
        <v>302</v>
      </c>
      <c r="H365" s="114">
        <f t="shared" si="5"/>
        <v>46113</v>
      </c>
      <c r="I365" s="17"/>
      <c r="J365" s="17"/>
      <c r="K365" s="17"/>
    </row>
    <row r="366" spans="1:11" x14ac:dyDescent="0.2">
      <c r="A366" s="115">
        <v>46142</v>
      </c>
      <c r="B366" s="93" t="s">
        <v>657</v>
      </c>
      <c r="C366" s="94" t="s">
        <v>672</v>
      </c>
      <c r="D366" s="95">
        <v>1150</v>
      </c>
      <c r="E366" s="95">
        <v>92.74</v>
      </c>
      <c r="F366" s="96">
        <v>106651</v>
      </c>
      <c r="G366" s="97" t="s">
        <v>134</v>
      </c>
      <c r="H366" s="114">
        <f t="shared" si="5"/>
        <v>46113</v>
      </c>
      <c r="I366" s="17"/>
      <c r="J366" s="17"/>
      <c r="K366" s="17"/>
    </row>
    <row r="367" spans="1:11" x14ac:dyDescent="0.2">
      <c r="A367" s="115">
        <v>46142</v>
      </c>
      <c r="B367" s="93" t="s">
        <v>658</v>
      </c>
      <c r="C367" s="94" t="s">
        <v>673</v>
      </c>
      <c r="D367" s="95">
        <v>1000</v>
      </c>
      <c r="E367" s="95">
        <v>92.74</v>
      </c>
      <c r="F367" s="96">
        <v>92740</v>
      </c>
      <c r="G367" s="97" t="s">
        <v>95</v>
      </c>
      <c r="H367" s="114">
        <f t="shared" si="5"/>
        <v>46113</v>
      </c>
      <c r="I367" s="17"/>
      <c r="J367" s="17"/>
      <c r="K367" s="17"/>
    </row>
    <row r="368" spans="1:11" x14ac:dyDescent="0.2">
      <c r="A368" s="115">
        <v>46142</v>
      </c>
      <c r="B368" s="93" t="s">
        <v>659</v>
      </c>
      <c r="C368" s="94" t="s">
        <v>127</v>
      </c>
      <c r="D368" s="95">
        <v>200</v>
      </c>
      <c r="E368" s="95">
        <v>92.74</v>
      </c>
      <c r="F368" s="96">
        <v>18548</v>
      </c>
      <c r="G368" s="97" t="s">
        <v>59</v>
      </c>
      <c r="H368" s="114">
        <f t="shared" si="5"/>
        <v>46113</v>
      </c>
      <c r="I368" s="17"/>
      <c r="J368" s="17"/>
      <c r="K368" s="17"/>
    </row>
    <row r="369" spans="1:11" x14ac:dyDescent="0.2">
      <c r="A369" s="115">
        <v>46142</v>
      </c>
      <c r="B369" s="93" t="s">
        <v>660</v>
      </c>
      <c r="C369" s="94" t="s">
        <v>521</v>
      </c>
      <c r="D369" s="95">
        <v>32.35</v>
      </c>
      <c r="E369" s="95">
        <v>92.74</v>
      </c>
      <c r="F369" s="96">
        <v>3000</v>
      </c>
      <c r="G369" s="97" t="s">
        <v>257</v>
      </c>
      <c r="H369" s="114">
        <f t="shared" si="5"/>
        <v>46113</v>
      </c>
      <c r="I369" s="17"/>
      <c r="J369" s="17"/>
      <c r="K369" s="17"/>
    </row>
    <row r="370" spans="1:11" x14ac:dyDescent="0.2">
      <c r="A370" s="115">
        <v>46142</v>
      </c>
      <c r="B370" s="93" t="s">
        <v>661</v>
      </c>
      <c r="C370" s="94" t="s">
        <v>44</v>
      </c>
      <c r="D370" s="95">
        <v>30</v>
      </c>
      <c r="E370" s="95">
        <v>92.74</v>
      </c>
      <c r="F370" s="96">
        <v>2782.2</v>
      </c>
      <c r="G370" s="97" t="s">
        <v>56</v>
      </c>
      <c r="H370" s="114">
        <f t="shared" si="5"/>
        <v>46113</v>
      </c>
      <c r="I370" s="17"/>
      <c r="J370" s="17"/>
      <c r="K370" s="17"/>
    </row>
    <row r="371" spans="1:11" x14ac:dyDescent="0.2">
      <c r="A371" s="115">
        <v>46142</v>
      </c>
      <c r="B371" s="93" t="s">
        <v>662</v>
      </c>
      <c r="C371" s="94" t="s">
        <v>674</v>
      </c>
      <c r="D371" s="95">
        <v>32.35</v>
      </c>
      <c r="E371" s="95">
        <v>92.74</v>
      </c>
      <c r="F371" s="96">
        <v>3000</v>
      </c>
      <c r="G371" s="97" t="s">
        <v>435</v>
      </c>
      <c r="H371" s="114">
        <f t="shared" si="5"/>
        <v>46113</v>
      </c>
      <c r="I371" s="17"/>
      <c r="J371" s="17"/>
      <c r="K371" s="17"/>
    </row>
    <row r="372" spans="1:11" x14ac:dyDescent="0.2">
      <c r="A372" s="115">
        <v>46142</v>
      </c>
      <c r="B372" s="93" t="s">
        <v>663</v>
      </c>
      <c r="C372" s="94" t="s">
        <v>433</v>
      </c>
      <c r="D372" s="95">
        <v>32.35</v>
      </c>
      <c r="E372" s="95">
        <v>92.74</v>
      </c>
      <c r="F372" s="96">
        <v>3000</v>
      </c>
      <c r="G372" s="97" t="s">
        <v>435</v>
      </c>
      <c r="H372" s="114">
        <f t="shared" si="5"/>
        <v>46113</v>
      </c>
      <c r="I372" s="17"/>
      <c r="J372" s="17"/>
      <c r="K372" s="17"/>
    </row>
    <row r="373" spans="1:11" x14ac:dyDescent="0.2">
      <c r="A373" s="115">
        <v>46142</v>
      </c>
      <c r="B373" s="93" t="s">
        <v>664</v>
      </c>
      <c r="C373" s="94" t="s">
        <v>431</v>
      </c>
      <c r="D373" s="95">
        <v>32.35</v>
      </c>
      <c r="E373" s="95">
        <v>92.74</v>
      </c>
      <c r="F373" s="96">
        <v>3000</v>
      </c>
      <c r="G373" s="97" t="s">
        <v>435</v>
      </c>
      <c r="H373" s="114">
        <f t="shared" si="5"/>
        <v>46113</v>
      </c>
      <c r="I373" s="17"/>
      <c r="J373" s="17"/>
      <c r="K373" s="17"/>
    </row>
    <row r="374" spans="1:11" x14ac:dyDescent="0.2">
      <c r="A374" s="115">
        <v>46142</v>
      </c>
      <c r="B374" s="93" t="s">
        <v>665</v>
      </c>
      <c r="C374" s="94" t="s">
        <v>675</v>
      </c>
      <c r="D374" s="95">
        <v>32.35</v>
      </c>
      <c r="E374" s="95">
        <v>92.74</v>
      </c>
      <c r="F374" s="96">
        <v>3000</v>
      </c>
      <c r="G374" s="97" t="s">
        <v>435</v>
      </c>
      <c r="H374" s="114">
        <f t="shared" si="5"/>
        <v>46113</v>
      </c>
      <c r="I374" s="17"/>
      <c r="J374" s="17"/>
      <c r="K374" s="17"/>
    </row>
    <row r="375" spans="1:11" x14ac:dyDescent="0.2">
      <c r="A375" s="115">
        <v>46142</v>
      </c>
      <c r="B375" s="93" t="s">
        <v>666</v>
      </c>
      <c r="C375" s="94" t="s">
        <v>676</v>
      </c>
      <c r="D375" s="95">
        <v>32.35</v>
      </c>
      <c r="E375" s="95">
        <v>92.74</v>
      </c>
      <c r="F375" s="96">
        <v>3000</v>
      </c>
      <c r="G375" s="97" t="s">
        <v>435</v>
      </c>
      <c r="H375" s="114">
        <f t="shared" si="5"/>
        <v>46113</v>
      </c>
      <c r="I375" s="17"/>
      <c r="J375" s="17"/>
      <c r="K375" s="17"/>
    </row>
    <row r="376" spans="1:11" x14ac:dyDescent="0.2">
      <c r="A376" s="115">
        <v>46142</v>
      </c>
      <c r="B376" s="93" t="s">
        <v>667</v>
      </c>
      <c r="C376" s="94" t="s">
        <v>677</v>
      </c>
      <c r="D376" s="95">
        <v>32.35</v>
      </c>
      <c r="E376" s="95">
        <v>92.74</v>
      </c>
      <c r="F376" s="96">
        <v>3000</v>
      </c>
      <c r="G376" s="97" t="s">
        <v>435</v>
      </c>
      <c r="H376" s="114">
        <f t="shared" si="5"/>
        <v>46113</v>
      </c>
      <c r="I376" s="17"/>
      <c r="J376" s="17"/>
      <c r="K376" s="17"/>
    </row>
    <row r="377" spans="1:11" x14ac:dyDescent="0.2">
      <c r="A377" s="115">
        <v>46142</v>
      </c>
      <c r="B377" s="93" t="s">
        <v>668</v>
      </c>
      <c r="C377" s="94" t="s">
        <v>388</v>
      </c>
      <c r="D377" s="95">
        <v>32.35</v>
      </c>
      <c r="E377" s="95">
        <v>92.74</v>
      </c>
      <c r="F377" s="96">
        <v>3000</v>
      </c>
      <c r="G377" s="97" t="s">
        <v>435</v>
      </c>
      <c r="H377" s="114">
        <f t="shared" si="5"/>
        <v>46113</v>
      </c>
      <c r="I377" s="17"/>
      <c r="J377" s="17"/>
      <c r="K377" s="17"/>
    </row>
    <row r="378" spans="1:11" x14ac:dyDescent="0.2">
      <c r="A378" s="115">
        <v>46142</v>
      </c>
      <c r="B378" s="93" t="s">
        <v>669</v>
      </c>
      <c r="C378" s="94" t="s">
        <v>678</v>
      </c>
      <c r="D378" s="95">
        <v>32.35</v>
      </c>
      <c r="E378" s="95">
        <v>92.74</v>
      </c>
      <c r="F378" s="96">
        <v>3000</v>
      </c>
      <c r="G378" s="97" t="s">
        <v>435</v>
      </c>
      <c r="H378" s="114">
        <f t="shared" si="5"/>
        <v>46113</v>
      </c>
      <c r="I378" s="17"/>
      <c r="J378" s="17"/>
      <c r="K378" s="17"/>
    </row>
    <row r="379" spans="1:11" x14ac:dyDescent="0.2">
      <c r="A379" s="115">
        <v>46142</v>
      </c>
      <c r="B379" s="93" t="s">
        <v>670</v>
      </c>
      <c r="C379" s="94" t="s">
        <v>679</v>
      </c>
      <c r="D379" s="95">
        <v>107.83</v>
      </c>
      <c r="E379" s="95">
        <v>92.74</v>
      </c>
      <c r="F379" s="96">
        <v>10000</v>
      </c>
      <c r="G379" s="97" t="s">
        <v>435</v>
      </c>
      <c r="H379" s="114">
        <f t="shared" si="5"/>
        <v>46113</v>
      </c>
      <c r="I379" s="17"/>
      <c r="J379" s="17"/>
      <c r="K379" s="17"/>
    </row>
    <row r="380" spans="1:11" x14ac:dyDescent="0.2">
      <c r="A380" s="115">
        <v>46142</v>
      </c>
      <c r="B380" s="93" t="s">
        <v>671</v>
      </c>
      <c r="C380" s="94" t="s">
        <v>680</v>
      </c>
      <c r="D380" s="95">
        <v>129.38999999999999</v>
      </c>
      <c r="E380" s="95">
        <v>92.74</v>
      </c>
      <c r="F380" s="96">
        <v>12000</v>
      </c>
      <c r="G380" s="97" t="s">
        <v>435</v>
      </c>
      <c r="H380" s="114">
        <f t="shared" si="5"/>
        <v>46113</v>
      </c>
      <c r="I380" s="17"/>
      <c r="J380" s="17"/>
      <c r="K380" s="17"/>
    </row>
    <row r="381" spans="1:11" x14ac:dyDescent="0.2">
      <c r="A381" s="99">
        <v>46143</v>
      </c>
      <c r="B381" s="93" t="s">
        <v>684</v>
      </c>
      <c r="C381" s="94" t="s">
        <v>50</v>
      </c>
      <c r="D381" s="95">
        <v>3000</v>
      </c>
      <c r="E381" s="95">
        <v>92.74</v>
      </c>
      <c r="F381" s="96">
        <v>278220</v>
      </c>
      <c r="G381" s="97" t="s">
        <v>143</v>
      </c>
      <c r="H381" s="114">
        <f t="shared" si="5"/>
        <v>46143</v>
      </c>
      <c r="I381" s="17"/>
      <c r="J381" s="17"/>
      <c r="K381" s="17"/>
    </row>
    <row r="382" spans="1:11" x14ac:dyDescent="0.2">
      <c r="A382" s="115">
        <v>46143</v>
      </c>
      <c r="B382" s="93" t="s">
        <v>685</v>
      </c>
      <c r="C382" s="94" t="s">
        <v>526</v>
      </c>
      <c r="D382" s="95">
        <v>2035.8</v>
      </c>
      <c r="E382" s="95">
        <v>92.74</v>
      </c>
      <c r="F382" s="96">
        <v>188800</v>
      </c>
      <c r="G382" s="97" t="s">
        <v>58</v>
      </c>
      <c r="H382" s="114">
        <f t="shared" si="5"/>
        <v>46143</v>
      </c>
      <c r="I382" s="17"/>
      <c r="J382" s="17"/>
      <c r="K382" s="17"/>
    </row>
    <row r="383" spans="1:11" x14ac:dyDescent="0.2">
      <c r="A383" s="115">
        <v>46143</v>
      </c>
      <c r="B383" s="93" t="s">
        <v>686</v>
      </c>
      <c r="C383" s="94" t="s">
        <v>13</v>
      </c>
      <c r="D383" s="95">
        <v>238.3</v>
      </c>
      <c r="E383" s="95">
        <v>92.74</v>
      </c>
      <c r="F383" s="96">
        <v>22100</v>
      </c>
      <c r="G383" s="97" t="s">
        <v>152</v>
      </c>
      <c r="H383" s="114">
        <f t="shared" si="5"/>
        <v>46143</v>
      </c>
      <c r="I383" s="17"/>
      <c r="J383" s="17"/>
      <c r="K383" s="17"/>
    </row>
    <row r="384" spans="1:11" x14ac:dyDescent="0.2">
      <c r="A384" s="115">
        <v>46143</v>
      </c>
      <c r="B384" s="93" t="s">
        <v>687</v>
      </c>
      <c r="C384" s="94" t="s">
        <v>13</v>
      </c>
      <c r="D384" s="95">
        <v>388.17</v>
      </c>
      <c r="E384" s="95">
        <v>92.74</v>
      </c>
      <c r="F384" s="96">
        <v>35999</v>
      </c>
      <c r="G384" s="97" t="s">
        <v>57</v>
      </c>
      <c r="H384" s="114">
        <f t="shared" si="5"/>
        <v>46143</v>
      </c>
      <c r="I384" s="17"/>
      <c r="J384" s="17"/>
      <c r="K384" s="17"/>
    </row>
    <row r="385" spans="1:11" x14ac:dyDescent="0.2">
      <c r="A385" s="115">
        <v>46143</v>
      </c>
      <c r="B385" s="93" t="s">
        <v>688</v>
      </c>
      <c r="C385" s="94" t="s">
        <v>181</v>
      </c>
      <c r="D385" s="95">
        <v>300</v>
      </c>
      <c r="E385" s="95">
        <v>92.74</v>
      </c>
      <c r="F385" s="96">
        <v>27822</v>
      </c>
      <c r="G385" s="97" t="s">
        <v>184</v>
      </c>
      <c r="H385" s="114">
        <f t="shared" si="5"/>
        <v>46143</v>
      </c>
      <c r="I385" s="17"/>
      <c r="J385" s="17"/>
      <c r="K385" s="17"/>
    </row>
    <row r="386" spans="1:11" x14ac:dyDescent="0.2">
      <c r="A386" s="115">
        <v>46143</v>
      </c>
      <c r="B386" s="93" t="s">
        <v>689</v>
      </c>
      <c r="C386" s="94" t="s">
        <v>253</v>
      </c>
      <c r="D386" s="95">
        <v>21.57</v>
      </c>
      <c r="E386" s="95">
        <v>92.74</v>
      </c>
      <c r="F386" s="96">
        <v>2000</v>
      </c>
      <c r="G386" s="97" t="s">
        <v>257</v>
      </c>
      <c r="H386" s="114">
        <f t="shared" si="5"/>
        <v>46143</v>
      </c>
      <c r="I386" s="17"/>
      <c r="J386" s="17"/>
      <c r="K386" s="17"/>
    </row>
    <row r="387" spans="1:11" x14ac:dyDescent="0.2">
      <c r="A387" s="115">
        <v>46143</v>
      </c>
      <c r="B387" s="93" t="s">
        <v>690</v>
      </c>
      <c r="C387" s="94" t="s">
        <v>693</v>
      </c>
      <c r="D387" s="95">
        <v>21.57</v>
      </c>
      <c r="E387" s="95">
        <v>92.74</v>
      </c>
      <c r="F387" s="96">
        <v>2000</v>
      </c>
      <c r="G387" s="97" t="s">
        <v>257</v>
      </c>
      <c r="H387" s="114">
        <f t="shared" si="5"/>
        <v>46143</v>
      </c>
      <c r="I387" s="17"/>
      <c r="J387" s="17"/>
      <c r="K387" s="17"/>
    </row>
    <row r="388" spans="1:11" x14ac:dyDescent="0.2">
      <c r="A388" s="115">
        <v>46143</v>
      </c>
      <c r="B388" s="93" t="s">
        <v>691</v>
      </c>
      <c r="C388" s="94" t="s">
        <v>129</v>
      </c>
      <c r="D388" s="95">
        <v>104.02</v>
      </c>
      <c r="E388" s="95">
        <v>92.74</v>
      </c>
      <c r="F388" s="96">
        <v>9646.7999999999993</v>
      </c>
      <c r="G388" s="97" t="s">
        <v>56</v>
      </c>
      <c r="H388" s="114">
        <f t="shared" ref="H388:H451" si="6">IF(A388&lt;&gt;"", EOMONTH(A388, -1) + 1, "")</f>
        <v>46143</v>
      </c>
      <c r="I388" s="17"/>
      <c r="J388" s="17"/>
      <c r="K388" s="17"/>
    </row>
    <row r="389" spans="1:11" x14ac:dyDescent="0.2">
      <c r="A389" s="115">
        <v>46143</v>
      </c>
      <c r="B389" s="93" t="s">
        <v>692</v>
      </c>
      <c r="C389" s="94" t="s">
        <v>694</v>
      </c>
      <c r="D389" s="95">
        <v>161.74</v>
      </c>
      <c r="E389" s="95">
        <v>92.74</v>
      </c>
      <c r="F389" s="96">
        <v>15000</v>
      </c>
      <c r="G389" s="97" t="s">
        <v>199</v>
      </c>
      <c r="H389" s="114">
        <f t="shared" si="6"/>
        <v>46143</v>
      </c>
      <c r="I389" s="17"/>
      <c r="J389" s="17"/>
      <c r="K389" s="17"/>
    </row>
    <row r="390" spans="1:11" x14ac:dyDescent="0.2">
      <c r="A390" s="99">
        <v>46144</v>
      </c>
      <c r="B390" s="93" t="s">
        <v>701</v>
      </c>
      <c r="C390" s="94" t="s">
        <v>247</v>
      </c>
      <c r="D390" s="95">
        <v>4000</v>
      </c>
      <c r="E390" s="95">
        <v>92.74</v>
      </c>
      <c r="F390" s="96">
        <v>370960</v>
      </c>
      <c r="G390" s="97" t="s">
        <v>51</v>
      </c>
      <c r="H390" s="114">
        <f t="shared" si="6"/>
        <v>46143</v>
      </c>
      <c r="I390" s="17"/>
      <c r="J390" s="17"/>
      <c r="K390" s="17"/>
    </row>
    <row r="391" spans="1:11" x14ac:dyDescent="0.2">
      <c r="A391" s="115">
        <v>46144</v>
      </c>
      <c r="B391" s="93" t="s">
        <v>702</v>
      </c>
      <c r="C391" s="94" t="s">
        <v>526</v>
      </c>
      <c r="D391" s="95">
        <v>1926.89</v>
      </c>
      <c r="E391" s="95">
        <v>92.74</v>
      </c>
      <c r="F391" s="96">
        <v>178700</v>
      </c>
      <c r="G391" s="97" t="s">
        <v>58</v>
      </c>
      <c r="H391" s="114">
        <f t="shared" si="6"/>
        <v>46143</v>
      </c>
      <c r="I391" s="17"/>
      <c r="J391" s="17"/>
      <c r="K391" s="17"/>
    </row>
    <row r="392" spans="1:11" x14ac:dyDescent="0.2">
      <c r="A392" s="115">
        <v>46144</v>
      </c>
      <c r="B392" s="93" t="s">
        <v>703</v>
      </c>
      <c r="C392" s="94" t="s">
        <v>13</v>
      </c>
      <c r="D392" s="95">
        <v>196.25</v>
      </c>
      <c r="E392" s="95">
        <v>92.74</v>
      </c>
      <c r="F392" s="96">
        <v>18200</v>
      </c>
      <c r="G392" s="97" t="s">
        <v>152</v>
      </c>
      <c r="H392" s="114">
        <f t="shared" si="6"/>
        <v>46143</v>
      </c>
      <c r="I392" s="17"/>
      <c r="J392" s="17"/>
      <c r="K392" s="17"/>
    </row>
    <row r="393" spans="1:11" x14ac:dyDescent="0.2">
      <c r="A393" s="115">
        <v>46144</v>
      </c>
      <c r="B393" s="93" t="s">
        <v>704</v>
      </c>
      <c r="C393" s="94" t="s">
        <v>13</v>
      </c>
      <c r="D393" s="95">
        <v>1132.95</v>
      </c>
      <c r="E393" s="95">
        <v>92.74</v>
      </c>
      <c r="F393" s="96">
        <v>105070.24</v>
      </c>
      <c r="G393" s="97" t="s">
        <v>57</v>
      </c>
      <c r="H393" s="114">
        <f t="shared" si="6"/>
        <v>46143</v>
      </c>
      <c r="I393" s="17"/>
      <c r="J393" s="17"/>
      <c r="K393" s="17"/>
    </row>
    <row r="394" spans="1:11" x14ac:dyDescent="0.2">
      <c r="A394" s="115">
        <v>46144</v>
      </c>
      <c r="B394" s="93" t="s">
        <v>705</v>
      </c>
      <c r="C394" s="94" t="s">
        <v>712</v>
      </c>
      <c r="D394" s="95">
        <v>10</v>
      </c>
      <c r="E394" s="95">
        <v>92.74</v>
      </c>
      <c r="F394" s="96">
        <v>927.4</v>
      </c>
      <c r="G394" s="97" t="s">
        <v>55</v>
      </c>
      <c r="H394" s="114">
        <f t="shared" si="6"/>
        <v>46143</v>
      </c>
      <c r="I394" s="17"/>
      <c r="J394" s="17"/>
      <c r="K394" s="17"/>
    </row>
    <row r="395" spans="1:11" x14ac:dyDescent="0.2">
      <c r="A395" s="115">
        <v>46144</v>
      </c>
      <c r="B395" s="93" t="s">
        <v>706</v>
      </c>
      <c r="C395" s="94" t="s">
        <v>650</v>
      </c>
      <c r="D395" s="95">
        <v>20</v>
      </c>
      <c r="E395" s="95">
        <v>92.74</v>
      </c>
      <c r="F395" s="96">
        <v>1854.8</v>
      </c>
      <c r="G395" s="97" t="s">
        <v>55</v>
      </c>
      <c r="H395" s="114">
        <f t="shared" si="6"/>
        <v>46143</v>
      </c>
      <c r="I395" s="17"/>
      <c r="J395" s="17"/>
      <c r="K395" s="17"/>
    </row>
    <row r="396" spans="1:11" x14ac:dyDescent="0.2">
      <c r="A396" s="115">
        <v>46144</v>
      </c>
      <c r="B396" s="93" t="s">
        <v>707</v>
      </c>
      <c r="C396" s="94" t="s">
        <v>427</v>
      </c>
      <c r="D396" s="95">
        <v>40</v>
      </c>
      <c r="E396" s="95">
        <v>92.74</v>
      </c>
      <c r="F396" s="96">
        <v>3709.6</v>
      </c>
      <c r="G396" s="97" t="s">
        <v>257</v>
      </c>
      <c r="H396" s="114">
        <f t="shared" si="6"/>
        <v>46143</v>
      </c>
      <c r="I396" s="17"/>
      <c r="J396" s="17"/>
      <c r="K396" s="17"/>
    </row>
    <row r="397" spans="1:11" x14ac:dyDescent="0.2">
      <c r="A397" s="115">
        <v>46144</v>
      </c>
      <c r="B397" s="93" t="s">
        <v>708</v>
      </c>
      <c r="C397" s="94" t="s">
        <v>13</v>
      </c>
      <c r="D397" s="95">
        <v>20</v>
      </c>
      <c r="E397" s="95">
        <v>92.74</v>
      </c>
      <c r="F397" s="96">
        <v>1854.8</v>
      </c>
      <c r="G397" s="97" t="s">
        <v>217</v>
      </c>
      <c r="H397" s="114">
        <f t="shared" si="6"/>
        <v>46143</v>
      </c>
      <c r="I397" s="17"/>
      <c r="J397" s="17"/>
      <c r="K397" s="17"/>
    </row>
    <row r="398" spans="1:11" x14ac:dyDescent="0.2">
      <c r="A398" s="115">
        <v>46144</v>
      </c>
      <c r="B398" s="93" t="s">
        <v>709</v>
      </c>
      <c r="C398" s="94" t="s">
        <v>713</v>
      </c>
      <c r="D398" s="95">
        <v>100</v>
      </c>
      <c r="E398" s="95">
        <v>92.74</v>
      </c>
      <c r="F398" s="96">
        <v>9274</v>
      </c>
      <c r="G398" s="97" t="s">
        <v>714</v>
      </c>
      <c r="H398" s="114">
        <f t="shared" si="6"/>
        <v>46143</v>
      </c>
      <c r="I398" s="17"/>
      <c r="J398" s="17"/>
      <c r="K398" s="17"/>
    </row>
    <row r="399" spans="1:11" x14ac:dyDescent="0.2">
      <c r="A399" s="115">
        <v>46144</v>
      </c>
      <c r="B399" s="93" t="s">
        <v>710</v>
      </c>
      <c r="C399" s="94" t="s">
        <v>44</v>
      </c>
      <c r="D399" s="95">
        <v>49.09</v>
      </c>
      <c r="E399" s="95">
        <v>92.74</v>
      </c>
      <c r="F399" s="96">
        <v>4552.6000000000004</v>
      </c>
      <c r="G399" s="97" t="s">
        <v>56</v>
      </c>
      <c r="H399" s="114">
        <f t="shared" si="6"/>
        <v>46143</v>
      </c>
      <c r="I399" s="17"/>
      <c r="J399" s="17"/>
      <c r="K399" s="17"/>
    </row>
    <row r="400" spans="1:11" x14ac:dyDescent="0.2">
      <c r="A400" s="115">
        <v>46144</v>
      </c>
      <c r="B400" s="93" t="s">
        <v>711</v>
      </c>
      <c r="C400" s="94" t="s">
        <v>50</v>
      </c>
      <c r="D400" s="95">
        <v>2981.59</v>
      </c>
      <c r="E400" s="95">
        <v>92.74</v>
      </c>
      <c r="F400" s="96">
        <v>276512.65999999997</v>
      </c>
      <c r="G400" s="97" t="s">
        <v>59</v>
      </c>
      <c r="H400" s="114">
        <f t="shared" si="6"/>
        <v>46143</v>
      </c>
      <c r="I400" s="17"/>
      <c r="J400" s="17"/>
      <c r="K400" s="17"/>
    </row>
    <row r="401" spans="1:11" x14ac:dyDescent="0.2">
      <c r="A401" s="99">
        <v>46145</v>
      </c>
      <c r="B401" s="93" t="s">
        <v>718</v>
      </c>
      <c r="C401" s="94" t="s">
        <v>50</v>
      </c>
      <c r="D401" s="95">
        <v>3000</v>
      </c>
      <c r="E401" s="95">
        <v>92.74</v>
      </c>
      <c r="F401" s="96">
        <v>278220</v>
      </c>
      <c r="G401" s="97" t="s">
        <v>143</v>
      </c>
      <c r="H401" s="114">
        <f t="shared" si="6"/>
        <v>46143</v>
      </c>
      <c r="I401" s="17"/>
      <c r="J401" s="17"/>
      <c r="K401" s="17"/>
    </row>
    <row r="402" spans="1:11" x14ac:dyDescent="0.2">
      <c r="A402" s="115">
        <v>46145</v>
      </c>
      <c r="B402" s="93" t="s">
        <v>719</v>
      </c>
      <c r="C402" s="94" t="s">
        <v>50</v>
      </c>
      <c r="D402" s="95">
        <v>1499.86</v>
      </c>
      <c r="E402" s="95">
        <v>92.74</v>
      </c>
      <c r="F402" s="96">
        <v>139097.01999999999</v>
      </c>
      <c r="G402" s="97" t="s">
        <v>96</v>
      </c>
      <c r="H402" s="114">
        <f t="shared" si="6"/>
        <v>46143</v>
      </c>
      <c r="I402" s="17"/>
      <c r="J402" s="17"/>
      <c r="K402" s="17"/>
    </row>
    <row r="403" spans="1:11" x14ac:dyDescent="0.2">
      <c r="A403" s="115">
        <v>46145</v>
      </c>
      <c r="B403" s="93" t="s">
        <v>720</v>
      </c>
      <c r="C403" s="94" t="s">
        <v>526</v>
      </c>
      <c r="D403" s="95">
        <v>2708.65</v>
      </c>
      <c r="E403" s="95">
        <v>92.74</v>
      </c>
      <c r="F403" s="96">
        <v>251200</v>
      </c>
      <c r="G403" s="97" t="s">
        <v>58</v>
      </c>
      <c r="H403" s="114">
        <f t="shared" si="6"/>
        <v>46143</v>
      </c>
      <c r="I403" s="17"/>
      <c r="J403" s="17"/>
      <c r="K403" s="17"/>
    </row>
    <row r="404" spans="1:11" x14ac:dyDescent="0.2">
      <c r="A404" s="115">
        <v>46145</v>
      </c>
      <c r="B404" s="93" t="s">
        <v>721</v>
      </c>
      <c r="C404" s="94" t="s">
        <v>13</v>
      </c>
      <c r="D404" s="95">
        <v>649.13</v>
      </c>
      <c r="E404" s="95">
        <v>92.74</v>
      </c>
      <c r="F404" s="96">
        <v>60200</v>
      </c>
      <c r="G404" s="97" t="s">
        <v>152</v>
      </c>
      <c r="H404" s="114">
        <f t="shared" si="6"/>
        <v>46143</v>
      </c>
      <c r="I404" s="17"/>
      <c r="J404" s="17"/>
      <c r="K404" s="17"/>
    </row>
    <row r="405" spans="1:11" x14ac:dyDescent="0.2">
      <c r="A405" s="115">
        <v>46145</v>
      </c>
      <c r="B405" s="93" t="s">
        <v>722</v>
      </c>
      <c r="C405" s="94" t="s">
        <v>13</v>
      </c>
      <c r="D405" s="95">
        <v>20</v>
      </c>
      <c r="E405" s="95">
        <v>92.74</v>
      </c>
      <c r="F405" s="96">
        <v>1854.8</v>
      </c>
      <c r="G405" s="97" t="s">
        <v>57</v>
      </c>
      <c r="H405" s="114">
        <f t="shared" si="6"/>
        <v>46143</v>
      </c>
      <c r="I405" s="17"/>
      <c r="J405" s="17"/>
      <c r="K405" s="17"/>
    </row>
    <row r="406" spans="1:11" x14ac:dyDescent="0.2">
      <c r="A406" s="115">
        <v>46145</v>
      </c>
      <c r="B406" s="93" t="s">
        <v>723</v>
      </c>
      <c r="C406" s="94" t="s">
        <v>142</v>
      </c>
      <c r="D406" s="95">
        <v>50</v>
      </c>
      <c r="E406" s="95">
        <v>92.74</v>
      </c>
      <c r="F406" s="96">
        <v>4637</v>
      </c>
      <c r="G406" s="97" t="s">
        <v>55</v>
      </c>
      <c r="H406" s="114">
        <f t="shared" si="6"/>
        <v>46143</v>
      </c>
      <c r="I406" s="17"/>
      <c r="J406" s="17"/>
      <c r="K406" s="17"/>
    </row>
    <row r="407" spans="1:11" x14ac:dyDescent="0.2">
      <c r="A407" s="115">
        <v>46145</v>
      </c>
      <c r="B407" s="93" t="s">
        <v>724</v>
      </c>
      <c r="C407" s="94" t="s">
        <v>45</v>
      </c>
      <c r="D407" s="95">
        <v>30</v>
      </c>
      <c r="E407" s="95">
        <v>92.74</v>
      </c>
      <c r="F407" s="96">
        <v>2782.2</v>
      </c>
      <c r="G407" s="97" t="s">
        <v>56</v>
      </c>
      <c r="H407" s="114">
        <f t="shared" si="6"/>
        <v>46143</v>
      </c>
      <c r="I407" s="17"/>
      <c r="J407" s="17"/>
      <c r="K407" s="17"/>
    </row>
    <row r="408" spans="1:11" x14ac:dyDescent="0.2">
      <c r="A408" s="115">
        <v>46145</v>
      </c>
      <c r="B408" s="93" t="s">
        <v>725</v>
      </c>
      <c r="C408" s="94" t="s">
        <v>45</v>
      </c>
      <c r="D408" s="95">
        <v>48.84</v>
      </c>
      <c r="E408" s="95">
        <v>92.74</v>
      </c>
      <c r="F408" s="96">
        <v>4529.42</v>
      </c>
      <c r="G408" s="97" t="s">
        <v>56</v>
      </c>
      <c r="H408" s="114">
        <f t="shared" si="6"/>
        <v>46143</v>
      </c>
      <c r="I408" s="17"/>
      <c r="J408" s="17"/>
      <c r="K408" s="17"/>
    </row>
    <row r="409" spans="1:11" x14ac:dyDescent="0.2">
      <c r="A409" s="115">
        <v>46145</v>
      </c>
      <c r="B409" s="93" t="s">
        <v>726</v>
      </c>
      <c r="C409" s="94" t="s">
        <v>428</v>
      </c>
      <c r="D409" s="95">
        <v>44.62</v>
      </c>
      <c r="E409" s="95">
        <v>92.74</v>
      </c>
      <c r="F409" s="96">
        <v>4138.05</v>
      </c>
      <c r="G409" s="97" t="s">
        <v>257</v>
      </c>
      <c r="H409" s="114">
        <f t="shared" si="6"/>
        <v>46143</v>
      </c>
      <c r="I409" s="17"/>
      <c r="J409" s="17"/>
      <c r="K409" s="17"/>
    </row>
    <row r="410" spans="1:11" x14ac:dyDescent="0.2">
      <c r="A410" s="115">
        <v>46145</v>
      </c>
      <c r="B410" s="93" t="s">
        <v>727</v>
      </c>
      <c r="C410" s="94" t="s">
        <v>50</v>
      </c>
      <c r="D410" s="95">
        <v>47.36</v>
      </c>
      <c r="E410" s="95">
        <v>92.74</v>
      </c>
      <c r="F410" s="96">
        <v>4392.16</v>
      </c>
      <c r="G410" s="97" t="s">
        <v>54</v>
      </c>
      <c r="H410" s="114">
        <f t="shared" si="6"/>
        <v>46143</v>
      </c>
      <c r="I410" s="17"/>
      <c r="J410" s="17"/>
      <c r="K410" s="17"/>
    </row>
    <row r="411" spans="1:11" x14ac:dyDescent="0.2">
      <c r="A411" s="115">
        <v>46145</v>
      </c>
      <c r="B411" s="93" t="s">
        <v>728</v>
      </c>
      <c r="C411" s="94" t="s">
        <v>41</v>
      </c>
      <c r="D411" s="95">
        <v>52</v>
      </c>
      <c r="E411" s="95">
        <v>92.74</v>
      </c>
      <c r="F411" s="96">
        <v>4822.4799999999996</v>
      </c>
      <c r="G411" s="97" t="s">
        <v>53</v>
      </c>
      <c r="H411" s="114">
        <f t="shared" si="6"/>
        <v>46143</v>
      </c>
      <c r="I411" s="17"/>
      <c r="J411" s="17"/>
      <c r="K411" s="17"/>
    </row>
    <row r="412" spans="1:11" x14ac:dyDescent="0.2">
      <c r="A412" s="99">
        <v>46146</v>
      </c>
      <c r="B412" s="93" t="s">
        <v>734</v>
      </c>
      <c r="C412" s="94" t="s">
        <v>247</v>
      </c>
      <c r="D412" s="95">
        <v>4000</v>
      </c>
      <c r="E412" s="95">
        <v>92.74</v>
      </c>
      <c r="F412" s="96">
        <v>370960</v>
      </c>
      <c r="G412" s="97" t="s">
        <v>51</v>
      </c>
      <c r="H412" s="114">
        <f t="shared" si="6"/>
        <v>46143</v>
      </c>
      <c r="I412" s="17"/>
      <c r="J412" s="17"/>
      <c r="K412" s="17"/>
    </row>
    <row r="413" spans="1:11" x14ac:dyDescent="0.2">
      <c r="A413" s="115">
        <v>46146</v>
      </c>
      <c r="B413" s="93" t="s">
        <v>735</v>
      </c>
      <c r="C413" s="94" t="s">
        <v>526</v>
      </c>
      <c r="D413" s="95">
        <v>1485.87</v>
      </c>
      <c r="E413" s="95">
        <v>92.74</v>
      </c>
      <c r="F413" s="96">
        <v>137800</v>
      </c>
      <c r="G413" s="97" t="s">
        <v>58</v>
      </c>
      <c r="H413" s="114">
        <f t="shared" si="6"/>
        <v>46143</v>
      </c>
      <c r="I413" s="17"/>
      <c r="J413" s="17"/>
      <c r="K413" s="17"/>
    </row>
    <row r="414" spans="1:11" x14ac:dyDescent="0.2">
      <c r="A414" s="115">
        <v>46146</v>
      </c>
      <c r="B414" s="93" t="s">
        <v>736</v>
      </c>
      <c r="C414" s="94" t="s">
        <v>13</v>
      </c>
      <c r="D414" s="95">
        <v>1630.36</v>
      </c>
      <c r="E414" s="95">
        <v>92.74</v>
      </c>
      <c r="F414" s="96">
        <v>151200</v>
      </c>
      <c r="G414" s="97" t="s">
        <v>152</v>
      </c>
      <c r="H414" s="114">
        <f t="shared" si="6"/>
        <v>46143</v>
      </c>
      <c r="I414" s="17"/>
      <c r="J414" s="17"/>
      <c r="K414" s="17"/>
    </row>
    <row r="415" spans="1:11" x14ac:dyDescent="0.2">
      <c r="A415" s="115">
        <v>46146</v>
      </c>
      <c r="B415" s="93" t="s">
        <v>737</v>
      </c>
      <c r="C415" s="94" t="s">
        <v>50</v>
      </c>
      <c r="D415" s="95">
        <v>3000</v>
      </c>
      <c r="E415" s="95">
        <v>92.74</v>
      </c>
      <c r="F415" s="96">
        <v>278220</v>
      </c>
      <c r="G415" s="97" t="s">
        <v>59</v>
      </c>
      <c r="H415" s="114">
        <f t="shared" si="6"/>
        <v>46143</v>
      </c>
      <c r="I415" s="17"/>
      <c r="J415" s="17"/>
      <c r="K415" s="17"/>
    </row>
    <row r="416" spans="1:11" x14ac:dyDescent="0.2">
      <c r="A416" s="115">
        <v>46146</v>
      </c>
      <c r="B416" s="93" t="s">
        <v>738</v>
      </c>
      <c r="C416" s="94" t="s">
        <v>673</v>
      </c>
      <c r="D416" s="95">
        <v>500</v>
      </c>
      <c r="E416" s="95">
        <v>92.74</v>
      </c>
      <c r="F416" s="96">
        <v>46370</v>
      </c>
      <c r="G416" s="97" t="s">
        <v>922</v>
      </c>
      <c r="H416" s="114">
        <f t="shared" si="6"/>
        <v>46143</v>
      </c>
      <c r="I416" s="17"/>
      <c r="J416" s="17"/>
      <c r="K416" s="17"/>
    </row>
    <row r="417" spans="1:11" x14ac:dyDescent="0.2">
      <c r="A417" s="115">
        <v>46146</v>
      </c>
      <c r="B417" s="93" t="s">
        <v>739</v>
      </c>
      <c r="C417" s="94" t="s">
        <v>248</v>
      </c>
      <c r="D417" s="95">
        <v>1200</v>
      </c>
      <c r="E417" s="95">
        <v>92.74</v>
      </c>
      <c r="F417" s="96">
        <v>111288</v>
      </c>
      <c r="G417" s="97" t="s">
        <v>256</v>
      </c>
      <c r="H417" s="114">
        <f t="shared" si="6"/>
        <v>46143</v>
      </c>
      <c r="I417" s="17"/>
      <c r="J417" s="17"/>
      <c r="K417" s="17"/>
    </row>
    <row r="418" spans="1:11" x14ac:dyDescent="0.2">
      <c r="A418" s="115">
        <v>46146</v>
      </c>
      <c r="B418" s="93" t="s">
        <v>740</v>
      </c>
      <c r="C418" s="94" t="s">
        <v>44</v>
      </c>
      <c r="D418" s="95">
        <v>45.29</v>
      </c>
      <c r="E418" s="95">
        <v>92.74</v>
      </c>
      <c r="F418" s="96">
        <v>4200.1899999999996</v>
      </c>
      <c r="G418" s="97" t="s">
        <v>56</v>
      </c>
      <c r="H418" s="114">
        <f t="shared" si="6"/>
        <v>46143</v>
      </c>
      <c r="I418" s="17"/>
      <c r="J418" s="17"/>
      <c r="K418" s="17"/>
    </row>
    <row r="419" spans="1:11" x14ac:dyDescent="0.2">
      <c r="A419" s="115">
        <v>46146</v>
      </c>
      <c r="B419" s="93" t="s">
        <v>741</v>
      </c>
      <c r="C419" s="94" t="s">
        <v>742</v>
      </c>
      <c r="D419" s="95">
        <v>98.74</v>
      </c>
      <c r="E419" s="95">
        <v>92.74</v>
      </c>
      <c r="F419" s="96">
        <v>9157.14</v>
      </c>
      <c r="G419" s="97" t="s">
        <v>714</v>
      </c>
      <c r="H419" s="114">
        <f t="shared" si="6"/>
        <v>46143</v>
      </c>
      <c r="I419" s="17"/>
      <c r="J419" s="17"/>
      <c r="K419" s="17"/>
    </row>
    <row r="420" spans="1:11" x14ac:dyDescent="0.2">
      <c r="A420" s="99">
        <v>46147</v>
      </c>
      <c r="B420" s="93" t="s">
        <v>746</v>
      </c>
      <c r="C420" s="94" t="s">
        <v>40</v>
      </c>
      <c r="D420" s="95">
        <v>6000</v>
      </c>
      <c r="E420" s="95">
        <v>92.74</v>
      </c>
      <c r="F420" s="96">
        <v>556440</v>
      </c>
      <c r="G420" s="97" t="s">
        <v>143</v>
      </c>
      <c r="H420" s="114">
        <f t="shared" si="6"/>
        <v>46143</v>
      </c>
      <c r="I420" s="17"/>
      <c r="J420" s="17"/>
      <c r="K420" s="17"/>
    </row>
    <row r="421" spans="1:11" x14ac:dyDescent="0.2">
      <c r="A421" s="115">
        <v>46147</v>
      </c>
      <c r="B421" s="93" t="s">
        <v>747</v>
      </c>
      <c r="C421" s="94" t="s">
        <v>247</v>
      </c>
      <c r="D421" s="95">
        <v>4000</v>
      </c>
      <c r="E421" s="95">
        <v>92.74</v>
      </c>
      <c r="F421" s="96">
        <v>370960</v>
      </c>
      <c r="G421" s="97" t="s">
        <v>51</v>
      </c>
      <c r="H421" s="114">
        <f t="shared" si="6"/>
        <v>46143</v>
      </c>
      <c r="I421" s="17"/>
      <c r="J421" s="17"/>
      <c r="K421" s="17"/>
    </row>
    <row r="422" spans="1:11" x14ac:dyDescent="0.2">
      <c r="A422" s="115">
        <v>46147</v>
      </c>
      <c r="B422" s="93" t="s">
        <v>748</v>
      </c>
      <c r="C422" s="94" t="s">
        <v>129</v>
      </c>
      <c r="D422" s="95">
        <v>106</v>
      </c>
      <c r="E422" s="95">
        <v>92.74</v>
      </c>
      <c r="F422" s="96">
        <v>9830.44</v>
      </c>
      <c r="G422" s="97" t="s">
        <v>56</v>
      </c>
      <c r="H422" s="114">
        <f t="shared" si="6"/>
        <v>46143</v>
      </c>
      <c r="I422" s="17"/>
      <c r="J422" s="17"/>
      <c r="K422" s="17"/>
    </row>
    <row r="423" spans="1:11" x14ac:dyDescent="0.2">
      <c r="A423" s="115">
        <v>46147</v>
      </c>
      <c r="B423" s="93" t="s">
        <v>749</v>
      </c>
      <c r="C423" s="94" t="s">
        <v>45</v>
      </c>
      <c r="D423" s="95">
        <v>50</v>
      </c>
      <c r="E423" s="95">
        <v>92.74</v>
      </c>
      <c r="F423" s="96">
        <v>4637</v>
      </c>
      <c r="G423" s="97" t="s">
        <v>56</v>
      </c>
      <c r="H423" s="114">
        <f t="shared" si="6"/>
        <v>46143</v>
      </c>
      <c r="I423" s="17"/>
      <c r="J423" s="17"/>
      <c r="K423" s="17"/>
    </row>
    <row r="424" spans="1:11" x14ac:dyDescent="0.2">
      <c r="A424" s="115">
        <v>46147</v>
      </c>
      <c r="B424" s="93" t="s">
        <v>750</v>
      </c>
      <c r="C424" s="94" t="s">
        <v>759</v>
      </c>
      <c r="D424" s="95">
        <v>600</v>
      </c>
      <c r="E424" s="95">
        <v>92.74</v>
      </c>
      <c r="F424" s="96">
        <v>55644</v>
      </c>
      <c r="G424" s="97" t="s">
        <v>92</v>
      </c>
      <c r="H424" s="114">
        <f t="shared" si="6"/>
        <v>46143</v>
      </c>
      <c r="I424" s="17"/>
      <c r="J424" s="17"/>
      <c r="K424" s="17"/>
    </row>
    <row r="425" spans="1:11" x14ac:dyDescent="0.2">
      <c r="A425" s="115">
        <v>46147</v>
      </c>
      <c r="B425" s="93" t="s">
        <v>751</v>
      </c>
      <c r="C425" s="94" t="s">
        <v>521</v>
      </c>
      <c r="D425" s="95">
        <v>21.57</v>
      </c>
      <c r="E425" s="95">
        <v>92.74</v>
      </c>
      <c r="F425" s="96">
        <v>2000</v>
      </c>
      <c r="G425" s="97" t="s">
        <v>257</v>
      </c>
      <c r="H425" s="114">
        <f t="shared" si="6"/>
        <v>46143</v>
      </c>
      <c r="I425" s="17"/>
      <c r="J425" s="17"/>
      <c r="K425" s="17"/>
    </row>
    <row r="426" spans="1:11" x14ac:dyDescent="0.2">
      <c r="A426" s="115">
        <v>46147</v>
      </c>
      <c r="B426" s="93" t="s">
        <v>752</v>
      </c>
      <c r="C426" s="94" t="s">
        <v>760</v>
      </c>
      <c r="D426" s="95">
        <v>150</v>
      </c>
      <c r="E426" s="95">
        <v>92.74</v>
      </c>
      <c r="F426" s="96">
        <v>13911</v>
      </c>
      <c r="G426" s="97" t="s">
        <v>714</v>
      </c>
      <c r="H426" s="114">
        <f t="shared" si="6"/>
        <v>46143</v>
      </c>
      <c r="I426" s="17"/>
      <c r="J426" s="17"/>
      <c r="K426" s="17"/>
    </row>
    <row r="427" spans="1:11" x14ac:dyDescent="0.2">
      <c r="A427" s="115">
        <v>46147</v>
      </c>
      <c r="B427" s="93" t="s">
        <v>753</v>
      </c>
      <c r="C427" s="94" t="s">
        <v>13</v>
      </c>
      <c r="D427" s="95">
        <v>400</v>
      </c>
      <c r="E427" s="95">
        <v>92.74</v>
      </c>
      <c r="F427" s="96">
        <v>37096</v>
      </c>
      <c r="G427" s="97" t="s">
        <v>57</v>
      </c>
      <c r="H427" s="114">
        <f t="shared" si="6"/>
        <v>46143</v>
      </c>
      <c r="I427" s="17"/>
      <c r="J427" s="17"/>
      <c r="K427" s="17"/>
    </row>
    <row r="428" spans="1:11" x14ac:dyDescent="0.2">
      <c r="A428" s="115">
        <v>46147</v>
      </c>
      <c r="B428" s="93" t="s">
        <v>754</v>
      </c>
      <c r="C428" s="94" t="s">
        <v>525</v>
      </c>
      <c r="D428" s="95">
        <v>103.13</v>
      </c>
      <c r="E428" s="95">
        <v>92.74</v>
      </c>
      <c r="F428" s="96">
        <v>9564.4</v>
      </c>
      <c r="G428" s="97" t="s">
        <v>58</v>
      </c>
      <c r="H428" s="114">
        <f t="shared" si="6"/>
        <v>46143</v>
      </c>
      <c r="I428" s="17"/>
      <c r="J428" s="17"/>
      <c r="K428" s="17"/>
    </row>
    <row r="429" spans="1:11" x14ac:dyDescent="0.2">
      <c r="A429" s="115">
        <v>46147</v>
      </c>
      <c r="B429" s="93" t="s">
        <v>755</v>
      </c>
      <c r="C429" s="94" t="s">
        <v>526</v>
      </c>
      <c r="D429" s="95">
        <v>2159.8000000000002</v>
      </c>
      <c r="E429" s="95">
        <v>92.74</v>
      </c>
      <c r="F429" s="96">
        <v>200300</v>
      </c>
      <c r="G429" s="97" t="s">
        <v>58</v>
      </c>
      <c r="H429" s="114">
        <f t="shared" si="6"/>
        <v>46143</v>
      </c>
      <c r="I429" s="17"/>
      <c r="J429" s="17"/>
      <c r="K429" s="17"/>
    </row>
    <row r="430" spans="1:11" x14ac:dyDescent="0.2">
      <c r="A430" s="115">
        <v>46147</v>
      </c>
      <c r="B430" s="93" t="s">
        <v>756</v>
      </c>
      <c r="C430" s="94" t="s">
        <v>13</v>
      </c>
      <c r="D430" s="95">
        <v>90.58</v>
      </c>
      <c r="E430" s="95">
        <v>92.74</v>
      </c>
      <c r="F430" s="96">
        <v>8400</v>
      </c>
      <c r="G430" s="97" t="s">
        <v>152</v>
      </c>
      <c r="H430" s="114">
        <f t="shared" si="6"/>
        <v>46143</v>
      </c>
      <c r="I430" s="17"/>
      <c r="J430" s="17"/>
      <c r="K430" s="17"/>
    </row>
    <row r="431" spans="1:11" x14ac:dyDescent="0.2">
      <c r="A431" s="115">
        <v>46147</v>
      </c>
      <c r="B431" s="93" t="s">
        <v>757</v>
      </c>
      <c r="C431" s="94" t="s">
        <v>50</v>
      </c>
      <c r="D431" s="95">
        <v>1500</v>
      </c>
      <c r="E431" s="95">
        <v>92.74</v>
      </c>
      <c r="F431" s="96">
        <v>139110</v>
      </c>
      <c r="G431" s="97" t="s">
        <v>96</v>
      </c>
      <c r="H431" s="114">
        <f t="shared" si="6"/>
        <v>46143</v>
      </c>
      <c r="I431" s="17"/>
      <c r="J431" s="17"/>
      <c r="K431" s="17"/>
    </row>
    <row r="432" spans="1:11" x14ac:dyDescent="0.2">
      <c r="A432" s="115">
        <v>46147</v>
      </c>
      <c r="B432" s="93" t="s">
        <v>758</v>
      </c>
      <c r="C432" s="94" t="s">
        <v>50</v>
      </c>
      <c r="D432" s="95">
        <v>2999.27</v>
      </c>
      <c r="E432" s="95">
        <v>92.74</v>
      </c>
      <c r="F432" s="96">
        <v>278152.3</v>
      </c>
      <c r="G432" s="97" t="s">
        <v>59</v>
      </c>
      <c r="H432" s="114">
        <f t="shared" si="6"/>
        <v>46143</v>
      </c>
      <c r="I432" s="17"/>
      <c r="J432" s="17"/>
      <c r="K432" s="17"/>
    </row>
    <row r="433" spans="1:11" x14ac:dyDescent="0.2">
      <c r="A433" s="99">
        <v>46148</v>
      </c>
      <c r="B433" s="93" t="s">
        <v>767</v>
      </c>
      <c r="C433" s="94" t="s">
        <v>50</v>
      </c>
      <c r="D433" s="95">
        <v>3000</v>
      </c>
      <c r="E433" s="95">
        <v>92.74</v>
      </c>
      <c r="F433" s="96">
        <v>278220</v>
      </c>
      <c r="G433" s="97" t="s">
        <v>51</v>
      </c>
      <c r="H433" s="114">
        <f t="shared" si="6"/>
        <v>46143</v>
      </c>
      <c r="I433" s="17"/>
      <c r="J433" s="17"/>
      <c r="K433" s="17"/>
    </row>
    <row r="434" spans="1:11" x14ac:dyDescent="0.2">
      <c r="A434" s="115">
        <v>46148</v>
      </c>
      <c r="B434" s="93" t="s">
        <v>768</v>
      </c>
      <c r="C434" s="94" t="s">
        <v>50</v>
      </c>
      <c r="D434" s="95">
        <v>3000</v>
      </c>
      <c r="E434" s="95">
        <v>92.74</v>
      </c>
      <c r="F434" s="96">
        <v>278220</v>
      </c>
      <c r="G434" s="97" t="s">
        <v>143</v>
      </c>
      <c r="H434" s="114">
        <f t="shared" si="6"/>
        <v>46143</v>
      </c>
      <c r="I434" s="17"/>
      <c r="J434" s="17"/>
      <c r="K434" s="17"/>
    </row>
    <row r="435" spans="1:11" x14ac:dyDescent="0.2">
      <c r="A435" s="115">
        <v>46148</v>
      </c>
      <c r="B435" s="93" t="s">
        <v>769</v>
      </c>
      <c r="C435" s="94" t="s">
        <v>247</v>
      </c>
      <c r="D435" s="95">
        <v>3000</v>
      </c>
      <c r="E435" s="95">
        <v>92.74</v>
      </c>
      <c r="F435" s="96">
        <v>278220</v>
      </c>
      <c r="G435" s="97" t="s">
        <v>51</v>
      </c>
      <c r="H435" s="114">
        <f t="shared" si="6"/>
        <v>46143</v>
      </c>
      <c r="I435" s="17"/>
      <c r="J435" s="17"/>
      <c r="K435" s="17"/>
    </row>
    <row r="436" spans="1:11" x14ac:dyDescent="0.2">
      <c r="A436" s="115">
        <v>46148</v>
      </c>
      <c r="B436" s="93" t="s">
        <v>770</v>
      </c>
      <c r="C436" s="94" t="s">
        <v>790</v>
      </c>
      <c r="D436" s="95">
        <v>200</v>
      </c>
      <c r="E436" s="95">
        <v>92.74</v>
      </c>
      <c r="F436" s="96">
        <v>18548</v>
      </c>
      <c r="G436" s="97" t="s">
        <v>92</v>
      </c>
      <c r="H436" s="114">
        <f t="shared" si="6"/>
        <v>46143</v>
      </c>
      <c r="I436" s="17"/>
      <c r="J436" s="17"/>
      <c r="K436" s="17"/>
    </row>
    <row r="437" spans="1:11" x14ac:dyDescent="0.2">
      <c r="A437" s="115">
        <v>46148</v>
      </c>
      <c r="B437" s="93" t="s">
        <v>771</v>
      </c>
      <c r="C437" s="94" t="s">
        <v>791</v>
      </c>
      <c r="D437" s="95">
        <v>3000</v>
      </c>
      <c r="E437" s="95">
        <v>92.74</v>
      </c>
      <c r="F437" s="96">
        <v>278220</v>
      </c>
      <c r="G437" s="97" t="s">
        <v>584</v>
      </c>
      <c r="H437" s="114">
        <f t="shared" si="6"/>
        <v>46143</v>
      </c>
      <c r="I437" s="17"/>
      <c r="J437" s="17"/>
      <c r="K437" s="17"/>
    </row>
    <row r="438" spans="1:11" x14ac:dyDescent="0.2">
      <c r="A438" s="115">
        <v>46148</v>
      </c>
      <c r="B438" s="93" t="s">
        <v>772</v>
      </c>
      <c r="C438" s="94" t="s">
        <v>44</v>
      </c>
      <c r="D438" s="95">
        <v>41.17</v>
      </c>
      <c r="E438" s="95">
        <v>92.74</v>
      </c>
      <c r="F438" s="96">
        <v>3818.1</v>
      </c>
      <c r="G438" s="97" t="s">
        <v>56</v>
      </c>
      <c r="H438" s="114">
        <f t="shared" si="6"/>
        <v>46143</v>
      </c>
      <c r="I438" s="17"/>
      <c r="J438" s="17"/>
      <c r="K438" s="17"/>
    </row>
    <row r="439" spans="1:11" x14ac:dyDescent="0.2">
      <c r="A439" s="115">
        <v>46148</v>
      </c>
      <c r="B439" s="93" t="s">
        <v>773</v>
      </c>
      <c r="C439" s="94" t="s">
        <v>248</v>
      </c>
      <c r="D439" s="95">
        <v>1500</v>
      </c>
      <c r="E439" s="95">
        <v>92.74</v>
      </c>
      <c r="F439" s="96">
        <v>139110</v>
      </c>
      <c r="G439" s="97" t="s">
        <v>256</v>
      </c>
      <c r="H439" s="114">
        <f t="shared" si="6"/>
        <v>46143</v>
      </c>
      <c r="I439" s="17"/>
      <c r="J439" s="17"/>
      <c r="K439" s="17"/>
    </row>
    <row r="440" spans="1:11" x14ac:dyDescent="0.2">
      <c r="A440" s="115">
        <v>46148</v>
      </c>
      <c r="B440" s="93" t="s">
        <v>774</v>
      </c>
      <c r="C440" s="94" t="s">
        <v>521</v>
      </c>
      <c r="D440" s="95">
        <v>50.53</v>
      </c>
      <c r="E440" s="95">
        <v>92.74</v>
      </c>
      <c r="F440" s="96">
        <v>4686.1499999999996</v>
      </c>
      <c r="G440" s="97" t="s">
        <v>257</v>
      </c>
      <c r="H440" s="114">
        <f t="shared" si="6"/>
        <v>46143</v>
      </c>
      <c r="I440" s="17"/>
      <c r="J440" s="17"/>
      <c r="K440" s="17"/>
    </row>
    <row r="441" spans="1:11" x14ac:dyDescent="0.2">
      <c r="A441" s="115">
        <v>46148</v>
      </c>
      <c r="B441" s="93" t="s">
        <v>775</v>
      </c>
      <c r="C441" s="94" t="s">
        <v>713</v>
      </c>
      <c r="D441" s="95">
        <v>100</v>
      </c>
      <c r="E441" s="95">
        <v>92.74</v>
      </c>
      <c r="F441" s="96">
        <v>9274</v>
      </c>
      <c r="G441" s="97" t="s">
        <v>714</v>
      </c>
      <c r="H441" s="114">
        <f t="shared" si="6"/>
        <v>46143</v>
      </c>
      <c r="I441" s="17"/>
      <c r="J441" s="17"/>
      <c r="K441" s="17"/>
    </row>
    <row r="442" spans="1:11" x14ac:dyDescent="0.2">
      <c r="A442" s="115">
        <v>46148</v>
      </c>
      <c r="B442" s="93" t="s">
        <v>776</v>
      </c>
      <c r="C442" s="94" t="s">
        <v>792</v>
      </c>
      <c r="D442" s="95">
        <v>350</v>
      </c>
      <c r="E442" s="95">
        <v>92.74</v>
      </c>
      <c r="F442" s="96">
        <v>32459</v>
      </c>
      <c r="G442" s="97" t="s">
        <v>714</v>
      </c>
      <c r="H442" s="114">
        <f t="shared" si="6"/>
        <v>46143</v>
      </c>
      <c r="I442" s="17"/>
      <c r="J442" s="17"/>
      <c r="K442" s="17"/>
    </row>
    <row r="443" spans="1:11" x14ac:dyDescent="0.2">
      <c r="A443" s="115">
        <v>46148</v>
      </c>
      <c r="B443" s="93" t="s">
        <v>777</v>
      </c>
      <c r="C443" s="94" t="s">
        <v>13</v>
      </c>
      <c r="D443" s="95">
        <v>20</v>
      </c>
      <c r="E443" s="95">
        <v>92.74</v>
      </c>
      <c r="F443" s="96">
        <v>1854.8</v>
      </c>
      <c r="G443" s="97" t="s">
        <v>217</v>
      </c>
      <c r="H443" s="114">
        <f t="shared" si="6"/>
        <v>46143</v>
      </c>
      <c r="I443" s="17"/>
      <c r="J443" s="17"/>
      <c r="K443" s="17"/>
    </row>
    <row r="444" spans="1:11" x14ac:dyDescent="0.2">
      <c r="A444" s="115">
        <v>46148</v>
      </c>
      <c r="B444" s="93" t="s">
        <v>778</v>
      </c>
      <c r="C444" s="94" t="s">
        <v>526</v>
      </c>
      <c r="D444" s="95">
        <v>2413.1999999999998</v>
      </c>
      <c r="E444" s="95">
        <v>92.74</v>
      </c>
      <c r="F444" s="96">
        <v>223800</v>
      </c>
      <c r="G444" s="97" t="s">
        <v>58</v>
      </c>
      <c r="H444" s="114">
        <f t="shared" si="6"/>
        <v>46143</v>
      </c>
      <c r="I444" s="17"/>
      <c r="J444" s="17"/>
      <c r="K444" s="17"/>
    </row>
    <row r="445" spans="1:11" x14ac:dyDescent="0.2">
      <c r="A445" s="115">
        <v>46148</v>
      </c>
      <c r="B445" s="93" t="s">
        <v>779</v>
      </c>
      <c r="C445" s="94" t="s">
        <v>525</v>
      </c>
      <c r="D445" s="95">
        <v>10.79</v>
      </c>
      <c r="E445" s="95">
        <v>92.74</v>
      </c>
      <c r="F445" s="96">
        <v>1000</v>
      </c>
      <c r="G445" s="97" t="s">
        <v>58</v>
      </c>
      <c r="H445" s="114">
        <f t="shared" si="6"/>
        <v>46143</v>
      </c>
      <c r="I445" s="17"/>
      <c r="J445" s="17"/>
      <c r="K445" s="17"/>
    </row>
    <row r="446" spans="1:11" x14ac:dyDescent="0.2">
      <c r="A446" s="115">
        <v>46148</v>
      </c>
      <c r="B446" s="93" t="s">
        <v>780</v>
      </c>
      <c r="C446" s="94" t="s">
        <v>582</v>
      </c>
      <c r="D446" s="95">
        <v>500</v>
      </c>
      <c r="E446" s="95">
        <v>92.74</v>
      </c>
      <c r="F446" s="96">
        <v>46370</v>
      </c>
      <c r="G446" s="97" t="s">
        <v>922</v>
      </c>
      <c r="H446" s="114">
        <f t="shared" si="6"/>
        <v>46143</v>
      </c>
      <c r="I446" s="17"/>
      <c r="J446" s="17"/>
      <c r="K446" s="17"/>
    </row>
    <row r="447" spans="1:11" x14ac:dyDescent="0.2">
      <c r="A447" s="115">
        <v>46148</v>
      </c>
      <c r="B447" s="93" t="s">
        <v>781</v>
      </c>
      <c r="C447" s="94" t="s">
        <v>383</v>
      </c>
      <c r="D447" s="95">
        <v>113.22</v>
      </c>
      <c r="E447" s="95">
        <v>92.74</v>
      </c>
      <c r="F447" s="96">
        <v>10500</v>
      </c>
      <c r="G447" s="97" t="s">
        <v>435</v>
      </c>
      <c r="H447" s="114">
        <f t="shared" si="6"/>
        <v>46143</v>
      </c>
      <c r="I447" s="17"/>
      <c r="J447" s="17"/>
      <c r="K447" s="17"/>
    </row>
    <row r="448" spans="1:11" x14ac:dyDescent="0.2">
      <c r="A448" s="115">
        <v>46148</v>
      </c>
      <c r="B448" s="93" t="s">
        <v>782</v>
      </c>
      <c r="C448" s="94" t="s">
        <v>793</v>
      </c>
      <c r="D448" s="95">
        <v>113.22</v>
      </c>
      <c r="E448" s="95">
        <v>92.74</v>
      </c>
      <c r="F448" s="96">
        <v>10500</v>
      </c>
      <c r="G448" s="97" t="s">
        <v>435</v>
      </c>
      <c r="H448" s="114">
        <f t="shared" si="6"/>
        <v>46143</v>
      </c>
      <c r="I448" s="17"/>
      <c r="J448" s="17"/>
      <c r="K448" s="17"/>
    </row>
    <row r="449" spans="1:11" x14ac:dyDescent="0.2">
      <c r="A449" s="115">
        <v>46148</v>
      </c>
      <c r="B449" s="93" t="s">
        <v>783</v>
      </c>
      <c r="C449" s="94" t="s">
        <v>794</v>
      </c>
      <c r="D449" s="95">
        <v>113.22</v>
      </c>
      <c r="E449" s="95">
        <v>92.74</v>
      </c>
      <c r="F449" s="96">
        <v>10500</v>
      </c>
      <c r="G449" s="97" t="s">
        <v>435</v>
      </c>
      <c r="H449" s="114">
        <f t="shared" si="6"/>
        <v>46143</v>
      </c>
      <c r="I449" s="17"/>
      <c r="J449" s="17"/>
      <c r="K449" s="17"/>
    </row>
    <row r="450" spans="1:11" x14ac:dyDescent="0.2">
      <c r="A450" s="115">
        <v>46148</v>
      </c>
      <c r="B450" s="93" t="s">
        <v>784</v>
      </c>
      <c r="C450" s="94" t="s">
        <v>795</v>
      </c>
      <c r="D450" s="95">
        <v>113.22</v>
      </c>
      <c r="E450" s="95">
        <v>92.74</v>
      </c>
      <c r="F450" s="96">
        <v>10500</v>
      </c>
      <c r="G450" s="97" t="s">
        <v>435</v>
      </c>
      <c r="H450" s="114">
        <f t="shared" si="6"/>
        <v>46143</v>
      </c>
      <c r="I450" s="17"/>
      <c r="J450" s="17"/>
      <c r="K450" s="17"/>
    </row>
    <row r="451" spans="1:11" x14ac:dyDescent="0.2">
      <c r="A451" s="115">
        <v>46148</v>
      </c>
      <c r="B451" s="93" t="s">
        <v>785</v>
      </c>
      <c r="C451" s="94" t="s">
        <v>796</v>
      </c>
      <c r="D451" s="95">
        <v>113.22</v>
      </c>
      <c r="E451" s="95">
        <v>92.74</v>
      </c>
      <c r="F451" s="96">
        <v>10500</v>
      </c>
      <c r="G451" s="97" t="s">
        <v>435</v>
      </c>
      <c r="H451" s="114">
        <f t="shared" si="6"/>
        <v>46143</v>
      </c>
      <c r="I451" s="17"/>
      <c r="J451" s="17"/>
      <c r="K451" s="17"/>
    </row>
    <row r="452" spans="1:11" x14ac:dyDescent="0.2">
      <c r="A452" s="115">
        <v>46148</v>
      </c>
      <c r="B452" s="93" t="s">
        <v>786</v>
      </c>
      <c r="C452" s="94" t="s">
        <v>797</v>
      </c>
      <c r="D452" s="95">
        <v>113.22</v>
      </c>
      <c r="E452" s="95">
        <v>92.74</v>
      </c>
      <c r="F452" s="96">
        <v>10500</v>
      </c>
      <c r="G452" s="97" t="s">
        <v>435</v>
      </c>
      <c r="H452" s="114">
        <f t="shared" ref="H452:H515" si="7">IF(A452&lt;&gt;"", EOMONTH(A452, -1) + 1, "")</f>
        <v>46143</v>
      </c>
      <c r="I452" s="17"/>
      <c r="J452" s="17"/>
      <c r="K452" s="17"/>
    </row>
    <row r="453" spans="1:11" x14ac:dyDescent="0.2">
      <c r="A453" s="115">
        <v>46148</v>
      </c>
      <c r="B453" s="93" t="s">
        <v>787</v>
      </c>
      <c r="C453" s="94" t="s">
        <v>385</v>
      </c>
      <c r="D453" s="95">
        <v>113.22</v>
      </c>
      <c r="E453" s="95">
        <v>92.74</v>
      </c>
      <c r="F453" s="96">
        <v>10500</v>
      </c>
      <c r="G453" s="97" t="s">
        <v>435</v>
      </c>
      <c r="H453" s="114">
        <f t="shared" si="7"/>
        <v>46143</v>
      </c>
      <c r="I453" s="17"/>
      <c r="J453" s="17"/>
      <c r="K453" s="17"/>
    </row>
    <row r="454" spans="1:11" x14ac:dyDescent="0.2">
      <c r="A454" s="115">
        <v>46148</v>
      </c>
      <c r="B454" s="93" t="s">
        <v>788</v>
      </c>
      <c r="C454" s="94" t="s">
        <v>674</v>
      </c>
      <c r="D454" s="95">
        <v>113.22</v>
      </c>
      <c r="E454" s="95">
        <v>92.74</v>
      </c>
      <c r="F454" s="96">
        <v>10500</v>
      </c>
      <c r="G454" s="97" t="s">
        <v>435</v>
      </c>
      <c r="H454" s="114">
        <f t="shared" si="7"/>
        <v>46143</v>
      </c>
      <c r="I454" s="17"/>
      <c r="J454" s="17"/>
      <c r="K454" s="17"/>
    </row>
    <row r="455" spans="1:11" x14ac:dyDescent="0.2">
      <c r="A455" s="115">
        <v>46148</v>
      </c>
      <c r="B455" s="93" t="s">
        <v>789</v>
      </c>
      <c r="C455" s="94" t="s">
        <v>798</v>
      </c>
      <c r="D455" s="95">
        <v>113.22</v>
      </c>
      <c r="E455" s="95">
        <v>92.74</v>
      </c>
      <c r="F455" s="96">
        <v>10500</v>
      </c>
      <c r="G455" s="97" t="s">
        <v>435</v>
      </c>
      <c r="H455" s="114">
        <f t="shared" si="7"/>
        <v>46143</v>
      </c>
      <c r="I455" s="17"/>
      <c r="J455" s="17"/>
      <c r="K455" s="17"/>
    </row>
    <row r="456" spans="1:11" x14ac:dyDescent="0.2">
      <c r="A456" s="99">
        <v>46149</v>
      </c>
      <c r="B456" s="93" t="s">
        <v>799</v>
      </c>
      <c r="C456" s="94" t="s">
        <v>40</v>
      </c>
      <c r="D456" s="95">
        <v>12000</v>
      </c>
      <c r="E456" s="95">
        <v>92.74</v>
      </c>
      <c r="F456" s="96">
        <v>1112880</v>
      </c>
      <c r="G456" s="97" t="s">
        <v>143</v>
      </c>
      <c r="H456" s="114">
        <f t="shared" si="7"/>
        <v>46143</v>
      </c>
      <c r="I456" s="17"/>
      <c r="J456" s="17"/>
      <c r="K456" s="17"/>
    </row>
    <row r="457" spans="1:11" x14ac:dyDescent="0.2">
      <c r="A457" s="115">
        <v>46149</v>
      </c>
      <c r="B457" s="93" t="s">
        <v>800</v>
      </c>
      <c r="C457" s="94" t="s">
        <v>50</v>
      </c>
      <c r="D457" s="95">
        <v>3000.14</v>
      </c>
      <c r="E457" s="95">
        <v>92.74</v>
      </c>
      <c r="F457" s="96">
        <v>278232.98</v>
      </c>
      <c r="G457" s="97" t="s">
        <v>59</v>
      </c>
      <c r="H457" s="114">
        <f t="shared" si="7"/>
        <v>46143</v>
      </c>
      <c r="I457" s="17"/>
      <c r="J457" s="17"/>
      <c r="K457" s="17"/>
    </row>
    <row r="458" spans="1:11" x14ac:dyDescent="0.2">
      <c r="A458" s="115">
        <v>46149</v>
      </c>
      <c r="B458" s="93" t="s">
        <v>801</v>
      </c>
      <c r="C458" s="94" t="s">
        <v>526</v>
      </c>
      <c r="D458" s="95">
        <v>30.19</v>
      </c>
      <c r="E458" s="95">
        <v>92.74</v>
      </c>
      <c r="F458" s="96">
        <v>2800</v>
      </c>
      <c r="G458" s="97" t="s">
        <v>58</v>
      </c>
      <c r="H458" s="114">
        <f t="shared" si="7"/>
        <v>46143</v>
      </c>
      <c r="I458" s="17"/>
      <c r="J458" s="17"/>
      <c r="K458" s="17"/>
    </row>
    <row r="459" spans="1:11" x14ac:dyDescent="0.2">
      <c r="A459" s="99">
        <v>46150</v>
      </c>
      <c r="B459" s="93" t="s">
        <v>804</v>
      </c>
      <c r="C459" s="94" t="s">
        <v>216</v>
      </c>
      <c r="D459" s="95">
        <v>20</v>
      </c>
      <c r="E459" s="95">
        <v>92.74</v>
      </c>
      <c r="F459" s="96">
        <v>1854.8</v>
      </c>
      <c r="G459" s="97" t="s">
        <v>217</v>
      </c>
      <c r="H459" s="114">
        <f t="shared" si="7"/>
        <v>46143</v>
      </c>
      <c r="I459" s="17"/>
      <c r="J459" s="17"/>
      <c r="K459" s="17"/>
    </row>
    <row r="460" spans="1:11" x14ac:dyDescent="0.2">
      <c r="A460" s="99">
        <v>46151</v>
      </c>
      <c r="B460" s="93" t="s">
        <v>809</v>
      </c>
      <c r="C460" s="94" t="s">
        <v>650</v>
      </c>
      <c r="D460" s="95">
        <v>20</v>
      </c>
      <c r="E460" s="95">
        <v>92.74</v>
      </c>
      <c r="F460" s="96">
        <v>1854.8</v>
      </c>
      <c r="G460" s="97" t="s">
        <v>55</v>
      </c>
      <c r="H460" s="114">
        <f t="shared" si="7"/>
        <v>46143</v>
      </c>
      <c r="I460" s="17"/>
      <c r="J460" s="17"/>
      <c r="K460" s="17"/>
    </row>
    <row r="461" spans="1:11" x14ac:dyDescent="0.2">
      <c r="A461" s="115">
        <v>46151</v>
      </c>
      <c r="B461" s="93" t="s">
        <v>810</v>
      </c>
      <c r="C461" s="94" t="s">
        <v>821</v>
      </c>
      <c r="D461" s="95">
        <v>371</v>
      </c>
      <c r="E461" s="95">
        <v>92.74</v>
      </c>
      <c r="F461" s="96">
        <v>34406.54</v>
      </c>
      <c r="G461" s="97" t="s">
        <v>714</v>
      </c>
      <c r="H461" s="114">
        <f t="shared" si="7"/>
        <v>46143</v>
      </c>
      <c r="I461" s="17"/>
      <c r="J461" s="17"/>
      <c r="K461" s="17"/>
    </row>
    <row r="462" spans="1:11" x14ac:dyDescent="0.2">
      <c r="A462" s="115">
        <v>46151</v>
      </c>
      <c r="B462" s="93" t="s">
        <v>811</v>
      </c>
      <c r="C462" s="94" t="s">
        <v>822</v>
      </c>
      <c r="D462" s="95">
        <v>100</v>
      </c>
      <c r="E462" s="95">
        <v>92.74</v>
      </c>
      <c r="F462" s="96">
        <v>9274</v>
      </c>
      <c r="G462" s="97" t="s">
        <v>714</v>
      </c>
      <c r="H462" s="114">
        <f t="shared" si="7"/>
        <v>46143</v>
      </c>
      <c r="I462" s="17"/>
      <c r="J462" s="17"/>
      <c r="K462" s="17"/>
    </row>
    <row r="463" spans="1:11" x14ac:dyDescent="0.2">
      <c r="A463" s="115">
        <v>46151</v>
      </c>
      <c r="B463" s="93" t="s">
        <v>812</v>
      </c>
      <c r="C463" s="94" t="s">
        <v>45</v>
      </c>
      <c r="D463" s="95">
        <v>80</v>
      </c>
      <c r="E463" s="95">
        <v>92.74</v>
      </c>
      <c r="F463" s="96">
        <v>7419.2</v>
      </c>
      <c r="G463" s="97" t="s">
        <v>56</v>
      </c>
      <c r="H463" s="114">
        <f t="shared" si="7"/>
        <v>46143</v>
      </c>
      <c r="I463" s="17"/>
      <c r="J463" s="17"/>
      <c r="K463" s="17"/>
    </row>
    <row r="464" spans="1:11" x14ac:dyDescent="0.2">
      <c r="A464" s="115">
        <v>46151</v>
      </c>
      <c r="B464" s="93" t="s">
        <v>813</v>
      </c>
      <c r="C464" s="94" t="s">
        <v>45</v>
      </c>
      <c r="D464" s="95">
        <v>50</v>
      </c>
      <c r="E464" s="95">
        <v>92.74</v>
      </c>
      <c r="F464" s="96">
        <v>4637</v>
      </c>
      <c r="G464" s="97" t="s">
        <v>56</v>
      </c>
      <c r="H464" s="114">
        <f t="shared" si="7"/>
        <v>46143</v>
      </c>
      <c r="I464" s="17"/>
      <c r="J464" s="17"/>
      <c r="K464" s="17"/>
    </row>
    <row r="465" spans="1:11" x14ac:dyDescent="0.2">
      <c r="A465" s="115">
        <v>46151</v>
      </c>
      <c r="B465" s="93" t="s">
        <v>814</v>
      </c>
      <c r="C465" s="94" t="s">
        <v>44</v>
      </c>
      <c r="D465" s="95">
        <v>43.5</v>
      </c>
      <c r="E465" s="95">
        <v>92.74</v>
      </c>
      <c r="F465" s="96">
        <v>4034.19</v>
      </c>
      <c r="G465" s="97" t="s">
        <v>56</v>
      </c>
      <c r="H465" s="114">
        <f t="shared" si="7"/>
        <v>46143</v>
      </c>
      <c r="I465" s="17"/>
      <c r="J465" s="17"/>
      <c r="K465" s="17"/>
    </row>
    <row r="466" spans="1:11" x14ac:dyDescent="0.2">
      <c r="A466" s="115">
        <v>46151</v>
      </c>
      <c r="B466" s="93" t="s">
        <v>815</v>
      </c>
      <c r="C466" s="94" t="s">
        <v>129</v>
      </c>
      <c r="D466" s="95">
        <v>83</v>
      </c>
      <c r="E466" s="95">
        <v>92.74</v>
      </c>
      <c r="F466" s="96">
        <v>7697.42</v>
      </c>
      <c r="G466" s="97" t="s">
        <v>56</v>
      </c>
      <c r="H466" s="114">
        <f t="shared" si="7"/>
        <v>46143</v>
      </c>
      <c r="I466" s="17"/>
      <c r="J466" s="17"/>
      <c r="K466" s="17"/>
    </row>
    <row r="467" spans="1:11" x14ac:dyDescent="0.2">
      <c r="A467" s="115">
        <v>46151</v>
      </c>
      <c r="B467" s="93" t="s">
        <v>816</v>
      </c>
      <c r="C467" s="94" t="s">
        <v>50</v>
      </c>
      <c r="D467" s="95">
        <v>1000.02</v>
      </c>
      <c r="E467" s="95">
        <v>92.74</v>
      </c>
      <c r="F467" s="96">
        <v>92741.85</v>
      </c>
      <c r="G467" s="97" t="s">
        <v>96</v>
      </c>
      <c r="H467" s="114">
        <f t="shared" si="7"/>
        <v>46143</v>
      </c>
      <c r="I467" s="17"/>
      <c r="J467" s="17"/>
      <c r="K467" s="17"/>
    </row>
    <row r="468" spans="1:11" x14ac:dyDescent="0.2">
      <c r="A468" s="115">
        <v>46151</v>
      </c>
      <c r="B468" s="93" t="s">
        <v>817</v>
      </c>
      <c r="C468" s="94" t="s">
        <v>50</v>
      </c>
      <c r="D468" s="95">
        <v>2999.72</v>
      </c>
      <c r="E468" s="95">
        <v>92.74</v>
      </c>
      <c r="F468" s="96">
        <v>278194.03000000003</v>
      </c>
      <c r="G468" s="97" t="s">
        <v>59</v>
      </c>
      <c r="H468" s="114">
        <f t="shared" si="7"/>
        <v>46143</v>
      </c>
      <c r="I468" s="17"/>
      <c r="J468" s="17"/>
      <c r="K468" s="17"/>
    </row>
    <row r="469" spans="1:11" x14ac:dyDescent="0.2">
      <c r="A469" s="115">
        <v>46151</v>
      </c>
      <c r="B469" s="93" t="s">
        <v>818</v>
      </c>
      <c r="C469" s="94" t="s">
        <v>526</v>
      </c>
      <c r="D469" s="95">
        <v>1592.62</v>
      </c>
      <c r="E469" s="95">
        <v>92.74</v>
      </c>
      <c r="F469" s="96">
        <v>147700</v>
      </c>
      <c r="G469" s="97" t="s">
        <v>58</v>
      </c>
      <c r="H469" s="114">
        <f t="shared" si="7"/>
        <v>46143</v>
      </c>
      <c r="I469" s="17"/>
      <c r="J469" s="17"/>
      <c r="K469" s="17"/>
    </row>
    <row r="470" spans="1:11" x14ac:dyDescent="0.2">
      <c r="A470" s="115">
        <v>46151</v>
      </c>
      <c r="B470" s="93" t="s">
        <v>819</v>
      </c>
      <c r="C470" s="94" t="s">
        <v>582</v>
      </c>
      <c r="D470" s="95">
        <v>1000</v>
      </c>
      <c r="E470" s="95">
        <v>92.74</v>
      </c>
      <c r="F470" s="96">
        <v>92740</v>
      </c>
      <c r="G470" s="102" t="s">
        <v>922</v>
      </c>
      <c r="H470" s="114">
        <f t="shared" si="7"/>
        <v>46143</v>
      </c>
      <c r="I470" s="17"/>
      <c r="J470" s="17"/>
      <c r="K470" s="17"/>
    </row>
    <row r="471" spans="1:11" x14ac:dyDescent="0.2">
      <c r="A471" s="115">
        <v>46151</v>
      </c>
      <c r="B471" s="93" t="s">
        <v>820</v>
      </c>
      <c r="C471" s="94"/>
      <c r="D471" s="95">
        <v>424.6</v>
      </c>
      <c r="E471" s="95">
        <v>92.74</v>
      </c>
      <c r="F471" s="96">
        <v>39377.4</v>
      </c>
      <c r="G471" s="97" t="s">
        <v>57</v>
      </c>
      <c r="H471" s="114">
        <f t="shared" si="7"/>
        <v>46143</v>
      </c>
      <c r="I471" s="17"/>
      <c r="J471" s="17"/>
      <c r="K471" s="17"/>
    </row>
    <row r="472" spans="1:11" x14ac:dyDescent="0.2">
      <c r="A472" s="99">
        <v>46152</v>
      </c>
      <c r="B472" s="93" t="s">
        <v>827</v>
      </c>
      <c r="C472" s="94" t="s">
        <v>526</v>
      </c>
      <c r="D472" s="95">
        <v>2897.35</v>
      </c>
      <c r="E472" s="95">
        <v>92.74</v>
      </c>
      <c r="F472" s="96">
        <v>268700</v>
      </c>
      <c r="G472" s="97" t="s">
        <v>58</v>
      </c>
      <c r="H472" s="114">
        <f t="shared" si="7"/>
        <v>46143</v>
      </c>
      <c r="I472" s="17"/>
      <c r="J472" s="17"/>
      <c r="K472" s="17"/>
    </row>
    <row r="473" spans="1:11" x14ac:dyDescent="0.2">
      <c r="A473" s="115">
        <v>46152</v>
      </c>
      <c r="B473" s="93" t="s">
        <v>828</v>
      </c>
      <c r="C473" s="94" t="s">
        <v>525</v>
      </c>
      <c r="D473" s="95">
        <v>21.57</v>
      </c>
      <c r="E473" s="95">
        <v>92.74</v>
      </c>
      <c r="F473" s="96">
        <v>2000</v>
      </c>
      <c r="G473" s="97" t="s">
        <v>58</v>
      </c>
      <c r="H473" s="114">
        <f t="shared" si="7"/>
        <v>46143</v>
      </c>
      <c r="I473" s="17"/>
      <c r="J473" s="17"/>
      <c r="K473" s="17"/>
    </row>
    <row r="474" spans="1:11" x14ac:dyDescent="0.2">
      <c r="A474" s="115">
        <v>46152</v>
      </c>
      <c r="B474" s="93" t="s">
        <v>829</v>
      </c>
      <c r="C474" s="94" t="s">
        <v>13</v>
      </c>
      <c r="D474" s="95">
        <v>780.02</v>
      </c>
      <c r="E474" s="95">
        <v>92.74</v>
      </c>
      <c r="F474" s="96">
        <v>72339.05</v>
      </c>
      <c r="G474" s="97" t="s">
        <v>57</v>
      </c>
      <c r="H474" s="114">
        <f t="shared" si="7"/>
        <v>46143</v>
      </c>
      <c r="I474" s="17"/>
      <c r="J474" s="17"/>
      <c r="K474" s="17"/>
    </row>
    <row r="475" spans="1:11" x14ac:dyDescent="0.2">
      <c r="A475" s="115">
        <v>46152</v>
      </c>
      <c r="B475" s="93" t="s">
        <v>830</v>
      </c>
      <c r="C475" s="94" t="s">
        <v>582</v>
      </c>
      <c r="D475" s="95">
        <v>1000</v>
      </c>
      <c r="E475" s="95">
        <v>92.74</v>
      </c>
      <c r="F475" s="96">
        <v>92740</v>
      </c>
      <c r="G475" s="102" t="s">
        <v>922</v>
      </c>
      <c r="H475" s="114">
        <f t="shared" si="7"/>
        <v>46143</v>
      </c>
      <c r="I475" s="17"/>
      <c r="J475" s="17"/>
      <c r="K475" s="17"/>
    </row>
    <row r="476" spans="1:11" x14ac:dyDescent="0.2">
      <c r="A476" s="115">
        <v>46152</v>
      </c>
      <c r="B476" s="93" t="s">
        <v>831</v>
      </c>
      <c r="C476" s="94" t="s">
        <v>428</v>
      </c>
      <c r="D476" s="95">
        <v>42.22</v>
      </c>
      <c r="E476" s="95">
        <v>92.74</v>
      </c>
      <c r="F476" s="96">
        <v>3915.48</v>
      </c>
      <c r="G476" s="97" t="s">
        <v>257</v>
      </c>
      <c r="H476" s="114">
        <f t="shared" si="7"/>
        <v>46143</v>
      </c>
      <c r="I476" s="17"/>
      <c r="J476" s="17"/>
      <c r="K476" s="17"/>
    </row>
    <row r="477" spans="1:11" x14ac:dyDescent="0.2">
      <c r="A477" s="115">
        <v>46152</v>
      </c>
      <c r="B477" s="93" t="s">
        <v>832</v>
      </c>
      <c r="C477" s="94" t="s">
        <v>713</v>
      </c>
      <c r="D477" s="95">
        <v>300</v>
      </c>
      <c r="E477" s="95">
        <v>92.74</v>
      </c>
      <c r="F477" s="96">
        <v>27822</v>
      </c>
      <c r="G477" s="97" t="s">
        <v>714</v>
      </c>
      <c r="H477" s="114">
        <f t="shared" si="7"/>
        <v>46143</v>
      </c>
      <c r="I477" s="17"/>
      <c r="J477" s="17"/>
      <c r="K477" s="17"/>
    </row>
    <row r="478" spans="1:11" x14ac:dyDescent="0.2">
      <c r="A478" s="115">
        <v>46152</v>
      </c>
      <c r="B478" s="93" t="s">
        <v>833</v>
      </c>
      <c r="C478" s="94" t="s">
        <v>41</v>
      </c>
      <c r="D478" s="95">
        <v>43</v>
      </c>
      <c r="E478" s="95">
        <v>92.74</v>
      </c>
      <c r="F478" s="96">
        <v>3987.82</v>
      </c>
      <c r="G478" s="97" t="s">
        <v>53</v>
      </c>
      <c r="H478" s="114">
        <f t="shared" si="7"/>
        <v>46143</v>
      </c>
      <c r="I478" s="17"/>
      <c r="J478" s="17"/>
      <c r="K478" s="17"/>
    </row>
    <row r="479" spans="1:11" x14ac:dyDescent="0.2">
      <c r="A479" s="115">
        <v>46152</v>
      </c>
      <c r="B479" s="93" t="s">
        <v>834</v>
      </c>
      <c r="C479" s="94" t="s">
        <v>41</v>
      </c>
      <c r="D479" s="95">
        <v>38</v>
      </c>
      <c r="E479" s="95">
        <v>92.74</v>
      </c>
      <c r="F479" s="96">
        <v>3524.12</v>
      </c>
      <c r="G479" s="97" t="s">
        <v>53</v>
      </c>
      <c r="H479" s="114">
        <f t="shared" si="7"/>
        <v>46143</v>
      </c>
      <c r="I479" s="17"/>
      <c r="J479" s="17"/>
      <c r="K479" s="17"/>
    </row>
    <row r="480" spans="1:11" x14ac:dyDescent="0.2">
      <c r="A480" s="99">
        <v>46153</v>
      </c>
      <c r="B480" s="93" t="s">
        <v>838</v>
      </c>
      <c r="C480" s="94" t="s">
        <v>847</v>
      </c>
      <c r="D480" s="95">
        <v>600</v>
      </c>
      <c r="E480" s="95">
        <v>92.74</v>
      </c>
      <c r="F480" s="96">
        <v>55644</v>
      </c>
      <c r="G480" s="97" t="s">
        <v>848</v>
      </c>
      <c r="H480" s="114">
        <f t="shared" si="7"/>
        <v>46143</v>
      </c>
      <c r="I480" s="17"/>
      <c r="J480" s="17"/>
      <c r="K480" s="17"/>
    </row>
    <row r="481" spans="1:11" x14ac:dyDescent="0.2">
      <c r="A481" s="115">
        <v>46153</v>
      </c>
      <c r="B481" s="93" t="s">
        <v>839</v>
      </c>
      <c r="C481" s="94" t="s">
        <v>50</v>
      </c>
      <c r="D481" s="95">
        <v>3000</v>
      </c>
      <c r="E481" s="95">
        <v>92.74</v>
      </c>
      <c r="F481" s="96">
        <v>278220</v>
      </c>
      <c r="G481" s="97" t="s">
        <v>143</v>
      </c>
      <c r="H481" s="114">
        <f t="shared" si="7"/>
        <v>46143</v>
      </c>
      <c r="I481" s="17"/>
      <c r="J481" s="17"/>
      <c r="K481" s="17"/>
    </row>
    <row r="482" spans="1:11" x14ac:dyDescent="0.2">
      <c r="A482" s="115">
        <v>46153</v>
      </c>
      <c r="B482" s="93" t="s">
        <v>840</v>
      </c>
      <c r="C482" s="94" t="s">
        <v>247</v>
      </c>
      <c r="D482" s="95">
        <v>4000</v>
      </c>
      <c r="E482" s="95">
        <v>92.74</v>
      </c>
      <c r="F482" s="96">
        <v>370960</v>
      </c>
      <c r="G482" s="97" t="s">
        <v>51</v>
      </c>
      <c r="H482" s="114">
        <f t="shared" si="7"/>
        <v>46143</v>
      </c>
      <c r="I482" s="17"/>
      <c r="J482" s="17"/>
      <c r="K482" s="17"/>
    </row>
    <row r="483" spans="1:11" x14ac:dyDescent="0.2">
      <c r="A483" s="115">
        <v>46153</v>
      </c>
      <c r="B483" s="93" t="s">
        <v>841</v>
      </c>
      <c r="C483" s="94" t="s">
        <v>526</v>
      </c>
      <c r="D483" s="95">
        <v>1710.16</v>
      </c>
      <c r="E483" s="95">
        <v>92.74</v>
      </c>
      <c r="F483" s="96">
        <v>158600</v>
      </c>
      <c r="G483" s="97" t="s">
        <v>58</v>
      </c>
      <c r="H483" s="114">
        <f t="shared" si="7"/>
        <v>46143</v>
      </c>
      <c r="I483" s="17"/>
      <c r="J483" s="17"/>
      <c r="K483" s="17"/>
    </row>
    <row r="484" spans="1:11" x14ac:dyDescent="0.2">
      <c r="A484" s="115">
        <v>46153</v>
      </c>
      <c r="B484" s="93" t="s">
        <v>842</v>
      </c>
      <c r="C484" s="94" t="s">
        <v>525</v>
      </c>
      <c r="D484" s="95">
        <v>70.78</v>
      </c>
      <c r="E484" s="95">
        <v>92.74</v>
      </c>
      <c r="F484" s="96">
        <v>6564.4</v>
      </c>
      <c r="G484" s="97" t="s">
        <v>58</v>
      </c>
      <c r="H484" s="114">
        <f t="shared" si="7"/>
        <v>46143</v>
      </c>
      <c r="I484" s="17"/>
      <c r="J484" s="17"/>
      <c r="K484" s="17"/>
    </row>
    <row r="485" spans="1:11" x14ac:dyDescent="0.2">
      <c r="A485" s="115">
        <v>46153</v>
      </c>
      <c r="B485" s="93" t="s">
        <v>843</v>
      </c>
      <c r="C485" s="94" t="s">
        <v>582</v>
      </c>
      <c r="D485" s="95">
        <v>1000</v>
      </c>
      <c r="E485" s="95">
        <v>92.74</v>
      </c>
      <c r="F485" s="96">
        <v>92740</v>
      </c>
      <c r="G485" s="102" t="s">
        <v>922</v>
      </c>
      <c r="H485" s="114">
        <f t="shared" si="7"/>
        <v>46143</v>
      </c>
      <c r="I485" s="17"/>
      <c r="J485" s="17"/>
      <c r="K485" s="17"/>
    </row>
    <row r="486" spans="1:11" x14ac:dyDescent="0.2">
      <c r="A486" s="115">
        <v>46153</v>
      </c>
      <c r="B486" s="93" t="s">
        <v>844</v>
      </c>
      <c r="C486" s="94" t="s">
        <v>13</v>
      </c>
      <c r="D486" s="95">
        <v>426.4</v>
      </c>
      <c r="E486" s="95">
        <v>92.74</v>
      </c>
      <c r="F486" s="96">
        <v>39544.33</v>
      </c>
      <c r="G486" s="97" t="s">
        <v>57</v>
      </c>
      <c r="H486" s="114">
        <f t="shared" si="7"/>
        <v>46143</v>
      </c>
      <c r="I486" s="17"/>
      <c r="J486" s="17"/>
      <c r="K486" s="17"/>
    </row>
    <row r="487" spans="1:11" x14ac:dyDescent="0.2">
      <c r="A487" s="115">
        <v>46153</v>
      </c>
      <c r="B487" s="93" t="s">
        <v>845</v>
      </c>
      <c r="C487" s="94" t="s">
        <v>521</v>
      </c>
      <c r="D487" s="95">
        <v>52.35</v>
      </c>
      <c r="E487" s="95">
        <v>92.74</v>
      </c>
      <c r="F487" s="96">
        <v>4854.93</v>
      </c>
      <c r="G487" s="97" t="s">
        <v>257</v>
      </c>
      <c r="H487" s="114">
        <f t="shared" si="7"/>
        <v>46143</v>
      </c>
      <c r="I487" s="17"/>
      <c r="J487" s="17"/>
      <c r="K487" s="17"/>
    </row>
    <row r="488" spans="1:11" x14ac:dyDescent="0.2">
      <c r="A488" s="115">
        <v>46153</v>
      </c>
      <c r="B488" s="93" t="s">
        <v>846</v>
      </c>
      <c r="C488" s="94" t="s">
        <v>142</v>
      </c>
      <c r="D488" s="95">
        <v>50</v>
      </c>
      <c r="E488" s="95">
        <v>92.74</v>
      </c>
      <c r="F488" s="96">
        <v>4637</v>
      </c>
      <c r="G488" s="97" t="s">
        <v>55</v>
      </c>
      <c r="H488" s="114">
        <f t="shared" si="7"/>
        <v>46143</v>
      </c>
      <c r="I488" s="17"/>
      <c r="J488" s="17"/>
      <c r="K488" s="17"/>
    </row>
    <row r="489" spans="1:11" x14ac:dyDescent="0.2">
      <c r="A489" s="99">
        <v>46154</v>
      </c>
      <c r="B489" s="103" t="s">
        <v>853</v>
      </c>
      <c r="C489" s="94" t="s">
        <v>871</v>
      </c>
      <c r="D489" s="95">
        <v>2000</v>
      </c>
      <c r="E489" s="95">
        <v>92.74</v>
      </c>
      <c r="F489" s="96">
        <v>185480</v>
      </c>
      <c r="G489" s="97" t="s">
        <v>874</v>
      </c>
      <c r="H489" s="114">
        <f t="shared" si="7"/>
        <v>46143</v>
      </c>
      <c r="I489" s="17"/>
      <c r="J489" s="17"/>
      <c r="K489" s="17"/>
    </row>
    <row r="490" spans="1:11" x14ac:dyDescent="0.2">
      <c r="A490" s="115">
        <v>46154</v>
      </c>
      <c r="B490" s="103" t="s">
        <v>854</v>
      </c>
      <c r="C490" s="94" t="s">
        <v>50</v>
      </c>
      <c r="D490" s="95">
        <v>3000.44</v>
      </c>
      <c r="E490" s="95">
        <v>92.74</v>
      </c>
      <c r="F490" s="96">
        <v>278260.81</v>
      </c>
      <c r="G490" s="97" t="s">
        <v>59</v>
      </c>
      <c r="H490" s="114">
        <f t="shared" si="7"/>
        <v>46143</v>
      </c>
      <c r="I490" s="17"/>
      <c r="J490" s="17"/>
      <c r="K490" s="17"/>
    </row>
    <row r="491" spans="1:11" x14ac:dyDescent="0.2">
      <c r="A491" s="115">
        <v>46154</v>
      </c>
      <c r="B491" s="103" t="s">
        <v>855</v>
      </c>
      <c r="C491" s="94" t="s">
        <v>50</v>
      </c>
      <c r="D491" s="95">
        <v>1000</v>
      </c>
      <c r="E491" s="95">
        <v>92.74</v>
      </c>
      <c r="F491" s="96">
        <v>92740</v>
      </c>
      <c r="G491" s="97" t="s">
        <v>96</v>
      </c>
      <c r="H491" s="114">
        <f t="shared" si="7"/>
        <v>46143</v>
      </c>
      <c r="I491" s="17"/>
      <c r="J491" s="17"/>
      <c r="K491" s="17"/>
    </row>
    <row r="492" spans="1:11" x14ac:dyDescent="0.2">
      <c r="A492" s="115">
        <v>46154</v>
      </c>
      <c r="B492" s="103" t="s">
        <v>856</v>
      </c>
      <c r="C492" s="94" t="s">
        <v>526</v>
      </c>
      <c r="D492" s="95">
        <v>1478.33</v>
      </c>
      <c r="E492" s="95">
        <v>92.74</v>
      </c>
      <c r="F492" s="96">
        <v>137100</v>
      </c>
      <c r="G492" s="97" t="s">
        <v>58</v>
      </c>
      <c r="H492" s="114">
        <f t="shared" si="7"/>
        <v>46143</v>
      </c>
      <c r="I492" s="17"/>
      <c r="J492" s="17"/>
      <c r="K492" s="17"/>
    </row>
    <row r="493" spans="1:11" x14ac:dyDescent="0.2">
      <c r="A493" s="115">
        <v>46154</v>
      </c>
      <c r="B493" s="103" t="s">
        <v>857</v>
      </c>
      <c r="C493" s="94" t="s">
        <v>13</v>
      </c>
      <c r="D493" s="95">
        <v>760.19</v>
      </c>
      <c r="E493" s="95">
        <v>92.74</v>
      </c>
      <c r="F493" s="96">
        <v>70500</v>
      </c>
      <c r="G493" s="97" t="s">
        <v>152</v>
      </c>
      <c r="H493" s="114">
        <f t="shared" si="7"/>
        <v>46143</v>
      </c>
      <c r="I493" s="17"/>
      <c r="J493" s="17"/>
      <c r="K493" s="17"/>
    </row>
    <row r="494" spans="1:11" x14ac:dyDescent="0.2">
      <c r="A494" s="115">
        <v>46154</v>
      </c>
      <c r="B494" s="103" t="s">
        <v>858</v>
      </c>
      <c r="C494" s="94" t="s">
        <v>13</v>
      </c>
      <c r="D494" s="95">
        <v>280.66000000000003</v>
      </c>
      <c r="E494" s="95">
        <v>92.74</v>
      </c>
      <c r="F494" s="96">
        <v>26028.1</v>
      </c>
      <c r="G494" s="97" t="s">
        <v>57</v>
      </c>
      <c r="H494" s="114">
        <f t="shared" si="7"/>
        <v>46143</v>
      </c>
      <c r="I494" s="17"/>
      <c r="J494" s="17"/>
      <c r="K494" s="17"/>
    </row>
    <row r="495" spans="1:11" x14ac:dyDescent="0.2">
      <c r="A495" s="115">
        <v>46154</v>
      </c>
      <c r="B495" s="103" t="s">
        <v>859</v>
      </c>
      <c r="C495" s="94" t="s">
        <v>45</v>
      </c>
      <c r="D495" s="95">
        <v>26.38</v>
      </c>
      <c r="E495" s="95">
        <v>92.74</v>
      </c>
      <c r="F495" s="96">
        <v>2446.48</v>
      </c>
      <c r="G495" s="97" t="s">
        <v>56</v>
      </c>
      <c r="H495" s="114">
        <f t="shared" si="7"/>
        <v>46143</v>
      </c>
      <c r="I495" s="17"/>
      <c r="J495" s="17"/>
      <c r="K495" s="17"/>
    </row>
    <row r="496" spans="1:11" x14ac:dyDescent="0.2">
      <c r="A496" s="115">
        <v>46154</v>
      </c>
      <c r="B496" s="103" t="s">
        <v>860</v>
      </c>
      <c r="C496" s="94" t="s">
        <v>128</v>
      </c>
      <c r="D496" s="95">
        <v>42.63</v>
      </c>
      <c r="E496" s="95">
        <v>92.74</v>
      </c>
      <c r="F496" s="96">
        <v>3953.5</v>
      </c>
      <c r="G496" s="97" t="s">
        <v>56</v>
      </c>
      <c r="H496" s="114">
        <f t="shared" si="7"/>
        <v>46143</v>
      </c>
      <c r="I496" s="17"/>
      <c r="J496" s="17"/>
      <c r="K496" s="17"/>
    </row>
    <row r="497" spans="1:11" x14ac:dyDescent="0.2">
      <c r="A497" s="115">
        <v>46154</v>
      </c>
      <c r="B497" s="103" t="s">
        <v>861</v>
      </c>
      <c r="C497" s="94" t="s">
        <v>44</v>
      </c>
      <c r="D497" s="95">
        <v>50</v>
      </c>
      <c r="E497" s="95">
        <v>92.74</v>
      </c>
      <c r="F497" s="96">
        <v>4637</v>
      </c>
      <c r="G497" s="97" t="s">
        <v>56</v>
      </c>
      <c r="H497" s="114">
        <f t="shared" si="7"/>
        <v>46143</v>
      </c>
      <c r="I497" s="17"/>
      <c r="J497" s="17"/>
      <c r="K497" s="17"/>
    </row>
    <row r="498" spans="1:11" x14ac:dyDescent="0.2">
      <c r="A498" s="115">
        <v>46154</v>
      </c>
      <c r="B498" s="103" t="s">
        <v>862</v>
      </c>
      <c r="C498" s="94" t="s">
        <v>44</v>
      </c>
      <c r="D498" s="95">
        <v>34.57</v>
      </c>
      <c r="E498" s="95">
        <v>92.74</v>
      </c>
      <c r="F498" s="96">
        <v>3206.02</v>
      </c>
      <c r="G498" s="97" t="s">
        <v>56</v>
      </c>
      <c r="H498" s="114">
        <f t="shared" si="7"/>
        <v>46143</v>
      </c>
      <c r="I498" s="17"/>
      <c r="J498" s="17"/>
      <c r="K498" s="17"/>
    </row>
    <row r="499" spans="1:11" x14ac:dyDescent="0.2">
      <c r="A499" s="115">
        <v>46154</v>
      </c>
      <c r="B499" s="103" t="s">
        <v>863</v>
      </c>
      <c r="C499" s="94" t="s">
        <v>872</v>
      </c>
      <c r="D499" s="95">
        <v>320.5</v>
      </c>
      <c r="E499" s="95">
        <v>92.74</v>
      </c>
      <c r="F499" s="96">
        <v>29723.17</v>
      </c>
      <c r="G499" s="97" t="s">
        <v>199</v>
      </c>
      <c r="H499" s="114">
        <f t="shared" si="7"/>
        <v>46143</v>
      </c>
      <c r="I499" s="17"/>
      <c r="J499" s="17"/>
      <c r="K499" s="17"/>
    </row>
    <row r="500" spans="1:11" x14ac:dyDescent="0.2">
      <c r="A500" s="115">
        <v>46154</v>
      </c>
      <c r="B500" s="103" t="s">
        <v>864</v>
      </c>
      <c r="C500" s="94" t="s">
        <v>873</v>
      </c>
      <c r="D500" s="95">
        <v>120</v>
      </c>
      <c r="E500" s="95">
        <v>92.74</v>
      </c>
      <c r="F500" s="96">
        <v>11128.8</v>
      </c>
      <c r="G500" s="97" t="s">
        <v>257</v>
      </c>
      <c r="H500" s="114">
        <f t="shared" si="7"/>
        <v>46143</v>
      </c>
      <c r="I500" s="17"/>
      <c r="J500" s="17"/>
      <c r="K500" s="17"/>
    </row>
    <row r="501" spans="1:11" x14ac:dyDescent="0.2">
      <c r="A501" s="115">
        <v>46154</v>
      </c>
      <c r="B501" s="103" t="s">
        <v>865</v>
      </c>
      <c r="C501" s="94" t="s">
        <v>428</v>
      </c>
      <c r="D501" s="95">
        <v>44.06</v>
      </c>
      <c r="E501" s="95">
        <v>92.74</v>
      </c>
      <c r="F501" s="96">
        <v>4086.12</v>
      </c>
      <c r="G501" s="97" t="s">
        <v>257</v>
      </c>
      <c r="H501" s="114">
        <f t="shared" si="7"/>
        <v>46143</v>
      </c>
      <c r="I501" s="17"/>
      <c r="J501" s="17"/>
      <c r="K501" s="17"/>
    </row>
    <row r="502" spans="1:11" x14ac:dyDescent="0.2">
      <c r="A502" s="115">
        <v>46154</v>
      </c>
      <c r="B502" s="103" t="s">
        <v>866</v>
      </c>
      <c r="C502" s="94" t="s">
        <v>873</v>
      </c>
      <c r="D502" s="95">
        <v>75.48</v>
      </c>
      <c r="E502" s="95">
        <v>92.74</v>
      </c>
      <c r="F502" s="96">
        <v>7000</v>
      </c>
      <c r="G502" s="97" t="s">
        <v>257</v>
      </c>
      <c r="H502" s="114">
        <f t="shared" si="7"/>
        <v>46143</v>
      </c>
      <c r="I502" s="17"/>
      <c r="J502" s="17"/>
      <c r="K502" s="17"/>
    </row>
    <row r="503" spans="1:11" x14ac:dyDescent="0.2">
      <c r="A503" s="115">
        <v>46154</v>
      </c>
      <c r="B503" s="103" t="s">
        <v>867</v>
      </c>
      <c r="C503" s="94" t="s">
        <v>650</v>
      </c>
      <c r="D503" s="95">
        <v>12.3</v>
      </c>
      <c r="E503" s="95">
        <v>92.74</v>
      </c>
      <c r="F503" s="96">
        <v>1140.7</v>
      </c>
      <c r="G503" s="97" t="s">
        <v>55</v>
      </c>
      <c r="H503" s="114">
        <f t="shared" si="7"/>
        <v>46143</v>
      </c>
      <c r="I503" s="17"/>
      <c r="J503" s="17"/>
      <c r="K503" s="17"/>
    </row>
    <row r="504" spans="1:11" x14ac:dyDescent="0.2">
      <c r="A504" s="115">
        <v>46154</v>
      </c>
      <c r="B504" s="103" t="s">
        <v>868</v>
      </c>
      <c r="C504" s="94" t="s">
        <v>131</v>
      </c>
      <c r="D504" s="95">
        <v>20</v>
      </c>
      <c r="E504" s="95">
        <v>92.74</v>
      </c>
      <c r="F504" s="96">
        <v>1854.8</v>
      </c>
      <c r="G504" s="97" t="s">
        <v>55</v>
      </c>
      <c r="H504" s="114">
        <f t="shared" si="7"/>
        <v>46143</v>
      </c>
      <c r="I504" s="17"/>
      <c r="J504" s="17"/>
      <c r="K504" s="17"/>
    </row>
    <row r="505" spans="1:11" x14ac:dyDescent="0.2">
      <c r="A505" s="115">
        <v>46154</v>
      </c>
      <c r="B505" s="103" t="s">
        <v>869</v>
      </c>
      <c r="C505" s="94" t="s">
        <v>50</v>
      </c>
      <c r="D505" s="95">
        <v>45.58</v>
      </c>
      <c r="E505" s="95">
        <v>92.74</v>
      </c>
      <c r="F505" s="96">
        <v>4227.08</v>
      </c>
      <c r="G505" s="97" t="s">
        <v>54</v>
      </c>
      <c r="H505" s="114">
        <f t="shared" si="7"/>
        <v>46143</v>
      </c>
      <c r="I505" s="17"/>
      <c r="J505" s="17"/>
      <c r="K505" s="17"/>
    </row>
    <row r="506" spans="1:11" x14ac:dyDescent="0.2">
      <c r="A506" s="115">
        <v>46154</v>
      </c>
      <c r="B506" s="103" t="s">
        <v>870</v>
      </c>
      <c r="C506" s="94" t="s">
        <v>84</v>
      </c>
      <c r="D506" s="95">
        <v>160</v>
      </c>
      <c r="E506" s="95">
        <v>92.74</v>
      </c>
      <c r="F506" s="96">
        <v>14838.4</v>
      </c>
      <c r="G506" s="97" t="s">
        <v>93</v>
      </c>
      <c r="H506" s="114">
        <f t="shared" si="7"/>
        <v>46143</v>
      </c>
      <c r="I506" s="17"/>
      <c r="J506" s="17"/>
      <c r="K506" s="17"/>
    </row>
    <row r="507" spans="1:11" x14ac:dyDescent="0.2">
      <c r="A507" s="99">
        <v>46155</v>
      </c>
      <c r="B507" s="93" t="s">
        <v>877</v>
      </c>
      <c r="C507" s="94" t="s">
        <v>50</v>
      </c>
      <c r="D507" s="95">
        <v>3000</v>
      </c>
      <c r="E507" s="95">
        <v>92.74</v>
      </c>
      <c r="F507" s="96">
        <v>278220</v>
      </c>
      <c r="G507" s="97" t="s">
        <v>59</v>
      </c>
      <c r="H507" s="114">
        <f t="shared" si="7"/>
        <v>46143</v>
      </c>
      <c r="I507" s="17"/>
      <c r="J507" s="17"/>
      <c r="K507" s="17"/>
    </row>
    <row r="508" spans="1:11" x14ac:dyDescent="0.2">
      <c r="A508" s="115">
        <v>46155</v>
      </c>
      <c r="B508" s="93" t="s">
        <v>878</v>
      </c>
      <c r="C508" s="94" t="s">
        <v>526</v>
      </c>
      <c r="D508" s="95">
        <v>634.03</v>
      </c>
      <c r="E508" s="95">
        <v>92.74</v>
      </c>
      <c r="F508" s="96">
        <v>58800</v>
      </c>
      <c r="G508" s="97" t="s">
        <v>58</v>
      </c>
      <c r="H508" s="114">
        <f t="shared" si="7"/>
        <v>46143</v>
      </c>
      <c r="I508" s="17"/>
      <c r="J508" s="17"/>
      <c r="K508" s="17"/>
    </row>
    <row r="509" spans="1:11" x14ac:dyDescent="0.2">
      <c r="A509" s="115">
        <v>46155</v>
      </c>
      <c r="B509" s="93" t="s">
        <v>879</v>
      </c>
      <c r="C509" s="94" t="s">
        <v>525</v>
      </c>
      <c r="D509" s="95">
        <v>250</v>
      </c>
      <c r="E509" s="95">
        <v>92.74</v>
      </c>
      <c r="F509" s="96">
        <v>23185</v>
      </c>
      <c r="G509" s="97" t="s">
        <v>58</v>
      </c>
      <c r="H509" s="114">
        <f t="shared" si="7"/>
        <v>46143</v>
      </c>
      <c r="I509" s="17"/>
      <c r="J509" s="17"/>
      <c r="K509" s="17"/>
    </row>
    <row r="510" spans="1:11" x14ac:dyDescent="0.2">
      <c r="A510" s="115">
        <v>46155</v>
      </c>
      <c r="B510" s="93" t="s">
        <v>880</v>
      </c>
      <c r="C510" s="94" t="s">
        <v>13</v>
      </c>
      <c r="D510" s="95">
        <v>392.66</v>
      </c>
      <c r="E510" s="95">
        <v>92.74</v>
      </c>
      <c r="F510" s="96">
        <v>36415.660000000003</v>
      </c>
      <c r="G510" s="97" t="s">
        <v>57</v>
      </c>
      <c r="H510" s="114">
        <f t="shared" si="7"/>
        <v>46143</v>
      </c>
      <c r="I510" s="17"/>
      <c r="J510" s="17"/>
      <c r="K510" s="17"/>
    </row>
    <row r="511" spans="1:11" x14ac:dyDescent="0.2">
      <c r="A511" s="115">
        <v>46155</v>
      </c>
      <c r="B511" s="93" t="s">
        <v>881</v>
      </c>
      <c r="C511" s="94" t="s">
        <v>13</v>
      </c>
      <c r="D511" s="95">
        <v>75.48</v>
      </c>
      <c r="E511" s="95">
        <v>92.74</v>
      </c>
      <c r="F511" s="96">
        <v>7000</v>
      </c>
      <c r="G511" s="97" t="s">
        <v>152</v>
      </c>
      <c r="H511" s="114">
        <f t="shared" si="7"/>
        <v>46143</v>
      </c>
      <c r="I511" s="17"/>
      <c r="J511" s="17"/>
      <c r="K511" s="17"/>
    </row>
    <row r="512" spans="1:11" x14ac:dyDescent="0.2">
      <c r="A512" s="115">
        <v>46155</v>
      </c>
      <c r="B512" s="93" t="s">
        <v>882</v>
      </c>
      <c r="C512" s="94" t="s">
        <v>713</v>
      </c>
      <c r="D512" s="95">
        <v>100</v>
      </c>
      <c r="E512" s="95">
        <v>92.74</v>
      </c>
      <c r="F512" s="96">
        <v>9274</v>
      </c>
      <c r="G512" s="97" t="s">
        <v>714</v>
      </c>
      <c r="H512" s="114">
        <f t="shared" si="7"/>
        <v>46143</v>
      </c>
      <c r="I512" s="17"/>
      <c r="J512" s="17"/>
      <c r="K512" s="17"/>
    </row>
    <row r="513" spans="1:11" x14ac:dyDescent="0.2">
      <c r="A513" s="115">
        <v>46155</v>
      </c>
      <c r="B513" s="93" t="s">
        <v>883</v>
      </c>
      <c r="C513" s="94" t="s">
        <v>822</v>
      </c>
      <c r="D513" s="95">
        <v>100</v>
      </c>
      <c r="E513" s="95">
        <v>92.74</v>
      </c>
      <c r="F513" s="96">
        <v>9274</v>
      </c>
      <c r="G513" s="97" t="s">
        <v>714</v>
      </c>
      <c r="H513" s="114">
        <f t="shared" si="7"/>
        <v>46143</v>
      </c>
      <c r="I513" s="17"/>
      <c r="J513" s="17"/>
      <c r="K513" s="17"/>
    </row>
    <row r="514" spans="1:11" x14ac:dyDescent="0.2">
      <c r="A514" s="115">
        <v>46155</v>
      </c>
      <c r="B514" s="93" t="s">
        <v>884</v>
      </c>
      <c r="C514" s="94" t="s">
        <v>129</v>
      </c>
      <c r="D514" s="95">
        <v>104</v>
      </c>
      <c r="E514" s="95">
        <v>92.74</v>
      </c>
      <c r="F514" s="96">
        <v>9644.9599999999991</v>
      </c>
      <c r="G514" s="97" t="s">
        <v>56</v>
      </c>
      <c r="H514" s="114">
        <f t="shared" si="7"/>
        <v>46143</v>
      </c>
      <c r="I514" s="17"/>
      <c r="J514" s="17"/>
      <c r="K514" s="17"/>
    </row>
    <row r="515" spans="1:11" x14ac:dyDescent="0.2">
      <c r="A515" s="115">
        <v>46155</v>
      </c>
      <c r="B515" s="93" t="s">
        <v>885</v>
      </c>
      <c r="C515" s="94" t="s">
        <v>43</v>
      </c>
      <c r="D515" s="95">
        <v>7</v>
      </c>
      <c r="E515" s="95">
        <v>92.74</v>
      </c>
      <c r="F515" s="96">
        <v>649.17999999999995</v>
      </c>
      <c r="G515" s="97" t="s">
        <v>55</v>
      </c>
      <c r="H515" s="114">
        <f t="shared" si="7"/>
        <v>46143</v>
      </c>
      <c r="I515" s="17"/>
      <c r="J515" s="17"/>
      <c r="K515" s="17"/>
    </row>
    <row r="516" spans="1:11" x14ac:dyDescent="0.2">
      <c r="A516" s="115">
        <v>46155</v>
      </c>
      <c r="B516" s="93" t="s">
        <v>886</v>
      </c>
      <c r="C516" s="94" t="s">
        <v>13</v>
      </c>
      <c r="D516" s="95">
        <v>20</v>
      </c>
      <c r="E516" s="95">
        <v>92.74</v>
      </c>
      <c r="F516" s="96">
        <v>1854.8</v>
      </c>
      <c r="G516" s="97" t="s">
        <v>217</v>
      </c>
      <c r="H516" s="114">
        <f t="shared" ref="H516:H579" si="8">IF(A516&lt;&gt;"", EOMONTH(A516, -1) + 1, "")</f>
        <v>46143</v>
      </c>
      <c r="I516" s="17"/>
      <c r="J516" s="17"/>
      <c r="K516" s="17"/>
    </row>
    <row r="517" spans="1:11" x14ac:dyDescent="0.2">
      <c r="A517" s="99">
        <v>46156</v>
      </c>
      <c r="B517" s="93" t="s">
        <v>887</v>
      </c>
      <c r="C517" s="94" t="s">
        <v>122</v>
      </c>
      <c r="D517" s="95">
        <v>600</v>
      </c>
      <c r="E517" s="95">
        <v>92.74</v>
      </c>
      <c r="F517" s="96">
        <v>55644</v>
      </c>
      <c r="G517" s="97" t="s">
        <v>501</v>
      </c>
      <c r="H517" s="114">
        <f t="shared" si="8"/>
        <v>46143</v>
      </c>
      <c r="I517" s="17"/>
      <c r="J517" s="17"/>
      <c r="K517" s="17"/>
    </row>
    <row r="518" spans="1:11" x14ac:dyDescent="0.2">
      <c r="A518" s="115">
        <v>46156</v>
      </c>
      <c r="B518" s="93" t="s">
        <v>888</v>
      </c>
      <c r="C518" s="94" t="s">
        <v>248</v>
      </c>
      <c r="D518" s="95">
        <v>1000</v>
      </c>
      <c r="E518" s="95">
        <v>92.74</v>
      </c>
      <c r="F518" s="96">
        <v>92740</v>
      </c>
      <c r="G518" s="97" t="s">
        <v>256</v>
      </c>
      <c r="H518" s="114">
        <f t="shared" si="8"/>
        <v>46143</v>
      </c>
      <c r="I518" s="17"/>
      <c r="J518" s="17"/>
      <c r="K518" s="17"/>
    </row>
    <row r="519" spans="1:11" x14ac:dyDescent="0.2">
      <c r="A519" s="115">
        <v>46156</v>
      </c>
      <c r="B519" s="93" t="s">
        <v>889</v>
      </c>
      <c r="C519" s="94" t="s">
        <v>84</v>
      </c>
      <c r="D519" s="95">
        <v>160</v>
      </c>
      <c r="E519" s="95">
        <v>92.74</v>
      </c>
      <c r="F519" s="96">
        <v>14838.4</v>
      </c>
      <c r="G519" s="97" t="s">
        <v>93</v>
      </c>
      <c r="H519" s="114">
        <f t="shared" si="8"/>
        <v>46143</v>
      </c>
      <c r="I519" s="17"/>
      <c r="J519" s="17"/>
      <c r="K519" s="17"/>
    </row>
    <row r="520" spans="1:11" x14ac:dyDescent="0.2">
      <c r="A520" s="115">
        <v>46156</v>
      </c>
      <c r="B520" s="93" t="s">
        <v>890</v>
      </c>
      <c r="C520" s="94" t="s">
        <v>899</v>
      </c>
      <c r="D520" s="95">
        <v>240</v>
      </c>
      <c r="E520" s="95">
        <v>92.74</v>
      </c>
      <c r="F520" s="96">
        <v>22257.599999999999</v>
      </c>
      <c r="G520" s="97" t="s">
        <v>714</v>
      </c>
      <c r="H520" s="114">
        <f t="shared" si="8"/>
        <v>46143</v>
      </c>
      <c r="I520" s="17"/>
      <c r="J520" s="17"/>
      <c r="K520" s="17"/>
    </row>
    <row r="521" spans="1:11" x14ac:dyDescent="0.2">
      <c r="A521" s="115">
        <v>46156</v>
      </c>
      <c r="B521" s="93" t="s">
        <v>891</v>
      </c>
      <c r="C521" s="94" t="s">
        <v>900</v>
      </c>
      <c r="D521" s="95">
        <v>75.81</v>
      </c>
      <c r="E521" s="95">
        <v>92.74</v>
      </c>
      <c r="F521" s="96">
        <v>7030.61</v>
      </c>
      <c r="G521" s="97" t="s">
        <v>714</v>
      </c>
      <c r="H521" s="114">
        <f t="shared" si="8"/>
        <v>46143</v>
      </c>
      <c r="I521" s="17"/>
      <c r="J521" s="17"/>
      <c r="K521" s="17"/>
    </row>
    <row r="522" spans="1:11" x14ac:dyDescent="0.2">
      <c r="A522" s="115">
        <v>46156</v>
      </c>
      <c r="B522" s="93" t="s">
        <v>892</v>
      </c>
      <c r="C522" s="94" t="s">
        <v>821</v>
      </c>
      <c r="D522" s="95">
        <v>229</v>
      </c>
      <c r="E522" s="95">
        <v>92.74</v>
      </c>
      <c r="F522" s="96">
        <v>21237.46</v>
      </c>
      <c r="G522" s="97" t="s">
        <v>714</v>
      </c>
      <c r="H522" s="114">
        <f t="shared" si="8"/>
        <v>46143</v>
      </c>
      <c r="I522" s="17"/>
      <c r="J522" s="17"/>
      <c r="K522" s="17"/>
    </row>
    <row r="523" spans="1:11" x14ac:dyDescent="0.2">
      <c r="A523" s="115">
        <v>46156</v>
      </c>
      <c r="B523" s="93" t="s">
        <v>893</v>
      </c>
      <c r="C523" s="94" t="s">
        <v>526</v>
      </c>
      <c r="D523" s="95">
        <v>263.10000000000002</v>
      </c>
      <c r="E523" s="95">
        <v>92.74</v>
      </c>
      <c r="F523" s="96">
        <v>24400</v>
      </c>
      <c r="G523" s="97" t="s">
        <v>58</v>
      </c>
      <c r="H523" s="114">
        <f t="shared" si="8"/>
        <v>46143</v>
      </c>
      <c r="I523" s="17"/>
      <c r="J523" s="17"/>
      <c r="K523" s="17"/>
    </row>
    <row r="524" spans="1:11" x14ac:dyDescent="0.2">
      <c r="A524" s="115">
        <v>46156</v>
      </c>
      <c r="B524" s="93" t="s">
        <v>894</v>
      </c>
      <c r="C524" s="94" t="s">
        <v>525</v>
      </c>
      <c r="D524" s="95">
        <v>28</v>
      </c>
      <c r="E524" s="95">
        <v>92.74</v>
      </c>
      <c r="F524" s="96">
        <v>2596.7199999999998</v>
      </c>
      <c r="G524" s="97" t="s">
        <v>58</v>
      </c>
      <c r="H524" s="114">
        <f t="shared" si="8"/>
        <v>46143</v>
      </c>
      <c r="I524" s="17"/>
      <c r="J524" s="17"/>
      <c r="K524" s="17"/>
    </row>
    <row r="525" spans="1:11" x14ac:dyDescent="0.2">
      <c r="A525" s="115">
        <v>46156</v>
      </c>
      <c r="B525" s="93" t="s">
        <v>895</v>
      </c>
      <c r="C525" s="94" t="s">
        <v>13</v>
      </c>
      <c r="D525" s="95">
        <v>150.96</v>
      </c>
      <c r="E525" s="95">
        <v>92.74</v>
      </c>
      <c r="F525" s="96">
        <v>14000</v>
      </c>
      <c r="G525" s="97" t="s">
        <v>152</v>
      </c>
      <c r="H525" s="114">
        <f t="shared" si="8"/>
        <v>46143</v>
      </c>
      <c r="I525" s="17"/>
      <c r="J525" s="17"/>
      <c r="K525" s="17"/>
    </row>
    <row r="526" spans="1:11" x14ac:dyDescent="0.2">
      <c r="A526" s="115">
        <v>46156</v>
      </c>
      <c r="B526" s="93" t="s">
        <v>896</v>
      </c>
      <c r="C526" s="94" t="s">
        <v>13</v>
      </c>
      <c r="D526" s="95">
        <v>399.76</v>
      </c>
      <c r="E526" s="95">
        <v>92.74</v>
      </c>
      <c r="F526" s="96">
        <v>37074.080000000002</v>
      </c>
      <c r="G526" s="97" t="s">
        <v>57</v>
      </c>
      <c r="H526" s="114">
        <f t="shared" si="8"/>
        <v>46143</v>
      </c>
      <c r="I526" s="17"/>
      <c r="J526" s="17"/>
      <c r="K526" s="17"/>
    </row>
    <row r="527" spans="1:11" x14ac:dyDescent="0.2">
      <c r="A527" s="115">
        <v>46156</v>
      </c>
      <c r="B527" s="93" t="s">
        <v>897</v>
      </c>
      <c r="C527" s="94" t="s">
        <v>50</v>
      </c>
      <c r="D527" s="95">
        <v>1000</v>
      </c>
      <c r="E527" s="95">
        <v>92.74</v>
      </c>
      <c r="F527" s="96">
        <v>92740</v>
      </c>
      <c r="G527" s="97" t="s">
        <v>901</v>
      </c>
      <c r="H527" s="114">
        <f t="shared" si="8"/>
        <v>46143</v>
      </c>
      <c r="I527" s="17"/>
      <c r="J527" s="17"/>
      <c r="K527" s="17"/>
    </row>
    <row r="528" spans="1:11" x14ac:dyDescent="0.2">
      <c r="A528" s="115">
        <v>46156</v>
      </c>
      <c r="B528" s="93" t="s">
        <v>898</v>
      </c>
      <c r="C528" s="94" t="s">
        <v>13</v>
      </c>
      <c r="D528" s="95">
        <v>1000</v>
      </c>
      <c r="E528" s="95">
        <v>92.74</v>
      </c>
      <c r="F528" s="96">
        <v>92740</v>
      </c>
      <c r="G528" s="97" t="s">
        <v>951</v>
      </c>
      <c r="H528" s="114">
        <f t="shared" si="8"/>
        <v>46143</v>
      </c>
      <c r="I528" s="17"/>
      <c r="J528" s="17"/>
      <c r="K528" s="17"/>
    </row>
    <row r="529" spans="1:11" x14ac:dyDescent="0.2">
      <c r="A529" s="99">
        <v>46157</v>
      </c>
      <c r="B529" s="93" t="s">
        <v>903</v>
      </c>
      <c r="C529" s="94" t="s">
        <v>914</v>
      </c>
      <c r="D529" s="95">
        <v>2000</v>
      </c>
      <c r="E529" s="95">
        <v>95.93</v>
      </c>
      <c r="F529" s="96">
        <v>191860</v>
      </c>
      <c r="G529" s="97" t="s">
        <v>919</v>
      </c>
      <c r="H529" s="114">
        <f t="shared" si="8"/>
        <v>46143</v>
      </c>
      <c r="I529" s="17"/>
      <c r="J529" s="17"/>
      <c r="K529" s="17"/>
    </row>
    <row r="530" spans="1:11" x14ac:dyDescent="0.2">
      <c r="A530" s="115">
        <v>46157</v>
      </c>
      <c r="B530" s="93" t="s">
        <v>904</v>
      </c>
      <c r="C530" s="94" t="s">
        <v>915</v>
      </c>
      <c r="D530" s="95">
        <v>500</v>
      </c>
      <c r="E530" s="95">
        <v>95.93</v>
      </c>
      <c r="F530" s="96">
        <v>47965</v>
      </c>
      <c r="G530" s="97" t="s">
        <v>920</v>
      </c>
      <c r="H530" s="114">
        <f t="shared" si="8"/>
        <v>46143</v>
      </c>
      <c r="I530" s="17"/>
      <c r="J530" s="17"/>
      <c r="K530" s="17"/>
    </row>
    <row r="531" spans="1:11" x14ac:dyDescent="0.2">
      <c r="A531" s="115">
        <v>46157</v>
      </c>
      <c r="B531" s="93" t="s">
        <v>905</v>
      </c>
      <c r="C531" s="94" t="s">
        <v>916</v>
      </c>
      <c r="D531" s="95">
        <v>200</v>
      </c>
      <c r="E531" s="95">
        <v>95.93</v>
      </c>
      <c r="F531" s="96">
        <v>19186</v>
      </c>
      <c r="G531" s="97" t="s">
        <v>921</v>
      </c>
      <c r="H531" s="114">
        <f t="shared" si="8"/>
        <v>46143</v>
      </c>
      <c r="I531" s="17"/>
      <c r="J531" s="17"/>
      <c r="K531" s="17"/>
    </row>
    <row r="532" spans="1:11" x14ac:dyDescent="0.2">
      <c r="A532" s="115">
        <v>46157</v>
      </c>
      <c r="B532" s="93" t="s">
        <v>906</v>
      </c>
      <c r="C532" s="94" t="s">
        <v>247</v>
      </c>
      <c r="D532" s="95">
        <v>3000</v>
      </c>
      <c r="E532" s="95">
        <v>95.93</v>
      </c>
      <c r="F532" s="96">
        <v>287790</v>
      </c>
      <c r="G532" s="97" t="s">
        <v>51</v>
      </c>
      <c r="H532" s="114">
        <f t="shared" si="8"/>
        <v>46143</v>
      </c>
      <c r="I532" s="17"/>
      <c r="J532" s="17"/>
      <c r="K532" s="17"/>
    </row>
    <row r="533" spans="1:11" x14ac:dyDescent="0.2">
      <c r="A533" s="115">
        <v>46157</v>
      </c>
      <c r="B533" s="93" t="s">
        <v>907</v>
      </c>
      <c r="C533" s="94" t="s">
        <v>582</v>
      </c>
      <c r="D533" s="95">
        <v>500</v>
      </c>
      <c r="E533" s="95">
        <v>95.93</v>
      </c>
      <c r="F533" s="96">
        <v>47965</v>
      </c>
      <c r="G533" s="97" t="s">
        <v>922</v>
      </c>
      <c r="H533" s="114">
        <f t="shared" si="8"/>
        <v>46143</v>
      </c>
      <c r="I533" s="17"/>
      <c r="J533" s="17"/>
      <c r="K533" s="17"/>
    </row>
    <row r="534" spans="1:11" x14ac:dyDescent="0.2">
      <c r="A534" s="115">
        <v>46157</v>
      </c>
      <c r="B534" s="93" t="s">
        <v>908</v>
      </c>
      <c r="C534" s="94" t="s">
        <v>50</v>
      </c>
      <c r="D534" s="95">
        <v>1499.99</v>
      </c>
      <c r="E534" s="95">
        <v>95.93</v>
      </c>
      <c r="F534" s="96">
        <v>143894.04</v>
      </c>
      <c r="G534" s="97" t="s">
        <v>96</v>
      </c>
      <c r="H534" s="114">
        <f t="shared" si="8"/>
        <v>46143</v>
      </c>
      <c r="I534" s="17"/>
      <c r="J534" s="17"/>
      <c r="K534" s="17"/>
    </row>
    <row r="535" spans="1:11" x14ac:dyDescent="0.2">
      <c r="A535" s="115">
        <v>46157</v>
      </c>
      <c r="B535" s="93" t="s">
        <v>909</v>
      </c>
      <c r="C535" s="94" t="s">
        <v>526</v>
      </c>
      <c r="D535" s="95">
        <v>2564.37</v>
      </c>
      <c r="E535" s="95">
        <v>95.93</v>
      </c>
      <c r="F535" s="96">
        <v>246000</v>
      </c>
      <c r="G535" s="97" t="s">
        <v>58</v>
      </c>
      <c r="H535" s="114">
        <f t="shared" si="8"/>
        <v>46143</v>
      </c>
      <c r="I535" s="17"/>
      <c r="J535" s="17"/>
      <c r="K535" s="17"/>
    </row>
    <row r="536" spans="1:11" x14ac:dyDescent="0.2">
      <c r="A536" s="115">
        <v>46157</v>
      </c>
      <c r="B536" s="93" t="s">
        <v>910</v>
      </c>
      <c r="C536" s="94" t="s">
        <v>13</v>
      </c>
      <c r="D536" s="95">
        <v>32.42</v>
      </c>
      <c r="E536" s="95">
        <v>95.93</v>
      </c>
      <c r="F536" s="96">
        <v>3110.05</v>
      </c>
      <c r="G536" s="97" t="s">
        <v>57</v>
      </c>
      <c r="H536" s="114">
        <f t="shared" si="8"/>
        <v>46143</v>
      </c>
      <c r="I536" s="17"/>
      <c r="J536" s="17"/>
      <c r="K536" s="17"/>
    </row>
    <row r="537" spans="1:11" x14ac:dyDescent="0.2">
      <c r="A537" s="115">
        <v>46157</v>
      </c>
      <c r="B537" s="93" t="s">
        <v>911</v>
      </c>
      <c r="C537" s="94" t="s">
        <v>792</v>
      </c>
      <c r="D537" s="95">
        <v>50</v>
      </c>
      <c r="E537" s="95">
        <v>95.93</v>
      </c>
      <c r="F537" s="96">
        <v>4796.5</v>
      </c>
      <c r="G537" s="97" t="s">
        <v>714</v>
      </c>
      <c r="H537" s="114">
        <f t="shared" si="8"/>
        <v>46143</v>
      </c>
      <c r="I537" s="17"/>
      <c r="J537" s="17"/>
      <c r="K537" s="17"/>
    </row>
    <row r="538" spans="1:11" x14ac:dyDescent="0.2">
      <c r="A538" s="115">
        <v>46157</v>
      </c>
      <c r="B538" s="93" t="s">
        <v>912</v>
      </c>
      <c r="C538" s="94" t="s">
        <v>713</v>
      </c>
      <c r="D538" s="95">
        <v>100</v>
      </c>
      <c r="E538" s="95">
        <v>95.93</v>
      </c>
      <c r="F538" s="96">
        <v>9593</v>
      </c>
      <c r="G538" s="97" t="s">
        <v>714</v>
      </c>
      <c r="H538" s="114">
        <f t="shared" si="8"/>
        <v>46143</v>
      </c>
      <c r="I538" s="17"/>
      <c r="J538" s="17"/>
      <c r="K538" s="17"/>
    </row>
    <row r="539" spans="1:11" x14ac:dyDescent="0.2">
      <c r="A539" s="115">
        <v>46157</v>
      </c>
      <c r="B539" s="93" t="s">
        <v>913</v>
      </c>
      <c r="C539" s="94" t="s">
        <v>917</v>
      </c>
      <c r="D539" s="95">
        <v>2000</v>
      </c>
      <c r="E539" s="95">
        <v>95.93</v>
      </c>
      <c r="F539" s="96">
        <v>191860</v>
      </c>
      <c r="G539" s="97" t="s">
        <v>302</v>
      </c>
      <c r="H539" s="114">
        <f t="shared" si="8"/>
        <v>46143</v>
      </c>
      <c r="I539" s="17"/>
      <c r="J539" s="17"/>
      <c r="K539" s="17"/>
    </row>
    <row r="540" spans="1:11" x14ac:dyDescent="0.2">
      <c r="A540" s="99">
        <v>46158</v>
      </c>
      <c r="B540" s="93" t="s">
        <v>926</v>
      </c>
      <c r="C540" s="94" t="s">
        <v>927</v>
      </c>
      <c r="D540" s="95">
        <v>120</v>
      </c>
      <c r="E540" s="95">
        <v>95.93</v>
      </c>
      <c r="F540" s="96">
        <v>11511.6</v>
      </c>
      <c r="G540" s="97" t="s">
        <v>552</v>
      </c>
      <c r="H540" s="114">
        <f t="shared" si="8"/>
        <v>46143</v>
      </c>
      <c r="I540" s="17"/>
      <c r="J540" s="17"/>
      <c r="K540" s="17"/>
    </row>
    <row r="541" spans="1:11" x14ac:dyDescent="0.2">
      <c r="A541" s="99">
        <v>46159</v>
      </c>
      <c r="B541" s="93" t="s">
        <v>928</v>
      </c>
      <c r="C541" s="94" t="s">
        <v>50</v>
      </c>
      <c r="D541" s="95">
        <v>3000</v>
      </c>
      <c r="E541" s="95">
        <v>95.93</v>
      </c>
      <c r="F541" s="96">
        <v>287790</v>
      </c>
      <c r="G541" s="97" t="s">
        <v>143</v>
      </c>
      <c r="H541" s="114">
        <f t="shared" si="8"/>
        <v>46143</v>
      </c>
      <c r="I541" s="17"/>
      <c r="J541" s="17"/>
      <c r="K541" s="17"/>
    </row>
    <row r="542" spans="1:11" x14ac:dyDescent="0.2">
      <c r="A542" s="115">
        <v>46159</v>
      </c>
      <c r="B542" s="93" t="s">
        <v>929</v>
      </c>
      <c r="C542" s="94" t="s">
        <v>248</v>
      </c>
      <c r="D542" s="95">
        <v>1500</v>
      </c>
      <c r="E542" s="95">
        <v>95.93</v>
      </c>
      <c r="F542" s="96">
        <v>143895</v>
      </c>
      <c r="G542" s="97" t="s">
        <v>256</v>
      </c>
      <c r="H542" s="114">
        <f t="shared" si="8"/>
        <v>46143</v>
      </c>
      <c r="I542" s="17"/>
      <c r="J542" s="17"/>
      <c r="K542" s="17"/>
    </row>
    <row r="543" spans="1:11" x14ac:dyDescent="0.2">
      <c r="A543" s="115">
        <v>46159</v>
      </c>
      <c r="B543" s="93" t="s">
        <v>930</v>
      </c>
      <c r="C543" s="94" t="s">
        <v>915</v>
      </c>
      <c r="D543" s="95">
        <v>500</v>
      </c>
      <c r="E543" s="95">
        <v>95.93</v>
      </c>
      <c r="F543" s="96">
        <v>47965</v>
      </c>
      <c r="G543" s="97" t="s">
        <v>920</v>
      </c>
      <c r="H543" s="114">
        <f t="shared" si="8"/>
        <v>46143</v>
      </c>
      <c r="I543" s="17"/>
      <c r="J543" s="17"/>
      <c r="K543" s="17"/>
    </row>
    <row r="544" spans="1:11" x14ac:dyDescent="0.2">
      <c r="A544" s="115">
        <v>46159</v>
      </c>
      <c r="B544" s="93" t="s">
        <v>931</v>
      </c>
      <c r="C544" s="94" t="s">
        <v>943</v>
      </c>
      <c r="D544" s="95">
        <v>500</v>
      </c>
      <c r="E544" s="95">
        <v>95.93</v>
      </c>
      <c r="F544" s="96">
        <v>47965</v>
      </c>
      <c r="G544" s="97" t="s">
        <v>945</v>
      </c>
      <c r="H544" s="114">
        <f t="shared" si="8"/>
        <v>46143</v>
      </c>
      <c r="I544" s="17"/>
      <c r="J544" s="17"/>
      <c r="K544" s="17"/>
    </row>
    <row r="545" spans="1:11" x14ac:dyDescent="0.2">
      <c r="A545" s="115">
        <v>46159</v>
      </c>
      <c r="B545" s="93" t="s">
        <v>932</v>
      </c>
      <c r="C545" s="94" t="s">
        <v>246</v>
      </c>
      <c r="D545" s="95">
        <v>1000</v>
      </c>
      <c r="E545" s="95">
        <v>95.93</v>
      </c>
      <c r="F545" s="96">
        <v>95930</v>
      </c>
      <c r="G545" s="97" t="s">
        <v>302</v>
      </c>
      <c r="H545" s="114">
        <f t="shared" si="8"/>
        <v>46143</v>
      </c>
      <c r="I545" s="17"/>
      <c r="J545" s="17"/>
      <c r="K545" s="17"/>
    </row>
    <row r="546" spans="1:11" x14ac:dyDescent="0.2">
      <c r="A546" s="115">
        <v>46159</v>
      </c>
      <c r="B546" s="93" t="s">
        <v>933</v>
      </c>
      <c r="C546" s="94" t="s">
        <v>526</v>
      </c>
      <c r="D546" s="95">
        <v>1642.86</v>
      </c>
      <c r="E546" s="95">
        <v>95.93</v>
      </c>
      <c r="F546" s="96">
        <v>157600</v>
      </c>
      <c r="G546" s="97" t="s">
        <v>58</v>
      </c>
      <c r="H546" s="114">
        <f t="shared" si="8"/>
        <v>46143</v>
      </c>
      <c r="I546" s="17"/>
      <c r="J546" s="17"/>
      <c r="K546" s="17"/>
    </row>
    <row r="547" spans="1:11" x14ac:dyDescent="0.2">
      <c r="A547" s="115">
        <v>46159</v>
      </c>
      <c r="B547" s="93" t="s">
        <v>934</v>
      </c>
      <c r="C547" s="94" t="s">
        <v>13</v>
      </c>
      <c r="D547" s="95">
        <v>452.41</v>
      </c>
      <c r="E547" s="95">
        <v>95.93</v>
      </c>
      <c r="F547" s="96">
        <v>43400</v>
      </c>
      <c r="G547" s="97" t="s">
        <v>152</v>
      </c>
      <c r="H547" s="114">
        <f t="shared" si="8"/>
        <v>46143</v>
      </c>
      <c r="I547" s="17"/>
      <c r="J547" s="17"/>
      <c r="K547" s="17"/>
    </row>
    <row r="548" spans="1:11" x14ac:dyDescent="0.2">
      <c r="A548" s="115">
        <v>46159</v>
      </c>
      <c r="B548" s="93" t="s">
        <v>935</v>
      </c>
      <c r="C548" s="94" t="s">
        <v>13</v>
      </c>
      <c r="D548" s="95">
        <v>200.01</v>
      </c>
      <c r="E548" s="95">
        <v>95.93</v>
      </c>
      <c r="F548" s="96">
        <v>19186.95</v>
      </c>
      <c r="G548" s="97" t="s">
        <v>952</v>
      </c>
      <c r="H548" s="114">
        <f t="shared" si="8"/>
        <v>46143</v>
      </c>
      <c r="I548" s="17"/>
      <c r="J548" s="17"/>
      <c r="K548" s="17"/>
    </row>
    <row r="549" spans="1:11" x14ac:dyDescent="0.2">
      <c r="A549" s="115">
        <v>46159</v>
      </c>
      <c r="B549" s="93" t="s">
        <v>936</v>
      </c>
      <c r="C549" s="94" t="s">
        <v>13</v>
      </c>
      <c r="D549" s="95">
        <v>44.3</v>
      </c>
      <c r="E549" s="95">
        <v>95.93</v>
      </c>
      <c r="F549" s="96">
        <v>4249.96</v>
      </c>
      <c r="G549" s="97" t="s">
        <v>57</v>
      </c>
      <c r="H549" s="114">
        <f t="shared" si="8"/>
        <v>46143</v>
      </c>
      <c r="I549" s="17"/>
      <c r="J549" s="17"/>
      <c r="K549" s="17"/>
    </row>
    <row r="550" spans="1:11" x14ac:dyDescent="0.2">
      <c r="A550" s="115">
        <v>46159</v>
      </c>
      <c r="B550" s="93" t="s">
        <v>937</v>
      </c>
      <c r="C550" s="94" t="s">
        <v>127</v>
      </c>
      <c r="D550" s="95">
        <v>250</v>
      </c>
      <c r="E550" s="95">
        <v>95.93</v>
      </c>
      <c r="F550" s="96">
        <v>23982.5</v>
      </c>
      <c r="G550" s="97" t="s">
        <v>59</v>
      </c>
      <c r="H550" s="114">
        <f t="shared" si="8"/>
        <v>46143</v>
      </c>
      <c r="I550" s="17"/>
      <c r="J550" s="17"/>
      <c r="K550" s="17"/>
    </row>
    <row r="551" spans="1:11" x14ac:dyDescent="0.2">
      <c r="A551" s="115">
        <v>46159</v>
      </c>
      <c r="B551" s="93" t="s">
        <v>938</v>
      </c>
      <c r="C551" s="94" t="s">
        <v>760</v>
      </c>
      <c r="D551" s="95">
        <v>200</v>
      </c>
      <c r="E551" s="95">
        <v>95.93</v>
      </c>
      <c r="F551" s="96">
        <v>19186</v>
      </c>
      <c r="G551" s="97" t="s">
        <v>714</v>
      </c>
      <c r="H551" s="114">
        <f t="shared" si="8"/>
        <v>46143</v>
      </c>
      <c r="I551" s="17"/>
      <c r="J551" s="17"/>
      <c r="K551" s="17"/>
    </row>
    <row r="552" spans="1:11" x14ac:dyDescent="0.2">
      <c r="A552" s="115">
        <v>46159</v>
      </c>
      <c r="B552" s="93" t="s">
        <v>939</v>
      </c>
      <c r="C552" s="94" t="s">
        <v>45</v>
      </c>
      <c r="D552" s="95">
        <v>45.52</v>
      </c>
      <c r="E552" s="95">
        <v>95.93</v>
      </c>
      <c r="F552" s="96">
        <v>4366.7299999999996</v>
      </c>
      <c r="G552" s="97" t="s">
        <v>56</v>
      </c>
      <c r="H552" s="114">
        <f t="shared" si="8"/>
        <v>46143</v>
      </c>
      <c r="I552" s="17"/>
      <c r="J552" s="17"/>
      <c r="K552" s="17"/>
    </row>
    <row r="553" spans="1:11" x14ac:dyDescent="0.2">
      <c r="A553" s="115">
        <v>46159</v>
      </c>
      <c r="B553" s="93" t="s">
        <v>940</v>
      </c>
      <c r="C553" s="94" t="s">
        <v>944</v>
      </c>
      <c r="D553" s="95">
        <v>200</v>
      </c>
      <c r="E553" s="95">
        <v>95.93</v>
      </c>
      <c r="F553" s="96">
        <v>19186</v>
      </c>
      <c r="G553" s="97" t="s">
        <v>199</v>
      </c>
      <c r="H553" s="114">
        <f t="shared" si="8"/>
        <v>46143</v>
      </c>
      <c r="I553" s="17"/>
      <c r="J553" s="17"/>
      <c r="K553" s="17"/>
    </row>
    <row r="554" spans="1:11" x14ac:dyDescent="0.2">
      <c r="A554" s="115">
        <v>46159</v>
      </c>
      <c r="B554" s="93" t="s">
        <v>941</v>
      </c>
      <c r="C554" s="94" t="s">
        <v>428</v>
      </c>
      <c r="D554" s="95">
        <v>42.14</v>
      </c>
      <c r="E554" s="95">
        <v>95.93</v>
      </c>
      <c r="F554" s="96">
        <v>4042.49</v>
      </c>
      <c r="G554" s="97" t="s">
        <v>257</v>
      </c>
      <c r="H554" s="114">
        <f t="shared" si="8"/>
        <v>46143</v>
      </c>
      <c r="I554" s="17"/>
      <c r="J554" s="17"/>
      <c r="K554" s="17"/>
    </row>
    <row r="555" spans="1:11" x14ac:dyDescent="0.2">
      <c r="A555" s="115">
        <v>46159</v>
      </c>
      <c r="B555" s="93" t="s">
        <v>942</v>
      </c>
      <c r="C555" s="94" t="s">
        <v>521</v>
      </c>
      <c r="D555" s="95">
        <v>47</v>
      </c>
      <c r="E555" s="95">
        <v>95.93</v>
      </c>
      <c r="F555" s="96">
        <v>4508.71</v>
      </c>
      <c r="G555" s="97" t="s">
        <v>257</v>
      </c>
      <c r="H555" s="114">
        <f t="shared" si="8"/>
        <v>46143</v>
      </c>
      <c r="I555" s="17"/>
      <c r="J555" s="17"/>
      <c r="K555" s="17"/>
    </row>
    <row r="556" spans="1:11" x14ac:dyDescent="0.2">
      <c r="A556" s="99">
        <v>46161</v>
      </c>
      <c r="B556" s="93" t="s">
        <v>953</v>
      </c>
      <c r="C556" s="94" t="s">
        <v>965</v>
      </c>
      <c r="D556" s="95">
        <v>500</v>
      </c>
      <c r="E556" s="95">
        <v>96.9</v>
      </c>
      <c r="F556" s="96">
        <v>48450</v>
      </c>
      <c r="G556" s="97" t="s">
        <v>256</v>
      </c>
      <c r="H556" s="114">
        <f t="shared" si="8"/>
        <v>46143</v>
      </c>
      <c r="I556" s="17"/>
      <c r="J556" s="17"/>
      <c r="K556" s="17"/>
    </row>
    <row r="557" spans="1:11" x14ac:dyDescent="0.2">
      <c r="A557" s="115">
        <v>46161</v>
      </c>
      <c r="B557" s="93" t="s">
        <v>954</v>
      </c>
      <c r="C557" s="94" t="s">
        <v>821</v>
      </c>
      <c r="D557" s="95">
        <v>300</v>
      </c>
      <c r="E557" s="95">
        <v>96.9</v>
      </c>
      <c r="F557" s="96">
        <v>29070</v>
      </c>
      <c r="G557" s="97" t="s">
        <v>714</v>
      </c>
      <c r="H557" s="114">
        <f t="shared" si="8"/>
        <v>46143</v>
      </c>
      <c r="I557" s="17"/>
      <c r="J557" s="17"/>
      <c r="K557" s="17"/>
    </row>
    <row r="558" spans="1:11" x14ac:dyDescent="0.2">
      <c r="A558" s="115">
        <v>46161</v>
      </c>
      <c r="B558" s="93" t="s">
        <v>955</v>
      </c>
      <c r="C558" s="94" t="s">
        <v>44</v>
      </c>
      <c r="D558" s="95">
        <v>85</v>
      </c>
      <c r="E558" s="95">
        <v>96.9</v>
      </c>
      <c r="F558" s="96">
        <v>8236.5</v>
      </c>
      <c r="G558" s="97" t="s">
        <v>56</v>
      </c>
      <c r="H558" s="114">
        <f t="shared" si="8"/>
        <v>46143</v>
      </c>
      <c r="I558" s="17"/>
      <c r="J558" s="17"/>
      <c r="K558" s="17"/>
    </row>
    <row r="559" spans="1:11" x14ac:dyDescent="0.2">
      <c r="A559" s="115">
        <v>46161</v>
      </c>
      <c r="B559" s="93" t="s">
        <v>956</v>
      </c>
      <c r="C559" s="94" t="s">
        <v>44</v>
      </c>
      <c r="D559" s="95">
        <v>49.15</v>
      </c>
      <c r="E559" s="95">
        <v>96.9</v>
      </c>
      <c r="F559" s="96">
        <v>4762.63</v>
      </c>
      <c r="G559" s="97" t="s">
        <v>56</v>
      </c>
      <c r="H559" s="114">
        <f t="shared" si="8"/>
        <v>46143</v>
      </c>
      <c r="I559" s="17"/>
      <c r="J559" s="17"/>
      <c r="K559" s="17"/>
    </row>
    <row r="560" spans="1:11" x14ac:dyDescent="0.2">
      <c r="A560" s="115">
        <v>46161</v>
      </c>
      <c r="B560" s="93" t="s">
        <v>957</v>
      </c>
      <c r="C560" s="94" t="s">
        <v>129</v>
      </c>
      <c r="D560" s="95">
        <v>101.15</v>
      </c>
      <c r="E560" s="95">
        <v>96.9</v>
      </c>
      <c r="F560" s="96">
        <v>9801.43</v>
      </c>
      <c r="G560" s="97" t="s">
        <v>56</v>
      </c>
      <c r="H560" s="114">
        <f t="shared" si="8"/>
        <v>46143</v>
      </c>
      <c r="I560" s="17"/>
      <c r="J560" s="17"/>
      <c r="K560" s="17"/>
    </row>
    <row r="561" spans="1:11" x14ac:dyDescent="0.2">
      <c r="A561" s="115">
        <v>46161</v>
      </c>
      <c r="B561" s="93" t="s">
        <v>958</v>
      </c>
      <c r="C561" s="94" t="s">
        <v>45</v>
      </c>
      <c r="D561" s="95">
        <v>46.36</v>
      </c>
      <c r="E561" s="95">
        <v>96.9</v>
      </c>
      <c r="F561" s="96">
        <v>4492.28</v>
      </c>
      <c r="G561" s="97" t="s">
        <v>56</v>
      </c>
      <c r="H561" s="114">
        <f t="shared" si="8"/>
        <v>46143</v>
      </c>
      <c r="I561" s="17"/>
      <c r="J561" s="17"/>
      <c r="K561" s="17"/>
    </row>
    <row r="562" spans="1:11" x14ac:dyDescent="0.2">
      <c r="A562" s="115">
        <v>46161</v>
      </c>
      <c r="B562" s="93" t="s">
        <v>959</v>
      </c>
      <c r="C562" s="94" t="s">
        <v>526</v>
      </c>
      <c r="D562" s="95">
        <v>1259.03</v>
      </c>
      <c r="E562" s="95">
        <v>96.9</v>
      </c>
      <c r="F562" s="96">
        <v>122000</v>
      </c>
      <c r="G562" s="97" t="s">
        <v>58</v>
      </c>
      <c r="H562" s="114">
        <f t="shared" si="8"/>
        <v>46143</v>
      </c>
      <c r="I562" s="17"/>
      <c r="J562" s="17"/>
      <c r="K562" s="17"/>
    </row>
    <row r="563" spans="1:11" x14ac:dyDescent="0.2">
      <c r="A563" s="115">
        <v>46161</v>
      </c>
      <c r="B563" s="93" t="s">
        <v>960</v>
      </c>
      <c r="C563" s="94" t="s">
        <v>50</v>
      </c>
      <c r="D563" s="95">
        <v>1000.06</v>
      </c>
      <c r="E563" s="95">
        <v>96.9</v>
      </c>
      <c r="F563" s="96">
        <v>96905.81</v>
      </c>
      <c r="G563" s="97" t="s">
        <v>901</v>
      </c>
      <c r="H563" s="114">
        <f t="shared" si="8"/>
        <v>46143</v>
      </c>
      <c r="I563" s="17"/>
      <c r="J563" s="17"/>
      <c r="K563" s="17"/>
    </row>
    <row r="564" spans="1:11" x14ac:dyDescent="0.2">
      <c r="A564" s="115">
        <v>46161</v>
      </c>
      <c r="B564" s="93" t="s">
        <v>961</v>
      </c>
      <c r="C564" s="94" t="s">
        <v>41</v>
      </c>
      <c r="D564" s="95">
        <v>45.92</v>
      </c>
      <c r="E564" s="95">
        <v>96.9</v>
      </c>
      <c r="F564" s="96">
        <v>4449.6400000000003</v>
      </c>
      <c r="G564" s="97" t="s">
        <v>53</v>
      </c>
      <c r="H564" s="114">
        <f t="shared" si="8"/>
        <v>46143</v>
      </c>
      <c r="I564" s="17"/>
      <c r="J564" s="17"/>
      <c r="K564" s="17"/>
    </row>
    <row r="565" spans="1:11" x14ac:dyDescent="0.2">
      <c r="A565" s="115">
        <v>46161</v>
      </c>
      <c r="B565" s="93" t="s">
        <v>962</v>
      </c>
      <c r="C565" s="94" t="s">
        <v>582</v>
      </c>
      <c r="D565" s="95">
        <v>400</v>
      </c>
      <c r="E565" s="95">
        <v>96.9</v>
      </c>
      <c r="F565" s="96">
        <v>38760</v>
      </c>
      <c r="G565" s="97" t="s">
        <v>922</v>
      </c>
      <c r="H565" s="114">
        <f t="shared" si="8"/>
        <v>46143</v>
      </c>
      <c r="I565" s="17"/>
      <c r="J565" s="17"/>
      <c r="K565" s="17"/>
    </row>
    <row r="566" spans="1:11" x14ac:dyDescent="0.2">
      <c r="A566" s="115">
        <v>46161</v>
      </c>
      <c r="B566" s="93" t="s">
        <v>963</v>
      </c>
      <c r="C566" s="94" t="s">
        <v>13</v>
      </c>
      <c r="D566" s="95">
        <v>103.2</v>
      </c>
      <c r="E566" s="95">
        <v>96.9</v>
      </c>
      <c r="F566" s="96">
        <v>10000</v>
      </c>
      <c r="G566" s="97" t="s">
        <v>57</v>
      </c>
      <c r="H566" s="114">
        <f t="shared" si="8"/>
        <v>46143</v>
      </c>
      <c r="I566" s="17"/>
      <c r="J566" s="17"/>
      <c r="K566" s="17"/>
    </row>
    <row r="567" spans="1:11" x14ac:dyDescent="0.2">
      <c r="A567" s="115">
        <v>46161</v>
      </c>
      <c r="B567" s="93" t="s">
        <v>964</v>
      </c>
      <c r="C567" s="94" t="s">
        <v>966</v>
      </c>
      <c r="D567" s="95">
        <v>120</v>
      </c>
      <c r="E567" s="95">
        <v>96.9</v>
      </c>
      <c r="F567" s="96">
        <v>11628</v>
      </c>
      <c r="G567" s="97" t="s">
        <v>552</v>
      </c>
      <c r="H567" s="114">
        <f t="shared" si="8"/>
        <v>46143</v>
      </c>
      <c r="I567" s="17"/>
      <c r="J567" s="17"/>
      <c r="K567" s="17"/>
    </row>
    <row r="568" spans="1:11" x14ac:dyDescent="0.2">
      <c r="A568" s="99">
        <v>46162</v>
      </c>
      <c r="B568" s="93" t="s">
        <v>977</v>
      </c>
      <c r="C568" s="94" t="s">
        <v>40</v>
      </c>
      <c r="D568" s="95">
        <v>4000</v>
      </c>
      <c r="E568" s="95">
        <v>96.9</v>
      </c>
      <c r="F568" s="96">
        <v>387600</v>
      </c>
      <c r="G568" s="97" t="s">
        <v>143</v>
      </c>
      <c r="H568" s="114">
        <f t="shared" si="8"/>
        <v>46143</v>
      </c>
      <c r="I568" s="17"/>
      <c r="J568" s="17"/>
      <c r="K568" s="17"/>
    </row>
    <row r="569" spans="1:11" x14ac:dyDescent="0.2">
      <c r="A569" s="115">
        <v>46162</v>
      </c>
      <c r="B569" s="93" t="s">
        <v>978</v>
      </c>
      <c r="C569" s="94" t="s">
        <v>122</v>
      </c>
      <c r="D569" s="95">
        <v>500</v>
      </c>
      <c r="E569" s="95">
        <v>96.9</v>
      </c>
      <c r="F569" s="96">
        <v>48450</v>
      </c>
      <c r="G569" s="97" t="s">
        <v>134</v>
      </c>
      <c r="H569" s="114">
        <f t="shared" si="8"/>
        <v>46143</v>
      </c>
      <c r="I569" s="17"/>
      <c r="J569" s="17"/>
      <c r="K569" s="17"/>
    </row>
    <row r="570" spans="1:11" x14ac:dyDescent="0.2">
      <c r="A570" s="115">
        <v>46162</v>
      </c>
      <c r="B570" s="93" t="s">
        <v>979</v>
      </c>
      <c r="C570" s="94" t="s">
        <v>990</v>
      </c>
      <c r="D570" s="95">
        <v>500</v>
      </c>
      <c r="E570" s="95">
        <v>96.9</v>
      </c>
      <c r="F570" s="96">
        <v>48450</v>
      </c>
      <c r="G570" s="97" t="s">
        <v>527</v>
      </c>
      <c r="H570" s="114">
        <f t="shared" si="8"/>
        <v>46143</v>
      </c>
      <c r="I570" s="17"/>
      <c r="J570" s="17"/>
      <c r="K570" s="17"/>
    </row>
    <row r="571" spans="1:11" x14ac:dyDescent="0.2">
      <c r="A571" s="115">
        <v>46162</v>
      </c>
      <c r="B571" s="93" t="s">
        <v>980</v>
      </c>
      <c r="C571" s="94" t="s">
        <v>301</v>
      </c>
      <c r="D571" s="95">
        <v>984.99</v>
      </c>
      <c r="E571" s="95">
        <v>96.9</v>
      </c>
      <c r="F571" s="96">
        <v>95445</v>
      </c>
      <c r="G571" s="97" t="s">
        <v>256</v>
      </c>
      <c r="H571" s="114">
        <f t="shared" si="8"/>
        <v>46143</v>
      </c>
      <c r="I571" s="17"/>
      <c r="J571" s="17"/>
      <c r="K571" s="17"/>
    </row>
    <row r="572" spans="1:11" x14ac:dyDescent="0.2">
      <c r="A572" s="115">
        <v>46162</v>
      </c>
      <c r="B572" s="93" t="s">
        <v>981</v>
      </c>
      <c r="C572" s="94" t="s">
        <v>943</v>
      </c>
      <c r="D572" s="95">
        <v>200</v>
      </c>
      <c r="E572" s="95">
        <v>96.9</v>
      </c>
      <c r="F572" s="96">
        <v>19380</v>
      </c>
      <c r="G572" s="97" t="s">
        <v>945</v>
      </c>
      <c r="H572" s="114">
        <f t="shared" si="8"/>
        <v>46143</v>
      </c>
      <c r="I572" s="17"/>
      <c r="J572" s="17"/>
      <c r="K572" s="17"/>
    </row>
    <row r="573" spans="1:11" x14ac:dyDescent="0.2">
      <c r="A573" s="115">
        <v>46162</v>
      </c>
      <c r="B573" s="93" t="s">
        <v>982</v>
      </c>
      <c r="C573" s="94" t="s">
        <v>821</v>
      </c>
      <c r="D573" s="95">
        <v>300</v>
      </c>
      <c r="E573" s="95">
        <v>96.9</v>
      </c>
      <c r="F573" s="96">
        <v>29070</v>
      </c>
      <c r="G573" s="97" t="s">
        <v>714</v>
      </c>
      <c r="H573" s="114">
        <f t="shared" si="8"/>
        <v>46143</v>
      </c>
      <c r="I573" s="17"/>
      <c r="J573" s="17"/>
      <c r="K573" s="17"/>
    </row>
    <row r="574" spans="1:11" x14ac:dyDescent="0.2">
      <c r="A574" s="115">
        <v>46162</v>
      </c>
      <c r="B574" s="93" t="s">
        <v>983</v>
      </c>
      <c r="C574" s="94" t="s">
        <v>991</v>
      </c>
      <c r="D574" s="95">
        <v>51.6</v>
      </c>
      <c r="E574" s="95">
        <v>96.9</v>
      </c>
      <c r="F574" s="96">
        <v>5000</v>
      </c>
      <c r="G574" s="97" t="s">
        <v>257</v>
      </c>
      <c r="H574" s="114">
        <f t="shared" si="8"/>
        <v>46143</v>
      </c>
      <c r="I574" s="17"/>
      <c r="J574" s="17"/>
      <c r="K574" s="17"/>
    </row>
    <row r="575" spans="1:11" x14ac:dyDescent="0.2">
      <c r="A575" s="115">
        <v>46162</v>
      </c>
      <c r="B575" s="93" t="s">
        <v>984</v>
      </c>
      <c r="C575" s="94" t="s">
        <v>992</v>
      </c>
      <c r="D575" s="95">
        <v>50</v>
      </c>
      <c r="E575" s="95">
        <v>96.9</v>
      </c>
      <c r="F575" s="96">
        <v>4845</v>
      </c>
      <c r="G575" s="97" t="s">
        <v>994</v>
      </c>
      <c r="H575" s="114">
        <f t="shared" si="8"/>
        <v>46143</v>
      </c>
      <c r="I575" s="17"/>
      <c r="J575" s="17"/>
      <c r="K575" s="17"/>
    </row>
    <row r="576" spans="1:11" x14ac:dyDescent="0.2">
      <c r="A576" s="115">
        <v>46162</v>
      </c>
      <c r="B576" s="93" t="s">
        <v>985</v>
      </c>
      <c r="C576" s="94" t="s">
        <v>13</v>
      </c>
      <c r="D576" s="95">
        <v>20</v>
      </c>
      <c r="E576" s="95">
        <v>96.9</v>
      </c>
      <c r="F576" s="96">
        <v>1938</v>
      </c>
      <c r="G576" s="97" t="s">
        <v>217</v>
      </c>
      <c r="H576" s="114">
        <f t="shared" si="8"/>
        <v>46143</v>
      </c>
      <c r="I576" s="17"/>
      <c r="J576" s="17"/>
      <c r="K576" s="17"/>
    </row>
    <row r="577" spans="1:11" x14ac:dyDescent="0.2">
      <c r="A577" s="115">
        <v>46162</v>
      </c>
      <c r="B577" s="93" t="s">
        <v>986</v>
      </c>
      <c r="C577" s="94" t="s">
        <v>993</v>
      </c>
      <c r="D577" s="95">
        <v>200</v>
      </c>
      <c r="E577" s="95">
        <v>96.9</v>
      </c>
      <c r="F577" s="96">
        <v>19380</v>
      </c>
      <c r="G577" s="97" t="s">
        <v>199</v>
      </c>
      <c r="H577" s="114">
        <f t="shared" si="8"/>
        <v>46143</v>
      </c>
      <c r="I577" s="17"/>
      <c r="J577" s="17"/>
      <c r="K577" s="17"/>
    </row>
    <row r="578" spans="1:11" x14ac:dyDescent="0.2">
      <c r="A578" s="115">
        <v>46162</v>
      </c>
      <c r="B578" s="93" t="s">
        <v>987</v>
      </c>
      <c r="C578" s="94" t="s">
        <v>50</v>
      </c>
      <c r="D578" s="95">
        <v>3000.44</v>
      </c>
      <c r="E578" s="95">
        <v>96.9</v>
      </c>
      <c r="F578" s="96">
        <v>290742.64</v>
      </c>
      <c r="G578" s="97" t="s">
        <v>59</v>
      </c>
      <c r="H578" s="114">
        <f t="shared" si="8"/>
        <v>46143</v>
      </c>
      <c r="I578" s="17"/>
      <c r="J578" s="17"/>
      <c r="K578" s="17"/>
    </row>
    <row r="579" spans="1:11" x14ac:dyDescent="0.2">
      <c r="A579" s="115">
        <v>46162</v>
      </c>
      <c r="B579" s="93" t="s">
        <v>988</v>
      </c>
      <c r="C579" s="94" t="s">
        <v>526</v>
      </c>
      <c r="D579" s="95">
        <v>3629.76</v>
      </c>
      <c r="E579" s="95">
        <v>96.9</v>
      </c>
      <c r="F579" s="96">
        <v>351724</v>
      </c>
      <c r="G579" s="97" t="s">
        <v>58</v>
      </c>
      <c r="H579" s="114">
        <f t="shared" si="8"/>
        <v>46143</v>
      </c>
      <c r="I579" s="17"/>
      <c r="J579" s="17"/>
      <c r="K579" s="17"/>
    </row>
    <row r="580" spans="1:11" x14ac:dyDescent="0.2">
      <c r="A580" s="115">
        <v>46162</v>
      </c>
      <c r="B580" s="93" t="s">
        <v>989</v>
      </c>
      <c r="C580" s="94" t="s">
        <v>13</v>
      </c>
      <c r="D580" s="95">
        <v>453.2</v>
      </c>
      <c r="E580" s="95">
        <v>96.9</v>
      </c>
      <c r="F580" s="96">
        <v>43915</v>
      </c>
      <c r="G580" s="97" t="s">
        <v>57</v>
      </c>
      <c r="H580" s="114">
        <f t="shared" ref="H580:H643" si="9">IF(A580&lt;&gt;"", EOMONTH(A580, -1) + 1, "")</f>
        <v>46143</v>
      </c>
      <c r="I580" s="17"/>
      <c r="J580" s="17"/>
      <c r="K580" s="17"/>
    </row>
    <row r="581" spans="1:11" x14ac:dyDescent="0.2">
      <c r="A581" s="99">
        <v>46163</v>
      </c>
      <c r="B581" s="93" t="s">
        <v>998</v>
      </c>
      <c r="C581" s="94" t="s">
        <v>50</v>
      </c>
      <c r="D581" s="95">
        <v>3000</v>
      </c>
      <c r="E581" s="95">
        <v>96.9</v>
      </c>
      <c r="F581" s="96">
        <v>290700</v>
      </c>
      <c r="G581" s="97" t="s">
        <v>51</v>
      </c>
      <c r="H581" s="114">
        <f t="shared" si="9"/>
        <v>46143</v>
      </c>
      <c r="I581" s="17"/>
      <c r="J581" s="17"/>
      <c r="K581" s="17"/>
    </row>
    <row r="582" spans="1:11" x14ac:dyDescent="0.2">
      <c r="A582" s="115">
        <v>46163</v>
      </c>
      <c r="B582" s="93" t="s">
        <v>999</v>
      </c>
      <c r="C582" s="94" t="s">
        <v>914</v>
      </c>
      <c r="D582" s="95">
        <v>1000</v>
      </c>
      <c r="E582" s="95">
        <v>96.9</v>
      </c>
      <c r="F582" s="96">
        <v>96900</v>
      </c>
      <c r="G582" s="97" t="s">
        <v>919</v>
      </c>
      <c r="H582" s="114">
        <f t="shared" si="9"/>
        <v>46143</v>
      </c>
      <c r="I582" s="17"/>
      <c r="J582" s="17"/>
      <c r="K582" s="17"/>
    </row>
    <row r="583" spans="1:11" x14ac:dyDescent="0.2">
      <c r="A583" s="115">
        <v>46163</v>
      </c>
      <c r="B583" s="93" t="s">
        <v>1000</v>
      </c>
      <c r="C583" s="94" t="s">
        <v>127</v>
      </c>
      <c r="D583" s="95">
        <v>300</v>
      </c>
      <c r="E583" s="95">
        <v>96.9</v>
      </c>
      <c r="F583" s="96">
        <v>29070</v>
      </c>
      <c r="G583" s="97" t="s">
        <v>59</v>
      </c>
      <c r="H583" s="114">
        <f t="shared" si="9"/>
        <v>46143</v>
      </c>
      <c r="I583" s="17"/>
      <c r="J583" s="17"/>
      <c r="K583" s="17"/>
    </row>
    <row r="584" spans="1:11" x14ac:dyDescent="0.2">
      <c r="A584" s="115">
        <v>46163</v>
      </c>
      <c r="B584" s="93" t="s">
        <v>1001</v>
      </c>
      <c r="C584" s="94" t="s">
        <v>650</v>
      </c>
      <c r="D584" s="95">
        <v>31.2</v>
      </c>
      <c r="E584" s="95">
        <v>96.9</v>
      </c>
      <c r="F584" s="96">
        <v>3023.28</v>
      </c>
      <c r="G584" s="97" t="s">
        <v>55</v>
      </c>
      <c r="H584" s="114">
        <f t="shared" si="9"/>
        <v>46143</v>
      </c>
      <c r="I584" s="17"/>
      <c r="J584" s="17"/>
      <c r="K584" s="17"/>
    </row>
    <row r="585" spans="1:11" x14ac:dyDescent="0.2">
      <c r="A585" s="115">
        <v>46163</v>
      </c>
      <c r="B585" s="93" t="s">
        <v>1002</v>
      </c>
      <c r="C585" s="94" t="s">
        <v>1006</v>
      </c>
      <c r="D585" s="95">
        <v>72.239999999999995</v>
      </c>
      <c r="E585" s="95">
        <v>96.9</v>
      </c>
      <c r="F585" s="96">
        <v>7000</v>
      </c>
      <c r="G585" s="97" t="s">
        <v>257</v>
      </c>
      <c r="H585" s="114">
        <f t="shared" si="9"/>
        <v>46143</v>
      </c>
      <c r="I585" s="17"/>
      <c r="J585" s="17"/>
      <c r="K585" s="17"/>
    </row>
    <row r="586" spans="1:11" x14ac:dyDescent="0.2">
      <c r="A586" s="115">
        <v>46163</v>
      </c>
      <c r="B586" s="93" t="s">
        <v>1003</v>
      </c>
      <c r="C586" s="94" t="s">
        <v>526</v>
      </c>
      <c r="D586" s="95">
        <v>57.79</v>
      </c>
      <c r="E586" s="95">
        <v>96.9</v>
      </c>
      <c r="F586" s="96">
        <v>5600</v>
      </c>
      <c r="G586" s="97" t="s">
        <v>58</v>
      </c>
      <c r="H586" s="114">
        <f t="shared" si="9"/>
        <v>46143</v>
      </c>
      <c r="I586" s="17"/>
      <c r="J586" s="17"/>
      <c r="K586" s="17"/>
    </row>
    <row r="587" spans="1:11" x14ac:dyDescent="0.2">
      <c r="A587" s="115">
        <v>46163</v>
      </c>
      <c r="B587" s="93" t="s">
        <v>1004</v>
      </c>
      <c r="C587" s="94" t="s">
        <v>13</v>
      </c>
      <c r="D587" s="95">
        <v>22.71</v>
      </c>
      <c r="E587" s="95">
        <v>96.9</v>
      </c>
      <c r="F587" s="96">
        <v>2200.59</v>
      </c>
      <c r="G587" s="97" t="s">
        <v>57</v>
      </c>
      <c r="H587" s="114">
        <f t="shared" si="9"/>
        <v>46143</v>
      </c>
      <c r="I587" s="17"/>
      <c r="J587" s="17"/>
      <c r="K587" s="17"/>
    </row>
    <row r="588" spans="1:11" x14ac:dyDescent="0.2">
      <c r="A588" s="115">
        <v>46163</v>
      </c>
      <c r="B588" s="93" t="s">
        <v>1005</v>
      </c>
      <c r="C588" s="94" t="s">
        <v>50</v>
      </c>
      <c r="D588" s="95">
        <v>1500</v>
      </c>
      <c r="E588" s="95">
        <v>96.9</v>
      </c>
      <c r="F588" s="96">
        <v>145350</v>
      </c>
      <c r="G588" s="97" t="s">
        <v>96</v>
      </c>
      <c r="H588" s="114">
        <f t="shared" si="9"/>
        <v>46143</v>
      </c>
      <c r="I588" s="17"/>
      <c r="J588" s="17"/>
      <c r="K588" s="17"/>
    </row>
    <row r="589" spans="1:11" x14ac:dyDescent="0.2">
      <c r="A589" s="99">
        <v>46164</v>
      </c>
      <c r="B589" s="93" t="s">
        <v>1014</v>
      </c>
      <c r="C589" s="94" t="s">
        <v>50</v>
      </c>
      <c r="D589" s="95">
        <v>3000</v>
      </c>
      <c r="E589" s="95">
        <v>96.9</v>
      </c>
      <c r="F589" s="96">
        <v>290700</v>
      </c>
      <c r="G589" s="97" t="s">
        <v>1036</v>
      </c>
      <c r="H589" s="114">
        <f t="shared" si="9"/>
        <v>46143</v>
      </c>
      <c r="I589" s="17"/>
      <c r="J589" s="17"/>
      <c r="K589" s="17"/>
    </row>
    <row r="590" spans="1:11" x14ac:dyDescent="0.2">
      <c r="A590" s="115">
        <v>46164</v>
      </c>
      <c r="B590" s="93" t="s">
        <v>1015</v>
      </c>
      <c r="C590" s="94" t="s">
        <v>247</v>
      </c>
      <c r="D590" s="95">
        <v>3000</v>
      </c>
      <c r="E590" s="95">
        <v>96.9</v>
      </c>
      <c r="F590" s="96">
        <v>290700</v>
      </c>
      <c r="G590" s="97" t="s">
        <v>51</v>
      </c>
      <c r="H590" s="114">
        <f t="shared" si="9"/>
        <v>46143</v>
      </c>
      <c r="I590" s="17"/>
      <c r="J590" s="17"/>
      <c r="K590" s="17"/>
    </row>
    <row r="591" spans="1:11" x14ac:dyDescent="0.2">
      <c r="A591" s="115">
        <v>46164</v>
      </c>
      <c r="B591" s="93" t="s">
        <v>1016</v>
      </c>
      <c r="C591" s="94" t="s">
        <v>526</v>
      </c>
      <c r="D591" s="95">
        <v>1463.36</v>
      </c>
      <c r="E591" s="95">
        <v>96.9</v>
      </c>
      <c r="F591" s="96">
        <v>141800</v>
      </c>
      <c r="G591" s="97" t="s">
        <v>58</v>
      </c>
      <c r="H591" s="114">
        <f t="shared" si="9"/>
        <v>46143</v>
      </c>
      <c r="I591" s="17"/>
      <c r="J591" s="17"/>
      <c r="K591" s="17"/>
    </row>
    <row r="592" spans="1:11" x14ac:dyDescent="0.2">
      <c r="A592" s="115">
        <v>46164</v>
      </c>
      <c r="B592" s="93" t="s">
        <v>1017</v>
      </c>
      <c r="C592" s="94" t="s">
        <v>525</v>
      </c>
      <c r="D592" s="95">
        <v>20.64</v>
      </c>
      <c r="E592" s="95">
        <v>96.9</v>
      </c>
      <c r="F592" s="96">
        <v>2000</v>
      </c>
      <c r="G592" s="97" t="s">
        <v>58</v>
      </c>
      <c r="H592" s="114">
        <f t="shared" si="9"/>
        <v>46143</v>
      </c>
      <c r="I592" s="17"/>
      <c r="J592" s="17"/>
      <c r="K592" s="17"/>
    </row>
    <row r="593" spans="1:11" x14ac:dyDescent="0.2">
      <c r="A593" s="115">
        <v>46164</v>
      </c>
      <c r="B593" s="93" t="s">
        <v>1018</v>
      </c>
      <c r="C593" s="94" t="s">
        <v>13</v>
      </c>
      <c r="D593" s="95">
        <v>309.60000000000002</v>
      </c>
      <c r="E593" s="95">
        <v>96.9</v>
      </c>
      <c r="F593" s="96">
        <v>30000</v>
      </c>
      <c r="G593" s="97" t="s">
        <v>57</v>
      </c>
      <c r="H593" s="114">
        <f t="shared" si="9"/>
        <v>46143</v>
      </c>
      <c r="I593" s="17"/>
      <c r="J593" s="17"/>
      <c r="K593" s="17"/>
    </row>
    <row r="594" spans="1:11" x14ac:dyDescent="0.2">
      <c r="A594" s="115">
        <v>46164</v>
      </c>
      <c r="B594" s="93" t="s">
        <v>1019</v>
      </c>
      <c r="C594" s="94" t="s">
        <v>1031</v>
      </c>
      <c r="D594" s="95">
        <v>120</v>
      </c>
      <c r="E594" s="95">
        <v>96.9</v>
      </c>
      <c r="F594" s="96">
        <v>11628</v>
      </c>
      <c r="G594" s="97" t="s">
        <v>994</v>
      </c>
      <c r="H594" s="114">
        <f t="shared" si="9"/>
        <v>46143</v>
      </c>
      <c r="I594" s="17"/>
      <c r="J594" s="17"/>
      <c r="K594" s="17"/>
    </row>
    <row r="595" spans="1:11" x14ac:dyDescent="0.2">
      <c r="A595" s="115">
        <v>46164</v>
      </c>
      <c r="B595" s="93" t="s">
        <v>1020</v>
      </c>
      <c r="C595" s="94" t="s">
        <v>1032</v>
      </c>
      <c r="D595" s="95">
        <v>333</v>
      </c>
      <c r="E595" s="95">
        <v>96.9</v>
      </c>
      <c r="F595" s="96">
        <v>32267.7</v>
      </c>
      <c r="G595" s="97" t="s">
        <v>552</v>
      </c>
      <c r="H595" s="114">
        <f t="shared" si="9"/>
        <v>46143</v>
      </c>
      <c r="I595" s="17"/>
      <c r="J595" s="17"/>
      <c r="K595" s="17"/>
    </row>
    <row r="596" spans="1:11" x14ac:dyDescent="0.2">
      <c r="A596" s="115">
        <v>46164</v>
      </c>
      <c r="B596" s="93" t="s">
        <v>1021</v>
      </c>
      <c r="C596" s="94" t="s">
        <v>1033</v>
      </c>
      <c r="D596" s="95">
        <v>333</v>
      </c>
      <c r="E596" s="95">
        <v>96.9</v>
      </c>
      <c r="F596" s="96">
        <v>32267.7</v>
      </c>
      <c r="G596" s="97" t="s">
        <v>552</v>
      </c>
      <c r="H596" s="114">
        <f t="shared" si="9"/>
        <v>46143</v>
      </c>
      <c r="I596" s="17"/>
      <c r="J596" s="17"/>
      <c r="K596" s="17"/>
    </row>
    <row r="597" spans="1:11" x14ac:dyDescent="0.2">
      <c r="A597" s="115">
        <v>46164</v>
      </c>
      <c r="B597" s="93" t="s">
        <v>1022</v>
      </c>
      <c r="C597" s="94" t="s">
        <v>1034</v>
      </c>
      <c r="D597" s="95">
        <v>334</v>
      </c>
      <c r="E597" s="95">
        <v>96.9</v>
      </c>
      <c r="F597" s="96">
        <v>32364.6</v>
      </c>
      <c r="G597" s="97" t="s">
        <v>552</v>
      </c>
      <c r="H597" s="114">
        <f t="shared" si="9"/>
        <v>46143</v>
      </c>
      <c r="I597" s="17"/>
      <c r="J597" s="17"/>
      <c r="K597" s="17"/>
    </row>
    <row r="598" spans="1:11" x14ac:dyDescent="0.2">
      <c r="A598" s="115">
        <v>46164</v>
      </c>
      <c r="B598" s="93" t="s">
        <v>1023</v>
      </c>
      <c r="C598" s="94" t="s">
        <v>742</v>
      </c>
      <c r="D598" s="95">
        <v>325.45999999999998</v>
      </c>
      <c r="E598" s="95">
        <v>96.9</v>
      </c>
      <c r="F598" s="96">
        <v>31537.07</v>
      </c>
      <c r="G598" s="97" t="s">
        <v>714</v>
      </c>
      <c r="H598" s="114">
        <f t="shared" si="9"/>
        <v>46143</v>
      </c>
      <c r="I598" s="17"/>
      <c r="J598" s="17"/>
      <c r="K598" s="17"/>
    </row>
    <row r="599" spans="1:11" x14ac:dyDescent="0.2">
      <c r="A599" s="115">
        <v>46164</v>
      </c>
      <c r="B599" s="93" t="s">
        <v>1024</v>
      </c>
      <c r="C599" s="94" t="s">
        <v>1035</v>
      </c>
      <c r="D599" s="95">
        <v>74.540000000000006</v>
      </c>
      <c r="E599" s="95">
        <v>96.9</v>
      </c>
      <c r="F599" s="96">
        <v>7222.92</v>
      </c>
      <c r="G599" s="97" t="s">
        <v>714</v>
      </c>
      <c r="H599" s="114">
        <f t="shared" si="9"/>
        <v>46143</v>
      </c>
      <c r="I599" s="17"/>
      <c r="J599" s="17"/>
      <c r="K599" s="17"/>
    </row>
    <row r="600" spans="1:11" x14ac:dyDescent="0.2">
      <c r="A600" s="115">
        <v>46164</v>
      </c>
      <c r="B600" s="93" t="s">
        <v>1025</v>
      </c>
      <c r="C600" s="94" t="s">
        <v>44</v>
      </c>
      <c r="D600" s="95">
        <v>35</v>
      </c>
      <c r="E600" s="95">
        <v>96.9</v>
      </c>
      <c r="F600" s="96">
        <v>3391.5</v>
      </c>
      <c r="G600" s="97" t="s">
        <v>56</v>
      </c>
      <c r="H600" s="114">
        <f t="shared" si="9"/>
        <v>46143</v>
      </c>
      <c r="I600" s="17"/>
      <c r="J600" s="17"/>
      <c r="K600" s="17"/>
    </row>
    <row r="601" spans="1:11" x14ac:dyDescent="0.2">
      <c r="A601" s="115">
        <v>46164</v>
      </c>
      <c r="B601" s="93" t="s">
        <v>1026</v>
      </c>
      <c r="C601" s="94" t="s">
        <v>44</v>
      </c>
      <c r="D601" s="95">
        <v>35.090000000000003</v>
      </c>
      <c r="E601" s="95">
        <v>96.9</v>
      </c>
      <c r="F601" s="96">
        <v>3400.22</v>
      </c>
      <c r="G601" s="97" t="s">
        <v>56</v>
      </c>
      <c r="H601" s="114">
        <f t="shared" si="9"/>
        <v>46143</v>
      </c>
      <c r="I601" s="17"/>
      <c r="J601" s="17"/>
      <c r="K601" s="17"/>
    </row>
    <row r="602" spans="1:11" x14ac:dyDescent="0.2">
      <c r="A602" s="115">
        <v>46164</v>
      </c>
      <c r="B602" s="93" t="s">
        <v>1027</v>
      </c>
      <c r="C602" s="94" t="s">
        <v>428</v>
      </c>
      <c r="D602" s="95">
        <v>47.2</v>
      </c>
      <c r="E602" s="95">
        <v>96.9</v>
      </c>
      <c r="F602" s="96">
        <v>4573.68</v>
      </c>
      <c r="G602" s="97" t="s">
        <v>257</v>
      </c>
      <c r="H602" s="114">
        <f t="shared" si="9"/>
        <v>46143</v>
      </c>
      <c r="I602" s="17"/>
      <c r="J602" s="17"/>
      <c r="K602" s="17"/>
    </row>
    <row r="603" spans="1:11" x14ac:dyDescent="0.2">
      <c r="A603" s="115">
        <v>46164</v>
      </c>
      <c r="B603" s="93" t="s">
        <v>1028</v>
      </c>
      <c r="C603" s="94" t="s">
        <v>521</v>
      </c>
      <c r="D603" s="95">
        <v>55.97</v>
      </c>
      <c r="E603" s="95">
        <v>96.9</v>
      </c>
      <c r="F603" s="96">
        <v>5423.49</v>
      </c>
      <c r="G603" s="97" t="s">
        <v>257</v>
      </c>
      <c r="H603" s="114">
        <f t="shared" si="9"/>
        <v>46143</v>
      </c>
      <c r="I603" s="17"/>
      <c r="J603" s="17"/>
      <c r="K603" s="17"/>
    </row>
    <row r="604" spans="1:11" x14ac:dyDescent="0.2">
      <c r="A604" s="115">
        <v>46164</v>
      </c>
      <c r="B604" s="93" t="s">
        <v>1029</v>
      </c>
      <c r="C604" s="94" t="s">
        <v>127</v>
      </c>
      <c r="D604" s="95">
        <v>300</v>
      </c>
      <c r="E604" s="95">
        <v>96.9</v>
      </c>
      <c r="F604" s="96">
        <v>29070</v>
      </c>
      <c r="G604" s="97" t="s">
        <v>59</v>
      </c>
      <c r="H604" s="114">
        <f t="shared" si="9"/>
        <v>46143</v>
      </c>
      <c r="I604" s="17"/>
      <c r="J604" s="17"/>
      <c r="K604" s="17"/>
    </row>
    <row r="605" spans="1:11" x14ac:dyDescent="0.2">
      <c r="A605" s="115">
        <v>46164</v>
      </c>
      <c r="B605" s="93" t="s">
        <v>1030</v>
      </c>
      <c r="C605" s="94" t="s">
        <v>872</v>
      </c>
      <c r="D605" s="95">
        <v>300</v>
      </c>
      <c r="E605" s="95">
        <v>96.9</v>
      </c>
      <c r="F605" s="96">
        <v>29070</v>
      </c>
      <c r="G605" s="97" t="s">
        <v>199</v>
      </c>
      <c r="H605" s="114">
        <f t="shared" si="9"/>
        <v>46143</v>
      </c>
      <c r="I605" s="17"/>
      <c r="J605" s="17"/>
      <c r="K605" s="17"/>
    </row>
    <row r="606" spans="1:11" x14ac:dyDescent="0.2">
      <c r="A606" s="99">
        <v>46165</v>
      </c>
      <c r="B606" s="93" t="s">
        <v>1042</v>
      </c>
      <c r="C606" s="94" t="s">
        <v>50</v>
      </c>
      <c r="D606" s="95">
        <v>3000</v>
      </c>
      <c r="E606" s="95">
        <v>97.87</v>
      </c>
      <c r="F606" s="96">
        <v>293610</v>
      </c>
      <c r="G606" s="97" t="s">
        <v>143</v>
      </c>
      <c r="H606" s="114">
        <f t="shared" si="9"/>
        <v>46143</v>
      </c>
      <c r="I606" s="17"/>
      <c r="J606" s="17"/>
      <c r="K606" s="17"/>
    </row>
    <row r="607" spans="1:11" x14ac:dyDescent="0.2">
      <c r="A607" s="115">
        <v>46165</v>
      </c>
      <c r="B607" s="93" t="s">
        <v>1043</v>
      </c>
      <c r="C607" s="94" t="s">
        <v>1061</v>
      </c>
      <c r="D607" s="95">
        <v>500</v>
      </c>
      <c r="E607" s="95">
        <v>97.87</v>
      </c>
      <c r="F607" s="96">
        <v>48935</v>
      </c>
      <c r="G607" s="97" t="s">
        <v>1073</v>
      </c>
      <c r="H607" s="114">
        <f t="shared" si="9"/>
        <v>46143</v>
      </c>
      <c r="I607" s="17"/>
      <c r="J607" s="17"/>
      <c r="K607" s="17"/>
    </row>
    <row r="608" spans="1:11" x14ac:dyDescent="0.2">
      <c r="A608" s="115">
        <v>46165</v>
      </c>
      <c r="B608" s="93" t="s">
        <v>1044</v>
      </c>
      <c r="C608" s="94" t="s">
        <v>50</v>
      </c>
      <c r="D608" s="95">
        <v>3000.76</v>
      </c>
      <c r="E608" s="95">
        <v>97.87</v>
      </c>
      <c r="F608" s="96">
        <v>293684.38</v>
      </c>
      <c r="G608" s="97" t="s">
        <v>59</v>
      </c>
      <c r="H608" s="114">
        <f t="shared" si="9"/>
        <v>46143</v>
      </c>
      <c r="I608" s="17"/>
      <c r="J608" s="17"/>
      <c r="K608" s="17"/>
    </row>
    <row r="609" spans="1:11" x14ac:dyDescent="0.2">
      <c r="A609" s="115">
        <v>46165</v>
      </c>
      <c r="B609" s="93" t="s">
        <v>1045</v>
      </c>
      <c r="C609" s="94" t="s">
        <v>50</v>
      </c>
      <c r="D609" s="95">
        <v>1500</v>
      </c>
      <c r="E609" s="95">
        <v>97.87</v>
      </c>
      <c r="F609" s="96">
        <v>146805</v>
      </c>
      <c r="G609" s="97" t="s">
        <v>96</v>
      </c>
      <c r="H609" s="114">
        <f t="shared" si="9"/>
        <v>46143</v>
      </c>
      <c r="I609" s="17"/>
      <c r="J609" s="17"/>
      <c r="K609" s="17"/>
    </row>
    <row r="610" spans="1:11" x14ac:dyDescent="0.2">
      <c r="A610" s="115">
        <v>46165</v>
      </c>
      <c r="B610" s="93" t="s">
        <v>1046</v>
      </c>
      <c r="C610" s="94" t="s">
        <v>301</v>
      </c>
      <c r="D610" s="95">
        <v>600</v>
      </c>
      <c r="E610" s="95">
        <v>97.87</v>
      </c>
      <c r="F610" s="96">
        <v>58722</v>
      </c>
      <c r="G610" s="97" t="s">
        <v>256</v>
      </c>
      <c r="H610" s="114">
        <f t="shared" si="9"/>
        <v>46143</v>
      </c>
      <c r="I610" s="17"/>
      <c r="J610" s="17"/>
      <c r="K610" s="17"/>
    </row>
    <row r="611" spans="1:11" x14ac:dyDescent="0.2">
      <c r="A611" s="115">
        <v>46165</v>
      </c>
      <c r="B611" s="93" t="s">
        <v>1047</v>
      </c>
      <c r="C611" s="94" t="s">
        <v>525</v>
      </c>
      <c r="D611" s="95">
        <v>55.54</v>
      </c>
      <c r="E611" s="95">
        <v>97.87</v>
      </c>
      <c r="F611" s="96">
        <v>5436.1</v>
      </c>
      <c r="G611" s="97" t="s">
        <v>58</v>
      </c>
      <c r="H611" s="114">
        <f t="shared" si="9"/>
        <v>46143</v>
      </c>
      <c r="I611" s="17"/>
      <c r="J611" s="17"/>
      <c r="K611" s="17"/>
    </row>
    <row r="612" spans="1:11" x14ac:dyDescent="0.2">
      <c r="A612" s="115">
        <v>46165</v>
      </c>
      <c r="B612" s="93" t="s">
        <v>1048</v>
      </c>
      <c r="C612" s="94" t="s">
        <v>526</v>
      </c>
      <c r="D612" s="95">
        <v>3892.92</v>
      </c>
      <c r="E612" s="95">
        <v>97.87</v>
      </c>
      <c r="F612" s="96">
        <v>381000</v>
      </c>
      <c r="G612" s="97" t="s">
        <v>58</v>
      </c>
      <c r="H612" s="114">
        <f t="shared" si="9"/>
        <v>46143</v>
      </c>
      <c r="I612" s="17"/>
      <c r="J612" s="17"/>
      <c r="K612" s="17"/>
    </row>
    <row r="613" spans="1:11" x14ac:dyDescent="0.2">
      <c r="A613" s="115">
        <v>46165</v>
      </c>
      <c r="B613" s="93" t="s">
        <v>1049</v>
      </c>
      <c r="C613" s="94" t="s">
        <v>13</v>
      </c>
      <c r="D613" s="95">
        <v>469.62</v>
      </c>
      <c r="E613" s="95">
        <v>97.87</v>
      </c>
      <c r="F613" s="96">
        <v>45961.4</v>
      </c>
      <c r="G613" s="97" t="s">
        <v>57</v>
      </c>
      <c r="H613" s="114">
        <f t="shared" si="9"/>
        <v>46143</v>
      </c>
      <c r="I613" s="17"/>
      <c r="J613" s="17"/>
      <c r="K613" s="17"/>
    </row>
    <row r="614" spans="1:11" x14ac:dyDescent="0.2">
      <c r="A614" s="115">
        <v>46165</v>
      </c>
      <c r="B614" s="93" t="s">
        <v>1050</v>
      </c>
      <c r="C614" s="94" t="s">
        <v>821</v>
      </c>
      <c r="D614" s="95">
        <v>224.79</v>
      </c>
      <c r="E614" s="95">
        <v>97.87</v>
      </c>
      <c r="F614" s="96">
        <v>22000.19</v>
      </c>
      <c r="G614" s="97" t="s">
        <v>714</v>
      </c>
      <c r="H614" s="114">
        <f t="shared" si="9"/>
        <v>46143</v>
      </c>
      <c r="I614" s="17"/>
      <c r="J614" s="17"/>
      <c r="K614" s="17"/>
    </row>
    <row r="615" spans="1:11" x14ac:dyDescent="0.2">
      <c r="A615" s="115">
        <v>46165</v>
      </c>
      <c r="B615" s="93" t="s">
        <v>1051</v>
      </c>
      <c r="C615" s="94" t="s">
        <v>650</v>
      </c>
      <c r="D615" s="95">
        <v>20</v>
      </c>
      <c r="E615" s="95">
        <v>97.87</v>
      </c>
      <c r="F615" s="96">
        <v>1957.4</v>
      </c>
      <c r="G615" s="97" t="s">
        <v>55</v>
      </c>
      <c r="H615" s="114">
        <f t="shared" si="9"/>
        <v>46143</v>
      </c>
      <c r="I615" s="17"/>
      <c r="J615" s="17"/>
      <c r="K615" s="17"/>
    </row>
    <row r="616" spans="1:11" x14ac:dyDescent="0.2">
      <c r="A616" s="115">
        <v>46165</v>
      </c>
      <c r="B616" s="93" t="s">
        <v>1052</v>
      </c>
      <c r="C616" s="94" t="s">
        <v>1062</v>
      </c>
      <c r="D616" s="95">
        <v>120</v>
      </c>
      <c r="E616" s="95">
        <v>97.87</v>
      </c>
      <c r="F616" s="96">
        <v>11744.4</v>
      </c>
      <c r="G616" s="97" t="s">
        <v>994</v>
      </c>
      <c r="H616" s="114">
        <f t="shared" si="9"/>
        <v>46143</v>
      </c>
      <c r="I616" s="17"/>
      <c r="J616" s="17"/>
      <c r="K616" s="17"/>
    </row>
    <row r="617" spans="1:11" x14ac:dyDescent="0.2">
      <c r="A617" s="115">
        <v>46165</v>
      </c>
      <c r="B617" s="93" t="s">
        <v>1053</v>
      </c>
      <c r="C617" s="94" t="s">
        <v>1063</v>
      </c>
      <c r="D617" s="95">
        <v>204.35</v>
      </c>
      <c r="E617" s="95">
        <v>97.87</v>
      </c>
      <c r="F617" s="96">
        <v>20000</v>
      </c>
      <c r="G617" s="97" t="s">
        <v>199</v>
      </c>
      <c r="H617" s="114">
        <f t="shared" si="9"/>
        <v>46143</v>
      </c>
      <c r="I617" s="17"/>
      <c r="J617" s="17"/>
      <c r="K617" s="17"/>
    </row>
    <row r="618" spans="1:11" x14ac:dyDescent="0.2">
      <c r="A618" s="115">
        <v>46165</v>
      </c>
      <c r="B618" s="93" t="s">
        <v>1054</v>
      </c>
      <c r="C618" s="94" t="s">
        <v>45</v>
      </c>
      <c r="D618" s="95">
        <v>25.74</v>
      </c>
      <c r="E618" s="95">
        <v>97.87</v>
      </c>
      <c r="F618" s="96">
        <v>2519.17</v>
      </c>
      <c r="G618" s="97" t="s">
        <v>56</v>
      </c>
      <c r="H618" s="114">
        <f t="shared" si="9"/>
        <v>46143</v>
      </c>
      <c r="I618" s="17"/>
      <c r="J618" s="17"/>
      <c r="K618" s="17"/>
    </row>
    <row r="619" spans="1:11" x14ac:dyDescent="0.2">
      <c r="A619" s="115">
        <v>46165</v>
      </c>
      <c r="B619" s="93" t="s">
        <v>1055</v>
      </c>
      <c r="C619" s="94" t="s">
        <v>129</v>
      </c>
      <c r="D619" s="95">
        <v>102.91</v>
      </c>
      <c r="E619" s="95">
        <v>97.87</v>
      </c>
      <c r="F619" s="96">
        <v>10071.799999999999</v>
      </c>
      <c r="G619" s="97" t="s">
        <v>56</v>
      </c>
      <c r="H619" s="114">
        <f t="shared" si="9"/>
        <v>46143</v>
      </c>
      <c r="I619" s="17"/>
      <c r="J619" s="17"/>
      <c r="K619" s="17"/>
    </row>
    <row r="620" spans="1:11" x14ac:dyDescent="0.2">
      <c r="A620" s="115">
        <v>46165</v>
      </c>
      <c r="B620" s="93" t="s">
        <v>1056</v>
      </c>
      <c r="C620" s="94" t="s">
        <v>1064</v>
      </c>
      <c r="D620" s="95">
        <v>51.09</v>
      </c>
      <c r="E620" s="95">
        <v>97.87</v>
      </c>
      <c r="F620" s="96">
        <v>5000</v>
      </c>
      <c r="G620" s="97" t="s">
        <v>257</v>
      </c>
      <c r="H620" s="114">
        <f t="shared" si="9"/>
        <v>46143</v>
      </c>
      <c r="I620" s="17"/>
      <c r="J620" s="17"/>
      <c r="K620" s="17"/>
    </row>
    <row r="621" spans="1:11" x14ac:dyDescent="0.2">
      <c r="A621" s="115">
        <v>46165</v>
      </c>
      <c r="B621" s="93" t="s">
        <v>1057</v>
      </c>
      <c r="C621" s="94" t="s">
        <v>1065</v>
      </c>
      <c r="D621" s="95">
        <v>51.09</v>
      </c>
      <c r="E621" s="95">
        <v>97.87</v>
      </c>
      <c r="F621" s="96">
        <v>5000</v>
      </c>
      <c r="G621" s="97" t="s">
        <v>257</v>
      </c>
      <c r="H621" s="114">
        <f t="shared" si="9"/>
        <v>46143</v>
      </c>
      <c r="I621" s="17"/>
      <c r="J621" s="17"/>
      <c r="K621" s="17"/>
    </row>
    <row r="622" spans="1:11" x14ac:dyDescent="0.2">
      <c r="A622" s="115">
        <v>46165</v>
      </c>
      <c r="B622" s="93" t="s">
        <v>1058</v>
      </c>
      <c r="C622" s="94" t="s">
        <v>1066</v>
      </c>
      <c r="D622" s="95">
        <v>51.09</v>
      </c>
      <c r="E622" s="95">
        <v>97.87</v>
      </c>
      <c r="F622" s="96">
        <v>5000</v>
      </c>
      <c r="G622" s="97" t="s">
        <v>257</v>
      </c>
      <c r="H622" s="114">
        <f t="shared" si="9"/>
        <v>46143</v>
      </c>
      <c r="I622" s="17"/>
      <c r="J622" s="17"/>
      <c r="K622" s="17"/>
    </row>
    <row r="623" spans="1:11" x14ac:dyDescent="0.2">
      <c r="A623" s="115">
        <v>46165</v>
      </c>
      <c r="B623" s="93" t="s">
        <v>1059</v>
      </c>
      <c r="C623" s="94" t="s">
        <v>1067</v>
      </c>
      <c r="D623" s="95">
        <v>51.09</v>
      </c>
      <c r="E623" s="95">
        <v>97.87</v>
      </c>
      <c r="F623" s="96">
        <v>5000</v>
      </c>
      <c r="G623" s="97" t="s">
        <v>257</v>
      </c>
      <c r="H623" s="114">
        <f t="shared" si="9"/>
        <v>46143</v>
      </c>
      <c r="I623" s="17"/>
      <c r="J623" s="17"/>
      <c r="K623" s="17"/>
    </row>
    <row r="624" spans="1:11" x14ac:dyDescent="0.2">
      <c r="A624" s="115">
        <v>46165</v>
      </c>
      <c r="B624" s="93" t="s">
        <v>1060</v>
      </c>
      <c r="C624" s="94" t="s">
        <v>1068</v>
      </c>
      <c r="D624" s="95">
        <v>51.09</v>
      </c>
      <c r="E624" s="95">
        <v>97.87</v>
      </c>
      <c r="F624" s="96">
        <v>5000</v>
      </c>
      <c r="G624" s="97" t="s">
        <v>257</v>
      </c>
      <c r="H624" s="114">
        <f t="shared" si="9"/>
        <v>46143</v>
      </c>
      <c r="I624" s="17"/>
      <c r="J624" s="17"/>
      <c r="K624" s="17"/>
    </row>
    <row r="625" spans="1:11" x14ac:dyDescent="0.2">
      <c r="A625" s="99">
        <v>46166</v>
      </c>
      <c r="B625" s="93" t="s">
        <v>1074</v>
      </c>
      <c r="C625" s="94" t="s">
        <v>526</v>
      </c>
      <c r="D625" s="95">
        <v>2979.46</v>
      </c>
      <c r="E625" s="95">
        <v>97.87</v>
      </c>
      <c r="F625" s="96">
        <v>291600</v>
      </c>
      <c r="G625" s="97" t="s">
        <v>58</v>
      </c>
      <c r="H625" s="114">
        <f t="shared" si="9"/>
        <v>46143</v>
      </c>
      <c r="I625" s="17"/>
      <c r="J625" s="17"/>
      <c r="K625" s="17"/>
    </row>
    <row r="626" spans="1:11" x14ac:dyDescent="0.2">
      <c r="A626" s="115">
        <v>46166</v>
      </c>
      <c r="B626" s="93" t="s">
        <v>1075</v>
      </c>
      <c r="C626" s="94" t="s">
        <v>50</v>
      </c>
      <c r="D626" s="95">
        <v>1000</v>
      </c>
      <c r="E626" s="95">
        <v>97.87</v>
      </c>
      <c r="F626" s="96">
        <v>97870</v>
      </c>
      <c r="G626" s="97" t="s">
        <v>901</v>
      </c>
      <c r="H626" s="114">
        <f t="shared" si="9"/>
        <v>46143</v>
      </c>
      <c r="I626" s="17"/>
      <c r="J626" s="17"/>
      <c r="K626" s="17"/>
    </row>
    <row r="627" spans="1:11" x14ac:dyDescent="0.2">
      <c r="A627" s="115">
        <v>46166</v>
      </c>
      <c r="B627" s="93" t="s">
        <v>1076</v>
      </c>
      <c r="C627" s="94" t="s">
        <v>13</v>
      </c>
      <c r="D627" s="95">
        <v>100</v>
      </c>
      <c r="E627" s="95">
        <v>97.87</v>
      </c>
      <c r="F627" s="96">
        <v>9787</v>
      </c>
      <c r="G627" s="97" t="s">
        <v>57</v>
      </c>
      <c r="H627" s="114">
        <f t="shared" si="9"/>
        <v>46143</v>
      </c>
      <c r="I627" s="17"/>
      <c r="J627" s="17"/>
      <c r="K627" s="17"/>
    </row>
    <row r="628" spans="1:11" x14ac:dyDescent="0.2">
      <c r="A628" s="115">
        <v>46166</v>
      </c>
      <c r="B628" s="93" t="s">
        <v>1077</v>
      </c>
      <c r="C628" s="94" t="s">
        <v>694</v>
      </c>
      <c r="D628" s="95">
        <v>200</v>
      </c>
      <c r="E628" s="95">
        <v>97.87</v>
      </c>
      <c r="F628" s="96">
        <v>19574</v>
      </c>
      <c r="G628" s="97" t="s">
        <v>199</v>
      </c>
      <c r="H628" s="114">
        <f t="shared" si="9"/>
        <v>46143</v>
      </c>
      <c r="I628" s="17"/>
      <c r="J628" s="17"/>
      <c r="K628" s="17"/>
    </row>
    <row r="629" spans="1:11" x14ac:dyDescent="0.2">
      <c r="A629" s="115">
        <v>46166</v>
      </c>
      <c r="B629" s="93" t="s">
        <v>1078</v>
      </c>
      <c r="C629" s="94" t="s">
        <v>1079</v>
      </c>
      <c r="D629" s="95">
        <v>125</v>
      </c>
      <c r="E629" s="95">
        <v>97.87</v>
      </c>
      <c r="F629" s="96">
        <v>12234</v>
      </c>
      <c r="G629" s="97" t="s">
        <v>552</v>
      </c>
      <c r="H629" s="114">
        <f t="shared" si="9"/>
        <v>46143</v>
      </c>
      <c r="I629" s="17"/>
      <c r="J629" s="17"/>
      <c r="K629" s="17"/>
    </row>
    <row r="630" spans="1:11" x14ac:dyDescent="0.2">
      <c r="A630" s="99">
        <v>46167</v>
      </c>
      <c r="B630" s="93" t="s">
        <v>1082</v>
      </c>
      <c r="C630" s="94" t="s">
        <v>50</v>
      </c>
      <c r="D630" s="95">
        <v>3000</v>
      </c>
      <c r="E630" s="95">
        <v>100.74</v>
      </c>
      <c r="F630" s="96">
        <v>302220</v>
      </c>
      <c r="G630" s="97" t="s">
        <v>143</v>
      </c>
      <c r="H630" s="114">
        <f t="shared" si="9"/>
        <v>46143</v>
      </c>
      <c r="I630" s="17"/>
      <c r="J630" s="17"/>
      <c r="K630" s="17"/>
    </row>
    <row r="631" spans="1:11" x14ac:dyDescent="0.2">
      <c r="A631" s="115">
        <v>46167</v>
      </c>
      <c r="B631" s="93" t="s">
        <v>1083</v>
      </c>
      <c r="C631" s="94" t="s">
        <v>83</v>
      </c>
      <c r="D631" s="95">
        <v>600</v>
      </c>
      <c r="E631" s="95">
        <v>100.74</v>
      </c>
      <c r="F631" s="96">
        <v>60444</v>
      </c>
      <c r="G631" s="97" t="s">
        <v>92</v>
      </c>
      <c r="H631" s="114">
        <f t="shared" si="9"/>
        <v>46143</v>
      </c>
      <c r="I631" s="17"/>
      <c r="J631" s="17"/>
      <c r="K631" s="17"/>
    </row>
    <row r="632" spans="1:11" x14ac:dyDescent="0.2">
      <c r="A632" s="115">
        <v>46167</v>
      </c>
      <c r="B632" s="93" t="s">
        <v>1084</v>
      </c>
      <c r="C632" s="94" t="s">
        <v>247</v>
      </c>
      <c r="D632" s="95">
        <v>3000</v>
      </c>
      <c r="E632" s="95">
        <v>100.74</v>
      </c>
      <c r="F632" s="96">
        <v>302220</v>
      </c>
      <c r="G632" s="97" t="s">
        <v>51</v>
      </c>
      <c r="H632" s="114">
        <f t="shared" si="9"/>
        <v>46143</v>
      </c>
      <c r="I632" s="17"/>
      <c r="J632" s="17"/>
      <c r="K632" s="17"/>
    </row>
    <row r="633" spans="1:11" x14ac:dyDescent="0.2">
      <c r="A633" s="115">
        <v>46167</v>
      </c>
      <c r="B633" s="93" t="s">
        <v>1085</v>
      </c>
      <c r="C633" s="94" t="s">
        <v>50</v>
      </c>
      <c r="D633" s="95">
        <v>2999.83</v>
      </c>
      <c r="E633" s="95">
        <v>100.74</v>
      </c>
      <c r="F633" s="96">
        <v>302202.87</v>
      </c>
      <c r="G633" s="97" t="s">
        <v>59</v>
      </c>
      <c r="H633" s="114">
        <f t="shared" si="9"/>
        <v>46143</v>
      </c>
      <c r="I633" s="17"/>
      <c r="J633" s="17"/>
      <c r="K633" s="17"/>
    </row>
    <row r="634" spans="1:11" x14ac:dyDescent="0.2">
      <c r="A634" s="115">
        <v>46167</v>
      </c>
      <c r="B634" s="93" t="s">
        <v>1086</v>
      </c>
      <c r="C634" s="94" t="s">
        <v>526</v>
      </c>
      <c r="D634" s="95">
        <v>2062.7399999999998</v>
      </c>
      <c r="E634" s="95">
        <v>100.74</v>
      </c>
      <c r="F634" s="96">
        <v>207800</v>
      </c>
      <c r="G634" s="97" t="s">
        <v>58</v>
      </c>
      <c r="H634" s="114">
        <f t="shared" si="9"/>
        <v>46143</v>
      </c>
      <c r="I634" s="17"/>
      <c r="J634" s="17"/>
      <c r="K634" s="17"/>
    </row>
    <row r="635" spans="1:11" x14ac:dyDescent="0.2">
      <c r="A635" s="115">
        <v>46167</v>
      </c>
      <c r="B635" s="93" t="s">
        <v>1087</v>
      </c>
      <c r="C635" s="94" t="s">
        <v>13</v>
      </c>
      <c r="D635" s="95">
        <v>198.53</v>
      </c>
      <c r="E635" s="95">
        <v>100.74</v>
      </c>
      <c r="F635" s="96">
        <v>20000</v>
      </c>
      <c r="G635" s="97" t="s">
        <v>57</v>
      </c>
      <c r="H635" s="114">
        <f t="shared" si="9"/>
        <v>46143</v>
      </c>
      <c r="I635" s="17"/>
      <c r="J635" s="17"/>
      <c r="K635" s="17"/>
    </row>
    <row r="636" spans="1:11" x14ac:dyDescent="0.2">
      <c r="A636" s="115">
        <v>46167</v>
      </c>
      <c r="B636" s="93" t="s">
        <v>1088</v>
      </c>
      <c r="C636" s="94" t="s">
        <v>1092</v>
      </c>
      <c r="D636" s="95">
        <v>70.83</v>
      </c>
      <c r="E636" s="95">
        <v>100.74</v>
      </c>
      <c r="F636" s="96">
        <v>7135.41</v>
      </c>
      <c r="G636" s="97" t="s">
        <v>714</v>
      </c>
      <c r="H636" s="114">
        <f t="shared" si="9"/>
        <v>46143</v>
      </c>
      <c r="I636" s="17"/>
      <c r="J636" s="17"/>
      <c r="K636" s="17"/>
    </row>
    <row r="637" spans="1:11" x14ac:dyDescent="0.2">
      <c r="A637" s="115">
        <v>46167</v>
      </c>
      <c r="B637" s="93" t="s">
        <v>1089</v>
      </c>
      <c r="C637" s="94" t="s">
        <v>1093</v>
      </c>
      <c r="D637" s="95">
        <v>200</v>
      </c>
      <c r="E637" s="95">
        <v>100.74</v>
      </c>
      <c r="F637" s="96">
        <v>20148</v>
      </c>
      <c r="G637" s="97" t="s">
        <v>714</v>
      </c>
      <c r="H637" s="114">
        <f t="shared" si="9"/>
        <v>46143</v>
      </c>
      <c r="I637" s="17"/>
      <c r="J637" s="17"/>
      <c r="K637" s="17"/>
    </row>
    <row r="638" spans="1:11" x14ac:dyDescent="0.2">
      <c r="A638" s="115">
        <v>46167</v>
      </c>
      <c r="B638" s="93" t="s">
        <v>1090</v>
      </c>
      <c r="C638" s="94" t="s">
        <v>44</v>
      </c>
      <c r="D638" s="95">
        <v>46.03</v>
      </c>
      <c r="E638" s="95">
        <v>100.74</v>
      </c>
      <c r="F638" s="96">
        <v>4637.0600000000004</v>
      </c>
      <c r="G638" s="97" t="s">
        <v>56</v>
      </c>
      <c r="H638" s="114">
        <f t="shared" si="9"/>
        <v>46143</v>
      </c>
      <c r="I638" s="17"/>
      <c r="J638" s="17"/>
      <c r="K638" s="17"/>
    </row>
    <row r="639" spans="1:11" x14ac:dyDescent="0.2">
      <c r="A639" s="115">
        <v>46167</v>
      </c>
      <c r="B639" s="93" t="s">
        <v>1091</v>
      </c>
      <c r="C639" s="94" t="s">
        <v>50</v>
      </c>
      <c r="D639" s="95">
        <v>45</v>
      </c>
      <c r="E639" s="95">
        <v>100.74</v>
      </c>
      <c r="F639" s="96">
        <v>4533.3</v>
      </c>
      <c r="G639" s="97" t="s">
        <v>54</v>
      </c>
      <c r="H639" s="114">
        <f t="shared" si="9"/>
        <v>46143</v>
      </c>
      <c r="I639" s="17"/>
      <c r="J639" s="17"/>
      <c r="K639" s="17"/>
    </row>
    <row r="640" spans="1:11" x14ac:dyDescent="0.2">
      <c r="A640" s="99">
        <v>46168</v>
      </c>
      <c r="B640" s="93" t="s">
        <v>1097</v>
      </c>
      <c r="C640" s="94" t="s">
        <v>50</v>
      </c>
      <c r="D640" s="95">
        <v>3000</v>
      </c>
      <c r="E640" s="95">
        <v>100.74</v>
      </c>
      <c r="F640" s="96">
        <v>302220</v>
      </c>
      <c r="G640" s="97" t="s">
        <v>143</v>
      </c>
      <c r="H640" s="114">
        <f t="shared" si="9"/>
        <v>46143</v>
      </c>
      <c r="I640" s="17"/>
      <c r="J640" s="17"/>
      <c r="K640" s="17"/>
    </row>
    <row r="641" spans="1:11" x14ac:dyDescent="0.2">
      <c r="A641" s="115">
        <v>46168</v>
      </c>
      <c r="B641" s="93" t="s">
        <v>1098</v>
      </c>
      <c r="C641" s="94" t="s">
        <v>1061</v>
      </c>
      <c r="D641" s="95">
        <v>1500</v>
      </c>
      <c r="E641" s="95">
        <v>100.74</v>
      </c>
      <c r="F641" s="96">
        <v>151110</v>
      </c>
      <c r="G641" s="97" t="s">
        <v>1073</v>
      </c>
      <c r="H641" s="114">
        <f t="shared" si="9"/>
        <v>46143</v>
      </c>
      <c r="I641" s="17"/>
      <c r="J641" s="17"/>
      <c r="K641" s="17"/>
    </row>
    <row r="642" spans="1:11" x14ac:dyDescent="0.2">
      <c r="A642" s="115">
        <v>46168</v>
      </c>
      <c r="B642" s="93" t="s">
        <v>1099</v>
      </c>
      <c r="C642" s="94" t="s">
        <v>50</v>
      </c>
      <c r="D642" s="95">
        <v>1498.21</v>
      </c>
      <c r="E642" s="95">
        <v>100.74</v>
      </c>
      <c r="F642" s="96">
        <v>150929.68</v>
      </c>
      <c r="G642" s="97" t="s">
        <v>96</v>
      </c>
      <c r="H642" s="114">
        <f t="shared" si="9"/>
        <v>46143</v>
      </c>
      <c r="I642" s="17"/>
      <c r="J642" s="17"/>
      <c r="K642" s="17"/>
    </row>
    <row r="643" spans="1:11" x14ac:dyDescent="0.2">
      <c r="A643" s="115">
        <v>46168</v>
      </c>
      <c r="B643" s="93" t="s">
        <v>1100</v>
      </c>
      <c r="C643" s="94" t="s">
        <v>526</v>
      </c>
      <c r="D643" s="95">
        <v>1691.48</v>
      </c>
      <c r="E643" s="95">
        <v>100.74</v>
      </c>
      <c r="F643" s="96">
        <v>170400</v>
      </c>
      <c r="G643" s="97" t="s">
        <v>58</v>
      </c>
      <c r="H643" s="114">
        <f t="shared" si="9"/>
        <v>46143</v>
      </c>
      <c r="I643" s="17"/>
      <c r="J643" s="17"/>
      <c r="K643" s="17"/>
    </row>
    <row r="644" spans="1:11" x14ac:dyDescent="0.2">
      <c r="A644" s="115">
        <v>46168</v>
      </c>
      <c r="B644" s="93" t="s">
        <v>1101</v>
      </c>
      <c r="C644" s="94" t="s">
        <v>525</v>
      </c>
      <c r="D644" s="95">
        <v>19.850000000000001</v>
      </c>
      <c r="E644" s="95">
        <v>100.74</v>
      </c>
      <c r="F644" s="96">
        <v>2000</v>
      </c>
      <c r="G644" s="97" t="s">
        <v>58</v>
      </c>
      <c r="H644" s="114">
        <f t="shared" ref="H644:H707" si="10">IF(A644&lt;&gt;"", EOMONTH(A644, -1) + 1, "")</f>
        <v>46143</v>
      </c>
      <c r="I644" s="17"/>
      <c r="J644" s="17"/>
      <c r="K644" s="17"/>
    </row>
    <row r="645" spans="1:11" x14ac:dyDescent="0.2">
      <c r="A645" s="115">
        <v>46168</v>
      </c>
      <c r="B645" s="93" t="s">
        <v>1102</v>
      </c>
      <c r="C645" s="94" t="s">
        <v>13</v>
      </c>
      <c r="D645" s="95">
        <v>34.549999999999997</v>
      </c>
      <c r="E645" s="95">
        <v>100.74</v>
      </c>
      <c r="F645" s="96">
        <v>3480.56</v>
      </c>
      <c r="G645" s="97" t="s">
        <v>57</v>
      </c>
      <c r="H645" s="114">
        <f t="shared" si="10"/>
        <v>46143</v>
      </c>
      <c r="I645" s="17"/>
      <c r="J645" s="17"/>
      <c r="K645" s="17"/>
    </row>
    <row r="646" spans="1:11" x14ac:dyDescent="0.2">
      <c r="A646" s="115">
        <v>46168</v>
      </c>
      <c r="B646" s="93" t="s">
        <v>1103</v>
      </c>
      <c r="C646" s="94" t="s">
        <v>1105</v>
      </c>
      <c r="D646" s="95">
        <v>200</v>
      </c>
      <c r="E646" s="95">
        <v>100.74</v>
      </c>
      <c r="F646" s="96">
        <v>20148</v>
      </c>
      <c r="G646" s="97" t="s">
        <v>199</v>
      </c>
      <c r="H646" s="114">
        <f t="shared" si="10"/>
        <v>46143</v>
      </c>
      <c r="I646" s="17"/>
      <c r="J646" s="17"/>
      <c r="K646" s="17"/>
    </row>
    <row r="647" spans="1:11" x14ac:dyDescent="0.2">
      <c r="A647" s="115">
        <v>46168</v>
      </c>
      <c r="B647" s="93" t="s">
        <v>1104</v>
      </c>
      <c r="C647" s="94" t="s">
        <v>428</v>
      </c>
      <c r="D647" s="95">
        <v>41.69</v>
      </c>
      <c r="E647" s="95">
        <v>100.74</v>
      </c>
      <c r="F647" s="96">
        <v>4199.8500000000004</v>
      </c>
      <c r="G647" s="97" t="s">
        <v>257</v>
      </c>
      <c r="H647" s="114">
        <f t="shared" si="10"/>
        <v>46143</v>
      </c>
      <c r="I647" s="17"/>
      <c r="J647" s="17"/>
      <c r="K647" s="17"/>
    </row>
    <row r="648" spans="1:11" x14ac:dyDescent="0.2">
      <c r="A648" s="99">
        <v>46169</v>
      </c>
      <c r="B648" s="93" t="s">
        <v>1115</v>
      </c>
      <c r="C648" s="94" t="s">
        <v>50</v>
      </c>
      <c r="D648" s="95">
        <v>3000</v>
      </c>
      <c r="E648" s="95">
        <v>100.74</v>
      </c>
      <c r="F648" s="96">
        <v>302220</v>
      </c>
      <c r="G648" s="97" t="s">
        <v>143</v>
      </c>
      <c r="H648" s="114">
        <f t="shared" si="10"/>
        <v>46143</v>
      </c>
      <c r="I648" s="17"/>
      <c r="J648" s="17"/>
      <c r="K648" s="17"/>
    </row>
    <row r="649" spans="1:11" x14ac:dyDescent="0.2">
      <c r="A649" s="115">
        <v>46169</v>
      </c>
      <c r="B649" s="93" t="s">
        <v>1116</v>
      </c>
      <c r="C649" s="94" t="s">
        <v>247</v>
      </c>
      <c r="D649" s="95">
        <v>3000</v>
      </c>
      <c r="E649" s="95">
        <v>100.74</v>
      </c>
      <c r="F649" s="96">
        <v>302220</v>
      </c>
      <c r="G649" s="97" t="s">
        <v>51</v>
      </c>
      <c r="H649" s="114">
        <f t="shared" si="10"/>
        <v>46143</v>
      </c>
      <c r="I649" s="17"/>
      <c r="J649" s="17"/>
      <c r="K649" s="17"/>
    </row>
    <row r="650" spans="1:11" x14ac:dyDescent="0.2">
      <c r="A650" s="115">
        <v>46169</v>
      </c>
      <c r="B650" s="93" t="s">
        <v>1117</v>
      </c>
      <c r="C650" s="94" t="s">
        <v>50</v>
      </c>
      <c r="D650" s="95">
        <v>3000.02</v>
      </c>
      <c r="E650" s="95">
        <v>100.74</v>
      </c>
      <c r="F650" s="96">
        <v>302222.01</v>
      </c>
      <c r="G650" s="97" t="s">
        <v>59</v>
      </c>
      <c r="H650" s="114">
        <f t="shared" si="10"/>
        <v>46143</v>
      </c>
      <c r="I650" s="17"/>
      <c r="J650" s="17"/>
      <c r="K650" s="17"/>
    </row>
    <row r="651" spans="1:11" x14ac:dyDescent="0.2">
      <c r="A651" s="115">
        <v>46169</v>
      </c>
      <c r="B651" s="93" t="s">
        <v>1118</v>
      </c>
      <c r="C651" s="94" t="s">
        <v>50</v>
      </c>
      <c r="D651" s="95">
        <v>1000</v>
      </c>
      <c r="E651" s="95">
        <v>100.74</v>
      </c>
      <c r="F651" s="96">
        <v>100740</v>
      </c>
      <c r="G651" s="97" t="s">
        <v>901</v>
      </c>
      <c r="H651" s="114">
        <f t="shared" si="10"/>
        <v>46143</v>
      </c>
      <c r="I651" s="17"/>
      <c r="J651" s="17"/>
      <c r="K651" s="17"/>
    </row>
    <row r="652" spans="1:11" x14ac:dyDescent="0.2">
      <c r="A652" s="115">
        <v>46169</v>
      </c>
      <c r="B652" s="93" t="s">
        <v>1119</v>
      </c>
      <c r="C652" s="94" t="s">
        <v>526</v>
      </c>
      <c r="D652" s="95">
        <v>1936.67</v>
      </c>
      <c r="E652" s="95">
        <v>100.74</v>
      </c>
      <c r="F652" s="96">
        <v>195100</v>
      </c>
      <c r="G652" s="97" t="s">
        <v>58</v>
      </c>
      <c r="H652" s="114">
        <f t="shared" si="10"/>
        <v>46143</v>
      </c>
      <c r="I652" s="17"/>
      <c r="J652" s="17"/>
      <c r="K652" s="17"/>
    </row>
    <row r="653" spans="1:11" x14ac:dyDescent="0.2">
      <c r="A653" s="115">
        <v>46169</v>
      </c>
      <c r="B653" s="93" t="s">
        <v>1120</v>
      </c>
      <c r="C653" s="94" t="s">
        <v>13</v>
      </c>
      <c r="D653" s="95">
        <v>476.47</v>
      </c>
      <c r="E653" s="95">
        <v>100.74</v>
      </c>
      <c r="F653" s="96">
        <v>48000</v>
      </c>
      <c r="G653" s="97" t="s">
        <v>152</v>
      </c>
      <c r="H653" s="114">
        <f t="shared" si="10"/>
        <v>46143</v>
      </c>
      <c r="I653" s="17"/>
      <c r="J653" s="17"/>
      <c r="K653" s="17"/>
    </row>
    <row r="654" spans="1:11" x14ac:dyDescent="0.2">
      <c r="A654" s="115">
        <v>46169</v>
      </c>
      <c r="B654" s="93" t="s">
        <v>1121</v>
      </c>
      <c r="C654" s="94" t="s">
        <v>13</v>
      </c>
      <c r="D654" s="95">
        <v>129.05000000000001</v>
      </c>
      <c r="E654" s="95">
        <v>100.74</v>
      </c>
      <c r="F654" s="96">
        <v>13000</v>
      </c>
      <c r="G654" s="97" t="s">
        <v>57</v>
      </c>
      <c r="H654" s="114">
        <f t="shared" si="10"/>
        <v>46143</v>
      </c>
      <c r="I654" s="17"/>
      <c r="J654" s="17"/>
      <c r="K654" s="17"/>
    </row>
    <row r="655" spans="1:11" x14ac:dyDescent="0.2">
      <c r="A655" s="115">
        <v>46169</v>
      </c>
      <c r="B655" s="93" t="s">
        <v>1122</v>
      </c>
      <c r="C655" s="94" t="s">
        <v>742</v>
      </c>
      <c r="D655" s="95">
        <v>104.13</v>
      </c>
      <c r="E655" s="95">
        <v>100.74</v>
      </c>
      <c r="F655" s="96">
        <v>10490.05</v>
      </c>
      <c r="G655" s="97" t="s">
        <v>714</v>
      </c>
      <c r="H655" s="114">
        <f t="shared" si="10"/>
        <v>46143</v>
      </c>
      <c r="I655" s="17"/>
      <c r="J655" s="17"/>
      <c r="K655" s="17"/>
    </row>
    <row r="656" spans="1:11" x14ac:dyDescent="0.2">
      <c r="A656" s="115">
        <v>46169</v>
      </c>
      <c r="B656" s="93" t="s">
        <v>1123</v>
      </c>
      <c r="C656" s="94" t="s">
        <v>821</v>
      </c>
      <c r="D656" s="95">
        <v>225</v>
      </c>
      <c r="E656" s="95">
        <v>100.74</v>
      </c>
      <c r="F656" s="96">
        <v>22666.5</v>
      </c>
      <c r="G656" s="97" t="s">
        <v>714</v>
      </c>
      <c r="H656" s="114">
        <f t="shared" si="10"/>
        <v>46143</v>
      </c>
      <c r="I656" s="17"/>
      <c r="J656" s="17"/>
      <c r="K656" s="17"/>
    </row>
    <row r="657" spans="1:11" x14ac:dyDescent="0.2">
      <c r="A657" s="115">
        <v>46169</v>
      </c>
      <c r="B657" s="93" t="s">
        <v>1124</v>
      </c>
      <c r="C657" s="94" t="s">
        <v>142</v>
      </c>
      <c r="D657" s="95">
        <v>50</v>
      </c>
      <c r="E657" s="95">
        <v>100.74</v>
      </c>
      <c r="F657" s="96">
        <v>5037</v>
      </c>
      <c r="G657" s="97" t="s">
        <v>55</v>
      </c>
      <c r="H657" s="114">
        <f t="shared" si="10"/>
        <v>46143</v>
      </c>
      <c r="I657" s="17"/>
      <c r="J657" s="17"/>
      <c r="K657" s="17"/>
    </row>
    <row r="658" spans="1:11" x14ac:dyDescent="0.2">
      <c r="A658" s="115">
        <v>46169</v>
      </c>
      <c r="B658" s="93" t="s">
        <v>1125</v>
      </c>
      <c r="C658" s="94" t="s">
        <v>650</v>
      </c>
      <c r="D658" s="95">
        <v>25.02</v>
      </c>
      <c r="E658" s="95">
        <v>100.74</v>
      </c>
      <c r="F658" s="96">
        <v>2520.5100000000002</v>
      </c>
      <c r="G658" s="97" t="s">
        <v>55</v>
      </c>
      <c r="H658" s="114">
        <f t="shared" si="10"/>
        <v>46143</v>
      </c>
      <c r="I658" s="17"/>
      <c r="J658" s="17"/>
      <c r="K658" s="17"/>
    </row>
    <row r="659" spans="1:11" x14ac:dyDescent="0.2">
      <c r="A659" s="115">
        <v>46169</v>
      </c>
      <c r="B659" s="93" t="s">
        <v>1126</v>
      </c>
      <c r="C659" s="94" t="s">
        <v>129</v>
      </c>
      <c r="D659" s="95">
        <v>103.54</v>
      </c>
      <c r="E659" s="95">
        <v>100.74</v>
      </c>
      <c r="F659" s="96">
        <v>10430.61</v>
      </c>
      <c r="G659" s="97" t="s">
        <v>56</v>
      </c>
      <c r="H659" s="114">
        <f t="shared" si="10"/>
        <v>46143</v>
      </c>
      <c r="I659" s="17"/>
      <c r="J659" s="17"/>
      <c r="K659" s="17"/>
    </row>
    <row r="660" spans="1:11" x14ac:dyDescent="0.2">
      <c r="A660" s="115">
        <v>46169</v>
      </c>
      <c r="B660" s="93" t="s">
        <v>1127</v>
      </c>
      <c r="C660" s="94" t="s">
        <v>44</v>
      </c>
      <c r="D660" s="95">
        <v>34.06</v>
      </c>
      <c r="E660" s="95">
        <v>100.74</v>
      </c>
      <c r="F660" s="96">
        <v>3431.2</v>
      </c>
      <c r="G660" s="97" t="s">
        <v>56</v>
      </c>
      <c r="H660" s="114">
        <f t="shared" si="10"/>
        <v>46143</v>
      </c>
      <c r="I660" s="17"/>
      <c r="J660" s="17"/>
      <c r="K660" s="17"/>
    </row>
    <row r="661" spans="1:11" x14ac:dyDescent="0.2">
      <c r="A661" s="115">
        <v>46169</v>
      </c>
      <c r="B661" s="93" t="s">
        <v>1128</v>
      </c>
      <c r="C661" s="94" t="s">
        <v>44</v>
      </c>
      <c r="D661" s="95">
        <v>35</v>
      </c>
      <c r="E661" s="95">
        <v>100.74</v>
      </c>
      <c r="F661" s="96">
        <v>3525.9</v>
      </c>
      <c r="G661" s="97" t="s">
        <v>56</v>
      </c>
      <c r="H661" s="114">
        <f t="shared" si="10"/>
        <v>46143</v>
      </c>
      <c r="I661" s="17"/>
      <c r="J661" s="17"/>
      <c r="K661" s="17"/>
    </row>
    <row r="662" spans="1:11" x14ac:dyDescent="0.2">
      <c r="A662" s="99">
        <v>46170</v>
      </c>
      <c r="B662" s="93" t="s">
        <v>1134</v>
      </c>
      <c r="C662" s="94" t="s">
        <v>124</v>
      </c>
      <c r="D662" s="95">
        <v>62.43</v>
      </c>
      <c r="E662" s="95">
        <v>100.74</v>
      </c>
      <c r="F662" s="96">
        <v>6289.19</v>
      </c>
      <c r="G662" s="97" t="s">
        <v>136</v>
      </c>
      <c r="H662" s="114">
        <f t="shared" si="10"/>
        <v>46143</v>
      </c>
      <c r="I662" s="17"/>
      <c r="J662" s="17"/>
      <c r="K662" s="17"/>
    </row>
    <row r="663" spans="1:11" x14ac:dyDescent="0.2">
      <c r="A663" s="115">
        <v>46170</v>
      </c>
      <c r="B663" s="93" t="s">
        <v>1135</v>
      </c>
      <c r="C663" s="94" t="s">
        <v>526</v>
      </c>
      <c r="D663" s="95">
        <v>1948.58</v>
      </c>
      <c r="E663" s="95">
        <v>100.74</v>
      </c>
      <c r="F663" s="96">
        <v>196300</v>
      </c>
      <c r="G663" s="97" t="s">
        <v>58</v>
      </c>
      <c r="H663" s="114">
        <f t="shared" si="10"/>
        <v>46143</v>
      </c>
      <c r="I663" s="17"/>
      <c r="J663" s="17"/>
      <c r="K663" s="17"/>
    </row>
    <row r="664" spans="1:11" x14ac:dyDescent="0.2">
      <c r="A664" s="115">
        <v>46170</v>
      </c>
      <c r="B664" s="93" t="s">
        <v>1136</v>
      </c>
      <c r="C664" s="94" t="s">
        <v>13</v>
      </c>
      <c r="D664" s="95">
        <v>391.11</v>
      </c>
      <c r="E664" s="95">
        <v>100.74</v>
      </c>
      <c r="F664" s="96">
        <v>39400</v>
      </c>
      <c r="G664" s="97" t="s">
        <v>152</v>
      </c>
      <c r="H664" s="114">
        <f t="shared" si="10"/>
        <v>46143</v>
      </c>
      <c r="I664" s="17"/>
      <c r="J664" s="17"/>
      <c r="K664" s="17"/>
    </row>
    <row r="665" spans="1:11" x14ac:dyDescent="0.2">
      <c r="A665" s="115">
        <v>46170</v>
      </c>
      <c r="B665" s="93" t="s">
        <v>1137</v>
      </c>
      <c r="C665" s="94" t="s">
        <v>13</v>
      </c>
      <c r="D665" s="95">
        <v>49.63</v>
      </c>
      <c r="E665" s="95">
        <v>100.74</v>
      </c>
      <c r="F665" s="96">
        <v>5000</v>
      </c>
      <c r="G665" s="97" t="s">
        <v>57</v>
      </c>
      <c r="H665" s="114">
        <f t="shared" si="10"/>
        <v>46143</v>
      </c>
      <c r="I665" s="17"/>
      <c r="J665" s="17"/>
      <c r="K665" s="17"/>
    </row>
    <row r="666" spans="1:11" x14ac:dyDescent="0.2">
      <c r="A666" s="115">
        <v>46170</v>
      </c>
      <c r="B666" s="93" t="s">
        <v>1138</v>
      </c>
      <c r="C666" s="94" t="s">
        <v>50</v>
      </c>
      <c r="D666" s="95">
        <v>1502.03</v>
      </c>
      <c r="E666" s="95">
        <v>100.74</v>
      </c>
      <c r="F666" s="96">
        <v>151314.5</v>
      </c>
      <c r="G666" s="97" t="s">
        <v>96</v>
      </c>
      <c r="H666" s="114">
        <f t="shared" si="10"/>
        <v>46143</v>
      </c>
      <c r="I666" s="17"/>
      <c r="J666" s="17"/>
      <c r="K666" s="17"/>
    </row>
    <row r="667" spans="1:11" x14ac:dyDescent="0.2">
      <c r="A667" s="115">
        <v>46170</v>
      </c>
      <c r="B667" s="93" t="s">
        <v>1139</v>
      </c>
      <c r="C667" s="94" t="s">
        <v>13</v>
      </c>
      <c r="D667" s="95">
        <v>400</v>
      </c>
      <c r="E667" s="95">
        <v>100.74</v>
      </c>
      <c r="F667" s="96">
        <v>40296</v>
      </c>
      <c r="G667" s="97" t="s">
        <v>1140</v>
      </c>
      <c r="H667" s="114">
        <f t="shared" si="10"/>
        <v>46143</v>
      </c>
      <c r="I667" s="17"/>
      <c r="J667" s="17"/>
      <c r="K667" s="17"/>
    </row>
    <row r="668" spans="1:11" x14ac:dyDescent="0.2">
      <c r="A668" s="99">
        <v>46171</v>
      </c>
      <c r="B668" s="93" t="s">
        <v>1142</v>
      </c>
      <c r="C668" s="94" t="s">
        <v>181</v>
      </c>
      <c r="D668" s="95">
        <v>300</v>
      </c>
      <c r="E668" s="95">
        <v>100.74</v>
      </c>
      <c r="F668" s="96">
        <v>30222</v>
      </c>
      <c r="G668" s="97" t="s">
        <v>184</v>
      </c>
      <c r="H668" s="114">
        <f t="shared" si="10"/>
        <v>46143</v>
      </c>
      <c r="I668" s="17"/>
      <c r="J668" s="17"/>
      <c r="K668" s="17"/>
    </row>
    <row r="669" spans="1:11" x14ac:dyDescent="0.2">
      <c r="A669" s="115">
        <v>46171</v>
      </c>
      <c r="B669" s="93" t="s">
        <v>1143</v>
      </c>
      <c r="C669" s="94" t="s">
        <v>50</v>
      </c>
      <c r="D669" s="95">
        <v>3000</v>
      </c>
      <c r="E669" s="95">
        <v>100.74</v>
      </c>
      <c r="F669" s="96">
        <v>302220</v>
      </c>
      <c r="G669" s="97" t="s">
        <v>143</v>
      </c>
      <c r="H669" s="114">
        <f t="shared" si="10"/>
        <v>46143</v>
      </c>
      <c r="I669" s="17"/>
      <c r="J669" s="17"/>
      <c r="K669" s="17"/>
    </row>
    <row r="670" spans="1:11" x14ac:dyDescent="0.2">
      <c r="A670" s="115">
        <v>46171</v>
      </c>
      <c r="B670" s="93" t="s">
        <v>1144</v>
      </c>
      <c r="C670" s="94" t="s">
        <v>50</v>
      </c>
      <c r="D670" s="95">
        <v>3000</v>
      </c>
      <c r="E670" s="95">
        <v>100.74</v>
      </c>
      <c r="F670" s="96">
        <v>302220</v>
      </c>
      <c r="G670" s="97" t="s">
        <v>874</v>
      </c>
      <c r="H670" s="114">
        <f t="shared" si="10"/>
        <v>46143</v>
      </c>
      <c r="I670" s="17"/>
      <c r="J670" s="17"/>
      <c r="K670" s="17"/>
    </row>
    <row r="671" spans="1:11" x14ac:dyDescent="0.2">
      <c r="A671" s="115">
        <v>46171</v>
      </c>
      <c r="B671" s="93" t="s">
        <v>1145</v>
      </c>
      <c r="C671" s="94" t="s">
        <v>790</v>
      </c>
      <c r="D671" s="95">
        <v>200</v>
      </c>
      <c r="E671" s="95">
        <v>100.74</v>
      </c>
      <c r="F671" s="96">
        <v>20148</v>
      </c>
      <c r="G671" s="97" t="s">
        <v>92</v>
      </c>
      <c r="H671" s="114">
        <f t="shared" si="10"/>
        <v>46143</v>
      </c>
      <c r="I671" s="17"/>
      <c r="J671" s="17"/>
      <c r="K671" s="17"/>
    </row>
    <row r="672" spans="1:11" x14ac:dyDescent="0.2">
      <c r="A672" s="115">
        <v>46171</v>
      </c>
      <c r="B672" s="93" t="s">
        <v>1146</v>
      </c>
      <c r="C672" s="94" t="s">
        <v>672</v>
      </c>
      <c r="D672" s="95">
        <v>400</v>
      </c>
      <c r="E672" s="95">
        <v>100.74</v>
      </c>
      <c r="F672" s="96">
        <v>40296</v>
      </c>
      <c r="G672" s="97" t="s">
        <v>501</v>
      </c>
      <c r="H672" s="114">
        <f t="shared" si="10"/>
        <v>46143</v>
      </c>
      <c r="I672" s="17"/>
      <c r="J672" s="17"/>
      <c r="K672" s="17"/>
    </row>
    <row r="673" spans="1:11" x14ac:dyDescent="0.2">
      <c r="A673" s="115">
        <v>46171</v>
      </c>
      <c r="B673" s="93" t="s">
        <v>1147</v>
      </c>
      <c r="C673" s="94" t="s">
        <v>526</v>
      </c>
      <c r="D673" s="95">
        <v>27.8</v>
      </c>
      <c r="E673" s="95">
        <v>100.74</v>
      </c>
      <c r="F673" s="96">
        <v>2800</v>
      </c>
      <c r="G673" s="97" t="s">
        <v>58</v>
      </c>
      <c r="H673" s="114">
        <f t="shared" si="10"/>
        <v>46143</v>
      </c>
      <c r="I673" s="17"/>
      <c r="J673" s="17"/>
      <c r="K673" s="17"/>
    </row>
    <row r="674" spans="1:11" x14ac:dyDescent="0.2">
      <c r="A674" s="115">
        <v>46171</v>
      </c>
      <c r="B674" s="93" t="s">
        <v>1148</v>
      </c>
      <c r="C674" s="94" t="s">
        <v>13</v>
      </c>
      <c r="D674" s="95">
        <v>314.18</v>
      </c>
      <c r="E674" s="95">
        <v>100.74</v>
      </c>
      <c r="F674" s="96">
        <v>31650</v>
      </c>
      <c r="G674" s="97" t="s">
        <v>152</v>
      </c>
      <c r="H674" s="114">
        <f t="shared" si="10"/>
        <v>46143</v>
      </c>
      <c r="I674" s="17"/>
      <c r="J674" s="17"/>
      <c r="K674" s="17"/>
    </row>
    <row r="675" spans="1:11" x14ac:dyDescent="0.2">
      <c r="A675" s="115">
        <v>46171</v>
      </c>
      <c r="B675" s="93" t="s">
        <v>1149</v>
      </c>
      <c r="C675" s="94" t="s">
        <v>1156</v>
      </c>
      <c r="D675" s="95">
        <v>19.850000000000001</v>
      </c>
      <c r="E675" s="95">
        <v>100.74</v>
      </c>
      <c r="F675" s="96">
        <v>2000</v>
      </c>
      <c r="G675" s="97" t="s">
        <v>714</v>
      </c>
      <c r="H675" s="114">
        <f t="shared" si="10"/>
        <v>46143</v>
      </c>
      <c r="I675" s="17"/>
      <c r="J675" s="17"/>
      <c r="K675" s="17"/>
    </row>
    <row r="676" spans="1:11" x14ac:dyDescent="0.2">
      <c r="A676" s="115">
        <v>46171</v>
      </c>
      <c r="B676" s="93" t="s">
        <v>1150</v>
      </c>
      <c r="C676" s="94" t="s">
        <v>1157</v>
      </c>
      <c r="D676" s="95">
        <v>66</v>
      </c>
      <c r="E676" s="95">
        <v>100.74</v>
      </c>
      <c r="F676" s="96">
        <v>6648.84</v>
      </c>
      <c r="G676" s="97" t="s">
        <v>714</v>
      </c>
      <c r="H676" s="114">
        <f t="shared" si="10"/>
        <v>46143</v>
      </c>
      <c r="I676" s="17"/>
      <c r="J676" s="17"/>
      <c r="K676" s="17"/>
    </row>
    <row r="677" spans="1:11" x14ac:dyDescent="0.2">
      <c r="A677" s="115">
        <v>46171</v>
      </c>
      <c r="B677" s="93" t="s">
        <v>1151</v>
      </c>
      <c r="C677" s="94" t="s">
        <v>1157</v>
      </c>
      <c r="D677" s="95">
        <v>200</v>
      </c>
      <c r="E677" s="95">
        <v>100.74</v>
      </c>
      <c r="F677" s="96">
        <v>20148</v>
      </c>
      <c r="G677" s="97" t="s">
        <v>714</v>
      </c>
      <c r="H677" s="114">
        <f t="shared" si="10"/>
        <v>46143</v>
      </c>
      <c r="I677" s="17"/>
      <c r="J677" s="17"/>
      <c r="K677" s="17"/>
    </row>
    <row r="678" spans="1:11" x14ac:dyDescent="0.2">
      <c r="A678" s="115">
        <v>46171</v>
      </c>
      <c r="B678" s="93" t="s">
        <v>1152</v>
      </c>
      <c r="C678" s="94" t="s">
        <v>45</v>
      </c>
      <c r="D678" s="95">
        <v>25</v>
      </c>
      <c r="E678" s="95">
        <v>100.74</v>
      </c>
      <c r="F678" s="96">
        <v>2518.5</v>
      </c>
      <c r="G678" s="97" t="s">
        <v>56</v>
      </c>
      <c r="H678" s="114">
        <f t="shared" si="10"/>
        <v>46143</v>
      </c>
      <c r="I678" s="17"/>
      <c r="J678" s="17"/>
      <c r="K678" s="17"/>
    </row>
    <row r="679" spans="1:11" x14ac:dyDescent="0.2">
      <c r="A679" s="115">
        <v>46171</v>
      </c>
      <c r="B679" s="93" t="s">
        <v>1153</v>
      </c>
      <c r="C679" s="94" t="s">
        <v>1006</v>
      </c>
      <c r="D679" s="95">
        <v>19.850000000000001</v>
      </c>
      <c r="E679" s="95">
        <v>100.74</v>
      </c>
      <c r="F679" s="96">
        <v>2000</v>
      </c>
      <c r="G679" s="97" t="s">
        <v>257</v>
      </c>
      <c r="H679" s="114">
        <f t="shared" si="10"/>
        <v>46143</v>
      </c>
      <c r="I679" s="17"/>
      <c r="J679" s="17"/>
      <c r="K679" s="17"/>
    </row>
    <row r="680" spans="1:11" x14ac:dyDescent="0.2">
      <c r="A680" s="115">
        <v>46171</v>
      </c>
      <c r="B680" s="93" t="s">
        <v>1154</v>
      </c>
      <c r="C680" s="94" t="s">
        <v>84</v>
      </c>
      <c r="D680" s="95">
        <v>160</v>
      </c>
      <c r="E680" s="95">
        <v>100.74</v>
      </c>
      <c r="F680" s="96">
        <v>16118.4</v>
      </c>
      <c r="G680" s="97" t="s">
        <v>93</v>
      </c>
      <c r="H680" s="114">
        <f t="shared" si="10"/>
        <v>46143</v>
      </c>
      <c r="I680" s="17"/>
      <c r="J680" s="17"/>
      <c r="K680" s="17"/>
    </row>
    <row r="681" spans="1:11" x14ac:dyDescent="0.2">
      <c r="A681" s="115">
        <v>46171</v>
      </c>
      <c r="B681" s="93" t="s">
        <v>1155</v>
      </c>
      <c r="C681" s="94" t="s">
        <v>1158</v>
      </c>
      <c r="D681" s="95">
        <v>39.71</v>
      </c>
      <c r="E681" s="95">
        <v>100.74</v>
      </c>
      <c r="F681" s="96">
        <v>4000</v>
      </c>
      <c r="G681" s="97" t="s">
        <v>552</v>
      </c>
      <c r="H681" s="114">
        <f t="shared" si="10"/>
        <v>46143</v>
      </c>
      <c r="I681" s="17"/>
      <c r="J681" s="17"/>
      <c r="K681" s="17"/>
    </row>
    <row r="682" spans="1:11" x14ac:dyDescent="0.2">
      <c r="A682" s="99">
        <v>46172</v>
      </c>
      <c r="B682" s="93" t="s">
        <v>1162</v>
      </c>
      <c r="C682" s="94" t="s">
        <v>50</v>
      </c>
      <c r="D682" s="95">
        <v>3000</v>
      </c>
      <c r="E682" s="95">
        <v>100.74</v>
      </c>
      <c r="F682" s="96">
        <v>302220</v>
      </c>
      <c r="G682" s="97" t="s">
        <v>143</v>
      </c>
      <c r="H682" s="114">
        <f t="shared" si="10"/>
        <v>46143</v>
      </c>
      <c r="I682" s="17"/>
      <c r="J682" s="17"/>
      <c r="K682" s="17"/>
    </row>
    <row r="683" spans="1:11" x14ac:dyDescent="0.2">
      <c r="A683" s="115">
        <v>46172</v>
      </c>
      <c r="B683" s="93" t="s">
        <v>1163</v>
      </c>
      <c r="C683" s="94" t="s">
        <v>50</v>
      </c>
      <c r="D683" s="95">
        <v>1500.19</v>
      </c>
      <c r="E683" s="95">
        <v>100.74</v>
      </c>
      <c r="F683" s="96">
        <v>151129.14000000001</v>
      </c>
      <c r="G683" s="97" t="s">
        <v>96</v>
      </c>
      <c r="H683" s="114">
        <f t="shared" si="10"/>
        <v>46143</v>
      </c>
      <c r="I683" s="17"/>
      <c r="J683" s="17"/>
      <c r="K683" s="17"/>
    </row>
    <row r="684" spans="1:11" x14ac:dyDescent="0.2">
      <c r="A684" s="115">
        <v>46172</v>
      </c>
      <c r="B684" s="93" t="s">
        <v>1164</v>
      </c>
      <c r="C684" s="94" t="s">
        <v>50</v>
      </c>
      <c r="D684" s="95">
        <v>1000</v>
      </c>
      <c r="E684" s="95">
        <v>100.74</v>
      </c>
      <c r="F684" s="96">
        <v>100740</v>
      </c>
      <c r="G684" s="97" t="s">
        <v>901</v>
      </c>
      <c r="H684" s="114">
        <f t="shared" si="10"/>
        <v>46143</v>
      </c>
      <c r="I684" s="17"/>
      <c r="J684" s="17"/>
      <c r="K684" s="17"/>
    </row>
    <row r="685" spans="1:11" x14ac:dyDescent="0.2">
      <c r="A685" s="115">
        <v>46172</v>
      </c>
      <c r="B685" s="93" t="s">
        <v>1165</v>
      </c>
      <c r="C685" s="94" t="s">
        <v>526</v>
      </c>
      <c r="D685" s="95">
        <v>612.47</v>
      </c>
      <c r="E685" s="95">
        <v>100.74</v>
      </c>
      <c r="F685" s="96">
        <v>61700</v>
      </c>
      <c r="G685" s="97" t="s">
        <v>58</v>
      </c>
      <c r="H685" s="114">
        <f t="shared" si="10"/>
        <v>46143</v>
      </c>
      <c r="I685" s="17"/>
      <c r="J685" s="17"/>
      <c r="K685" s="17"/>
    </row>
    <row r="686" spans="1:11" x14ac:dyDescent="0.2">
      <c r="A686" s="115">
        <v>46172</v>
      </c>
      <c r="B686" s="93" t="s">
        <v>1166</v>
      </c>
      <c r="C686" s="94" t="s">
        <v>1171</v>
      </c>
      <c r="D686" s="95">
        <v>800</v>
      </c>
      <c r="E686" s="95">
        <v>100.74</v>
      </c>
      <c r="F686" s="96">
        <v>80592</v>
      </c>
      <c r="G686" s="97" t="s">
        <v>59</v>
      </c>
      <c r="H686" s="114">
        <f t="shared" si="10"/>
        <v>46143</v>
      </c>
      <c r="I686" s="17"/>
      <c r="J686" s="17"/>
      <c r="K686" s="17"/>
    </row>
    <row r="687" spans="1:11" x14ac:dyDescent="0.2">
      <c r="A687" s="115">
        <v>46172</v>
      </c>
      <c r="B687" s="93" t="s">
        <v>1167</v>
      </c>
      <c r="C687" s="94" t="s">
        <v>44</v>
      </c>
      <c r="D687" s="95">
        <v>20</v>
      </c>
      <c r="E687" s="95">
        <v>100.74</v>
      </c>
      <c r="F687" s="96">
        <v>2014.8</v>
      </c>
      <c r="G687" s="97" t="s">
        <v>56</v>
      </c>
      <c r="H687" s="114">
        <f t="shared" si="10"/>
        <v>46143</v>
      </c>
      <c r="I687" s="17"/>
      <c r="J687" s="17"/>
      <c r="K687" s="17"/>
    </row>
    <row r="688" spans="1:11" x14ac:dyDescent="0.2">
      <c r="A688" s="115">
        <v>46172</v>
      </c>
      <c r="B688" s="93" t="s">
        <v>1168</v>
      </c>
      <c r="C688" s="94" t="s">
        <v>129</v>
      </c>
      <c r="D688" s="95">
        <v>91.46</v>
      </c>
      <c r="E688" s="95">
        <v>100.74</v>
      </c>
      <c r="F688" s="96">
        <v>9213.68</v>
      </c>
      <c r="G688" s="97" t="s">
        <v>56</v>
      </c>
      <c r="H688" s="114">
        <f t="shared" si="10"/>
        <v>46143</v>
      </c>
      <c r="I688" s="17"/>
      <c r="J688" s="17"/>
      <c r="K688" s="17"/>
    </row>
    <row r="689" spans="1:11" x14ac:dyDescent="0.2">
      <c r="A689" s="115">
        <v>46172</v>
      </c>
      <c r="B689" s="93" t="s">
        <v>1169</v>
      </c>
      <c r="C689" s="94" t="s">
        <v>50</v>
      </c>
      <c r="D689" s="95">
        <v>45.79</v>
      </c>
      <c r="E689" s="95">
        <v>100.74</v>
      </c>
      <c r="F689" s="96">
        <v>4612.88</v>
      </c>
      <c r="G689" s="97" t="s">
        <v>54</v>
      </c>
      <c r="H689" s="114">
        <f t="shared" si="10"/>
        <v>46143</v>
      </c>
      <c r="I689" s="17"/>
      <c r="J689" s="17"/>
      <c r="K689" s="17"/>
    </row>
    <row r="690" spans="1:11" x14ac:dyDescent="0.2">
      <c r="A690" s="115">
        <v>46172</v>
      </c>
      <c r="B690" s="93" t="s">
        <v>1170</v>
      </c>
      <c r="C690" s="94" t="s">
        <v>1172</v>
      </c>
      <c r="D690" s="95">
        <v>30</v>
      </c>
      <c r="E690" s="95">
        <v>100.74</v>
      </c>
      <c r="F690" s="96">
        <v>3022.2</v>
      </c>
      <c r="G690" s="97" t="s">
        <v>256</v>
      </c>
      <c r="H690" s="114">
        <f t="shared" si="10"/>
        <v>46143</v>
      </c>
      <c r="I690" s="17"/>
      <c r="J690" s="17"/>
      <c r="K690" s="17"/>
    </row>
    <row r="691" spans="1:11" x14ac:dyDescent="0.2">
      <c r="A691" s="115">
        <v>46172</v>
      </c>
      <c r="B691" s="93" t="s">
        <v>1236</v>
      </c>
      <c r="C691" s="94" t="s">
        <v>1237</v>
      </c>
      <c r="D691" s="95">
        <v>9.2100000000000009</v>
      </c>
      <c r="E691" s="95">
        <v>100.74</v>
      </c>
      <c r="F691" s="104">
        <v>927.4</v>
      </c>
      <c r="G691" s="97" t="s">
        <v>55</v>
      </c>
      <c r="H691" s="98"/>
      <c r="I691" s="17"/>
      <c r="J691" s="17"/>
      <c r="K691" s="17"/>
    </row>
    <row r="692" spans="1:11" x14ac:dyDescent="0.2">
      <c r="A692" s="99">
        <v>46174</v>
      </c>
      <c r="B692" s="93" t="s">
        <v>1248</v>
      </c>
      <c r="C692" s="94" t="s">
        <v>50</v>
      </c>
      <c r="D692" s="95">
        <v>3000</v>
      </c>
      <c r="E692" s="95">
        <v>100.74</v>
      </c>
      <c r="F692" s="104">
        <v>302220</v>
      </c>
      <c r="G692" s="97" t="s">
        <v>143</v>
      </c>
      <c r="H692" s="114">
        <f t="shared" si="10"/>
        <v>46174</v>
      </c>
      <c r="I692" s="17"/>
      <c r="J692" s="17"/>
      <c r="K692" s="17"/>
    </row>
    <row r="693" spans="1:11" x14ac:dyDescent="0.2">
      <c r="A693" s="115">
        <v>46174</v>
      </c>
      <c r="B693" s="93" t="s">
        <v>1249</v>
      </c>
      <c r="C693" s="94" t="s">
        <v>247</v>
      </c>
      <c r="D693" s="95">
        <v>3000</v>
      </c>
      <c r="E693" s="95">
        <v>100.74</v>
      </c>
      <c r="F693" s="104">
        <v>302220</v>
      </c>
      <c r="G693" s="97" t="s">
        <v>51</v>
      </c>
      <c r="H693" s="114">
        <f t="shared" si="10"/>
        <v>46174</v>
      </c>
      <c r="I693" s="17"/>
      <c r="J693" s="17"/>
      <c r="K693" s="17"/>
    </row>
    <row r="694" spans="1:11" x14ac:dyDescent="0.2">
      <c r="A694" s="115">
        <v>46174</v>
      </c>
      <c r="B694" s="93" t="s">
        <v>1250</v>
      </c>
      <c r="C694" s="94" t="s">
        <v>526</v>
      </c>
      <c r="D694" s="95">
        <v>1574.35</v>
      </c>
      <c r="E694" s="95">
        <v>100.74</v>
      </c>
      <c r="F694" s="104">
        <v>158600</v>
      </c>
      <c r="G694" s="97" t="s">
        <v>58</v>
      </c>
      <c r="H694" s="114">
        <f t="shared" si="10"/>
        <v>46174</v>
      </c>
      <c r="I694" s="17"/>
      <c r="J694" s="17"/>
      <c r="K694" s="17"/>
    </row>
    <row r="695" spans="1:11" x14ac:dyDescent="0.2">
      <c r="A695" s="115">
        <v>46174</v>
      </c>
      <c r="B695" s="93" t="s">
        <v>1251</v>
      </c>
      <c r="C695" s="94" t="s">
        <v>13</v>
      </c>
      <c r="D695" s="95">
        <v>324.60000000000002</v>
      </c>
      <c r="E695" s="95">
        <v>100.74</v>
      </c>
      <c r="F695" s="104">
        <v>32700</v>
      </c>
      <c r="G695" s="97" t="s">
        <v>152</v>
      </c>
      <c r="H695" s="114">
        <f t="shared" si="10"/>
        <v>46174</v>
      </c>
      <c r="I695" s="17"/>
      <c r="J695" s="17"/>
      <c r="K695" s="17"/>
    </row>
    <row r="696" spans="1:11" x14ac:dyDescent="0.2">
      <c r="A696" s="115">
        <v>46174</v>
      </c>
      <c r="B696" s="93" t="s">
        <v>1252</v>
      </c>
      <c r="C696" s="94" t="s">
        <v>13</v>
      </c>
      <c r="D696" s="95">
        <v>49.64</v>
      </c>
      <c r="E696" s="95">
        <v>100.74</v>
      </c>
      <c r="F696" s="104">
        <v>5000</v>
      </c>
      <c r="G696" s="97" t="s">
        <v>57</v>
      </c>
      <c r="H696" s="114">
        <f t="shared" si="10"/>
        <v>46174</v>
      </c>
      <c r="I696" s="17"/>
      <c r="J696" s="17"/>
      <c r="K696" s="17"/>
    </row>
    <row r="697" spans="1:11" x14ac:dyDescent="0.2">
      <c r="A697" s="115">
        <v>46174</v>
      </c>
      <c r="B697" s="93" t="s">
        <v>1253</v>
      </c>
      <c r="C697" s="94" t="s">
        <v>45</v>
      </c>
      <c r="D697" s="95">
        <v>47.41</v>
      </c>
      <c r="E697" s="95">
        <v>100.74</v>
      </c>
      <c r="F697" s="104">
        <v>4776.08</v>
      </c>
      <c r="G697" s="97" t="s">
        <v>56</v>
      </c>
      <c r="H697" s="114">
        <f t="shared" si="10"/>
        <v>46174</v>
      </c>
      <c r="I697" s="17"/>
      <c r="J697" s="17"/>
      <c r="K697" s="17"/>
    </row>
    <row r="698" spans="1:11" x14ac:dyDescent="0.2">
      <c r="A698" s="115">
        <v>46174</v>
      </c>
      <c r="B698" s="93" t="s">
        <v>1254</v>
      </c>
      <c r="C698" s="94" t="s">
        <v>44</v>
      </c>
      <c r="D698" s="95">
        <v>48</v>
      </c>
      <c r="E698" s="95">
        <v>100.74</v>
      </c>
      <c r="F698" s="104">
        <v>4835.5200000000004</v>
      </c>
      <c r="G698" s="97" t="s">
        <v>56</v>
      </c>
      <c r="H698" s="114">
        <f t="shared" si="10"/>
        <v>46174</v>
      </c>
      <c r="I698" s="17"/>
      <c r="J698" s="17"/>
      <c r="K698" s="17"/>
    </row>
    <row r="699" spans="1:11" x14ac:dyDescent="0.2">
      <c r="A699" s="115">
        <v>46174</v>
      </c>
      <c r="B699" s="93" t="s">
        <v>1255</v>
      </c>
      <c r="C699" s="94" t="s">
        <v>44</v>
      </c>
      <c r="D699" s="95">
        <v>50</v>
      </c>
      <c r="E699" s="95">
        <v>100.74</v>
      </c>
      <c r="F699" s="104">
        <v>5037</v>
      </c>
      <c r="G699" s="97" t="s">
        <v>56</v>
      </c>
      <c r="H699" s="114">
        <f t="shared" si="10"/>
        <v>46174</v>
      </c>
      <c r="I699" s="17"/>
      <c r="J699" s="17"/>
      <c r="K699" s="17"/>
    </row>
    <row r="700" spans="1:11" x14ac:dyDescent="0.2">
      <c r="A700" s="115">
        <v>46174</v>
      </c>
      <c r="B700" s="93" t="s">
        <v>1256</v>
      </c>
      <c r="C700" s="94" t="s">
        <v>1265</v>
      </c>
      <c r="D700" s="95">
        <v>44.32</v>
      </c>
      <c r="E700" s="95">
        <v>100.74</v>
      </c>
      <c r="F700" s="96">
        <v>4464.79</v>
      </c>
      <c r="G700" s="97" t="s">
        <v>56</v>
      </c>
      <c r="H700" s="114">
        <f t="shared" si="10"/>
        <v>46174</v>
      </c>
      <c r="I700" s="17"/>
      <c r="J700" s="17"/>
      <c r="K700" s="17"/>
    </row>
    <row r="701" spans="1:11" x14ac:dyDescent="0.2">
      <c r="A701" s="115">
        <v>46174</v>
      </c>
      <c r="B701" s="93" t="s">
        <v>1257</v>
      </c>
      <c r="C701" s="94" t="s">
        <v>650</v>
      </c>
      <c r="D701" s="95">
        <v>25</v>
      </c>
      <c r="E701" s="95">
        <v>100.74</v>
      </c>
      <c r="F701" s="96">
        <v>2518.5</v>
      </c>
      <c r="G701" s="97" t="s">
        <v>55</v>
      </c>
      <c r="H701" s="114">
        <f t="shared" si="10"/>
        <v>46174</v>
      </c>
      <c r="I701" s="17"/>
      <c r="J701" s="17"/>
      <c r="K701" s="17"/>
    </row>
    <row r="702" spans="1:11" x14ac:dyDescent="0.2">
      <c r="A702" s="115">
        <v>46174</v>
      </c>
      <c r="B702" s="93" t="s">
        <v>1258</v>
      </c>
      <c r="C702" s="94" t="s">
        <v>142</v>
      </c>
      <c r="D702" s="95">
        <v>50</v>
      </c>
      <c r="E702" s="95">
        <v>100.74</v>
      </c>
      <c r="F702" s="96">
        <v>5037</v>
      </c>
      <c r="G702" s="97" t="s">
        <v>55</v>
      </c>
      <c r="H702" s="114">
        <f t="shared" si="10"/>
        <v>46174</v>
      </c>
      <c r="I702" s="17"/>
      <c r="J702" s="17"/>
      <c r="K702" s="17"/>
    </row>
    <row r="703" spans="1:11" x14ac:dyDescent="0.2">
      <c r="A703" s="115">
        <v>46174</v>
      </c>
      <c r="B703" s="93" t="s">
        <v>1259</v>
      </c>
      <c r="C703" s="94" t="s">
        <v>821</v>
      </c>
      <c r="D703" s="95">
        <v>220</v>
      </c>
      <c r="E703" s="95">
        <v>100.74</v>
      </c>
      <c r="F703" s="96">
        <v>22162.799999999999</v>
      </c>
      <c r="G703" s="97" t="s">
        <v>714</v>
      </c>
      <c r="H703" s="114">
        <f t="shared" si="10"/>
        <v>46174</v>
      </c>
      <c r="I703" s="17"/>
      <c r="J703" s="17"/>
      <c r="K703" s="17"/>
    </row>
    <row r="704" spans="1:11" x14ac:dyDescent="0.2">
      <c r="A704" s="115">
        <v>46174</v>
      </c>
      <c r="B704" s="93" t="s">
        <v>1260</v>
      </c>
      <c r="C704" s="94" t="s">
        <v>1266</v>
      </c>
      <c r="D704" s="95">
        <v>160</v>
      </c>
      <c r="E704" s="95">
        <v>100.74</v>
      </c>
      <c r="F704" s="96">
        <v>16118.4</v>
      </c>
      <c r="G704" s="97" t="s">
        <v>714</v>
      </c>
      <c r="H704" s="114">
        <f t="shared" si="10"/>
        <v>46174</v>
      </c>
      <c r="I704" s="17"/>
      <c r="J704" s="17"/>
      <c r="K704" s="17"/>
    </row>
    <row r="705" spans="1:11" x14ac:dyDescent="0.2">
      <c r="A705" s="115">
        <v>46174</v>
      </c>
      <c r="B705" s="93" t="s">
        <v>1261</v>
      </c>
      <c r="C705" s="94" t="s">
        <v>301</v>
      </c>
      <c r="D705" s="95">
        <v>500</v>
      </c>
      <c r="E705" s="95">
        <v>100.74</v>
      </c>
      <c r="F705" s="96">
        <v>50370</v>
      </c>
      <c r="G705" s="97" t="s">
        <v>256</v>
      </c>
      <c r="H705" s="114">
        <f t="shared" si="10"/>
        <v>46174</v>
      </c>
      <c r="I705" s="17"/>
      <c r="J705" s="17"/>
      <c r="K705" s="17"/>
    </row>
    <row r="706" spans="1:11" x14ac:dyDescent="0.2">
      <c r="A706" s="115">
        <v>46174</v>
      </c>
      <c r="B706" s="93" t="s">
        <v>1262</v>
      </c>
      <c r="C706" s="94" t="s">
        <v>1267</v>
      </c>
      <c r="D706" s="95">
        <v>316</v>
      </c>
      <c r="E706" s="95">
        <v>100.74</v>
      </c>
      <c r="F706" s="96">
        <v>31833.84</v>
      </c>
      <c r="G706" s="97" t="s">
        <v>552</v>
      </c>
      <c r="H706" s="114">
        <f t="shared" si="10"/>
        <v>46174</v>
      </c>
      <c r="I706" s="17"/>
      <c r="J706" s="17"/>
      <c r="K706" s="17"/>
    </row>
    <row r="707" spans="1:11" x14ac:dyDescent="0.2">
      <c r="A707" s="115">
        <v>46174</v>
      </c>
      <c r="B707" s="93" t="s">
        <v>1263</v>
      </c>
      <c r="C707" s="94" t="s">
        <v>1032</v>
      </c>
      <c r="D707" s="95">
        <v>317</v>
      </c>
      <c r="E707" s="95">
        <v>100.74</v>
      </c>
      <c r="F707" s="96">
        <v>31934.58</v>
      </c>
      <c r="G707" s="97" t="s">
        <v>552</v>
      </c>
      <c r="H707" s="114">
        <f t="shared" si="10"/>
        <v>46174</v>
      </c>
      <c r="I707" s="17"/>
      <c r="J707" s="17"/>
      <c r="K707" s="17"/>
    </row>
    <row r="708" spans="1:11" x14ac:dyDescent="0.2">
      <c r="A708" s="115">
        <v>46174</v>
      </c>
      <c r="B708" s="93" t="s">
        <v>1264</v>
      </c>
      <c r="C708" s="94" t="s">
        <v>1268</v>
      </c>
      <c r="D708" s="95">
        <v>317</v>
      </c>
      <c r="E708" s="95">
        <v>100.74</v>
      </c>
      <c r="F708" s="96">
        <v>31934.58</v>
      </c>
      <c r="G708" s="97" t="s">
        <v>552</v>
      </c>
      <c r="H708" s="114">
        <f t="shared" ref="H708:H771" si="11">IF(A708&lt;&gt;"", EOMONTH(A708, -1) + 1, "")</f>
        <v>46174</v>
      </c>
      <c r="I708" s="17"/>
      <c r="J708" s="17"/>
      <c r="K708" s="17"/>
    </row>
    <row r="709" spans="1:11" x14ac:dyDescent="0.2">
      <c r="A709" s="115">
        <v>46175</v>
      </c>
      <c r="B709" s="93" t="s">
        <v>1289</v>
      </c>
      <c r="C709" s="94" t="s">
        <v>50</v>
      </c>
      <c r="D709" s="95">
        <v>3000</v>
      </c>
      <c r="E709" s="95">
        <v>100.74</v>
      </c>
      <c r="F709" s="96">
        <v>302220</v>
      </c>
      <c r="G709" s="97" t="s">
        <v>59</v>
      </c>
      <c r="H709" s="114">
        <f t="shared" si="11"/>
        <v>46174</v>
      </c>
      <c r="I709" s="17"/>
      <c r="J709" s="17"/>
      <c r="K709" s="17"/>
    </row>
    <row r="710" spans="1:11" x14ac:dyDescent="0.2">
      <c r="A710" s="115">
        <v>46175</v>
      </c>
      <c r="B710" s="93" t="s">
        <v>1290</v>
      </c>
      <c r="C710" s="94" t="s">
        <v>526</v>
      </c>
      <c r="D710" s="95">
        <v>1587.25</v>
      </c>
      <c r="E710" s="95">
        <v>100.74</v>
      </c>
      <c r="F710" s="96">
        <v>159900</v>
      </c>
      <c r="G710" s="97" t="s">
        <v>58</v>
      </c>
      <c r="H710" s="114">
        <f t="shared" si="11"/>
        <v>46174</v>
      </c>
      <c r="I710" s="17"/>
      <c r="J710" s="17"/>
      <c r="K710" s="17"/>
    </row>
    <row r="711" spans="1:11" x14ac:dyDescent="0.2">
      <c r="A711" s="115">
        <v>46175</v>
      </c>
      <c r="B711" s="93" t="s">
        <v>1291</v>
      </c>
      <c r="C711" s="94" t="s">
        <v>525</v>
      </c>
      <c r="D711" s="95">
        <v>36</v>
      </c>
      <c r="E711" s="95">
        <v>100.74</v>
      </c>
      <c r="F711" s="96">
        <v>3626.64</v>
      </c>
      <c r="G711" s="97" t="s">
        <v>58</v>
      </c>
      <c r="H711" s="114">
        <f t="shared" si="11"/>
        <v>46174</v>
      </c>
      <c r="I711" s="17"/>
      <c r="J711" s="17"/>
      <c r="K711" s="17"/>
    </row>
    <row r="712" spans="1:11" x14ac:dyDescent="0.2">
      <c r="A712" s="115">
        <v>46175</v>
      </c>
      <c r="B712" s="93" t="s">
        <v>1292</v>
      </c>
      <c r="C712" s="94" t="s">
        <v>13</v>
      </c>
      <c r="D712" s="95">
        <v>372.25</v>
      </c>
      <c r="E712" s="95">
        <v>100.74</v>
      </c>
      <c r="F712" s="96">
        <v>37500</v>
      </c>
      <c r="G712" s="97" t="s">
        <v>152</v>
      </c>
      <c r="H712" s="114">
        <f t="shared" si="11"/>
        <v>46174</v>
      </c>
      <c r="I712" s="17"/>
      <c r="J712" s="17"/>
      <c r="K712" s="17"/>
    </row>
    <row r="713" spans="1:11" x14ac:dyDescent="0.2">
      <c r="A713" s="115">
        <v>46175</v>
      </c>
      <c r="B713" s="93" t="s">
        <v>1293</v>
      </c>
      <c r="C713" s="94" t="s">
        <v>129</v>
      </c>
      <c r="D713" s="95">
        <v>98.53</v>
      </c>
      <c r="E713" s="95">
        <v>100.74</v>
      </c>
      <c r="F713" s="96">
        <v>9925.91</v>
      </c>
      <c r="G713" s="97" t="s">
        <v>56</v>
      </c>
      <c r="H713" s="114">
        <f t="shared" si="11"/>
        <v>46174</v>
      </c>
      <c r="I713" s="17"/>
      <c r="J713" s="17"/>
      <c r="K713" s="17"/>
    </row>
    <row r="714" spans="1:11" x14ac:dyDescent="0.2">
      <c r="A714" s="115">
        <v>46176</v>
      </c>
      <c r="B714" s="93" t="s">
        <v>1300</v>
      </c>
      <c r="C714" s="94" t="s">
        <v>50</v>
      </c>
      <c r="D714" s="95">
        <v>3000</v>
      </c>
      <c r="E714" s="95">
        <v>100.74</v>
      </c>
      <c r="F714" s="96">
        <v>302220</v>
      </c>
      <c r="G714" s="97" t="s">
        <v>143</v>
      </c>
      <c r="H714" s="114">
        <f t="shared" si="11"/>
        <v>46174</v>
      </c>
      <c r="I714" s="17"/>
      <c r="J714" s="17"/>
      <c r="K714" s="17"/>
    </row>
    <row r="715" spans="1:11" x14ac:dyDescent="0.2">
      <c r="A715" s="115">
        <v>46176</v>
      </c>
      <c r="B715" s="93" t="s">
        <v>1301</v>
      </c>
      <c r="C715" s="94" t="s">
        <v>1319</v>
      </c>
      <c r="D715" s="95">
        <v>1000</v>
      </c>
      <c r="E715" s="95">
        <v>100.74</v>
      </c>
      <c r="F715" s="96">
        <v>100740</v>
      </c>
      <c r="G715" s="97" t="s">
        <v>134</v>
      </c>
      <c r="H715" s="114">
        <f t="shared" si="11"/>
        <v>46174</v>
      </c>
      <c r="I715" s="17"/>
      <c r="J715" s="17"/>
      <c r="K715" s="17"/>
    </row>
    <row r="716" spans="1:11" x14ac:dyDescent="0.2">
      <c r="A716" s="115">
        <v>46176</v>
      </c>
      <c r="B716" s="93" t="s">
        <v>1302</v>
      </c>
      <c r="C716" s="94" t="s">
        <v>50</v>
      </c>
      <c r="D716" s="95">
        <v>1000.6</v>
      </c>
      <c r="E716" s="95">
        <v>100.74</v>
      </c>
      <c r="F716" s="96">
        <v>100800.44</v>
      </c>
      <c r="G716" s="97" t="s">
        <v>901</v>
      </c>
      <c r="H716" s="114">
        <f t="shared" si="11"/>
        <v>46174</v>
      </c>
      <c r="I716" s="17"/>
      <c r="J716" s="17"/>
      <c r="K716" s="17"/>
    </row>
    <row r="717" spans="1:11" x14ac:dyDescent="0.2">
      <c r="A717" s="115">
        <v>46176</v>
      </c>
      <c r="B717" s="93" t="s">
        <v>1303</v>
      </c>
      <c r="C717" s="94" t="s">
        <v>50</v>
      </c>
      <c r="D717" s="95">
        <v>1500.42</v>
      </c>
      <c r="E717" s="95">
        <v>100.74</v>
      </c>
      <c r="F717" s="96">
        <v>151152.31</v>
      </c>
      <c r="G717" s="97" t="s">
        <v>96</v>
      </c>
      <c r="H717" s="114">
        <f t="shared" si="11"/>
        <v>46174</v>
      </c>
      <c r="I717" s="17"/>
      <c r="J717" s="17"/>
      <c r="K717" s="17"/>
    </row>
    <row r="718" spans="1:11" x14ac:dyDescent="0.2">
      <c r="A718" s="115">
        <v>46176</v>
      </c>
      <c r="B718" s="93" t="s">
        <v>1304</v>
      </c>
      <c r="C718" s="94" t="s">
        <v>526</v>
      </c>
      <c r="D718" s="95">
        <v>598.57000000000005</v>
      </c>
      <c r="E718" s="95">
        <v>100.74</v>
      </c>
      <c r="F718" s="96">
        <v>60300</v>
      </c>
      <c r="G718" s="97" t="s">
        <v>58</v>
      </c>
      <c r="H718" s="114">
        <f t="shared" si="11"/>
        <v>46174</v>
      </c>
      <c r="I718" s="17"/>
      <c r="J718" s="17"/>
      <c r="K718" s="17"/>
    </row>
    <row r="719" spans="1:11" x14ac:dyDescent="0.2">
      <c r="A719" s="115">
        <v>46176</v>
      </c>
      <c r="B719" s="93" t="s">
        <v>1305</v>
      </c>
      <c r="C719" s="94" t="s">
        <v>525</v>
      </c>
      <c r="D719" s="95">
        <v>329.78</v>
      </c>
      <c r="E719" s="95">
        <v>100.74</v>
      </c>
      <c r="F719" s="96">
        <v>33222</v>
      </c>
      <c r="G719" s="97" t="s">
        <v>58</v>
      </c>
      <c r="H719" s="114">
        <f t="shared" si="11"/>
        <v>46174</v>
      </c>
      <c r="I719" s="17"/>
      <c r="J719" s="17"/>
      <c r="K719" s="17"/>
    </row>
    <row r="720" spans="1:11" x14ac:dyDescent="0.2">
      <c r="A720" s="115">
        <v>46176</v>
      </c>
      <c r="B720" s="93" t="s">
        <v>1306</v>
      </c>
      <c r="C720" s="94" t="s">
        <v>13</v>
      </c>
      <c r="D720" s="95">
        <v>1922.77</v>
      </c>
      <c r="E720" s="95">
        <v>100.74</v>
      </c>
      <c r="F720" s="96">
        <v>193700</v>
      </c>
      <c r="G720" s="97" t="s">
        <v>152</v>
      </c>
      <c r="H720" s="114">
        <f t="shared" si="11"/>
        <v>46174</v>
      </c>
      <c r="I720" s="17"/>
      <c r="J720" s="17"/>
      <c r="K720" s="17"/>
    </row>
    <row r="721" spans="1:11" x14ac:dyDescent="0.2">
      <c r="A721" s="115">
        <v>46176</v>
      </c>
      <c r="B721" s="93" t="s">
        <v>1307</v>
      </c>
      <c r="C721" s="94" t="s">
        <v>13</v>
      </c>
      <c r="D721" s="95">
        <v>129.05000000000001</v>
      </c>
      <c r="E721" s="95">
        <v>100.74</v>
      </c>
      <c r="F721" s="96">
        <v>13000</v>
      </c>
      <c r="G721" s="97" t="s">
        <v>15</v>
      </c>
      <c r="H721" s="114">
        <f t="shared" si="11"/>
        <v>46174</v>
      </c>
      <c r="I721" s="17"/>
      <c r="J721" s="17"/>
      <c r="K721" s="17"/>
    </row>
    <row r="722" spans="1:11" x14ac:dyDescent="0.2">
      <c r="A722" s="115">
        <v>46176</v>
      </c>
      <c r="B722" s="93" t="s">
        <v>1308</v>
      </c>
      <c r="C722" s="94" t="s">
        <v>444</v>
      </c>
      <c r="D722" s="95">
        <v>33.700000000000003</v>
      </c>
      <c r="E722" s="95">
        <v>100.74</v>
      </c>
      <c r="F722" s="96">
        <v>3394.93</v>
      </c>
      <c r="G722" s="97" t="s">
        <v>202</v>
      </c>
      <c r="H722" s="114">
        <f t="shared" si="11"/>
        <v>46174</v>
      </c>
      <c r="I722" s="17"/>
      <c r="J722" s="17"/>
      <c r="K722" s="17"/>
    </row>
    <row r="723" spans="1:11" x14ac:dyDescent="0.2">
      <c r="A723" s="115">
        <v>46176</v>
      </c>
      <c r="B723" s="93" t="s">
        <v>1309</v>
      </c>
      <c r="C723" s="94" t="s">
        <v>41</v>
      </c>
      <c r="D723" s="95">
        <v>40</v>
      </c>
      <c r="E723" s="95">
        <v>100.74</v>
      </c>
      <c r="F723" s="96">
        <v>4029.6</v>
      </c>
      <c r="G723" s="97" t="s">
        <v>53</v>
      </c>
      <c r="H723" s="114">
        <f t="shared" si="11"/>
        <v>46174</v>
      </c>
      <c r="I723" s="17"/>
      <c r="J723" s="17"/>
      <c r="K723" s="17"/>
    </row>
    <row r="724" spans="1:11" x14ac:dyDescent="0.2">
      <c r="A724" s="115">
        <v>46176</v>
      </c>
      <c r="B724" s="93" t="s">
        <v>1310</v>
      </c>
      <c r="C724" s="94" t="s">
        <v>1320</v>
      </c>
      <c r="D724" s="95">
        <v>106.66</v>
      </c>
      <c r="E724" s="95">
        <v>100.74</v>
      </c>
      <c r="F724" s="96">
        <v>10745.4</v>
      </c>
      <c r="G724" s="97" t="s">
        <v>256</v>
      </c>
      <c r="H724" s="114">
        <f t="shared" si="11"/>
        <v>46174</v>
      </c>
      <c r="I724" s="17"/>
      <c r="J724" s="17"/>
      <c r="K724" s="17"/>
    </row>
    <row r="725" spans="1:11" x14ac:dyDescent="0.2">
      <c r="A725" s="115">
        <v>46176</v>
      </c>
      <c r="B725" s="93" t="s">
        <v>1311</v>
      </c>
      <c r="C725" s="94" t="s">
        <v>130</v>
      </c>
      <c r="D725" s="95">
        <v>36.340000000000003</v>
      </c>
      <c r="E725" s="95">
        <v>100.74</v>
      </c>
      <c r="F725" s="96">
        <v>3660.89</v>
      </c>
      <c r="G725" s="97" t="s">
        <v>137</v>
      </c>
      <c r="H725" s="114">
        <f t="shared" si="11"/>
        <v>46174</v>
      </c>
      <c r="I725" s="17"/>
      <c r="J725" s="17"/>
      <c r="K725" s="17"/>
    </row>
    <row r="726" spans="1:11" x14ac:dyDescent="0.2">
      <c r="A726" s="115">
        <v>46176</v>
      </c>
      <c r="B726" s="93" t="s">
        <v>1312</v>
      </c>
      <c r="C726" s="94" t="s">
        <v>127</v>
      </c>
      <c r="D726" s="95">
        <v>100</v>
      </c>
      <c r="E726" s="95">
        <v>100.74</v>
      </c>
      <c r="F726" s="96">
        <v>10074</v>
      </c>
      <c r="G726" s="97" t="s">
        <v>59</v>
      </c>
      <c r="H726" s="114">
        <f t="shared" si="11"/>
        <v>46174</v>
      </c>
      <c r="I726" s="17"/>
      <c r="J726" s="17"/>
      <c r="K726" s="17"/>
    </row>
    <row r="727" spans="1:11" x14ac:dyDescent="0.2">
      <c r="A727" s="115">
        <v>46176</v>
      </c>
      <c r="B727" s="93" t="s">
        <v>1313</v>
      </c>
      <c r="C727" s="94" t="s">
        <v>1321</v>
      </c>
      <c r="D727" s="95">
        <v>49.63</v>
      </c>
      <c r="E727" s="95">
        <v>100.74</v>
      </c>
      <c r="F727" s="96">
        <v>5000</v>
      </c>
      <c r="G727" s="97" t="s">
        <v>257</v>
      </c>
      <c r="H727" s="114">
        <f t="shared" si="11"/>
        <v>46174</v>
      </c>
      <c r="I727" s="17"/>
      <c r="J727" s="17"/>
      <c r="K727" s="17"/>
    </row>
    <row r="728" spans="1:11" x14ac:dyDescent="0.2">
      <c r="A728" s="115">
        <v>46176</v>
      </c>
      <c r="B728" s="93" t="s">
        <v>1314</v>
      </c>
      <c r="C728" s="94" t="s">
        <v>1322</v>
      </c>
      <c r="D728" s="95">
        <v>49.63</v>
      </c>
      <c r="E728" s="95">
        <v>100.74</v>
      </c>
      <c r="F728" s="96">
        <v>5000</v>
      </c>
      <c r="G728" s="97" t="s">
        <v>257</v>
      </c>
      <c r="H728" s="114">
        <f t="shared" si="11"/>
        <v>46174</v>
      </c>
      <c r="I728" s="17"/>
      <c r="J728" s="17"/>
      <c r="K728" s="17"/>
    </row>
    <row r="729" spans="1:11" x14ac:dyDescent="0.2">
      <c r="A729" s="115">
        <v>46176</v>
      </c>
      <c r="B729" s="93" t="s">
        <v>1315</v>
      </c>
      <c r="C729" s="94" t="s">
        <v>1323</v>
      </c>
      <c r="D729" s="95">
        <v>49.63</v>
      </c>
      <c r="E729" s="95">
        <v>100.74</v>
      </c>
      <c r="F729" s="96">
        <v>5000</v>
      </c>
      <c r="G729" s="97" t="s">
        <v>257</v>
      </c>
      <c r="H729" s="114">
        <f t="shared" si="11"/>
        <v>46174</v>
      </c>
      <c r="I729" s="17"/>
      <c r="J729" s="17"/>
      <c r="K729" s="17"/>
    </row>
    <row r="730" spans="1:11" x14ac:dyDescent="0.2">
      <c r="A730" s="115">
        <v>46176</v>
      </c>
      <c r="B730" s="93" t="s">
        <v>1316</v>
      </c>
      <c r="C730" s="94" t="s">
        <v>1324</v>
      </c>
      <c r="D730" s="95">
        <v>49.63</v>
      </c>
      <c r="E730" s="95">
        <v>100.74</v>
      </c>
      <c r="F730" s="96">
        <v>5000</v>
      </c>
      <c r="G730" s="97" t="s">
        <v>257</v>
      </c>
      <c r="H730" s="114">
        <f t="shared" si="11"/>
        <v>46174</v>
      </c>
      <c r="I730" s="17"/>
      <c r="J730" s="17"/>
      <c r="K730" s="17"/>
    </row>
    <row r="731" spans="1:11" x14ac:dyDescent="0.2">
      <c r="A731" s="115">
        <v>46176</v>
      </c>
      <c r="B731" s="93" t="s">
        <v>1317</v>
      </c>
      <c r="C731" s="94" t="s">
        <v>1064</v>
      </c>
      <c r="D731" s="95">
        <v>19.86</v>
      </c>
      <c r="E731" s="95">
        <v>100.74</v>
      </c>
      <c r="F731" s="96">
        <v>2000</v>
      </c>
      <c r="G731" s="97" t="s">
        <v>257</v>
      </c>
      <c r="H731" s="114">
        <f t="shared" si="11"/>
        <v>46174</v>
      </c>
      <c r="I731" s="17"/>
      <c r="J731" s="17"/>
      <c r="K731" s="17"/>
    </row>
    <row r="732" spans="1:11" x14ac:dyDescent="0.2">
      <c r="A732" s="115">
        <v>46176</v>
      </c>
      <c r="B732" s="93" t="s">
        <v>1318</v>
      </c>
      <c r="C732" s="94" t="s">
        <v>521</v>
      </c>
      <c r="D732" s="95">
        <v>55.68</v>
      </c>
      <c r="E732" s="95">
        <v>100.74</v>
      </c>
      <c r="F732" s="96">
        <v>5609.2</v>
      </c>
      <c r="G732" s="97" t="s">
        <v>257</v>
      </c>
      <c r="H732" s="114">
        <f t="shared" si="11"/>
        <v>46174</v>
      </c>
      <c r="I732" s="17"/>
      <c r="J732" s="17"/>
      <c r="K732" s="17"/>
    </row>
    <row r="733" spans="1:11" x14ac:dyDescent="0.2">
      <c r="A733" s="115">
        <v>46177</v>
      </c>
      <c r="B733" s="93" t="s">
        <v>1326</v>
      </c>
      <c r="C733" s="94" t="s">
        <v>914</v>
      </c>
      <c r="D733" s="95">
        <v>2000</v>
      </c>
      <c r="E733" s="95">
        <v>100.74</v>
      </c>
      <c r="F733" s="96">
        <v>201480</v>
      </c>
      <c r="G733" s="97" t="s">
        <v>919</v>
      </c>
      <c r="H733" s="114">
        <f t="shared" si="11"/>
        <v>46174</v>
      </c>
      <c r="I733" s="17"/>
      <c r="J733" s="17"/>
      <c r="K733" s="17"/>
    </row>
    <row r="734" spans="1:11" x14ac:dyDescent="0.2">
      <c r="A734" s="115">
        <v>46177</v>
      </c>
      <c r="B734" s="93" t="s">
        <v>1327</v>
      </c>
      <c r="C734" s="94" t="s">
        <v>526</v>
      </c>
      <c r="D734" s="95">
        <v>2776.45</v>
      </c>
      <c r="E734" s="95">
        <v>100.74</v>
      </c>
      <c r="F734" s="96">
        <v>279700</v>
      </c>
      <c r="G734" s="97" t="s">
        <v>58</v>
      </c>
      <c r="H734" s="114">
        <f t="shared" si="11"/>
        <v>46174</v>
      </c>
      <c r="I734" s="17"/>
      <c r="J734" s="17"/>
      <c r="K734" s="17"/>
    </row>
    <row r="735" spans="1:11" x14ac:dyDescent="0.2">
      <c r="A735" s="115">
        <v>46177</v>
      </c>
      <c r="B735" s="93" t="s">
        <v>1328</v>
      </c>
      <c r="C735" s="94" t="s">
        <v>525</v>
      </c>
      <c r="D735" s="95">
        <v>32</v>
      </c>
      <c r="E735" s="95">
        <v>100.74</v>
      </c>
      <c r="F735" s="96">
        <v>3223.68</v>
      </c>
      <c r="G735" s="97" t="s">
        <v>58</v>
      </c>
      <c r="H735" s="114">
        <f t="shared" si="11"/>
        <v>46174</v>
      </c>
      <c r="I735" s="17"/>
      <c r="J735" s="17"/>
      <c r="K735" s="17"/>
    </row>
    <row r="736" spans="1:11" x14ac:dyDescent="0.2">
      <c r="A736" s="115">
        <v>46177</v>
      </c>
      <c r="B736" s="93" t="s">
        <v>1329</v>
      </c>
      <c r="C736" s="94" t="s">
        <v>50</v>
      </c>
      <c r="D736" s="95">
        <v>3000</v>
      </c>
      <c r="E736" s="95">
        <v>100.74</v>
      </c>
      <c r="F736" s="96">
        <v>302220</v>
      </c>
      <c r="G736" s="97" t="s">
        <v>59</v>
      </c>
      <c r="H736" s="114">
        <f t="shared" si="11"/>
        <v>46174</v>
      </c>
      <c r="I736" s="17"/>
      <c r="J736" s="17"/>
      <c r="K736" s="17"/>
    </row>
    <row r="737" spans="1:11" x14ac:dyDescent="0.2">
      <c r="A737" s="115">
        <v>46177</v>
      </c>
      <c r="B737" s="93" t="s">
        <v>1330</v>
      </c>
      <c r="C737" s="94" t="s">
        <v>13</v>
      </c>
      <c r="D737" s="95">
        <v>1418.02</v>
      </c>
      <c r="E737" s="95">
        <v>100.74</v>
      </c>
      <c r="F737" s="96">
        <v>142851.70000000001</v>
      </c>
      <c r="G737" s="97" t="s">
        <v>152</v>
      </c>
      <c r="H737" s="114">
        <f t="shared" si="11"/>
        <v>46174</v>
      </c>
      <c r="I737" s="17"/>
      <c r="J737" s="17"/>
      <c r="K737" s="17"/>
    </row>
    <row r="738" spans="1:11" x14ac:dyDescent="0.2">
      <c r="A738" s="115">
        <v>46177</v>
      </c>
      <c r="B738" s="93" t="s">
        <v>1331</v>
      </c>
      <c r="C738" s="94" t="s">
        <v>13</v>
      </c>
      <c r="D738" s="95">
        <v>236.25</v>
      </c>
      <c r="E738" s="95">
        <v>100.74</v>
      </c>
      <c r="F738" s="96">
        <v>23800</v>
      </c>
      <c r="G738" s="97" t="s">
        <v>15</v>
      </c>
      <c r="H738" s="114">
        <f t="shared" si="11"/>
        <v>46174</v>
      </c>
      <c r="I738" s="17"/>
      <c r="J738" s="17"/>
      <c r="K738" s="17"/>
    </row>
    <row r="739" spans="1:11" x14ac:dyDescent="0.2">
      <c r="A739" s="115">
        <v>46177</v>
      </c>
      <c r="B739" s="93" t="s">
        <v>1332</v>
      </c>
      <c r="C739" s="94" t="s">
        <v>50</v>
      </c>
      <c r="D739" s="95">
        <v>1000.44</v>
      </c>
      <c r="E739" s="95">
        <v>100.74</v>
      </c>
      <c r="F739" s="96">
        <v>100784.33</v>
      </c>
      <c r="G739" s="97" t="s">
        <v>901</v>
      </c>
      <c r="H739" s="114">
        <f t="shared" si="11"/>
        <v>46174</v>
      </c>
      <c r="I739" s="17"/>
      <c r="J739" s="17"/>
      <c r="K739" s="17"/>
    </row>
    <row r="740" spans="1:11" x14ac:dyDescent="0.2">
      <c r="A740" s="115">
        <v>46177</v>
      </c>
      <c r="B740" s="93" t="s">
        <v>1333</v>
      </c>
      <c r="C740" s="94" t="s">
        <v>44</v>
      </c>
      <c r="D740" s="95">
        <v>50.3</v>
      </c>
      <c r="E740" s="95">
        <v>100.74</v>
      </c>
      <c r="F740" s="96">
        <v>5067.22</v>
      </c>
      <c r="G740" s="97" t="s">
        <v>56</v>
      </c>
      <c r="H740" s="114">
        <f t="shared" si="11"/>
        <v>46174</v>
      </c>
      <c r="I740" s="17"/>
      <c r="J740" s="17"/>
      <c r="K740" s="17"/>
    </row>
    <row r="741" spans="1:11" x14ac:dyDescent="0.2">
      <c r="A741" s="115">
        <v>46177</v>
      </c>
      <c r="B741" s="93" t="s">
        <v>1334</v>
      </c>
      <c r="C741" s="94" t="s">
        <v>742</v>
      </c>
      <c r="D741" s="95">
        <v>110.19</v>
      </c>
      <c r="E741" s="95">
        <v>100.74</v>
      </c>
      <c r="F741" s="96">
        <v>11100.54</v>
      </c>
      <c r="G741" s="97" t="s">
        <v>714</v>
      </c>
      <c r="H741" s="114">
        <f t="shared" si="11"/>
        <v>46174</v>
      </c>
      <c r="I741" s="17"/>
      <c r="J741" s="17"/>
      <c r="K741" s="17"/>
    </row>
    <row r="742" spans="1:11" x14ac:dyDescent="0.2">
      <c r="A742" s="115">
        <v>46177</v>
      </c>
      <c r="B742" s="93" t="s">
        <v>1335</v>
      </c>
      <c r="C742" s="94" t="s">
        <v>1338</v>
      </c>
      <c r="D742" s="95">
        <v>78.72</v>
      </c>
      <c r="E742" s="95">
        <v>100.74</v>
      </c>
      <c r="F742" s="96">
        <v>7930.25</v>
      </c>
      <c r="G742" s="97" t="s">
        <v>714</v>
      </c>
      <c r="H742" s="114">
        <f t="shared" si="11"/>
        <v>46174</v>
      </c>
      <c r="I742" s="17"/>
      <c r="J742" s="17"/>
      <c r="K742" s="17"/>
    </row>
    <row r="743" spans="1:11" x14ac:dyDescent="0.2">
      <c r="A743" s="115">
        <v>46177</v>
      </c>
      <c r="B743" s="93" t="s">
        <v>1336</v>
      </c>
      <c r="C743" s="94" t="s">
        <v>1339</v>
      </c>
      <c r="D743" s="95">
        <v>200</v>
      </c>
      <c r="E743" s="95">
        <v>100.74</v>
      </c>
      <c r="F743" s="96">
        <v>20148</v>
      </c>
      <c r="G743" s="97" t="s">
        <v>199</v>
      </c>
      <c r="H743" s="114">
        <f t="shared" si="11"/>
        <v>46174</v>
      </c>
      <c r="I743" s="17"/>
      <c r="J743" s="17"/>
      <c r="K743" s="17"/>
    </row>
    <row r="744" spans="1:11" x14ac:dyDescent="0.2">
      <c r="A744" s="115">
        <v>46177</v>
      </c>
      <c r="B744" s="93" t="s">
        <v>1337</v>
      </c>
      <c r="C744" s="94" t="s">
        <v>872</v>
      </c>
      <c r="D744" s="95">
        <v>300</v>
      </c>
      <c r="E744" s="95">
        <v>100.74</v>
      </c>
      <c r="F744" s="96">
        <v>30222</v>
      </c>
      <c r="G744" s="97" t="s">
        <v>199</v>
      </c>
      <c r="H744" s="114">
        <f t="shared" si="11"/>
        <v>46174</v>
      </c>
      <c r="I744" s="17"/>
      <c r="J744" s="17"/>
      <c r="K744" s="17"/>
    </row>
    <row r="745" spans="1:11" x14ac:dyDescent="0.2">
      <c r="A745" s="115">
        <v>46178</v>
      </c>
      <c r="B745" s="93" t="s">
        <v>1343</v>
      </c>
      <c r="C745" s="94" t="s">
        <v>40</v>
      </c>
      <c r="D745" s="95">
        <v>12000</v>
      </c>
      <c r="E745" s="95">
        <v>100.74</v>
      </c>
      <c r="F745" s="96">
        <v>1208880</v>
      </c>
      <c r="G745" s="97" t="s">
        <v>51</v>
      </c>
      <c r="H745" s="114">
        <f t="shared" si="11"/>
        <v>46174</v>
      </c>
      <c r="I745" s="17"/>
      <c r="J745" s="17"/>
      <c r="K745" s="17"/>
    </row>
    <row r="746" spans="1:11" x14ac:dyDescent="0.2">
      <c r="A746" s="115">
        <v>46178</v>
      </c>
      <c r="B746" s="93" t="s">
        <v>1344</v>
      </c>
      <c r="C746" s="94" t="s">
        <v>129</v>
      </c>
      <c r="D746" s="95">
        <v>104</v>
      </c>
      <c r="E746" s="95">
        <v>100.74</v>
      </c>
      <c r="F746" s="96">
        <v>10476.959999999999</v>
      </c>
      <c r="G746" s="97" t="s">
        <v>56</v>
      </c>
      <c r="H746" s="114">
        <f t="shared" si="11"/>
        <v>46174</v>
      </c>
      <c r="I746" s="17"/>
      <c r="J746" s="17"/>
      <c r="K746" s="17"/>
    </row>
    <row r="747" spans="1:11" x14ac:dyDescent="0.2">
      <c r="A747" s="115">
        <v>46178</v>
      </c>
      <c r="B747" s="93" t="s">
        <v>1345</v>
      </c>
      <c r="C747" s="94" t="s">
        <v>45</v>
      </c>
      <c r="D747" s="95">
        <v>44.45</v>
      </c>
      <c r="E747" s="95">
        <v>100.74</v>
      </c>
      <c r="F747" s="96">
        <v>4477.8900000000003</v>
      </c>
      <c r="G747" s="97" t="s">
        <v>56</v>
      </c>
      <c r="H747" s="114">
        <f t="shared" si="11"/>
        <v>46174</v>
      </c>
      <c r="I747" s="17"/>
      <c r="J747" s="17"/>
      <c r="K747" s="17"/>
    </row>
    <row r="748" spans="1:11" x14ac:dyDescent="0.2">
      <c r="A748" s="115">
        <v>46178</v>
      </c>
      <c r="B748" s="93" t="s">
        <v>1346</v>
      </c>
      <c r="C748" s="94" t="s">
        <v>742</v>
      </c>
      <c r="D748" s="95">
        <v>96.39</v>
      </c>
      <c r="E748" s="95">
        <v>100.74</v>
      </c>
      <c r="F748" s="96">
        <v>9710.32</v>
      </c>
      <c r="G748" s="97" t="s">
        <v>714</v>
      </c>
      <c r="H748" s="114">
        <f t="shared" si="11"/>
        <v>46174</v>
      </c>
      <c r="I748" s="17"/>
      <c r="J748" s="17"/>
      <c r="K748" s="17"/>
    </row>
    <row r="749" spans="1:11" x14ac:dyDescent="0.2">
      <c r="A749" s="115">
        <v>46178</v>
      </c>
      <c r="B749" s="93" t="s">
        <v>1347</v>
      </c>
      <c r="C749" s="94" t="s">
        <v>50</v>
      </c>
      <c r="D749" s="95">
        <v>1500</v>
      </c>
      <c r="E749" s="95">
        <v>100.74</v>
      </c>
      <c r="F749" s="96">
        <v>151110</v>
      </c>
      <c r="G749" s="97" t="s">
        <v>96</v>
      </c>
      <c r="H749" s="114">
        <f t="shared" si="11"/>
        <v>46174</v>
      </c>
      <c r="I749" s="17"/>
      <c r="J749" s="17"/>
      <c r="K749" s="17"/>
    </row>
    <row r="750" spans="1:11" x14ac:dyDescent="0.2">
      <c r="A750" s="115">
        <v>46178</v>
      </c>
      <c r="B750" s="93" t="s">
        <v>1348</v>
      </c>
      <c r="C750" s="94" t="s">
        <v>50</v>
      </c>
      <c r="D750" s="95">
        <v>1500</v>
      </c>
      <c r="E750" s="95">
        <v>100.74</v>
      </c>
      <c r="F750" s="96">
        <v>151110</v>
      </c>
      <c r="G750" s="97" t="s">
        <v>901</v>
      </c>
      <c r="H750" s="114">
        <f t="shared" si="11"/>
        <v>46174</v>
      </c>
      <c r="I750" s="17"/>
      <c r="J750" s="17"/>
      <c r="K750" s="17"/>
    </row>
    <row r="751" spans="1:11" x14ac:dyDescent="0.2">
      <c r="A751" s="115">
        <v>46178</v>
      </c>
      <c r="B751" s="93" t="s">
        <v>1349</v>
      </c>
      <c r="C751" s="94" t="s">
        <v>13</v>
      </c>
      <c r="D751" s="95">
        <v>119.12</v>
      </c>
      <c r="E751" s="95">
        <v>100.74</v>
      </c>
      <c r="F751" s="96">
        <v>12000</v>
      </c>
      <c r="G751" s="97" t="s">
        <v>15</v>
      </c>
      <c r="H751" s="114">
        <f t="shared" si="11"/>
        <v>46174</v>
      </c>
      <c r="I751" s="17"/>
      <c r="J751" s="17"/>
      <c r="K751" s="17"/>
    </row>
    <row r="752" spans="1:11" x14ac:dyDescent="0.2">
      <c r="A752" s="115">
        <v>46178</v>
      </c>
      <c r="B752" s="93" t="s">
        <v>1350</v>
      </c>
      <c r="C752" s="94" t="s">
        <v>13</v>
      </c>
      <c r="D752" s="95">
        <v>640.26</v>
      </c>
      <c r="E752" s="95">
        <v>100.74</v>
      </c>
      <c r="F752" s="96">
        <v>64500</v>
      </c>
      <c r="G752" s="97" t="s">
        <v>152</v>
      </c>
      <c r="H752" s="114">
        <f t="shared" si="11"/>
        <v>46174</v>
      </c>
      <c r="I752" s="17"/>
      <c r="J752" s="17"/>
      <c r="K752" s="17"/>
    </row>
    <row r="753" spans="1:11" x14ac:dyDescent="0.2">
      <c r="A753" s="115">
        <v>46178</v>
      </c>
      <c r="B753" s="93" t="s">
        <v>1351</v>
      </c>
      <c r="C753" s="94" t="s">
        <v>13</v>
      </c>
      <c r="D753" s="95">
        <v>19.850000000000001</v>
      </c>
      <c r="E753" s="95">
        <v>100.74</v>
      </c>
      <c r="F753" s="96">
        <v>2000</v>
      </c>
      <c r="G753" s="97" t="s">
        <v>57</v>
      </c>
      <c r="H753" s="114">
        <f t="shared" si="11"/>
        <v>46174</v>
      </c>
      <c r="I753" s="17"/>
      <c r="J753" s="17"/>
      <c r="K753" s="17"/>
    </row>
    <row r="754" spans="1:11" x14ac:dyDescent="0.2">
      <c r="A754" s="115">
        <v>46178</v>
      </c>
      <c r="B754" s="93" t="s">
        <v>1352</v>
      </c>
      <c r="C754" s="94" t="s">
        <v>526</v>
      </c>
      <c r="D754" s="95">
        <v>5478.46</v>
      </c>
      <c r="E754" s="95">
        <v>100.74</v>
      </c>
      <c r="F754" s="96">
        <v>551900</v>
      </c>
      <c r="G754" s="97" t="s">
        <v>58</v>
      </c>
      <c r="H754" s="114">
        <f t="shared" si="11"/>
        <v>46174</v>
      </c>
      <c r="I754" s="17"/>
      <c r="J754" s="17"/>
      <c r="K754" s="17"/>
    </row>
    <row r="755" spans="1:11" x14ac:dyDescent="0.2">
      <c r="A755" s="115">
        <v>46178</v>
      </c>
      <c r="B755" s="93" t="s">
        <v>1353</v>
      </c>
      <c r="C755" s="94" t="s">
        <v>525</v>
      </c>
      <c r="D755" s="95">
        <v>30</v>
      </c>
      <c r="E755" s="95">
        <v>100.74</v>
      </c>
      <c r="F755" s="96">
        <v>3022.2</v>
      </c>
      <c r="G755" s="97" t="s">
        <v>58</v>
      </c>
      <c r="H755" s="114">
        <f t="shared" si="11"/>
        <v>46174</v>
      </c>
      <c r="I755" s="17"/>
      <c r="J755" s="17"/>
      <c r="K755" s="17"/>
    </row>
    <row r="756" spans="1:11" x14ac:dyDescent="0.2">
      <c r="A756" s="115">
        <v>46179</v>
      </c>
      <c r="B756" s="93" t="s">
        <v>1358</v>
      </c>
      <c r="C756" s="94" t="s">
        <v>526</v>
      </c>
      <c r="D756" s="95">
        <v>2724.84</v>
      </c>
      <c r="E756" s="95">
        <v>100.74</v>
      </c>
      <c r="F756" s="96">
        <v>274500</v>
      </c>
      <c r="G756" s="97" t="s">
        <v>58</v>
      </c>
      <c r="H756" s="114">
        <f t="shared" si="11"/>
        <v>46174</v>
      </c>
      <c r="I756" s="17"/>
      <c r="J756" s="17"/>
      <c r="K756" s="17"/>
    </row>
    <row r="757" spans="1:11" x14ac:dyDescent="0.2">
      <c r="A757" s="115">
        <v>46179</v>
      </c>
      <c r="B757" s="93" t="s">
        <v>1359</v>
      </c>
      <c r="C757" s="94" t="s">
        <v>13</v>
      </c>
      <c r="D757" s="95">
        <v>1024.42</v>
      </c>
      <c r="E757" s="95">
        <v>100.74</v>
      </c>
      <c r="F757" s="96">
        <v>103200</v>
      </c>
      <c r="G757" s="97" t="s">
        <v>152</v>
      </c>
      <c r="H757" s="114">
        <f t="shared" si="11"/>
        <v>46174</v>
      </c>
      <c r="I757" s="17"/>
      <c r="J757" s="17"/>
      <c r="K757" s="17"/>
    </row>
    <row r="758" spans="1:11" x14ac:dyDescent="0.2">
      <c r="A758" s="115">
        <v>46179</v>
      </c>
      <c r="B758" s="93" t="s">
        <v>1360</v>
      </c>
      <c r="C758" s="94" t="s">
        <v>13</v>
      </c>
      <c r="D758" s="95">
        <v>446.69</v>
      </c>
      <c r="E758" s="95">
        <v>100.74</v>
      </c>
      <c r="F758" s="96">
        <v>45000</v>
      </c>
      <c r="G758" s="97" t="s">
        <v>15</v>
      </c>
      <c r="H758" s="114">
        <f t="shared" si="11"/>
        <v>46174</v>
      </c>
      <c r="I758" s="17"/>
      <c r="J758" s="17"/>
      <c r="K758" s="17"/>
    </row>
    <row r="759" spans="1:11" x14ac:dyDescent="0.2">
      <c r="A759" s="115">
        <v>46179</v>
      </c>
      <c r="B759" s="93" t="s">
        <v>1361</v>
      </c>
      <c r="C759" s="94" t="s">
        <v>50</v>
      </c>
      <c r="D759" s="95">
        <v>3000.31</v>
      </c>
      <c r="E759" s="95">
        <v>100.74</v>
      </c>
      <c r="F759" s="96">
        <v>302251.23</v>
      </c>
      <c r="G759" s="97" t="s">
        <v>59</v>
      </c>
      <c r="H759" s="114">
        <f t="shared" si="11"/>
        <v>46174</v>
      </c>
      <c r="I759" s="17"/>
      <c r="J759" s="17"/>
      <c r="K759" s="17"/>
    </row>
    <row r="760" spans="1:11" x14ac:dyDescent="0.2">
      <c r="A760" s="115">
        <v>46179</v>
      </c>
      <c r="B760" s="93" t="s">
        <v>1362</v>
      </c>
      <c r="C760" s="94" t="s">
        <v>50</v>
      </c>
      <c r="D760" s="95">
        <v>300</v>
      </c>
      <c r="E760" s="95">
        <v>100.74</v>
      </c>
      <c r="F760" s="96">
        <v>30222</v>
      </c>
      <c r="G760" s="97" t="s">
        <v>901</v>
      </c>
      <c r="H760" s="114">
        <f t="shared" si="11"/>
        <v>46174</v>
      </c>
      <c r="I760" s="17"/>
      <c r="J760" s="17"/>
      <c r="K760" s="17"/>
    </row>
    <row r="761" spans="1:11" x14ac:dyDescent="0.2">
      <c r="A761" s="115">
        <v>46179</v>
      </c>
      <c r="B761" s="93" t="s">
        <v>1363</v>
      </c>
      <c r="C761" s="94" t="s">
        <v>760</v>
      </c>
      <c r="D761" s="95">
        <v>20</v>
      </c>
      <c r="E761" s="95">
        <v>100.74</v>
      </c>
      <c r="F761" s="96">
        <v>2014.8</v>
      </c>
      <c r="G761" s="97" t="s">
        <v>714</v>
      </c>
      <c r="H761" s="114">
        <f t="shared" si="11"/>
        <v>46174</v>
      </c>
      <c r="I761" s="17"/>
      <c r="J761" s="17"/>
      <c r="K761" s="17"/>
    </row>
    <row r="762" spans="1:11" x14ac:dyDescent="0.2">
      <c r="A762" s="115">
        <v>46179</v>
      </c>
      <c r="B762" s="93" t="s">
        <v>1364</v>
      </c>
      <c r="C762" s="94" t="s">
        <v>1157</v>
      </c>
      <c r="D762" s="95">
        <v>85.01</v>
      </c>
      <c r="E762" s="95">
        <v>100.74</v>
      </c>
      <c r="F762" s="96">
        <v>8563.9</v>
      </c>
      <c r="G762" s="97" t="s">
        <v>714</v>
      </c>
      <c r="H762" s="114">
        <f t="shared" si="11"/>
        <v>46174</v>
      </c>
      <c r="I762" s="17"/>
      <c r="J762" s="17"/>
      <c r="K762" s="17"/>
    </row>
    <row r="763" spans="1:11" x14ac:dyDescent="0.2">
      <c r="A763" s="115">
        <v>46179</v>
      </c>
      <c r="B763" s="93" t="s">
        <v>1365</v>
      </c>
      <c r="C763" s="94" t="s">
        <v>1266</v>
      </c>
      <c r="D763" s="95">
        <v>206.01</v>
      </c>
      <c r="E763" s="95">
        <v>100.74</v>
      </c>
      <c r="F763" s="96">
        <v>20753.439999999999</v>
      </c>
      <c r="G763" s="97" t="s">
        <v>714</v>
      </c>
      <c r="H763" s="114">
        <f t="shared" si="11"/>
        <v>46174</v>
      </c>
      <c r="I763" s="17"/>
      <c r="J763" s="17"/>
      <c r="K763" s="17"/>
    </row>
    <row r="764" spans="1:11" x14ac:dyDescent="0.2">
      <c r="A764" s="115">
        <v>46179</v>
      </c>
      <c r="B764" s="93" t="s">
        <v>1366</v>
      </c>
      <c r="C764" s="94" t="s">
        <v>821</v>
      </c>
      <c r="D764" s="95">
        <v>175.7</v>
      </c>
      <c r="E764" s="95">
        <v>100.74</v>
      </c>
      <c r="F764" s="96">
        <v>17700.009999999998</v>
      </c>
      <c r="G764" s="97" t="s">
        <v>714</v>
      </c>
      <c r="H764" s="114">
        <f t="shared" si="11"/>
        <v>46174</v>
      </c>
      <c r="I764" s="17"/>
      <c r="J764" s="17"/>
      <c r="K764" s="17"/>
    </row>
    <row r="765" spans="1:11" x14ac:dyDescent="0.2">
      <c r="A765" s="115">
        <v>46179</v>
      </c>
      <c r="B765" s="93" t="s">
        <v>1367</v>
      </c>
      <c r="C765" s="94" t="s">
        <v>1274</v>
      </c>
      <c r="D765" s="95">
        <v>30</v>
      </c>
      <c r="E765" s="95">
        <v>100.74</v>
      </c>
      <c r="F765" s="96">
        <v>3022.2</v>
      </c>
      <c r="G765" s="97" t="s">
        <v>256</v>
      </c>
      <c r="H765" s="114">
        <f t="shared" si="11"/>
        <v>46174</v>
      </c>
      <c r="I765" s="17"/>
      <c r="J765" s="17"/>
      <c r="K765" s="17"/>
    </row>
    <row r="766" spans="1:11" x14ac:dyDescent="0.2">
      <c r="A766" s="115">
        <v>46179</v>
      </c>
      <c r="B766" s="93" t="s">
        <v>1368</v>
      </c>
      <c r="C766" s="94" t="s">
        <v>1372</v>
      </c>
      <c r="D766" s="95">
        <v>40</v>
      </c>
      <c r="E766" s="95">
        <v>100.74</v>
      </c>
      <c r="F766" s="96">
        <v>4029.6</v>
      </c>
      <c r="G766" s="97" t="s">
        <v>256</v>
      </c>
      <c r="H766" s="114">
        <f t="shared" si="11"/>
        <v>46174</v>
      </c>
      <c r="I766" s="17"/>
      <c r="J766" s="17"/>
      <c r="K766" s="17"/>
    </row>
    <row r="767" spans="1:11" x14ac:dyDescent="0.2">
      <c r="A767" s="115">
        <v>46179</v>
      </c>
      <c r="B767" s="93" t="s">
        <v>1369</v>
      </c>
      <c r="C767" s="94" t="s">
        <v>1275</v>
      </c>
      <c r="D767" s="95">
        <v>30</v>
      </c>
      <c r="E767" s="95">
        <v>100.74</v>
      </c>
      <c r="F767" s="96">
        <v>3022.2</v>
      </c>
      <c r="G767" s="97" t="s">
        <v>256</v>
      </c>
      <c r="H767" s="114">
        <f t="shared" si="11"/>
        <v>46174</v>
      </c>
      <c r="I767" s="17"/>
      <c r="J767" s="17"/>
      <c r="K767" s="17"/>
    </row>
    <row r="768" spans="1:11" x14ac:dyDescent="0.2">
      <c r="A768" s="115">
        <v>46179</v>
      </c>
      <c r="B768" s="93" t="s">
        <v>1370</v>
      </c>
      <c r="C768" s="94" t="s">
        <v>13</v>
      </c>
      <c r="D768" s="95">
        <v>20</v>
      </c>
      <c r="E768" s="95">
        <v>100.74</v>
      </c>
      <c r="F768" s="96">
        <v>2014.8</v>
      </c>
      <c r="G768" s="97" t="s">
        <v>217</v>
      </c>
      <c r="H768" s="114">
        <f t="shared" si="11"/>
        <v>46174</v>
      </c>
      <c r="I768" s="17"/>
      <c r="J768" s="17"/>
      <c r="K768" s="17"/>
    </row>
    <row r="769" spans="1:11" x14ac:dyDescent="0.2">
      <c r="A769" s="115">
        <v>46179</v>
      </c>
      <c r="B769" s="93" t="s">
        <v>1371</v>
      </c>
      <c r="C769" s="94" t="s">
        <v>41</v>
      </c>
      <c r="D769" s="95">
        <v>45</v>
      </c>
      <c r="E769" s="95">
        <v>100.74</v>
      </c>
      <c r="F769" s="96">
        <v>4533.3</v>
      </c>
      <c r="G769" s="97" t="s">
        <v>53</v>
      </c>
      <c r="H769" s="114">
        <f t="shared" si="11"/>
        <v>46174</v>
      </c>
      <c r="I769" s="17"/>
      <c r="J769" s="17"/>
      <c r="K769" s="17"/>
    </row>
    <row r="770" spans="1:11" x14ac:dyDescent="0.2">
      <c r="A770" s="115">
        <v>46180</v>
      </c>
      <c r="B770" s="93" t="s">
        <v>1375</v>
      </c>
      <c r="C770" s="94" t="s">
        <v>526</v>
      </c>
      <c r="D770" s="95">
        <v>661.11</v>
      </c>
      <c r="E770" s="95">
        <v>100.74</v>
      </c>
      <c r="F770" s="96">
        <v>66600</v>
      </c>
      <c r="G770" s="97" t="s">
        <v>58</v>
      </c>
      <c r="H770" s="114">
        <f t="shared" si="11"/>
        <v>46174</v>
      </c>
      <c r="I770" s="17"/>
      <c r="J770" s="17"/>
      <c r="K770" s="17"/>
    </row>
    <row r="771" spans="1:11" x14ac:dyDescent="0.2">
      <c r="A771" s="115">
        <v>46180</v>
      </c>
      <c r="B771" s="93" t="s">
        <v>1376</v>
      </c>
      <c r="C771" s="94" t="s">
        <v>13</v>
      </c>
      <c r="D771" s="95">
        <v>957.91</v>
      </c>
      <c r="E771" s="95">
        <v>100.74</v>
      </c>
      <c r="F771" s="96">
        <v>96500</v>
      </c>
      <c r="G771" s="97" t="s">
        <v>152</v>
      </c>
      <c r="H771" s="114">
        <f t="shared" si="11"/>
        <v>46174</v>
      </c>
      <c r="I771" s="17"/>
      <c r="J771" s="17"/>
      <c r="K771" s="17"/>
    </row>
    <row r="772" spans="1:11" x14ac:dyDescent="0.2">
      <c r="A772" s="115">
        <v>46180</v>
      </c>
      <c r="B772" s="93" t="s">
        <v>1377</v>
      </c>
      <c r="C772" s="94" t="s">
        <v>13</v>
      </c>
      <c r="D772" s="95">
        <v>119.12</v>
      </c>
      <c r="E772" s="95">
        <v>100.74</v>
      </c>
      <c r="F772" s="96">
        <v>12000</v>
      </c>
      <c r="G772" s="97" t="s">
        <v>15</v>
      </c>
      <c r="H772" s="114">
        <f t="shared" ref="H772:H835" si="12">IF(A772&lt;&gt;"", EOMONTH(A772, -1) + 1, "")</f>
        <v>46174</v>
      </c>
      <c r="I772" s="17"/>
      <c r="J772" s="17"/>
      <c r="K772" s="17"/>
    </row>
    <row r="773" spans="1:11" x14ac:dyDescent="0.2">
      <c r="A773" s="115">
        <v>46180</v>
      </c>
      <c r="B773" s="93" t="s">
        <v>1378</v>
      </c>
      <c r="C773" s="94" t="s">
        <v>1383</v>
      </c>
      <c r="D773" s="95">
        <v>70</v>
      </c>
      <c r="E773" s="95">
        <v>100.74</v>
      </c>
      <c r="F773" s="96">
        <v>7051.8</v>
      </c>
      <c r="G773" s="97" t="s">
        <v>55</v>
      </c>
      <c r="H773" s="114">
        <f t="shared" si="12"/>
        <v>46174</v>
      </c>
      <c r="I773" s="17"/>
      <c r="J773" s="17"/>
      <c r="K773" s="17"/>
    </row>
    <row r="774" spans="1:11" x14ac:dyDescent="0.2">
      <c r="A774" s="115">
        <v>46180</v>
      </c>
      <c r="B774" s="93" t="s">
        <v>1379</v>
      </c>
      <c r="C774" s="94" t="s">
        <v>1320</v>
      </c>
      <c r="D774" s="95">
        <v>30</v>
      </c>
      <c r="E774" s="95">
        <v>100.74</v>
      </c>
      <c r="F774" s="96">
        <v>3022.2</v>
      </c>
      <c r="G774" s="97" t="s">
        <v>256</v>
      </c>
      <c r="H774" s="114">
        <f t="shared" si="12"/>
        <v>46174</v>
      </c>
      <c r="I774" s="17"/>
      <c r="J774" s="17"/>
      <c r="K774" s="17"/>
    </row>
    <row r="775" spans="1:11" x14ac:dyDescent="0.2">
      <c r="A775" s="115">
        <v>46180</v>
      </c>
      <c r="B775" s="93" t="s">
        <v>1380</v>
      </c>
      <c r="C775" s="94" t="s">
        <v>1384</v>
      </c>
      <c r="D775" s="95">
        <v>20</v>
      </c>
      <c r="E775" s="95">
        <v>100.74</v>
      </c>
      <c r="F775" s="96">
        <v>2014.8</v>
      </c>
      <c r="G775" s="97" t="s">
        <v>256</v>
      </c>
      <c r="H775" s="114">
        <f t="shared" si="12"/>
        <v>46174</v>
      </c>
      <c r="I775" s="17"/>
      <c r="J775" s="17"/>
      <c r="K775" s="17"/>
    </row>
    <row r="776" spans="1:11" x14ac:dyDescent="0.2">
      <c r="A776" s="115">
        <v>46180</v>
      </c>
      <c r="B776" s="93" t="s">
        <v>1381</v>
      </c>
      <c r="C776" s="94" t="s">
        <v>1383</v>
      </c>
      <c r="D776" s="95">
        <v>30</v>
      </c>
      <c r="E776" s="95">
        <v>100.74</v>
      </c>
      <c r="F776" s="96">
        <v>3022.2</v>
      </c>
      <c r="G776" s="97" t="s">
        <v>256</v>
      </c>
      <c r="H776" s="114">
        <f t="shared" si="12"/>
        <v>46174</v>
      </c>
      <c r="I776" s="17"/>
      <c r="J776" s="17"/>
      <c r="K776" s="17"/>
    </row>
    <row r="777" spans="1:11" x14ac:dyDescent="0.2">
      <c r="A777" s="115">
        <v>46180</v>
      </c>
      <c r="B777" s="93" t="s">
        <v>1382</v>
      </c>
      <c r="C777" s="94" t="s">
        <v>1064</v>
      </c>
      <c r="D777" s="95">
        <v>40</v>
      </c>
      <c r="E777" s="95">
        <v>100.74</v>
      </c>
      <c r="F777" s="96">
        <v>4029.6</v>
      </c>
      <c r="G777" s="97" t="s">
        <v>257</v>
      </c>
      <c r="H777" s="114">
        <f t="shared" si="12"/>
        <v>46174</v>
      </c>
      <c r="I777" s="17"/>
      <c r="J777" s="17"/>
      <c r="K777" s="17"/>
    </row>
    <row r="778" spans="1:11" x14ac:dyDescent="0.2">
      <c r="A778" s="115">
        <v>46181</v>
      </c>
      <c r="B778" s="93" t="s">
        <v>1389</v>
      </c>
      <c r="C778" s="94" t="s">
        <v>526</v>
      </c>
      <c r="D778" s="95">
        <v>516.17999999999995</v>
      </c>
      <c r="E778" s="95">
        <v>100.74</v>
      </c>
      <c r="F778" s="96">
        <v>52000</v>
      </c>
      <c r="G778" s="97" t="s">
        <v>58</v>
      </c>
      <c r="H778" s="114">
        <f t="shared" si="12"/>
        <v>46174</v>
      </c>
      <c r="I778" s="17"/>
      <c r="J778" s="17"/>
      <c r="K778" s="17"/>
    </row>
    <row r="779" spans="1:11" x14ac:dyDescent="0.2">
      <c r="A779" s="115">
        <v>46181</v>
      </c>
      <c r="B779" s="93" t="s">
        <v>1390</v>
      </c>
      <c r="C779" s="94" t="s">
        <v>525</v>
      </c>
      <c r="D779" s="95">
        <v>32</v>
      </c>
      <c r="E779" s="95">
        <v>100.74</v>
      </c>
      <c r="F779" s="96">
        <v>3223.68</v>
      </c>
      <c r="G779" s="97" t="s">
        <v>58</v>
      </c>
      <c r="H779" s="114">
        <f t="shared" si="12"/>
        <v>46174</v>
      </c>
      <c r="I779" s="17"/>
      <c r="J779" s="17"/>
      <c r="K779" s="17"/>
    </row>
    <row r="780" spans="1:11" x14ac:dyDescent="0.2">
      <c r="A780" s="115">
        <v>46181</v>
      </c>
      <c r="B780" s="93" t="s">
        <v>1391</v>
      </c>
      <c r="C780" s="94" t="s">
        <v>13</v>
      </c>
      <c r="D780" s="95">
        <v>178.68</v>
      </c>
      <c r="E780" s="95">
        <v>100.74</v>
      </c>
      <c r="F780" s="96">
        <v>18000</v>
      </c>
      <c r="G780" s="97" t="s">
        <v>152</v>
      </c>
      <c r="H780" s="114">
        <f t="shared" si="12"/>
        <v>46174</v>
      </c>
      <c r="I780" s="17"/>
      <c r="J780" s="17"/>
      <c r="K780" s="17"/>
    </row>
    <row r="781" spans="1:11" x14ac:dyDescent="0.2">
      <c r="A781" s="115">
        <v>46181</v>
      </c>
      <c r="B781" s="93" t="s">
        <v>1392</v>
      </c>
      <c r="C781" s="94" t="s">
        <v>13</v>
      </c>
      <c r="D781" s="95">
        <v>119.12</v>
      </c>
      <c r="E781" s="95">
        <v>100.74</v>
      </c>
      <c r="F781" s="96">
        <v>12000</v>
      </c>
      <c r="G781" s="97" t="s">
        <v>15</v>
      </c>
      <c r="H781" s="114">
        <f t="shared" si="12"/>
        <v>46174</v>
      </c>
      <c r="I781" s="17"/>
      <c r="J781" s="17"/>
      <c r="K781" s="17"/>
    </row>
    <row r="782" spans="1:11" x14ac:dyDescent="0.2">
      <c r="A782" s="115">
        <v>46181</v>
      </c>
      <c r="B782" s="93" t="s">
        <v>1393</v>
      </c>
      <c r="C782" s="94" t="s">
        <v>13</v>
      </c>
      <c r="D782" s="95">
        <v>280.94</v>
      </c>
      <c r="E782" s="95">
        <v>100.74</v>
      </c>
      <c r="F782" s="96">
        <v>28302.38</v>
      </c>
      <c r="G782" s="97" t="s">
        <v>57</v>
      </c>
      <c r="H782" s="114">
        <f t="shared" si="12"/>
        <v>46174</v>
      </c>
      <c r="I782" s="17"/>
      <c r="J782" s="17"/>
      <c r="K782" s="17"/>
    </row>
    <row r="783" spans="1:11" x14ac:dyDescent="0.2">
      <c r="A783" s="115">
        <v>46181</v>
      </c>
      <c r="B783" s="93" t="s">
        <v>1394</v>
      </c>
      <c r="C783" s="94" t="s">
        <v>13</v>
      </c>
      <c r="D783" s="95">
        <v>717</v>
      </c>
      <c r="E783" s="95">
        <v>100.74</v>
      </c>
      <c r="F783" s="96">
        <v>72231.58</v>
      </c>
      <c r="G783" s="97" t="s">
        <v>153</v>
      </c>
      <c r="H783" s="114">
        <f t="shared" si="12"/>
        <v>46174</v>
      </c>
      <c r="I783" s="17"/>
      <c r="J783" s="17"/>
      <c r="K783" s="17"/>
    </row>
    <row r="784" spans="1:11" x14ac:dyDescent="0.2">
      <c r="A784" s="115">
        <v>46181</v>
      </c>
      <c r="B784" s="93" t="s">
        <v>1395</v>
      </c>
      <c r="C784" s="94" t="s">
        <v>50</v>
      </c>
      <c r="D784" s="95">
        <v>1500.04</v>
      </c>
      <c r="E784" s="95">
        <v>100.74</v>
      </c>
      <c r="F784" s="96">
        <v>151114.03</v>
      </c>
      <c r="G784" s="97" t="s">
        <v>901</v>
      </c>
      <c r="H784" s="114">
        <f t="shared" si="12"/>
        <v>46174</v>
      </c>
      <c r="I784" s="17"/>
      <c r="J784" s="17"/>
      <c r="K784" s="17"/>
    </row>
    <row r="785" spans="1:11" x14ac:dyDescent="0.2">
      <c r="A785" s="115">
        <v>46181</v>
      </c>
      <c r="B785" s="93" t="s">
        <v>1396</v>
      </c>
      <c r="C785" s="94" t="s">
        <v>50</v>
      </c>
      <c r="D785" s="95">
        <v>1999.04</v>
      </c>
      <c r="E785" s="95">
        <v>100.74</v>
      </c>
      <c r="F785" s="96">
        <v>201383.29</v>
      </c>
      <c r="G785" s="97" t="s">
        <v>96</v>
      </c>
      <c r="H785" s="114">
        <f t="shared" si="12"/>
        <v>46174</v>
      </c>
      <c r="I785" s="17"/>
      <c r="J785" s="17"/>
      <c r="K785" s="17"/>
    </row>
    <row r="786" spans="1:11" x14ac:dyDescent="0.2">
      <c r="A786" s="115">
        <v>46181</v>
      </c>
      <c r="B786" s="93" t="s">
        <v>1397</v>
      </c>
      <c r="C786" s="94" t="s">
        <v>50</v>
      </c>
      <c r="D786" s="95">
        <v>1000</v>
      </c>
      <c r="E786" s="95">
        <v>100.74</v>
      </c>
      <c r="F786" s="96">
        <v>100740</v>
      </c>
      <c r="G786" s="97" t="s">
        <v>901</v>
      </c>
      <c r="H786" s="114">
        <f t="shared" si="12"/>
        <v>46174</v>
      </c>
      <c r="I786" s="17"/>
      <c r="J786" s="17"/>
      <c r="K786" s="17"/>
    </row>
    <row r="787" spans="1:11" x14ac:dyDescent="0.2">
      <c r="A787" s="115">
        <v>46181</v>
      </c>
      <c r="B787" s="93" t="s">
        <v>1398</v>
      </c>
      <c r="C787" s="94" t="s">
        <v>1405</v>
      </c>
      <c r="D787" s="95">
        <v>400</v>
      </c>
      <c r="E787" s="95">
        <v>100.74</v>
      </c>
      <c r="F787" s="96">
        <v>40296</v>
      </c>
      <c r="G787" s="97" t="s">
        <v>256</v>
      </c>
      <c r="H787" s="114">
        <f t="shared" si="12"/>
        <v>46174</v>
      </c>
      <c r="I787" s="17"/>
      <c r="J787" s="17"/>
      <c r="K787" s="17"/>
    </row>
    <row r="788" spans="1:11" x14ac:dyDescent="0.2">
      <c r="A788" s="115">
        <v>46181</v>
      </c>
      <c r="B788" s="93" t="s">
        <v>1399</v>
      </c>
      <c r="C788" s="94" t="s">
        <v>45</v>
      </c>
      <c r="D788" s="95">
        <v>34.71</v>
      </c>
      <c r="E788" s="95">
        <v>100.74</v>
      </c>
      <c r="F788" s="96">
        <v>3496.68</v>
      </c>
      <c r="G788" s="97" t="s">
        <v>56</v>
      </c>
      <c r="H788" s="114">
        <f t="shared" si="12"/>
        <v>46174</v>
      </c>
      <c r="I788" s="17"/>
      <c r="J788" s="17"/>
      <c r="K788" s="17"/>
    </row>
    <row r="789" spans="1:11" x14ac:dyDescent="0.2">
      <c r="A789" s="115">
        <v>46181</v>
      </c>
      <c r="B789" s="93" t="s">
        <v>1400</v>
      </c>
      <c r="C789" s="94" t="s">
        <v>129</v>
      </c>
      <c r="D789" s="95">
        <v>104</v>
      </c>
      <c r="E789" s="95">
        <v>100.74</v>
      </c>
      <c r="F789" s="96">
        <v>10476.959999999999</v>
      </c>
      <c r="G789" s="97" t="s">
        <v>56</v>
      </c>
      <c r="H789" s="114">
        <f t="shared" si="12"/>
        <v>46174</v>
      </c>
      <c r="I789" s="17"/>
      <c r="J789" s="17"/>
      <c r="K789" s="17"/>
    </row>
    <row r="790" spans="1:11" x14ac:dyDescent="0.2">
      <c r="A790" s="115">
        <v>46181</v>
      </c>
      <c r="B790" s="93" t="s">
        <v>1401</v>
      </c>
      <c r="C790" s="94" t="s">
        <v>44</v>
      </c>
      <c r="D790" s="95">
        <v>47</v>
      </c>
      <c r="E790" s="95">
        <v>100.74</v>
      </c>
      <c r="F790" s="96">
        <v>4734.78</v>
      </c>
      <c r="G790" s="97" t="s">
        <v>56</v>
      </c>
      <c r="H790" s="114">
        <f t="shared" si="12"/>
        <v>46174</v>
      </c>
      <c r="I790" s="17"/>
      <c r="J790" s="17"/>
      <c r="K790" s="17"/>
    </row>
    <row r="791" spans="1:11" x14ac:dyDescent="0.2">
      <c r="A791" s="115">
        <v>46181</v>
      </c>
      <c r="B791" s="93" t="s">
        <v>1402</v>
      </c>
      <c r="C791" s="94" t="s">
        <v>742</v>
      </c>
      <c r="D791" s="95">
        <v>106</v>
      </c>
      <c r="E791" s="95">
        <v>100.74</v>
      </c>
      <c r="F791" s="96">
        <v>10678.44</v>
      </c>
      <c r="G791" s="97" t="s">
        <v>714</v>
      </c>
      <c r="H791" s="114">
        <f t="shared" si="12"/>
        <v>46174</v>
      </c>
      <c r="I791" s="17"/>
      <c r="J791" s="17"/>
      <c r="K791" s="17"/>
    </row>
    <row r="792" spans="1:11" x14ac:dyDescent="0.2">
      <c r="A792" s="115">
        <v>46181</v>
      </c>
      <c r="B792" s="93" t="s">
        <v>1403</v>
      </c>
      <c r="C792" s="94" t="s">
        <v>1157</v>
      </c>
      <c r="D792" s="95">
        <v>73.27</v>
      </c>
      <c r="E792" s="95">
        <v>100.74</v>
      </c>
      <c r="F792" s="96">
        <v>7381.21</v>
      </c>
      <c r="G792" s="97" t="s">
        <v>714</v>
      </c>
      <c r="H792" s="114">
        <f t="shared" si="12"/>
        <v>46174</v>
      </c>
      <c r="I792" s="17"/>
      <c r="J792" s="17"/>
      <c r="K792" s="17"/>
    </row>
    <row r="793" spans="1:11" x14ac:dyDescent="0.2">
      <c r="A793" s="115">
        <v>46181</v>
      </c>
      <c r="B793" s="93" t="s">
        <v>1404</v>
      </c>
      <c r="C793" s="94" t="s">
        <v>760</v>
      </c>
      <c r="D793" s="95">
        <v>30</v>
      </c>
      <c r="E793" s="95">
        <v>100.74</v>
      </c>
      <c r="F793" s="96">
        <v>3022.2</v>
      </c>
      <c r="G793" s="97" t="s">
        <v>714</v>
      </c>
      <c r="H793" s="114">
        <f t="shared" si="12"/>
        <v>46174</v>
      </c>
      <c r="I793" s="17"/>
      <c r="J793" s="17"/>
      <c r="K793" s="17"/>
    </row>
    <row r="794" spans="1:11" x14ac:dyDescent="0.2">
      <c r="A794" s="164">
        <v>46182</v>
      </c>
      <c r="B794" s="93" t="s">
        <v>1409</v>
      </c>
      <c r="C794" s="94" t="s">
        <v>1424</v>
      </c>
      <c r="D794" s="95">
        <v>720</v>
      </c>
      <c r="E794" s="95">
        <v>100.74</v>
      </c>
      <c r="F794" s="96">
        <v>72532.800000000003</v>
      </c>
      <c r="G794" s="113" t="s">
        <v>256</v>
      </c>
      <c r="H794" s="114">
        <f t="shared" si="12"/>
        <v>46174</v>
      </c>
      <c r="I794" s="17"/>
      <c r="J794" s="17"/>
      <c r="K794" s="17"/>
    </row>
    <row r="795" spans="1:11" x14ac:dyDescent="0.2">
      <c r="A795" s="164">
        <v>46182</v>
      </c>
      <c r="B795" s="93" t="s">
        <v>1410</v>
      </c>
      <c r="C795" s="94" t="s">
        <v>50</v>
      </c>
      <c r="D795" s="95">
        <v>3000</v>
      </c>
      <c r="E795" s="95">
        <v>100.74</v>
      </c>
      <c r="F795" s="96">
        <v>302220</v>
      </c>
      <c r="G795" s="113" t="s">
        <v>59</v>
      </c>
      <c r="H795" s="114">
        <f t="shared" si="12"/>
        <v>46174</v>
      </c>
      <c r="I795" s="17"/>
      <c r="J795" s="17"/>
      <c r="K795" s="17"/>
    </row>
    <row r="796" spans="1:11" x14ac:dyDescent="0.2">
      <c r="A796" s="164">
        <v>46182</v>
      </c>
      <c r="B796" s="93" t="s">
        <v>1411</v>
      </c>
      <c r="C796" s="94" t="s">
        <v>50</v>
      </c>
      <c r="D796" s="95">
        <v>1920.29</v>
      </c>
      <c r="E796" s="95">
        <v>100.74</v>
      </c>
      <c r="F796" s="96">
        <v>193450.01</v>
      </c>
      <c r="G796" s="113" t="s">
        <v>901</v>
      </c>
      <c r="H796" s="114">
        <f t="shared" si="12"/>
        <v>46174</v>
      </c>
      <c r="I796" s="17"/>
      <c r="J796" s="17"/>
      <c r="K796" s="17"/>
    </row>
    <row r="797" spans="1:11" x14ac:dyDescent="0.2">
      <c r="A797" s="164">
        <v>46182</v>
      </c>
      <c r="B797" s="93" t="s">
        <v>1412</v>
      </c>
      <c r="C797" s="94" t="s">
        <v>1425</v>
      </c>
      <c r="D797" s="95">
        <v>2000</v>
      </c>
      <c r="E797" s="95">
        <v>100.74</v>
      </c>
      <c r="F797" s="96">
        <v>201480</v>
      </c>
      <c r="G797" s="113" t="s">
        <v>256</v>
      </c>
      <c r="H797" s="114">
        <f t="shared" si="12"/>
        <v>46174</v>
      </c>
      <c r="I797" s="17"/>
      <c r="J797" s="17"/>
      <c r="K797" s="17"/>
    </row>
    <row r="798" spans="1:11" x14ac:dyDescent="0.2">
      <c r="A798" s="164">
        <v>46182</v>
      </c>
      <c r="B798" s="93" t="s">
        <v>1413</v>
      </c>
      <c r="C798" s="94" t="s">
        <v>673</v>
      </c>
      <c r="D798" s="95">
        <v>3000</v>
      </c>
      <c r="E798" s="95">
        <v>100.74</v>
      </c>
      <c r="F798" s="96">
        <v>302220</v>
      </c>
      <c r="G798" s="113" t="s">
        <v>922</v>
      </c>
      <c r="H798" s="114">
        <f t="shared" si="12"/>
        <v>46174</v>
      </c>
      <c r="I798" s="17"/>
      <c r="J798" s="17"/>
      <c r="K798" s="17"/>
    </row>
    <row r="799" spans="1:11" x14ac:dyDescent="0.2">
      <c r="A799" s="164">
        <v>46182</v>
      </c>
      <c r="B799" s="93" t="s">
        <v>1414</v>
      </c>
      <c r="C799" s="94" t="s">
        <v>650</v>
      </c>
      <c r="D799" s="95">
        <v>25</v>
      </c>
      <c r="E799" s="95">
        <v>100.74</v>
      </c>
      <c r="F799" s="96">
        <v>2518.5</v>
      </c>
      <c r="G799" s="113" t="s">
        <v>55</v>
      </c>
      <c r="H799" s="114">
        <f t="shared" si="12"/>
        <v>46174</v>
      </c>
      <c r="I799" s="17"/>
      <c r="J799" s="17"/>
      <c r="K799" s="17"/>
    </row>
    <row r="800" spans="1:11" x14ac:dyDescent="0.2">
      <c r="A800" s="164">
        <v>46182</v>
      </c>
      <c r="B800" s="93" t="s">
        <v>1415</v>
      </c>
      <c r="C800" s="94" t="s">
        <v>1426</v>
      </c>
      <c r="D800" s="95">
        <v>50</v>
      </c>
      <c r="E800" s="95">
        <v>100.74</v>
      </c>
      <c r="F800" s="96">
        <v>5037</v>
      </c>
      <c r="G800" s="113" t="s">
        <v>199</v>
      </c>
      <c r="H800" s="114">
        <f t="shared" si="12"/>
        <v>46174</v>
      </c>
      <c r="I800" s="17"/>
      <c r="J800" s="17"/>
      <c r="K800" s="17"/>
    </row>
    <row r="801" spans="1:11" x14ac:dyDescent="0.2">
      <c r="A801" s="164">
        <v>46182</v>
      </c>
      <c r="B801" s="93" t="s">
        <v>1416</v>
      </c>
      <c r="C801" s="94" t="s">
        <v>50</v>
      </c>
      <c r="D801" s="95">
        <v>46</v>
      </c>
      <c r="E801" s="95">
        <v>100.74</v>
      </c>
      <c r="F801" s="96">
        <v>4634.04</v>
      </c>
      <c r="G801" s="113" t="s">
        <v>54</v>
      </c>
      <c r="H801" s="114">
        <f t="shared" si="12"/>
        <v>46174</v>
      </c>
      <c r="I801" s="17"/>
      <c r="J801" s="17"/>
      <c r="K801" s="17"/>
    </row>
    <row r="802" spans="1:11" x14ac:dyDescent="0.2">
      <c r="A802" s="164">
        <v>46182</v>
      </c>
      <c r="B802" s="93" t="s">
        <v>1417</v>
      </c>
      <c r="C802" s="94" t="s">
        <v>50</v>
      </c>
      <c r="D802" s="95">
        <v>2000</v>
      </c>
      <c r="E802" s="95">
        <v>100.74</v>
      </c>
      <c r="F802" s="96">
        <v>201480</v>
      </c>
      <c r="G802" s="113" t="s">
        <v>96</v>
      </c>
      <c r="H802" s="114">
        <f t="shared" si="12"/>
        <v>46174</v>
      </c>
      <c r="I802" s="17"/>
      <c r="J802" s="17"/>
      <c r="K802" s="17"/>
    </row>
    <row r="803" spans="1:11" x14ac:dyDescent="0.2">
      <c r="A803" s="164">
        <v>46182</v>
      </c>
      <c r="B803" s="93" t="s">
        <v>1418</v>
      </c>
      <c r="C803" s="94" t="s">
        <v>13</v>
      </c>
      <c r="D803" s="95">
        <v>59.56</v>
      </c>
      <c r="E803" s="95">
        <v>100.74</v>
      </c>
      <c r="F803" s="96">
        <v>6000</v>
      </c>
      <c r="G803" s="113" t="s">
        <v>15</v>
      </c>
      <c r="H803" s="114">
        <f t="shared" si="12"/>
        <v>46174</v>
      </c>
      <c r="I803" s="17"/>
      <c r="J803" s="17"/>
      <c r="K803" s="17"/>
    </row>
    <row r="804" spans="1:11" x14ac:dyDescent="0.2">
      <c r="A804" s="164">
        <v>46182</v>
      </c>
      <c r="B804" s="93" t="s">
        <v>1419</v>
      </c>
      <c r="C804" s="94" t="s">
        <v>13</v>
      </c>
      <c r="D804" s="95">
        <v>1167.3599999999999</v>
      </c>
      <c r="E804" s="95">
        <v>100.74</v>
      </c>
      <c r="F804" s="96">
        <v>117600</v>
      </c>
      <c r="G804" s="113" t="s">
        <v>152</v>
      </c>
      <c r="H804" s="114">
        <f t="shared" si="12"/>
        <v>46174</v>
      </c>
      <c r="I804" s="17"/>
      <c r="J804" s="17"/>
      <c r="K804" s="17"/>
    </row>
    <row r="805" spans="1:11" x14ac:dyDescent="0.2">
      <c r="A805" s="164">
        <v>46182</v>
      </c>
      <c r="B805" s="93" t="s">
        <v>1420</v>
      </c>
      <c r="C805" s="94" t="s">
        <v>13</v>
      </c>
      <c r="D805" s="95">
        <v>199.63</v>
      </c>
      <c r="E805" s="95">
        <v>100.74</v>
      </c>
      <c r="F805" s="96">
        <v>20111</v>
      </c>
      <c r="G805" s="113" t="s">
        <v>57</v>
      </c>
      <c r="H805" s="114">
        <f t="shared" si="12"/>
        <v>46174</v>
      </c>
      <c r="I805" s="17"/>
      <c r="J805" s="17"/>
      <c r="K805" s="17"/>
    </row>
    <row r="806" spans="1:11" x14ac:dyDescent="0.2">
      <c r="A806" s="164">
        <v>46182</v>
      </c>
      <c r="B806" s="93" t="s">
        <v>1421</v>
      </c>
      <c r="C806" s="94" t="s">
        <v>526</v>
      </c>
      <c r="D806" s="95">
        <v>1122.69</v>
      </c>
      <c r="E806" s="95">
        <v>100.74</v>
      </c>
      <c r="F806" s="96">
        <v>113100</v>
      </c>
      <c r="G806" s="113" t="s">
        <v>58</v>
      </c>
      <c r="H806" s="114">
        <f t="shared" si="12"/>
        <v>46174</v>
      </c>
      <c r="I806" s="17"/>
      <c r="J806" s="17"/>
      <c r="K806" s="17"/>
    </row>
    <row r="807" spans="1:11" x14ac:dyDescent="0.2">
      <c r="A807" s="164">
        <v>46182</v>
      </c>
      <c r="B807" s="93" t="s">
        <v>1422</v>
      </c>
      <c r="C807" s="101" t="s">
        <v>525</v>
      </c>
      <c r="D807" s="95">
        <v>39.93</v>
      </c>
      <c r="E807" s="95">
        <v>100.74</v>
      </c>
      <c r="F807" s="96">
        <v>4022.2</v>
      </c>
      <c r="G807" s="113" t="s">
        <v>58</v>
      </c>
      <c r="H807" s="114">
        <f t="shared" si="12"/>
        <v>46174</v>
      </c>
      <c r="I807" s="17"/>
      <c r="J807" s="17"/>
      <c r="K807" s="17"/>
    </row>
    <row r="808" spans="1:11" x14ac:dyDescent="0.2">
      <c r="A808" s="164">
        <v>46182</v>
      </c>
      <c r="B808" s="93" t="s">
        <v>1423</v>
      </c>
      <c r="C808" s="101" t="s">
        <v>82</v>
      </c>
      <c r="D808" s="95">
        <v>500</v>
      </c>
      <c r="E808" s="95">
        <v>100.74</v>
      </c>
      <c r="F808" s="96">
        <v>50370</v>
      </c>
      <c r="G808" s="113" t="s">
        <v>91</v>
      </c>
      <c r="H808" s="114">
        <f t="shared" si="12"/>
        <v>46174</v>
      </c>
      <c r="I808" s="17"/>
      <c r="J808" s="17"/>
      <c r="K808" s="17"/>
    </row>
    <row r="809" spans="1:11" x14ac:dyDescent="0.2">
      <c r="A809" s="115">
        <v>46183</v>
      </c>
      <c r="B809" s="93" t="s">
        <v>1429</v>
      </c>
      <c r="C809" s="101" t="s">
        <v>1441</v>
      </c>
      <c r="D809" s="95">
        <v>1500</v>
      </c>
      <c r="E809" s="95">
        <v>100.74</v>
      </c>
      <c r="F809" s="96">
        <v>151110</v>
      </c>
      <c r="G809" s="97" t="s">
        <v>255</v>
      </c>
      <c r="H809" s="114">
        <f t="shared" si="12"/>
        <v>46174</v>
      </c>
      <c r="I809" s="17"/>
      <c r="J809" s="17"/>
      <c r="K809" s="17"/>
    </row>
    <row r="810" spans="1:11" x14ac:dyDescent="0.2">
      <c r="A810" s="115">
        <v>46183</v>
      </c>
      <c r="B810" s="93" t="s">
        <v>1430</v>
      </c>
      <c r="C810" s="101" t="s">
        <v>1442</v>
      </c>
      <c r="D810" s="95">
        <v>1500</v>
      </c>
      <c r="E810" s="95">
        <v>100.74</v>
      </c>
      <c r="F810" s="96">
        <v>151110</v>
      </c>
      <c r="G810" s="97" t="s">
        <v>1444</v>
      </c>
      <c r="H810" s="114">
        <f t="shared" si="12"/>
        <v>46174</v>
      </c>
      <c r="I810" s="17"/>
      <c r="J810" s="17"/>
      <c r="K810" s="17"/>
    </row>
    <row r="811" spans="1:11" x14ac:dyDescent="0.2">
      <c r="A811" s="115">
        <v>46183</v>
      </c>
      <c r="B811" s="93" t="s">
        <v>1431</v>
      </c>
      <c r="C811" s="101" t="s">
        <v>50</v>
      </c>
      <c r="D811" s="95">
        <v>1500</v>
      </c>
      <c r="E811" s="95">
        <v>100.74</v>
      </c>
      <c r="F811" s="96">
        <v>151110</v>
      </c>
      <c r="G811" s="97" t="s">
        <v>901</v>
      </c>
      <c r="H811" s="114">
        <f t="shared" si="12"/>
        <v>46174</v>
      </c>
      <c r="I811" s="17"/>
      <c r="J811" s="17"/>
      <c r="K811" s="17"/>
    </row>
    <row r="812" spans="1:11" x14ac:dyDescent="0.2">
      <c r="A812" s="115">
        <v>46183</v>
      </c>
      <c r="B812" s="93" t="s">
        <v>1432</v>
      </c>
      <c r="C812" s="101" t="s">
        <v>526</v>
      </c>
      <c r="D812" s="95">
        <v>1808.62</v>
      </c>
      <c r="E812" s="95">
        <v>100.74</v>
      </c>
      <c r="F812" s="96">
        <v>182200</v>
      </c>
      <c r="G812" s="97" t="s">
        <v>58</v>
      </c>
      <c r="H812" s="114">
        <f t="shared" si="12"/>
        <v>46174</v>
      </c>
      <c r="I812" s="17"/>
      <c r="J812" s="17"/>
      <c r="K812" s="17"/>
    </row>
    <row r="813" spans="1:11" x14ac:dyDescent="0.2">
      <c r="A813" s="115">
        <v>46183</v>
      </c>
      <c r="B813" s="93" t="s">
        <v>1433</v>
      </c>
      <c r="C813" s="101" t="s">
        <v>13</v>
      </c>
      <c r="D813" s="95">
        <v>849.71</v>
      </c>
      <c r="E813" s="95">
        <v>100.74</v>
      </c>
      <c r="F813" s="96">
        <v>85600</v>
      </c>
      <c r="G813" s="97" t="s">
        <v>152</v>
      </c>
      <c r="H813" s="114">
        <f t="shared" si="12"/>
        <v>46174</v>
      </c>
      <c r="I813" s="17"/>
      <c r="J813" s="17"/>
      <c r="K813" s="17"/>
    </row>
    <row r="814" spans="1:11" x14ac:dyDescent="0.2">
      <c r="A814" s="115">
        <v>46183</v>
      </c>
      <c r="B814" s="93" t="s">
        <v>1434</v>
      </c>
      <c r="C814" s="101" t="s">
        <v>13</v>
      </c>
      <c r="D814" s="95">
        <v>29.78</v>
      </c>
      <c r="E814" s="95">
        <v>100.74</v>
      </c>
      <c r="F814" s="96">
        <v>3000</v>
      </c>
      <c r="G814" s="97" t="s">
        <v>15</v>
      </c>
      <c r="H814" s="114">
        <f t="shared" si="12"/>
        <v>46174</v>
      </c>
      <c r="I814" s="17"/>
      <c r="J814" s="17"/>
      <c r="K814" s="17"/>
    </row>
    <row r="815" spans="1:11" x14ac:dyDescent="0.2">
      <c r="A815" s="115">
        <v>46183</v>
      </c>
      <c r="B815" s="93" t="s">
        <v>1435</v>
      </c>
      <c r="C815" s="94" t="s">
        <v>13</v>
      </c>
      <c r="D815" s="95">
        <v>348.78</v>
      </c>
      <c r="E815" s="95">
        <v>100.74</v>
      </c>
      <c r="F815" s="96">
        <v>35136.06</v>
      </c>
      <c r="G815" s="97" t="s">
        <v>57</v>
      </c>
      <c r="H815" s="114">
        <f t="shared" si="12"/>
        <v>46174</v>
      </c>
      <c r="I815" s="17"/>
      <c r="J815" s="17"/>
      <c r="K815" s="17"/>
    </row>
    <row r="816" spans="1:11" x14ac:dyDescent="0.2">
      <c r="A816" s="115">
        <v>46183</v>
      </c>
      <c r="B816" s="93" t="s">
        <v>1436</v>
      </c>
      <c r="C816" s="94" t="s">
        <v>1157</v>
      </c>
      <c r="D816" s="95">
        <v>73.16</v>
      </c>
      <c r="E816" s="95">
        <v>100.74</v>
      </c>
      <c r="F816" s="96">
        <v>7370.13</v>
      </c>
      <c r="G816" s="97" t="s">
        <v>714</v>
      </c>
      <c r="H816" s="114">
        <f t="shared" si="12"/>
        <v>46174</v>
      </c>
      <c r="I816" s="17"/>
      <c r="J816" s="17"/>
      <c r="K816" s="17"/>
    </row>
    <row r="817" spans="1:11" x14ac:dyDescent="0.2">
      <c r="A817" s="115">
        <v>46183</v>
      </c>
      <c r="B817" s="93" t="s">
        <v>1437</v>
      </c>
      <c r="C817" s="94" t="s">
        <v>742</v>
      </c>
      <c r="D817" s="95">
        <v>57.73</v>
      </c>
      <c r="E817" s="95">
        <v>100.74</v>
      </c>
      <c r="F817" s="96">
        <v>5815.72</v>
      </c>
      <c r="G817" s="97" t="s">
        <v>714</v>
      </c>
      <c r="H817" s="114">
        <f t="shared" si="12"/>
        <v>46174</v>
      </c>
      <c r="I817" s="17"/>
      <c r="J817" s="17"/>
      <c r="K817" s="17"/>
    </row>
    <row r="818" spans="1:11" x14ac:dyDescent="0.2">
      <c r="A818" s="115">
        <v>46183</v>
      </c>
      <c r="B818" s="93" t="s">
        <v>1438</v>
      </c>
      <c r="C818" s="94" t="s">
        <v>1426</v>
      </c>
      <c r="D818" s="95">
        <v>337.26</v>
      </c>
      <c r="E818" s="95">
        <v>100.74</v>
      </c>
      <c r="F818" s="96">
        <v>33975.57</v>
      </c>
      <c r="G818" s="97" t="s">
        <v>199</v>
      </c>
      <c r="H818" s="114">
        <f t="shared" si="12"/>
        <v>46174</v>
      </c>
      <c r="I818" s="17"/>
      <c r="J818" s="17"/>
      <c r="K818" s="17"/>
    </row>
    <row r="819" spans="1:11" x14ac:dyDescent="0.2">
      <c r="A819" s="115">
        <v>46183</v>
      </c>
      <c r="B819" s="93" t="s">
        <v>1439</v>
      </c>
      <c r="C819" s="94" t="s">
        <v>673</v>
      </c>
      <c r="D819" s="95">
        <v>2000</v>
      </c>
      <c r="E819" s="95">
        <v>100.74</v>
      </c>
      <c r="F819" s="96">
        <v>201480</v>
      </c>
      <c r="G819" s="97" t="s">
        <v>922</v>
      </c>
      <c r="H819" s="114">
        <f t="shared" si="12"/>
        <v>46174</v>
      </c>
      <c r="I819" s="17"/>
      <c r="J819" s="17"/>
      <c r="K819" s="17"/>
    </row>
    <row r="820" spans="1:11" x14ac:dyDescent="0.2">
      <c r="A820" s="115">
        <v>46183</v>
      </c>
      <c r="B820" s="93" t="s">
        <v>1440</v>
      </c>
      <c r="C820" s="94" t="s">
        <v>1443</v>
      </c>
      <c r="D820" s="95">
        <v>2000</v>
      </c>
      <c r="E820" s="95">
        <v>100.74</v>
      </c>
      <c r="F820" s="96">
        <v>201480</v>
      </c>
      <c r="G820" s="97" t="s">
        <v>1445</v>
      </c>
      <c r="H820" s="114">
        <f t="shared" si="12"/>
        <v>46174</v>
      </c>
      <c r="I820" s="17"/>
      <c r="J820" s="17"/>
      <c r="K820" s="17"/>
    </row>
    <row r="821" spans="1:11" x14ac:dyDescent="0.2">
      <c r="A821" s="115">
        <v>46183</v>
      </c>
      <c r="B821" s="93" t="s">
        <v>1453</v>
      </c>
      <c r="C821" s="94" t="s">
        <v>582</v>
      </c>
      <c r="D821" s="95">
        <v>1000</v>
      </c>
      <c r="E821" s="95">
        <v>100.74</v>
      </c>
      <c r="F821" s="96">
        <v>100740</v>
      </c>
      <c r="G821" s="97" t="s">
        <v>922</v>
      </c>
      <c r="H821" s="114">
        <f t="shared" si="12"/>
        <v>46174</v>
      </c>
      <c r="I821" s="17"/>
      <c r="J821" s="17"/>
      <c r="K821" s="17"/>
    </row>
    <row r="822" spans="1:11" x14ac:dyDescent="0.2">
      <c r="A822" s="115">
        <v>46184</v>
      </c>
      <c r="B822" s="93" t="s">
        <v>1454</v>
      </c>
      <c r="C822" s="94" t="s">
        <v>50</v>
      </c>
      <c r="D822" s="95">
        <v>1500.02</v>
      </c>
      <c r="E822" s="95">
        <v>100.74</v>
      </c>
      <c r="F822" s="96">
        <v>151112.01</v>
      </c>
      <c r="G822" s="97" t="s">
        <v>96</v>
      </c>
      <c r="H822" s="114">
        <f t="shared" si="12"/>
        <v>46174</v>
      </c>
      <c r="I822" s="17"/>
      <c r="J822" s="17"/>
      <c r="K822" s="17"/>
    </row>
    <row r="823" spans="1:11" x14ac:dyDescent="0.2">
      <c r="A823" s="115">
        <v>46184</v>
      </c>
      <c r="B823" s="93" t="s">
        <v>1455</v>
      </c>
      <c r="C823" s="94" t="s">
        <v>50</v>
      </c>
      <c r="D823" s="95">
        <v>1500.01</v>
      </c>
      <c r="E823" s="95">
        <v>100.74</v>
      </c>
      <c r="F823" s="96">
        <v>151111.01</v>
      </c>
      <c r="G823" s="97" t="s">
        <v>901</v>
      </c>
      <c r="H823" s="114">
        <f t="shared" si="12"/>
        <v>46174</v>
      </c>
      <c r="I823" s="17"/>
      <c r="J823" s="17"/>
      <c r="K823" s="17"/>
    </row>
    <row r="824" spans="1:11" x14ac:dyDescent="0.2">
      <c r="A824" s="115">
        <v>46184</v>
      </c>
      <c r="B824" s="93" t="s">
        <v>1456</v>
      </c>
      <c r="C824" s="94" t="s">
        <v>50</v>
      </c>
      <c r="D824" s="95">
        <v>2499.5</v>
      </c>
      <c r="E824" s="95">
        <v>100.74</v>
      </c>
      <c r="F824" s="96">
        <v>251799.63</v>
      </c>
      <c r="G824" s="97" t="s">
        <v>59</v>
      </c>
      <c r="H824" s="114">
        <f t="shared" si="12"/>
        <v>46174</v>
      </c>
      <c r="I824" s="17"/>
      <c r="J824" s="17"/>
      <c r="K824" s="17"/>
    </row>
    <row r="825" spans="1:11" x14ac:dyDescent="0.2">
      <c r="A825" s="115">
        <v>46184</v>
      </c>
      <c r="B825" s="93" t="s">
        <v>1457</v>
      </c>
      <c r="C825" s="94" t="s">
        <v>526</v>
      </c>
      <c r="D825" s="95">
        <v>2019.06</v>
      </c>
      <c r="E825" s="95">
        <v>100.74</v>
      </c>
      <c r="F825" s="96">
        <v>203400</v>
      </c>
      <c r="G825" s="97" t="s">
        <v>58</v>
      </c>
      <c r="H825" s="114">
        <f t="shared" si="12"/>
        <v>46174</v>
      </c>
      <c r="I825" s="17"/>
      <c r="J825" s="17"/>
      <c r="K825" s="17"/>
    </row>
    <row r="826" spans="1:11" x14ac:dyDescent="0.2">
      <c r="A826" s="115">
        <v>46184</v>
      </c>
      <c r="B826" s="93" t="s">
        <v>1458</v>
      </c>
      <c r="C826" s="94" t="s">
        <v>13</v>
      </c>
      <c r="D826" s="95">
        <v>670.04</v>
      </c>
      <c r="E826" s="95">
        <v>100.74</v>
      </c>
      <c r="F826" s="96">
        <v>67500</v>
      </c>
      <c r="G826" s="97" t="s">
        <v>152</v>
      </c>
      <c r="H826" s="114">
        <f t="shared" si="12"/>
        <v>46174</v>
      </c>
      <c r="I826" s="17"/>
      <c r="J826" s="17"/>
      <c r="K826" s="17"/>
    </row>
    <row r="827" spans="1:11" x14ac:dyDescent="0.2">
      <c r="A827" s="115">
        <v>46184</v>
      </c>
      <c r="B827" s="93" t="s">
        <v>1459</v>
      </c>
      <c r="C827" s="94" t="s">
        <v>13</v>
      </c>
      <c r="D827" s="95">
        <v>59.56</v>
      </c>
      <c r="E827" s="95">
        <v>100.74</v>
      </c>
      <c r="F827" s="96">
        <v>6000</v>
      </c>
      <c r="G827" s="97" t="s">
        <v>15</v>
      </c>
      <c r="H827" s="114">
        <f t="shared" si="12"/>
        <v>46174</v>
      </c>
      <c r="I827" s="17"/>
      <c r="J827" s="17"/>
      <c r="K827" s="17"/>
    </row>
    <row r="828" spans="1:11" x14ac:dyDescent="0.2">
      <c r="A828" s="115">
        <v>46184</v>
      </c>
      <c r="B828" s="93" t="s">
        <v>1460</v>
      </c>
      <c r="C828" s="94" t="s">
        <v>1372</v>
      </c>
      <c r="D828" s="95">
        <v>20</v>
      </c>
      <c r="E828" s="95">
        <v>100.74</v>
      </c>
      <c r="F828" s="96">
        <v>2014.8</v>
      </c>
      <c r="G828" s="97" t="s">
        <v>256</v>
      </c>
      <c r="H828" s="114">
        <f t="shared" si="12"/>
        <v>46174</v>
      </c>
      <c r="I828" s="17"/>
      <c r="J828" s="17"/>
      <c r="K828" s="17"/>
    </row>
    <row r="829" spans="1:11" x14ac:dyDescent="0.2">
      <c r="A829" s="115">
        <v>46184</v>
      </c>
      <c r="B829" s="93" t="s">
        <v>1461</v>
      </c>
      <c r="C829" s="94" t="s">
        <v>1383</v>
      </c>
      <c r="D829" s="95">
        <v>70</v>
      </c>
      <c r="E829" s="95">
        <v>100.74</v>
      </c>
      <c r="F829" s="96">
        <v>7051.8</v>
      </c>
      <c r="G829" s="97" t="s">
        <v>55</v>
      </c>
      <c r="H829" s="114">
        <f t="shared" si="12"/>
        <v>46174</v>
      </c>
      <c r="I829" s="17"/>
      <c r="J829" s="17"/>
      <c r="K829" s="17"/>
    </row>
    <row r="830" spans="1:11" x14ac:dyDescent="0.2">
      <c r="A830" s="115">
        <v>46184</v>
      </c>
      <c r="B830" s="93" t="s">
        <v>1462</v>
      </c>
      <c r="C830" s="94" t="s">
        <v>128</v>
      </c>
      <c r="D830" s="95">
        <v>39</v>
      </c>
      <c r="E830" s="95">
        <v>100.74</v>
      </c>
      <c r="F830" s="96">
        <v>3928.86</v>
      </c>
      <c r="G830" s="97" t="s">
        <v>56</v>
      </c>
      <c r="H830" s="114">
        <f t="shared" si="12"/>
        <v>46174</v>
      </c>
      <c r="I830" s="17"/>
      <c r="J830" s="17"/>
      <c r="K830" s="17"/>
    </row>
    <row r="831" spans="1:11" x14ac:dyDescent="0.2">
      <c r="A831" s="115">
        <v>46184</v>
      </c>
      <c r="B831" s="93" t="s">
        <v>1463</v>
      </c>
      <c r="C831" s="94" t="s">
        <v>45</v>
      </c>
      <c r="D831" s="95">
        <v>39.020000000000003</v>
      </c>
      <c r="E831" s="95">
        <v>100.74</v>
      </c>
      <c r="F831" s="96">
        <v>3930.87</v>
      </c>
      <c r="G831" s="97" t="s">
        <v>56</v>
      </c>
      <c r="H831" s="114">
        <f t="shared" si="12"/>
        <v>46174</v>
      </c>
      <c r="I831" s="17"/>
      <c r="J831" s="17"/>
      <c r="K831" s="17"/>
    </row>
    <row r="832" spans="1:11" x14ac:dyDescent="0.2">
      <c r="A832" s="115">
        <v>46184</v>
      </c>
      <c r="B832" s="93" t="s">
        <v>1464</v>
      </c>
      <c r="C832" s="94" t="s">
        <v>129</v>
      </c>
      <c r="D832" s="95">
        <v>112</v>
      </c>
      <c r="E832" s="95">
        <v>100.74</v>
      </c>
      <c r="F832" s="96">
        <v>11282.88</v>
      </c>
      <c r="G832" s="97" t="s">
        <v>56</v>
      </c>
      <c r="H832" s="114">
        <f t="shared" si="12"/>
        <v>46174</v>
      </c>
      <c r="I832" s="17"/>
      <c r="J832" s="17"/>
      <c r="K832" s="17"/>
    </row>
    <row r="833" spans="1:11" x14ac:dyDescent="0.2">
      <c r="A833" s="115">
        <v>46185</v>
      </c>
      <c r="B833" s="93" t="s">
        <v>1466</v>
      </c>
      <c r="C833" s="94" t="s">
        <v>13</v>
      </c>
      <c r="D833" s="95">
        <v>600</v>
      </c>
      <c r="E833" s="95">
        <v>100.74</v>
      </c>
      <c r="F833" s="96">
        <v>60444</v>
      </c>
      <c r="G833" s="97" t="s">
        <v>1483</v>
      </c>
      <c r="H833" s="114">
        <f t="shared" si="12"/>
        <v>46174</v>
      </c>
      <c r="I833" s="17"/>
      <c r="J833" s="17"/>
      <c r="K833" s="17"/>
    </row>
    <row r="834" spans="1:11" x14ac:dyDescent="0.2">
      <c r="A834" s="115">
        <v>46185</v>
      </c>
      <c r="B834" s="93" t="s">
        <v>1467</v>
      </c>
      <c r="C834" s="94" t="s">
        <v>1157</v>
      </c>
      <c r="D834" s="95">
        <v>86.91</v>
      </c>
      <c r="E834" s="95">
        <v>100.74</v>
      </c>
      <c r="F834" s="96">
        <v>8755.31</v>
      </c>
      <c r="G834" s="97" t="s">
        <v>714</v>
      </c>
      <c r="H834" s="114">
        <f t="shared" si="12"/>
        <v>46174</v>
      </c>
      <c r="I834" s="17"/>
      <c r="J834" s="17"/>
      <c r="K834" s="17"/>
    </row>
    <row r="835" spans="1:11" x14ac:dyDescent="0.2">
      <c r="A835" s="115">
        <v>46185</v>
      </c>
      <c r="B835" s="93" t="s">
        <v>1468</v>
      </c>
      <c r="C835" s="101" t="s">
        <v>927</v>
      </c>
      <c r="D835" s="95">
        <v>20</v>
      </c>
      <c r="E835" s="95">
        <v>100.74</v>
      </c>
      <c r="F835" s="96">
        <v>2014.8</v>
      </c>
      <c r="G835" s="97" t="s">
        <v>552</v>
      </c>
      <c r="H835" s="114">
        <f t="shared" si="12"/>
        <v>46174</v>
      </c>
      <c r="I835" s="17"/>
      <c r="J835" s="17"/>
      <c r="K835" s="17"/>
    </row>
    <row r="836" spans="1:11" x14ac:dyDescent="0.2">
      <c r="A836" s="115">
        <v>46185</v>
      </c>
      <c r="B836" s="93" t="s">
        <v>1469</v>
      </c>
      <c r="C836" s="101" t="s">
        <v>1481</v>
      </c>
      <c r="D836" s="95">
        <v>20</v>
      </c>
      <c r="E836" s="95">
        <v>100.74</v>
      </c>
      <c r="F836" s="96">
        <v>2014.8</v>
      </c>
      <c r="G836" s="97" t="s">
        <v>552</v>
      </c>
      <c r="H836" s="114">
        <f t="shared" ref="H836:H899" si="13">IF(A836&lt;&gt;"", EOMONTH(A836, -1) + 1, "")</f>
        <v>46174</v>
      </c>
      <c r="I836" s="17"/>
      <c r="J836" s="17"/>
      <c r="K836" s="17"/>
    </row>
    <row r="837" spans="1:11" x14ac:dyDescent="0.2">
      <c r="A837" s="115">
        <v>46185</v>
      </c>
      <c r="B837" s="93" t="s">
        <v>1470</v>
      </c>
      <c r="C837" s="101" t="s">
        <v>131</v>
      </c>
      <c r="D837" s="95">
        <v>46.18</v>
      </c>
      <c r="E837" s="95">
        <v>100.74</v>
      </c>
      <c r="F837" s="96">
        <v>4652.17</v>
      </c>
      <c r="G837" s="97" t="s">
        <v>55</v>
      </c>
      <c r="H837" s="114">
        <f t="shared" si="13"/>
        <v>46174</v>
      </c>
      <c r="I837" s="17"/>
      <c r="J837" s="17"/>
      <c r="K837" s="17"/>
    </row>
    <row r="838" spans="1:11" x14ac:dyDescent="0.2">
      <c r="A838" s="115">
        <v>46185</v>
      </c>
      <c r="B838" s="93" t="s">
        <v>1471</v>
      </c>
      <c r="C838" s="101" t="s">
        <v>965</v>
      </c>
      <c r="D838" s="95">
        <v>480</v>
      </c>
      <c r="E838" s="95">
        <v>100.74</v>
      </c>
      <c r="F838" s="96">
        <v>48355.199999999997</v>
      </c>
      <c r="G838" s="97" t="s">
        <v>256</v>
      </c>
      <c r="H838" s="114">
        <f t="shared" si="13"/>
        <v>46174</v>
      </c>
      <c r="I838" s="17"/>
      <c r="J838" s="17"/>
      <c r="K838" s="17"/>
    </row>
    <row r="839" spans="1:11" x14ac:dyDescent="0.2">
      <c r="A839" s="115">
        <v>46185</v>
      </c>
      <c r="B839" s="93" t="s">
        <v>1472</v>
      </c>
      <c r="C839" s="101" t="s">
        <v>13</v>
      </c>
      <c r="D839" s="95">
        <v>30</v>
      </c>
      <c r="E839" s="95">
        <v>100.74</v>
      </c>
      <c r="F839" s="96">
        <v>3022.2</v>
      </c>
      <c r="G839" s="97" t="s">
        <v>57</v>
      </c>
      <c r="H839" s="114">
        <f t="shared" si="13"/>
        <v>46174</v>
      </c>
      <c r="I839" s="17"/>
      <c r="J839" s="17"/>
      <c r="K839" s="17"/>
    </row>
    <row r="840" spans="1:11" x14ac:dyDescent="0.2">
      <c r="A840" s="115">
        <v>46185</v>
      </c>
      <c r="B840" s="93" t="s">
        <v>1473</v>
      </c>
      <c r="C840" s="101" t="s">
        <v>13</v>
      </c>
      <c r="D840" s="95">
        <v>652.16999999999996</v>
      </c>
      <c r="E840" s="95">
        <v>100.74</v>
      </c>
      <c r="F840" s="96">
        <v>65700</v>
      </c>
      <c r="G840" s="97" t="s">
        <v>152</v>
      </c>
      <c r="H840" s="114">
        <f t="shared" si="13"/>
        <v>46174</v>
      </c>
      <c r="I840" s="17"/>
      <c r="J840" s="17"/>
      <c r="K840" s="17"/>
    </row>
    <row r="841" spans="1:11" x14ac:dyDescent="0.2">
      <c r="A841" s="115">
        <v>46185</v>
      </c>
      <c r="B841" s="93" t="s">
        <v>1474</v>
      </c>
      <c r="C841" s="101" t="s">
        <v>13</v>
      </c>
      <c r="D841" s="95">
        <v>595.59</v>
      </c>
      <c r="E841" s="95">
        <v>100.74</v>
      </c>
      <c r="F841" s="96">
        <v>60000</v>
      </c>
      <c r="G841" s="97" t="s">
        <v>15</v>
      </c>
      <c r="H841" s="114">
        <f t="shared" si="13"/>
        <v>46174</v>
      </c>
      <c r="I841" s="17"/>
      <c r="J841" s="17"/>
      <c r="K841" s="17"/>
    </row>
    <row r="842" spans="1:11" x14ac:dyDescent="0.2">
      <c r="A842" s="115">
        <v>46185</v>
      </c>
      <c r="B842" s="93" t="s">
        <v>1475</v>
      </c>
      <c r="C842" s="101" t="s">
        <v>792</v>
      </c>
      <c r="D842" s="95">
        <v>50</v>
      </c>
      <c r="E842" s="95">
        <v>100.74</v>
      </c>
      <c r="F842" s="96">
        <v>5037</v>
      </c>
      <c r="G842" s="97" t="s">
        <v>714</v>
      </c>
      <c r="H842" s="114">
        <f t="shared" si="13"/>
        <v>46174</v>
      </c>
      <c r="I842" s="17"/>
      <c r="J842" s="17"/>
      <c r="K842" s="17"/>
    </row>
    <row r="843" spans="1:11" x14ac:dyDescent="0.2">
      <c r="A843" s="115">
        <v>46185</v>
      </c>
      <c r="B843" s="93" t="s">
        <v>1476</v>
      </c>
      <c r="C843" s="94" t="s">
        <v>526</v>
      </c>
      <c r="D843" s="95">
        <v>2310.9</v>
      </c>
      <c r="E843" s="95">
        <v>100.74</v>
      </c>
      <c r="F843" s="96">
        <v>232800</v>
      </c>
      <c r="G843" s="97" t="s">
        <v>58</v>
      </c>
      <c r="H843" s="114">
        <f t="shared" si="13"/>
        <v>46174</v>
      </c>
      <c r="I843" s="17"/>
      <c r="J843" s="17"/>
      <c r="K843" s="17"/>
    </row>
    <row r="844" spans="1:11" x14ac:dyDescent="0.2">
      <c r="A844" s="115">
        <v>46185</v>
      </c>
      <c r="B844" s="93" t="s">
        <v>1477</v>
      </c>
      <c r="C844" s="94" t="s">
        <v>525</v>
      </c>
      <c r="D844" s="95">
        <v>168.75</v>
      </c>
      <c r="E844" s="95">
        <v>100.74</v>
      </c>
      <c r="F844" s="96">
        <v>17000</v>
      </c>
      <c r="G844" s="97" t="s">
        <v>58</v>
      </c>
      <c r="H844" s="114">
        <f t="shared" si="13"/>
        <v>46174</v>
      </c>
      <c r="I844" s="17"/>
      <c r="J844" s="17"/>
      <c r="K844" s="17"/>
    </row>
    <row r="845" spans="1:11" x14ac:dyDescent="0.2">
      <c r="A845" s="115">
        <v>46185</v>
      </c>
      <c r="B845" s="93" t="s">
        <v>1478</v>
      </c>
      <c r="C845" s="94" t="s">
        <v>50</v>
      </c>
      <c r="D845" s="95">
        <v>1501.49</v>
      </c>
      <c r="E845" s="95">
        <v>100.74</v>
      </c>
      <c r="F845" s="96">
        <v>151260.1</v>
      </c>
      <c r="G845" s="97" t="s">
        <v>96</v>
      </c>
      <c r="H845" s="114">
        <f t="shared" si="13"/>
        <v>46174</v>
      </c>
      <c r="I845" s="17"/>
      <c r="J845" s="17"/>
      <c r="K845" s="17"/>
    </row>
    <row r="846" spans="1:11" x14ac:dyDescent="0.2">
      <c r="A846" s="115">
        <v>46185</v>
      </c>
      <c r="B846" s="93" t="s">
        <v>1479</v>
      </c>
      <c r="C846" s="94" t="s">
        <v>50</v>
      </c>
      <c r="D846" s="95">
        <v>2000</v>
      </c>
      <c r="E846" s="95">
        <v>100.74</v>
      </c>
      <c r="F846" s="96">
        <v>201480</v>
      </c>
      <c r="G846" s="97" t="s">
        <v>901</v>
      </c>
      <c r="H846" s="114">
        <f t="shared" si="13"/>
        <v>46174</v>
      </c>
      <c r="I846" s="17"/>
      <c r="J846" s="17"/>
      <c r="K846" s="17"/>
    </row>
    <row r="847" spans="1:11" x14ac:dyDescent="0.2">
      <c r="A847" s="115">
        <v>46185</v>
      </c>
      <c r="B847" s="93" t="s">
        <v>1480</v>
      </c>
      <c r="C847" s="94" t="s">
        <v>1482</v>
      </c>
      <c r="D847" s="95">
        <v>148.9</v>
      </c>
      <c r="E847" s="95">
        <v>100.74</v>
      </c>
      <c r="F847" s="96">
        <v>15000</v>
      </c>
      <c r="G847" s="97" t="s">
        <v>1484</v>
      </c>
      <c r="H847" s="114">
        <f t="shared" si="13"/>
        <v>46174</v>
      </c>
      <c r="I847" s="17"/>
      <c r="J847" s="17"/>
      <c r="K847" s="17"/>
    </row>
    <row r="848" spans="1:11" x14ac:dyDescent="0.2">
      <c r="A848" s="115">
        <v>46186</v>
      </c>
      <c r="B848" s="93" t="s">
        <v>1491</v>
      </c>
      <c r="C848" s="94" t="s">
        <v>650</v>
      </c>
      <c r="D848" s="95">
        <v>20</v>
      </c>
      <c r="E848" s="95">
        <v>100.74</v>
      </c>
      <c r="F848" s="96">
        <v>2014.8</v>
      </c>
      <c r="G848" s="97" t="s">
        <v>55</v>
      </c>
      <c r="H848" s="114">
        <f t="shared" si="13"/>
        <v>46174</v>
      </c>
      <c r="I848" s="17"/>
      <c r="J848" s="17"/>
      <c r="K848" s="17"/>
    </row>
    <row r="849" spans="1:11" x14ac:dyDescent="0.2">
      <c r="A849" s="115">
        <v>46186</v>
      </c>
      <c r="B849" s="93" t="s">
        <v>1492</v>
      </c>
      <c r="C849" s="94" t="s">
        <v>45</v>
      </c>
      <c r="D849" s="95">
        <v>31.01</v>
      </c>
      <c r="E849" s="95">
        <v>100.74</v>
      </c>
      <c r="F849" s="96">
        <v>3123.94</v>
      </c>
      <c r="G849" s="97" t="s">
        <v>56</v>
      </c>
      <c r="H849" s="114">
        <f t="shared" si="13"/>
        <v>46174</v>
      </c>
      <c r="I849" s="17"/>
      <c r="J849" s="17"/>
      <c r="K849" s="17"/>
    </row>
    <row r="850" spans="1:11" x14ac:dyDescent="0.2">
      <c r="A850" s="115">
        <v>46186</v>
      </c>
      <c r="B850" s="93" t="s">
        <v>1493</v>
      </c>
      <c r="C850" s="94" t="s">
        <v>44</v>
      </c>
      <c r="D850" s="95">
        <v>35.450000000000003</v>
      </c>
      <c r="E850" s="95">
        <v>100.74</v>
      </c>
      <c r="F850" s="96">
        <v>3571.23</v>
      </c>
      <c r="G850" s="97" t="s">
        <v>56</v>
      </c>
      <c r="H850" s="114">
        <f t="shared" si="13"/>
        <v>46174</v>
      </c>
      <c r="I850" s="17"/>
      <c r="J850" s="17"/>
      <c r="K850" s="17"/>
    </row>
    <row r="851" spans="1:11" x14ac:dyDescent="0.2">
      <c r="A851" s="115">
        <v>46186</v>
      </c>
      <c r="B851" s="93" t="s">
        <v>1494</v>
      </c>
      <c r="C851" s="94" t="s">
        <v>248</v>
      </c>
      <c r="D851" s="95">
        <v>1000</v>
      </c>
      <c r="E851" s="95">
        <v>100.74</v>
      </c>
      <c r="F851" s="96">
        <v>100740</v>
      </c>
      <c r="G851" s="97" t="s">
        <v>256</v>
      </c>
      <c r="H851" s="114">
        <f t="shared" si="13"/>
        <v>46174</v>
      </c>
      <c r="I851" s="17"/>
      <c r="J851" s="17"/>
      <c r="K851" s="17"/>
    </row>
    <row r="852" spans="1:11" x14ac:dyDescent="0.2">
      <c r="A852" s="115">
        <v>46186</v>
      </c>
      <c r="B852" s="93" t="s">
        <v>1495</v>
      </c>
      <c r="C852" s="94" t="s">
        <v>13</v>
      </c>
      <c r="D852" s="95">
        <v>148.9</v>
      </c>
      <c r="E852" s="95">
        <v>100.74</v>
      </c>
      <c r="F852" s="96">
        <v>15000</v>
      </c>
      <c r="G852" s="97" t="s">
        <v>57</v>
      </c>
      <c r="H852" s="114">
        <f t="shared" si="13"/>
        <v>46174</v>
      </c>
      <c r="I852" s="17"/>
      <c r="J852" s="17"/>
      <c r="K852" s="17"/>
    </row>
    <row r="853" spans="1:11" x14ac:dyDescent="0.2">
      <c r="A853" s="115">
        <v>46186</v>
      </c>
      <c r="B853" s="93" t="s">
        <v>1496</v>
      </c>
      <c r="C853" s="94" t="s">
        <v>13</v>
      </c>
      <c r="D853" s="95">
        <v>29.78</v>
      </c>
      <c r="E853" s="95">
        <v>100.74</v>
      </c>
      <c r="F853" s="96">
        <v>3000</v>
      </c>
      <c r="G853" s="97" t="s">
        <v>15</v>
      </c>
      <c r="H853" s="114">
        <f t="shared" si="13"/>
        <v>46174</v>
      </c>
      <c r="I853" s="17"/>
      <c r="J853" s="17"/>
      <c r="K853" s="17"/>
    </row>
    <row r="854" spans="1:11" x14ac:dyDescent="0.2">
      <c r="A854" s="115">
        <v>46186</v>
      </c>
      <c r="B854" s="93" t="s">
        <v>1497</v>
      </c>
      <c r="C854" s="94" t="s">
        <v>13</v>
      </c>
      <c r="D854" s="95">
        <v>540</v>
      </c>
      <c r="E854" s="95">
        <v>100.74</v>
      </c>
      <c r="F854" s="96">
        <v>54400</v>
      </c>
      <c r="G854" s="97" t="s">
        <v>152</v>
      </c>
      <c r="H854" s="114">
        <f t="shared" si="13"/>
        <v>46174</v>
      </c>
      <c r="I854" s="17"/>
      <c r="J854" s="17"/>
      <c r="K854" s="17"/>
    </row>
    <row r="855" spans="1:11" x14ac:dyDescent="0.2">
      <c r="A855" s="115">
        <v>46186</v>
      </c>
      <c r="B855" s="93" t="s">
        <v>1498</v>
      </c>
      <c r="C855" s="94" t="s">
        <v>526</v>
      </c>
      <c r="D855" s="95">
        <v>1739.13</v>
      </c>
      <c r="E855" s="95">
        <v>100.74</v>
      </c>
      <c r="F855" s="96">
        <v>175200</v>
      </c>
      <c r="G855" s="97" t="s">
        <v>58</v>
      </c>
      <c r="H855" s="114">
        <f t="shared" si="13"/>
        <v>46174</v>
      </c>
      <c r="I855" s="17"/>
      <c r="J855" s="17"/>
      <c r="K855" s="17"/>
    </row>
    <row r="856" spans="1:11" x14ac:dyDescent="0.2">
      <c r="A856" s="115">
        <v>46186</v>
      </c>
      <c r="B856" s="93" t="s">
        <v>1499</v>
      </c>
      <c r="C856" s="94" t="s">
        <v>525</v>
      </c>
      <c r="D856" s="95">
        <v>31.77</v>
      </c>
      <c r="E856" s="95">
        <v>100.74</v>
      </c>
      <c r="F856" s="96">
        <v>3200.5</v>
      </c>
      <c r="G856" s="97" t="s">
        <v>58</v>
      </c>
      <c r="H856" s="114">
        <f t="shared" si="13"/>
        <v>46174</v>
      </c>
      <c r="I856" s="17"/>
      <c r="J856" s="17"/>
      <c r="K856" s="17"/>
    </row>
    <row r="857" spans="1:11" x14ac:dyDescent="0.2">
      <c r="A857" s="115">
        <v>46187</v>
      </c>
      <c r="B857" s="93" t="s">
        <v>1504</v>
      </c>
      <c r="C857" s="94" t="s">
        <v>13</v>
      </c>
      <c r="D857" s="95">
        <v>2000</v>
      </c>
      <c r="E857" s="95">
        <v>100.74</v>
      </c>
      <c r="F857" s="96">
        <v>201480</v>
      </c>
      <c r="G857" s="97" t="s">
        <v>584</v>
      </c>
      <c r="H857" s="114">
        <f t="shared" si="13"/>
        <v>46174</v>
      </c>
      <c r="I857" s="17"/>
      <c r="J857" s="17"/>
      <c r="K857" s="17"/>
    </row>
    <row r="858" spans="1:11" x14ac:dyDescent="0.2">
      <c r="A858" s="115">
        <v>46187</v>
      </c>
      <c r="B858" s="93" t="s">
        <v>1505</v>
      </c>
      <c r="C858" s="94" t="s">
        <v>13</v>
      </c>
      <c r="D858" s="95">
        <v>2000</v>
      </c>
      <c r="E858" s="95">
        <v>100.74</v>
      </c>
      <c r="F858" s="96">
        <v>201480</v>
      </c>
      <c r="G858" s="97" t="s">
        <v>1532</v>
      </c>
      <c r="H858" s="114">
        <f t="shared" si="13"/>
        <v>46174</v>
      </c>
      <c r="I858" s="17"/>
      <c r="J858" s="17"/>
      <c r="K858" s="17"/>
    </row>
    <row r="859" spans="1:11" x14ac:dyDescent="0.2">
      <c r="A859" s="115">
        <v>46187</v>
      </c>
      <c r="B859" s="93" t="s">
        <v>1506</v>
      </c>
      <c r="C859" s="94" t="s">
        <v>13</v>
      </c>
      <c r="D859" s="95">
        <v>2000</v>
      </c>
      <c r="E859" s="95">
        <v>100.74</v>
      </c>
      <c r="F859" s="96">
        <v>201480</v>
      </c>
      <c r="G859" s="97" t="s">
        <v>1533</v>
      </c>
      <c r="H859" s="114">
        <f t="shared" si="13"/>
        <v>46174</v>
      </c>
      <c r="I859" s="17"/>
      <c r="J859" s="17"/>
      <c r="K859" s="17"/>
    </row>
    <row r="860" spans="1:11" x14ac:dyDescent="0.2">
      <c r="A860" s="115">
        <v>46187</v>
      </c>
      <c r="B860" s="93" t="s">
        <v>1507</v>
      </c>
      <c r="C860" s="94" t="s">
        <v>1524</v>
      </c>
      <c r="D860" s="95">
        <v>120</v>
      </c>
      <c r="E860" s="95">
        <v>100.74</v>
      </c>
      <c r="F860" s="96">
        <v>12088.8</v>
      </c>
      <c r="G860" s="97" t="s">
        <v>552</v>
      </c>
      <c r="H860" s="114">
        <f t="shared" si="13"/>
        <v>46174</v>
      </c>
      <c r="I860" s="17"/>
      <c r="J860" s="17"/>
      <c r="K860" s="17"/>
    </row>
    <row r="861" spans="1:11" x14ac:dyDescent="0.2">
      <c r="A861" s="115">
        <v>46187</v>
      </c>
      <c r="B861" s="93" t="s">
        <v>1508</v>
      </c>
      <c r="C861" s="94" t="s">
        <v>583</v>
      </c>
      <c r="D861" s="95">
        <v>44.84</v>
      </c>
      <c r="E861" s="95">
        <v>100.74</v>
      </c>
      <c r="F861" s="96">
        <v>4517.18</v>
      </c>
      <c r="G861" s="97" t="s">
        <v>136</v>
      </c>
      <c r="H861" s="114">
        <f t="shared" si="13"/>
        <v>46174</v>
      </c>
      <c r="I861" s="17"/>
      <c r="J861" s="17"/>
      <c r="K861" s="17"/>
    </row>
    <row r="862" spans="1:11" x14ac:dyDescent="0.2">
      <c r="A862" s="115">
        <v>46187</v>
      </c>
      <c r="B862" s="93" t="s">
        <v>1509</v>
      </c>
      <c r="C862" s="94" t="s">
        <v>1067</v>
      </c>
      <c r="D862" s="95">
        <v>54.6</v>
      </c>
      <c r="E862" s="95">
        <v>100.74</v>
      </c>
      <c r="F862" s="96">
        <v>5500</v>
      </c>
      <c r="G862" s="97" t="s">
        <v>257</v>
      </c>
      <c r="H862" s="114">
        <f t="shared" si="13"/>
        <v>46174</v>
      </c>
      <c r="I862" s="17"/>
      <c r="J862" s="17"/>
      <c r="K862" s="17"/>
    </row>
    <row r="863" spans="1:11" x14ac:dyDescent="0.2">
      <c r="A863" s="115">
        <v>46187</v>
      </c>
      <c r="B863" s="93" t="s">
        <v>1510</v>
      </c>
      <c r="C863" s="94" t="s">
        <v>1525</v>
      </c>
      <c r="D863" s="95">
        <v>13.67</v>
      </c>
      <c r="E863" s="95">
        <v>100.74</v>
      </c>
      <c r="F863" s="96">
        <v>1377.11</v>
      </c>
      <c r="G863" s="97" t="s">
        <v>256</v>
      </c>
      <c r="H863" s="114">
        <f t="shared" si="13"/>
        <v>46174</v>
      </c>
      <c r="I863" s="17"/>
      <c r="J863" s="17"/>
      <c r="K863" s="17"/>
    </row>
    <row r="864" spans="1:11" x14ac:dyDescent="0.2">
      <c r="A864" s="115">
        <v>46187</v>
      </c>
      <c r="B864" s="93" t="s">
        <v>1511</v>
      </c>
      <c r="C864" s="94" t="s">
        <v>1157</v>
      </c>
      <c r="D864" s="95">
        <v>95.03</v>
      </c>
      <c r="E864" s="95">
        <v>100.74</v>
      </c>
      <c r="F864" s="96">
        <v>9573.32</v>
      </c>
      <c r="G864" s="97" t="s">
        <v>714</v>
      </c>
      <c r="H864" s="114">
        <f t="shared" si="13"/>
        <v>46174</v>
      </c>
      <c r="I864" s="17"/>
      <c r="J864" s="17"/>
      <c r="K864" s="17"/>
    </row>
    <row r="865" spans="1:11" x14ac:dyDescent="0.2">
      <c r="A865" s="115">
        <v>46187</v>
      </c>
      <c r="B865" s="93" t="s">
        <v>1512</v>
      </c>
      <c r="C865" s="94" t="s">
        <v>792</v>
      </c>
      <c r="D865" s="95">
        <v>120</v>
      </c>
      <c r="E865" s="95">
        <v>100.74</v>
      </c>
      <c r="F865" s="96">
        <v>12088.8</v>
      </c>
      <c r="G865" s="97" t="s">
        <v>714</v>
      </c>
      <c r="H865" s="114">
        <f t="shared" si="13"/>
        <v>46174</v>
      </c>
      <c r="I865" s="17"/>
      <c r="J865" s="17"/>
      <c r="K865" s="17"/>
    </row>
    <row r="866" spans="1:11" x14ac:dyDescent="0.2">
      <c r="A866" s="115">
        <v>46187</v>
      </c>
      <c r="B866" s="93" t="s">
        <v>1513</v>
      </c>
      <c r="C866" s="94" t="s">
        <v>742</v>
      </c>
      <c r="D866" s="95">
        <v>109.2</v>
      </c>
      <c r="E866" s="95">
        <v>100.74</v>
      </c>
      <c r="F866" s="96">
        <v>11000.8</v>
      </c>
      <c r="G866" s="97" t="s">
        <v>714</v>
      </c>
      <c r="H866" s="114">
        <f t="shared" si="13"/>
        <v>46174</v>
      </c>
      <c r="I866" s="17"/>
      <c r="J866" s="17"/>
      <c r="K866" s="17"/>
    </row>
    <row r="867" spans="1:11" x14ac:dyDescent="0.2">
      <c r="A867" s="115">
        <v>46187</v>
      </c>
      <c r="B867" s="93" t="s">
        <v>1514</v>
      </c>
      <c r="C867" s="94" t="s">
        <v>1526</v>
      </c>
      <c r="D867" s="95">
        <v>35.049999999999997</v>
      </c>
      <c r="E867" s="95">
        <v>100.74</v>
      </c>
      <c r="F867" s="96">
        <v>3530.93</v>
      </c>
      <c r="G867" s="97" t="s">
        <v>901</v>
      </c>
      <c r="H867" s="114">
        <f t="shared" si="13"/>
        <v>46174</v>
      </c>
      <c r="I867" s="17"/>
      <c r="J867" s="17"/>
      <c r="K867" s="17"/>
    </row>
    <row r="868" spans="1:11" x14ac:dyDescent="0.2">
      <c r="A868" s="115">
        <v>46187</v>
      </c>
      <c r="B868" s="93" t="s">
        <v>1515</v>
      </c>
      <c r="C868" s="94" t="s">
        <v>1527</v>
      </c>
      <c r="D868" s="95">
        <v>50.28</v>
      </c>
      <c r="E868" s="95">
        <v>100.74</v>
      </c>
      <c r="F868" s="96">
        <v>5065.2</v>
      </c>
      <c r="G868" s="97" t="s">
        <v>901</v>
      </c>
      <c r="H868" s="114">
        <f t="shared" si="13"/>
        <v>46174</v>
      </c>
      <c r="I868" s="17"/>
      <c r="J868" s="17"/>
      <c r="K868" s="17"/>
    </row>
    <row r="869" spans="1:11" x14ac:dyDescent="0.2">
      <c r="A869" s="115">
        <v>46187</v>
      </c>
      <c r="B869" s="93" t="s">
        <v>1516</v>
      </c>
      <c r="C869" s="94" t="s">
        <v>1528</v>
      </c>
      <c r="D869" s="95">
        <v>146</v>
      </c>
      <c r="E869" s="95">
        <v>100.74</v>
      </c>
      <c r="F869" s="96">
        <v>14708.04</v>
      </c>
      <c r="G869" s="97" t="s">
        <v>59</v>
      </c>
      <c r="H869" s="114">
        <f t="shared" si="13"/>
        <v>46174</v>
      </c>
      <c r="I869" s="17"/>
      <c r="J869" s="17"/>
      <c r="K869" s="17"/>
    </row>
    <row r="870" spans="1:11" x14ac:dyDescent="0.2">
      <c r="A870" s="115">
        <v>46187</v>
      </c>
      <c r="B870" s="93" t="s">
        <v>1517</v>
      </c>
      <c r="C870" s="94" t="s">
        <v>1529</v>
      </c>
      <c r="D870" s="95">
        <v>196</v>
      </c>
      <c r="E870" s="95">
        <v>100.74</v>
      </c>
      <c r="F870" s="96">
        <v>19745.04</v>
      </c>
      <c r="G870" s="97" t="s">
        <v>59</v>
      </c>
      <c r="H870" s="114">
        <f t="shared" si="13"/>
        <v>46174</v>
      </c>
      <c r="I870" s="17"/>
      <c r="J870" s="17"/>
      <c r="K870" s="17"/>
    </row>
    <row r="871" spans="1:11" x14ac:dyDescent="0.2">
      <c r="A871" s="115">
        <v>46187</v>
      </c>
      <c r="B871" s="93" t="s">
        <v>1518</v>
      </c>
      <c r="C871" s="94" t="s">
        <v>1530</v>
      </c>
      <c r="D871" s="95">
        <v>200</v>
      </c>
      <c r="E871" s="95">
        <v>100.74</v>
      </c>
      <c r="F871" s="96">
        <v>20148</v>
      </c>
      <c r="G871" s="97" t="s">
        <v>59</v>
      </c>
      <c r="H871" s="114">
        <f t="shared" si="13"/>
        <v>46174</v>
      </c>
      <c r="I871" s="17"/>
      <c r="J871" s="17"/>
      <c r="K871" s="17"/>
    </row>
    <row r="872" spans="1:11" x14ac:dyDescent="0.2">
      <c r="A872" s="115">
        <v>46187</v>
      </c>
      <c r="B872" s="93" t="s">
        <v>1519</v>
      </c>
      <c r="C872" s="94" t="s">
        <v>1531</v>
      </c>
      <c r="D872" s="95">
        <v>184</v>
      </c>
      <c r="E872" s="95">
        <v>100.74</v>
      </c>
      <c r="F872" s="96">
        <v>18536.16</v>
      </c>
      <c r="G872" s="97" t="s">
        <v>59</v>
      </c>
      <c r="H872" s="114">
        <f t="shared" si="13"/>
        <v>46174</v>
      </c>
      <c r="I872" s="17"/>
      <c r="J872" s="17"/>
      <c r="K872" s="17"/>
    </row>
    <row r="873" spans="1:11" x14ac:dyDescent="0.2">
      <c r="A873" s="115">
        <v>46187</v>
      </c>
      <c r="B873" s="93" t="s">
        <v>1520</v>
      </c>
      <c r="C873" s="94" t="s">
        <v>13</v>
      </c>
      <c r="D873" s="95">
        <v>50</v>
      </c>
      <c r="E873" s="95">
        <v>100.74</v>
      </c>
      <c r="F873" s="96">
        <v>5037</v>
      </c>
      <c r="G873" s="100" t="s">
        <v>57</v>
      </c>
      <c r="H873" s="114">
        <f t="shared" si="13"/>
        <v>46174</v>
      </c>
      <c r="I873" s="17"/>
      <c r="J873" s="17"/>
      <c r="K873" s="17"/>
    </row>
    <row r="874" spans="1:11" x14ac:dyDescent="0.2">
      <c r="A874" s="115">
        <v>46187</v>
      </c>
      <c r="B874" s="93" t="s">
        <v>1521</v>
      </c>
      <c r="C874" s="94" t="s">
        <v>13</v>
      </c>
      <c r="D874" s="95">
        <v>688.9</v>
      </c>
      <c r="E874" s="95">
        <v>100.74</v>
      </c>
      <c r="F874" s="96">
        <v>69400</v>
      </c>
      <c r="G874" s="100" t="s">
        <v>152</v>
      </c>
      <c r="H874" s="114">
        <f t="shared" si="13"/>
        <v>46174</v>
      </c>
      <c r="I874" s="17"/>
      <c r="J874" s="17"/>
      <c r="K874" s="17"/>
    </row>
    <row r="875" spans="1:11" x14ac:dyDescent="0.2">
      <c r="A875" s="115">
        <v>46187</v>
      </c>
      <c r="B875" s="93" t="s">
        <v>1522</v>
      </c>
      <c r="C875" s="94" t="s">
        <v>525</v>
      </c>
      <c r="D875" s="95">
        <v>307.94</v>
      </c>
      <c r="E875" s="95">
        <v>100.74</v>
      </c>
      <c r="F875" s="96">
        <v>31022.2</v>
      </c>
      <c r="G875" s="100" t="s">
        <v>58</v>
      </c>
      <c r="H875" s="114">
        <f t="shared" si="13"/>
        <v>46174</v>
      </c>
      <c r="I875" s="17"/>
      <c r="J875" s="17"/>
      <c r="K875" s="17"/>
    </row>
    <row r="876" spans="1:11" x14ac:dyDescent="0.2">
      <c r="A876" s="115">
        <v>46187</v>
      </c>
      <c r="B876" s="93" t="s">
        <v>1523</v>
      </c>
      <c r="C876" s="94" t="s">
        <v>526</v>
      </c>
      <c r="D876" s="95">
        <v>1857.26</v>
      </c>
      <c r="E876" s="95">
        <v>100.74</v>
      </c>
      <c r="F876" s="96">
        <v>187100</v>
      </c>
      <c r="G876" s="100" t="s">
        <v>58</v>
      </c>
      <c r="H876" s="114">
        <f t="shared" si="13"/>
        <v>46174</v>
      </c>
      <c r="I876" s="17"/>
      <c r="J876" s="17"/>
      <c r="K876" s="17"/>
    </row>
    <row r="877" spans="1:11" x14ac:dyDescent="0.2">
      <c r="A877" s="115">
        <v>46188</v>
      </c>
      <c r="B877" s="93" t="s">
        <v>1537</v>
      </c>
      <c r="C877" s="94" t="s">
        <v>526</v>
      </c>
      <c r="D877" s="95">
        <v>2513.4</v>
      </c>
      <c r="E877" s="95">
        <v>100.74</v>
      </c>
      <c r="F877" s="96">
        <v>253200</v>
      </c>
      <c r="G877" s="100" t="s">
        <v>58</v>
      </c>
      <c r="H877" s="114">
        <f t="shared" si="13"/>
        <v>46174</v>
      </c>
      <c r="I877" s="17"/>
      <c r="J877" s="17"/>
      <c r="K877" s="17"/>
    </row>
    <row r="878" spans="1:11" x14ac:dyDescent="0.2">
      <c r="A878" s="115">
        <v>46188</v>
      </c>
      <c r="B878" s="93" t="s">
        <v>1538</v>
      </c>
      <c r="C878" s="94" t="s">
        <v>13</v>
      </c>
      <c r="D878" s="95">
        <v>521.14</v>
      </c>
      <c r="E878" s="95">
        <v>100.74</v>
      </c>
      <c r="F878" s="96">
        <v>52500</v>
      </c>
      <c r="G878" s="100" t="s">
        <v>152</v>
      </c>
      <c r="H878" s="114">
        <f t="shared" si="13"/>
        <v>46174</v>
      </c>
      <c r="I878" s="17"/>
      <c r="J878" s="17"/>
      <c r="K878" s="17"/>
    </row>
    <row r="879" spans="1:11" x14ac:dyDescent="0.2">
      <c r="A879" s="115">
        <v>46188</v>
      </c>
      <c r="B879" s="93" t="s">
        <v>1539</v>
      </c>
      <c r="C879" s="94" t="s">
        <v>13</v>
      </c>
      <c r="D879" s="95">
        <v>99.27</v>
      </c>
      <c r="E879" s="95">
        <v>100.74</v>
      </c>
      <c r="F879" s="96">
        <v>10000</v>
      </c>
      <c r="G879" s="100" t="s">
        <v>57</v>
      </c>
      <c r="H879" s="114">
        <f t="shared" si="13"/>
        <v>46174</v>
      </c>
      <c r="I879" s="17"/>
      <c r="J879" s="17"/>
      <c r="K879" s="17"/>
    </row>
    <row r="880" spans="1:11" x14ac:dyDescent="0.2">
      <c r="A880" s="115">
        <v>46188</v>
      </c>
      <c r="B880" s="93" t="s">
        <v>1540</v>
      </c>
      <c r="C880" s="94" t="s">
        <v>248</v>
      </c>
      <c r="D880" s="95">
        <v>1000</v>
      </c>
      <c r="E880" s="95">
        <v>100.74</v>
      </c>
      <c r="F880" s="96">
        <v>100740</v>
      </c>
      <c r="G880" s="100" t="s">
        <v>256</v>
      </c>
      <c r="H880" s="114">
        <f t="shared" si="13"/>
        <v>46174</v>
      </c>
      <c r="I880" s="17"/>
      <c r="J880" s="17"/>
      <c r="K880" s="17"/>
    </row>
    <row r="881" spans="1:11" x14ac:dyDescent="0.2">
      <c r="A881" s="115">
        <v>46188</v>
      </c>
      <c r="B881" s="93" t="s">
        <v>1541</v>
      </c>
      <c r="C881" s="94" t="s">
        <v>428</v>
      </c>
      <c r="D881" s="95">
        <v>44.46</v>
      </c>
      <c r="E881" s="95">
        <v>100.74</v>
      </c>
      <c r="F881" s="96">
        <v>4478.8999999999996</v>
      </c>
      <c r="G881" s="100" t="s">
        <v>257</v>
      </c>
      <c r="H881" s="114">
        <f t="shared" si="13"/>
        <v>46174</v>
      </c>
      <c r="I881" s="17"/>
      <c r="J881" s="17"/>
      <c r="K881" s="17"/>
    </row>
    <row r="882" spans="1:11" x14ac:dyDescent="0.2">
      <c r="A882" s="115">
        <v>46188</v>
      </c>
      <c r="B882" s="93" t="s">
        <v>1542</v>
      </c>
      <c r="C882" s="94" t="s">
        <v>129</v>
      </c>
      <c r="D882" s="95">
        <v>113.36</v>
      </c>
      <c r="E882" s="95">
        <v>100.74</v>
      </c>
      <c r="F882" s="96">
        <v>11419.88</v>
      </c>
      <c r="G882" s="100" t="s">
        <v>56</v>
      </c>
      <c r="H882" s="114">
        <f t="shared" si="13"/>
        <v>46174</v>
      </c>
      <c r="I882" s="17"/>
      <c r="J882" s="17"/>
      <c r="K882" s="17"/>
    </row>
    <row r="883" spans="1:11" x14ac:dyDescent="0.2">
      <c r="A883" s="115">
        <v>46188</v>
      </c>
      <c r="B883" s="93" t="s">
        <v>1543</v>
      </c>
      <c r="C883" s="94" t="s">
        <v>130</v>
      </c>
      <c r="D883" s="95">
        <v>66.47</v>
      </c>
      <c r="E883" s="95">
        <v>100.74</v>
      </c>
      <c r="F883" s="96">
        <v>6696.18</v>
      </c>
      <c r="G883" s="100" t="s">
        <v>137</v>
      </c>
      <c r="H883" s="114">
        <f t="shared" si="13"/>
        <v>46174</v>
      </c>
      <c r="I883" s="17"/>
      <c r="J883" s="17"/>
      <c r="K883" s="17"/>
    </row>
    <row r="884" spans="1:11" x14ac:dyDescent="0.2">
      <c r="A884" s="115">
        <v>46188</v>
      </c>
      <c r="B884" s="93" t="s">
        <v>1544</v>
      </c>
      <c r="C884" s="94" t="s">
        <v>1547</v>
      </c>
      <c r="D884" s="95">
        <v>196</v>
      </c>
      <c r="E884" s="95">
        <v>100.74</v>
      </c>
      <c r="F884" s="96">
        <v>19745.04</v>
      </c>
      <c r="G884" s="100" t="s">
        <v>59</v>
      </c>
      <c r="H884" s="114">
        <f t="shared" si="13"/>
        <v>46174</v>
      </c>
      <c r="I884" s="17"/>
      <c r="J884" s="17"/>
      <c r="K884" s="17"/>
    </row>
    <row r="885" spans="1:11" x14ac:dyDescent="0.2">
      <c r="A885" s="115">
        <v>46188</v>
      </c>
      <c r="B885" s="93" t="s">
        <v>1545</v>
      </c>
      <c r="C885" s="94" t="s">
        <v>1548</v>
      </c>
      <c r="D885" s="95">
        <v>176</v>
      </c>
      <c r="E885" s="95">
        <v>100.74</v>
      </c>
      <c r="F885" s="96">
        <v>17730.240000000002</v>
      </c>
      <c r="G885" s="100" t="s">
        <v>59</v>
      </c>
      <c r="H885" s="114">
        <f t="shared" si="13"/>
        <v>46174</v>
      </c>
      <c r="I885" s="17"/>
      <c r="J885" s="17"/>
      <c r="K885" s="17"/>
    </row>
    <row r="886" spans="1:11" x14ac:dyDescent="0.2">
      <c r="A886" s="115">
        <v>46188</v>
      </c>
      <c r="B886" s="93" t="s">
        <v>1546</v>
      </c>
      <c r="C886" s="94" t="s">
        <v>1548</v>
      </c>
      <c r="D886" s="95">
        <v>188</v>
      </c>
      <c r="E886" s="95">
        <v>100.74</v>
      </c>
      <c r="F886" s="96">
        <v>18939.12</v>
      </c>
      <c r="G886" s="100" t="s">
        <v>59</v>
      </c>
      <c r="H886" s="114">
        <f t="shared" si="13"/>
        <v>46174</v>
      </c>
      <c r="I886" s="17"/>
      <c r="J886" s="17"/>
      <c r="K886" s="17"/>
    </row>
    <row r="887" spans="1:11" x14ac:dyDescent="0.2">
      <c r="A887" s="115">
        <v>46189</v>
      </c>
      <c r="B887" s="93" t="s">
        <v>1552</v>
      </c>
      <c r="C887" s="94" t="s">
        <v>1591</v>
      </c>
      <c r="D887" s="95">
        <v>150</v>
      </c>
      <c r="E887" s="95">
        <v>100.74</v>
      </c>
      <c r="F887" s="96">
        <v>15111</v>
      </c>
      <c r="G887" s="100" t="s">
        <v>96</v>
      </c>
      <c r="H887" s="114">
        <f t="shared" si="13"/>
        <v>46174</v>
      </c>
      <c r="I887" s="17"/>
      <c r="J887" s="17"/>
      <c r="K887" s="17"/>
    </row>
    <row r="888" spans="1:11" x14ac:dyDescent="0.2">
      <c r="A888" s="115">
        <v>46189</v>
      </c>
      <c r="B888" s="93" t="s">
        <v>1553</v>
      </c>
      <c r="C888" s="94" t="s">
        <v>1592</v>
      </c>
      <c r="D888" s="95">
        <v>150</v>
      </c>
      <c r="E888" s="95">
        <v>100.74</v>
      </c>
      <c r="F888" s="96">
        <v>15111</v>
      </c>
      <c r="G888" s="100" t="s">
        <v>96</v>
      </c>
      <c r="H888" s="114">
        <f t="shared" si="13"/>
        <v>46174</v>
      </c>
      <c r="I888" s="17"/>
      <c r="J888" s="17"/>
      <c r="K888" s="17"/>
    </row>
    <row r="889" spans="1:11" x14ac:dyDescent="0.2">
      <c r="A889" s="115">
        <v>46189</v>
      </c>
      <c r="B889" s="93" t="s">
        <v>1554</v>
      </c>
      <c r="C889" s="94" t="s">
        <v>1593</v>
      </c>
      <c r="D889" s="95">
        <v>150</v>
      </c>
      <c r="E889" s="95">
        <v>100.74</v>
      </c>
      <c r="F889" s="96">
        <v>15111</v>
      </c>
      <c r="G889" s="100" t="s">
        <v>96</v>
      </c>
      <c r="H889" s="114">
        <f t="shared" si="13"/>
        <v>46174</v>
      </c>
      <c r="I889" s="17"/>
      <c r="J889" s="17"/>
      <c r="K889" s="17"/>
    </row>
    <row r="890" spans="1:11" x14ac:dyDescent="0.2">
      <c r="A890" s="115">
        <v>46189</v>
      </c>
      <c r="B890" s="93" t="s">
        <v>1555</v>
      </c>
      <c r="C890" s="94" t="s">
        <v>1594</v>
      </c>
      <c r="D890" s="95">
        <v>150</v>
      </c>
      <c r="E890" s="95">
        <v>100.74</v>
      </c>
      <c r="F890" s="96">
        <v>15111</v>
      </c>
      <c r="G890" s="100" t="s">
        <v>96</v>
      </c>
      <c r="H890" s="114">
        <f t="shared" si="13"/>
        <v>46174</v>
      </c>
      <c r="I890" s="17"/>
      <c r="J890" s="17"/>
      <c r="K890" s="17"/>
    </row>
    <row r="891" spans="1:11" x14ac:dyDescent="0.2">
      <c r="A891" s="115">
        <v>46189</v>
      </c>
      <c r="B891" s="93" t="s">
        <v>1556</v>
      </c>
      <c r="C891" s="94" t="s">
        <v>1595</v>
      </c>
      <c r="D891" s="95">
        <v>150</v>
      </c>
      <c r="E891" s="95">
        <v>100.74</v>
      </c>
      <c r="F891" s="96">
        <v>15111</v>
      </c>
      <c r="G891" s="100" t="s">
        <v>96</v>
      </c>
      <c r="H891" s="114">
        <f t="shared" si="13"/>
        <v>46174</v>
      </c>
      <c r="I891" s="17"/>
      <c r="J891" s="17"/>
      <c r="K891" s="17"/>
    </row>
    <row r="892" spans="1:11" x14ac:dyDescent="0.2">
      <c r="A892" s="115">
        <v>46189</v>
      </c>
      <c r="B892" s="93" t="s">
        <v>1557</v>
      </c>
      <c r="C892" s="94" t="s">
        <v>1596</v>
      </c>
      <c r="D892" s="95">
        <v>150</v>
      </c>
      <c r="E892" s="95">
        <v>100.74</v>
      </c>
      <c r="F892" s="96">
        <v>15111</v>
      </c>
      <c r="G892" s="97" t="s">
        <v>96</v>
      </c>
      <c r="H892" s="114">
        <f t="shared" si="13"/>
        <v>46174</v>
      </c>
      <c r="I892" s="17"/>
      <c r="J892" s="17"/>
      <c r="K892" s="17"/>
    </row>
    <row r="893" spans="1:11" x14ac:dyDescent="0.2">
      <c r="A893" s="115">
        <v>46189</v>
      </c>
      <c r="B893" s="93" t="s">
        <v>1558</v>
      </c>
      <c r="C893" s="94" t="s">
        <v>1597</v>
      </c>
      <c r="D893" s="95">
        <v>150</v>
      </c>
      <c r="E893" s="95">
        <v>100.74</v>
      </c>
      <c r="F893" s="96">
        <v>15111</v>
      </c>
      <c r="G893" s="97" t="s">
        <v>96</v>
      </c>
      <c r="H893" s="114">
        <f t="shared" si="13"/>
        <v>46174</v>
      </c>
      <c r="I893" s="17"/>
      <c r="J893" s="17"/>
      <c r="K893" s="17"/>
    </row>
    <row r="894" spans="1:11" x14ac:dyDescent="0.2">
      <c r="A894" s="115">
        <v>46189</v>
      </c>
      <c r="B894" s="93" t="s">
        <v>1559</v>
      </c>
      <c r="C894" s="94" t="s">
        <v>1598</v>
      </c>
      <c r="D894" s="95">
        <v>150</v>
      </c>
      <c r="E894" s="95">
        <v>100.74</v>
      </c>
      <c r="F894" s="96">
        <v>15111</v>
      </c>
      <c r="G894" s="97" t="s">
        <v>96</v>
      </c>
      <c r="H894" s="114">
        <f t="shared" si="13"/>
        <v>46174</v>
      </c>
      <c r="I894" s="17"/>
      <c r="J894" s="17"/>
      <c r="K894" s="17"/>
    </row>
    <row r="895" spans="1:11" x14ac:dyDescent="0.2">
      <c r="A895" s="115">
        <v>46189</v>
      </c>
      <c r="B895" s="93" t="s">
        <v>1560</v>
      </c>
      <c r="C895" s="94" t="s">
        <v>1599</v>
      </c>
      <c r="D895" s="95">
        <v>150</v>
      </c>
      <c r="E895" s="95">
        <v>100.74</v>
      </c>
      <c r="F895" s="96">
        <v>15111</v>
      </c>
      <c r="G895" s="97" t="s">
        <v>96</v>
      </c>
      <c r="H895" s="114">
        <f t="shared" si="13"/>
        <v>46174</v>
      </c>
      <c r="I895" s="17"/>
      <c r="J895" s="17"/>
      <c r="K895" s="17"/>
    </row>
    <row r="896" spans="1:11" x14ac:dyDescent="0.2">
      <c r="A896" s="115">
        <v>46189</v>
      </c>
      <c r="B896" s="93" t="s">
        <v>1561</v>
      </c>
      <c r="C896" s="94" t="s">
        <v>1600</v>
      </c>
      <c r="D896" s="95">
        <v>150</v>
      </c>
      <c r="E896" s="95">
        <v>100.74</v>
      </c>
      <c r="F896" s="96">
        <v>15111</v>
      </c>
      <c r="G896" s="97" t="s">
        <v>96</v>
      </c>
      <c r="H896" s="114">
        <f t="shared" si="13"/>
        <v>46174</v>
      </c>
      <c r="I896" s="17"/>
      <c r="J896" s="17"/>
      <c r="K896" s="17"/>
    </row>
    <row r="897" spans="1:11" x14ac:dyDescent="0.2">
      <c r="A897" s="115">
        <v>46189</v>
      </c>
      <c r="B897" s="93" t="s">
        <v>1562</v>
      </c>
      <c r="C897" s="94" t="s">
        <v>1591</v>
      </c>
      <c r="D897" s="95">
        <v>150</v>
      </c>
      <c r="E897" s="95">
        <v>100.74</v>
      </c>
      <c r="F897" s="96">
        <v>15111</v>
      </c>
      <c r="G897" s="97" t="s">
        <v>96</v>
      </c>
      <c r="H897" s="114">
        <f t="shared" si="13"/>
        <v>46174</v>
      </c>
      <c r="I897" s="17"/>
      <c r="J897" s="17"/>
      <c r="K897" s="17"/>
    </row>
    <row r="898" spans="1:11" x14ac:dyDescent="0.2">
      <c r="A898" s="115">
        <v>46189</v>
      </c>
      <c r="B898" s="93" t="s">
        <v>1563</v>
      </c>
      <c r="C898" s="94" t="s">
        <v>1592</v>
      </c>
      <c r="D898" s="95">
        <v>150</v>
      </c>
      <c r="E898" s="95">
        <v>100.74</v>
      </c>
      <c r="F898" s="96">
        <v>15111</v>
      </c>
      <c r="G898" s="97" t="s">
        <v>96</v>
      </c>
      <c r="H898" s="114">
        <f t="shared" si="13"/>
        <v>46174</v>
      </c>
      <c r="I898" s="17"/>
      <c r="J898" s="17"/>
      <c r="K898" s="17"/>
    </row>
    <row r="899" spans="1:11" x14ac:dyDescent="0.2">
      <c r="A899" s="115">
        <v>46189</v>
      </c>
      <c r="B899" s="93" t="s">
        <v>1564</v>
      </c>
      <c r="C899" s="94" t="s">
        <v>1593</v>
      </c>
      <c r="D899" s="95">
        <v>150</v>
      </c>
      <c r="E899" s="95">
        <v>100.74</v>
      </c>
      <c r="F899" s="96">
        <v>15111</v>
      </c>
      <c r="G899" s="97" t="s">
        <v>96</v>
      </c>
      <c r="H899" s="114">
        <f t="shared" si="13"/>
        <v>46174</v>
      </c>
      <c r="I899" s="17"/>
      <c r="J899" s="17"/>
      <c r="K899" s="17"/>
    </row>
    <row r="900" spans="1:11" x14ac:dyDescent="0.2">
      <c r="A900" s="115">
        <v>46189</v>
      </c>
      <c r="B900" s="93" t="s">
        <v>1565</v>
      </c>
      <c r="C900" s="94" t="s">
        <v>1594</v>
      </c>
      <c r="D900" s="95">
        <v>150</v>
      </c>
      <c r="E900" s="95">
        <v>100.74</v>
      </c>
      <c r="F900" s="96">
        <v>15111</v>
      </c>
      <c r="G900" s="97" t="s">
        <v>96</v>
      </c>
      <c r="H900" s="114">
        <f t="shared" ref="H900:H963" si="14">IF(A900&lt;&gt;"", EOMONTH(A900, -1) + 1, "")</f>
        <v>46174</v>
      </c>
      <c r="I900" s="17"/>
      <c r="J900" s="17"/>
      <c r="K900" s="17"/>
    </row>
    <row r="901" spans="1:11" x14ac:dyDescent="0.2">
      <c r="A901" s="115">
        <v>46189</v>
      </c>
      <c r="B901" s="93" t="s">
        <v>1566</v>
      </c>
      <c r="C901" s="94" t="s">
        <v>1595</v>
      </c>
      <c r="D901" s="95">
        <v>150</v>
      </c>
      <c r="E901" s="95">
        <v>100.74</v>
      </c>
      <c r="F901" s="96">
        <v>15111</v>
      </c>
      <c r="G901" s="97" t="s">
        <v>96</v>
      </c>
      <c r="H901" s="114">
        <f t="shared" si="14"/>
        <v>46174</v>
      </c>
      <c r="I901" s="17"/>
      <c r="J901" s="17"/>
      <c r="K901" s="17"/>
    </row>
    <row r="902" spans="1:11" x14ac:dyDescent="0.2">
      <c r="A902" s="115">
        <v>46189</v>
      </c>
      <c r="B902" s="93" t="s">
        <v>1567</v>
      </c>
      <c r="C902" s="94" t="s">
        <v>1596</v>
      </c>
      <c r="D902" s="95">
        <v>150</v>
      </c>
      <c r="E902" s="95">
        <v>100.74</v>
      </c>
      <c r="F902" s="96">
        <v>15111</v>
      </c>
      <c r="G902" s="97" t="s">
        <v>96</v>
      </c>
      <c r="H902" s="114">
        <f t="shared" si="14"/>
        <v>46174</v>
      </c>
      <c r="I902" s="17"/>
      <c r="J902" s="17"/>
      <c r="K902" s="17"/>
    </row>
    <row r="903" spans="1:11" x14ac:dyDescent="0.2">
      <c r="A903" s="115">
        <v>46189</v>
      </c>
      <c r="B903" s="93" t="s">
        <v>1568</v>
      </c>
      <c r="C903" s="94" t="s">
        <v>1597</v>
      </c>
      <c r="D903" s="95">
        <v>150</v>
      </c>
      <c r="E903" s="95">
        <v>100.74</v>
      </c>
      <c r="F903" s="96">
        <v>15111</v>
      </c>
      <c r="G903" s="97" t="s">
        <v>96</v>
      </c>
      <c r="H903" s="114">
        <f t="shared" si="14"/>
        <v>46174</v>
      </c>
      <c r="I903" s="17"/>
      <c r="J903" s="17"/>
      <c r="K903" s="17"/>
    </row>
    <row r="904" spans="1:11" x14ac:dyDescent="0.2">
      <c r="A904" s="115">
        <v>46189</v>
      </c>
      <c r="B904" s="93" t="s">
        <v>1569</v>
      </c>
      <c r="C904" s="94" t="s">
        <v>1598</v>
      </c>
      <c r="D904" s="95">
        <v>150</v>
      </c>
      <c r="E904" s="95">
        <v>100.74</v>
      </c>
      <c r="F904" s="96">
        <v>15111</v>
      </c>
      <c r="G904" s="97" t="s">
        <v>96</v>
      </c>
      <c r="H904" s="114">
        <f t="shared" si="14"/>
        <v>46174</v>
      </c>
      <c r="I904" s="17"/>
      <c r="J904" s="17"/>
      <c r="K904" s="17"/>
    </row>
    <row r="905" spans="1:11" x14ac:dyDescent="0.2">
      <c r="A905" s="115">
        <v>46189</v>
      </c>
      <c r="B905" s="93" t="s">
        <v>1570</v>
      </c>
      <c r="C905" s="94" t="s">
        <v>1599</v>
      </c>
      <c r="D905" s="95">
        <v>150</v>
      </c>
      <c r="E905" s="95">
        <v>100.74</v>
      </c>
      <c r="F905" s="96">
        <v>15111</v>
      </c>
      <c r="G905" s="97" t="s">
        <v>96</v>
      </c>
      <c r="H905" s="114">
        <f t="shared" si="14"/>
        <v>46174</v>
      </c>
      <c r="I905" s="17"/>
      <c r="J905" s="17"/>
      <c r="K905" s="17"/>
    </row>
    <row r="906" spans="1:11" x14ac:dyDescent="0.2">
      <c r="A906" s="115">
        <v>46189</v>
      </c>
      <c r="B906" s="93" t="s">
        <v>1571</v>
      </c>
      <c r="C906" s="94" t="s">
        <v>1600</v>
      </c>
      <c r="D906" s="95">
        <v>150</v>
      </c>
      <c r="E906" s="95">
        <v>100.74</v>
      </c>
      <c r="F906" s="96">
        <v>15111</v>
      </c>
      <c r="G906" s="97" t="s">
        <v>96</v>
      </c>
      <c r="H906" s="114">
        <f t="shared" si="14"/>
        <v>46174</v>
      </c>
      <c r="I906" s="17"/>
      <c r="J906" s="17"/>
      <c r="K906" s="17"/>
    </row>
    <row r="907" spans="1:11" x14ac:dyDescent="0.2">
      <c r="A907" s="115">
        <v>46189</v>
      </c>
      <c r="B907" s="93" t="s">
        <v>1572</v>
      </c>
      <c r="C907" s="94" t="s">
        <v>41</v>
      </c>
      <c r="D907" s="95">
        <v>34.82</v>
      </c>
      <c r="E907" s="95">
        <v>100.74</v>
      </c>
      <c r="F907" s="96">
        <v>3507.77</v>
      </c>
      <c r="G907" s="97" t="s">
        <v>53</v>
      </c>
      <c r="H907" s="114">
        <f t="shared" si="14"/>
        <v>46174</v>
      </c>
      <c r="I907" s="17"/>
      <c r="J907" s="17"/>
      <c r="K907" s="17"/>
    </row>
    <row r="908" spans="1:11" x14ac:dyDescent="0.2">
      <c r="A908" s="115">
        <v>46189</v>
      </c>
      <c r="B908" s="93" t="s">
        <v>1573</v>
      </c>
      <c r="C908" s="94" t="s">
        <v>1601</v>
      </c>
      <c r="D908" s="95">
        <v>25</v>
      </c>
      <c r="E908" s="95">
        <v>100.74</v>
      </c>
      <c r="F908" s="96">
        <v>2518.5</v>
      </c>
      <c r="G908" s="97" t="s">
        <v>1646</v>
      </c>
      <c r="H908" s="114">
        <f t="shared" si="14"/>
        <v>46174</v>
      </c>
      <c r="I908" s="17"/>
      <c r="J908" s="17"/>
      <c r="K908" s="17"/>
    </row>
    <row r="909" spans="1:11" x14ac:dyDescent="0.2">
      <c r="A909" s="115">
        <v>46189</v>
      </c>
      <c r="B909" s="93" t="s">
        <v>1574</v>
      </c>
      <c r="C909" s="94" t="s">
        <v>1602</v>
      </c>
      <c r="D909" s="95">
        <v>52.3</v>
      </c>
      <c r="E909" s="95">
        <v>100.74</v>
      </c>
      <c r="F909" s="96">
        <v>5268.7</v>
      </c>
      <c r="G909" s="97" t="s">
        <v>1646</v>
      </c>
      <c r="H909" s="114">
        <f t="shared" si="14"/>
        <v>46174</v>
      </c>
      <c r="I909" s="17"/>
      <c r="J909" s="17"/>
      <c r="K909" s="17"/>
    </row>
    <row r="910" spans="1:11" x14ac:dyDescent="0.2">
      <c r="A910" s="115">
        <v>46189</v>
      </c>
      <c r="B910" s="93" t="s">
        <v>1575</v>
      </c>
      <c r="C910" s="94" t="s">
        <v>521</v>
      </c>
      <c r="D910" s="95">
        <v>50.38</v>
      </c>
      <c r="E910" s="95">
        <v>100.74</v>
      </c>
      <c r="F910" s="96">
        <v>5075.28</v>
      </c>
      <c r="G910" s="97" t="s">
        <v>257</v>
      </c>
      <c r="H910" s="114">
        <f t="shared" si="14"/>
        <v>46174</v>
      </c>
      <c r="I910" s="17"/>
      <c r="J910" s="17"/>
      <c r="K910" s="17"/>
    </row>
    <row r="911" spans="1:11" x14ac:dyDescent="0.2">
      <c r="A911" s="115">
        <v>46189</v>
      </c>
      <c r="B911" s="93" t="s">
        <v>1576</v>
      </c>
      <c r="C911" s="94" t="s">
        <v>1157</v>
      </c>
      <c r="D911" s="95">
        <v>74.61</v>
      </c>
      <c r="E911" s="95">
        <v>100.74</v>
      </c>
      <c r="F911" s="96">
        <v>7516.21</v>
      </c>
      <c r="G911" s="97" t="s">
        <v>714</v>
      </c>
      <c r="H911" s="114">
        <f t="shared" si="14"/>
        <v>46174</v>
      </c>
      <c r="I911" s="17"/>
      <c r="J911" s="17"/>
      <c r="K911" s="17"/>
    </row>
    <row r="912" spans="1:11" x14ac:dyDescent="0.2">
      <c r="A912" s="115">
        <v>46189</v>
      </c>
      <c r="B912" s="93" t="s">
        <v>1577</v>
      </c>
      <c r="C912" s="94" t="s">
        <v>526</v>
      </c>
      <c r="D912" s="95">
        <v>1216.99</v>
      </c>
      <c r="E912" s="95">
        <v>100.74</v>
      </c>
      <c r="F912" s="96">
        <v>122600</v>
      </c>
      <c r="G912" s="97" t="s">
        <v>58</v>
      </c>
      <c r="H912" s="114">
        <f t="shared" si="14"/>
        <v>46174</v>
      </c>
      <c r="I912" s="17"/>
      <c r="J912" s="17"/>
      <c r="K912" s="17"/>
    </row>
    <row r="913" spans="1:11" x14ac:dyDescent="0.2">
      <c r="A913" s="115">
        <v>46189</v>
      </c>
      <c r="B913" s="93" t="s">
        <v>1578</v>
      </c>
      <c r="C913" s="94" t="s">
        <v>13</v>
      </c>
      <c r="D913" s="95">
        <v>893.39</v>
      </c>
      <c r="E913" s="95">
        <v>100.74</v>
      </c>
      <c r="F913" s="96">
        <v>90000</v>
      </c>
      <c r="G913" s="100" t="s">
        <v>152</v>
      </c>
      <c r="H913" s="114">
        <f t="shared" si="14"/>
        <v>46174</v>
      </c>
      <c r="I913" s="17"/>
      <c r="J913" s="17"/>
      <c r="K913" s="17"/>
    </row>
    <row r="914" spans="1:11" x14ac:dyDescent="0.2">
      <c r="A914" s="115">
        <v>46189</v>
      </c>
      <c r="B914" s="93" t="s">
        <v>1579</v>
      </c>
      <c r="C914" s="94" t="s">
        <v>1603</v>
      </c>
      <c r="D914" s="95">
        <v>165</v>
      </c>
      <c r="E914" s="95">
        <v>100.74</v>
      </c>
      <c r="F914" s="96">
        <v>16622.099999999999</v>
      </c>
      <c r="G914" s="100" t="s">
        <v>256</v>
      </c>
      <c r="H914" s="114">
        <f t="shared" si="14"/>
        <v>46174</v>
      </c>
      <c r="I914" s="17"/>
      <c r="J914" s="17"/>
      <c r="K914" s="17"/>
    </row>
    <row r="915" spans="1:11" x14ac:dyDescent="0.2">
      <c r="A915" s="115">
        <v>46189</v>
      </c>
      <c r="B915" s="93" t="s">
        <v>1580</v>
      </c>
      <c r="C915" s="94" t="s">
        <v>1604</v>
      </c>
      <c r="D915" s="95">
        <v>165</v>
      </c>
      <c r="E915" s="95">
        <v>100.74</v>
      </c>
      <c r="F915" s="96">
        <v>16622.099999999999</v>
      </c>
      <c r="G915" s="100" t="s">
        <v>256</v>
      </c>
      <c r="H915" s="114">
        <f t="shared" si="14"/>
        <v>46174</v>
      </c>
      <c r="I915" s="17"/>
      <c r="J915" s="17"/>
      <c r="K915" s="17"/>
    </row>
    <row r="916" spans="1:11" x14ac:dyDescent="0.2">
      <c r="A916" s="115">
        <v>46189</v>
      </c>
      <c r="B916" s="93" t="s">
        <v>1581</v>
      </c>
      <c r="C916" s="94" t="s">
        <v>1605</v>
      </c>
      <c r="D916" s="95">
        <v>165</v>
      </c>
      <c r="E916" s="95">
        <v>100.74</v>
      </c>
      <c r="F916" s="96">
        <v>16622.099999999999</v>
      </c>
      <c r="G916" s="100" t="s">
        <v>256</v>
      </c>
      <c r="H916" s="114">
        <f t="shared" si="14"/>
        <v>46174</v>
      </c>
      <c r="I916" s="17"/>
      <c r="J916" s="17"/>
      <c r="K916" s="17"/>
    </row>
    <row r="917" spans="1:11" x14ac:dyDescent="0.2">
      <c r="A917" s="115">
        <v>46189</v>
      </c>
      <c r="B917" s="93" t="s">
        <v>1582</v>
      </c>
      <c r="C917" s="94" t="s">
        <v>1606</v>
      </c>
      <c r="D917" s="95">
        <v>165</v>
      </c>
      <c r="E917" s="95">
        <v>100.74</v>
      </c>
      <c r="F917" s="96">
        <v>16622.099999999999</v>
      </c>
      <c r="G917" s="100" t="s">
        <v>256</v>
      </c>
      <c r="H917" s="114">
        <f t="shared" si="14"/>
        <v>46174</v>
      </c>
      <c r="I917" s="17"/>
      <c r="J917" s="17"/>
      <c r="K917" s="17"/>
    </row>
    <row r="918" spans="1:11" x14ac:dyDescent="0.2">
      <c r="A918" s="115">
        <v>46189</v>
      </c>
      <c r="B918" s="93" t="s">
        <v>1583</v>
      </c>
      <c r="C918" s="94" t="s">
        <v>1607</v>
      </c>
      <c r="D918" s="95">
        <v>165</v>
      </c>
      <c r="E918" s="95">
        <v>100.74</v>
      </c>
      <c r="F918" s="96">
        <v>16622.099999999999</v>
      </c>
      <c r="G918" s="100" t="s">
        <v>256</v>
      </c>
      <c r="H918" s="114">
        <f t="shared" si="14"/>
        <v>46174</v>
      </c>
      <c r="I918" s="17"/>
      <c r="J918" s="17"/>
      <c r="K918" s="17"/>
    </row>
    <row r="919" spans="1:11" x14ac:dyDescent="0.2">
      <c r="A919" s="115">
        <v>46189</v>
      </c>
      <c r="B919" s="93" t="s">
        <v>1584</v>
      </c>
      <c r="C919" s="94" t="s">
        <v>1608</v>
      </c>
      <c r="D919" s="95">
        <v>165</v>
      </c>
      <c r="E919" s="95">
        <v>100.74</v>
      </c>
      <c r="F919" s="96">
        <v>16622.099999999999</v>
      </c>
      <c r="G919" s="100" t="s">
        <v>256</v>
      </c>
      <c r="H919" s="114">
        <f t="shared" si="14"/>
        <v>46174</v>
      </c>
      <c r="I919" s="17"/>
      <c r="J919" s="17"/>
      <c r="K919" s="17"/>
    </row>
    <row r="920" spans="1:11" x14ac:dyDescent="0.2">
      <c r="A920" s="115">
        <v>46189</v>
      </c>
      <c r="B920" s="93" t="s">
        <v>1585</v>
      </c>
      <c r="C920" s="94" t="s">
        <v>1609</v>
      </c>
      <c r="D920" s="95">
        <v>165</v>
      </c>
      <c r="E920" s="95">
        <v>100.74</v>
      </c>
      <c r="F920" s="96">
        <v>16622.099999999999</v>
      </c>
      <c r="G920" s="100" t="s">
        <v>256</v>
      </c>
      <c r="H920" s="114">
        <f t="shared" si="14"/>
        <v>46174</v>
      </c>
      <c r="I920" s="17"/>
      <c r="J920" s="17"/>
      <c r="K920" s="17"/>
    </row>
    <row r="921" spans="1:11" x14ac:dyDescent="0.2">
      <c r="A921" s="115">
        <v>46189</v>
      </c>
      <c r="B921" s="93" t="s">
        <v>1586</v>
      </c>
      <c r="C921" s="94" t="s">
        <v>1610</v>
      </c>
      <c r="D921" s="95">
        <v>165</v>
      </c>
      <c r="E921" s="95">
        <v>100.74</v>
      </c>
      <c r="F921" s="96">
        <v>16622.099999999999</v>
      </c>
      <c r="G921" s="100" t="s">
        <v>256</v>
      </c>
      <c r="H921" s="114">
        <f t="shared" si="14"/>
        <v>46174</v>
      </c>
      <c r="I921" s="17"/>
      <c r="J921" s="17"/>
      <c r="K921" s="17"/>
    </row>
    <row r="922" spans="1:11" x14ac:dyDescent="0.2">
      <c r="A922" s="115">
        <v>46189</v>
      </c>
      <c r="B922" s="93" t="s">
        <v>1587</v>
      </c>
      <c r="C922" s="94" t="s">
        <v>1611</v>
      </c>
      <c r="D922" s="95">
        <v>165</v>
      </c>
      <c r="E922" s="95">
        <v>100.74</v>
      </c>
      <c r="F922" s="96">
        <v>16622.099999999999</v>
      </c>
      <c r="G922" s="97" t="s">
        <v>256</v>
      </c>
      <c r="H922" s="114">
        <f t="shared" si="14"/>
        <v>46174</v>
      </c>
      <c r="I922" s="17"/>
      <c r="J922" s="17"/>
      <c r="K922" s="17"/>
    </row>
    <row r="923" spans="1:11" x14ac:dyDescent="0.2">
      <c r="A923" s="115">
        <v>46189</v>
      </c>
      <c r="B923" s="93" t="s">
        <v>1588</v>
      </c>
      <c r="C923" s="94" t="s">
        <v>1612</v>
      </c>
      <c r="D923" s="95">
        <v>165</v>
      </c>
      <c r="E923" s="95">
        <v>100.74</v>
      </c>
      <c r="F923" s="96">
        <v>16622.099999999999</v>
      </c>
      <c r="G923" s="97" t="s">
        <v>256</v>
      </c>
      <c r="H923" s="114">
        <f t="shared" si="14"/>
        <v>46174</v>
      </c>
      <c r="I923" s="17"/>
      <c r="J923" s="17"/>
      <c r="K923" s="17"/>
    </row>
    <row r="924" spans="1:11" x14ac:dyDescent="0.2">
      <c r="A924" s="115">
        <v>46189</v>
      </c>
      <c r="B924" s="93" t="s">
        <v>1589</v>
      </c>
      <c r="C924" s="94" t="s">
        <v>1613</v>
      </c>
      <c r="D924" s="95">
        <v>165</v>
      </c>
      <c r="E924" s="95">
        <v>100.74</v>
      </c>
      <c r="F924" s="96">
        <v>16622.099999999999</v>
      </c>
      <c r="G924" s="97" t="s">
        <v>256</v>
      </c>
      <c r="H924" s="114">
        <f t="shared" si="14"/>
        <v>46174</v>
      </c>
      <c r="I924" s="17"/>
      <c r="J924" s="17"/>
      <c r="K924" s="17"/>
    </row>
    <row r="925" spans="1:11" x14ac:dyDescent="0.2">
      <c r="A925" s="115">
        <v>46189</v>
      </c>
      <c r="B925" s="93" t="s">
        <v>1590</v>
      </c>
      <c r="C925" s="94" t="s">
        <v>1614</v>
      </c>
      <c r="D925" s="95">
        <v>171.33</v>
      </c>
      <c r="E925" s="95">
        <v>100.74</v>
      </c>
      <c r="F925" s="96">
        <v>17259.79</v>
      </c>
      <c r="G925" s="97" t="s">
        <v>256</v>
      </c>
      <c r="H925" s="114">
        <f t="shared" si="14"/>
        <v>46174</v>
      </c>
      <c r="I925" s="17"/>
      <c r="J925" s="17"/>
      <c r="K925" s="17"/>
    </row>
    <row r="926" spans="1:11" x14ac:dyDescent="0.2">
      <c r="A926" s="115">
        <v>46190</v>
      </c>
      <c r="B926" s="93" t="s">
        <v>1619</v>
      </c>
      <c r="C926" s="94" t="s">
        <v>1603</v>
      </c>
      <c r="D926" s="95">
        <v>165</v>
      </c>
      <c r="E926" s="95">
        <v>100.74</v>
      </c>
      <c r="F926" s="96">
        <v>16622.099999999999</v>
      </c>
      <c r="G926" s="97" t="s">
        <v>256</v>
      </c>
      <c r="H926" s="114">
        <f t="shared" si="14"/>
        <v>46174</v>
      </c>
      <c r="I926" s="17"/>
      <c r="J926" s="17"/>
      <c r="K926" s="17"/>
    </row>
    <row r="927" spans="1:11" x14ac:dyDescent="0.2">
      <c r="A927" s="115">
        <v>46190</v>
      </c>
      <c r="B927" s="93" t="s">
        <v>1620</v>
      </c>
      <c r="C927" s="94" t="s">
        <v>1604</v>
      </c>
      <c r="D927" s="95">
        <v>165</v>
      </c>
      <c r="E927" s="95">
        <v>100.74</v>
      </c>
      <c r="F927" s="96">
        <v>16622.099999999999</v>
      </c>
      <c r="G927" s="97" t="s">
        <v>256</v>
      </c>
      <c r="H927" s="114">
        <f t="shared" si="14"/>
        <v>46174</v>
      </c>
      <c r="I927" s="17"/>
      <c r="J927" s="17"/>
      <c r="K927" s="17"/>
    </row>
    <row r="928" spans="1:11" x14ac:dyDescent="0.2">
      <c r="A928" s="115">
        <v>46190</v>
      </c>
      <c r="B928" s="93" t="s">
        <v>1621</v>
      </c>
      <c r="C928" s="94" t="s">
        <v>1605</v>
      </c>
      <c r="D928" s="95">
        <v>165</v>
      </c>
      <c r="E928" s="95">
        <v>100.74</v>
      </c>
      <c r="F928" s="96">
        <v>16622.099999999999</v>
      </c>
      <c r="G928" s="97" t="s">
        <v>256</v>
      </c>
      <c r="H928" s="114">
        <f t="shared" si="14"/>
        <v>46174</v>
      </c>
      <c r="I928" s="17"/>
      <c r="J928" s="17"/>
      <c r="K928" s="17"/>
    </row>
    <row r="929" spans="1:11" x14ac:dyDescent="0.2">
      <c r="A929" s="115">
        <v>46190</v>
      </c>
      <c r="B929" s="93" t="s">
        <v>1622</v>
      </c>
      <c r="C929" s="94" t="s">
        <v>1606</v>
      </c>
      <c r="D929" s="95">
        <v>165</v>
      </c>
      <c r="E929" s="95">
        <v>100.74</v>
      </c>
      <c r="F929" s="96">
        <v>16622.099999999999</v>
      </c>
      <c r="G929" s="97" t="s">
        <v>256</v>
      </c>
      <c r="H929" s="114">
        <f t="shared" si="14"/>
        <v>46174</v>
      </c>
      <c r="I929" s="17"/>
      <c r="J929" s="17"/>
      <c r="K929" s="17"/>
    </row>
    <row r="930" spans="1:11" x14ac:dyDescent="0.2">
      <c r="A930" s="115">
        <v>46190</v>
      </c>
      <c r="B930" s="93" t="s">
        <v>1623</v>
      </c>
      <c r="C930" s="94" t="s">
        <v>1640</v>
      </c>
      <c r="D930" s="95">
        <v>165</v>
      </c>
      <c r="E930" s="95">
        <v>100.74</v>
      </c>
      <c r="F930" s="96">
        <v>16622.099999999999</v>
      </c>
      <c r="G930" s="97" t="s">
        <v>256</v>
      </c>
      <c r="H930" s="114">
        <f t="shared" si="14"/>
        <v>46174</v>
      </c>
      <c r="I930" s="17"/>
      <c r="J930" s="17"/>
      <c r="K930" s="17"/>
    </row>
    <row r="931" spans="1:11" x14ac:dyDescent="0.2">
      <c r="A931" s="115">
        <v>46190</v>
      </c>
      <c r="B931" s="93" t="s">
        <v>1624</v>
      </c>
      <c r="C931" s="94" t="s">
        <v>1608</v>
      </c>
      <c r="D931" s="95">
        <v>165</v>
      </c>
      <c r="E931" s="95">
        <v>100.74</v>
      </c>
      <c r="F931" s="96">
        <v>16622.099999999999</v>
      </c>
      <c r="G931" s="97" t="s">
        <v>256</v>
      </c>
      <c r="H931" s="114">
        <f t="shared" si="14"/>
        <v>46174</v>
      </c>
      <c r="I931" s="17"/>
      <c r="J931" s="17"/>
      <c r="K931" s="17"/>
    </row>
    <row r="932" spans="1:11" x14ac:dyDescent="0.2">
      <c r="A932" s="115">
        <v>46190</v>
      </c>
      <c r="B932" s="93" t="s">
        <v>1625</v>
      </c>
      <c r="C932" s="94" t="s">
        <v>1609</v>
      </c>
      <c r="D932" s="95">
        <v>165</v>
      </c>
      <c r="E932" s="95">
        <v>100.74</v>
      </c>
      <c r="F932" s="96">
        <v>16622.099999999999</v>
      </c>
      <c r="G932" s="97" t="s">
        <v>256</v>
      </c>
      <c r="H932" s="114">
        <f t="shared" si="14"/>
        <v>46174</v>
      </c>
      <c r="I932" s="17"/>
      <c r="J932" s="17"/>
      <c r="K932" s="17"/>
    </row>
    <row r="933" spans="1:11" x14ac:dyDescent="0.2">
      <c r="A933" s="115">
        <v>46190</v>
      </c>
      <c r="B933" s="93" t="s">
        <v>1626</v>
      </c>
      <c r="C933" s="94" t="s">
        <v>1610</v>
      </c>
      <c r="D933" s="95">
        <v>165</v>
      </c>
      <c r="E933" s="95">
        <v>100.74</v>
      </c>
      <c r="F933" s="96">
        <v>16622.099999999999</v>
      </c>
      <c r="G933" s="97" t="s">
        <v>256</v>
      </c>
      <c r="H933" s="114">
        <f t="shared" si="14"/>
        <v>46174</v>
      </c>
      <c r="I933" s="17"/>
      <c r="J933" s="17"/>
      <c r="K933" s="17"/>
    </row>
    <row r="934" spans="1:11" x14ac:dyDescent="0.2">
      <c r="A934" s="115">
        <v>46190</v>
      </c>
      <c r="B934" s="93" t="s">
        <v>1627</v>
      </c>
      <c r="C934" s="94" t="s">
        <v>1611</v>
      </c>
      <c r="D934" s="95">
        <v>165</v>
      </c>
      <c r="E934" s="95">
        <v>100.74</v>
      </c>
      <c r="F934" s="96">
        <v>16622.099999999999</v>
      </c>
      <c r="G934" s="97" t="s">
        <v>256</v>
      </c>
      <c r="H934" s="114">
        <f t="shared" si="14"/>
        <v>46174</v>
      </c>
      <c r="I934" s="17"/>
      <c r="J934" s="17"/>
      <c r="K934" s="17"/>
    </row>
    <row r="935" spans="1:11" x14ac:dyDescent="0.2">
      <c r="A935" s="115">
        <v>46190</v>
      </c>
      <c r="B935" s="93" t="s">
        <v>1628</v>
      </c>
      <c r="C935" s="94" t="s">
        <v>1612</v>
      </c>
      <c r="D935" s="95">
        <v>165</v>
      </c>
      <c r="E935" s="95">
        <v>100.74</v>
      </c>
      <c r="F935" s="96">
        <v>16622.099999999999</v>
      </c>
      <c r="G935" s="97" t="s">
        <v>256</v>
      </c>
      <c r="H935" s="114">
        <f t="shared" si="14"/>
        <v>46174</v>
      </c>
      <c r="I935" s="17"/>
      <c r="J935" s="17"/>
      <c r="K935" s="17"/>
    </row>
    <row r="936" spans="1:11" x14ac:dyDescent="0.2">
      <c r="A936" s="115">
        <v>46190</v>
      </c>
      <c r="B936" s="93" t="s">
        <v>1629</v>
      </c>
      <c r="C936" s="94" t="s">
        <v>1613</v>
      </c>
      <c r="D936" s="95">
        <v>165</v>
      </c>
      <c r="E936" s="95">
        <v>100.74</v>
      </c>
      <c r="F936" s="96">
        <v>16622.099999999999</v>
      </c>
      <c r="G936" s="97" t="s">
        <v>256</v>
      </c>
      <c r="H936" s="114">
        <f t="shared" si="14"/>
        <v>46174</v>
      </c>
      <c r="I936" s="17"/>
      <c r="J936" s="17"/>
      <c r="K936" s="17"/>
    </row>
    <row r="937" spans="1:11" x14ac:dyDescent="0.2">
      <c r="A937" s="115">
        <v>46190</v>
      </c>
      <c r="B937" s="93" t="s">
        <v>1630</v>
      </c>
      <c r="C937" s="94" t="s">
        <v>1614</v>
      </c>
      <c r="D937" s="95">
        <v>185</v>
      </c>
      <c r="E937" s="95">
        <v>100.74</v>
      </c>
      <c r="F937" s="96">
        <v>18636.900000000001</v>
      </c>
      <c r="G937" s="97" t="s">
        <v>256</v>
      </c>
      <c r="H937" s="114">
        <f t="shared" si="14"/>
        <v>46174</v>
      </c>
      <c r="I937" s="17"/>
      <c r="J937" s="17"/>
      <c r="K937" s="17"/>
    </row>
    <row r="938" spans="1:11" x14ac:dyDescent="0.2">
      <c r="A938" s="115">
        <v>46190</v>
      </c>
      <c r="B938" s="93" t="s">
        <v>1631</v>
      </c>
      <c r="C938" s="94" t="s">
        <v>1481</v>
      </c>
      <c r="D938" s="95">
        <v>200</v>
      </c>
      <c r="E938" s="95">
        <v>100.74</v>
      </c>
      <c r="F938" s="96">
        <v>20148</v>
      </c>
      <c r="G938" s="97" t="s">
        <v>552</v>
      </c>
      <c r="H938" s="114">
        <f t="shared" si="14"/>
        <v>46174</v>
      </c>
      <c r="I938" s="17"/>
      <c r="J938" s="17"/>
      <c r="K938" s="17"/>
    </row>
    <row r="939" spans="1:11" x14ac:dyDescent="0.2">
      <c r="A939" s="115">
        <v>46190</v>
      </c>
      <c r="B939" s="93" t="s">
        <v>1632</v>
      </c>
      <c r="C939" s="94" t="s">
        <v>1006</v>
      </c>
      <c r="D939" s="95">
        <v>24.82</v>
      </c>
      <c r="E939" s="95">
        <v>100.74</v>
      </c>
      <c r="F939" s="96">
        <v>2500</v>
      </c>
      <c r="G939" s="97" t="s">
        <v>257</v>
      </c>
      <c r="H939" s="114">
        <f t="shared" si="14"/>
        <v>46174</v>
      </c>
      <c r="I939" s="17"/>
      <c r="J939" s="17"/>
      <c r="K939" s="17"/>
    </row>
    <row r="940" spans="1:11" x14ac:dyDescent="0.2">
      <c r="A940" s="115">
        <v>46190</v>
      </c>
      <c r="B940" s="93" t="s">
        <v>1633</v>
      </c>
      <c r="C940" s="94" t="s">
        <v>821</v>
      </c>
      <c r="D940" s="95">
        <v>50</v>
      </c>
      <c r="E940" s="95">
        <v>100.74</v>
      </c>
      <c r="F940" s="96">
        <v>5037</v>
      </c>
      <c r="G940" s="97" t="s">
        <v>714</v>
      </c>
      <c r="H940" s="114">
        <f t="shared" si="14"/>
        <v>46174</v>
      </c>
      <c r="I940" s="17"/>
      <c r="J940" s="17"/>
      <c r="K940" s="17"/>
    </row>
    <row r="941" spans="1:11" x14ac:dyDescent="0.2">
      <c r="A941" s="115">
        <v>46190</v>
      </c>
      <c r="B941" s="93" t="s">
        <v>1634</v>
      </c>
      <c r="C941" s="94" t="s">
        <v>1383</v>
      </c>
      <c r="D941" s="95">
        <v>104.46</v>
      </c>
      <c r="E941" s="95">
        <v>100.74</v>
      </c>
      <c r="F941" s="96">
        <v>10523.3</v>
      </c>
      <c r="G941" s="97" t="s">
        <v>55</v>
      </c>
      <c r="H941" s="114">
        <f t="shared" si="14"/>
        <v>46174</v>
      </c>
      <c r="I941" s="17"/>
      <c r="J941" s="17"/>
      <c r="K941" s="17"/>
    </row>
    <row r="942" spans="1:11" x14ac:dyDescent="0.2">
      <c r="A942" s="115">
        <v>46190</v>
      </c>
      <c r="B942" s="93" t="s">
        <v>1635</v>
      </c>
      <c r="C942" s="94" t="s">
        <v>1641</v>
      </c>
      <c r="D942" s="95">
        <v>20</v>
      </c>
      <c r="E942" s="95">
        <v>100.74</v>
      </c>
      <c r="F942" s="96">
        <v>2014.8</v>
      </c>
      <c r="G942" s="97" t="s">
        <v>55</v>
      </c>
      <c r="H942" s="114">
        <f t="shared" si="14"/>
        <v>46174</v>
      </c>
      <c r="I942" s="17"/>
      <c r="J942" s="17"/>
      <c r="K942" s="17"/>
    </row>
    <row r="943" spans="1:11" x14ac:dyDescent="0.2">
      <c r="A943" s="115">
        <v>46190</v>
      </c>
      <c r="B943" s="93" t="s">
        <v>1636</v>
      </c>
      <c r="C943" s="94" t="s">
        <v>44</v>
      </c>
      <c r="D943" s="95">
        <v>42.64</v>
      </c>
      <c r="E943" s="95">
        <v>100.74</v>
      </c>
      <c r="F943" s="96">
        <v>4295.55</v>
      </c>
      <c r="G943" s="97" t="s">
        <v>56</v>
      </c>
      <c r="H943" s="114">
        <f t="shared" si="14"/>
        <v>46174</v>
      </c>
      <c r="I943" s="17"/>
      <c r="J943" s="17"/>
      <c r="K943" s="17"/>
    </row>
    <row r="944" spans="1:11" x14ac:dyDescent="0.2">
      <c r="A944" s="115">
        <v>46190</v>
      </c>
      <c r="B944" s="93" t="s">
        <v>1637</v>
      </c>
      <c r="C944" s="94" t="s">
        <v>141</v>
      </c>
      <c r="D944" s="95">
        <v>49.26</v>
      </c>
      <c r="E944" s="95">
        <v>100.74</v>
      </c>
      <c r="F944" s="96">
        <v>4962.45</v>
      </c>
      <c r="G944" s="97" t="s">
        <v>1646</v>
      </c>
      <c r="H944" s="114">
        <f t="shared" si="14"/>
        <v>46174</v>
      </c>
      <c r="I944" s="17"/>
      <c r="J944" s="17"/>
      <c r="K944" s="17"/>
    </row>
    <row r="945" spans="1:11" x14ac:dyDescent="0.2">
      <c r="A945" s="115">
        <v>46190</v>
      </c>
      <c r="B945" s="93" t="s">
        <v>1638</v>
      </c>
      <c r="C945" s="94" t="s">
        <v>1642</v>
      </c>
      <c r="D945" s="95">
        <v>32.01</v>
      </c>
      <c r="E945" s="95">
        <v>100.74</v>
      </c>
      <c r="F945" s="96">
        <v>3224.68</v>
      </c>
      <c r="G945" s="97" t="s">
        <v>1646</v>
      </c>
      <c r="H945" s="114">
        <f t="shared" si="14"/>
        <v>46174</v>
      </c>
      <c r="I945" s="17"/>
      <c r="J945" s="17"/>
      <c r="K945" s="17"/>
    </row>
    <row r="946" spans="1:11" x14ac:dyDescent="0.2">
      <c r="A946" s="115">
        <v>46190</v>
      </c>
      <c r="B946" s="93" t="s">
        <v>1639</v>
      </c>
      <c r="C946" s="94" t="s">
        <v>13</v>
      </c>
      <c r="D946" s="95">
        <v>57.58</v>
      </c>
      <c r="E946" s="95">
        <v>100.74</v>
      </c>
      <c r="F946" s="96">
        <v>5800</v>
      </c>
      <c r="G946" s="97" t="s">
        <v>152</v>
      </c>
      <c r="H946" s="114">
        <f t="shared" si="14"/>
        <v>46174</v>
      </c>
      <c r="I946" s="17"/>
      <c r="J946" s="17"/>
      <c r="K946" s="17"/>
    </row>
    <row r="947" spans="1:11" x14ac:dyDescent="0.2">
      <c r="A947" s="115">
        <v>46191</v>
      </c>
      <c r="B947" s="93" t="s">
        <v>1650</v>
      </c>
      <c r="C947" s="94" t="s">
        <v>13</v>
      </c>
      <c r="D947" s="95">
        <v>49.63</v>
      </c>
      <c r="E947" s="95">
        <v>100.74</v>
      </c>
      <c r="F947" s="96">
        <v>5000</v>
      </c>
      <c r="G947" s="97" t="s">
        <v>152</v>
      </c>
      <c r="H947" s="114">
        <f t="shared" si="14"/>
        <v>46174</v>
      </c>
      <c r="I947" s="17"/>
      <c r="J947" s="17"/>
      <c r="K947" s="17"/>
    </row>
    <row r="948" spans="1:11" x14ac:dyDescent="0.2">
      <c r="A948" s="115">
        <v>46191</v>
      </c>
      <c r="B948" s="93" t="s">
        <v>1651</v>
      </c>
      <c r="C948" s="94" t="s">
        <v>41</v>
      </c>
      <c r="D948" s="95">
        <v>48.74</v>
      </c>
      <c r="E948" s="95">
        <v>100.74</v>
      </c>
      <c r="F948" s="96">
        <v>4910.0600000000004</v>
      </c>
      <c r="G948" s="97" t="s">
        <v>53</v>
      </c>
      <c r="H948" s="114">
        <f t="shared" si="14"/>
        <v>46174</v>
      </c>
      <c r="I948" s="17"/>
      <c r="J948" s="17"/>
      <c r="K948" s="17"/>
    </row>
    <row r="949" spans="1:11" x14ac:dyDescent="0.2">
      <c r="A949" s="115">
        <v>46191</v>
      </c>
      <c r="B949" s="93" t="s">
        <v>1652</v>
      </c>
      <c r="C949" s="94" t="s">
        <v>1383</v>
      </c>
      <c r="D949" s="95">
        <v>30</v>
      </c>
      <c r="E949" s="95">
        <v>100.74</v>
      </c>
      <c r="F949" s="96">
        <v>3022.2</v>
      </c>
      <c r="G949" s="97" t="s">
        <v>55</v>
      </c>
      <c r="H949" s="114">
        <f t="shared" si="14"/>
        <v>46174</v>
      </c>
      <c r="I949" s="17"/>
      <c r="J949" s="17"/>
      <c r="K949" s="17"/>
    </row>
    <row r="950" spans="1:11" x14ac:dyDescent="0.2">
      <c r="A950" s="115">
        <v>46191</v>
      </c>
      <c r="B950" s="93" t="s">
        <v>1653</v>
      </c>
      <c r="C950" s="94" t="s">
        <v>821</v>
      </c>
      <c r="D950" s="95">
        <v>100</v>
      </c>
      <c r="E950" s="95">
        <v>100.74</v>
      </c>
      <c r="F950" s="96">
        <v>10074</v>
      </c>
      <c r="G950" s="97" t="s">
        <v>714</v>
      </c>
      <c r="H950" s="114">
        <f t="shared" si="14"/>
        <v>46174</v>
      </c>
      <c r="I950" s="17"/>
      <c r="J950" s="17"/>
      <c r="K950" s="17"/>
    </row>
    <row r="951" spans="1:11" x14ac:dyDescent="0.2">
      <c r="A951" s="115">
        <v>46191</v>
      </c>
      <c r="B951" s="93" t="s">
        <v>1654</v>
      </c>
      <c r="C951" s="94" t="s">
        <v>1157</v>
      </c>
      <c r="D951" s="95">
        <v>87.97</v>
      </c>
      <c r="E951" s="95">
        <v>100.74</v>
      </c>
      <c r="F951" s="96">
        <v>8862.09</v>
      </c>
      <c r="G951" s="97" t="s">
        <v>714</v>
      </c>
      <c r="H951" s="114">
        <f t="shared" si="14"/>
        <v>46174</v>
      </c>
      <c r="I951" s="17"/>
      <c r="J951" s="17"/>
      <c r="K951" s="17"/>
    </row>
    <row r="952" spans="1:11" x14ac:dyDescent="0.2">
      <c r="A952" s="115">
        <v>46191</v>
      </c>
      <c r="B952" s="93" t="s">
        <v>1655</v>
      </c>
      <c r="C952" s="94" t="s">
        <v>1601</v>
      </c>
      <c r="D952" s="95">
        <v>29.78</v>
      </c>
      <c r="E952" s="95">
        <v>100.74</v>
      </c>
      <c r="F952" s="96">
        <v>3000.03</v>
      </c>
      <c r="G952" s="97" t="s">
        <v>1646</v>
      </c>
      <c r="H952" s="114">
        <f t="shared" si="14"/>
        <v>46174</v>
      </c>
      <c r="I952" s="17"/>
      <c r="J952" s="17"/>
      <c r="K952" s="17"/>
    </row>
    <row r="953" spans="1:11" x14ac:dyDescent="0.2">
      <c r="A953" s="115">
        <v>46191</v>
      </c>
      <c r="B953" s="93" t="s">
        <v>1656</v>
      </c>
      <c r="C953" s="94" t="s">
        <v>1663</v>
      </c>
      <c r="D953" s="95">
        <v>40.950000000000003</v>
      </c>
      <c r="E953" s="95">
        <v>100.74</v>
      </c>
      <c r="F953" s="96">
        <v>4125.3</v>
      </c>
      <c r="G953" s="97" t="s">
        <v>1646</v>
      </c>
      <c r="H953" s="114">
        <f t="shared" si="14"/>
        <v>46174</v>
      </c>
      <c r="I953" s="17"/>
      <c r="J953" s="17"/>
      <c r="K953" s="17"/>
    </row>
    <row r="954" spans="1:11" x14ac:dyDescent="0.2">
      <c r="A954" s="115">
        <v>46191</v>
      </c>
      <c r="B954" s="93" t="s">
        <v>1657</v>
      </c>
      <c r="C954" s="94" t="s">
        <v>1602</v>
      </c>
      <c r="D954" s="95">
        <v>25</v>
      </c>
      <c r="E954" s="95">
        <v>100.74</v>
      </c>
      <c r="F954" s="96">
        <v>2518.5</v>
      </c>
      <c r="G954" s="97" t="s">
        <v>1646</v>
      </c>
      <c r="H954" s="114">
        <f t="shared" si="14"/>
        <v>46174</v>
      </c>
      <c r="I954" s="17"/>
      <c r="J954" s="17"/>
      <c r="K954" s="17"/>
    </row>
    <row r="955" spans="1:11" x14ac:dyDescent="0.2">
      <c r="A955" s="115">
        <v>46191</v>
      </c>
      <c r="B955" s="93" t="s">
        <v>1658</v>
      </c>
      <c r="C955" s="94" t="s">
        <v>1591</v>
      </c>
      <c r="D955" s="95">
        <v>200</v>
      </c>
      <c r="E955" s="95">
        <v>100.74</v>
      </c>
      <c r="F955" s="96">
        <v>20148</v>
      </c>
      <c r="G955" s="97" t="s">
        <v>96</v>
      </c>
      <c r="H955" s="114">
        <f t="shared" si="14"/>
        <v>46174</v>
      </c>
      <c r="I955" s="17"/>
      <c r="J955" s="17"/>
      <c r="K955" s="17"/>
    </row>
    <row r="956" spans="1:11" x14ac:dyDescent="0.2">
      <c r="A956" s="115">
        <v>46191</v>
      </c>
      <c r="B956" s="93" t="s">
        <v>1659</v>
      </c>
      <c r="C956" s="94" t="s">
        <v>1592</v>
      </c>
      <c r="D956" s="95">
        <v>200</v>
      </c>
      <c r="E956" s="95">
        <v>100.74</v>
      </c>
      <c r="F956" s="96">
        <v>20148</v>
      </c>
      <c r="G956" s="97" t="s">
        <v>96</v>
      </c>
      <c r="H956" s="114">
        <f t="shared" si="14"/>
        <v>46174</v>
      </c>
      <c r="I956" s="17"/>
      <c r="J956" s="17"/>
      <c r="K956" s="17"/>
    </row>
    <row r="957" spans="1:11" x14ac:dyDescent="0.2">
      <c r="A957" s="115">
        <v>46191</v>
      </c>
      <c r="B957" s="93" t="s">
        <v>1660</v>
      </c>
      <c r="C957" s="94" t="s">
        <v>1593</v>
      </c>
      <c r="D957" s="95">
        <v>200</v>
      </c>
      <c r="E957" s="95">
        <v>100.74</v>
      </c>
      <c r="F957" s="96">
        <v>20148</v>
      </c>
      <c r="G957" s="97" t="s">
        <v>96</v>
      </c>
      <c r="H957" s="114">
        <f t="shared" si="14"/>
        <v>46174</v>
      </c>
      <c r="I957" s="17"/>
      <c r="J957" s="17"/>
      <c r="K957" s="17"/>
    </row>
    <row r="958" spans="1:11" x14ac:dyDescent="0.2">
      <c r="A958" s="115">
        <v>46191</v>
      </c>
      <c r="B958" s="93" t="s">
        <v>1661</v>
      </c>
      <c r="C958" s="94" t="s">
        <v>1594</v>
      </c>
      <c r="D958" s="95">
        <v>200</v>
      </c>
      <c r="E958" s="95">
        <v>100.74</v>
      </c>
      <c r="F958" s="96">
        <v>20148</v>
      </c>
      <c r="G958" s="97" t="s">
        <v>96</v>
      </c>
      <c r="H958" s="114">
        <f t="shared" si="14"/>
        <v>46174</v>
      </c>
      <c r="I958" s="17"/>
      <c r="J958" s="17"/>
      <c r="K958" s="17"/>
    </row>
    <row r="959" spans="1:11" x14ac:dyDescent="0.2">
      <c r="A959" s="115">
        <v>46191</v>
      </c>
      <c r="B959" s="93" t="s">
        <v>1662</v>
      </c>
      <c r="C959" s="94" t="s">
        <v>1595</v>
      </c>
      <c r="D959" s="95">
        <v>200</v>
      </c>
      <c r="E959" s="95">
        <v>100.74</v>
      </c>
      <c r="F959" s="96">
        <v>20148</v>
      </c>
      <c r="G959" s="97" t="s">
        <v>96</v>
      </c>
      <c r="H959" s="114">
        <f t="shared" si="14"/>
        <v>46174</v>
      </c>
      <c r="I959" s="17"/>
      <c r="J959" s="17"/>
      <c r="K959" s="17"/>
    </row>
    <row r="960" spans="1:11" x14ac:dyDescent="0.2">
      <c r="A960" s="115">
        <v>46192</v>
      </c>
      <c r="B960" s="93" t="s">
        <v>1672</v>
      </c>
      <c r="C960" s="94" t="s">
        <v>526</v>
      </c>
      <c r="D960" s="95">
        <v>1310.3</v>
      </c>
      <c r="E960" s="95">
        <v>100.74</v>
      </c>
      <c r="F960" s="96">
        <v>132000</v>
      </c>
      <c r="G960" s="97" t="s">
        <v>58</v>
      </c>
      <c r="H960" s="114">
        <f t="shared" si="14"/>
        <v>46174</v>
      </c>
      <c r="I960" s="17"/>
      <c r="J960" s="17"/>
      <c r="K960" s="17"/>
    </row>
    <row r="961" spans="1:11" x14ac:dyDescent="0.2">
      <c r="A961" s="115">
        <v>46192</v>
      </c>
      <c r="B961" s="93" t="s">
        <v>1673</v>
      </c>
      <c r="C961" s="94" t="s">
        <v>13</v>
      </c>
      <c r="D961" s="95">
        <v>229.3</v>
      </c>
      <c r="E961" s="95">
        <v>100.74</v>
      </c>
      <c r="F961" s="96">
        <v>23100</v>
      </c>
      <c r="G961" s="97" t="s">
        <v>152</v>
      </c>
      <c r="H961" s="114">
        <f t="shared" si="14"/>
        <v>46174</v>
      </c>
      <c r="I961" s="17"/>
      <c r="J961" s="17"/>
      <c r="K961" s="17"/>
    </row>
    <row r="962" spans="1:11" x14ac:dyDescent="0.2">
      <c r="A962" s="115">
        <v>46192</v>
      </c>
      <c r="B962" s="93" t="s">
        <v>1674</v>
      </c>
      <c r="C962" s="94" t="s">
        <v>760</v>
      </c>
      <c r="D962" s="95">
        <v>20</v>
      </c>
      <c r="E962" s="95">
        <v>100.74</v>
      </c>
      <c r="F962" s="96">
        <v>2014.8</v>
      </c>
      <c r="G962" s="97" t="s">
        <v>714</v>
      </c>
      <c r="H962" s="114">
        <f t="shared" si="14"/>
        <v>46174</v>
      </c>
      <c r="I962" s="17"/>
      <c r="J962" s="17"/>
      <c r="K962" s="17"/>
    </row>
    <row r="963" spans="1:11" x14ac:dyDescent="0.2">
      <c r="A963" s="115">
        <v>46192</v>
      </c>
      <c r="B963" s="93" t="s">
        <v>1675</v>
      </c>
      <c r="C963" s="94" t="s">
        <v>1526</v>
      </c>
      <c r="D963" s="95">
        <v>48</v>
      </c>
      <c r="E963" s="95">
        <v>100.74</v>
      </c>
      <c r="F963" s="96">
        <v>4835.5200000000004</v>
      </c>
      <c r="G963" s="97" t="s">
        <v>901</v>
      </c>
      <c r="H963" s="114">
        <f t="shared" si="14"/>
        <v>46174</v>
      </c>
      <c r="I963" s="17"/>
      <c r="J963" s="17"/>
      <c r="K963" s="17"/>
    </row>
    <row r="964" spans="1:11" x14ac:dyDescent="0.2">
      <c r="A964" s="115">
        <v>46192</v>
      </c>
      <c r="B964" s="93" t="s">
        <v>1676</v>
      </c>
      <c r="C964" s="94" t="s">
        <v>124</v>
      </c>
      <c r="D964" s="95">
        <v>52.32</v>
      </c>
      <c r="E964" s="95">
        <v>100.74</v>
      </c>
      <c r="F964" s="96">
        <v>5270.71</v>
      </c>
      <c r="G964" s="97" t="s">
        <v>136</v>
      </c>
      <c r="H964" s="114">
        <f t="shared" ref="H964:H1027" si="15">IF(A964&lt;&gt;"", EOMONTH(A964, -1) + 1, "")</f>
        <v>46174</v>
      </c>
      <c r="I964" s="17"/>
      <c r="J964" s="17"/>
      <c r="K964" s="17"/>
    </row>
    <row r="965" spans="1:11" x14ac:dyDescent="0.2">
      <c r="A965" s="115">
        <v>46192</v>
      </c>
      <c r="B965" s="93" t="s">
        <v>1677</v>
      </c>
      <c r="C965" s="94" t="s">
        <v>1642</v>
      </c>
      <c r="D965" s="95">
        <v>26.86</v>
      </c>
      <c r="E965" s="95">
        <v>100.74</v>
      </c>
      <c r="F965" s="96">
        <v>2705.87</v>
      </c>
      <c r="G965" s="97" t="s">
        <v>1646</v>
      </c>
      <c r="H965" s="114">
        <f t="shared" si="15"/>
        <v>46174</v>
      </c>
      <c r="I965" s="17"/>
      <c r="J965" s="17"/>
      <c r="K965" s="17"/>
    </row>
    <row r="966" spans="1:11" x14ac:dyDescent="0.2">
      <c r="A966" s="115">
        <v>46192</v>
      </c>
      <c r="B966" s="93" t="s">
        <v>1678</v>
      </c>
      <c r="C966" s="94" t="s">
        <v>1695</v>
      </c>
      <c r="D966" s="95">
        <v>57.08</v>
      </c>
      <c r="E966" s="95">
        <v>100.74</v>
      </c>
      <c r="F966" s="96">
        <v>5750.23</v>
      </c>
      <c r="G966" s="97" t="s">
        <v>1646</v>
      </c>
      <c r="H966" s="114">
        <f t="shared" si="15"/>
        <v>46174</v>
      </c>
      <c r="I966" s="17"/>
      <c r="J966" s="17"/>
      <c r="K966" s="17"/>
    </row>
    <row r="967" spans="1:11" x14ac:dyDescent="0.2">
      <c r="A967" s="115">
        <v>46192</v>
      </c>
      <c r="B967" s="93" t="s">
        <v>1679</v>
      </c>
      <c r="C967" s="94" t="s">
        <v>1696</v>
      </c>
      <c r="D967" s="95">
        <v>54.89</v>
      </c>
      <c r="E967" s="95">
        <v>100.74</v>
      </c>
      <c r="F967" s="96">
        <v>5529.61</v>
      </c>
      <c r="G967" s="97" t="s">
        <v>1646</v>
      </c>
      <c r="H967" s="114">
        <f t="shared" si="15"/>
        <v>46174</v>
      </c>
      <c r="I967" s="17"/>
      <c r="J967" s="17"/>
      <c r="K967" s="17"/>
    </row>
    <row r="968" spans="1:11" x14ac:dyDescent="0.2">
      <c r="A968" s="115">
        <v>46192</v>
      </c>
      <c r="B968" s="93" t="s">
        <v>1680</v>
      </c>
      <c r="C968" s="94" t="s">
        <v>50</v>
      </c>
      <c r="D968" s="95">
        <v>200</v>
      </c>
      <c r="E968" s="95">
        <v>100.74</v>
      </c>
      <c r="F968" s="96">
        <v>20148</v>
      </c>
      <c r="G968" s="97" t="s">
        <v>901</v>
      </c>
      <c r="H968" s="114">
        <f t="shared" si="15"/>
        <v>46174</v>
      </c>
      <c r="I968" s="17"/>
      <c r="J968" s="17"/>
      <c r="K968" s="17"/>
    </row>
    <row r="969" spans="1:11" x14ac:dyDescent="0.2">
      <c r="A969" s="115">
        <v>46192</v>
      </c>
      <c r="B969" s="93" t="s">
        <v>1681</v>
      </c>
      <c r="C969" s="94" t="s">
        <v>13</v>
      </c>
      <c r="D969" s="95">
        <v>200</v>
      </c>
      <c r="E969" s="95">
        <v>100.74</v>
      </c>
      <c r="F969" s="96">
        <v>20148</v>
      </c>
      <c r="G969" s="97" t="s">
        <v>901</v>
      </c>
      <c r="H969" s="114">
        <f t="shared" si="15"/>
        <v>46174</v>
      </c>
      <c r="I969" s="17"/>
      <c r="J969" s="17"/>
      <c r="K969" s="17"/>
    </row>
    <row r="970" spans="1:11" x14ac:dyDescent="0.2">
      <c r="A970" s="115">
        <v>46192</v>
      </c>
      <c r="B970" s="93" t="s">
        <v>1682</v>
      </c>
      <c r="C970" s="94" t="s">
        <v>13</v>
      </c>
      <c r="D970" s="95">
        <v>200</v>
      </c>
      <c r="E970" s="95">
        <v>100.74</v>
      </c>
      <c r="F970" s="96">
        <v>20148</v>
      </c>
      <c r="G970" s="97" t="s">
        <v>901</v>
      </c>
      <c r="H970" s="114">
        <f t="shared" si="15"/>
        <v>46174</v>
      </c>
      <c r="I970" s="17"/>
      <c r="J970" s="17"/>
      <c r="K970" s="17"/>
    </row>
    <row r="971" spans="1:11" x14ac:dyDescent="0.2">
      <c r="A971" s="115">
        <v>46192</v>
      </c>
      <c r="B971" s="93" t="s">
        <v>1683</v>
      </c>
      <c r="C971" s="94" t="s">
        <v>13</v>
      </c>
      <c r="D971" s="95">
        <v>200</v>
      </c>
      <c r="E971" s="95">
        <v>100.74</v>
      </c>
      <c r="F971" s="96">
        <v>20148</v>
      </c>
      <c r="G971" s="97" t="s">
        <v>901</v>
      </c>
      <c r="H971" s="114">
        <f t="shared" si="15"/>
        <v>46174</v>
      </c>
      <c r="I971" s="17"/>
      <c r="J971" s="17"/>
      <c r="K971" s="17"/>
    </row>
    <row r="972" spans="1:11" x14ac:dyDescent="0.2">
      <c r="A972" s="115">
        <v>46192</v>
      </c>
      <c r="B972" s="93" t="s">
        <v>1684</v>
      </c>
      <c r="C972" s="94" t="s">
        <v>13</v>
      </c>
      <c r="D972" s="95">
        <v>200</v>
      </c>
      <c r="E972" s="95">
        <v>100.74</v>
      </c>
      <c r="F972" s="96">
        <v>20148</v>
      </c>
      <c r="G972" s="97" t="s">
        <v>901</v>
      </c>
      <c r="H972" s="114">
        <f t="shared" si="15"/>
        <v>46174</v>
      </c>
      <c r="I972" s="17"/>
      <c r="J972" s="17"/>
      <c r="K972" s="17"/>
    </row>
    <row r="973" spans="1:11" x14ac:dyDescent="0.2">
      <c r="A973" s="115">
        <v>46192</v>
      </c>
      <c r="B973" s="93" t="s">
        <v>1685</v>
      </c>
      <c r="C973" s="94" t="s">
        <v>13</v>
      </c>
      <c r="D973" s="95">
        <v>200</v>
      </c>
      <c r="E973" s="95">
        <v>100.74</v>
      </c>
      <c r="F973" s="96">
        <v>20148</v>
      </c>
      <c r="G973" s="97" t="s">
        <v>901</v>
      </c>
      <c r="H973" s="114">
        <f t="shared" si="15"/>
        <v>46174</v>
      </c>
      <c r="I973" s="17"/>
      <c r="J973" s="17"/>
      <c r="K973" s="17"/>
    </row>
    <row r="974" spans="1:11" x14ac:dyDescent="0.2">
      <c r="A974" s="115">
        <v>46192</v>
      </c>
      <c r="B974" s="93" t="s">
        <v>1686</v>
      </c>
      <c r="C974" s="94" t="s">
        <v>13</v>
      </c>
      <c r="D974" s="95">
        <v>200</v>
      </c>
      <c r="E974" s="95">
        <v>100.74</v>
      </c>
      <c r="F974" s="96">
        <v>20148</v>
      </c>
      <c r="G974" s="97" t="s">
        <v>901</v>
      </c>
      <c r="H974" s="114">
        <f t="shared" si="15"/>
        <v>46174</v>
      </c>
      <c r="I974" s="17"/>
      <c r="J974" s="17"/>
      <c r="K974" s="17"/>
    </row>
    <row r="975" spans="1:11" x14ac:dyDescent="0.2">
      <c r="A975" s="115">
        <v>46192</v>
      </c>
      <c r="B975" s="93" t="s">
        <v>1687</v>
      </c>
      <c r="C975" s="94" t="s">
        <v>13</v>
      </c>
      <c r="D975" s="95">
        <v>200</v>
      </c>
      <c r="E975" s="95">
        <v>100.74</v>
      </c>
      <c r="F975" s="96">
        <v>20148</v>
      </c>
      <c r="G975" s="97" t="s">
        <v>901</v>
      </c>
      <c r="H975" s="114">
        <f t="shared" si="15"/>
        <v>46174</v>
      </c>
      <c r="I975" s="17"/>
      <c r="J975" s="17"/>
      <c r="K975" s="17"/>
    </row>
    <row r="976" spans="1:11" x14ac:dyDescent="0.2">
      <c r="A976" s="115">
        <v>46192</v>
      </c>
      <c r="B976" s="93" t="s">
        <v>1688</v>
      </c>
      <c r="C976" s="94" t="s">
        <v>13</v>
      </c>
      <c r="D976" s="95">
        <v>200</v>
      </c>
      <c r="E976" s="95">
        <v>100.74</v>
      </c>
      <c r="F976" s="96">
        <v>20148</v>
      </c>
      <c r="G976" s="97" t="s">
        <v>901</v>
      </c>
      <c r="H976" s="114">
        <f t="shared" si="15"/>
        <v>46174</v>
      </c>
      <c r="I976" s="17"/>
      <c r="J976" s="17"/>
      <c r="K976" s="17"/>
    </row>
    <row r="977" spans="1:11" x14ac:dyDescent="0.2">
      <c r="A977" s="115">
        <v>46192</v>
      </c>
      <c r="B977" s="93" t="s">
        <v>1689</v>
      </c>
      <c r="C977" s="94" t="s">
        <v>13</v>
      </c>
      <c r="D977" s="95">
        <v>200</v>
      </c>
      <c r="E977" s="95">
        <v>100.74</v>
      </c>
      <c r="F977" s="96">
        <v>20148</v>
      </c>
      <c r="G977" s="97" t="s">
        <v>901</v>
      </c>
      <c r="H977" s="114">
        <f t="shared" si="15"/>
        <v>46174</v>
      </c>
      <c r="I977" s="17"/>
      <c r="J977" s="17"/>
      <c r="K977" s="17"/>
    </row>
    <row r="978" spans="1:11" x14ac:dyDescent="0.2">
      <c r="A978" s="115">
        <v>46192</v>
      </c>
      <c r="B978" s="93" t="s">
        <v>1690</v>
      </c>
      <c r="C978" s="94" t="s">
        <v>13</v>
      </c>
      <c r="D978" s="95">
        <v>200</v>
      </c>
      <c r="E978" s="95">
        <v>100.74</v>
      </c>
      <c r="F978" s="96">
        <v>20148</v>
      </c>
      <c r="G978" s="97" t="s">
        <v>901</v>
      </c>
      <c r="H978" s="114">
        <f t="shared" si="15"/>
        <v>46174</v>
      </c>
      <c r="I978" s="17"/>
      <c r="J978" s="17"/>
      <c r="K978" s="17"/>
    </row>
    <row r="979" spans="1:11" x14ac:dyDescent="0.2">
      <c r="A979" s="115">
        <v>46192</v>
      </c>
      <c r="B979" s="93" t="s">
        <v>1691</v>
      </c>
      <c r="C979" s="94" t="s">
        <v>13</v>
      </c>
      <c r="D979" s="95">
        <v>200</v>
      </c>
      <c r="E979" s="95">
        <v>100.74</v>
      </c>
      <c r="F979" s="96">
        <v>20148</v>
      </c>
      <c r="G979" s="97" t="s">
        <v>901</v>
      </c>
      <c r="H979" s="114">
        <f t="shared" si="15"/>
        <v>46174</v>
      </c>
      <c r="I979" s="17"/>
      <c r="J979" s="17"/>
      <c r="K979" s="17"/>
    </row>
    <row r="980" spans="1:11" x14ac:dyDescent="0.2">
      <c r="A980" s="115">
        <v>46192</v>
      </c>
      <c r="B980" s="93" t="s">
        <v>1692</v>
      </c>
      <c r="C980" s="94" t="s">
        <v>13</v>
      </c>
      <c r="D980" s="95">
        <v>200</v>
      </c>
      <c r="E980" s="95">
        <v>100.74</v>
      </c>
      <c r="F980" s="96">
        <v>20148</v>
      </c>
      <c r="G980" s="97" t="s">
        <v>901</v>
      </c>
      <c r="H980" s="114">
        <f t="shared" si="15"/>
        <v>46174</v>
      </c>
      <c r="I980" s="17"/>
      <c r="J980" s="17"/>
      <c r="K980" s="17"/>
    </row>
    <row r="981" spans="1:11" x14ac:dyDescent="0.2">
      <c r="A981" s="115">
        <v>46192</v>
      </c>
      <c r="B981" s="93" t="s">
        <v>1693</v>
      </c>
      <c r="C981" s="94" t="s">
        <v>13</v>
      </c>
      <c r="D981" s="95">
        <v>200</v>
      </c>
      <c r="E981" s="95">
        <v>100.74</v>
      </c>
      <c r="F981" s="96">
        <v>20148</v>
      </c>
      <c r="G981" s="97" t="s">
        <v>901</v>
      </c>
      <c r="H981" s="114">
        <f t="shared" si="15"/>
        <v>46174</v>
      </c>
      <c r="I981" s="17"/>
      <c r="J981" s="17"/>
      <c r="K981" s="17"/>
    </row>
    <row r="982" spans="1:11" x14ac:dyDescent="0.2">
      <c r="A982" s="115">
        <v>46192</v>
      </c>
      <c r="B982" s="93" t="s">
        <v>1694</v>
      </c>
      <c r="C982" s="94" t="s">
        <v>13</v>
      </c>
      <c r="D982" s="95">
        <v>199.56</v>
      </c>
      <c r="E982" s="95">
        <v>100.74</v>
      </c>
      <c r="F982" s="96">
        <v>20103.669999999998</v>
      </c>
      <c r="G982" s="97" t="s">
        <v>901</v>
      </c>
      <c r="H982" s="114">
        <f t="shared" si="15"/>
        <v>46174</v>
      </c>
      <c r="I982" s="17"/>
      <c r="J982" s="17"/>
      <c r="K982" s="17"/>
    </row>
    <row r="983" spans="1:11" x14ac:dyDescent="0.2">
      <c r="A983" s="115">
        <v>46193</v>
      </c>
      <c r="B983" s="93" t="s">
        <v>1701</v>
      </c>
      <c r="C983" s="94" t="s">
        <v>1722</v>
      </c>
      <c r="D983" s="95">
        <v>1000</v>
      </c>
      <c r="E983" s="95">
        <v>100.74</v>
      </c>
      <c r="F983" s="96">
        <v>100740</v>
      </c>
      <c r="G983" s="97" t="s">
        <v>501</v>
      </c>
      <c r="H983" s="114">
        <f t="shared" si="15"/>
        <v>46174</v>
      </c>
      <c r="I983" s="17"/>
      <c r="J983" s="17"/>
      <c r="K983" s="17"/>
    </row>
    <row r="984" spans="1:11" x14ac:dyDescent="0.2">
      <c r="A984" s="115">
        <v>46193</v>
      </c>
      <c r="B984" s="93" t="s">
        <v>1702</v>
      </c>
      <c r="C984" s="94" t="s">
        <v>526</v>
      </c>
      <c r="D984" s="95">
        <v>4161.21</v>
      </c>
      <c r="E984" s="95">
        <v>100.74</v>
      </c>
      <c r="F984" s="96">
        <v>419200</v>
      </c>
      <c r="G984" s="97" t="s">
        <v>58</v>
      </c>
      <c r="H984" s="114">
        <f t="shared" si="15"/>
        <v>46174</v>
      </c>
      <c r="I984" s="17"/>
      <c r="J984" s="17"/>
      <c r="K984" s="17"/>
    </row>
    <row r="985" spans="1:11" x14ac:dyDescent="0.2">
      <c r="A985" s="115">
        <v>46193</v>
      </c>
      <c r="B985" s="93" t="s">
        <v>1703</v>
      </c>
      <c r="C985" s="94" t="s">
        <v>13</v>
      </c>
      <c r="D985" s="95">
        <v>327.58</v>
      </c>
      <c r="E985" s="95">
        <v>100.74</v>
      </c>
      <c r="F985" s="96">
        <v>33000</v>
      </c>
      <c r="G985" s="97" t="s">
        <v>152</v>
      </c>
      <c r="H985" s="114">
        <f t="shared" si="15"/>
        <v>46174</v>
      </c>
      <c r="I985" s="17"/>
      <c r="J985" s="17"/>
      <c r="K985" s="17"/>
    </row>
    <row r="986" spans="1:11" x14ac:dyDescent="0.2">
      <c r="A986" s="115">
        <v>46193</v>
      </c>
      <c r="B986" s="93" t="s">
        <v>1704</v>
      </c>
      <c r="C986" s="94" t="s">
        <v>792</v>
      </c>
      <c r="D986" s="95">
        <v>60</v>
      </c>
      <c r="E986" s="95">
        <v>100.74</v>
      </c>
      <c r="F986" s="96">
        <v>6044.4</v>
      </c>
      <c r="G986" s="97" t="s">
        <v>714</v>
      </c>
      <c r="H986" s="114">
        <f t="shared" si="15"/>
        <v>46174</v>
      </c>
      <c r="I986" s="17"/>
      <c r="J986" s="17"/>
      <c r="K986" s="17"/>
    </row>
    <row r="987" spans="1:11" x14ac:dyDescent="0.2">
      <c r="A987" s="115">
        <v>46193</v>
      </c>
      <c r="B987" s="93" t="s">
        <v>1705</v>
      </c>
      <c r="C987" s="94" t="s">
        <v>742</v>
      </c>
      <c r="D987" s="95">
        <v>109.79</v>
      </c>
      <c r="E987" s="95">
        <v>100.74</v>
      </c>
      <c r="F987" s="96">
        <v>11060.24</v>
      </c>
      <c r="G987" s="97" t="s">
        <v>714</v>
      </c>
      <c r="H987" s="114">
        <f t="shared" si="15"/>
        <v>46174</v>
      </c>
      <c r="I987" s="17"/>
      <c r="J987" s="17"/>
      <c r="K987" s="17"/>
    </row>
    <row r="988" spans="1:11" x14ac:dyDescent="0.2">
      <c r="A988" s="115">
        <v>46193</v>
      </c>
      <c r="B988" s="93" t="s">
        <v>1706</v>
      </c>
      <c r="C988" s="94" t="s">
        <v>1157</v>
      </c>
      <c r="D988" s="95">
        <v>95.7</v>
      </c>
      <c r="E988" s="95">
        <v>100.74</v>
      </c>
      <c r="F988" s="96">
        <v>9640.81</v>
      </c>
      <c r="G988" s="97" t="s">
        <v>714</v>
      </c>
      <c r="H988" s="114">
        <f t="shared" si="15"/>
        <v>46174</v>
      </c>
      <c r="I988" s="17"/>
      <c r="J988" s="17"/>
      <c r="K988" s="17"/>
    </row>
    <row r="989" spans="1:11" x14ac:dyDescent="0.2">
      <c r="A989" s="115">
        <v>46193</v>
      </c>
      <c r="B989" s="93" t="s">
        <v>1707</v>
      </c>
      <c r="C989" s="94" t="s">
        <v>742</v>
      </c>
      <c r="D989" s="95">
        <v>35</v>
      </c>
      <c r="E989" s="95">
        <v>100.74</v>
      </c>
      <c r="F989" s="96">
        <v>3525.9</v>
      </c>
      <c r="G989" s="97" t="s">
        <v>714</v>
      </c>
      <c r="H989" s="114">
        <f t="shared" si="15"/>
        <v>46174</v>
      </c>
      <c r="I989" s="17"/>
      <c r="J989" s="17"/>
      <c r="K989" s="17"/>
    </row>
    <row r="990" spans="1:11" x14ac:dyDescent="0.2">
      <c r="A990" s="115">
        <v>46193</v>
      </c>
      <c r="B990" s="93" t="s">
        <v>1708</v>
      </c>
      <c r="C990" s="94" t="s">
        <v>44</v>
      </c>
      <c r="D990" s="95">
        <v>10</v>
      </c>
      <c r="E990" s="95">
        <v>100.74</v>
      </c>
      <c r="F990" s="96">
        <v>1007.4</v>
      </c>
      <c r="G990" s="97" t="s">
        <v>56</v>
      </c>
      <c r="H990" s="114">
        <f t="shared" si="15"/>
        <v>46174</v>
      </c>
      <c r="I990" s="17"/>
      <c r="J990" s="17"/>
      <c r="K990" s="17"/>
    </row>
    <row r="991" spans="1:11" x14ac:dyDescent="0.2">
      <c r="A991" s="115">
        <v>46193</v>
      </c>
      <c r="B991" s="93" t="s">
        <v>1709</v>
      </c>
      <c r="C991" s="94" t="s">
        <v>128</v>
      </c>
      <c r="D991" s="95">
        <v>30</v>
      </c>
      <c r="E991" s="95">
        <v>100.74</v>
      </c>
      <c r="F991" s="96">
        <v>3022.2</v>
      </c>
      <c r="G991" s="97" t="s">
        <v>56</v>
      </c>
      <c r="H991" s="114">
        <f t="shared" si="15"/>
        <v>46174</v>
      </c>
      <c r="I991" s="17"/>
      <c r="J991" s="17"/>
      <c r="K991" s="17"/>
    </row>
    <row r="992" spans="1:11" x14ac:dyDescent="0.2">
      <c r="A992" s="115">
        <v>46193</v>
      </c>
      <c r="B992" s="93" t="s">
        <v>1710</v>
      </c>
      <c r="C992" s="94" t="s">
        <v>1323</v>
      </c>
      <c r="D992" s="95">
        <v>19.850000000000001</v>
      </c>
      <c r="E992" s="95">
        <v>100.74</v>
      </c>
      <c r="F992" s="96">
        <v>2000</v>
      </c>
      <c r="G992" s="97" t="s">
        <v>257</v>
      </c>
      <c r="H992" s="114">
        <f t="shared" si="15"/>
        <v>46174</v>
      </c>
      <c r="I992" s="17"/>
      <c r="J992" s="17"/>
      <c r="K992" s="17"/>
    </row>
    <row r="993" spans="1:11" x14ac:dyDescent="0.2">
      <c r="A993" s="115">
        <v>46193</v>
      </c>
      <c r="B993" s="93" t="s">
        <v>1711</v>
      </c>
      <c r="C993" s="94" t="s">
        <v>1663</v>
      </c>
      <c r="D993" s="95">
        <v>33.15</v>
      </c>
      <c r="E993" s="95">
        <v>100.74</v>
      </c>
      <c r="F993" s="96">
        <v>3339.53</v>
      </c>
      <c r="G993" s="97" t="s">
        <v>1646</v>
      </c>
      <c r="H993" s="114">
        <f t="shared" si="15"/>
        <v>46174</v>
      </c>
      <c r="I993" s="17"/>
      <c r="J993" s="17"/>
      <c r="K993" s="17"/>
    </row>
    <row r="994" spans="1:11" x14ac:dyDescent="0.2">
      <c r="A994" s="115">
        <v>46193</v>
      </c>
      <c r="B994" s="93" t="s">
        <v>1712</v>
      </c>
      <c r="C994" s="94" t="s">
        <v>1591</v>
      </c>
      <c r="D994" s="95">
        <v>200</v>
      </c>
      <c r="E994" s="95">
        <v>100.74</v>
      </c>
      <c r="F994" s="96">
        <v>20148</v>
      </c>
      <c r="G994" s="97" t="s">
        <v>96</v>
      </c>
      <c r="H994" s="114">
        <f t="shared" si="15"/>
        <v>46174</v>
      </c>
      <c r="I994" s="17"/>
      <c r="J994" s="17"/>
      <c r="K994" s="17"/>
    </row>
    <row r="995" spans="1:11" x14ac:dyDescent="0.2">
      <c r="A995" s="115">
        <v>46193</v>
      </c>
      <c r="B995" s="93" t="s">
        <v>1713</v>
      </c>
      <c r="C995" s="94" t="s">
        <v>1592</v>
      </c>
      <c r="D995" s="95">
        <v>200</v>
      </c>
      <c r="E995" s="95">
        <v>100.74</v>
      </c>
      <c r="F995" s="96">
        <v>20148</v>
      </c>
      <c r="G995" s="97" t="s">
        <v>96</v>
      </c>
      <c r="H995" s="114">
        <f t="shared" si="15"/>
        <v>46174</v>
      </c>
      <c r="I995" s="17"/>
      <c r="J995" s="17"/>
      <c r="K995" s="17"/>
    </row>
    <row r="996" spans="1:11" x14ac:dyDescent="0.2">
      <c r="A996" s="115">
        <v>46193</v>
      </c>
      <c r="B996" s="93" t="s">
        <v>1714</v>
      </c>
      <c r="C996" s="94" t="s">
        <v>1593</v>
      </c>
      <c r="D996" s="95">
        <v>200</v>
      </c>
      <c r="E996" s="95">
        <v>100.74</v>
      </c>
      <c r="F996" s="96">
        <v>20148</v>
      </c>
      <c r="G996" s="97" t="s">
        <v>96</v>
      </c>
      <c r="H996" s="114">
        <f t="shared" si="15"/>
        <v>46174</v>
      </c>
      <c r="I996" s="17"/>
      <c r="J996" s="17"/>
      <c r="K996" s="17"/>
    </row>
    <row r="997" spans="1:11" x14ac:dyDescent="0.2">
      <c r="A997" s="115">
        <v>46193</v>
      </c>
      <c r="B997" s="93" t="s">
        <v>1715</v>
      </c>
      <c r="C997" s="94" t="s">
        <v>1594</v>
      </c>
      <c r="D997" s="95">
        <v>200</v>
      </c>
      <c r="E997" s="95">
        <v>100.74</v>
      </c>
      <c r="F997" s="96">
        <v>20148</v>
      </c>
      <c r="G997" s="97" t="s">
        <v>96</v>
      </c>
      <c r="H997" s="114">
        <f t="shared" si="15"/>
        <v>46174</v>
      </c>
      <c r="I997" s="17"/>
      <c r="J997" s="17"/>
      <c r="K997" s="17"/>
    </row>
    <row r="998" spans="1:11" x14ac:dyDescent="0.2">
      <c r="A998" s="115">
        <v>46193</v>
      </c>
      <c r="B998" s="93" t="s">
        <v>1716</v>
      </c>
      <c r="C998" s="94" t="s">
        <v>1595</v>
      </c>
      <c r="D998" s="95">
        <v>200</v>
      </c>
      <c r="E998" s="95">
        <v>100.74</v>
      </c>
      <c r="F998" s="96">
        <v>20148</v>
      </c>
      <c r="G998" s="97" t="s">
        <v>96</v>
      </c>
      <c r="H998" s="114">
        <f t="shared" si="15"/>
        <v>46174</v>
      </c>
      <c r="I998" s="17"/>
      <c r="J998" s="17"/>
      <c r="K998" s="17"/>
    </row>
    <row r="999" spans="1:11" x14ac:dyDescent="0.2">
      <c r="A999" s="115">
        <v>46193</v>
      </c>
      <c r="B999" s="93" t="s">
        <v>1717</v>
      </c>
      <c r="C999" s="94" t="s">
        <v>1596</v>
      </c>
      <c r="D999" s="95">
        <v>200</v>
      </c>
      <c r="E999" s="95">
        <v>100.74</v>
      </c>
      <c r="F999" s="96">
        <v>20148</v>
      </c>
      <c r="G999" s="97" t="s">
        <v>96</v>
      </c>
      <c r="H999" s="114">
        <f t="shared" si="15"/>
        <v>46174</v>
      </c>
      <c r="I999" s="17"/>
      <c r="J999" s="17"/>
      <c r="K999" s="17"/>
    </row>
    <row r="1000" spans="1:11" x14ac:dyDescent="0.2">
      <c r="A1000" s="115">
        <v>46193</v>
      </c>
      <c r="B1000" s="93" t="s">
        <v>1718</v>
      </c>
      <c r="C1000" s="94" t="s">
        <v>1597</v>
      </c>
      <c r="D1000" s="95">
        <v>200</v>
      </c>
      <c r="E1000" s="95">
        <v>100.74</v>
      </c>
      <c r="F1000" s="96">
        <v>20148</v>
      </c>
      <c r="G1000" s="97" t="s">
        <v>96</v>
      </c>
      <c r="H1000" s="114">
        <f t="shared" si="15"/>
        <v>46174</v>
      </c>
      <c r="I1000" s="17"/>
      <c r="J1000" s="17"/>
      <c r="K1000" s="17"/>
    </row>
    <row r="1001" spans="1:11" x14ac:dyDescent="0.2">
      <c r="A1001" s="115">
        <v>46193</v>
      </c>
      <c r="B1001" s="93" t="s">
        <v>1719</v>
      </c>
      <c r="C1001" s="94" t="s">
        <v>1598</v>
      </c>
      <c r="D1001" s="95">
        <v>200</v>
      </c>
      <c r="E1001" s="95">
        <v>100.74</v>
      </c>
      <c r="F1001" s="96">
        <v>20148</v>
      </c>
      <c r="G1001" s="97" t="s">
        <v>96</v>
      </c>
      <c r="H1001" s="114">
        <f t="shared" si="15"/>
        <v>46174</v>
      </c>
      <c r="I1001" s="17"/>
      <c r="J1001" s="17"/>
      <c r="K1001" s="17"/>
    </row>
    <row r="1002" spans="1:11" x14ac:dyDescent="0.2">
      <c r="A1002" s="115">
        <v>46193</v>
      </c>
      <c r="B1002" s="93" t="s">
        <v>1720</v>
      </c>
      <c r="C1002" s="94" t="s">
        <v>1599</v>
      </c>
      <c r="D1002" s="95">
        <v>200</v>
      </c>
      <c r="E1002" s="95">
        <v>100.74</v>
      </c>
      <c r="F1002" s="96">
        <v>20148</v>
      </c>
      <c r="G1002" s="97" t="s">
        <v>96</v>
      </c>
      <c r="H1002" s="114">
        <f t="shared" si="15"/>
        <v>46174</v>
      </c>
      <c r="I1002" s="17"/>
      <c r="J1002" s="17"/>
      <c r="K1002" s="17"/>
    </row>
    <row r="1003" spans="1:11" x14ac:dyDescent="0.2">
      <c r="A1003" s="115">
        <v>46193</v>
      </c>
      <c r="B1003" s="93" t="s">
        <v>1721</v>
      </c>
      <c r="C1003" s="94" t="s">
        <v>1600</v>
      </c>
      <c r="D1003" s="95">
        <v>199.83</v>
      </c>
      <c r="E1003" s="95">
        <v>100.74</v>
      </c>
      <c r="F1003" s="96">
        <v>20130.87</v>
      </c>
      <c r="G1003" s="97" t="s">
        <v>96</v>
      </c>
      <c r="H1003" s="114">
        <f t="shared" si="15"/>
        <v>46174</v>
      </c>
      <c r="I1003" s="17"/>
      <c r="J1003" s="17"/>
      <c r="K1003" s="17"/>
    </row>
    <row r="1004" spans="1:11" x14ac:dyDescent="0.2">
      <c r="A1004" s="115">
        <v>46194</v>
      </c>
      <c r="B1004" s="93" t="s">
        <v>1724</v>
      </c>
      <c r="C1004" s="94" t="s">
        <v>526</v>
      </c>
      <c r="D1004" s="95">
        <v>4892.79</v>
      </c>
      <c r="E1004" s="95">
        <v>100.74</v>
      </c>
      <c r="F1004" s="96">
        <v>492900</v>
      </c>
      <c r="G1004" s="97" t="s">
        <v>58</v>
      </c>
      <c r="H1004" s="114">
        <f t="shared" si="15"/>
        <v>46174</v>
      </c>
      <c r="I1004" s="17"/>
      <c r="J1004" s="17"/>
      <c r="K1004" s="17"/>
    </row>
    <row r="1005" spans="1:11" x14ac:dyDescent="0.2">
      <c r="A1005" s="115">
        <v>46194</v>
      </c>
      <c r="B1005" s="93" t="s">
        <v>1725</v>
      </c>
      <c r="C1005" s="94" t="s">
        <v>13</v>
      </c>
      <c r="D1005" s="95">
        <v>935.08</v>
      </c>
      <c r="E1005" s="95">
        <v>100.74</v>
      </c>
      <c r="F1005" s="96">
        <v>94200</v>
      </c>
      <c r="G1005" s="97" t="s">
        <v>152</v>
      </c>
      <c r="H1005" s="114">
        <f t="shared" si="15"/>
        <v>46174</v>
      </c>
      <c r="I1005" s="17"/>
      <c r="J1005" s="17"/>
      <c r="K1005" s="17"/>
    </row>
    <row r="1006" spans="1:11" x14ac:dyDescent="0.2">
      <c r="A1006" s="115">
        <v>46194</v>
      </c>
      <c r="B1006" s="93" t="s">
        <v>1726</v>
      </c>
      <c r="C1006" s="94" t="s">
        <v>13</v>
      </c>
      <c r="D1006" s="95">
        <v>29.78</v>
      </c>
      <c r="E1006" s="95">
        <v>100.74</v>
      </c>
      <c r="F1006" s="96">
        <v>3000</v>
      </c>
      <c r="G1006" s="97" t="s">
        <v>57</v>
      </c>
      <c r="H1006" s="114">
        <f t="shared" si="15"/>
        <v>46174</v>
      </c>
      <c r="I1006" s="17"/>
      <c r="J1006" s="17"/>
      <c r="K1006" s="17"/>
    </row>
    <row r="1007" spans="1:11" x14ac:dyDescent="0.2">
      <c r="A1007" s="115">
        <v>46194</v>
      </c>
      <c r="B1007" s="93" t="s">
        <v>1727</v>
      </c>
      <c r="C1007" s="94" t="s">
        <v>872</v>
      </c>
      <c r="D1007" s="95">
        <v>200</v>
      </c>
      <c r="E1007" s="95">
        <v>100.74</v>
      </c>
      <c r="F1007" s="96">
        <v>20148</v>
      </c>
      <c r="G1007" s="97" t="s">
        <v>199</v>
      </c>
      <c r="H1007" s="114">
        <f t="shared" si="15"/>
        <v>46174</v>
      </c>
      <c r="I1007" s="17"/>
      <c r="J1007" s="17"/>
      <c r="K1007" s="17"/>
    </row>
    <row r="1008" spans="1:11" x14ac:dyDescent="0.2">
      <c r="A1008" s="115">
        <v>46194</v>
      </c>
      <c r="B1008" s="93" t="s">
        <v>1728</v>
      </c>
      <c r="C1008" s="94" t="s">
        <v>128</v>
      </c>
      <c r="D1008" s="95">
        <v>30</v>
      </c>
      <c r="E1008" s="95">
        <v>100.74</v>
      </c>
      <c r="F1008" s="96">
        <v>3022.2</v>
      </c>
      <c r="G1008" s="97" t="s">
        <v>56</v>
      </c>
      <c r="H1008" s="114">
        <f t="shared" si="15"/>
        <v>46174</v>
      </c>
      <c r="I1008" s="17"/>
      <c r="J1008" s="17"/>
      <c r="K1008" s="17"/>
    </row>
    <row r="1009" spans="1:11" x14ac:dyDescent="0.2">
      <c r="A1009" s="115">
        <v>46194</v>
      </c>
      <c r="B1009" s="93" t="s">
        <v>1729</v>
      </c>
      <c r="C1009" s="94" t="s">
        <v>45</v>
      </c>
      <c r="D1009" s="95">
        <v>10</v>
      </c>
      <c r="E1009" s="95">
        <v>100.74</v>
      </c>
      <c r="F1009" s="96">
        <v>1007.4</v>
      </c>
      <c r="G1009" s="97" t="s">
        <v>56</v>
      </c>
      <c r="H1009" s="114">
        <f t="shared" si="15"/>
        <v>46174</v>
      </c>
      <c r="I1009" s="17"/>
      <c r="J1009" s="17"/>
      <c r="K1009" s="17"/>
    </row>
    <row r="1010" spans="1:11" x14ac:dyDescent="0.2">
      <c r="A1010" s="115">
        <v>46194</v>
      </c>
      <c r="B1010" s="93" t="s">
        <v>1730</v>
      </c>
      <c r="C1010" s="94" t="s">
        <v>1602</v>
      </c>
      <c r="D1010" s="95">
        <v>52.41</v>
      </c>
      <c r="E1010" s="95">
        <v>100.74</v>
      </c>
      <c r="F1010" s="96">
        <v>5279.78</v>
      </c>
      <c r="G1010" s="97" t="s">
        <v>1646</v>
      </c>
      <c r="H1010" s="114">
        <f t="shared" si="15"/>
        <v>46174</v>
      </c>
      <c r="I1010" s="17"/>
      <c r="J1010" s="17"/>
      <c r="K1010" s="17"/>
    </row>
    <row r="1011" spans="1:11" x14ac:dyDescent="0.2">
      <c r="A1011" s="115">
        <v>46194</v>
      </c>
      <c r="B1011" s="93" t="s">
        <v>1731</v>
      </c>
      <c r="C1011" s="94" t="s">
        <v>13</v>
      </c>
      <c r="D1011" s="95">
        <v>20</v>
      </c>
      <c r="E1011" s="95">
        <v>100.74</v>
      </c>
      <c r="F1011" s="96">
        <v>2014.8</v>
      </c>
      <c r="G1011" s="97" t="s">
        <v>217</v>
      </c>
      <c r="H1011" s="114">
        <f t="shared" si="15"/>
        <v>46174</v>
      </c>
      <c r="I1011" s="17"/>
      <c r="J1011" s="17"/>
      <c r="K1011" s="17"/>
    </row>
    <row r="1012" spans="1:11" x14ac:dyDescent="0.2">
      <c r="A1012" s="115">
        <v>46195</v>
      </c>
      <c r="B1012" s="93" t="s">
        <v>1734</v>
      </c>
      <c r="C1012" s="94" t="s">
        <v>1743</v>
      </c>
      <c r="D1012" s="95">
        <v>150</v>
      </c>
      <c r="E1012" s="95">
        <v>100.74</v>
      </c>
      <c r="F1012" s="96">
        <v>15111</v>
      </c>
      <c r="G1012" s="97" t="s">
        <v>1733</v>
      </c>
      <c r="H1012" s="114">
        <f t="shared" si="15"/>
        <v>46174</v>
      </c>
      <c r="I1012" s="17"/>
      <c r="J1012" s="17"/>
      <c r="K1012" s="17"/>
    </row>
    <row r="1013" spans="1:11" x14ac:dyDescent="0.2">
      <c r="A1013" s="115">
        <v>46195</v>
      </c>
      <c r="B1013" s="93" t="s">
        <v>1735</v>
      </c>
      <c r="C1013" s="94" t="s">
        <v>1744</v>
      </c>
      <c r="D1013" s="95">
        <v>150</v>
      </c>
      <c r="E1013" s="95">
        <v>100.74</v>
      </c>
      <c r="F1013" s="96">
        <v>15111</v>
      </c>
      <c r="G1013" s="97" t="s">
        <v>1733</v>
      </c>
      <c r="H1013" s="114">
        <f t="shared" si="15"/>
        <v>46174</v>
      </c>
      <c r="I1013" s="17"/>
      <c r="J1013" s="17"/>
      <c r="K1013" s="17"/>
    </row>
    <row r="1014" spans="1:11" x14ac:dyDescent="0.2">
      <c r="A1014" s="115">
        <v>46195</v>
      </c>
      <c r="B1014" s="93" t="s">
        <v>1736</v>
      </c>
      <c r="C1014" s="94" t="s">
        <v>1745</v>
      </c>
      <c r="D1014" s="95">
        <v>150</v>
      </c>
      <c r="E1014" s="95">
        <v>100.74</v>
      </c>
      <c r="F1014" s="96">
        <v>15111</v>
      </c>
      <c r="G1014" s="97" t="s">
        <v>1733</v>
      </c>
      <c r="H1014" s="114">
        <f t="shared" si="15"/>
        <v>46174</v>
      </c>
      <c r="I1014" s="17"/>
      <c r="J1014" s="17"/>
      <c r="K1014" s="17"/>
    </row>
    <row r="1015" spans="1:11" x14ac:dyDescent="0.2">
      <c r="A1015" s="115">
        <v>46195</v>
      </c>
      <c r="B1015" s="93" t="s">
        <v>1737</v>
      </c>
      <c r="C1015" s="94" t="s">
        <v>1746</v>
      </c>
      <c r="D1015" s="95">
        <v>150</v>
      </c>
      <c r="E1015" s="95">
        <v>100.74</v>
      </c>
      <c r="F1015" s="96">
        <v>15111</v>
      </c>
      <c r="G1015" s="97" t="s">
        <v>1733</v>
      </c>
      <c r="H1015" s="114">
        <f t="shared" si="15"/>
        <v>46174</v>
      </c>
      <c r="I1015" s="17"/>
      <c r="J1015" s="17"/>
      <c r="K1015" s="17"/>
    </row>
    <row r="1016" spans="1:11" x14ac:dyDescent="0.2">
      <c r="A1016" s="115">
        <v>46195</v>
      </c>
      <c r="B1016" s="93" t="s">
        <v>1738</v>
      </c>
      <c r="C1016" s="94" t="s">
        <v>1747</v>
      </c>
      <c r="D1016" s="95">
        <v>150</v>
      </c>
      <c r="E1016" s="95">
        <v>100.74</v>
      </c>
      <c r="F1016" s="96">
        <v>15111</v>
      </c>
      <c r="G1016" s="97" t="s">
        <v>1733</v>
      </c>
      <c r="H1016" s="114">
        <f t="shared" si="15"/>
        <v>46174</v>
      </c>
      <c r="I1016" s="17"/>
      <c r="J1016" s="17"/>
      <c r="K1016" s="17"/>
    </row>
    <row r="1017" spans="1:11" x14ac:dyDescent="0.2">
      <c r="A1017" s="115">
        <v>46195</v>
      </c>
      <c r="B1017" s="93" t="s">
        <v>1739</v>
      </c>
      <c r="C1017" s="94" t="s">
        <v>1695</v>
      </c>
      <c r="D1017" s="95">
        <v>67</v>
      </c>
      <c r="E1017" s="95">
        <v>100.74</v>
      </c>
      <c r="F1017" s="96">
        <v>6749.58</v>
      </c>
      <c r="G1017" s="97" t="s">
        <v>1646</v>
      </c>
      <c r="H1017" s="114">
        <f t="shared" si="15"/>
        <v>46174</v>
      </c>
      <c r="I1017" s="17"/>
      <c r="J1017" s="17"/>
      <c r="K1017" s="17"/>
    </row>
    <row r="1018" spans="1:11" x14ac:dyDescent="0.2">
      <c r="A1018" s="115">
        <v>46195</v>
      </c>
      <c r="B1018" s="93" t="s">
        <v>1740</v>
      </c>
      <c r="C1018" s="94" t="s">
        <v>428</v>
      </c>
      <c r="D1018" s="95">
        <v>48.66</v>
      </c>
      <c r="E1018" s="95">
        <v>100.74</v>
      </c>
      <c r="F1018" s="96">
        <v>4902</v>
      </c>
      <c r="G1018" s="97" t="s">
        <v>257</v>
      </c>
      <c r="H1018" s="114">
        <f t="shared" si="15"/>
        <v>46174</v>
      </c>
      <c r="I1018" s="17"/>
      <c r="J1018" s="17"/>
      <c r="K1018" s="17"/>
    </row>
    <row r="1019" spans="1:11" x14ac:dyDescent="0.2">
      <c r="A1019" s="115">
        <v>46195</v>
      </c>
      <c r="B1019" s="93" t="s">
        <v>1741</v>
      </c>
      <c r="C1019" s="94" t="s">
        <v>526</v>
      </c>
      <c r="D1019" s="95">
        <v>287.87</v>
      </c>
      <c r="E1019" s="95">
        <v>100.74</v>
      </c>
      <c r="F1019" s="96">
        <v>29000</v>
      </c>
      <c r="G1019" s="97" t="s">
        <v>58</v>
      </c>
      <c r="H1019" s="114">
        <f t="shared" si="15"/>
        <v>46174</v>
      </c>
      <c r="I1019" s="17"/>
      <c r="J1019" s="17"/>
      <c r="K1019" s="17"/>
    </row>
    <row r="1020" spans="1:11" x14ac:dyDescent="0.2">
      <c r="A1020" s="115">
        <v>46195</v>
      </c>
      <c r="B1020" s="93" t="s">
        <v>1742</v>
      </c>
      <c r="C1020" s="94" t="s">
        <v>13</v>
      </c>
      <c r="D1020" s="95">
        <v>297.8</v>
      </c>
      <c r="E1020" s="95">
        <v>100.74</v>
      </c>
      <c r="F1020" s="96">
        <v>30000</v>
      </c>
      <c r="G1020" s="97" t="s">
        <v>152</v>
      </c>
      <c r="H1020" s="114">
        <f t="shared" si="15"/>
        <v>46174</v>
      </c>
      <c r="I1020" s="17"/>
      <c r="J1020" s="17"/>
      <c r="K1020" s="17"/>
    </row>
    <row r="1021" spans="1:11" x14ac:dyDescent="0.2">
      <c r="A1021" s="115">
        <v>46196</v>
      </c>
      <c r="B1021" s="93" t="s">
        <v>1752</v>
      </c>
      <c r="C1021" s="94" t="s">
        <v>181</v>
      </c>
      <c r="D1021" s="95">
        <v>300</v>
      </c>
      <c r="E1021" s="95">
        <v>100.74</v>
      </c>
      <c r="F1021" s="96">
        <v>30222</v>
      </c>
      <c r="G1021" s="97" t="s">
        <v>184</v>
      </c>
      <c r="H1021" s="114">
        <f t="shared" si="15"/>
        <v>46174</v>
      </c>
      <c r="I1021" s="17"/>
      <c r="J1021" s="17"/>
      <c r="K1021" s="17"/>
    </row>
    <row r="1022" spans="1:11" x14ac:dyDescent="0.2">
      <c r="A1022" s="115">
        <v>46196</v>
      </c>
      <c r="B1022" s="93" t="s">
        <v>1753</v>
      </c>
      <c r="C1022" s="94" t="s">
        <v>1774</v>
      </c>
      <c r="D1022" s="95">
        <v>200</v>
      </c>
      <c r="E1022" s="95">
        <v>100.74</v>
      </c>
      <c r="F1022" s="96">
        <v>20148</v>
      </c>
      <c r="G1022" s="97" t="s">
        <v>1073</v>
      </c>
      <c r="H1022" s="114">
        <f t="shared" si="15"/>
        <v>46174</v>
      </c>
      <c r="I1022" s="17"/>
      <c r="J1022" s="17"/>
      <c r="K1022" s="17"/>
    </row>
    <row r="1023" spans="1:11" x14ac:dyDescent="0.2">
      <c r="A1023" s="115">
        <v>46196</v>
      </c>
      <c r="B1023" s="93" t="s">
        <v>1754</v>
      </c>
      <c r="C1023" s="94" t="s">
        <v>1775</v>
      </c>
      <c r="D1023" s="95">
        <v>200</v>
      </c>
      <c r="E1023" s="95">
        <v>100.74</v>
      </c>
      <c r="F1023" s="96">
        <v>20148</v>
      </c>
      <c r="G1023" s="97" t="s">
        <v>1073</v>
      </c>
      <c r="H1023" s="114">
        <f t="shared" si="15"/>
        <v>46174</v>
      </c>
      <c r="I1023" s="17"/>
      <c r="J1023" s="17"/>
      <c r="K1023" s="17"/>
    </row>
    <row r="1024" spans="1:11" x14ac:dyDescent="0.2">
      <c r="A1024" s="115">
        <v>46196</v>
      </c>
      <c r="B1024" s="93" t="s">
        <v>1755</v>
      </c>
      <c r="C1024" s="94" t="s">
        <v>1776</v>
      </c>
      <c r="D1024" s="95">
        <v>200</v>
      </c>
      <c r="E1024" s="95">
        <v>100.74</v>
      </c>
      <c r="F1024" s="96">
        <v>20148</v>
      </c>
      <c r="G1024" s="97" t="s">
        <v>1073</v>
      </c>
      <c r="H1024" s="114">
        <f t="shared" si="15"/>
        <v>46174</v>
      </c>
      <c r="I1024" s="17"/>
      <c r="J1024" s="17"/>
      <c r="K1024" s="17"/>
    </row>
    <row r="1025" spans="1:11" x14ac:dyDescent="0.2">
      <c r="A1025" s="115">
        <v>46196</v>
      </c>
      <c r="B1025" s="93" t="s">
        <v>1756</v>
      </c>
      <c r="C1025" s="94" t="s">
        <v>1777</v>
      </c>
      <c r="D1025" s="95">
        <v>200</v>
      </c>
      <c r="E1025" s="95">
        <v>100.74</v>
      </c>
      <c r="F1025" s="96">
        <v>20148</v>
      </c>
      <c r="G1025" s="97" t="s">
        <v>1073</v>
      </c>
      <c r="H1025" s="114">
        <f t="shared" si="15"/>
        <v>46174</v>
      </c>
      <c r="I1025" s="17"/>
      <c r="J1025" s="17"/>
      <c r="K1025" s="17"/>
    </row>
    <row r="1026" spans="1:11" x14ac:dyDescent="0.2">
      <c r="A1026" s="115">
        <v>46196</v>
      </c>
      <c r="B1026" s="93" t="s">
        <v>1757</v>
      </c>
      <c r="C1026" s="94" t="s">
        <v>1778</v>
      </c>
      <c r="D1026" s="95">
        <v>200</v>
      </c>
      <c r="E1026" s="95">
        <v>100.74</v>
      </c>
      <c r="F1026" s="96">
        <v>20148</v>
      </c>
      <c r="G1026" s="97" t="s">
        <v>1073</v>
      </c>
      <c r="H1026" s="114">
        <f t="shared" si="15"/>
        <v>46174</v>
      </c>
      <c r="I1026" s="17"/>
      <c r="J1026" s="17"/>
      <c r="K1026" s="17"/>
    </row>
    <row r="1027" spans="1:11" x14ac:dyDescent="0.2">
      <c r="A1027" s="115">
        <v>46196</v>
      </c>
      <c r="B1027" s="93" t="s">
        <v>1758</v>
      </c>
      <c r="C1027" s="94" t="s">
        <v>1779</v>
      </c>
      <c r="D1027" s="95">
        <v>200</v>
      </c>
      <c r="E1027" s="95">
        <v>100.74</v>
      </c>
      <c r="F1027" s="96">
        <v>20148</v>
      </c>
      <c r="G1027" s="97" t="s">
        <v>1073</v>
      </c>
      <c r="H1027" s="114">
        <f t="shared" si="15"/>
        <v>46174</v>
      </c>
      <c r="I1027" s="17"/>
      <c r="J1027" s="17"/>
      <c r="K1027" s="17"/>
    </row>
    <row r="1028" spans="1:11" x14ac:dyDescent="0.2">
      <c r="A1028" s="115">
        <v>46196</v>
      </c>
      <c r="B1028" s="93" t="s">
        <v>1759</v>
      </c>
      <c r="C1028" s="94" t="s">
        <v>1531</v>
      </c>
      <c r="D1028" s="95">
        <v>200</v>
      </c>
      <c r="E1028" s="95">
        <v>100.74</v>
      </c>
      <c r="F1028" s="96">
        <v>20148</v>
      </c>
      <c r="G1028" s="97" t="s">
        <v>59</v>
      </c>
      <c r="H1028" s="114">
        <f t="shared" ref="H1028:H1091" si="16">IF(A1028&lt;&gt;"", EOMONTH(A1028, -1) + 1, "")</f>
        <v>46174</v>
      </c>
      <c r="I1028" s="17"/>
      <c r="J1028" s="17"/>
      <c r="K1028" s="17"/>
    </row>
    <row r="1029" spans="1:11" x14ac:dyDescent="0.2">
      <c r="A1029" s="115">
        <v>46196</v>
      </c>
      <c r="B1029" s="93" t="s">
        <v>1760</v>
      </c>
      <c r="C1029" s="94" t="s">
        <v>1780</v>
      </c>
      <c r="D1029" s="95">
        <v>150</v>
      </c>
      <c r="E1029" s="95">
        <v>100.74</v>
      </c>
      <c r="F1029" s="96">
        <v>15111</v>
      </c>
      <c r="G1029" s="97" t="s">
        <v>1733</v>
      </c>
      <c r="H1029" s="114">
        <f t="shared" si="16"/>
        <v>46174</v>
      </c>
      <c r="I1029" s="17"/>
      <c r="J1029" s="17"/>
      <c r="K1029" s="17"/>
    </row>
    <row r="1030" spans="1:11" x14ac:dyDescent="0.2">
      <c r="A1030" s="115">
        <v>46196</v>
      </c>
      <c r="B1030" s="93" t="s">
        <v>1761</v>
      </c>
      <c r="C1030" s="94" t="s">
        <v>1781</v>
      </c>
      <c r="D1030" s="95">
        <v>150</v>
      </c>
      <c r="E1030" s="95">
        <v>100.74</v>
      </c>
      <c r="F1030" s="96">
        <v>15111</v>
      </c>
      <c r="G1030" s="97" t="s">
        <v>1733</v>
      </c>
      <c r="H1030" s="114">
        <f t="shared" si="16"/>
        <v>46174</v>
      </c>
      <c r="I1030" s="17"/>
      <c r="J1030" s="17"/>
      <c r="K1030" s="17"/>
    </row>
    <row r="1031" spans="1:11" x14ac:dyDescent="0.2">
      <c r="A1031" s="115">
        <v>46196</v>
      </c>
      <c r="B1031" s="93" t="s">
        <v>1762</v>
      </c>
      <c r="C1031" s="94" t="s">
        <v>1157</v>
      </c>
      <c r="D1031" s="95">
        <v>101.75</v>
      </c>
      <c r="E1031" s="95">
        <v>100.74</v>
      </c>
      <c r="F1031" s="96">
        <v>10250.290000000001</v>
      </c>
      <c r="G1031" s="97" t="s">
        <v>714</v>
      </c>
      <c r="H1031" s="114">
        <f t="shared" si="16"/>
        <v>46174</v>
      </c>
      <c r="I1031" s="17"/>
      <c r="J1031" s="17"/>
      <c r="K1031" s="17"/>
    </row>
    <row r="1032" spans="1:11" x14ac:dyDescent="0.2">
      <c r="A1032" s="115">
        <v>46196</v>
      </c>
      <c r="B1032" s="93" t="s">
        <v>1763</v>
      </c>
      <c r="C1032" s="94" t="s">
        <v>44</v>
      </c>
      <c r="D1032" s="95">
        <v>10</v>
      </c>
      <c r="E1032" s="95">
        <v>100.74</v>
      </c>
      <c r="F1032" s="96">
        <v>1007.4</v>
      </c>
      <c r="G1032" s="97" t="s">
        <v>56</v>
      </c>
      <c r="H1032" s="114">
        <f t="shared" si="16"/>
        <v>46174</v>
      </c>
      <c r="I1032" s="17"/>
      <c r="J1032" s="17"/>
      <c r="K1032" s="17"/>
    </row>
    <row r="1033" spans="1:11" x14ac:dyDescent="0.2">
      <c r="A1033" s="115">
        <v>46196</v>
      </c>
      <c r="B1033" s="93" t="s">
        <v>1764</v>
      </c>
      <c r="C1033" s="94" t="s">
        <v>128</v>
      </c>
      <c r="D1033" s="95">
        <v>30</v>
      </c>
      <c r="E1033" s="95">
        <v>100.74</v>
      </c>
      <c r="F1033" s="96">
        <v>3022.2</v>
      </c>
      <c r="G1033" s="97" t="s">
        <v>56</v>
      </c>
      <c r="H1033" s="114">
        <f t="shared" si="16"/>
        <v>46174</v>
      </c>
      <c r="I1033" s="17"/>
      <c r="J1033" s="17"/>
      <c r="K1033" s="17"/>
    </row>
    <row r="1034" spans="1:11" x14ac:dyDescent="0.2">
      <c r="A1034" s="115">
        <v>46196</v>
      </c>
      <c r="B1034" s="93" t="s">
        <v>1765</v>
      </c>
      <c r="C1034" s="94" t="s">
        <v>1601</v>
      </c>
      <c r="D1034" s="95">
        <v>31</v>
      </c>
      <c r="E1034" s="95">
        <v>100.74</v>
      </c>
      <c r="F1034" s="96">
        <v>3122.94</v>
      </c>
      <c r="G1034" s="97" t="s">
        <v>1646</v>
      </c>
      <c r="H1034" s="114">
        <f t="shared" si="16"/>
        <v>46174</v>
      </c>
      <c r="I1034" s="17"/>
      <c r="J1034" s="17"/>
      <c r="K1034" s="17"/>
    </row>
    <row r="1035" spans="1:11" x14ac:dyDescent="0.2">
      <c r="A1035" s="115">
        <v>46196</v>
      </c>
      <c r="B1035" s="93" t="s">
        <v>1766</v>
      </c>
      <c r="C1035" s="94" t="s">
        <v>1275</v>
      </c>
      <c r="D1035" s="95">
        <v>30</v>
      </c>
      <c r="E1035" s="95">
        <v>100.74</v>
      </c>
      <c r="F1035" s="96">
        <v>3022.2</v>
      </c>
      <c r="G1035" s="97" t="s">
        <v>256</v>
      </c>
      <c r="H1035" s="114">
        <f t="shared" si="16"/>
        <v>46174</v>
      </c>
      <c r="I1035" s="17"/>
      <c r="J1035" s="17"/>
      <c r="K1035" s="17"/>
    </row>
    <row r="1036" spans="1:11" x14ac:dyDescent="0.2">
      <c r="A1036" s="115">
        <v>46196</v>
      </c>
      <c r="B1036" s="93" t="s">
        <v>1767</v>
      </c>
      <c r="C1036" s="94" t="s">
        <v>1172</v>
      </c>
      <c r="D1036" s="95">
        <v>20</v>
      </c>
      <c r="E1036" s="95">
        <v>100.74</v>
      </c>
      <c r="F1036" s="96">
        <v>2014.8</v>
      </c>
      <c r="G1036" s="97" t="s">
        <v>256</v>
      </c>
      <c r="H1036" s="114">
        <f t="shared" si="16"/>
        <v>46174</v>
      </c>
      <c r="I1036" s="17"/>
      <c r="J1036" s="17"/>
      <c r="K1036" s="17"/>
    </row>
    <row r="1037" spans="1:11" x14ac:dyDescent="0.2">
      <c r="A1037" s="115">
        <v>46196</v>
      </c>
      <c r="B1037" s="93" t="s">
        <v>1768</v>
      </c>
      <c r="C1037" s="94" t="s">
        <v>1782</v>
      </c>
      <c r="D1037" s="95">
        <v>150</v>
      </c>
      <c r="E1037" s="95">
        <v>100.74</v>
      </c>
      <c r="F1037" s="96">
        <v>15111</v>
      </c>
      <c r="G1037" s="97" t="s">
        <v>256</v>
      </c>
      <c r="H1037" s="114">
        <f t="shared" si="16"/>
        <v>46174</v>
      </c>
      <c r="I1037" s="17"/>
      <c r="J1037" s="17"/>
      <c r="K1037" s="17"/>
    </row>
    <row r="1038" spans="1:11" x14ac:dyDescent="0.2">
      <c r="A1038" s="115">
        <v>46196</v>
      </c>
      <c r="B1038" s="93" t="s">
        <v>1769</v>
      </c>
      <c r="C1038" s="94" t="s">
        <v>1783</v>
      </c>
      <c r="D1038" s="95">
        <v>24.82</v>
      </c>
      <c r="E1038" s="95">
        <v>100.74</v>
      </c>
      <c r="F1038" s="96">
        <v>2500</v>
      </c>
      <c r="G1038" s="97" t="s">
        <v>1786</v>
      </c>
      <c r="H1038" s="114">
        <f t="shared" si="16"/>
        <v>46174</v>
      </c>
      <c r="I1038" s="17"/>
      <c r="J1038" s="17"/>
      <c r="K1038" s="17"/>
    </row>
    <row r="1039" spans="1:11" x14ac:dyDescent="0.2">
      <c r="A1039" s="115">
        <v>46196</v>
      </c>
      <c r="B1039" s="93" t="s">
        <v>1770</v>
      </c>
      <c r="C1039" s="94" t="s">
        <v>1784</v>
      </c>
      <c r="D1039" s="95">
        <v>24.82</v>
      </c>
      <c r="E1039" s="95">
        <v>100.74</v>
      </c>
      <c r="F1039" s="96">
        <v>2500</v>
      </c>
      <c r="G1039" s="97" t="s">
        <v>1786</v>
      </c>
      <c r="H1039" s="114">
        <f t="shared" si="16"/>
        <v>46174</v>
      </c>
      <c r="I1039" s="17"/>
      <c r="J1039" s="17"/>
      <c r="K1039" s="17"/>
    </row>
    <row r="1040" spans="1:11" x14ac:dyDescent="0.2">
      <c r="A1040" s="115">
        <v>46196</v>
      </c>
      <c r="B1040" s="93" t="s">
        <v>1771</v>
      </c>
      <c r="C1040" s="94" t="s">
        <v>1785</v>
      </c>
      <c r="D1040" s="95">
        <v>24.82</v>
      </c>
      <c r="E1040" s="95">
        <v>100.74</v>
      </c>
      <c r="F1040" s="96">
        <v>2500</v>
      </c>
      <c r="G1040" s="97" t="s">
        <v>1786</v>
      </c>
      <c r="H1040" s="114">
        <f t="shared" si="16"/>
        <v>46174</v>
      </c>
      <c r="I1040" s="17"/>
      <c r="J1040" s="17"/>
      <c r="K1040" s="17"/>
    </row>
    <row r="1041" spans="1:11" x14ac:dyDescent="0.2">
      <c r="A1041" s="115">
        <v>46196</v>
      </c>
      <c r="B1041" s="93" t="s">
        <v>1772</v>
      </c>
      <c r="C1041" s="94" t="s">
        <v>526</v>
      </c>
      <c r="D1041" s="95">
        <v>5911.26</v>
      </c>
      <c r="E1041" s="95">
        <v>100.74</v>
      </c>
      <c r="F1041" s="96">
        <v>595500</v>
      </c>
      <c r="G1041" s="97" t="s">
        <v>58</v>
      </c>
      <c r="H1041" s="114">
        <f t="shared" si="16"/>
        <v>46174</v>
      </c>
      <c r="I1041" s="17"/>
      <c r="J1041" s="17"/>
      <c r="K1041" s="17"/>
    </row>
    <row r="1042" spans="1:11" x14ac:dyDescent="0.2">
      <c r="A1042" s="115">
        <v>46196</v>
      </c>
      <c r="B1042" s="93" t="s">
        <v>1773</v>
      </c>
      <c r="C1042" s="94" t="s">
        <v>13</v>
      </c>
      <c r="D1042" s="95">
        <v>282.91000000000003</v>
      </c>
      <c r="E1042" s="95">
        <v>100.74</v>
      </c>
      <c r="F1042" s="96">
        <v>28500</v>
      </c>
      <c r="G1042" s="97" t="s">
        <v>152</v>
      </c>
      <c r="H1042" s="114">
        <f t="shared" si="16"/>
        <v>46174</v>
      </c>
      <c r="I1042" s="17"/>
      <c r="J1042" s="17"/>
      <c r="K1042" s="17"/>
    </row>
    <row r="1043" spans="1:11" x14ac:dyDescent="0.2">
      <c r="A1043" s="115">
        <v>46196</v>
      </c>
      <c r="B1043" s="93" t="s">
        <v>1792</v>
      </c>
      <c r="C1043" s="94" t="s">
        <v>50</v>
      </c>
      <c r="D1043" s="95">
        <v>3001.18</v>
      </c>
      <c r="E1043" s="95">
        <v>100.74</v>
      </c>
      <c r="F1043" s="96">
        <v>302338.87</v>
      </c>
      <c r="G1043" s="97" t="s">
        <v>96</v>
      </c>
      <c r="H1043" s="114">
        <f t="shared" si="16"/>
        <v>46174</v>
      </c>
      <c r="I1043" s="17"/>
      <c r="J1043" s="17"/>
      <c r="K1043" s="17"/>
    </row>
    <row r="1044" spans="1:11" x14ac:dyDescent="0.2">
      <c r="A1044" s="115">
        <v>46196</v>
      </c>
      <c r="B1044" s="93" t="s">
        <v>1793</v>
      </c>
      <c r="C1044" s="94" t="s">
        <v>50</v>
      </c>
      <c r="D1044" s="95">
        <v>3000.27</v>
      </c>
      <c r="E1044" s="95">
        <v>100.74</v>
      </c>
      <c r="F1044" s="96">
        <v>302247.2</v>
      </c>
      <c r="G1044" s="97" t="s">
        <v>59</v>
      </c>
      <c r="H1044" s="114">
        <f t="shared" si="16"/>
        <v>46174</v>
      </c>
      <c r="I1044" s="17"/>
      <c r="J1044" s="17"/>
      <c r="K1044" s="17"/>
    </row>
    <row r="1045" spans="1:11" x14ac:dyDescent="0.2">
      <c r="A1045" s="115">
        <v>46196</v>
      </c>
      <c r="B1045" s="93" t="s">
        <v>1794</v>
      </c>
      <c r="C1045" s="94" t="s">
        <v>50</v>
      </c>
      <c r="D1045" s="95">
        <v>2000</v>
      </c>
      <c r="E1045" s="95">
        <v>100.74</v>
      </c>
      <c r="F1045" s="96">
        <v>201480</v>
      </c>
      <c r="G1045" s="97" t="s">
        <v>901</v>
      </c>
      <c r="H1045" s="114">
        <f t="shared" si="16"/>
        <v>46174</v>
      </c>
      <c r="I1045" s="17"/>
      <c r="J1045" s="17"/>
      <c r="K1045" s="17"/>
    </row>
    <row r="1046" spans="1:11" x14ac:dyDescent="0.2">
      <c r="A1046" s="115">
        <v>46197</v>
      </c>
      <c r="B1046" s="93" t="s">
        <v>1896</v>
      </c>
      <c r="C1046" s="94" t="s">
        <v>1774</v>
      </c>
      <c r="D1046" s="95">
        <v>200</v>
      </c>
      <c r="E1046" s="95">
        <v>100.74</v>
      </c>
      <c r="F1046" s="96">
        <v>20148</v>
      </c>
      <c r="G1046" s="97" t="s">
        <v>1073</v>
      </c>
      <c r="H1046" s="114">
        <f t="shared" si="16"/>
        <v>46174</v>
      </c>
      <c r="I1046" s="17"/>
      <c r="J1046" s="17"/>
      <c r="K1046" s="17"/>
    </row>
    <row r="1047" spans="1:11" x14ac:dyDescent="0.2">
      <c r="A1047" s="115">
        <v>46197</v>
      </c>
      <c r="B1047" s="93" t="s">
        <v>1897</v>
      </c>
      <c r="C1047" s="94" t="s">
        <v>1775</v>
      </c>
      <c r="D1047" s="95">
        <v>200</v>
      </c>
      <c r="E1047" s="95">
        <v>100.74</v>
      </c>
      <c r="F1047" s="96">
        <v>20148</v>
      </c>
      <c r="G1047" s="97" t="s">
        <v>1073</v>
      </c>
      <c r="H1047" s="114">
        <f t="shared" si="16"/>
        <v>46174</v>
      </c>
      <c r="I1047" s="17"/>
      <c r="J1047" s="17"/>
      <c r="K1047" s="17"/>
    </row>
    <row r="1048" spans="1:11" x14ac:dyDescent="0.2">
      <c r="A1048" s="115">
        <v>46197</v>
      </c>
      <c r="B1048" s="93" t="s">
        <v>1898</v>
      </c>
      <c r="C1048" s="94" t="s">
        <v>1776</v>
      </c>
      <c r="D1048" s="95">
        <v>200</v>
      </c>
      <c r="E1048" s="95">
        <v>100.74</v>
      </c>
      <c r="F1048" s="96">
        <v>20148</v>
      </c>
      <c r="G1048" s="97" t="s">
        <v>1073</v>
      </c>
      <c r="H1048" s="114">
        <f t="shared" si="16"/>
        <v>46174</v>
      </c>
      <c r="I1048" s="17"/>
      <c r="J1048" s="17"/>
      <c r="K1048" s="17"/>
    </row>
    <row r="1049" spans="1:11" x14ac:dyDescent="0.2">
      <c r="A1049" s="115">
        <v>46197</v>
      </c>
      <c r="B1049" s="93" t="s">
        <v>1899</v>
      </c>
      <c r="C1049" s="94" t="s">
        <v>1777</v>
      </c>
      <c r="D1049" s="95">
        <v>200</v>
      </c>
      <c r="E1049" s="95">
        <v>100.74</v>
      </c>
      <c r="F1049" s="96">
        <v>20148</v>
      </c>
      <c r="G1049" s="97" t="s">
        <v>1073</v>
      </c>
      <c r="H1049" s="114">
        <f t="shared" si="16"/>
        <v>46174</v>
      </c>
      <c r="I1049" s="17"/>
      <c r="J1049" s="17"/>
      <c r="K1049" s="17"/>
    </row>
    <row r="1050" spans="1:11" x14ac:dyDescent="0.2">
      <c r="A1050" s="115">
        <v>46197</v>
      </c>
      <c r="B1050" s="93" t="s">
        <v>1900</v>
      </c>
      <c r="C1050" s="94" t="s">
        <v>1778</v>
      </c>
      <c r="D1050" s="95">
        <v>200</v>
      </c>
      <c r="E1050" s="95">
        <v>100.74</v>
      </c>
      <c r="F1050" s="96">
        <v>20148</v>
      </c>
      <c r="G1050" s="97" t="s">
        <v>1073</v>
      </c>
      <c r="H1050" s="114">
        <f t="shared" si="16"/>
        <v>46174</v>
      </c>
      <c r="I1050" s="17"/>
      <c r="J1050" s="17"/>
      <c r="K1050" s="17"/>
    </row>
    <row r="1051" spans="1:11" x14ac:dyDescent="0.2">
      <c r="A1051" s="115">
        <v>46197</v>
      </c>
      <c r="B1051" s="93" t="s">
        <v>1901</v>
      </c>
      <c r="C1051" s="94" t="s">
        <v>1779</v>
      </c>
      <c r="D1051" s="95">
        <v>200</v>
      </c>
      <c r="E1051" s="95">
        <v>100.74</v>
      </c>
      <c r="F1051" s="96">
        <v>20148</v>
      </c>
      <c r="G1051" s="97" t="s">
        <v>1073</v>
      </c>
      <c r="H1051" s="114">
        <f t="shared" si="16"/>
        <v>46174</v>
      </c>
      <c r="I1051" s="17"/>
      <c r="J1051" s="17"/>
      <c r="K1051" s="17"/>
    </row>
    <row r="1052" spans="1:11" x14ac:dyDescent="0.2">
      <c r="A1052" s="115">
        <v>46197</v>
      </c>
      <c r="B1052" s="93" t="s">
        <v>1902</v>
      </c>
      <c r="C1052" s="94" t="s">
        <v>1157</v>
      </c>
      <c r="D1052" s="95">
        <v>79.41</v>
      </c>
      <c r="E1052" s="95">
        <v>100.74</v>
      </c>
      <c r="F1052" s="96">
        <v>8000</v>
      </c>
      <c r="G1052" s="97" t="s">
        <v>714</v>
      </c>
      <c r="H1052" s="114">
        <f t="shared" si="16"/>
        <v>46174</v>
      </c>
      <c r="I1052" s="17"/>
      <c r="J1052" s="17"/>
      <c r="K1052" s="17"/>
    </row>
    <row r="1053" spans="1:11" x14ac:dyDescent="0.2">
      <c r="A1053" s="115">
        <v>46197</v>
      </c>
      <c r="B1053" s="93" t="s">
        <v>1903</v>
      </c>
      <c r="C1053" s="94" t="s">
        <v>821</v>
      </c>
      <c r="D1053" s="95">
        <v>50</v>
      </c>
      <c r="E1053" s="95">
        <v>100.74</v>
      </c>
      <c r="F1053" s="96">
        <v>5037</v>
      </c>
      <c r="G1053" s="97" t="s">
        <v>714</v>
      </c>
      <c r="H1053" s="114">
        <f t="shared" si="16"/>
        <v>46174</v>
      </c>
      <c r="I1053" s="17"/>
      <c r="J1053" s="17"/>
      <c r="K1053" s="17"/>
    </row>
    <row r="1054" spans="1:11" x14ac:dyDescent="0.2">
      <c r="A1054" s="115">
        <v>46197</v>
      </c>
      <c r="B1054" s="93" t="s">
        <v>1904</v>
      </c>
      <c r="C1054" s="94" t="s">
        <v>251</v>
      </c>
      <c r="D1054" s="95">
        <v>19.850000000000001</v>
      </c>
      <c r="E1054" s="95">
        <v>100.74</v>
      </c>
      <c r="F1054" s="96">
        <v>2000</v>
      </c>
      <c r="G1054" s="97" t="s">
        <v>257</v>
      </c>
      <c r="H1054" s="114">
        <f t="shared" si="16"/>
        <v>46174</v>
      </c>
      <c r="I1054" s="17"/>
      <c r="J1054" s="17"/>
      <c r="K1054" s="17"/>
    </row>
    <row r="1055" spans="1:11" x14ac:dyDescent="0.2">
      <c r="A1055" s="115">
        <v>46197</v>
      </c>
      <c r="B1055" s="93" t="s">
        <v>1905</v>
      </c>
      <c r="C1055" s="94" t="s">
        <v>128</v>
      </c>
      <c r="D1055" s="95">
        <v>30</v>
      </c>
      <c r="E1055" s="95">
        <v>100.74</v>
      </c>
      <c r="F1055" s="96">
        <v>3022.2</v>
      </c>
      <c r="G1055" s="97" t="s">
        <v>56</v>
      </c>
      <c r="H1055" s="114">
        <f t="shared" si="16"/>
        <v>46174</v>
      </c>
      <c r="I1055" s="17"/>
      <c r="J1055" s="17"/>
      <c r="K1055" s="17"/>
    </row>
    <row r="1056" spans="1:11" x14ac:dyDescent="0.2">
      <c r="A1056" s="115">
        <v>46197</v>
      </c>
      <c r="B1056" s="93" t="s">
        <v>1906</v>
      </c>
      <c r="C1056" s="94" t="s">
        <v>45</v>
      </c>
      <c r="D1056" s="95">
        <v>10</v>
      </c>
      <c r="E1056" s="95">
        <v>100.74</v>
      </c>
      <c r="F1056" s="96">
        <v>1007.4</v>
      </c>
      <c r="G1056" s="97" t="s">
        <v>56</v>
      </c>
      <c r="H1056" s="114">
        <f t="shared" si="16"/>
        <v>46174</v>
      </c>
      <c r="I1056" s="17"/>
      <c r="J1056" s="17"/>
      <c r="K1056" s="17"/>
    </row>
    <row r="1057" spans="1:11" x14ac:dyDescent="0.2">
      <c r="A1057" s="115">
        <v>46197</v>
      </c>
      <c r="B1057" s="93" t="s">
        <v>1907</v>
      </c>
      <c r="C1057" s="94" t="s">
        <v>1602</v>
      </c>
      <c r="D1057" s="95">
        <v>52.88</v>
      </c>
      <c r="E1057" s="95">
        <v>100.74</v>
      </c>
      <c r="F1057" s="96">
        <v>5327.13</v>
      </c>
      <c r="G1057" s="97" t="s">
        <v>1646</v>
      </c>
      <c r="H1057" s="114">
        <f t="shared" si="16"/>
        <v>46174</v>
      </c>
      <c r="I1057" s="17"/>
      <c r="J1057" s="17"/>
      <c r="K1057" s="17"/>
    </row>
    <row r="1058" spans="1:11" x14ac:dyDescent="0.2">
      <c r="A1058" s="115">
        <v>46197</v>
      </c>
      <c r="B1058" s="93" t="s">
        <v>1908</v>
      </c>
      <c r="C1058" s="94" t="s">
        <v>1695</v>
      </c>
      <c r="D1058" s="95">
        <v>61</v>
      </c>
      <c r="E1058" s="95">
        <v>100.74</v>
      </c>
      <c r="F1058" s="96">
        <v>6145.14</v>
      </c>
      <c r="G1058" s="97" t="s">
        <v>1646</v>
      </c>
      <c r="H1058" s="114">
        <f t="shared" si="16"/>
        <v>46174</v>
      </c>
      <c r="I1058" s="17"/>
      <c r="J1058" s="17"/>
      <c r="K1058" s="17"/>
    </row>
    <row r="1059" spans="1:11" x14ac:dyDescent="0.2">
      <c r="A1059" s="115">
        <v>46197</v>
      </c>
      <c r="B1059" s="93" t="s">
        <v>1909</v>
      </c>
      <c r="C1059" s="94" t="s">
        <v>1943</v>
      </c>
      <c r="D1059" s="95">
        <v>100</v>
      </c>
      <c r="E1059" s="95">
        <v>100.74</v>
      </c>
      <c r="F1059" s="96">
        <v>10074</v>
      </c>
      <c r="G1059" s="97" t="s">
        <v>54</v>
      </c>
      <c r="H1059" s="114">
        <f t="shared" si="16"/>
        <v>46174</v>
      </c>
      <c r="I1059" s="17"/>
      <c r="J1059" s="17"/>
      <c r="K1059" s="17"/>
    </row>
    <row r="1060" spans="1:11" x14ac:dyDescent="0.2">
      <c r="A1060" s="115">
        <v>46197</v>
      </c>
      <c r="B1060" s="93" t="s">
        <v>1910</v>
      </c>
      <c r="C1060" s="94" t="s">
        <v>50</v>
      </c>
      <c r="D1060" s="95">
        <v>46.64</v>
      </c>
      <c r="E1060" s="95">
        <v>100.74</v>
      </c>
      <c r="F1060" s="96">
        <v>4698.51</v>
      </c>
      <c r="G1060" s="97" t="s">
        <v>54</v>
      </c>
      <c r="H1060" s="114">
        <f t="shared" si="16"/>
        <v>46174</v>
      </c>
      <c r="I1060" s="17"/>
      <c r="J1060" s="17"/>
      <c r="K1060" s="17"/>
    </row>
    <row r="1061" spans="1:11" x14ac:dyDescent="0.2">
      <c r="A1061" s="115">
        <v>46197</v>
      </c>
      <c r="B1061" s="93" t="s">
        <v>1911</v>
      </c>
      <c r="C1061" s="94" t="s">
        <v>1944</v>
      </c>
      <c r="D1061" s="95">
        <v>24.82</v>
      </c>
      <c r="E1061" s="95">
        <v>100.74</v>
      </c>
      <c r="F1061" s="96">
        <v>2500</v>
      </c>
      <c r="G1061" s="97" t="s">
        <v>1786</v>
      </c>
      <c r="H1061" s="114">
        <f t="shared" si="16"/>
        <v>46174</v>
      </c>
      <c r="I1061" s="17"/>
      <c r="J1061" s="17"/>
      <c r="K1061" s="17"/>
    </row>
    <row r="1062" spans="1:11" x14ac:dyDescent="0.2">
      <c r="A1062" s="115">
        <v>46197</v>
      </c>
      <c r="B1062" s="93" t="s">
        <v>1912</v>
      </c>
      <c r="C1062" s="94" t="s">
        <v>1945</v>
      </c>
      <c r="D1062" s="95">
        <v>24.82</v>
      </c>
      <c r="E1062" s="95">
        <v>100.74</v>
      </c>
      <c r="F1062" s="96">
        <v>2500</v>
      </c>
      <c r="G1062" s="97" t="s">
        <v>1786</v>
      </c>
      <c r="H1062" s="114">
        <f t="shared" si="16"/>
        <v>46174</v>
      </c>
      <c r="I1062" s="17"/>
      <c r="J1062" s="17"/>
      <c r="K1062" s="17"/>
    </row>
    <row r="1063" spans="1:11" x14ac:dyDescent="0.2">
      <c r="A1063" s="115">
        <v>46197</v>
      </c>
      <c r="B1063" s="93" t="s">
        <v>1913</v>
      </c>
      <c r="C1063" s="94" t="s">
        <v>1946</v>
      </c>
      <c r="D1063" s="95">
        <v>24.82</v>
      </c>
      <c r="E1063" s="95">
        <v>100.74</v>
      </c>
      <c r="F1063" s="96">
        <v>2500</v>
      </c>
      <c r="G1063" s="97" t="s">
        <v>1786</v>
      </c>
      <c r="H1063" s="114">
        <f t="shared" si="16"/>
        <v>46174</v>
      </c>
      <c r="I1063" s="17"/>
      <c r="J1063" s="17"/>
      <c r="K1063" s="17"/>
    </row>
    <row r="1064" spans="1:11" x14ac:dyDescent="0.2">
      <c r="A1064" s="115">
        <v>46197</v>
      </c>
      <c r="B1064" s="93" t="s">
        <v>1914</v>
      </c>
      <c r="C1064" s="94" t="s">
        <v>1947</v>
      </c>
      <c r="D1064" s="95">
        <v>24.82</v>
      </c>
      <c r="E1064" s="95">
        <v>100.74</v>
      </c>
      <c r="F1064" s="96">
        <v>2500</v>
      </c>
      <c r="G1064" s="97" t="s">
        <v>1786</v>
      </c>
      <c r="H1064" s="114">
        <f t="shared" si="16"/>
        <v>46174</v>
      </c>
      <c r="I1064" s="17"/>
      <c r="J1064" s="17"/>
      <c r="K1064" s="17"/>
    </row>
    <row r="1065" spans="1:11" x14ac:dyDescent="0.2">
      <c r="A1065" s="115">
        <v>46197</v>
      </c>
      <c r="B1065" s="93" t="s">
        <v>1915</v>
      </c>
      <c r="C1065" s="94" t="s">
        <v>1948</v>
      </c>
      <c r="D1065" s="95">
        <v>24.82</v>
      </c>
      <c r="E1065" s="95">
        <v>100.74</v>
      </c>
      <c r="F1065" s="96">
        <v>2500</v>
      </c>
      <c r="G1065" s="97" t="s">
        <v>1786</v>
      </c>
      <c r="H1065" s="114">
        <f t="shared" si="16"/>
        <v>46174</v>
      </c>
      <c r="I1065" s="17"/>
      <c r="J1065" s="17"/>
      <c r="K1065" s="17"/>
    </row>
    <row r="1066" spans="1:11" x14ac:dyDescent="0.2">
      <c r="A1066" s="115">
        <v>46197</v>
      </c>
      <c r="B1066" s="93" t="s">
        <v>1916</v>
      </c>
      <c r="C1066" s="94" t="s">
        <v>1949</v>
      </c>
      <c r="D1066" s="95">
        <v>24.82</v>
      </c>
      <c r="E1066" s="95">
        <v>100.74</v>
      </c>
      <c r="F1066" s="96">
        <v>2500</v>
      </c>
      <c r="G1066" s="97" t="s">
        <v>1786</v>
      </c>
      <c r="H1066" s="114">
        <f t="shared" si="16"/>
        <v>46174</v>
      </c>
      <c r="I1066" s="17"/>
      <c r="J1066" s="17"/>
      <c r="K1066" s="17"/>
    </row>
    <row r="1067" spans="1:11" x14ac:dyDescent="0.2">
      <c r="A1067" s="115">
        <v>46197</v>
      </c>
      <c r="B1067" s="93" t="s">
        <v>1917</v>
      </c>
      <c r="C1067" s="94" t="s">
        <v>1784</v>
      </c>
      <c r="D1067" s="95">
        <v>24.82</v>
      </c>
      <c r="E1067" s="95">
        <v>100.74</v>
      </c>
      <c r="F1067" s="96">
        <v>2500</v>
      </c>
      <c r="G1067" s="97" t="s">
        <v>1786</v>
      </c>
      <c r="H1067" s="114">
        <f t="shared" si="16"/>
        <v>46174</v>
      </c>
      <c r="I1067" s="17"/>
      <c r="J1067" s="17"/>
      <c r="K1067" s="17"/>
    </row>
    <row r="1068" spans="1:11" x14ac:dyDescent="0.2">
      <c r="A1068" s="115">
        <v>46197</v>
      </c>
      <c r="B1068" s="93" t="s">
        <v>1918</v>
      </c>
      <c r="C1068" s="94" t="s">
        <v>1785</v>
      </c>
      <c r="D1068" s="95">
        <v>24.82</v>
      </c>
      <c r="E1068" s="95">
        <v>100.74</v>
      </c>
      <c r="F1068" s="96">
        <v>2500</v>
      </c>
      <c r="G1068" s="97" t="s">
        <v>1786</v>
      </c>
      <c r="H1068" s="114">
        <f t="shared" si="16"/>
        <v>46174</v>
      </c>
      <c r="I1068" s="17"/>
      <c r="J1068" s="17"/>
      <c r="K1068" s="17"/>
    </row>
    <row r="1069" spans="1:11" x14ac:dyDescent="0.2">
      <c r="A1069" s="115">
        <v>46197</v>
      </c>
      <c r="B1069" s="93" t="s">
        <v>1919</v>
      </c>
      <c r="C1069" s="94" t="s">
        <v>1783</v>
      </c>
      <c r="D1069" s="95">
        <v>24.82</v>
      </c>
      <c r="E1069" s="95">
        <v>100.74</v>
      </c>
      <c r="F1069" s="96">
        <v>2500</v>
      </c>
      <c r="G1069" s="97" t="s">
        <v>1786</v>
      </c>
      <c r="H1069" s="114">
        <f t="shared" si="16"/>
        <v>46174</v>
      </c>
      <c r="I1069" s="17"/>
      <c r="J1069" s="17"/>
      <c r="K1069" s="17"/>
    </row>
    <row r="1070" spans="1:11" x14ac:dyDescent="0.2">
      <c r="A1070" s="115">
        <v>46197</v>
      </c>
      <c r="B1070" s="93" t="s">
        <v>1920</v>
      </c>
      <c r="C1070" s="94" t="s">
        <v>1950</v>
      </c>
      <c r="D1070" s="95">
        <v>24.82</v>
      </c>
      <c r="E1070" s="95">
        <v>100.74</v>
      </c>
      <c r="F1070" s="96">
        <v>2500</v>
      </c>
      <c r="G1070" s="97" t="s">
        <v>1786</v>
      </c>
      <c r="H1070" s="114">
        <f t="shared" si="16"/>
        <v>46174</v>
      </c>
      <c r="I1070" s="17"/>
      <c r="J1070" s="17"/>
      <c r="K1070" s="17"/>
    </row>
    <row r="1071" spans="1:11" x14ac:dyDescent="0.2">
      <c r="A1071" s="115">
        <v>46197</v>
      </c>
      <c r="B1071" s="93" t="s">
        <v>1921</v>
      </c>
      <c r="C1071" s="94" t="s">
        <v>1951</v>
      </c>
      <c r="D1071" s="95">
        <v>24.82</v>
      </c>
      <c r="E1071" s="95">
        <v>100.74</v>
      </c>
      <c r="F1071" s="96">
        <v>2500</v>
      </c>
      <c r="G1071" s="97" t="s">
        <v>1786</v>
      </c>
      <c r="H1071" s="114">
        <f t="shared" si="16"/>
        <v>46174</v>
      </c>
      <c r="I1071" s="17"/>
      <c r="J1071" s="17"/>
      <c r="K1071" s="17"/>
    </row>
    <row r="1072" spans="1:11" x14ac:dyDescent="0.2">
      <c r="A1072" s="115">
        <v>46197</v>
      </c>
      <c r="B1072" s="93" t="s">
        <v>1922</v>
      </c>
      <c r="C1072" s="94" t="s">
        <v>1952</v>
      </c>
      <c r="D1072" s="95">
        <v>24.82</v>
      </c>
      <c r="E1072" s="95">
        <v>100.74</v>
      </c>
      <c r="F1072" s="96">
        <v>2500</v>
      </c>
      <c r="G1072" s="97" t="s">
        <v>1786</v>
      </c>
      <c r="H1072" s="114">
        <f t="shared" si="16"/>
        <v>46174</v>
      </c>
      <c r="I1072" s="17"/>
      <c r="J1072" s="17"/>
      <c r="K1072" s="17"/>
    </row>
    <row r="1073" spans="1:11" x14ac:dyDescent="0.2">
      <c r="A1073" s="115">
        <v>46197</v>
      </c>
      <c r="B1073" s="93" t="s">
        <v>1923</v>
      </c>
      <c r="C1073" s="94" t="s">
        <v>1953</v>
      </c>
      <c r="D1073" s="95">
        <v>29.78</v>
      </c>
      <c r="E1073" s="95">
        <v>100.74</v>
      </c>
      <c r="F1073" s="96">
        <v>3000</v>
      </c>
      <c r="G1073" s="97" t="s">
        <v>1786</v>
      </c>
      <c r="H1073" s="114">
        <f t="shared" si="16"/>
        <v>46174</v>
      </c>
      <c r="I1073" s="17"/>
      <c r="J1073" s="17"/>
      <c r="K1073" s="17"/>
    </row>
    <row r="1074" spans="1:11" x14ac:dyDescent="0.2">
      <c r="A1074" s="115">
        <v>46197</v>
      </c>
      <c r="B1074" s="93" t="s">
        <v>1924</v>
      </c>
      <c r="C1074" s="94" t="s">
        <v>1954</v>
      </c>
      <c r="D1074" s="95">
        <v>29.78</v>
      </c>
      <c r="E1074" s="95">
        <v>100.74</v>
      </c>
      <c r="F1074" s="96">
        <v>3000</v>
      </c>
      <c r="G1074" s="97" t="s">
        <v>1786</v>
      </c>
      <c r="H1074" s="114">
        <f t="shared" si="16"/>
        <v>46174</v>
      </c>
      <c r="I1074" s="17"/>
      <c r="J1074" s="17"/>
      <c r="K1074" s="17"/>
    </row>
    <row r="1075" spans="1:11" x14ac:dyDescent="0.2">
      <c r="A1075" s="115">
        <v>46197</v>
      </c>
      <c r="B1075" s="93" t="s">
        <v>1925</v>
      </c>
      <c r="C1075" s="94" t="s">
        <v>1955</v>
      </c>
      <c r="D1075" s="95">
        <v>29.78</v>
      </c>
      <c r="E1075" s="95">
        <v>100.74</v>
      </c>
      <c r="F1075" s="96">
        <v>3000</v>
      </c>
      <c r="G1075" s="97" t="s">
        <v>1786</v>
      </c>
      <c r="H1075" s="114">
        <f t="shared" si="16"/>
        <v>46174</v>
      </c>
      <c r="I1075" s="17"/>
      <c r="J1075" s="17"/>
      <c r="K1075" s="17"/>
    </row>
    <row r="1076" spans="1:11" x14ac:dyDescent="0.2">
      <c r="A1076" s="115">
        <v>46197</v>
      </c>
      <c r="B1076" s="93" t="s">
        <v>1926</v>
      </c>
      <c r="C1076" s="94" t="s">
        <v>1956</v>
      </c>
      <c r="D1076" s="95">
        <v>29.78</v>
      </c>
      <c r="E1076" s="95">
        <v>100.74</v>
      </c>
      <c r="F1076" s="96">
        <v>3000</v>
      </c>
      <c r="G1076" s="97" t="s">
        <v>1786</v>
      </c>
      <c r="H1076" s="114">
        <f t="shared" si="16"/>
        <v>46174</v>
      </c>
      <c r="I1076" s="17"/>
      <c r="J1076" s="17"/>
      <c r="K1076" s="17"/>
    </row>
    <row r="1077" spans="1:11" x14ac:dyDescent="0.2">
      <c r="A1077" s="115">
        <v>46197</v>
      </c>
      <c r="B1077" s="93" t="s">
        <v>1927</v>
      </c>
      <c r="C1077" s="94" t="s">
        <v>1957</v>
      </c>
      <c r="D1077" s="95">
        <v>29.78</v>
      </c>
      <c r="E1077" s="95">
        <v>100.74</v>
      </c>
      <c r="F1077" s="96">
        <v>3000</v>
      </c>
      <c r="G1077" s="97" t="s">
        <v>1786</v>
      </c>
      <c r="H1077" s="114">
        <f t="shared" si="16"/>
        <v>46174</v>
      </c>
      <c r="I1077" s="17"/>
      <c r="J1077" s="17"/>
      <c r="K1077" s="17"/>
    </row>
    <row r="1078" spans="1:11" x14ac:dyDescent="0.2">
      <c r="A1078" s="115">
        <v>46197</v>
      </c>
      <c r="B1078" s="93" t="s">
        <v>1928</v>
      </c>
      <c r="C1078" s="94" t="s">
        <v>1958</v>
      </c>
      <c r="D1078" s="95">
        <v>29.78</v>
      </c>
      <c r="E1078" s="95">
        <v>100.74</v>
      </c>
      <c r="F1078" s="96">
        <v>3000</v>
      </c>
      <c r="G1078" s="97" t="s">
        <v>1786</v>
      </c>
      <c r="H1078" s="114">
        <f t="shared" si="16"/>
        <v>46174</v>
      </c>
      <c r="I1078" s="17"/>
      <c r="J1078" s="17"/>
      <c r="K1078" s="17"/>
    </row>
    <row r="1079" spans="1:11" x14ac:dyDescent="0.2">
      <c r="A1079" s="115">
        <v>46197</v>
      </c>
      <c r="B1079" s="93" t="s">
        <v>1929</v>
      </c>
      <c r="C1079" s="94" t="s">
        <v>1959</v>
      </c>
      <c r="D1079" s="95">
        <v>29.78</v>
      </c>
      <c r="E1079" s="95">
        <v>100.74</v>
      </c>
      <c r="F1079" s="96">
        <v>3000</v>
      </c>
      <c r="G1079" s="97" t="s">
        <v>1786</v>
      </c>
      <c r="H1079" s="114">
        <f t="shared" si="16"/>
        <v>46174</v>
      </c>
      <c r="I1079" s="17"/>
      <c r="J1079" s="17"/>
      <c r="K1079" s="17"/>
    </row>
    <row r="1080" spans="1:11" x14ac:dyDescent="0.2">
      <c r="A1080" s="115">
        <v>46197</v>
      </c>
      <c r="B1080" s="93" t="s">
        <v>1930</v>
      </c>
      <c r="C1080" s="94" t="s">
        <v>1960</v>
      </c>
      <c r="D1080" s="95">
        <v>29.78</v>
      </c>
      <c r="E1080" s="95">
        <v>100.74</v>
      </c>
      <c r="F1080" s="96">
        <v>3000</v>
      </c>
      <c r="G1080" s="97" t="s">
        <v>1786</v>
      </c>
      <c r="H1080" s="114">
        <f t="shared" si="16"/>
        <v>46174</v>
      </c>
      <c r="I1080" s="17"/>
      <c r="J1080" s="17"/>
      <c r="K1080" s="17"/>
    </row>
    <row r="1081" spans="1:11" x14ac:dyDescent="0.2">
      <c r="A1081" s="115">
        <v>46197</v>
      </c>
      <c r="B1081" s="93" t="s">
        <v>1931</v>
      </c>
      <c r="C1081" s="94" t="s">
        <v>1961</v>
      </c>
      <c r="D1081" s="95">
        <v>29.78</v>
      </c>
      <c r="E1081" s="95">
        <v>100.74</v>
      </c>
      <c r="F1081" s="96">
        <v>3000</v>
      </c>
      <c r="G1081" s="97" t="s">
        <v>1786</v>
      </c>
      <c r="H1081" s="114">
        <f t="shared" si="16"/>
        <v>46174</v>
      </c>
      <c r="I1081" s="17"/>
      <c r="J1081" s="17"/>
      <c r="K1081" s="17"/>
    </row>
    <row r="1082" spans="1:11" x14ac:dyDescent="0.2">
      <c r="A1082" s="115">
        <v>46197</v>
      </c>
      <c r="B1082" s="93" t="s">
        <v>1932</v>
      </c>
      <c r="C1082" s="94" t="s">
        <v>1962</v>
      </c>
      <c r="D1082" s="95">
        <v>29.78</v>
      </c>
      <c r="E1082" s="95">
        <v>100.74</v>
      </c>
      <c r="F1082" s="96">
        <v>3000</v>
      </c>
      <c r="G1082" s="97" t="s">
        <v>1786</v>
      </c>
      <c r="H1082" s="114">
        <f t="shared" si="16"/>
        <v>46174</v>
      </c>
      <c r="I1082" s="17"/>
      <c r="J1082" s="17"/>
      <c r="K1082" s="17"/>
    </row>
    <row r="1083" spans="1:11" x14ac:dyDescent="0.2">
      <c r="A1083" s="115">
        <v>46197</v>
      </c>
      <c r="B1083" s="93" t="s">
        <v>1933</v>
      </c>
      <c r="C1083" s="94" t="s">
        <v>1963</v>
      </c>
      <c r="D1083" s="95">
        <v>29.78</v>
      </c>
      <c r="E1083" s="95">
        <v>100.74</v>
      </c>
      <c r="F1083" s="96">
        <v>3000</v>
      </c>
      <c r="G1083" s="97" t="s">
        <v>1786</v>
      </c>
      <c r="H1083" s="114">
        <f t="shared" si="16"/>
        <v>46174</v>
      </c>
      <c r="I1083" s="17"/>
      <c r="J1083" s="17"/>
      <c r="K1083" s="17"/>
    </row>
    <row r="1084" spans="1:11" x14ac:dyDescent="0.2">
      <c r="A1084" s="115">
        <v>46197</v>
      </c>
      <c r="B1084" s="93" t="s">
        <v>1934</v>
      </c>
      <c r="C1084" s="94" t="s">
        <v>1964</v>
      </c>
      <c r="D1084" s="95">
        <v>29.78</v>
      </c>
      <c r="E1084" s="95">
        <v>100.74</v>
      </c>
      <c r="F1084" s="96">
        <v>3000</v>
      </c>
      <c r="G1084" s="97" t="s">
        <v>1786</v>
      </c>
      <c r="H1084" s="114">
        <f t="shared" si="16"/>
        <v>46174</v>
      </c>
      <c r="I1084" s="17"/>
      <c r="J1084" s="17"/>
      <c r="K1084" s="17"/>
    </row>
    <row r="1085" spans="1:11" x14ac:dyDescent="0.2">
      <c r="A1085" s="115">
        <v>46197</v>
      </c>
      <c r="B1085" s="93" t="s">
        <v>1935</v>
      </c>
      <c r="C1085" s="94" t="s">
        <v>1965</v>
      </c>
      <c r="D1085" s="95">
        <v>27.79</v>
      </c>
      <c r="E1085" s="95">
        <v>100.74</v>
      </c>
      <c r="F1085" s="96">
        <v>2800</v>
      </c>
      <c r="G1085" s="97" t="s">
        <v>1786</v>
      </c>
      <c r="H1085" s="114">
        <f t="shared" si="16"/>
        <v>46174</v>
      </c>
      <c r="I1085" s="17"/>
      <c r="J1085" s="17"/>
      <c r="K1085" s="17"/>
    </row>
    <row r="1086" spans="1:11" x14ac:dyDescent="0.2">
      <c r="A1086" s="115">
        <v>46197</v>
      </c>
      <c r="B1086" s="93" t="s">
        <v>1936</v>
      </c>
      <c r="C1086" s="94" t="s">
        <v>1966</v>
      </c>
      <c r="D1086" s="95">
        <v>27.79</v>
      </c>
      <c r="E1086" s="95">
        <v>100.74</v>
      </c>
      <c r="F1086" s="96">
        <v>2800</v>
      </c>
      <c r="G1086" s="97" t="s">
        <v>1786</v>
      </c>
      <c r="H1086" s="114">
        <f t="shared" si="16"/>
        <v>46174</v>
      </c>
      <c r="I1086" s="17"/>
      <c r="J1086" s="17"/>
      <c r="K1086" s="17"/>
    </row>
    <row r="1087" spans="1:11" x14ac:dyDescent="0.2">
      <c r="A1087" s="115">
        <v>46197</v>
      </c>
      <c r="B1087" s="93" t="s">
        <v>1937</v>
      </c>
      <c r="C1087" s="94" t="s">
        <v>1967</v>
      </c>
      <c r="D1087" s="95">
        <v>27.79</v>
      </c>
      <c r="E1087" s="95">
        <v>100.74</v>
      </c>
      <c r="F1087" s="96">
        <v>2800</v>
      </c>
      <c r="G1087" s="97" t="s">
        <v>1786</v>
      </c>
      <c r="H1087" s="114">
        <f t="shared" si="16"/>
        <v>46174</v>
      </c>
      <c r="I1087" s="17"/>
      <c r="J1087" s="17"/>
      <c r="K1087" s="17"/>
    </row>
    <row r="1088" spans="1:11" x14ac:dyDescent="0.2">
      <c r="A1088" s="115">
        <v>46197</v>
      </c>
      <c r="B1088" s="93" t="s">
        <v>1938</v>
      </c>
      <c r="C1088" s="94" t="s">
        <v>1968</v>
      </c>
      <c r="D1088" s="95">
        <v>27.79</v>
      </c>
      <c r="E1088" s="95">
        <v>100.74</v>
      </c>
      <c r="F1088" s="96">
        <v>2800</v>
      </c>
      <c r="G1088" s="97" t="s">
        <v>1786</v>
      </c>
      <c r="H1088" s="114">
        <f t="shared" si="16"/>
        <v>46174</v>
      </c>
      <c r="I1088" s="17"/>
      <c r="J1088" s="17"/>
      <c r="K1088" s="17"/>
    </row>
    <row r="1089" spans="1:11" x14ac:dyDescent="0.2">
      <c r="A1089" s="115">
        <v>46197</v>
      </c>
      <c r="B1089" s="93" t="s">
        <v>1939</v>
      </c>
      <c r="C1089" s="94" t="s">
        <v>525</v>
      </c>
      <c r="D1089" s="95">
        <v>29.78</v>
      </c>
      <c r="E1089" s="95">
        <v>100.74</v>
      </c>
      <c r="F1089" s="96">
        <v>3000</v>
      </c>
      <c r="G1089" s="97" t="s">
        <v>58</v>
      </c>
      <c r="H1089" s="114">
        <f t="shared" si="16"/>
        <v>46174</v>
      </c>
      <c r="I1089" s="17"/>
      <c r="J1089" s="17"/>
      <c r="K1089" s="17"/>
    </row>
    <row r="1090" spans="1:11" x14ac:dyDescent="0.2">
      <c r="A1090" s="115">
        <v>46197</v>
      </c>
      <c r="B1090" s="93" t="s">
        <v>1940</v>
      </c>
      <c r="C1090" s="94" t="s">
        <v>526</v>
      </c>
      <c r="D1090" s="95">
        <v>4433.1899999999996</v>
      </c>
      <c r="E1090" s="95">
        <v>100.74</v>
      </c>
      <c r="F1090" s="96">
        <v>446600</v>
      </c>
      <c r="G1090" s="97" t="s">
        <v>58</v>
      </c>
      <c r="H1090" s="114">
        <f t="shared" si="16"/>
        <v>46174</v>
      </c>
      <c r="I1090" s="17"/>
      <c r="J1090" s="17"/>
      <c r="K1090" s="17"/>
    </row>
    <row r="1091" spans="1:11" x14ac:dyDescent="0.2">
      <c r="A1091" s="115">
        <v>46197</v>
      </c>
      <c r="B1091" s="93" t="s">
        <v>1941</v>
      </c>
      <c r="C1091" s="94" t="s">
        <v>13</v>
      </c>
      <c r="D1091" s="95">
        <v>699.82</v>
      </c>
      <c r="E1091" s="95">
        <v>100.74</v>
      </c>
      <c r="F1091" s="96">
        <v>70500</v>
      </c>
      <c r="G1091" s="97" t="s">
        <v>152</v>
      </c>
      <c r="H1091" s="114">
        <f t="shared" si="16"/>
        <v>46174</v>
      </c>
      <c r="I1091" s="17"/>
      <c r="J1091" s="17"/>
      <c r="K1091" s="17"/>
    </row>
    <row r="1092" spans="1:11" x14ac:dyDescent="0.2">
      <c r="A1092" s="115">
        <v>46197</v>
      </c>
      <c r="B1092" s="93" t="s">
        <v>1942</v>
      </c>
      <c r="C1092" s="94" t="s">
        <v>50</v>
      </c>
      <c r="D1092" s="95">
        <v>2000</v>
      </c>
      <c r="E1092" s="95">
        <v>100.74</v>
      </c>
      <c r="F1092" s="96">
        <v>201480</v>
      </c>
      <c r="G1092" s="97" t="s">
        <v>901</v>
      </c>
      <c r="H1092" s="114">
        <f t="shared" ref="H1092:H1155" si="17">IF(A1092&lt;&gt;"", EOMONTH(A1092, -1) + 1, "")</f>
        <v>46174</v>
      </c>
      <c r="I1092" s="17"/>
      <c r="J1092" s="17"/>
      <c r="K1092" s="17"/>
    </row>
    <row r="1093" spans="1:11" x14ac:dyDescent="0.2">
      <c r="A1093" s="115">
        <v>46198</v>
      </c>
      <c r="B1093" s="93" t="s">
        <v>1972</v>
      </c>
      <c r="C1093" s="94" t="s">
        <v>1105</v>
      </c>
      <c r="D1093" s="95">
        <v>269.74</v>
      </c>
      <c r="E1093" s="95">
        <v>100.74</v>
      </c>
      <c r="F1093" s="96">
        <v>27173.599999999999</v>
      </c>
      <c r="G1093" s="97" t="s">
        <v>199</v>
      </c>
      <c r="H1093" s="114">
        <f t="shared" si="17"/>
        <v>46174</v>
      </c>
      <c r="I1093" s="17"/>
      <c r="J1093" s="17"/>
      <c r="K1093" s="17"/>
    </row>
    <row r="1094" spans="1:11" x14ac:dyDescent="0.2">
      <c r="A1094" s="115">
        <v>46198</v>
      </c>
      <c r="B1094" s="93" t="s">
        <v>1973</v>
      </c>
      <c r="C1094" s="94" t="s">
        <v>742</v>
      </c>
      <c r="D1094" s="95">
        <v>109</v>
      </c>
      <c r="E1094" s="95">
        <v>100.74</v>
      </c>
      <c r="F1094" s="96">
        <v>10980.66</v>
      </c>
      <c r="G1094" s="97" t="s">
        <v>714</v>
      </c>
      <c r="H1094" s="114">
        <f t="shared" si="17"/>
        <v>46174</v>
      </c>
      <c r="I1094" s="17"/>
      <c r="J1094" s="17"/>
      <c r="K1094" s="17"/>
    </row>
    <row r="1095" spans="1:11" x14ac:dyDescent="0.2">
      <c r="A1095" s="115">
        <v>46198</v>
      </c>
      <c r="B1095" s="93" t="s">
        <v>1974</v>
      </c>
      <c r="C1095" s="94" t="s">
        <v>13</v>
      </c>
      <c r="D1095" s="95">
        <v>20</v>
      </c>
      <c r="E1095" s="95">
        <v>100.74</v>
      </c>
      <c r="F1095" s="96">
        <v>2014.8</v>
      </c>
      <c r="G1095" s="97" t="s">
        <v>714</v>
      </c>
      <c r="H1095" s="114">
        <f t="shared" si="17"/>
        <v>46174</v>
      </c>
      <c r="I1095" s="17"/>
      <c r="J1095" s="17"/>
      <c r="K1095" s="17"/>
    </row>
    <row r="1096" spans="1:11" x14ac:dyDescent="0.2">
      <c r="A1096" s="115">
        <v>46198</v>
      </c>
      <c r="B1096" s="93" t="s">
        <v>1975</v>
      </c>
      <c r="C1096" s="94" t="s">
        <v>1157</v>
      </c>
      <c r="D1096" s="95">
        <v>66.569999999999993</v>
      </c>
      <c r="E1096" s="95">
        <v>100.74</v>
      </c>
      <c r="F1096" s="96">
        <v>6706.26</v>
      </c>
      <c r="G1096" s="97" t="s">
        <v>714</v>
      </c>
      <c r="H1096" s="114">
        <f t="shared" si="17"/>
        <v>46174</v>
      </c>
      <c r="I1096" s="17"/>
      <c r="J1096" s="17"/>
      <c r="K1096" s="17"/>
    </row>
    <row r="1097" spans="1:11" x14ac:dyDescent="0.2">
      <c r="A1097" s="115">
        <v>46198</v>
      </c>
      <c r="B1097" s="93" t="s">
        <v>1976</v>
      </c>
      <c r="C1097" s="94" t="s">
        <v>45</v>
      </c>
      <c r="D1097" s="95">
        <v>10</v>
      </c>
      <c r="E1097" s="95">
        <v>100.74</v>
      </c>
      <c r="F1097" s="96">
        <v>1007.4</v>
      </c>
      <c r="G1097" s="97" t="s">
        <v>56</v>
      </c>
      <c r="H1097" s="114">
        <f t="shared" si="17"/>
        <v>46174</v>
      </c>
      <c r="I1097" s="17"/>
      <c r="J1097" s="17"/>
      <c r="K1097" s="17"/>
    </row>
    <row r="1098" spans="1:11" x14ac:dyDescent="0.2">
      <c r="A1098" s="115">
        <v>46198</v>
      </c>
      <c r="B1098" s="93" t="s">
        <v>1977</v>
      </c>
      <c r="C1098" s="94" t="s">
        <v>128</v>
      </c>
      <c r="D1098" s="95">
        <v>30</v>
      </c>
      <c r="E1098" s="95">
        <v>100.74</v>
      </c>
      <c r="F1098" s="96">
        <v>3022.2</v>
      </c>
      <c r="G1098" s="97" t="s">
        <v>56</v>
      </c>
      <c r="H1098" s="114">
        <f t="shared" si="17"/>
        <v>46174</v>
      </c>
      <c r="I1098" s="17"/>
      <c r="J1098" s="17"/>
      <c r="K1098" s="17"/>
    </row>
    <row r="1099" spans="1:11" x14ac:dyDescent="0.2">
      <c r="A1099" s="115">
        <v>46198</v>
      </c>
      <c r="B1099" s="93" t="s">
        <v>1978</v>
      </c>
      <c r="C1099" s="94" t="s">
        <v>1601</v>
      </c>
      <c r="D1099" s="95">
        <v>27.5</v>
      </c>
      <c r="E1099" s="95">
        <v>100.74</v>
      </c>
      <c r="F1099" s="96">
        <v>2770.35</v>
      </c>
      <c r="G1099" s="97" t="s">
        <v>1646</v>
      </c>
      <c r="H1099" s="114">
        <f t="shared" si="17"/>
        <v>46174</v>
      </c>
      <c r="I1099" s="17"/>
      <c r="J1099" s="17"/>
      <c r="K1099" s="17"/>
    </row>
    <row r="1100" spans="1:11" x14ac:dyDescent="0.2">
      <c r="A1100" s="115">
        <v>46198</v>
      </c>
      <c r="B1100" s="93" t="s">
        <v>1979</v>
      </c>
      <c r="C1100" s="94" t="s">
        <v>1695</v>
      </c>
      <c r="D1100" s="95">
        <v>62</v>
      </c>
      <c r="E1100" s="95">
        <v>100.74</v>
      </c>
      <c r="F1100" s="96">
        <v>6245.88</v>
      </c>
      <c r="G1100" s="97" t="s">
        <v>1646</v>
      </c>
      <c r="H1100" s="114">
        <f t="shared" si="17"/>
        <v>46174</v>
      </c>
      <c r="I1100" s="17"/>
      <c r="J1100" s="17"/>
      <c r="K1100" s="17"/>
    </row>
    <row r="1101" spans="1:11" x14ac:dyDescent="0.2">
      <c r="A1101" s="115">
        <v>46198</v>
      </c>
      <c r="B1101" s="93" t="s">
        <v>1980</v>
      </c>
      <c r="C1101" s="94" t="s">
        <v>1642</v>
      </c>
      <c r="D1101" s="95">
        <v>33.020000000000003</v>
      </c>
      <c r="E1101" s="95">
        <v>100.74</v>
      </c>
      <c r="F1101" s="96">
        <v>3326.43</v>
      </c>
      <c r="G1101" s="97" t="s">
        <v>1646</v>
      </c>
      <c r="H1101" s="114">
        <f t="shared" si="17"/>
        <v>46174</v>
      </c>
      <c r="I1101" s="17"/>
      <c r="J1101" s="17"/>
      <c r="K1101" s="17"/>
    </row>
    <row r="1102" spans="1:11" x14ac:dyDescent="0.2">
      <c r="A1102" s="115">
        <v>46198</v>
      </c>
      <c r="B1102" s="93" t="s">
        <v>1981</v>
      </c>
      <c r="C1102" s="94" t="s">
        <v>428</v>
      </c>
      <c r="D1102" s="95">
        <v>46.77</v>
      </c>
      <c r="E1102" s="95">
        <v>100.74</v>
      </c>
      <c r="F1102" s="96">
        <v>4711.6000000000004</v>
      </c>
      <c r="G1102" s="97" t="s">
        <v>257</v>
      </c>
      <c r="H1102" s="114">
        <f t="shared" si="17"/>
        <v>46174</v>
      </c>
      <c r="I1102" s="17"/>
      <c r="J1102" s="17"/>
      <c r="K1102" s="17"/>
    </row>
    <row r="1103" spans="1:11" x14ac:dyDescent="0.2">
      <c r="A1103" s="115">
        <v>46198</v>
      </c>
      <c r="B1103" s="93" t="s">
        <v>1982</v>
      </c>
      <c r="C1103" s="94" t="s">
        <v>41</v>
      </c>
      <c r="D1103" s="95">
        <v>35</v>
      </c>
      <c r="E1103" s="95">
        <v>100.74</v>
      </c>
      <c r="F1103" s="96">
        <v>3525.9</v>
      </c>
      <c r="G1103" s="97" t="s">
        <v>53</v>
      </c>
      <c r="H1103" s="114">
        <f t="shared" si="17"/>
        <v>46174</v>
      </c>
      <c r="I1103" s="17"/>
      <c r="J1103" s="17"/>
      <c r="K1103" s="17"/>
    </row>
    <row r="1104" spans="1:11" x14ac:dyDescent="0.2">
      <c r="A1104" s="115">
        <v>46198</v>
      </c>
      <c r="B1104" s="93" t="s">
        <v>1983</v>
      </c>
      <c r="C1104" s="94" t="s">
        <v>1947</v>
      </c>
      <c r="D1104" s="95">
        <v>27.79</v>
      </c>
      <c r="E1104" s="95">
        <v>100.74</v>
      </c>
      <c r="F1104" s="96">
        <v>2800</v>
      </c>
      <c r="G1104" s="97" t="s">
        <v>1786</v>
      </c>
      <c r="H1104" s="114">
        <f t="shared" si="17"/>
        <v>46174</v>
      </c>
      <c r="I1104" s="17"/>
      <c r="J1104" s="17"/>
      <c r="K1104" s="17"/>
    </row>
    <row r="1105" spans="1:11" x14ac:dyDescent="0.2">
      <c r="A1105" s="115">
        <v>46198</v>
      </c>
      <c r="B1105" s="93" t="s">
        <v>1984</v>
      </c>
      <c r="C1105" s="94" t="s">
        <v>2013</v>
      </c>
      <c r="D1105" s="95">
        <v>27.79</v>
      </c>
      <c r="E1105" s="95">
        <v>100.74</v>
      </c>
      <c r="F1105" s="96">
        <v>2800</v>
      </c>
      <c r="G1105" s="97" t="s">
        <v>1786</v>
      </c>
      <c r="H1105" s="114">
        <f t="shared" si="17"/>
        <v>46174</v>
      </c>
      <c r="I1105" s="17"/>
      <c r="J1105" s="17"/>
      <c r="K1105" s="17"/>
    </row>
    <row r="1106" spans="1:11" x14ac:dyDescent="0.2">
      <c r="A1106" s="115">
        <v>46198</v>
      </c>
      <c r="B1106" s="93" t="s">
        <v>1985</v>
      </c>
      <c r="C1106" s="94" t="s">
        <v>1948</v>
      </c>
      <c r="D1106" s="95">
        <v>24.82</v>
      </c>
      <c r="E1106" s="95">
        <v>100.74</v>
      </c>
      <c r="F1106" s="96">
        <v>2500</v>
      </c>
      <c r="G1106" s="97" t="s">
        <v>1786</v>
      </c>
      <c r="H1106" s="114">
        <f t="shared" si="17"/>
        <v>46174</v>
      </c>
      <c r="I1106" s="17"/>
      <c r="J1106" s="17"/>
      <c r="K1106" s="17"/>
    </row>
    <row r="1107" spans="1:11" x14ac:dyDescent="0.2">
      <c r="A1107" s="115">
        <v>46198</v>
      </c>
      <c r="B1107" s="93" t="s">
        <v>1986</v>
      </c>
      <c r="C1107" s="94" t="s">
        <v>1947</v>
      </c>
      <c r="D1107" s="95">
        <v>24.82</v>
      </c>
      <c r="E1107" s="95">
        <v>100.74</v>
      </c>
      <c r="F1107" s="96">
        <v>2500</v>
      </c>
      <c r="G1107" s="97" t="s">
        <v>1786</v>
      </c>
      <c r="H1107" s="114">
        <f t="shared" si="17"/>
        <v>46174</v>
      </c>
      <c r="I1107" s="17"/>
      <c r="J1107" s="17"/>
      <c r="K1107" s="17"/>
    </row>
    <row r="1108" spans="1:11" x14ac:dyDescent="0.2">
      <c r="A1108" s="115">
        <v>46198</v>
      </c>
      <c r="B1108" s="93" t="s">
        <v>1987</v>
      </c>
      <c r="C1108" s="94" t="s">
        <v>2014</v>
      </c>
      <c r="D1108" s="95">
        <v>24.82</v>
      </c>
      <c r="E1108" s="95">
        <v>100.74</v>
      </c>
      <c r="F1108" s="96">
        <v>2500</v>
      </c>
      <c r="G1108" s="97" t="s">
        <v>1786</v>
      </c>
      <c r="H1108" s="114">
        <f t="shared" si="17"/>
        <v>46174</v>
      </c>
      <c r="I1108" s="17"/>
      <c r="J1108" s="17"/>
      <c r="K1108" s="17"/>
    </row>
    <row r="1109" spans="1:11" x14ac:dyDescent="0.2">
      <c r="A1109" s="115">
        <v>46198</v>
      </c>
      <c r="B1109" s="93" t="s">
        <v>1988</v>
      </c>
      <c r="C1109" s="94" t="s">
        <v>1949</v>
      </c>
      <c r="D1109" s="95">
        <v>24.82</v>
      </c>
      <c r="E1109" s="95">
        <v>100.74</v>
      </c>
      <c r="F1109" s="96">
        <v>2500</v>
      </c>
      <c r="G1109" s="97" t="s">
        <v>1786</v>
      </c>
      <c r="H1109" s="114">
        <f t="shared" si="17"/>
        <v>46174</v>
      </c>
      <c r="I1109" s="17"/>
      <c r="J1109" s="17"/>
      <c r="K1109" s="17"/>
    </row>
    <row r="1110" spans="1:11" x14ac:dyDescent="0.2">
      <c r="A1110" s="115">
        <v>46198</v>
      </c>
      <c r="B1110" s="93" t="s">
        <v>1989</v>
      </c>
      <c r="C1110" s="94" t="s">
        <v>2015</v>
      </c>
      <c r="D1110" s="95">
        <v>24.82</v>
      </c>
      <c r="E1110" s="95">
        <v>100.74</v>
      </c>
      <c r="F1110" s="96">
        <v>2500</v>
      </c>
      <c r="G1110" s="97" t="s">
        <v>1786</v>
      </c>
      <c r="H1110" s="114">
        <f t="shared" si="17"/>
        <v>46174</v>
      </c>
      <c r="I1110" s="17"/>
      <c r="J1110" s="17"/>
      <c r="K1110" s="17"/>
    </row>
    <row r="1111" spans="1:11" x14ac:dyDescent="0.2">
      <c r="A1111" s="115">
        <v>46198</v>
      </c>
      <c r="B1111" s="93" t="s">
        <v>1990</v>
      </c>
      <c r="C1111" s="94" t="s">
        <v>2016</v>
      </c>
      <c r="D1111" s="95">
        <v>24.82</v>
      </c>
      <c r="E1111" s="95">
        <v>100.74</v>
      </c>
      <c r="F1111" s="96">
        <v>2500</v>
      </c>
      <c r="G1111" s="97" t="s">
        <v>1786</v>
      </c>
      <c r="H1111" s="114">
        <f t="shared" si="17"/>
        <v>46174</v>
      </c>
      <c r="I1111" s="17"/>
      <c r="J1111" s="17"/>
      <c r="K1111" s="17"/>
    </row>
    <row r="1112" spans="1:11" x14ac:dyDescent="0.2">
      <c r="A1112" s="115">
        <v>46198</v>
      </c>
      <c r="B1112" s="93" t="s">
        <v>1991</v>
      </c>
      <c r="C1112" s="94" t="s">
        <v>1945</v>
      </c>
      <c r="D1112" s="95">
        <v>24.82</v>
      </c>
      <c r="E1112" s="95">
        <v>100.74</v>
      </c>
      <c r="F1112" s="96">
        <v>2500</v>
      </c>
      <c r="G1112" s="97" t="s">
        <v>1786</v>
      </c>
      <c r="H1112" s="114">
        <f t="shared" si="17"/>
        <v>46174</v>
      </c>
      <c r="I1112" s="17"/>
      <c r="J1112" s="17"/>
      <c r="K1112" s="17"/>
    </row>
    <row r="1113" spans="1:11" x14ac:dyDescent="0.2">
      <c r="A1113" s="115">
        <v>46198</v>
      </c>
      <c r="B1113" s="93" t="s">
        <v>1992</v>
      </c>
      <c r="C1113" s="94" t="s">
        <v>2017</v>
      </c>
      <c r="D1113" s="95">
        <v>24.82</v>
      </c>
      <c r="E1113" s="95">
        <v>100.74</v>
      </c>
      <c r="F1113" s="96">
        <v>2500</v>
      </c>
      <c r="G1113" s="97" t="s">
        <v>1786</v>
      </c>
      <c r="H1113" s="114">
        <f t="shared" si="17"/>
        <v>46174</v>
      </c>
      <c r="I1113" s="17"/>
      <c r="J1113" s="17"/>
      <c r="K1113" s="17"/>
    </row>
    <row r="1114" spans="1:11" x14ac:dyDescent="0.2">
      <c r="A1114" s="115">
        <v>46198</v>
      </c>
      <c r="B1114" s="93" t="s">
        <v>1993</v>
      </c>
      <c r="C1114" s="94" t="s">
        <v>1944</v>
      </c>
      <c r="D1114" s="95">
        <v>24.82</v>
      </c>
      <c r="E1114" s="95">
        <v>100.74</v>
      </c>
      <c r="F1114" s="96">
        <v>2500</v>
      </c>
      <c r="G1114" s="97" t="s">
        <v>1786</v>
      </c>
      <c r="H1114" s="114">
        <f t="shared" si="17"/>
        <v>46174</v>
      </c>
      <c r="I1114" s="17"/>
      <c r="J1114" s="17"/>
      <c r="K1114" s="17"/>
    </row>
    <row r="1115" spans="1:11" x14ac:dyDescent="0.2">
      <c r="A1115" s="115">
        <v>46198</v>
      </c>
      <c r="B1115" s="93" t="s">
        <v>1994</v>
      </c>
      <c r="C1115" s="94" t="s">
        <v>1946</v>
      </c>
      <c r="D1115" s="95">
        <v>24.82</v>
      </c>
      <c r="E1115" s="95">
        <v>100.74</v>
      </c>
      <c r="F1115" s="96">
        <v>2500</v>
      </c>
      <c r="G1115" s="97" t="s">
        <v>1786</v>
      </c>
      <c r="H1115" s="114">
        <f t="shared" si="17"/>
        <v>46174</v>
      </c>
      <c r="I1115" s="17"/>
      <c r="J1115" s="17"/>
      <c r="K1115" s="17"/>
    </row>
    <row r="1116" spans="1:11" x14ac:dyDescent="0.2">
      <c r="A1116" s="115">
        <v>46198</v>
      </c>
      <c r="B1116" s="93" t="s">
        <v>1995</v>
      </c>
      <c r="C1116" s="94" t="s">
        <v>1783</v>
      </c>
      <c r="D1116" s="95">
        <v>24.82</v>
      </c>
      <c r="E1116" s="95">
        <v>100.74</v>
      </c>
      <c r="F1116" s="96">
        <v>2500</v>
      </c>
      <c r="G1116" s="97" t="s">
        <v>1786</v>
      </c>
      <c r="H1116" s="114">
        <f t="shared" si="17"/>
        <v>46174</v>
      </c>
      <c r="I1116" s="17"/>
      <c r="J1116" s="17"/>
      <c r="K1116" s="17"/>
    </row>
    <row r="1117" spans="1:11" x14ac:dyDescent="0.2">
      <c r="A1117" s="115">
        <v>46198</v>
      </c>
      <c r="B1117" s="93" t="s">
        <v>1996</v>
      </c>
      <c r="C1117" s="94" t="s">
        <v>1965</v>
      </c>
      <c r="D1117" s="95">
        <v>24.82</v>
      </c>
      <c r="E1117" s="95">
        <v>100.74</v>
      </c>
      <c r="F1117" s="96">
        <v>2500</v>
      </c>
      <c r="G1117" s="97" t="s">
        <v>1786</v>
      </c>
      <c r="H1117" s="114">
        <f t="shared" si="17"/>
        <v>46174</v>
      </c>
      <c r="I1117" s="17"/>
      <c r="J1117" s="17"/>
      <c r="K1117" s="17"/>
    </row>
    <row r="1118" spans="1:11" x14ac:dyDescent="0.2">
      <c r="A1118" s="115">
        <v>46198</v>
      </c>
      <c r="B1118" s="93" t="s">
        <v>1997</v>
      </c>
      <c r="C1118" s="94" t="s">
        <v>2018</v>
      </c>
      <c r="D1118" s="95">
        <v>24.82</v>
      </c>
      <c r="E1118" s="95">
        <v>100.74</v>
      </c>
      <c r="F1118" s="96">
        <v>2500</v>
      </c>
      <c r="G1118" s="97" t="s">
        <v>1786</v>
      </c>
      <c r="H1118" s="114">
        <f t="shared" si="17"/>
        <v>46174</v>
      </c>
      <c r="I1118" s="17"/>
      <c r="J1118" s="17"/>
      <c r="K1118" s="17"/>
    </row>
    <row r="1119" spans="1:11" x14ac:dyDescent="0.2">
      <c r="A1119" s="115">
        <v>46198</v>
      </c>
      <c r="B1119" s="93" t="s">
        <v>1998</v>
      </c>
      <c r="C1119" s="94" t="s">
        <v>1948</v>
      </c>
      <c r="D1119" s="95">
        <v>24.82</v>
      </c>
      <c r="E1119" s="95">
        <v>100.74</v>
      </c>
      <c r="F1119" s="96">
        <v>2500</v>
      </c>
      <c r="G1119" s="97" t="s">
        <v>1786</v>
      </c>
      <c r="H1119" s="114">
        <f t="shared" si="17"/>
        <v>46174</v>
      </c>
      <c r="I1119" s="17"/>
      <c r="J1119" s="17"/>
      <c r="K1119" s="17"/>
    </row>
    <row r="1120" spans="1:11" x14ac:dyDescent="0.2">
      <c r="A1120" s="115">
        <v>46198</v>
      </c>
      <c r="B1120" s="93" t="s">
        <v>1999</v>
      </c>
      <c r="C1120" s="94" t="s">
        <v>1952</v>
      </c>
      <c r="D1120" s="95">
        <v>24.82</v>
      </c>
      <c r="E1120" s="95">
        <v>100.74</v>
      </c>
      <c r="F1120" s="96">
        <v>2500</v>
      </c>
      <c r="G1120" s="97" t="s">
        <v>1786</v>
      </c>
      <c r="H1120" s="114">
        <f t="shared" si="17"/>
        <v>46174</v>
      </c>
      <c r="I1120" s="17"/>
      <c r="J1120" s="17"/>
      <c r="K1120" s="17"/>
    </row>
    <row r="1121" spans="1:11" x14ac:dyDescent="0.2">
      <c r="A1121" s="115">
        <v>46198</v>
      </c>
      <c r="B1121" s="93" t="s">
        <v>2000</v>
      </c>
      <c r="C1121" s="94" t="s">
        <v>1951</v>
      </c>
      <c r="D1121" s="95">
        <v>24.82</v>
      </c>
      <c r="E1121" s="95">
        <v>100.74</v>
      </c>
      <c r="F1121" s="96">
        <v>2500</v>
      </c>
      <c r="G1121" s="97" t="s">
        <v>1786</v>
      </c>
      <c r="H1121" s="114">
        <f t="shared" si="17"/>
        <v>46174</v>
      </c>
      <c r="I1121" s="17"/>
      <c r="J1121" s="17"/>
      <c r="K1121" s="17"/>
    </row>
    <row r="1122" spans="1:11" x14ac:dyDescent="0.2">
      <c r="A1122" s="115">
        <v>46198</v>
      </c>
      <c r="B1122" s="93" t="s">
        <v>2001</v>
      </c>
      <c r="C1122" s="94" t="s">
        <v>2019</v>
      </c>
      <c r="D1122" s="95">
        <v>24.82</v>
      </c>
      <c r="E1122" s="95">
        <v>100.74</v>
      </c>
      <c r="F1122" s="96">
        <v>2500</v>
      </c>
      <c r="G1122" s="97" t="s">
        <v>1786</v>
      </c>
      <c r="H1122" s="114">
        <f t="shared" si="17"/>
        <v>46174</v>
      </c>
      <c r="I1122" s="17"/>
      <c r="J1122" s="17"/>
      <c r="K1122" s="17"/>
    </row>
    <row r="1123" spans="1:11" x14ac:dyDescent="0.2">
      <c r="A1123" s="115">
        <v>46198</v>
      </c>
      <c r="B1123" s="93" t="s">
        <v>2002</v>
      </c>
      <c r="C1123" s="94" t="s">
        <v>1950</v>
      </c>
      <c r="D1123" s="95">
        <v>24.82</v>
      </c>
      <c r="E1123" s="95">
        <v>100.74</v>
      </c>
      <c r="F1123" s="96">
        <v>2500</v>
      </c>
      <c r="G1123" s="97" t="s">
        <v>1786</v>
      </c>
      <c r="H1123" s="114">
        <f t="shared" si="17"/>
        <v>46174</v>
      </c>
      <c r="I1123" s="17"/>
      <c r="J1123" s="17"/>
      <c r="K1123" s="17"/>
    </row>
    <row r="1124" spans="1:11" x14ac:dyDescent="0.2">
      <c r="A1124" s="115">
        <v>46198</v>
      </c>
      <c r="B1124" s="93" t="s">
        <v>2003</v>
      </c>
      <c r="C1124" s="94" t="s">
        <v>2020</v>
      </c>
      <c r="D1124" s="95">
        <v>24.82</v>
      </c>
      <c r="E1124" s="95">
        <v>100.74</v>
      </c>
      <c r="F1124" s="96">
        <v>2500</v>
      </c>
      <c r="G1124" s="97" t="s">
        <v>1786</v>
      </c>
      <c r="H1124" s="114">
        <f t="shared" si="17"/>
        <v>46174</v>
      </c>
      <c r="I1124" s="17"/>
      <c r="J1124" s="17"/>
      <c r="K1124" s="17"/>
    </row>
    <row r="1125" spans="1:11" x14ac:dyDescent="0.2">
      <c r="A1125" s="115">
        <v>46198</v>
      </c>
      <c r="B1125" s="93" t="s">
        <v>2004</v>
      </c>
      <c r="C1125" s="94" t="s">
        <v>2021</v>
      </c>
      <c r="D1125" s="95">
        <v>24.82</v>
      </c>
      <c r="E1125" s="95">
        <v>100.74</v>
      </c>
      <c r="F1125" s="96">
        <v>2500</v>
      </c>
      <c r="G1125" s="97" t="s">
        <v>1786</v>
      </c>
      <c r="H1125" s="114">
        <f t="shared" si="17"/>
        <v>46174</v>
      </c>
      <c r="I1125" s="17"/>
      <c r="J1125" s="17"/>
      <c r="K1125" s="17"/>
    </row>
    <row r="1126" spans="1:11" x14ac:dyDescent="0.2">
      <c r="A1126" s="115">
        <v>46198</v>
      </c>
      <c r="B1126" s="93" t="s">
        <v>2005</v>
      </c>
      <c r="C1126" s="94" t="s">
        <v>2022</v>
      </c>
      <c r="D1126" s="95">
        <v>24.82</v>
      </c>
      <c r="E1126" s="95">
        <v>100.74</v>
      </c>
      <c r="F1126" s="96">
        <v>2500</v>
      </c>
      <c r="G1126" s="97" t="s">
        <v>1786</v>
      </c>
      <c r="H1126" s="114">
        <f t="shared" si="17"/>
        <v>46174</v>
      </c>
      <c r="I1126" s="17"/>
      <c r="J1126" s="17"/>
      <c r="K1126" s="17"/>
    </row>
    <row r="1127" spans="1:11" x14ac:dyDescent="0.2">
      <c r="A1127" s="115">
        <v>46198</v>
      </c>
      <c r="B1127" s="93" t="s">
        <v>2006</v>
      </c>
      <c r="C1127" s="94" t="s">
        <v>1785</v>
      </c>
      <c r="D1127" s="95">
        <v>24.82</v>
      </c>
      <c r="E1127" s="95">
        <v>100.74</v>
      </c>
      <c r="F1127" s="96">
        <v>2500</v>
      </c>
      <c r="G1127" s="97" t="s">
        <v>1786</v>
      </c>
      <c r="H1127" s="114">
        <f t="shared" si="17"/>
        <v>46174</v>
      </c>
      <c r="I1127" s="17"/>
      <c r="J1127" s="17"/>
      <c r="K1127" s="17"/>
    </row>
    <row r="1128" spans="1:11" x14ac:dyDescent="0.2">
      <c r="A1128" s="115">
        <v>46198</v>
      </c>
      <c r="B1128" s="93" t="s">
        <v>2007</v>
      </c>
      <c r="C1128" s="94" t="s">
        <v>1784</v>
      </c>
      <c r="D1128" s="95">
        <v>24.82</v>
      </c>
      <c r="E1128" s="95">
        <v>100.74</v>
      </c>
      <c r="F1128" s="96">
        <v>2500</v>
      </c>
      <c r="G1128" s="97" t="s">
        <v>1786</v>
      </c>
      <c r="H1128" s="114">
        <f t="shared" si="17"/>
        <v>46174</v>
      </c>
      <c r="I1128" s="17"/>
      <c r="J1128" s="17"/>
      <c r="K1128" s="17"/>
    </row>
    <row r="1129" spans="1:11" x14ac:dyDescent="0.2">
      <c r="A1129" s="115">
        <v>46198</v>
      </c>
      <c r="B1129" s="93" t="s">
        <v>2008</v>
      </c>
      <c r="C1129" s="94" t="s">
        <v>2023</v>
      </c>
      <c r="D1129" s="95">
        <v>29.78</v>
      </c>
      <c r="E1129" s="95">
        <v>100.74</v>
      </c>
      <c r="F1129" s="96">
        <v>3000</v>
      </c>
      <c r="G1129" s="97" t="s">
        <v>1786</v>
      </c>
      <c r="H1129" s="114">
        <f t="shared" si="17"/>
        <v>46174</v>
      </c>
      <c r="I1129" s="17"/>
      <c r="J1129" s="17"/>
      <c r="K1129" s="17"/>
    </row>
    <row r="1130" spans="1:11" x14ac:dyDescent="0.2">
      <c r="A1130" s="115">
        <v>46198</v>
      </c>
      <c r="B1130" s="93" t="s">
        <v>2009</v>
      </c>
      <c r="C1130" s="94" t="s">
        <v>526</v>
      </c>
      <c r="D1130" s="95">
        <v>3758.19</v>
      </c>
      <c r="E1130" s="95">
        <v>100.74</v>
      </c>
      <c r="F1130" s="96">
        <v>378600</v>
      </c>
      <c r="G1130" s="97" t="s">
        <v>58</v>
      </c>
      <c r="H1130" s="114">
        <f t="shared" si="17"/>
        <v>46174</v>
      </c>
      <c r="I1130" s="17"/>
      <c r="J1130" s="17"/>
      <c r="K1130" s="17"/>
    </row>
    <row r="1131" spans="1:11" x14ac:dyDescent="0.2">
      <c r="A1131" s="115">
        <v>46198</v>
      </c>
      <c r="B1131" s="93" t="s">
        <v>2010</v>
      </c>
      <c r="C1131" s="94" t="s">
        <v>13</v>
      </c>
      <c r="D1131" s="95">
        <v>588.64</v>
      </c>
      <c r="E1131" s="95">
        <v>100.74</v>
      </c>
      <c r="F1131" s="96">
        <v>59300</v>
      </c>
      <c r="G1131" s="97" t="s">
        <v>152</v>
      </c>
      <c r="H1131" s="114">
        <f t="shared" si="17"/>
        <v>46174</v>
      </c>
      <c r="I1131" s="17"/>
      <c r="J1131" s="17"/>
      <c r="K1131" s="17"/>
    </row>
    <row r="1132" spans="1:11" x14ac:dyDescent="0.2">
      <c r="A1132" s="115">
        <v>46198</v>
      </c>
      <c r="B1132" s="93" t="s">
        <v>2011</v>
      </c>
      <c r="C1132" s="94" t="s">
        <v>50</v>
      </c>
      <c r="D1132" s="95">
        <v>2000</v>
      </c>
      <c r="E1132" s="95">
        <v>100.74</v>
      </c>
      <c r="F1132" s="96">
        <v>201480</v>
      </c>
      <c r="G1132" s="97" t="s">
        <v>59</v>
      </c>
      <c r="H1132" s="114">
        <f t="shared" si="17"/>
        <v>46174</v>
      </c>
      <c r="I1132" s="17"/>
      <c r="J1132" s="17"/>
      <c r="K1132" s="17"/>
    </row>
    <row r="1133" spans="1:11" x14ac:dyDescent="0.2">
      <c r="A1133" s="115">
        <v>46198</v>
      </c>
      <c r="B1133" s="93" t="s">
        <v>2012</v>
      </c>
      <c r="C1133" s="94" t="s">
        <v>50</v>
      </c>
      <c r="D1133" s="95">
        <v>2999.91</v>
      </c>
      <c r="E1133" s="95">
        <v>100.74</v>
      </c>
      <c r="F1133" s="96">
        <v>302210.93</v>
      </c>
      <c r="G1133" s="97" t="s">
        <v>96</v>
      </c>
      <c r="H1133" s="114">
        <f t="shared" si="17"/>
        <v>46174</v>
      </c>
      <c r="I1133" s="17"/>
      <c r="J1133" s="17"/>
      <c r="K1133" s="17"/>
    </row>
    <row r="1134" spans="1:11" x14ac:dyDescent="0.2">
      <c r="A1134" s="115">
        <v>46199</v>
      </c>
      <c r="B1134" s="93" t="s">
        <v>2096</v>
      </c>
      <c r="C1134" s="94" t="s">
        <v>40</v>
      </c>
      <c r="D1134" s="95">
        <v>12000</v>
      </c>
      <c r="E1134" s="95">
        <v>100.74</v>
      </c>
      <c r="F1134" s="96">
        <v>1208880</v>
      </c>
      <c r="G1134" s="97" t="s">
        <v>143</v>
      </c>
      <c r="H1134" s="114">
        <f t="shared" si="17"/>
        <v>46174</v>
      </c>
      <c r="I1134" s="17"/>
      <c r="J1134" s="17"/>
      <c r="K1134" s="17"/>
    </row>
    <row r="1135" spans="1:11" x14ac:dyDescent="0.2">
      <c r="A1135" s="115">
        <v>46199</v>
      </c>
      <c r="B1135" s="93" t="s">
        <v>2097</v>
      </c>
      <c r="C1135" s="94" t="s">
        <v>128</v>
      </c>
      <c r="D1135" s="95">
        <v>20</v>
      </c>
      <c r="E1135" s="95">
        <v>100.74</v>
      </c>
      <c r="F1135" s="96">
        <v>2014.8</v>
      </c>
      <c r="G1135" s="97" t="s">
        <v>56</v>
      </c>
      <c r="H1135" s="114">
        <f t="shared" si="17"/>
        <v>46174</v>
      </c>
      <c r="I1135" s="17"/>
      <c r="J1135" s="17"/>
      <c r="K1135" s="17"/>
    </row>
    <row r="1136" spans="1:11" x14ac:dyDescent="0.2">
      <c r="A1136" s="115">
        <v>46199</v>
      </c>
      <c r="B1136" s="93" t="s">
        <v>2098</v>
      </c>
      <c r="C1136" s="94" t="s">
        <v>44</v>
      </c>
      <c r="D1136" s="95">
        <v>10</v>
      </c>
      <c r="E1136" s="95">
        <v>100.74</v>
      </c>
      <c r="F1136" s="96">
        <v>1007.4</v>
      </c>
      <c r="G1136" s="97" t="s">
        <v>56</v>
      </c>
      <c r="H1136" s="114">
        <f t="shared" si="17"/>
        <v>46174</v>
      </c>
      <c r="I1136" s="17"/>
      <c r="J1136" s="17"/>
      <c r="K1136" s="17"/>
    </row>
    <row r="1137" spans="1:11" x14ac:dyDescent="0.2">
      <c r="A1137" s="115">
        <v>46199</v>
      </c>
      <c r="B1137" s="93" t="s">
        <v>2099</v>
      </c>
      <c r="C1137" s="94" t="s">
        <v>45</v>
      </c>
      <c r="D1137" s="95">
        <v>10</v>
      </c>
      <c r="E1137" s="95">
        <v>100.74</v>
      </c>
      <c r="F1137" s="96">
        <v>1007.4</v>
      </c>
      <c r="G1137" s="97" t="s">
        <v>56</v>
      </c>
      <c r="H1137" s="114">
        <f t="shared" si="17"/>
        <v>46174</v>
      </c>
      <c r="I1137" s="17"/>
      <c r="J1137" s="17"/>
      <c r="K1137" s="17"/>
    </row>
    <row r="1138" spans="1:11" x14ac:dyDescent="0.2">
      <c r="A1138" s="115">
        <v>46199</v>
      </c>
      <c r="B1138" s="93" t="s">
        <v>2100</v>
      </c>
      <c r="C1138" s="94" t="s">
        <v>1696</v>
      </c>
      <c r="D1138" s="95">
        <v>55.75</v>
      </c>
      <c r="E1138" s="95">
        <v>100.74</v>
      </c>
      <c r="F1138" s="96">
        <v>5616.25</v>
      </c>
      <c r="G1138" s="97" t="s">
        <v>1646</v>
      </c>
      <c r="H1138" s="114">
        <f t="shared" si="17"/>
        <v>46174</v>
      </c>
      <c r="I1138" s="17"/>
      <c r="J1138" s="17"/>
      <c r="K1138" s="17"/>
    </row>
    <row r="1139" spans="1:11" x14ac:dyDescent="0.2">
      <c r="A1139" s="115">
        <v>46199</v>
      </c>
      <c r="B1139" s="93" t="s">
        <v>2101</v>
      </c>
      <c r="C1139" s="94" t="s">
        <v>1663</v>
      </c>
      <c r="D1139" s="95">
        <v>25</v>
      </c>
      <c r="E1139" s="95">
        <v>100.74</v>
      </c>
      <c r="F1139" s="96">
        <v>2518.5</v>
      </c>
      <c r="G1139" s="97" t="s">
        <v>1646</v>
      </c>
      <c r="H1139" s="114">
        <f t="shared" si="17"/>
        <v>46174</v>
      </c>
      <c r="I1139" s="17"/>
      <c r="J1139" s="17"/>
      <c r="K1139" s="17"/>
    </row>
    <row r="1140" spans="1:11" x14ac:dyDescent="0.2">
      <c r="A1140" s="115">
        <v>46199</v>
      </c>
      <c r="B1140" s="93" t="s">
        <v>2102</v>
      </c>
      <c r="C1140" s="94" t="s">
        <v>216</v>
      </c>
      <c r="D1140" s="95">
        <v>20</v>
      </c>
      <c r="E1140" s="95">
        <v>100.74</v>
      </c>
      <c r="F1140" s="96">
        <v>2014.8</v>
      </c>
      <c r="G1140" s="97" t="s">
        <v>217</v>
      </c>
      <c r="H1140" s="114">
        <f t="shared" si="17"/>
        <v>46174</v>
      </c>
      <c r="I1140" s="17"/>
      <c r="J1140" s="17"/>
      <c r="K1140" s="17"/>
    </row>
    <row r="1141" spans="1:11" x14ac:dyDescent="0.2">
      <c r="A1141" s="115">
        <v>46199</v>
      </c>
      <c r="B1141" s="93" t="s">
        <v>2103</v>
      </c>
      <c r="C1141" s="94" t="s">
        <v>2151</v>
      </c>
      <c r="D1141" s="95">
        <v>200</v>
      </c>
      <c r="E1141" s="95">
        <v>100.74</v>
      </c>
      <c r="F1141" s="96">
        <v>20148</v>
      </c>
      <c r="G1141" s="97" t="s">
        <v>1483</v>
      </c>
      <c r="H1141" s="114">
        <f t="shared" si="17"/>
        <v>46174</v>
      </c>
      <c r="I1141" s="17"/>
      <c r="J1141" s="17"/>
      <c r="K1141" s="17"/>
    </row>
    <row r="1142" spans="1:11" x14ac:dyDescent="0.2">
      <c r="A1142" s="115">
        <v>46199</v>
      </c>
      <c r="B1142" s="93" t="s">
        <v>2104</v>
      </c>
      <c r="C1142" s="94" t="s">
        <v>1426</v>
      </c>
      <c r="D1142" s="95">
        <v>364.21</v>
      </c>
      <c r="E1142" s="95">
        <v>100.74</v>
      </c>
      <c r="F1142" s="96">
        <v>36690.51</v>
      </c>
      <c r="G1142" s="97" t="s">
        <v>199</v>
      </c>
      <c r="H1142" s="114">
        <f t="shared" si="17"/>
        <v>46174</v>
      </c>
      <c r="I1142" s="17"/>
      <c r="J1142" s="17"/>
      <c r="K1142" s="17"/>
    </row>
    <row r="1143" spans="1:11" x14ac:dyDescent="0.2">
      <c r="A1143" s="115">
        <v>46199</v>
      </c>
      <c r="B1143" s="93" t="s">
        <v>2105</v>
      </c>
      <c r="C1143" s="94" t="s">
        <v>1945</v>
      </c>
      <c r="D1143" s="95">
        <v>24.82</v>
      </c>
      <c r="E1143" s="95">
        <v>100.74</v>
      </c>
      <c r="F1143" s="96">
        <v>2500</v>
      </c>
      <c r="G1143" s="97" t="s">
        <v>1786</v>
      </c>
      <c r="H1143" s="114">
        <f t="shared" si="17"/>
        <v>46174</v>
      </c>
      <c r="I1143" s="17"/>
      <c r="J1143" s="17"/>
      <c r="K1143" s="17"/>
    </row>
    <row r="1144" spans="1:11" x14ac:dyDescent="0.2">
      <c r="A1144" s="115">
        <v>46199</v>
      </c>
      <c r="B1144" s="93" t="s">
        <v>2106</v>
      </c>
      <c r="C1144" s="94" t="s">
        <v>2014</v>
      </c>
      <c r="D1144" s="95">
        <v>24.82</v>
      </c>
      <c r="E1144" s="95">
        <v>100.74</v>
      </c>
      <c r="F1144" s="96">
        <v>2500</v>
      </c>
      <c r="G1144" s="97" t="s">
        <v>1786</v>
      </c>
      <c r="H1144" s="114">
        <f t="shared" si="17"/>
        <v>46174</v>
      </c>
      <c r="I1144" s="17"/>
      <c r="J1144" s="17"/>
      <c r="K1144" s="17"/>
    </row>
    <row r="1145" spans="1:11" x14ac:dyDescent="0.2">
      <c r="A1145" s="115">
        <v>46199</v>
      </c>
      <c r="B1145" s="93" t="s">
        <v>2107</v>
      </c>
      <c r="C1145" s="94" t="s">
        <v>2152</v>
      </c>
      <c r="D1145" s="95">
        <v>24.82</v>
      </c>
      <c r="E1145" s="95">
        <v>100.74</v>
      </c>
      <c r="F1145" s="96">
        <v>2500</v>
      </c>
      <c r="G1145" s="97" t="s">
        <v>1786</v>
      </c>
      <c r="H1145" s="114">
        <f t="shared" si="17"/>
        <v>46174</v>
      </c>
      <c r="I1145" s="17"/>
      <c r="J1145" s="17"/>
      <c r="K1145" s="17"/>
    </row>
    <row r="1146" spans="1:11" x14ac:dyDescent="0.2">
      <c r="A1146" s="115">
        <v>46199</v>
      </c>
      <c r="B1146" s="93" t="s">
        <v>2108</v>
      </c>
      <c r="C1146" s="94" t="s">
        <v>2017</v>
      </c>
      <c r="D1146" s="95">
        <v>24.82</v>
      </c>
      <c r="E1146" s="95">
        <v>100.74</v>
      </c>
      <c r="F1146" s="96">
        <v>2500</v>
      </c>
      <c r="G1146" s="97" t="s">
        <v>1786</v>
      </c>
      <c r="H1146" s="114">
        <f t="shared" si="17"/>
        <v>46174</v>
      </c>
      <c r="I1146" s="17"/>
      <c r="J1146" s="17"/>
      <c r="K1146" s="17"/>
    </row>
    <row r="1147" spans="1:11" x14ac:dyDescent="0.2">
      <c r="A1147" s="115">
        <v>46199</v>
      </c>
      <c r="B1147" s="93" t="s">
        <v>2109</v>
      </c>
      <c r="C1147" s="94" t="s">
        <v>1950</v>
      </c>
      <c r="D1147" s="95">
        <v>24.82</v>
      </c>
      <c r="E1147" s="95">
        <v>100.74</v>
      </c>
      <c r="F1147" s="96">
        <v>2500</v>
      </c>
      <c r="G1147" s="97" t="s">
        <v>1786</v>
      </c>
      <c r="H1147" s="114">
        <f t="shared" si="17"/>
        <v>46174</v>
      </c>
      <c r="I1147" s="17"/>
      <c r="J1147" s="17"/>
      <c r="K1147" s="17"/>
    </row>
    <row r="1148" spans="1:11" x14ac:dyDescent="0.2">
      <c r="A1148" s="115">
        <v>46199</v>
      </c>
      <c r="B1148" s="93" t="s">
        <v>2110</v>
      </c>
      <c r="C1148" s="94" t="s">
        <v>2013</v>
      </c>
      <c r="D1148" s="95">
        <v>24.82</v>
      </c>
      <c r="E1148" s="95">
        <v>100.74</v>
      </c>
      <c r="F1148" s="96">
        <v>2500</v>
      </c>
      <c r="G1148" s="97" t="s">
        <v>1786</v>
      </c>
      <c r="H1148" s="114">
        <f t="shared" si="17"/>
        <v>46174</v>
      </c>
      <c r="I1148" s="17"/>
      <c r="J1148" s="17"/>
      <c r="K1148" s="17"/>
    </row>
    <row r="1149" spans="1:11" x14ac:dyDescent="0.2">
      <c r="A1149" s="115">
        <v>46199</v>
      </c>
      <c r="B1149" s="93" t="s">
        <v>2111</v>
      </c>
      <c r="C1149" s="94" t="s">
        <v>2016</v>
      </c>
      <c r="D1149" s="95">
        <v>24.82</v>
      </c>
      <c r="E1149" s="95">
        <v>100.74</v>
      </c>
      <c r="F1149" s="96">
        <v>2500</v>
      </c>
      <c r="G1149" s="97" t="s">
        <v>1786</v>
      </c>
      <c r="H1149" s="114">
        <f t="shared" si="17"/>
        <v>46174</v>
      </c>
      <c r="I1149" s="17"/>
      <c r="J1149" s="17"/>
      <c r="K1149" s="17"/>
    </row>
    <row r="1150" spans="1:11" x14ac:dyDescent="0.2">
      <c r="A1150" s="115">
        <v>46199</v>
      </c>
      <c r="B1150" s="93" t="s">
        <v>2112</v>
      </c>
      <c r="C1150" s="94" t="s">
        <v>2019</v>
      </c>
      <c r="D1150" s="95">
        <v>24.82</v>
      </c>
      <c r="E1150" s="95">
        <v>100.74</v>
      </c>
      <c r="F1150" s="96">
        <v>2500</v>
      </c>
      <c r="G1150" s="97" t="s">
        <v>1786</v>
      </c>
      <c r="H1150" s="114">
        <f t="shared" si="17"/>
        <v>46174</v>
      </c>
      <c r="I1150" s="17"/>
      <c r="J1150" s="17"/>
      <c r="K1150" s="17"/>
    </row>
    <row r="1151" spans="1:11" x14ac:dyDescent="0.2">
      <c r="A1151" s="115">
        <v>46199</v>
      </c>
      <c r="B1151" s="93" t="s">
        <v>2113</v>
      </c>
      <c r="C1151" s="94" t="s">
        <v>1783</v>
      </c>
      <c r="D1151" s="95">
        <v>24.82</v>
      </c>
      <c r="E1151" s="95">
        <v>100.74</v>
      </c>
      <c r="F1151" s="96">
        <v>2500</v>
      </c>
      <c r="G1151" s="97" t="s">
        <v>1786</v>
      </c>
      <c r="H1151" s="114">
        <f t="shared" si="17"/>
        <v>46174</v>
      </c>
      <c r="I1151" s="17"/>
      <c r="J1151" s="17"/>
      <c r="K1151" s="17"/>
    </row>
    <row r="1152" spans="1:11" x14ac:dyDescent="0.2">
      <c r="A1152" s="115">
        <v>46199</v>
      </c>
      <c r="B1152" s="93" t="s">
        <v>2114</v>
      </c>
      <c r="C1152" s="94" t="s">
        <v>2022</v>
      </c>
      <c r="D1152" s="95">
        <v>24.82</v>
      </c>
      <c r="E1152" s="95">
        <v>100.74</v>
      </c>
      <c r="F1152" s="96">
        <v>2500</v>
      </c>
      <c r="G1152" s="97" t="s">
        <v>1786</v>
      </c>
      <c r="H1152" s="114">
        <f t="shared" si="17"/>
        <v>46174</v>
      </c>
      <c r="I1152" s="17"/>
      <c r="J1152" s="17"/>
      <c r="K1152" s="17"/>
    </row>
    <row r="1153" spans="1:11" x14ac:dyDescent="0.2">
      <c r="A1153" s="115">
        <v>46199</v>
      </c>
      <c r="B1153" s="93" t="s">
        <v>2115</v>
      </c>
      <c r="C1153" s="94" t="s">
        <v>2021</v>
      </c>
      <c r="D1153" s="95">
        <v>24.82</v>
      </c>
      <c r="E1153" s="95">
        <v>100.74</v>
      </c>
      <c r="F1153" s="96">
        <v>2500</v>
      </c>
      <c r="G1153" s="97" t="s">
        <v>1786</v>
      </c>
      <c r="H1153" s="114">
        <f t="shared" si="17"/>
        <v>46174</v>
      </c>
      <c r="I1153" s="17"/>
      <c r="J1153" s="17"/>
      <c r="K1153" s="17"/>
    </row>
    <row r="1154" spans="1:11" x14ac:dyDescent="0.2">
      <c r="A1154" s="115">
        <v>46199</v>
      </c>
      <c r="B1154" s="93" t="s">
        <v>2116</v>
      </c>
      <c r="C1154" s="94" t="s">
        <v>1951</v>
      </c>
      <c r="D1154" s="95">
        <v>24.82</v>
      </c>
      <c r="E1154" s="95">
        <v>100.74</v>
      </c>
      <c r="F1154" s="96">
        <v>2500</v>
      </c>
      <c r="G1154" s="97" t="s">
        <v>1786</v>
      </c>
      <c r="H1154" s="114">
        <f t="shared" si="17"/>
        <v>46174</v>
      </c>
      <c r="I1154" s="17"/>
      <c r="J1154" s="17"/>
      <c r="K1154" s="17"/>
    </row>
    <row r="1155" spans="1:11" x14ac:dyDescent="0.2">
      <c r="A1155" s="115">
        <v>46199</v>
      </c>
      <c r="B1155" s="93" t="s">
        <v>2117</v>
      </c>
      <c r="C1155" s="101" t="s">
        <v>1947</v>
      </c>
      <c r="D1155" s="95">
        <v>24.82</v>
      </c>
      <c r="E1155" s="95">
        <v>100.74</v>
      </c>
      <c r="F1155" s="96">
        <v>2500</v>
      </c>
      <c r="G1155" s="97" t="s">
        <v>1786</v>
      </c>
      <c r="H1155" s="114">
        <f t="shared" si="17"/>
        <v>46174</v>
      </c>
      <c r="I1155" s="17"/>
      <c r="J1155" s="17"/>
      <c r="K1155" s="17"/>
    </row>
    <row r="1156" spans="1:11" x14ac:dyDescent="0.2">
      <c r="A1156" s="115">
        <v>46199</v>
      </c>
      <c r="B1156" s="93" t="s">
        <v>2118</v>
      </c>
      <c r="C1156" s="101" t="s">
        <v>1945</v>
      </c>
      <c r="D1156" s="95">
        <v>24.82</v>
      </c>
      <c r="E1156" s="95">
        <v>100.74</v>
      </c>
      <c r="F1156" s="96">
        <v>2500</v>
      </c>
      <c r="G1156" s="97" t="s">
        <v>1786</v>
      </c>
      <c r="H1156" s="114">
        <f t="shared" ref="H1156:H1219" si="18">IF(A1156&lt;&gt;"", EOMONTH(A1156, -1) + 1, "")</f>
        <v>46174</v>
      </c>
      <c r="I1156" s="17"/>
      <c r="J1156" s="17"/>
      <c r="K1156" s="17"/>
    </row>
    <row r="1157" spans="1:11" x14ac:dyDescent="0.2">
      <c r="A1157" s="115">
        <v>46199</v>
      </c>
      <c r="B1157" s="93" t="s">
        <v>2119</v>
      </c>
      <c r="C1157" s="101" t="s">
        <v>1785</v>
      </c>
      <c r="D1157" s="95">
        <v>24.82</v>
      </c>
      <c r="E1157" s="95">
        <v>100.74</v>
      </c>
      <c r="F1157" s="96">
        <v>2500</v>
      </c>
      <c r="G1157" s="97" t="s">
        <v>1786</v>
      </c>
      <c r="H1157" s="114">
        <f t="shared" si="18"/>
        <v>46174</v>
      </c>
      <c r="I1157" s="17"/>
      <c r="J1157" s="17"/>
      <c r="K1157" s="17"/>
    </row>
    <row r="1158" spans="1:11" x14ac:dyDescent="0.2">
      <c r="A1158" s="115">
        <v>46199</v>
      </c>
      <c r="B1158" s="93" t="s">
        <v>2120</v>
      </c>
      <c r="C1158" s="101" t="s">
        <v>1949</v>
      </c>
      <c r="D1158" s="95">
        <v>24.82</v>
      </c>
      <c r="E1158" s="95">
        <v>100.74</v>
      </c>
      <c r="F1158" s="96">
        <v>2500</v>
      </c>
      <c r="G1158" s="97" t="s">
        <v>1786</v>
      </c>
      <c r="H1158" s="114">
        <f t="shared" si="18"/>
        <v>46174</v>
      </c>
      <c r="I1158" s="17"/>
      <c r="J1158" s="17"/>
      <c r="K1158" s="17"/>
    </row>
    <row r="1159" spans="1:11" x14ac:dyDescent="0.2">
      <c r="A1159" s="115">
        <v>46199</v>
      </c>
      <c r="B1159" s="93" t="s">
        <v>2121</v>
      </c>
      <c r="C1159" s="101" t="s">
        <v>2153</v>
      </c>
      <c r="D1159" s="95">
        <v>24.82</v>
      </c>
      <c r="E1159" s="95">
        <v>100.74</v>
      </c>
      <c r="F1159" s="96">
        <v>2500</v>
      </c>
      <c r="G1159" s="97" t="s">
        <v>1786</v>
      </c>
      <c r="H1159" s="114">
        <f t="shared" si="18"/>
        <v>46174</v>
      </c>
      <c r="I1159" s="17"/>
      <c r="J1159" s="17"/>
      <c r="K1159" s="17"/>
    </row>
    <row r="1160" spans="1:11" x14ac:dyDescent="0.2">
      <c r="A1160" s="115">
        <v>46199</v>
      </c>
      <c r="B1160" s="93" t="s">
        <v>2122</v>
      </c>
      <c r="C1160" s="101" t="s">
        <v>2015</v>
      </c>
      <c r="D1160" s="95">
        <v>24.82</v>
      </c>
      <c r="E1160" s="95">
        <v>100.74</v>
      </c>
      <c r="F1160" s="96">
        <v>2500</v>
      </c>
      <c r="G1160" s="97" t="s">
        <v>1786</v>
      </c>
      <c r="H1160" s="114">
        <f t="shared" si="18"/>
        <v>46174</v>
      </c>
      <c r="I1160" s="17"/>
      <c r="J1160" s="17"/>
      <c r="K1160" s="17"/>
    </row>
    <row r="1161" spans="1:11" x14ac:dyDescent="0.2">
      <c r="A1161" s="115">
        <v>46199</v>
      </c>
      <c r="B1161" s="93" t="s">
        <v>2123</v>
      </c>
      <c r="C1161" s="101" t="s">
        <v>1948</v>
      </c>
      <c r="D1161" s="95">
        <v>24.82</v>
      </c>
      <c r="E1161" s="95">
        <v>100.74</v>
      </c>
      <c r="F1161" s="96">
        <v>2500</v>
      </c>
      <c r="G1161" s="97" t="s">
        <v>1786</v>
      </c>
      <c r="H1161" s="114">
        <f t="shared" si="18"/>
        <v>46174</v>
      </c>
      <c r="I1161" s="17"/>
      <c r="J1161" s="17"/>
      <c r="K1161" s="17"/>
    </row>
    <row r="1162" spans="1:11" x14ac:dyDescent="0.2">
      <c r="A1162" s="115">
        <v>46199</v>
      </c>
      <c r="B1162" s="93" t="s">
        <v>2124</v>
      </c>
      <c r="C1162" s="94" t="s">
        <v>1952</v>
      </c>
      <c r="D1162" s="95">
        <v>24.82</v>
      </c>
      <c r="E1162" s="95">
        <v>100.74</v>
      </c>
      <c r="F1162" s="96">
        <v>2500</v>
      </c>
      <c r="G1162" s="97" t="s">
        <v>1786</v>
      </c>
      <c r="H1162" s="114">
        <f t="shared" si="18"/>
        <v>46174</v>
      </c>
      <c r="I1162" s="17"/>
      <c r="J1162" s="17"/>
      <c r="K1162" s="17"/>
    </row>
    <row r="1163" spans="1:11" x14ac:dyDescent="0.2">
      <c r="A1163" s="115">
        <v>46199</v>
      </c>
      <c r="B1163" s="93" t="s">
        <v>2125</v>
      </c>
      <c r="C1163" s="94" t="s">
        <v>2154</v>
      </c>
      <c r="D1163" s="95">
        <v>24.82</v>
      </c>
      <c r="E1163" s="95">
        <v>100.74</v>
      </c>
      <c r="F1163" s="96">
        <v>2500</v>
      </c>
      <c r="G1163" s="97" t="s">
        <v>1786</v>
      </c>
      <c r="H1163" s="114">
        <f t="shared" si="18"/>
        <v>46174</v>
      </c>
      <c r="I1163" s="17"/>
      <c r="J1163" s="17"/>
      <c r="K1163" s="17"/>
    </row>
    <row r="1164" spans="1:11" x14ac:dyDescent="0.2">
      <c r="A1164" s="115">
        <v>46199</v>
      </c>
      <c r="B1164" s="93" t="s">
        <v>2126</v>
      </c>
      <c r="C1164" s="94" t="s">
        <v>2155</v>
      </c>
      <c r="D1164" s="95">
        <v>24.82</v>
      </c>
      <c r="E1164" s="95">
        <v>100.74</v>
      </c>
      <c r="F1164" s="96">
        <v>2500</v>
      </c>
      <c r="G1164" s="97" t="s">
        <v>1786</v>
      </c>
      <c r="H1164" s="114">
        <f t="shared" si="18"/>
        <v>46174</v>
      </c>
      <c r="I1164" s="17"/>
      <c r="J1164" s="17"/>
      <c r="K1164" s="17"/>
    </row>
    <row r="1165" spans="1:11" x14ac:dyDescent="0.2">
      <c r="A1165" s="115">
        <v>46199</v>
      </c>
      <c r="B1165" s="93" t="s">
        <v>2127</v>
      </c>
      <c r="C1165" s="94" t="s">
        <v>1946</v>
      </c>
      <c r="D1165" s="95">
        <v>24.82</v>
      </c>
      <c r="E1165" s="95">
        <v>100.74</v>
      </c>
      <c r="F1165" s="96">
        <v>2500</v>
      </c>
      <c r="G1165" s="97" t="s">
        <v>1786</v>
      </c>
      <c r="H1165" s="114">
        <f t="shared" si="18"/>
        <v>46174</v>
      </c>
      <c r="I1165" s="17"/>
      <c r="J1165" s="17"/>
      <c r="K1165" s="17"/>
    </row>
    <row r="1166" spans="1:11" x14ac:dyDescent="0.2">
      <c r="A1166" s="115">
        <v>46199</v>
      </c>
      <c r="B1166" s="93" t="s">
        <v>2128</v>
      </c>
      <c r="C1166" s="94" t="s">
        <v>1965</v>
      </c>
      <c r="D1166" s="95">
        <v>24.82</v>
      </c>
      <c r="E1166" s="95">
        <v>100.74</v>
      </c>
      <c r="F1166" s="96">
        <v>2500</v>
      </c>
      <c r="G1166" s="97" t="s">
        <v>1786</v>
      </c>
      <c r="H1166" s="114">
        <f t="shared" si="18"/>
        <v>46174</v>
      </c>
      <c r="I1166" s="17"/>
      <c r="J1166" s="17"/>
      <c r="K1166" s="17"/>
    </row>
    <row r="1167" spans="1:11" x14ac:dyDescent="0.2">
      <c r="A1167" s="115">
        <v>46199</v>
      </c>
      <c r="B1167" s="93" t="s">
        <v>2129</v>
      </c>
      <c r="C1167" s="94" t="s">
        <v>2014</v>
      </c>
      <c r="D1167" s="95">
        <v>24.82</v>
      </c>
      <c r="E1167" s="95">
        <v>100.74</v>
      </c>
      <c r="F1167" s="96">
        <v>2500</v>
      </c>
      <c r="G1167" s="97" t="s">
        <v>1786</v>
      </c>
      <c r="H1167" s="114">
        <f t="shared" si="18"/>
        <v>46174</v>
      </c>
      <c r="I1167" s="17"/>
      <c r="J1167" s="17"/>
      <c r="K1167" s="17"/>
    </row>
    <row r="1168" spans="1:11" x14ac:dyDescent="0.2">
      <c r="A1168" s="115">
        <v>46199</v>
      </c>
      <c r="B1168" s="93" t="s">
        <v>2130</v>
      </c>
      <c r="C1168" s="94" t="s">
        <v>2020</v>
      </c>
      <c r="D1168" s="95">
        <v>24.82</v>
      </c>
      <c r="E1168" s="95">
        <v>100.74</v>
      </c>
      <c r="F1168" s="96">
        <v>2500</v>
      </c>
      <c r="G1168" s="97" t="s">
        <v>1786</v>
      </c>
      <c r="H1168" s="114">
        <f t="shared" si="18"/>
        <v>46174</v>
      </c>
      <c r="I1168" s="17"/>
      <c r="J1168" s="17"/>
      <c r="K1168" s="17"/>
    </row>
    <row r="1169" spans="1:11" x14ac:dyDescent="0.2">
      <c r="A1169" s="115">
        <v>46199</v>
      </c>
      <c r="B1169" s="93" t="s">
        <v>2131</v>
      </c>
      <c r="C1169" s="94" t="s">
        <v>2156</v>
      </c>
      <c r="D1169" s="95">
        <v>24.82</v>
      </c>
      <c r="E1169" s="95">
        <v>100.74</v>
      </c>
      <c r="F1169" s="96">
        <v>2500</v>
      </c>
      <c r="G1169" s="97" t="s">
        <v>1786</v>
      </c>
      <c r="H1169" s="114">
        <f t="shared" si="18"/>
        <v>46174</v>
      </c>
      <c r="I1169" s="17"/>
      <c r="J1169" s="17"/>
      <c r="K1169" s="17"/>
    </row>
    <row r="1170" spans="1:11" x14ac:dyDescent="0.2">
      <c r="A1170" s="115">
        <v>46199</v>
      </c>
      <c r="B1170" s="93" t="s">
        <v>2132</v>
      </c>
      <c r="C1170" s="94" t="s">
        <v>2156</v>
      </c>
      <c r="D1170" s="95">
        <v>24.82</v>
      </c>
      <c r="E1170" s="95">
        <v>100.74</v>
      </c>
      <c r="F1170" s="96">
        <v>2500</v>
      </c>
      <c r="G1170" s="97" t="s">
        <v>1786</v>
      </c>
      <c r="H1170" s="114">
        <f t="shared" si="18"/>
        <v>46174</v>
      </c>
      <c r="I1170" s="17"/>
      <c r="J1170" s="17"/>
      <c r="K1170" s="17"/>
    </row>
    <row r="1171" spans="1:11" x14ac:dyDescent="0.2">
      <c r="A1171" s="115">
        <v>46199</v>
      </c>
      <c r="B1171" s="93" t="s">
        <v>2133</v>
      </c>
      <c r="C1171" s="94" t="s">
        <v>1949</v>
      </c>
      <c r="D1171" s="95">
        <v>24.82</v>
      </c>
      <c r="E1171" s="95">
        <v>100.74</v>
      </c>
      <c r="F1171" s="96">
        <v>2500</v>
      </c>
      <c r="G1171" s="97" t="s">
        <v>1786</v>
      </c>
      <c r="H1171" s="114">
        <f t="shared" si="18"/>
        <v>46174</v>
      </c>
      <c r="I1171" s="17"/>
      <c r="J1171" s="17"/>
      <c r="K1171" s="17"/>
    </row>
    <row r="1172" spans="1:11" x14ac:dyDescent="0.2">
      <c r="A1172" s="115">
        <v>46199</v>
      </c>
      <c r="B1172" s="93" t="s">
        <v>2134</v>
      </c>
      <c r="C1172" s="94" t="s">
        <v>1948</v>
      </c>
      <c r="D1172" s="95">
        <v>24.82</v>
      </c>
      <c r="E1172" s="95">
        <v>100.74</v>
      </c>
      <c r="F1172" s="96">
        <v>2500</v>
      </c>
      <c r="G1172" s="97" t="s">
        <v>1786</v>
      </c>
      <c r="H1172" s="114">
        <f t="shared" si="18"/>
        <v>46174</v>
      </c>
      <c r="I1172" s="17"/>
      <c r="J1172" s="17"/>
      <c r="K1172" s="17"/>
    </row>
    <row r="1173" spans="1:11" x14ac:dyDescent="0.2">
      <c r="A1173" s="115">
        <v>46199</v>
      </c>
      <c r="B1173" s="93" t="s">
        <v>2135</v>
      </c>
      <c r="C1173" s="94" t="s">
        <v>2016</v>
      </c>
      <c r="D1173" s="95">
        <v>24.82</v>
      </c>
      <c r="E1173" s="95">
        <v>100.74</v>
      </c>
      <c r="F1173" s="96">
        <v>2500</v>
      </c>
      <c r="G1173" s="97" t="s">
        <v>1786</v>
      </c>
      <c r="H1173" s="114">
        <f t="shared" si="18"/>
        <v>46174</v>
      </c>
      <c r="I1173" s="17"/>
      <c r="J1173" s="17"/>
      <c r="K1173" s="17"/>
    </row>
    <row r="1174" spans="1:11" x14ac:dyDescent="0.2">
      <c r="A1174" s="115">
        <v>46199</v>
      </c>
      <c r="B1174" s="93" t="s">
        <v>2136</v>
      </c>
      <c r="C1174" s="94" t="s">
        <v>2017</v>
      </c>
      <c r="D1174" s="95">
        <v>24.82</v>
      </c>
      <c r="E1174" s="95">
        <v>100.74</v>
      </c>
      <c r="F1174" s="96">
        <v>2500</v>
      </c>
      <c r="G1174" s="97" t="s">
        <v>1786</v>
      </c>
      <c r="H1174" s="114">
        <f t="shared" si="18"/>
        <v>46174</v>
      </c>
      <c r="I1174" s="17"/>
      <c r="J1174" s="17"/>
      <c r="K1174" s="17"/>
    </row>
    <row r="1175" spans="1:11" x14ac:dyDescent="0.2">
      <c r="A1175" s="115">
        <v>46199</v>
      </c>
      <c r="B1175" s="93" t="s">
        <v>2137</v>
      </c>
      <c r="C1175" s="94" t="s">
        <v>1783</v>
      </c>
      <c r="D1175" s="95">
        <v>24.82</v>
      </c>
      <c r="E1175" s="95">
        <v>100.74</v>
      </c>
      <c r="F1175" s="96">
        <v>2500</v>
      </c>
      <c r="G1175" s="97" t="s">
        <v>1786</v>
      </c>
      <c r="H1175" s="114">
        <f t="shared" si="18"/>
        <v>46174</v>
      </c>
      <c r="I1175" s="17"/>
      <c r="J1175" s="17"/>
      <c r="K1175" s="17"/>
    </row>
    <row r="1176" spans="1:11" x14ac:dyDescent="0.2">
      <c r="A1176" s="115">
        <v>46199</v>
      </c>
      <c r="B1176" s="93" t="s">
        <v>2138</v>
      </c>
      <c r="C1176" s="94" t="s">
        <v>2022</v>
      </c>
      <c r="D1176" s="95">
        <v>24.82</v>
      </c>
      <c r="E1176" s="95">
        <v>100.74</v>
      </c>
      <c r="F1176" s="96">
        <v>2500</v>
      </c>
      <c r="G1176" s="97" t="s">
        <v>1786</v>
      </c>
      <c r="H1176" s="114">
        <f t="shared" si="18"/>
        <v>46174</v>
      </c>
      <c r="I1176" s="17"/>
      <c r="J1176" s="17"/>
      <c r="K1176" s="17"/>
    </row>
    <row r="1177" spans="1:11" x14ac:dyDescent="0.2">
      <c r="A1177" s="115">
        <v>46199</v>
      </c>
      <c r="B1177" s="93" t="s">
        <v>2139</v>
      </c>
      <c r="C1177" s="94" t="s">
        <v>2021</v>
      </c>
      <c r="D1177" s="95">
        <v>24.82</v>
      </c>
      <c r="E1177" s="95">
        <v>100.74</v>
      </c>
      <c r="F1177" s="96">
        <v>2500</v>
      </c>
      <c r="G1177" s="97" t="s">
        <v>1786</v>
      </c>
      <c r="H1177" s="114">
        <f t="shared" si="18"/>
        <v>46174</v>
      </c>
      <c r="I1177" s="17"/>
      <c r="J1177" s="17"/>
      <c r="K1177" s="17"/>
    </row>
    <row r="1178" spans="1:11" x14ac:dyDescent="0.2">
      <c r="A1178" s="115">
        <v>46199</v>
      </c>
      <c r="B1178" s="93" t="s">
        <v>2140</v>
      </c>
      <c r="C1178" s="94" t="s">
        <v>1784</v>
      </c>
      <c r="D1178" s="95">
        <v>24.82</v>
      </c>
      <c r="E1178" s="95">
        <v>100.74</v>
      </c>
      <c r="F1178" s="96">
        <v>2500</v>
      </c>
      <c r="G1178" s="97" t="s">
        <v>1786</v>
      </c>
      <c r="H1178" s="114">
        <f t="shared" si="18"/>
        <v>46174</v>
      </c>
      <c r="I1178" s="17"/>
      <c r="J1178" s="17"/>
      <c r="K1178" s="17"/>
    </row>
    <row r="1179" spans="1:11" x14ac:dyDescent="0.2">
      <c r="A1179" s="115">
        <v>46199</v>
      </c>
      <c r="B1179" s="93" t="s">
        <v>2141</v>
      </c>
      <c r="C1179" s="94" t="s">
        <v>1966</v>
      </c>
      <c r="D1179" s="95">
        <v>27.79</v>
      </c>
      <c r="E1179" s="95">
        <v>100.74</v>
      </c>
      <c r="F1179" s="96">
        <v>2800</v>
      </c>
      <c r="G1179" s="97" t="s">
        <v>1786</v>
      </c>
      <c r="H1179" s="114">
        <f t="shared" si="18"/>
        <v>46174</v>
      </c>
      <c r="I1179" s="17"/>
      <c r="J1179" s="17"/>
      <c r="K1179" s="17"/>
    </row>
    <row r="1180" spans="1:11" x14ac:dyDescent="0.2">
      <c r="A1180" s="115">
        <v>46199</v>
      </c>
      <c r="B1180" s="93" t="s">
        <v>2142</v>
      </c>
      <c r="C1180" s="94" t="s">
        <v>1968</v>
      </c>
      <c r="D1180" s="95">
        <v>27.79</v>
      </c>
      <c r="E1180" s="95">
        <v>100.74</v>
      </c>
      <c r="F1180" s="96">
        <v>2800</v>
      </c>
      <c r="G1180" s="97" t="s">
        <v>1786</v>
      </c>
      <c r="H1180" s="114">
        <f t="shared" si="18"/>
        <v>46174</v>
      </c>
      <c r="I1180" s="17"/>
      <c r="J1180" s="17"/>
      <c r="K1180" s="17"/>
    </row>
    <row r="1181" spans="1:11" x14ac:dyDescent="0.2">
      <c r="A1181" s="115">
        <v>46199</v>
      </c>
      <c r="B1181" s="93" t="s">
        <v>2143</v>
      </c>
      <c r="C1181" s="94" t="s">
        <v>1967</v>
      </c>
      <c r="D1181" s="95">
        <v>27.79</v>
      </c>
      <c r="E1181" s="95">
        <v>100.74</v>
      </c>
      <c r="F1181" s="96">
        <v>2800</v>
      </c>
      <c r="G1181" s="97" t="s">
        <v>1786</v>
      </c>
      <c r="H1181" s="114">
        <f t="shared" si="18"/>
        <v>46174</v>
      </c>
      <c r="I1181" s="17"/>
      <c r="J1181" s="17"/>
      <c r="K1181" s="17"/>
    </row>
    <row r="1182" spans="1:11" x14ac:dyDescent="0.2">
      <c r="A1182" s="115">
        <v>46199</v>
      </c>
      <c r="B1182" s="93" t="s">
        <v>2144</v>
      </c>
      <c r="C1182" s="94" t="s">
        <v>2157</v>
      </c>
      <c r="D1182" s="95">
        <v>29.78</v>
      </c>
      <c r="E1182" s="95">
        <v>100.74</v>
      </c>
      <c r="F1182" s="96">
        <v>3000</v>
      </c>
      <c r="G1182" s="97" t="s">
        <v>1786</v>
      </c>
      <c r="H1182" s="114">
        <f t="shared" si="18"/>
        <v>46174</v>
      </c>
      <c r="I1182" s="17"/>
      <c r="J1182" s="17"/>
      <c r="K1182" s="17"/>
    </row>
    <row r="1183" spans="1:11" x14ac:dyDescent="0.2">
      <c r="A1183" s="115">
        <v>46199</v>
      </c>
      <c r="B1183" s="93" t="s">
        <v>2145</v>
      </c>
      <c r="C1183" s="94" t="s">
        <v>2158</v>
      </c>
      <c r="D1183" s="95">
        <v>29.78</v>
      </c>
      <c r="E1183" s="95">
        <v>100.74</v>
      </c>
      <c r="F1183" s="96">
        <v>3000</v>
      </c>
      <c r="G1183" s="97" t="s">
        <v>1786</v>
      </c>
      <c r="H1183" s="114">
        <f t="shared" si="18"/>
        <v>46174</v>
      </c>
      <c r="I1183" s="17"/>
      <c r="J1183" s="17"/>
      <c r="K1183" s="17"/>
    </row>
    <row r="1184" spans="1:11" x14ac:dyDescent="0.2">
      <c r="A1184" s="115">
        <v>46199</v>
      </c>
      <c r="B1184" s="93" t="s">
        <v>2146</v>
      </c>
      <c r="C1184" s="94" t="s">
        <v>526</v>
      </c>
      <c r="D1184" s="95">
        <v>3435.58</v>
      </c>
      <c r="E1184" s="95">
        <v>100.74</v>
      </c>
      <c r="F1184" s="96">
        <v>346100</v>
      </c>
      <c r="G1184" s="97" t="s">
        <v>58</v>
      </c>
      <c r="H1184" s="114">
        <f t="shared" si="18"/>
        <v>46174</v>
      </c>
      <c r="I1184" s="17"/>
      <c r="J1184" s="17"/>
      <c r="K1184" s="17"/>
    </row>
    <row r="1185" spans="1:11" x14ac:dyDescent="0.2">
      <c r="A1185" s="115">
        <v>46199</v>
      </c>
      <c r="B1185" s="93" t="s">
        <v>2147</v>
      </c>
      <c r="C1185" s="94" t="s">
        <v>13</v>
      </c>
      <c r="D1185" s="95">
        <v>789.16</v>
      </c>
      <c r="E1185" s="95">
        <v>100.74</v>
      </c>
      <c r="F1185" s="96">
        <v>79500</v>
      </c>
      <c r="G1185" s="97" t="s">
        <v>152</v>
      </c>
      <c r="H1185" s="114">
        <f t="shared" si="18"/>
        <v>46174</v>
      </c>
      <c r="I1185" s="17"/>
      <c r="J1185" s="17"/>
      <c r="K1185" s="17"/>
    </row>
    <row r="1186" spans="1:11" x14ac:dyDescent="0.2">
      <c r="A1186" s="115">
        <v>46199</v>
      </c>
      <c r="B1186" s="93" t="s">
        <v>2148</v>
      </c>
      <c r="C1186" s="94" t="s">
        <v>13</v>
      </c>
      <c r="D1186" s="95">
        <v>70.48</v>
      </c>
      <c r="E1186" s="95">
        <v>100.74</v>
      </c>
      <c r="F1186" s="96">
        <v>7100.15</v>
      </c>
      <c r="G1186" s="97" t="s">
        <v>57</v>
      </c>
      <c r="H1186" s="114">
        <f t="shared" si="18"/>
        <v>46174</v>
      </c>
      <c r="I1186" s="17"/>
      <c r="J1186" s="17"/>
      <c r="K1186" s="17"/>
    </row>
    <row r="1187" spans="1:11" x14ac:dyDescent="0.2">
      <c r="A1187" s="115">
        <v>46199</v>
      </c>
      <c r="B1187" s="93" t="s">
        <v>2149</v>
      </c>
      <c r="C1187" s="94" t="s">
        <v>50</v>
      </c>
      <c r="D1187" s="95">
        <v>3000</v>
      </c>
      <c r="E1187" s="95">
        <v>100.74</v>
      </c>
      <c r="F1187" s="96">
        <v>302220</v>
      </c>
      <c r="G1187" s="97" t="s">
        <v>59</v>
      </c>
      <c r="H1187" s="114">
        <f t="shared" si="18"/>
        <v>46174</v>
      </c>
      <c r="I1187" s="17"/>
      <c r="J1187" s="17"/>
      <c r="K1187" s="17"/>
    </row>
    <row r="1188" spans="1:11" x14ac:dyDescent="0.2">
      <c r="A1188" s="115">
        <v>46199</v>
      </c>
      <c r="B1188" s="93" t="s">
        <v>2150</v>
      </c>
      <c r="C1188" s="94" t="s">
        <v>50</v>
      </c>
      <c r="D1188" s="95">
        <v>2000</v>
      </c>
      <c r="E1188" s="95">
        <v>100.74</v>
      </c>
      <c r="F1188" s="96">
        <v>201480</v>
      </c>
      <c r="G1188" s="97" t="s">
        <v>901</v>
      </c>
      <c r="H1188" s="114">
        <f t="shared" si="18"/>
        <v>46174</v>
      </c>
      <c r="I1188" s="17"/>
      <c r="J1188" s="17"/>
      <c r="K1188" s="17"/>
    </row>
    <row r="1189" spans="1:11" x14ac:dyDescent="0.2">
      <c r="A1189" s="115">
        <v>46200</v>
      </c>
      <c r="B1189" s="93" t="s">
        <v>2175</v>
      </c>
      <c r="C1189" s="94" t="s">
        <v>128</v>
      </c>
      <c r="D1189" s="95">
        <v>20</v>
      </c>
      <c r="E1189" s="95">
        <v>100.74</v>
      </c>
      <c r="F1189" s="96">
        <v>2014.8</v>
      </c>
      <c r="G1189" s="97" t="s">
        <v>56</v>
      </c>
      <c r="H1189" s="114">
        <f t="shared" si="18"/>
        <v>46174</v>
      </c>
      <c r="I1189" s="17"/>
      <c r="J1189" s="17"/>
      <c r="K1189" s="17"/>
    </row>
    <row r="1190" spans="1:11" x14ac:dyDescent="0.2">
      <c r="A1190" s="115">
        <v>46200</v>
      </c>
      <c r="B1190" s="93" t="s">
        <v>2176</v>
      </c>
      <c r="C1190" s="94" t="s">
        <v>44</v>
      </c>
      <c r="D1190" s="95">
        <v>10</v>
      </c>
      <c r="E1190" s="95">
        <v>100.74</v>
      </c>
      <c r="F1190" s="96">
        <v>1007.4</v>
      </c>
      <c r="G1190" s="97" t="s">
        <v>56</v>
      </c>
      <c r="H1190" s="114">
        <f t="shared" si="18"/>
        <v>46174</v>
      </c>
      <c r="I1190" s="17"/>
      <c r="J1190" s="17"/>
      <c r="K1190" s="17"/>
    </row>
    <row r="1191" spans="1:11" x14ac:dyDescent="0.2">
      <c r="A1191" s="115">
        <v>46200</v>
      </c>
      <c r="B1191" s="93" t="s">
        <v>2177</v>
      </c>
      <c r="C1191" s="94" t="s">
        <v>944</v>
      </c>
      <c r="D1191" s="95">
        <v>150</v>
      </c>
      <c r="E1191" s="105">
        <v>100.74</v>
      </c>
      <c r="F1191" s="106">
        <v>15111</v>
      </c>
      <c r="G1191" s="97" t="s">
        <v>199</v>
      </c>
      <c r="H1191" s="114">
        <f t="shared" si="18"/>
        <v>46174</v>
      </c>
      <c r="I1191" s="17"/>
      <c r="J1191" s="17"/>
      <c r="K1191" s="17"/>
    </row>
    <row r="1192" spans="1:11" x14ac:dyDescent="0.2">
      <c r="A1192" s="115">
        <v>46200</v>
      </c>
      <c r="B1192" s="93" t="s">
        <v>2178</v>
      </c>
      <c r="C1192" s="94" t="s">
        <v>1602</v>
      </c>
      <c r="D1192" s="95">
        <v>50.69</v>
      </c>
      <c r="E1192" s="95">
        <v>100.74</v>
      </c>
      <c r="F1192" s="96">
        <v>5106.5</v>
      </c>
      <c r="G1192" s="97" t="s">
        <v>1646</v>
      </c>
      <c r="H1192" s="114">
        <f t="shared" si="18"/>
        <v>46174</v>
      </c>
      <c r="I1192" s="17"/>
      <c r="J1192" s="17"/>
      <c r="K1192" s="17"/>
    </row>
    <row r="1193" spans="1:11" x14ac:dyDescent="0.2">
      <c r="A1193" s="115">
        <v>46200</v>
      </c>
      <c r="B1193" s="93" t="s">
        <v>2179</v>
      </c>
      <c r="C1193" s="94" t="s">
        <v>2215</v>
      </c>
      <c r="D1193" s="95">
        <v>19.850000000000001</v>
      </c>
      <c r="E1193" s="95">
        <v>100.74</v>
      </c>
      <c r="F1193" s="96">
        <v>2000</v>
      </c>
      <c r="G1193" s="97" t="s">
        <v>256</v>
      </c>
      <c r="H1193" s="114">
        <f t="shared" si="18"/>
        <v>46174</v>
      </c>
      <c r="I1193" s="17"/>
      <c r="J1193" s="17"/>
      <c r="K1193" s="17"/>
    </row>
    <row r="1194" spans="1:11" x14ac:dyDescent="0.2">
      <c r="A1194" s="115">
        <v>46200</v>
      </c>
      <c r="B1194" s="93" t="s">
        <v>2180</v>
      </c>
      <c r="C1194" s="94" t="s">
        <v>821</v>
      </c>
      <c r="D1194" s="95">
        <v>60</v>
      </c>
      <c r="E1194" s="95">
        <v>100.74</v>
      </c>
      <c r="F1194" s="96">
        <v>6044.4</v>
      </c>
      <c r="G1194" s="97" t="s">
        <v>714</v>
      </c>
      <c r="H1194" s="114">
        <f t="shared" si="18"/>
        <v>46174</v>
      </c>
      <c r="I1194" s="17"/>
      <c r="J1194" s="17"/>
      <c r="K1194" s="17"/>
    </row>
    <row r="1195" spans="1:11" x14ac:dyDescent="0.2">
      <c r="A1195" s="115">
        <v>46200</v>
      </c>
      <c r="B1195" s="93" t="s">
        <v>2181</v>
      </c>
      <c r="C1195" s="94" t="s">
        <v>216</v>
      </c>
      <c r="D1195" s="95">
        <v>20</v>
      </c>
      <c r="E1195" s="95">
        <v>100.74</v>
      </c>
      <c r="F1195" s="96">
        <v>2014.8</v>
      </c>
      <c r="G1195" s="97" t="s">
        <v>217</v>
      </c>
      <c r="H1195" s="114">
        <f t="shared" si="18"/>
        <v>46174</v>
      </c>
      <c r="I1195" s="17"/>
      <c r="J1195" s="17"/>
      <c r="K1195" s="17"/>
    </row>
    <row r="1196" spans="1:11" x14ac:dyDescent="0.2">
      <c r="A1196" s="115">
        <v>46200</v>
      </c>
      <c r="B1196" s="93" t="s">
        <v>2182</v>
      </c>
      <c r="C1196" s="94" t="s">
        <v>2158</v>
      </c>
      <c r="D1196" s="95">
        <v>27.79</v>
      </c>
      <c r="E1196" s="95">
        <v>100.74</v>
      </c>
      <c r="F1196" s="96">
        <v>2800</v>
      </c>
      <c r="G1196" s="97" t="s">
        <v>1786</v>
      </c>
      <c r="H1196" s="114">
        <f t="shared" si="18"/>
        <v>46174</v>
      </c>
      <c r="I1196" s="17"/>
      <c r="J1196" s="17"/>
      <c r="K1196" s="17"/>
    </row>
    <row r="1197" spans="1:11" x14ac:dyDescent="0.2">
      <c r="A1197" s="115">
        <v>46200</v>
      </c>
      <c r="B1197" s="93" t="s">
        <v>2183</v>
      </c>
      <c r="C1197" s="94" t="s">
        <v>2157</v>
      </c>
      <c r="D1197" s="95">
        <v>27.79</v>
      </c>
      <c r="E1197" s="95">
        <v>100.74</v>
      </c>
      <c r="F1197" s="96">
        <v>2800</v>
      </c>
      <c r="G1197" s="102" t="s">
        <v>1786</v>
      </c>
      <c r="H1197" s="114">
        <f t="shared" si="18"/>
        <v>46174</v>
      </c>
      <c r="I1197" s="17"/>
      <c r="J1197" s="17"/>
      <c r="K1197" s="17"/>
    </row>
    <row r="1198" spans="1:11" x14ac:dyDescent="0.2">
      <c r="A1198" s="115">
        <v>46200</v>
      </c>
      <c r="B1198" s="93" t="s">
        <v>2184</v>
      </c>
      <c r="C1198" s="94" t="s">
        <v>1968</v>
      </c>
      <c r="D1198" s="95">
        <v>27.79</v>
      </c>
      <c r="E1198" s="95">
        <v>100.74</v>
      </c>
      <c r="F1198" s="96">
        <v>2800</v>
      </c>
      <c r="G1198" s="97" t="s">
        <v>1786</v>
      </c>
      <c r="H1198" s="114">
        <f t="shared" si="18"/>
        <v>46174</v>
      </c>
      <c r="I1198" s="17"/>
      <c r="J1198" s="17"/>
      <c r="K1198" s="17"/>
    </row>
    <row r="1199" spans="1:11" x14ac:dyDescent="0.2">
      <c r="A1199" s="115">
        <v>46200</v>
      </c>
      <c r="B1199" s="93" t="s">
        <v>2185</v>
      </c>
      <c r="C1199" s="94" t="s">
        <v>1966</v>
      </c>
      <c r="D1199" s="95">
        <v>27.79</v>
      </c>
      <c r="E1199" s="95">
        <v>100.74</v>
      </c>
      <c r="F1199" s="96">
        <v>2800</v>
      </c>
      <c r="G1199" s="97" t="s">
        <v>1786</v>
      </c>
      <c r="H1199" s="114">
        <f t="shared" si="18"/>
        <v>46174</v>
      </c>
      <c r="I1199" s="17"/>
      <c r="J1199" s="17"/>
      <c r="K1199" s="17"/>
    </row>
    <row r="1200" spans="1:11" x14ac:dyDescent="0.2">
      <c r="A1200" s="115">
        <v>46200</v>
      </c>
      <c r="B1200" s="93" t="s">
        <v>2186</v>
      </c>
      <c r="C1200" s="94" t="s">
        <v>1967</v>
      </c>
      <c r="D1200" s="95">
        <v>27.79</v>
      </c>
      <c r="E1200" s="95">
        <v>100.74</v>
      </c>
      <c r="F1200" s="96">
        <v>2800</v>
      </c>
      <c r="G1200" s="97" t="s">
        <v>1786</v>
      </c>
      <c r="H1200" s="114">
        <f t="shared" si="18"/>
        <v>46174</v>
      </c>
      <c r="I1200" s="17"/>
      <c r="J1200" s="17"/>
      <c r="K1200" s="17"/>
    </row>
    <row r="1201" spans="1:11" x14ac:dyDescent="0.2">
      <c r="A1201" s="115">
        <v>46200</v>
      </c>
      <c r="B1201" s="93" t="s">
        <v>2187</v>
      </c>
      <c r="C1201" s="94" t="s">
        <v>2017</v>
      </c>
      <c r="D1201" s="95">
        <v>24.82</v>
      </c>
      <c r="E1201" s="95">
        <v>100.74</v>
      </c>
      <c r="F1201" s="96">
        <v>2500</v>
      </c>
      <c r="G1201" s="97" t="s">
        <v>1786</v>
      </c>
      <c r="H1201" s="114">
        <f t="shared" si="18"/>
        <v>46174</v>
      </c>
      <c r="I1201" s="17"/>
      <c r="J1201" s="17"/>
      <c r="K1201" s="17"/>
    </row>
    <row r="1202" spans="1:11" x14ac:dyDescent="0.2">
      <c r="A1202" s="115">
        <v>46200</v>
      </c>
      <c r="B1202" s="93" t="s">
        <v>2188</v>
      </c>
      <c r="C1202" s="94" t="s">
        <v>2156</v>
      </c>
      <c r="D1202" s="95">
        <v>24.82</v>
      </c>
      <c r="E1202" s="95">
        <v>100.74</v>
      </c>
      <c r="F1202" s="96">
        <v>2500</v>
      </c>
      <c r="G1202" s="97" t="s">
        <v>1786</v>
      </c>
      <c r="H1202" s="114">
        <f t="shared" si="18"/>
        <v>46174</v>
      </c>
      <c r="I1202" s="17"/>
      <c r="J1202" s="17"/>
      <c r="K1202" s="17"/>
    </row>
    <row r="1203" spans="1:11" x14ac:dyDescent="0.2">
      <c r="A1203" s="115">
        <v>46200</v>
      </c>
      <c r="B1203" s="93" t="s">
        <v>2189</v>
      </c>
      <c r="C1203" s="94" t="s">
        <v>2020</v>
      </c>
      <c r="D1203" s="95">
        <v>24.82</v>
      </c>
      <c r="E1203" s="95">
        <v>100.74</v>
      </c>
      <c r="F1203" s="96">
        <v>2500</v>
      </c>
      <c r="G1203" s="97" t="s">
        <v>1786</v>
      </c>
      <c r="H1203" s="114">
        <f t="shared" si="18"/>
        <v>46174</v>
      </c>
      <c r="I1203" s="17"/>
      <c r="J1203" s="17"/>
      <c r="K1203" s="17"/>
    </row>
    <row r="1204" spans="1:11" x14ac:dyDescent="0.2">
      <c r="A1204" s="115">
        <v>46200</v>
      </c>
      <c r="B1204" s="93" t="s">
        <v>2190</v>
      </c>
      <c r="C1204" s="94" t="s">
        <v>2014</v>
      </c>
      <c r="D1204" s="95">
        <v>24.82</v>
      </c>
      <c r="E1204" s="95">
        <v>100.74</v>
      </c>
      <c r="F1204" s="96">
        <v>2500</v>
      </c>
      <c r="G1204" s="97" t="s">
        <v>1786</v>
      </c>
      <c r="H1204" s="114">
        <f t="shared" si="18"/>
        <v>46174</v>
      </c>
      <c r="I1204" s="17"/>
      <c r="J1204" s="17"/>
      <c r="K1204" s="17"/>
    </row>
    <row r="1205" spans="1:11" x14ac:dyDescent="0.2">
      <c r="A1205" s="115">
        <v>46200</v>
      </c>
      <c r="B1205" s="93" t="s">
        <v>2191</v>
      </c>
      <c r="C1205" s="94" t="s">
        <v>1945</v>
      </c>
      <c r="D1205" s="95">
        <v>24.82</v>
      </c>
      <c r="E1205" s="95">
        <v>100.74</v>
      </c>
      <c r="F1205" s="96">
        <v>2500</v>
      </c>
      <c r="G1205" s="97" t="s">
        <v>1786</v>
      </c>
      <c r="H1205" s="114">
        <f t="shared" si="18"/>
        <v>46174</v>
      </c>
      <c r="I1205" s="17"/>
      <c r="J1205" s="17"/>
      <c r="K1205" s="17"/>
    </row>
    <row r="1206" spans="1:11" x14ac:dyDescent="0.2">
      <c r="A1206" s="115">
        <v>46200</v>
      </c>
      <c r="B1206" s="93" t="s">
        <v>2192</v>
      </c>
      <c r="C1206" s="94" t="s">
        <v>2021</v>
      </c>
      <c r="D1206" s="95">
        <v>24.82</v>
      </c>
      <c r="E1206" s="95">
        <v>100.74</v>
      </c>
      <c r="F1206" s="96">
        <v>2500</v>
      </c>
      <c r="G1206" s="97" t="s">
        <v>1786</v>
      </c>
      <c r="H1206" s="114">
        <f t="shared" si="18"/>
        <v>46174</v>
      </c>
      <c r="I1206" s="17"/>
      <c r="J1206" s="17"/>
      <c r="K1206" s="17"/>
    </row>
    <row r="1207" spans="1:11" x14ac:dyDescent="0.2">
      <c r="A1207" s="115">
        <v>46200</v>
      </c>
      <c r="B1207" s="93" t="s">
        <v>2193</v>
      </c>
      <c r="C1207" s="94" t="s">
        <v>2022</v>
      </c>
      <c r="D1207" s="95">
        <v>24.82</v>
      </c>
      <c r="E1207" s="95">
        <v>100.74</v>
      </c>
      <c r="F1207" s="96">
        <v>2500</v>
      </c>
      <c r="G1207" s="97" t="s">
        <v>1786</v>
      </c>
      <c r="H1207" s="114">
        <f t="shared" si="18"/>
        <v>46174</v>
      </c>
      <c r="I1207" s="17"/>
      <c r="J1207" s="17"/>
      <c r="K1207" s="17"/>
    </row>
    <row r="1208" spans="1:11" x14ac:dyDescent="0.2">
      <c r="A1208" s="115">
        <v>46200</v>
      </c>
      <c r="B1208" s="93" t="s">
        <v>2194</v>
      </c>
      <c r="C1208" s="94" t="s">
        <v>1785</v>
      </c>
      <c r="D1208" s="95">
        <v>24.82</v>
      </c>
      <c r="E1208" s="95">
        <v>100.74</v>
      </c>
      <c r="F1208" s="96">
        <v>2500</v>
      </c>
      <c r="G1208" s="97" t="s">
        <v>1786</v>
      </c>
      <c r="H1208" s="114">
        <f t="shared" si="18"/>
        <v>46174</v>
      </c>
      <c r="I1208" s="17"/>
      <c r="J1208" s="17"/>
      <c r="K1208" s="17"/>
    </row>
    <row r="1209" spans="1:11" x14ac:dyDescent="0.2">
      <c r="A1209" s="115">
        <v>46200</v>
      </c>
      <c r="B1209" s="93" t="s">
        <v>2195</v>
      </c>
      <c r="C1209" s="94" t="s">
        <v>2155</v>
      </c>
      <c r="D1209" s="95">
        <v>24.82</v>
      </c>
      <c r="E1209" s="95">
        <v>100.74</v>
      </c>
      <c r="F1209" s="96">
        <v>2500</v>
      </c>
      <c r="G1209" s="97" t="s">
        <v>1786</v>
      </c>
      <c r="H1209" s="114">
        <f t="shared" si="18"/>
        <v>46174</v>
      </c>
      <c r="I1209" s="17"/>
      <c r="J1209" s="17"/>
      <c r="K1209" s="17"/>
    </row>
    <row r="1210" spans="1:11" x14ac:dyDescent="0.2">
      <c r="A1210" s="115">
        <v>46200</v>
      </c>
      <c r="B1210" s="93" t="s">
        <v>2196</v>
      </c>
      <c r="C1210" s="94" t="s">
        <v>2154</v>
      </c>
      <c r="D1210" s="95">
        <v>24.82</v>
      </c>
      <c r="E1210" s="95">
        <v>100.74</v>
      </c>
      <c r="F1210" s="96">
        <v>2500</v>
      </c>
      <c r="G1210" s="97" t="s">
        <v>1786</v>
      </c>
      <c r="H1210" s="114">
        <f t="shared" si="18"/>
        <v>46174</v>
      </c>
      <c r="I1210" s="17"/>
      <c r="J1210" s="17"/>
      <c r="K1210" s="17"/>
    </row>
    <row r="1211" spans="1:11" x14ac:dyDescent="0.2">
      <c r="A1211" s="115">
        <v>46200</v>
      </c>
      <c r="B1211" s="93" t="s">
        <v>2197</v>
      </c>
      <c r="C1211" s="94" t="s">
        <v>1946</v>
      </c>
      <c r="D1211" s="95">
        <v>24.82</v>
      </c>
      <c r="E1211" s="95">
        <v>100.74</v>
      </c>
      <c r="F1211" s="96">
        <v>2500</v>
      </c>
      <c r="G1211" s="97" t="s">
        <v>1786</v>
      </c>
      <c r="H1211" s="114">
        <f t="shared" si="18"/>
        <v>46174</v>
      </c>
      <c r="I1211" s="17"/>
      <c r="J1211" s="17"/>
      <c r="K1211" s="17"/>
    </row>
    <row r="1212" spans="1:11" x14ac:dyDescent="0.2">
      <c r="A1212" s="115">
        <v>46200</v>
      </c>
      <c r="B1212" s="93" t="s">
        <v>2198</v>
      </c>
      <c r="C1212" s="94" t="s">
        <v>2013</v>
      </c>
      <c r="D1212" s="95">
        <v>24.82</v>
      </c>
      <c r="E1212" s="95">
        <v>100.74</v>
      </c>
      <c r="F1212" s="96">
        <v>2500</v>
      </c>
      <c r="G1212" s="97" t="s">
        <v>1786</v>
      </c>
      <c r="H1212" s="114">
        <f t="shared" si="18"/>
        <v>46174</v>
      </c>
      <c r="I1212" s="17"/>
      <c r="J1212" s="17"/>
      <c r="K1212" s="17"/>
    </row>
    <row r="1213" spans="1:11" x14ac:dyDescent="0.2">
      <c r="A1213" s="115">
        <v>46200</v>
      </c>
      <c r="B1213" s="93" t="s">
        <v>2199</v>
      </c>
      <c r="C1213" s="94" t="s">
        <v>2018</v>
      </c>
      <c r="D1213" s="95">
        <v>24.82</v>
      </c>
      <c r="E1213" s="95">
        <v>100.74</v>
      </c>
      <c r="F1213" s="96">
        <v>2500</v>
      </c>
      <c r="G1213" s="97" t="s">
        <v>1786</v>
      </c>
      <c r="H1213" s="114">
        <f t="shared" si="18"/>
        <v>46174</v>
      </c>
      <c r="I1213" s="17"/>
      <c r="J1213" s="17"/>
      <c r="K1213" s="17"/>
    </row>
    <row r="1214" spans="1:11" x14ac:dyDescent="0.2">
      <c r="A1214" s="115">
        <v>46200</v>
      </c>
      <c r="B1214" s="93" t="s">
        <v>2200</v>
      </c>
      <c r="C1214" s="94" t="s">
        <v>1950</v>
      </c>
      <c r="D1214" s="95">
        <v>24.82</v>
      </c>
      <c r="E1214" s="95">
        <v>100.74</v>
      </c>
      <c r="F1214" s="96">
        <v>2500</v>
      </c>
      <c r="G1214" s="97" t="s">
        <v>1786</v>
      </c>
      <c r="H1214" s="114">
        <f t="shared" si="18"/>
        <v>46174</v>
      </c>
      <c r="I1214" s="17"/>
      <c r="J1214" s="17"/>
      <c r="K1214" s="17"/>
    </row>
    <row r="1215" spans="1:11" x14ac:dyDescent="0.2">
      <c r="A1215" s="115">
        <v>46200</v>
      </c>
      <c r="B1215" s="93" t="s">
        <v>2201</v>
      </c>
      <c r="C1215" s="94" t="s">
        <v>1951</v>
      </c>
      <c r="D1215" s="95">
        <v>24.82</v>
      </c>
      <c r="E1215" s="95">
        <v>100.74</v>
      </c>
      <c r="F1215" s="96">
        <v>2500</v>
      </c>
      <c r="G1215" s="97" t="s">
        <v>1786</v>
      </c>
      <c r="H1215" s="114">
        <f t="shared" si="18"/>
        <v>46174</v>
      </c>
      <c r="I1215" s="17"/>
      <c r="J1215" s="17"/>
      <c r="K1215" s="17"/>
    </row>
    <row r="1216" spans="1:11" x14ac:dyDescent="0.2">
      <c r="A1216" s="115">
        <v>46200</v>
      </c>
      <c r="B1216" s="93" t="s">
        <v>2202</v>
      </c>
      <c r="C1216" s="94" t="s">
        <v>1952</v>
      </c>
      <c r="D1216" s="95">
        <v>24.82</v>
      </c>
      <c r="E1216" s="95">
        <v>100.74</v>
      </c>
      <c r="F1216" s="96">
        <v>2500</v>
      </c>
      <c r="G1216" s="97" t="s">
        <v>1786</v>
      </c>
      <c r="H1216" s="114">
        <f t="shared" si="18"/>
        <v>46174</v>
      </c>
      <c r="I1216" s="17"/>
      <c r="J1216" s="17"/>
      <c r="K1216" s="17"/>
    </row>
    <row r="1217" spans="1:11" x14ac:dyDescent="0.2">
      <c r="A1217" s="115">
        <v>46200</v>
      </c>
      <c r="B1217" s="93" t="s">
        <v>2203</v>
      </c>
      <c r="C1217" s="94" t="s">
        <v>1944</v>
      </c>
      <c r="D1217" s="95">
        <v>24.82</v>
      </c>
      <c r="E1217" s="95">
        <v>100.74</v>
      </c>
      <c r="F1217" s="96">
        <v>2500</v>
      </c>
      <c r="G1217" s="97" t="s">
        <v>1786</v>
      </c>
      <c r="H1217" s="114">
        <f t="shared" si="18"/>
        <v>46174</v>
      </c>
      <c r="I1217" s="17"/>
      <c r="J1217" s="17"/>
      <c r="K1217" s="17"/>
    </row>
    <row r="1218" spans="1:11" x14ac:dyDescent="0.2">
      <c r="A1218" s="115">
        <v>46200</v>
      </c>
      <c r="B1218" s="93" t="s">
        <v>2204</v>
      </c>
      <c r="C1218" s="94" t="s">
        <v>1947</v>
      </c>
      <c r="D1218" s="95">
        <v>24.82</v>
      </c>
      <c r="E1218" s="95">
        <v>100.74</v>
      </c>
      <c r="F1218" s="96">
        <v>2500</v>
      </c>
      <c r="G1218" s="97" t="s">
        <v>1786</v>
      </c>
      <c r="H1218" s="114">
        <f t="shared" si="18"/>
        <v>46174</v>
      </c>
      <c r="I1218" s="17"/>
      <c r="J1218" s="17"/>
      <c r="K1218" s="17"/>
    </row>
    <row r="1219" spans="1:11" x14ac:dyDescent="0.2">
      <c r="A1219" s="115">
        <v>46200</v>
      </c>
      <c r="B1219" s="93" t="s">
        <v>2205</v>
      </c>
      <c r="C1219" s="94" t="s">
        <v>2216</v>
      </c>
      <c r="D1219" s="95">
        <v>24.82</v>
      </c>
      <c r="E1219" s="95">
        <v>100.74</v>
      </c>
      <c r="F1219" s="96">
        <v>2500</v>
      </c>
      <c r="G1219" s="97" t="s">
        <v>1786</v>
      </c>
      <c r="H1219" s="114">
        <f t="shared" si="18"/>
        <v>46174</v>
      </c>
      <c r="I1219" s="17"/>
      <c r="J1219" s="17"/>
      <c r="K1219" s="17"/>
    </row>
    <row r="1220" spans="1:11" x14ac:dyDescent="0.2">
      <c r="A1220" s="115">
        <v>46200</v>
      </c>
      <c r="B1220" s="93" t="s">
        <v>2206</v>
      </c>
      <c r="C1220" s="94" t="s">
        <v>1965</v>
      </c>
      <c r="D1220" s="95">
        <v>21.84</v>
      </c>
      <c r="E1220" s="95">
        <v>100.74</v>
      </c>
      <c r="F1220" s="96">
        <v>2200</v>
      </c>
      <c r="G1220" s="97" t="s">
        <v>1786</v>
      </c>
      <c r="H1220" s="114">
        <f t="shared" ref="H1220:H1283" si="19">IF(A1220&lt;&gt;"", EOMONTH(A1220, -1) + 1, "")</f>
        <v>46174</v>
      </c>
      <c r="I1220" s="17"/>
      <c r="J1220" s="17"/>
      <c r="K1220" s="17"/>
    </row>
    <row r="1221" spans="1:11" x14ac:dyDescent="0.2">
      <c r="A1221" s="115">
        <v>46200</v>
      </c>
      <c r="B1221" s="93" t="s">
        <v>2207</v>
      </c>
      <c r="C1221" s="94" t="s">
        <v>2217</v>
      </c>
      <c r="D1221" s="95">
        <v>24.82</v>
      </c>
      <c r="E1221" s="95">
        <v>100.74</v>
      </c>
      <c r="F1221" s="96">
        <v>2500</v>
      </c>
      <c r="G1221" s="97" t="s">
        <v>1786</v>
      </c>
      <c r="H1221" s="114">
        <f t="shared" si="19"/>
        <v>46174</v>
      </c>
      <c r="I1221" s="17"/>
      <c r="J1221" s="17"/>
      <c r="K1221" s="17"/>
    </row>
    <row r="1222" spans="1:11" x14ac:dyDescent="0.2">
      <c r="A1222" s="115">
        <v>46200</v>
      </c>
      <c r="B1222" s="93" t="s">
        <v>2208</v>
      </c>
      <c r="C1222" s="94" t="s">
        <v>2015</v>
      </c>
      <c r="D1222" s="95">
        <v>24.82</v>
      </c>
      <c r="E1222" s="95">
        <v>100.74</v>
      </c>
      <c r="F1222" s="96">
        <v>2500</v>
      </c>
      <c r="G1222" s="97" t="s">
        <v>1786</v>
      </c>
      <c r="H1222" s="114">
        <f t="shared" si="19"/>
        <v>46174</v>
      </c>
      <c r="I1222" s="17"/>
      <c r="J1222" s="17"/>
      <c r="K1222" s="17"/>
    </row>
    <row r="1223" spans="1:11" x14ac:dyDescent="0.2">
      <c r="A1223" s="115">
        <v>46200</v>
      </c>
      <c r="B1223" s="93" t="s">
        <v>2209</v>
      </c>
      <c r="C1223" s="94" t="s">
        <v>2152</v>
      </c>
      <c r="D1223" s="95">
        <v>24.82</v>
      </c>
      <c r="E1223" s="95">
        <v>100.74</v>
      </c>
      <c r="F1223" s="96">
        <v>2500</v>
      </c>
      <c r="G1223" s="97" t="s">
        <v>1786</v>
      </c>
      <c r="H1223" s="114">
        <f t="shared" si="19"/>
        <v>46174</v>
      </c>
      <c r="I1223" s="17"/>
      <c r="J1223" s="17"/>
      <c r="K1223" s="17"/>
    </row>
    <row r="1224" spans="1:11" x14ac:dyDescent="0.2">
      <c r="A1224" s="115">
        <v>46200</v>
      </c>
      <c r="B1224" s="93" t="s">
        <v>2210</v>
      </c>
      <c r="C1224" s="94" t="s">
        <v>2019</v>
      </c>
      <c r="D1224" s="95">
        <v>24.82</v>
      </c>
      <c r="E1224" s="95">
        <v>100.74</v>
      </c>
      <c r="F1224" s="96">
        <v>2500</v>
      </c>
      <c r="G1224" s="97" t="s">
        <v>1786</v>
      </c>
      <c r="H1224" s="114">
        <f t="shared" si="19"/>
        <v>46174</v>
      </c>
      <c r="I1224" s="17"/>
      <c r="J1224" s="17"/>
      <c r="K1224" s="17"/>
    </row>
    <row r="1225" spans="1:11" x14ac:dyDescent="0.2">
      <c r="A1225" s="115">
        <v>46200</v>
      </c>
      <c r="B1225" s="93" t="s">
        <v>2211</v>
      </c>
      <c r="C1225" s="94" t="s">
        <v>526</v>
      </c>
      <c r="D1225" s="95">
        <v>4588.05</v>
      </c>
      <c r="E1225" s="95">
        <v>100.74</v>
      </c>
      <c r="F1225" s="96">
        <v>462200</v>
      </c>
      <c r="G1225" s="97" t="s">
        <v>58</v>
      </c>
      <c r="H1225" s="114">
        <f t="shared" si="19"/>
        <v>46174</v>
      </c>
      <c r="I1225" s="17"/>
      <c r="J1225" s="17"/>
      <c r="K1225" s="17"/>
    </row>
    <row r="1226" spans="1:11" x14ac:dyDescent="0.2">
      <c r="A1226" s="115">
        <v>46200</v>
      </c>
      <c r="B1226" s="93" t="s">
        <v>2212</v>
      </c>
      <c r="C1226" s="94" t="s">
        <v>13</v>
      </c>
      <c r="D1226" s="95">
        <v>506.25</v>
      </c>
      <c r="E1226" s="95">
        <v>100.74</v>
      </c>
      <c r="F1226" s="96">
        <v>51000</v>
      </c>
      <c r="G1226" s="97" t="s">
        <v>152</v>
      </c>
      <c r="H1226" s="114">
        <f t="shared" si="19"/>
        <v>46174</v>
      </c>
      <c r="I1226" s="17"/>
      <c r="J1226" s="17"/>
      <c r="K1226" s="17"/>
    </row>
    <row r="1227" spans="1:11" x14ac:dyDescent="0.2">
      <c r="A1227" s="115">
        <v>46200</v>
      </c>
      <c r="B1227" s="93" t="s">
        <v>2213</v>
      </c>
      <c r="C1227" s="94" t="s">
        <v>50</v>
      </c>
      <c r="D1227" s="95">
        <v>3000.38</v>
      </c>
      <c r="E1227" s="95">
        <v>100.74</v>
      </c>
      <c r="F1227" s="96">
        <v>302258.28000000003</v>
      </c>
      <c r="G1227" s="97" t="s">
        <v>96</v>
      </c>
      <c r="H1227" s="114">
        <f t="shared" si="19"/>
        <v>46174</v>
      </c>
      <c r="I1227" s="17"/>
      <c r="J1227" s="17"/>
      <c r="K1227" s="17"/>
    </row>
    <row r="1228" spans="1:11" x14ac:dyDescent="0.2">
      <c r="A1228" s="115">
        <v>46200</v>
      </c>
      <c r="B1228" s="93" t="s">
        <v>2214</v>
      </c>
      <c r="C1228" s="94" t="s">
        <v>50</v>
      </c>
      <c r="D1228" s="95">
        <v>3000</v>
      </c>
      <c r="E1228" s="95">
        <v>100.74</v>
      </c>
      <c r="F1228" s="96">
        <v>302220</v>
      </c>
      <c r="G1228" s="97" t="s">
        <v>59</v>
      </c>
      <c r="H1228" s="114">
        <f t="shared" si="19"/>
        <v>46174</v>
      </c>
      <c r="I1228" s="17"/>
      <c r="J1228" s="17"/>
      <c r="K1228" s="17"/>
    </row>
    <row r="1229" spans="1:11" x14ac:dyDescent="0.2">
      <c r="A1229" s="115">
        <v>46201</v>
      </c>
      <c r="B1229" s="93" t="s">
        <v>2310</v>
      </c>
      <c r="C1229" s="94" t="s">
        <v>1696</v>
      </c>
      <c r="D1229" s="95">
        <v>36.590000000000003</v>
      </c>
      <c r="E1229" s="95">
        <v>100.74</v>
      </c>
      <c r="F1229" s="96">
        <v>3686.07</v>
      </c>
      <c r="G1229" s="97" t="s">
        <v>1646</v>
      </c>
      <c r="H1229" s="114">
        <f t="shared" si="19"/>
        <v>46174</v>
      </c>
      <c r="I1229" s="17"/>
      <c r="J1229" s="17"/>
      <c r="K1229" s="17"/>
    </row>
    <row r="1230" spans="1:11" x14ac:dyDescent="0.2">
      <c r="A1230" s="115">
        <v>46201</v>
      </c>
      <c r="B1230" s="93" t="s">
        <v>2311</v>
      </c>
      <c r="C1230" s="94" t="s">
        <v>1601</v>
      </c>
      <c r="D1230" s="95">
        <v>37.03</v>
      </c>
      <c r="E1230" s="95">
        <v>100.74</v>
      </c>
      <c r="F1230" s="96">
        <v>3730.4</v>
      </c>
      <c r="G1230" s="97" t="s">
        <v>1646</v>
      </c>
      <c r="H1230" s="114">
        <f t="shared" si="19"/>
        <v>46174</v>
      </c>
      <c r="I1230" s="17"/>
      <c r="J1230" s="17"/>
      <c r="K1230" s="17"/>
    </row>
    <row r="1231" spans="1:11" x14ac:dyDescent="0.2">
      <c r="A1231" s="115">
        <v>46201</v>
      </c>
      <c r="B1231" s="93" t="s">
        <v>2312</v>
      </c>
      <c r="C1231" s="94" t="s">
        <v>1642</v>
      </c>
      <c r="D1231" s="95">
        <v>29.69</v>
      </c>
      <c r="E1231" s="95">
        <v>100.74</v>
      </c>
      <c r="F1231" s="96">
        <v>2990.97</v>
      </c>
      <c r="G1231" s="97" t="s">
        <v>1646</v>
      </c>
      <c r="H1231" s="114">
        <f t="shared" si="19"/>
        <v>46174</v>
      </c>
      <c r="I1231" s="17"/>
      <c r="J1231" s="17"/>
      <c r="K1231" s="17"/>
    </row>
    <row r="1232" spans="1:11" x14ac:dyDescent="0.2">
      <c r="A1232" s="115">
        <v>46201</v>
      </c>
      <c r="B1232" s="93" t="s">
        <v>2313</v>
      </c>
      <c r="C1232" s="94" t="s">
        <v>1157</v>
      </c>
      <c r="D1232" s="95">
        <v>82.54</v>
      </c>
      <c r="E1232" s="95">
        <v>100.74</v>
      </c>
      <c r="F1232" s="96">
        <v>8315.07</v>
      </c>
      <c r="G1232" s="97" t="s">
        <v>714</v>
      </c>
      <c r="H1232" s="114">
        <f t="shared" si="19"/>
        <v>46174</v>
      </c>
      <c r="I1232" s="17"/>
      <c r="J1232" s="17"/>
      <c r="K1232" s="17"/>
    </row>
    <row r="1233" spans="1:11" x14ac:dyDescent="0.2">
      <c r="A1233" s="115">
        <v>46201</v>
      </c>
      <c r="B1233" s="93" t="s">
        <v>2314</v>
      </c>
      <c r="C1233" s="94" t="s">
        <v>1274</v>
      </c>
      <c r="D1233" s="95">
        <v>20</v>
      </c>
      <c r="E1233" s="95">
        <v>100.74</v>
      </c>
      <c r="F1233" s="96">
        <v>2014.8</v>
      </c>
      <c r="G1233" s="97" t="s">
        <v>256</v>
      </c>
      <c r="H1233" s="114">
        <f t="shared" si="19"/>
        <v>46174</v>
      </c>
      <c r="I1233" s="17"/>
      <c r="J1233" s="17"/>
      <c r="K1233" s="17"/>
    </row>
    <row r="1234" spans="1:11" x14ac:dyDescent="0.2">
      <c r="A1234" s="115">
        <v>46201</v>
      </c>
      <c r="B1234" s="93" t="s">
        <v>2315</v>
      </c>
      <c r="C1234" s="94" t="s">
        <v>1320</v>
      </c>
      <c r="D1234" s="95">
        <v>30</v>
      </c>
      <c r="E1234" s="95">
        <v>100.74</v>
      </c>
      <c r="F1234" s="96">
        <v>3022.2</v>
      </c>
      <c r="G1234" s="97" t="s">
        <v>256</v>
      </c>
      <c r="H1234" s="114">
        <f t="shared" si="19"/>
        <v>46174</v>
      </c>
      <c r="I1234" s="17"/>
      <c r="J1234" s="17"/>
      <c r="K1234" s="17"/>
    </row>
    <row r="1235" spans="1:11" x14ac:dyDescent="0.2">
      <c r="A1235" s="115">
        <v>46201</v>
      </c>
      <c r="B1235" s="93" t="s">
        <v>2316</v>
      </c>
      <c r="C1235" s="94" t="s">
        <v>2321</v>
      </c>
      <c r="D1235" s="95">
        <v>47.93</v>
      </c>
      <c r="E1235" s="95">
        <v>100.74</v>
      </c>
      <c r="F1235" s="96">
        <v>4828.46</v>
      </c>
      <c r="G1235" s="97" t="s">
        <v>256</v>
      </c>
      <c r="H1235" s="114">
        <f t="shared" si="19"/>
        <v>46174</v>
      </c>
      <c r="I1235" s="17"/>
      <c r="J1235" s="17"/>
      <c r="K1235" s="17"/>
    </row>
    <row r="1236" spans="1:11" x14ac:dyDescent="0.2">
      <c r="A1236" s="115">
        <v>46201</v>
      </c>
      <c r="B1236" s="93" t="s">
        <v>2317</v>
      </c>
      <c r="C1236" s="94" t="s">
        <v>2322</v>
      </c>
      <c r="D1236" s="95">
        <v>39.14</v>
      </c>
      <c r="E1236" s="95">
        <v>100.74</v>
      </c>
      <c r="F1236" s="96">
        <v>3942.96</v>
      </c>
      <c r="G1236" s="97" t="s">
        <v>256</v>
      </c>
      <c r="H1236" s="114">
        <f t="shared" si="19"/>
        <v>46174</v>
      </c>
      <c r="I1236" s="17"/>
      <c r="J1236" s="17"/>
      <c r="K1236" s="17"/>
    </row>
    <row r="1237" spans="1:11" x14ac:dyDescent="0.2">
      <c r="A1237" s="115">
        <v>46201</v>
      </c>
      <c r="B1237" s="93" t="s">
        <v>2318</v>
      </c>
      <c r="C1237" s="94" t="s">
        <v>526</v>
      </c>
      <c r="D1237" s="95">
        <v>4851.1000000000004</v>
      </c>
      <c r="E1237" s="95">
        <v>100.74</v>
      </c>
      <c r="F1237" s="96">
        <v>488700</v>
      </c>
      <c r="G1237" s="97" t="s">
        <v>58</v>
      </c>
      <c r="H1237" s="114">
        <f t="shared" si="19"/>
        <v>46174</v>
      </c>
      <c r="I1237" s="17"/>
      <c r="J1237" s="17"/>
      <c r="K1237" s="17"/>
    </row>
    <row r="1238" spans="1:11" x14ac:dyDescent="0.2">
      <c r="A1238" s="115">
        <v>46201</v>
      </c>
      <c r="B1238" s="93" t="s">
        <v>2319</v>
      </c>
      <c r="C1238" s="94" t="s">
        <v>13</v>
      </c>
      <c r="D1238" s="95">
        <v>536.03</v>
      </c>
      <c r="E1238" s="95">
        <v>100.74</v>
      </c>
      <c r="F1238" s="96">
        <v>54000</v>
      </c>
      <c r="G1238" s="97" t="s">
        <v>152</v>
      </c>
      <c r="H1238" s="114">
        <f t="shared" si="19"/>
        <v>46174</v>
      </c>
      <c r="I1238" s="17"/>
      <c r="J1238" s="17"/>
      <c r="K1238" s="17"/>
    </row>
    <row r="1239" spans="1:11" x14ac:dyDescent="0.2">
      <c r="A1239" s="115">
        <v>46201</v>
      </c>
      <c r="B1239" s="93" t="s">
        <v>2320</v>
      </c>
      <c r="C1239" s="94" t="s">
        <v>50</v>
      </c>
      <c r="D1239" s="95">
        <v>2000</v>
      </c>
      <c r="E1239" s="95">
        <v>100.74</v>
      </c>
      <c r="F1239" s="96">
        <v>201480</v>
      </c>
      <c r="G1239" s="97" t="s">
        <v>901</v>
      </c>
      <c r="H1239" s="114">
        <f t="shared" si="19"/>
        <v>46174</v>
      </c>
      <c r="I1239" s="17"/>
      <c r="J1239" s="17"/>
      <c r="K1239" s="17"/>
    </row>
    <row r="1240" spans="1:11" x14ac:dyDescent="0.2">
      <c r="A1240" s="115">
        <v>46202</v>
      </c>
      <c r="B1240" s="93" t="s">
        <v>2325</v>
      </c>
      <c r="C1240" s="94" t="s">
        <v>42</v>
      </c>
      <c r="D1240" s="95">
        <v>12000</v>
      </c>
      <c r="E1240" s="95">
        <v>100.74</v>
      </c>
      <c r="F1240" s="96">
        <v>1208880</v>
      </c>
      <c r="G1240" s="97" t="s">
        <v>143</v>
      </c>
      <c r="H1240" s="114">
        <f t="shared" si="19"/>
        <v>46174</v>
      </c>
      <c r="I1240" s="17"/>
      <c r="J1240" s="17"/>
      <c r="K1240" s="17"/>
    </row>
    <row r="1241" spans="1:11" x14ac:dyDescent="0.2">
      <c r="A1241" s="115">
        <v>46202</v>
      </c>
      <c r="B1241" s="93" t="s">
        <v>2326</v>
      </c>
      <c r="C1241" s="94" t="s">
        <v>526</v>
      </c>
      <c r="D1241" s="95">
        <v>4715.1099999999997</v>
      </c>
      <c r="E1241" s="95">
        <v>100.74</v>
      </c>
      <c r="F1241" s="96">
        <v>475000</v>
      </c>
      <c r="G1241" s="97" t="s">
        <v>58</v>
      </c>
      <c r="H1241" s="114">
        <f t="shared" si="19"/>
        <v>46174</v>
      </c>
      <c r="I1241" s="17"/>
      <c r="J1241" s="17"/>
      <c r="K1241" s="17"/>
    </row>
    <row r="1242" spans="1:11" x14ac:dyDescent="0.2">
      <c r="A1242" s="115">
        <v>46202</v>
      </c>
      <c r="B1242" s="93" t="s">
        <v>2327</v>
      </c>
      <c r="C1242" s="94" t="s">
        <v>13</v>
      </c>
      <c r="D1242" s="95">
        <v>550.91999999999996</v>
      </c>
      <c r="E1242" s="95">
        <v>100.74</v>
      </c>
      <c r="F1242" s="96">
        <v>55500</v>
      </c>
      <c r="G1242" s="97" t="s">
        <v>152</v>
      </c>
      <c r="H1242" s="114">
        <f t="shared" si="19"/>
        <v>46174</v>
      </c>
      <c r="I1242" s="17"/>
      <c r="J1242" s="17"/>
      <c r="K1242" s="17"/>
    </row>
    <row r="1243" spans="1:11" x14ac:dyDescent="0.2">
      <c r="A1243" s="115">
        <v>46202</v>
      </c>
      <c r="B1243" s="93" t="s">
        <v>2328</v>
      </c>
      <c r="C1243" s="94" t="s">
        <v>50</v>
      </c>
      <c r="D1243" s="95">
        <v>1499.64</v>
      </c>
      <c r="E1243" s="95">
        <v>100.74</v>
      </c>
      <c r="F1243" s="96">
        <v>151073.73000000001</v>
      </c>
      <c r="G1243" s="97" t="s">
        <v>96</v>
      </c>
      <c r="H1243" s="114">
        <f t="shared" si="19"/>
        <v>46174</v>
      </c>
      <c r="I1243" s="17"/>
      <c r="J1243" s="17"/>
      <c r="K1243" s="17"/>
    </row>
    <row r="1244" spans="1:11" x14ac:dyDescent="0.2">
      <c r="A1244" s="115">
        <v>46202</v>
      </c>
      <c r="B1244" s="93" t="s">
        <v>2329</v>
      </c>
      <c r="C1244" s="94" t="s">
        <v>2151</v>
      </c>
      <c r="D1244" s="95">
        <v>400</v>
      </c>
      <c r="E1244" s="95">
        <v>100.74</v>
      </c>
      <c r="F1244" s="96">
        <v>40296</v>
      </c>
      <c r="G1244" s="97" t="s">
        <v>1483</v>
      </c>
      <c r="H1244" s="114">
        <f t="shared" si="19"/>
        <v>46174</v>
      </c>
      <c r="I1244" s="17"/>
      <c r="J1244" s="17"/>
      <c r="K1244" s="17"/>
    </row>
    <row r="1245" spans="1:11" x14ac:dyDescent="0.2">
      <c r="A1245" s="115">
        <v>46202</v>
      </c>
      <c r="B1245" s="93" t="s">
        <v>2330</v>
      </c>
      <c r="C1245" s="94" t="s">
        <v>821</v>
      </c>
      <c r="D1245" s="95">
        <v>39.71</v>
      </c>
      <c r="E1245" s="95">
        <v>100.74</v>
      </c>
      <c r="F1245" s="96">
        <v>4000</v>
      </c>
      <c r="G1245" s="97" t="s">
        <v>714</v>
      </c>
      <c r="H1245" s="114">
        <f t="shared" si="19"/>
        <v>46174</v>
      </c>
      <c r="I1245" s="17"/>
      <c r="J1245" s="17"/>
      <c r="K1245" s="17"/>
    </row>
    <row r="1246" spans="1:11" x14ac:dyDescent="0.2">
      <c r="A1246" s="115">
        <v>46202</v>
      </c>
      <c r="B1246" s="93" t="s">
        <v>2331</v>
      </c>
      <c r="C1246" s="94" t="s">
        <v>742</v>
      </c>
      <c r="D1246" s="95">
        <v>50</v>
      </c>
      <c r="E1246" s="95">
        <v>100.74</v>
      </c>
      <c r="F1246" s="96">
        <v>5037</v>
      </c>
      <c r="G1246" s="97" t="s">
        <v>714</v>
      </c>
      <c r="H1246" s="114">
        <f t="shared" si="19"/>
        <v>46174</v>
      </c>
      <c r="I1246" s="17"/>
      <c r="J1246" s="17"/>
      <c r="K1246" s="17"/>
    </row>
    <row r="1247" spans="1:11" x14ac:dyDescent="0.2">
      <c r="A1247" s="115">
        <v>46202</v>
      </c>
      <c r="B1247" s="93" t="s">
        <v>2332</v>
      </c>
      <c r="C1247" s="94" t="s">
        <v>1663</v>
      </c>
      <c r="D1247" s="95">
        <v>30.43</v>
      </c>
      <c r="E1247" s="95">
        <v>100.74</v>
      </c>
      <c r="F1247" s="96">
        <v>3065.51</v>
      </c>
      <c r="G1247" s="97" t="s">
        <v>1646</v>
      </c>
      <c r="H1247" s="114">
        <f t="shared" si="19"/>
        <v>46174</v>
      </c>
      <c r="I1247" s="17"/>
      <c r="J1247" s="17"/>
      <c r="K1247" s="17"/>
    </row>
    <row r="1248" spans="1:11" x14ac:dyDescent="0.2">
      <c r="A1248" s="115">
        <v>46202</v>
      </c>
      <c r="B1248" s="93" t="s">
        <v>2333</v>
      </c>
      <c r="C1248" s="94" t="s">
        <v>1695</v>
      </c>
      <c r="D1248" s="95">
        <v>43.04</v>
      </c>
      <c r="E1248" s="95">
        <v>100.74</v>
      </c>
      <c r="F1248" s="96">
        <v>4335.84</v>
      </c>
      <c r="G1248" s="97" t="s">
        <v>1646</v>
      </c>
      <c r="H1248" s="114">
        <f t="shared" si="19"/>
        <v>46174</v>
      </c>
      <c r="I1248" s="17"/>
      <c r="J1248" s="17"/>
      <c r="K1248" s="17"/>
    </row>
    <row r="1249" spans="1:11" x14ac:dyDescent="0.2">
      <c r="A1249" s="115">
        <v>46203</v>
      </c>
      <c r="B1249" s="93" t="s">
        <v>2337</v>
      </c>
      <c r="C1249" s="94" t="s">
        <v>1061</v>
      </c>
      <c r="D1249" s="95">
        <v>1200</v>
      </c>
      <c r="E1249" s="95">
        <v>100.74</v>
      </c>
      <c r="F1249" s="96">
        <v>120888</v>
      </c>
      <c r="G1249" s="97" t="s">
        <v>1073</v>
      </c>
      <c r="H1249" s="114">
        <f t="shared" si="19"/>
        <v>46174</v>
      </c>
      <c r="I1249" s="17"/>
      <c r="J1249" s="17"/>
      <c r="K1249" s="17"/>
    </row>
    <row r="1250" spans="1:11" x14ac:dyDescent="0.2">
      <c r="A1250" s="115">
        <v>46203</v>
      </c>
      <c r="B1250" s="93" t="s">
        <v>2338</v>
      </c>
      <c r="C1250" s="94" t="s">
        <v>50</v>
      </c>
      <c r="D1250" s="95">
        <v>3000</v>
      </c>
      <c r="E1250" s="95">
        <v>100.74</v>
      </c>
      <c r="F1250" s="96">
        <v>302220</v>
      </c>
      <c r="G1250" s="97" t="s">
        <v>1073</v>
      </c>
      <c r="H1250" s="114">
        <f t="shared" si="19"/>
        <v>46174</v>
      </c>
      <c r="I1250" s="17"/>
      <c r="J1250" s="17"/>
      <c r="K1250" s="17"/>
    </row>
    <row r="1251" spans="1:11" x14ac:dyDescent="0.2">
      <c r="A1251" s="115">
        <v>46203</v>
      </c>
      <c r="B1251" s="93" t="s">
        <v>2339</v>
      </c>
      <c r="C1251" s="94" t="s">
        <v>2344</v>
      </c>
      <c r="D1251" s="95">
        <v>1000</v>
      </c>
      <c r="E1251" s="95">
        <v>100.74</v>
      </c>
      <c r="F1251" s="96">
        <v>100740</v>
      </c>
      <c r="G1251" s="97" t="s">
        <v>59</v>
      </c>
      <c r="H1251" s="114">
        <f t="shared" si="19"/>
        <v>46174</v>
      </c>
      <c r="I1251" s="17"/>
      <c r="J1251" s="17"/>
      <c r="K1251" s="17"/>
    </row>
    <row r="1252" spans="1:11" x14ac:dyDescent="0.2">
      <c r="A1252" s="115">
        <v>46203</v>
      </c>
      <c r="B1252" s="93" t="s">
        <v>2340</v>
      </c>
      <c r="C1252" s="94" t="s">
        <v>526</v>
      </c>
      <c r="D1252" s="95">
        <v>2859.84</v>
      </c>
      <c r="E1252" s="95">
        <v>100.74</v>
      </c>
      <c r="F1252" s="96">
        <v>288100</v>
      </c>
      <c r="G1252" s="97" t="s">
        <v>58</v>
      </c>
      <c r="H1252" s="114">
        <f t="shared" si="19"/>
        <v>46174</v>
      </c>
      <c r="I1252" s="17"/>
      <c r="J1252" s="17"/>
      <c r="K1252" s="17"/>
    </row>
    <row r="1253" spans="1:11" x14ac:dyDescent="0.2">
      <c r="A1253" s="115">
        <v>46203</v>
      </c>
      <c r="B1253" s="93" t="s">
        <v>2341</v>
      </c>
      <c r="C1253" s="94" t="s">
        <v>13</v>
      </c>
      <c r="D1253" s="95">
        <v>446.69</v>
      </c>
      <c r="E1253" s="95">
        <v>100.74</v>
      </c>
      <c r="F1253" s="96">
        <v>45000</v>
      </c>
      <c r="G1253" s="97" t="s">
        <v>152</v>
      </c>
      <c r="H1253" s="114">
        <f t="shared" si="19"/>
        <v>46174</v>
      </c>
      <c r="I1253" s="17"/>
      <c r="J1253" s="17"/>
      <c r="K1253" s="17"/>
    </row>
    <row r="1254" spans="1:11" x14ac:dyDescent="0.2">
      <c r="A1254" s="115">
        <v>46203</v>
      </c>
      <c r="B1254" s="93" t="s">
        <v>2342</v>
      </c>
      <c r="C1254" s="94" t="s">
        <v>2345</v>
      </c>
      <c r="D1254" s="95">
        <v>247</v>
      </c>
      <c r="E1254" s="95">
        <v>100.74</v>
      </c>
      <c r="F1254" s="96">
        <v>24882.78</v>
      </c>
      <c r="G1254" s="97" t="s">
        <v>199</v>
      </c>
      <c r="H1254" s="114">
        <f t="shared" si="19"/>
        <v>46174</v>
      </c>
      <c r="I1254" s="17"/>
      <c r="J1254" s="17"/>
      <c r="K1254" s="17"/>
    </row>
    <row r="1255" spans="1:11" x14ac:dyDescent="0.2">
      <c r="A1255" s="115">
        <v>46203</v>
      </c>
      <c r="B1255" s="93" t="s">
        <v>2343</v>
      </c>
      <c r="C1255" s="94" t="s">
        <v>694</v>
      </c>
      <c r="D1255" s="95">
        <v>198.53</v>
      </c>
      <c r="E1255" s="95">
        <v>100.74</v>
      </c>
      <c r="F1255" s="96">
        <v>20000</v>
      </c>
      <c r="G1255" s="97" t="s">
        <v>199</v>
      </c>
      <c r="H1255" s="114">
        <f t="shared" si="19"/>
        <v>46174</v>
      </c>
      <c r="I1255" s="17"/>
      <c r="J1255" s="17"/>
      <c r="K1255" s="17"/>
    </row>
    <row r="1256" spans="1:11" x14ac:dyDescent="0.2">
      <c r="A1256" s="115">
        <v>46204</v>
      </c>
      <c r="B1256" s="93" t="s">
        <v>2348</v>
      </c>
      <c r="C1256" s="94" t="s">
        <v>499</v>
      </c>
      <c r="D1256" s="95">
        <v>1000</v>
      </c>
      <c r="E1256" s="95">
        <v>100.74</v>
      </c>
      <c r="F1256" s="96">
        <v>100740</v>
      </c>
      <c r="G1256" s="97" t="s">
        <v>134</v>
      </c>
      <c r="H1256" s="114">
        <f t="shared" si="19"/>
        <v>46204</v>
      </c>
      <c r="I1256" s="17"/>
      <c r="J1256" s="17"/>
      <c r="K1256" s="17"/>
    </row>
    <row r="1257" spans="1:11" x14ac:dyDescent="0.2">
      <c r="A1257" s="115">
        <v>46204</v>
      </c>
      <c r="B1257" s="93" t="s">
        <v>2349</v>
      </c>
      <c r="C1257" s="94" t="s">
        <v>50</v>
      </c>
      <c r="D1257" s="95">
        <v>1000</v>
      </c>
      <c r="E1257" s="95">
        <v>100.74</v>
      </c>
      <c r="F1257" s="96">
        <v>100740</v>
      </c>
      <c r="G1257" s="97" t="s">
        <v>1532</v>
      </c>
      <c r="H1257" s="114">
        <f t="shared" si="19"/>
        <v>46204</v>
      </c>
      <c r="I1257" s="17"/>
      <c r="J1257" s="17"/>
      <c r="K1257" s="17"/>
    </row>
    <row r="1258" spans="1:11" x14ac:dyDescent="0.2">
      <c r="A1258" s="115">
        <v>46204</v>
      </c>
      <c r="B1258" s="93" t="s">
        <v>2350</v>
      </c>
      <c r="C1258" s="94" t="s">
        <v>50</v>
      </c>
      <c r="D1258" s="95">
        <v>1000</v>
      </c>
      <c r="E1258" s="95">
        <v>100.74</v>
      </c>
      <c r="F1258" s="96">
        <v>100740</v>
      </c>
      <c r="G1258" s="97" t="s">
        <v>302</v>
      </c>
      <c r="H1258" s="114">
        <f t="shared" si="19"/>
        <v>46204</v>
      </c>
      <c r="I1258" s="17"/>
      <c r="J1258" s="17"/>
      <c r="K1258" s="17"/>
    </row>
    <row r="1259" spans="1:11" x14ac:dyDescent="0.2">
      <c r="A1259" s="115">
        <v>46204</v>
      </c>
      <c r="B1259" s="93" t="s">
        <v>2351</v>
      </c>
      <c r="C1259" s="94" t="s">
        <v>50</v>
      </c>
      <c r="D1259" s="95">
        <v>1000</v>
      </c>
      <c r="E1259" s="95">
        <v>100.74</v>
      </c>
      <c r="F1259" s="96">
        <v>100740</v>
      </c>
      <c r="G1259" s="97" t="s">
        <v>874</v>
      </c>
      <c r="H1259" s="114">
        <f t="shared" si="19"/>
        <v>46204</v>
      </c>
      <c r="I1259" s="17"/>
      <c r="J1259" s="17"/>
      <c r="K1259" s="17"/>
    </row>
    <row r="1260" spans="1:11" x14ac:dyDescent="0.2">
      <c r="A1260" s="115">
        <v>46204</v>
      </c>
      <c r="B1260" s="93" t="s">
        <v>2352</v>
      </c>
      <c r="C1260" s="94" t="s">
        <v>1157</v>
      </c>
      <c r="D1260" s="95">
        <v>49.63</v>
      </c>
      <c r="E1260" s="95">
        <v>100.74</v>
      </c>
      <c r="F1260" s="96">
        <v>5000</v>
      </c>
      <c r="G1260" s="97" t="s">
        <v>714</v>
      </c>
      <c r="H1260" s="114">
        <f t="shared" si="19"/>
        <v>46204</v>
      </c>
      <c r="I1260" s="17"/>
      <c r="J1260" s="17"/>
      <c r="K1260" s="17"/>
    </row>
    <row r="1261" spans="1:11" x14ac:dyDescent="0.2">
      <c r="A1261" s="115">
        <v>46204</v>
      </c>
      <c r="B1261" s="93" t="s">
        <v>2353</v>
      </c>
      <c r="C1261" s="94" t="s">
        <v>1274</v>
      </c>
      <c r="D1261" s="95">
        <v>15</v>
      </c>
      <c r="E1261" s="95">
        <v>100.74</v>
      </c>
      <c r="F1261" s="96">
        <v>1511.1</v>
      </c>
      <c r="G1261" s="97" t="s">
        <v>256</v>
      </c>
      <c r="H1261" s="114">
        <f t="shared" si="19"/>
        <v>46204</v>
      </c>
      <c r="I1261" s="17"/>
      <c r="J1261" s="17"/>
      <c r="K1261" s="17"/>
    </row>
    <row r="1262" spans="1:11" x14ac:dyDescent="0.2">
      <c r="A1262" s="115">
        <v>46204</v>
      </c>
      <c r="B1262" s="93" t="s">
        <v>2354</v>
      </c>
      <c r="C1262" s="94" t="s">
        <v>1172</v>
      </c>
      <c r="D1262" s="95">
        <v>20</v>
      </c>
      <c r="E1262" s="95">
        <v>100.74</v>
      </c>
      <c r="F1262" s="96">
        <v>2014.8</v>
      </c>
      <c r="G1262" s="97" t="s">
        <v>256</v>
      </c>
      <c r="H1262" s="114">
        <f t="shared" si="19"/>
        <v>46204</v>
      </c>
      <c r="I1262" s="17"/>
      <c r="J1262" s="17"/>
      <c r="K1262" s="17"/>
    </row>
    <row r="1263" spans="1:11" x14ac:dyDescent="0.2">
      <c r="A1263" s="115">
        <v>46204</v>
      </c>
      <c r="B1263" s="93" t="s">
        <v>2355</v>
      </c>
      <c r="C1263" s="94" t="s">
        <v>50</v>
      </c>
      <c r="D1263" s="95">
        <v>40</v>
      </c>
      <c r="E1263" s="95">
        <v>100.74</v>
      </c>
      <c r="F1263" s="96">
        <v>4029.6</v>
      </c>
      <c r="G1263" s="97" t="s">
        <v>54</v>
      </c>
      <c r="H1263" s="114">
        <f t="shared" si="19"/>
        <v>46204</v>
      </c>
      <c r="I1263" s="17"/>
      <c r="J1263" s="17"/>
      <c r="K1263" s="17"/>
    </row>
    <row r="1264" spans="1:11" x14ac:dyDescent="0.2">
      <c r="A1264" s="115">
        <v>46204</v>
      </c>
      <c r="B1264" s="93" t="s">
        <v>2356</v>
      </c>
      <c r="C1264" s="94" t="s">
        <v>526</v>
      </c>
      <c r="D1264" s="95">
        <v>3478.26</v>
      </c>
      <c r="E1264" s="95">
        <v>100.74</v>
      </c>
      <c r="F1264" s="96">
        <v>350400</v>
      </c>
      <c r="G1264" s="97" t="s">
        <v>58</v>
      </c>
      <c r="H1264" s="114">
        <f t="shared" si="19"/>
        <v>46204</v>
      </c>
      <c r="I1264" s="17"/>
      <c r="J1264" s="17"/>
      <c r="K1264" s="17"/>
    </row>
    <row r="1265" spans="1:11" x14ac:dyDescent="0.2">
      <c r="A1265" s="115">
        <v>46204</v>
      </c>
      <c r="B1265" s="93" t="s">
        <v>2357</v>
      </c>
      <c r="C1265" s="94" t="s">
        <v>525</v>
      </c>
      <c r="D1265" s="95">
        <v>39.71</v>
      </c>
      <c r="E1265" s="95">
        <v>100.74</v>
      </c>
      <c r="F1265" s="96">
        <v>4000</v>
      </c>
      <c r="G1265" s="97" t="s">
        <v>58</v>
      </c>
      <c r="H1265" s="114">
        <f t="shared" si="19"/>
        <v>46204</v>
      </c>
      <c r="I1265" s="17"/>
      <c r="J1265" s="17"/>
      <c r="K1265" s="17"/>
    </row>
    <row r="1266" spans="1:11" x14ac:dyDescent="0.2">
      <c r="A1266" s="115">
        <v>46204</v>
      </c>
      <c r="B1266" s="93" t="s">
        <v>2358</v>
      </c>
      <c r="C1266" s="94" t="s">
        <v>13</v>
      </c>
      <c r="D1266" s="95">
        <v>859.64</v>
      </c>
      <c r="E1266" s="95">
        <v>100.74</v>
      </c>
      <c r="F1266" s="96">
        <v>86600</v>
      </c>
      <c r="G1266" s="97" t="s">
        <v>152</v>
      </c>
      <c r="H1266" s="114">
        <f t="shared" si="19"/>
        <v>46204</v>
      </c>
      <c r="I1266" s="17"/>
      <c r="J1266" s="17"/>
      <c r="K1266" s="17"/>
    </row>
    <row r="1267" spans="1:11" x14ac:dyDescent="0.2">
      <c r="A1267" s="115">
        <v>46204</v>
      </c>
      <c r="B1267" s="93" t="s">
        <v>2359</v>
      </c>
      <c r="C1267" s="94" t="s">
        <v>13</v>
      </c>
      <c r="D1267" s="95">
        <v>129</v>
      </c>
      <c r="E1267" s="95">
        <v>100.74</v>
      </c>
      <c r="F1267" s="96">
        <v>12995.46</v>
      </c>
      <c r="G1267" s="97" t="s">
        <v>57</v>
      </c>
      <c r="H1267" s="114">
        <f t="shared" si="19"/>
        <v>46204</v>
      </c>
      <c r="I1267" s="17"/>
      <c r="J1267" s="17"/>
      <c r="K1267" s="17"/>
    </row>
    <row r="1268" spans="1:11" x14ac:dyDescent="0.2">
      <c r="A1268" s="115">
        <v>46204</v>
      </c>
      <c r="B1268" s="93" t="s">
        <v>2360</v>
      </c>
      <c r="C1268" s="94" t="s">
        <v>50</v>
      </c>
      <c r="D1268" s="95">
        <v>2500</v>
      </c>
      <c r="E1268" s="95">
        <v>100.74</v>
      </c>
      <c r="F1268" s="96">
        <v>251850</v>
      </c>
      <c r="G1268" s="97" t="s">
        <v>59</v>
      </c>
      <c r="H1268" s="114">
        <f t="shared" si="19"/>
        <v>46204</v>
      </c>
      <c r="I1268" s="17"/>
      <c r="J1268" s="17"/>
      <c r="K1268" s="17"/>
    </row>
    <row r="1269" spans="1:11" x14ac:dyDescent="0.2">
      <c r="A1269" s="115">
        <v>46204</v>
      </c>
      <c r="B1269" s="93" t="s">
        <v>2361</v>
      </c>
      <c r="C1269" s="94" t="s">
        <v>50</v>
      </c>
      <c r="D1269" s="95">
        <v>1500.41</v>
      </c>
      <c r="E1269" s="95">
        <v>100.74</v>
      </c>
      <c r="F1269" s="96">
        <v>151151.29999999999</v>
      </c>
      <c r="G1269" s="97" t="s">
        <v>96</v>
      </c>
      <c r="H1269" s="114">
        <f t="shared" si="19"/>
        <v>46204</v>
      </c>
      <c r="I1269" s="17"/>
      <c r="J1269" s="17"/>
      <c r="K1269" s="17"/>
    </row>
    <row r="1270" spans="1:11" x14ac:dyDescent="0.2">
      <c r="A1270" s="115">
        <v>46204</v>
      </c>
      <c r="B1270" s="93" t="s">
        <v>2362</v>
      </c>
      <c r="C1270" s="94" t="s">
        <v>50</v>
      </c>
      <c r="D1270" s="95">
        <v>1134.1199999999999</v>
      </c>
      <c r="E1270" s="95">
        <v>100.74</v>
      </c>
      <c r="F1270" s="96">
        <v>114251.25</v>
      </c>
      <c r="G1270" s="97" t="s">
        <v>95</v>
      </c>
      <c r="H1270" s="114">
        <f t="shared" si="19"/>
        <v>46204</v>
      </c>
      <c r="I1270" s="17"/>
      <c r="J1270" s="17"/>
      <c r="K1270" s="17"/>
    </row>
    <row r="1271" spans="1:11" x14ac:dyDescent="0.2">
      <c r="A1271" s="115">
        <v>46204</v>
      </c>
      <c r="B1271" s="93" t="s">
        <v>2363</v>
      </c>
      <c r="C1271" s="94" t="s">
        <v>13</v>
      </c>
      <c r="D1271" s="95">
        <v>294.82</v>
      </c>
      <c r="E1271" s="95">
        <v>100.74</v>
      </c>
      <c r="F1271" s="96">
        <v>29700</v>
      </c>
      <c r="G1271" s="97" t="s">
        <v>2364</v>
      </c>
      <c r="H1271" s="114">
        <f t="shared" si="19"/>
        <v>46204</v>
      </c>
      <c r="I1271" s="17"/>
      <c r="J1271" s="17"/>
      <c r="K1271" s="17"/>
    </row>
    <row r="1272" spans="1:11" x14ac:dyDescent="0.2">
      <c r="A1272" s="115">
        <v>46205</v>
      </c>
      <c r="B1272" s="93" t="s">
        <v>2374</v>
      </c>
      <c r="C1272" s="94" t="s">
        <v>40</v>
      </c>
      <c r="D1272" s="95">
        <v>12000</v>
      </c>
      <c r="E1272" s="95">
        <v>100.74</v>
      </c>
      <c r="F1272" s="96">
        <v>1208880</v>
      </c>
      <c r="G1272" s="97" t="s">
        <v>143</v>
      </c>
      <c r="H1272" s="114">
        <f t="shared" si="19"/>
        <v>46204</v>
      </c>
      <c r="I1272" s="17"/>
      <c r="J1272" s="17"/>
      <c r="K1272" s="17"/>
    </row>
    <row r="1273" spans="1:11" x14ac:dyDescent="0.2">
      <c r="A1273" s="115">
        <v>46205</v>
      </c>
      <c r="B1273" s="93" t="s">
        <v>2375</v>
      </c>
      <c r="C1273" s="94" t="s">
        <v>50</v>
      </c>
      <c r="D1273" s="95">
        <v>3000</v>
      </c>
      <c r="E1273" s="95">
        <v>100.74</v>
      </c>
      <c r="F1273" s="96">
        <v>302220</v>
      </c>
      <c r="G1273" s="97" t="s">
        <v>1073</v>
      </c>
      <c r="H1273" s="114">
        <f t="shared" si="19"/>
        <v>46204</v>
      </c>
      <c r="I1273" s="17"/>
      <c r="J1273" s="17"/>
      <c r="K1273" s="17"/>
    </row>
    <row r="1274" spans="1:11" x14ac:dyDescent="0.2">
      <c r="A1274" s="115">
        <v>46205</v>
      </c>
      <c r="B1274" s="93" t="s">
        <v>2376</v>
      </c>
      <c r="C1274" s="94" t="s">
        <v>50</v>
      </c>
      <c r="D1274" s="95">
        <v>655.21</v>
      </c>
      <c r="E1274" s="95">
        <v>100.74</v>
      </c>
      <c r="F1274" s="96">
        <v>66005.86</v>
      </c>
      <c r="G1274" s="97" t="s">
        <v>95</v>
      </c>
      <c r="H1274" s="114">
        <f t="shared" si="19"/>
        <v>46204</v>
      </c>
      <c r="I1274" s="17"/>
      <c r="J1274" s="17"/>
      <c r="K1274" s="17"/>
    </row>
    <row r="1275" spans="1:11" x14ac:dyDescent="0.2">
      <c r="A1275" s="115">
        <v>46205</v>
      </c>
      <c r="B1275" s="93" t="s">
        <v>2377</v>
      </c>
      <c r="C1275" s="94" t="s">
        <v>50</v>
      </c>
      <c r="D1275" s="95">
        <v>951.54</v>
      </c>
      <c r="E1275" s="95">
        <v>100.74</v>
      </c>
      <c r="F1275" s="96">
        <v>95858.14</v>
      </c>
      <c r="G1275" s="97" t="s">
        <v>95</v>
      </c>
      <c r="H1275" s="114">
        <f t="shared" si="19"/>
        <v>46204</v>
      </c>
      <c r="I1275" s="17"/>
      <c r="J1275" s="17"/>
      <c r="K1275" s="17"/>
    </row>
    <row r="1276" spans="1:11" x14ac:dyDescent="0.2">
      <c r="A1276" s="115">
        <v>46205</v>
      </c>
      <c r="B1276" s="93" t="s">
        <v>2378</v>
      </c>
      <c r="C1276" s="94" t="s">
        <v>526</v>
      </c>
      <c r="D1276" s="95">
        <v>2102.44</v>
      </c>
      <c r="E1276" s="95">
        <v>100.74</v>
      </c>
      <c r="F1276" s="96">
        <v>211800</v>
      </c>
      <c r="G1276" s="97" t="s">
        <v>58</v>
      </c>
      <c r="H1276" s="114">
        <f t="shared" si="19"/>
        <v>46204</v>
      </c>
      <c r="I1276" s="17"/>
      <c r="J1276" s="17"/>
      <c r="K1276" s="17"/>
    </row>
    <row r="1277" spans="1:11" x14ac:dyDescent="0.2">
      <c r="A1277" s="115">
        <v>46205</v>
      </c>
      <c r="B1277" s="93" t="s">
        <v>2379</v>
      </c>
      <c r="C1277" s="94" t="s">
        <v>13</v>
      </c>
      <c r="D1277" s="95">
        <v>804.05</v>
      </c>
      <c r="E1277" s="95">
        <v>100.74</v>
      </c>
      <c r="F1277" s="96">
        <v>81000</v>
      </c>
      <c r="G1277" s="97" t="s">
        <v>152</v>
      </c>
      <c r="H1277" s="114">
        <f t="shared" si="19"/>
        <v>46204</v>
      </c>
      <c r="I1277" s="17"/>
      <c r="J1277" s="17"/>
      <c r="K1277" s="17"/>
    </row>
    <row r="1278" spans="1:11" x14ac:dyDescent="0.2">
      <c r="A1278" s="115">
        <v>46205</v>
      </c>
      <c r="B1278" s="93" t="s">
        <v>2380</v>
      </c>
      <c r="C1278" s="94" t="s">
        <v>1747</v>
      </c>
      <c r="D1278" s="95">
        <v>200</v>
      </c>
      <c r="E1278" s="95">
        <v>100.74</v>
      </c>
      <c r="F1278" s="96">
        <v>20148</v>
      </c>
      <c r="G1278" s="97" t="s">
        <v>2570</v>
      </c>
      <c r="H1278" s="114">
        <f t="shared" si="19"/>
        <v>46204</v>
      </c>
      <c r="I1278" s="17"/>
      <c r="J1278" s="17"/>
      <c r="K1278" s="17"/>
    </row>
    <row r="1279" spans="1:11" x14ac:dyDescent="0.2">
      <c r="A1279" s="115">
        <v>46205</v>
      </c>
      <c r="B1279" s="93" t="s">
        <v>2381</v>
      </c>
      <c r="C1279" s="94" t="s">
        <v>1781</v>
      </c>
      <c r="D1279" s="95">
        <v>200</v>
      </c>
      <c r="E1279" s="95">
        <v>100.74</v>
      </c>
      <c r="F1279" s="96">
        <v>20148</v>
      </c>
      <c r="G1279" s="97" t="s">
        <v>2570</v>
      </c>
      <c r="H1279" s="114">
        <f t="shared" si="19"/>
        <v>46204</v>
      </c>
      <c r="I1279" s="17"/>
      <c r="J1279" s="17"/>
      <c r="K1279" s="17"/>
    </row>
    <row r="1280" spans="1:11" x14ac:dyDescent="0.2">
      <c r="A1280" s="115">
        <v>46205</v>
      </c>
      <c r="B1280" s="93" t="s">
        <v>2382</v>
      </c>
      <c r="C1280" s="94" t="s">
        <v>1780</v>
      </c>
      <c r="D1280" s="95">
        <v>200</v>
      </c>
      <c r="E1280" s="95">
        <v>100.74</v>
      </c>
      <c r="F1280" s="96">
        <v>20148</v>
      </c>
      <c r="G1280" s="97" t="s">
        <v>2570</v>
      </c>
      <c r="H1280" s="114">
        <f t="shared" si="19"/>
        <v>46204</v>
      </c>
      <c r="I1280" s="17"/>
      <c r="J1280" s="17"/>
      <c r="K1280" s="17"/>
    </row>
    <row r="1281" spans="1:11" x14ac:dyDescent="0.2">
      <c r="A1281" s="115">
        <v>46205</v>
      </c>
      <c r="B1281" s="93" t="s">
        <v>2383</v>
      </c>
      <c r="C1281" s="94" t="s">
        <v>1746</v>
      </c>
      <c r="D1281" s="95">
        <v>200</v>
      </c>
      <c r="E1281" s="95">
        <v>100.74</v>
      </c>
      <c r="F1281" s="96">
        <v>20148</v>
      </c>
      <c r="G1281" s="97" t="s">
        <v>2570</v>
      </c>
      <c r="H1281" s="114">
        <f t="shared" si="19"/>
        <v>46204</v>
      </c>
      <c r="I1281" s="17"/>
      <c r="J1281" s="17"/>
      <c r="K1281" s="17"/>
    </row>
    <row r="1282" spans="1:11" x14ac:dyDescent="0.2">
      <c r="A1282" s="115">
        <v>46205</v>
      </c>
      <c r="B1282" s="93" t="s">
        <v>2384</v>
      </c>
      <c r="C1282" s="94" t="s">
        <v>1744</v>
      </c>
      <c r="D1282" s="95">
        <v>200</v>
      </c>
      <c r="E1282" s="95">
        <v>100.74</v>
      </c>
      <c r="F1282" s="96">
        <v>20148</v>
      </c>
      <c r="G1282" s="97" t="s">
        <v>2570</v>
      </c>
      <c r="H1282" s="114">
        <f t="shared" si="19"/>
        <v>46204</v>
      </c>
      <c r="I1282" s="17"/>
      <c r="J1282" s="17"/>
      <c r="K1282" s="17"/>
    </row>
    <row r="1283" spans="1:11" x14ac:dyDescent="0.2">
      <c r="A1283" s="115">
        <v>46205</v>
      </c>
      <c r="B1283" s="93" t="s">
        <v>2385</v>
      </c>
      <c r="C1283" s="94" t="s">
        <v>821</v>
      </c>
      <c r="D1283" s="95">
        <v>217</v>
      </c>
      <c r="E1283" s="95">
        <v>100.74</v>
      </c>
      <c r="F1283" s="96">
        <v>21860.58</v>
      </c>
      <c r="G1283" s="97" t="s">
        <v>714</v>
      </c>
      <c r="H1283" s="114">
        <f t="shared" si="19"/>
        <v>46204</v>
      </c>
      <c r="I1283" s="17"/>
      <c r="J1283" s="17"/>
      <c r="K1283" s="17"/>
    </row>
    <row r="1284" spans="1:11" x14ac:dyDescent="0.2">
      <c r="A1284" s="115">
        <v>46205</v>
      </c>
      <c r="B1284" s="93" t="s">
        <v>2386</v>
      </c>
      <c r="C1284" s="94" t="s">
        <v>1338</v>
      </c>
      <c r="D1284" s="95">
        <v>81.3</v>
      </c>
      <c r="E1284" s="95">
        <v>100.74</v>
      </c>
      <c r="F1284" s="96">
        <v>8190.16</v>
      </c>
      <c r="G1284" s="97" t="s">
        <v>714</v>
      </c>
      <c r="H1284" s="114">
        <f t="shared" ref="H1284:H1347" si="20">IF(A1284&lt;&gt;"", EOMONTH(A1284, -1) + 1, "")</f>
        <v>46204</v>
      </c>
      <c r="I1284" s="17"/>
      <c r="J1284" s="17"/>
      <c r="K1284" s="17"/>
    </row>
    <row r="1285" spans="1:11" x14ac:dyDescent="0.2">
      <c r="A1285" s="115">
        <v>46205</v>
      </c>
      <c r="B1285" s="93" t="s">
        <v>2387</v>
      </c>
      <c r="C1285" s="94" t="s">
        <v>742</v>
      </c>
      <c r="D1285" s="95">
        <v>112.37</v>
      </c>
      <c r="E1285" s="95">
        <v>100.74</v>
      </c>
      <c r="F1285" s="96">
        <v>11320.15</v>
      </c>
      <c r="G1285" s="97" t="s">
        <v>714</v>
      </c>
      <c r="H1285" s="114">
        <f t="shared" si="20"/>
        <v>46204</v>
      </c>
      <c r="I1285" s="17"/>
      <c r="J1285" s="17"/>
      <c r="K1285" s="17"/>
    </row>
    <row r="1286" spans="1:11" x14ac:dyDescent="0.2">
      <c r="A1286" s="115">
        <v>46205</v>
      </c>
      <c r="B1286" s="93" t="s">
        <v>2388</v>
      </c>
      <c r="C1286" s="94" t="s">
        <v>1266</v>
      </c>
      <c r="D1286" s="95">
        <v>164</v>
      </c>
      <c r="E1286" s="95">
        <v>100.74</v>
      </c>
      <c r="F1286" s="96">
        <v>16521.36</v>
      </c>
      <c r="G1286" s="97" t="s">
        <v>714</v>
      </c>
      <c r="H1286" s="114">
        <f t="shared" si="20"/>
        <v>46204</v>
      </c>
      <c r="I1286" s="17"/>
      <c r="J1286" s="17"/>
      <c r="K1286" s="17"/>
    </row>
    <row r="1287" spans="1:11" x14ac:dyDescent="0.2">
      <c r="A1287" s="115">
        <v>46205</v>
      </c>
      <c r="B1287" s="93" t="s">
        <v>2389</v>
      </c>
      <c r="C1287" s="94" t="s">
        <v>760</v>
      </c>
      <c r="D1287" s="95">
        <v>20</v>
      </c>
      <c r="E1287" s="95">
        <v>100.74</v>
      </c>
      <c r="F1287" s="96">
        <v>2014.8</v>
      </c>
      <c r="G1287" s="97" t="s">
        <v>714</v>
      </c>
      <c r="H1287" s="114">
        <f t="shared" si="20"/>
        <v>46204</v>
      </c>
      <c r="I1287" s="17"/>
      <c r="J1287" s="17"/>
      <c r="K1287" s="17"/>
    </row>
    <row r="1288" spans="1:11" x14ac:dyDescent="0.2">
      <c r="A1288" s="115">
        <v>46205</v>
      </c>
      <c r="B1288" s="93" t="s">
        <v>2390</v>
      </c>
      <c r="C1288" s="94" t="s">
        <v>2665</v>
      </c>
      <c r="D1288" s="95">
        <v>20</v>
      </c>
      <c r="E1288" s="95">
        <v>100.74</v>
      </c>
      <c r="F1288" s="96">
        <v>2014.8</v>
      </c>
      <c r="G1288" s="97" t="s">
        <v>714</v>
      </c>
      <c r="H1288" s="114">
        <f t="shared" si="20"/>
        <v>46204</v>
      </c>
      <c r="I1288" s="17"/>
      <c r="J1288" s="17"/>
      <c r="K1288" s="17"/>
    </row>
    <row r="1289" spans="1:11" x14ac:dyDescent="0.2">
      <c r="A1289" s="115">
        <v>46205</v>
      </c>
      <c r="B1289" s="93" t="s">
        <v>2391</v>
      </c>
      <c r="C1289" s="94" t="s">
        <v>792</v>
      </c>
      <c r="D1289" s="95">
        <v>150</v>
      </c>
      <c r="E1289" s="95">
        <v>100.74</v>
      </c>
      <c r="F1289" s="96">
        <v>15111</v>
      </c>
      <c r="G1289" s="97" t="s">
        <v>714</v>
      </c>
      <c r="H1289" s="114">
        <f t="shared" si="20"/>
        <v>46204</v>
      </c>
      <c r="I1289" s="17"/>
      <c r="J1289" s="17"/>
      <c r="K1289" s="17"/>
    </row>
    <row r="1290" spans="1:11" x14ac:dyDescent="0.2">
      <c r="A1290" s="115">
        <v>46205</v>
      </c>
      <c r="B1290" s="93" t="s">
        <v>2392</v>
      </c>
      <c r="C1290" s="94" t="s">
        <v>2395</v>
      </c>
      <c r="D1290" s="95">
        <v>8.08</v>
      </c>
      <c r="E1290" s="95">
        <v>100.74</v>
      </c>
      <c r="F1290" s="96">
        <v>813.68</v>
      </c>
      <c r="G1290" s="97" t="s">
        <v>256</v>
      </c>
      <c r="H1290" s="114">
        <f t="shared" si="20"/>
        <v>46204</v>
      </c>
      <c r="I1290" s="17"/>
      <c r="J1290" s="17"/>
      <c r="K1290" s="17"/>
    </row>
    <row r="1291" spans="1:11" x14ac:dyDescent="0.2">
      <c r="A1291" s="115">
        <v>46205</v>
      </c>
      <c r="B1291" s="93" t="s">
        <v>2393</v>
      </c>
      <c r="C1291" s="94" t="s">
        <v>40</v>
      </c>
      <c r="D1291" s="95">
        <v>281</v>
      </c>
      <c r="E1291" s="95">
        <v>100.74</v>
      </c>
      <c r="F1291" s="96">
        <v>28307.94</v>
      </c>
      <c r="G1291" s="97" t="s">
        <v>54</v>
      </c>
      <c r="H1291" s="114">
        <f t="shared" si="20"/>
        <v>46204</v>
      </c>
      <c r="I1291" s="17"/>
      <c r="J1291" s="17"/>
      <c r="K1291" s="17"/>
    </row>
    <row r="1292" spans="1:11" x14ac:dyDescent="0.2">
      <c r="A1292" s="115">
        <v>46205</v>
      </c>
      <c r="B1292" s="93" t="s">
        <v>2394</v>
      </c>
      <c r="C1292" s="94" t="s">
        <v>13</v>
      </c>
      <c r="D1292" s="95">
        <v>258.08999999999997</v>
      </c>
      <c r="E1292" s="95">
        <v>100.74</v>
      </c>
      <c r="F1292" s="96">
        <v>26000</v>
      </c>
      <c r="G1292" s="97" t="s">
        <v>2364</v>
      </c>
      <c r="H1292" s="114">
        <f t="shared" si="20"/>
        <v>46204</v>
      </c>
      <c r="I1292" s="17"/>
      <c r="J1292" s="17"/>
      <c r="K1292" s="17"/>
    </row>
    <row r="1293" spans="1:11" x14ac:dyDescent="0.2">
      <c r="A1293" s="115">
        <v>46206</v>
      </c>
      <c r="B1293" s="93" t="s">
        <v>2399</v>
      </c>
      <c r="C1293" s="94" t="s">
        <v>42</v>
      </c>
      <c r="D1293" s="95">
        <v>12000</v>
      </c>
      <c r="E1293" s="95">
        <v>100.74</v>
      </c>
      <c r="F1293" s="96">
        <v>1208880</v>
      </c>
      <c r="G1293" s="97" t="s">
        <v>52</v>
      </c>
      <c r="H1293" s="114">
        <f t="shared" si="20"/>
        <v>46204</v>
      </c>
      <c r="I1293" s="17"/>
      <c r="J1293" s="17"/>
      <c r="K1293" s="17"/>
    </row>
    <row r="1294" spans="1:11" x14ac:dyDescent="0.2">
      <c r="A1294" s="115">
        <v>46206</v>
      </c>
      <c r="B1294" s="93" t="s">
        <v>2400</v>
      </c>
      <c r="C1294" s="94" t="s">
        <v>1743</v>
      </c>
      <c r="D1294" s="95">
        <v>200</v>
      </c>
      <c r="E1294" s="95">
        <v>100.74</v>
      </c>
      <c r="F1294" s="96">
        <v>20148</v>
      </c>
      <c r="G1294" s="97" t="s">
        <v>2570</v>
      </c>
      <c r="H1294" s="114">
        <f t="shared" si="20"/>
        <v>46204</v>
      </c>
      <c r="I1294" s="17"/>
      <c r="J1294" s="17"/>
      <c r="K1294" s="17"/>
    </row>
    <row r="1295" spans="1:11" x14ac:dyDescent="0.2">
      <c r="A1295" s="115">
        <v>46206</v>
      </c>
      <c r="B1295" s="93" t="s">
        <v>2401</v>
      </c>
      <c r="C1295" s="94" t="s">
        <v>1745</v>
      </c>
      <c r="D1295" s="95">
        <v>200</v>
      </c>
      <c r="E1295" s="95">
        <v>100.74</v>
      </c>
      <c r="F1295" s="96">
        <v>20148</v>
      </c>
      <c r="G1295" s="97" t="s">
        <v>2570</v>
      </c>
      <c r="H1295" s="114">
        <f t="shared" si="20"/>
        <v>46204</v>
      </c>
      <c r="I1295" s="17"/>
      <c r="J1295" s="17"/>
      <c r="K1295" s="17"/>
    </row>
    <row r="1296" spans="1:11" x14ac:dyDescent="0.2">
      <c r="A1296" s="115">
        <v>46206</v>
      </c>
      <c r="B1296" s="93" t="s">
        <v>2402</v>
      </c>
      <c r="C1296" s="94" t="s">
        <v>2420</v>
      </c>
      <c r="D1296" s="95">
        <v>200</v>
      </c>
      <c r="E1296" s="95">
        <v>100.74</v>
      </c>
      <c r="F1296" s="96">
        <v>20148</v>
      </c>
      <c r="G1296" s="97" t="s">
        <v>2570</v>
      </c>
      <c r="H1296" s="114">
        <f t="shared" si="20"/>
        <v>46204</v>
      </c>
      <c r="I1296" s="17"/>
      <c r="J1296" s="17"/>
      <c r="K1296" s="17"/>
    </row>
    <row r="1297" spans="1:11" x14ac:dyDescent="0.2">
      <c r="A1297" s="115">
        <v>46206</v>
      </c>
      <c r="B1297" s="93" t="s">
        <v>2403</v>
      </c>
      <c r="C1297" s="94" t="s">
        <v>2421</v>
      </c>
      <c r="D1297" s="95">
        <v>200</v>
      </c>
      <c r="E1297" s="95">
        <v>100.74</v>
      </c>
      <c r="F1297" s="96">
        <v>20148</v>
      </c>
      <c r="G1297" s="97" t="s">
        <v>2570</v>
      </c>
      <c r="H1297" s="114">
        <f t="shared" si="20"/>
        <v>46204</v>
      </c>
      <c r="I1297" s="17"/>
      <c r="J1297" s="17"/>
      <c r="K1297" s="17"/>
    </row>
    <row r="1298" spans="1:11" x14ac:dyDescent="0.2">
      <c r="A1298" s="115">
        <v>46206</v>
      </c>
      <c r="B1298" s="93" t="s">
        <v>2404</v>
      </c>
      <c r="C1298" s="94" t="s">
        <v>2422</v>
      </c>
      <c r="D1298" s="95">
        <v>200</v>
      </c>
      <c r="E1298" s="95">
        <v>100.74</v>
      </c>
      <c r="F1298" s="96">
        <v>20148</v>
      </c>
      <c r="G1298" s="97" t="s">
        <v>2570</v>
      </c>
      <c r="H1298" s="114">
        <f t="shared" si="20"/>
        <v>46204</v>
      </c>
      <c r="I1298" s="17"/>
      <c r="J1298" s="17"/>
      <c r="K1298" s="17"/>
    </row>
    <row r="1299" spans="1:11" x14ac:dyDescent="0.2">
      <c r="A1299" s="115">
        <v>46206</v>
      </c>
      <c r="B1299" s="93" t="s">
        <v>2405</v>
      </c>
      <c r="C1299" s="94" t="s">
        <v>2423</v>
      </c>
      <c r="D1299" s="95">
        <v>200</v>
      </c>
      <c r="E1299" s="95">
        <v>100.74</v>
      </c>
      <c r="F1299" s="96">
        <v>20148</v>
      </c>
      <c r="G1299" s="97" t="s">
        <v>2570</v>
      </c>
      <c r="H1299" s="114">
        <f t="shared" si="20"/>
        <v>46204</v>
      </c>
      <c r="I1299" s="17"/>
      <c r="J1299" s="17"/>
      <c r="K1299" s="17"/>
    </row>
    <row r="1300" spans="1:11" x14ac:dyDescent="0.2">
      <c r="A1300" s="115">
        <v>46206</v>
      </c>
      <c r="B1300" s="93" t="s">
        <v>2406</v>
      </c>
      <c r="C1300" s="94" t="s">
        <v>2424</v>
      </c>
      <c r="D1300" s="95">
        <v>200</v>
      </c>
      <c r="E1300" s="95">
        <v>100.74</v>
      </c>
      <c r="F1300" s="96">
        <v>20148</v>
      </c>
      <c r="G1300" s="97" t="s">
        <v>2570</v>
      </c>
      <c r="H1300" s="114">
        <f t="shared" si="20"/>
        <v>46204</v>
      </c>
      <c r="I1300" s="17"/>
      <c r="J1300" s="17"/>
      <c r="K1300" s="17"/>
    </row>
    <row r="1301" spans="1:11" x14ac:dyDescent="0.2">
      <c r="A1301" s="115">
        <v>46206</v>
      </c>
      <c r="B1301" s="93" t="s">
        <v>2407</v>
      </c>
      <c r="C1301" s="94" t="s">
        <v>2425</v>
      </c>
      <c r="D1301" s="95">
        <v>200</v>
      </c>
      <c r="E1301" s="95">
        <v>100.74</v>
      </c>
      <c r="F1301" s="96">
        <v>20148</v>
      </c>
      <c r="G1301" s="97" t="s">
        <v>2570</v>
      </c>
      <c r="H1301" s="114">
        <f t="shared" si="20"/>
        <v>46204</v>
      </c>
      <c r="I1301" s="17"/>
      <c r="J1301" s="17"/>
      <c r="K1301" s="17"/>
    </row>
    <row r="1302" spans="1:11" x14ac:dyDescent="0.2">
      <c r="A1302" s="115">
        <v>46206</v>
      </c>
      <c r="B1302" s="93" t="s">
        <v>2408</v>
      </c>
      <c r="C1302" s="94" t="s">
        <v>2426</v>
      </c>
      <c r="D1302" s="95">
        <v>200</v>
      </c>
      <c r="E1302" s="95">
        <v>100.74</v>
      </c>
      <c r="F1302" s="96">
        <v>20148</v>
      </c>
      <c r="G1302" s="97" t="s">
        <v>2570</v>
      </c>
      <c r="H1302" s="114">
        <f t="shared" si="20"/>
        <v>46204</v>
      </c>
      <c r="I1302" s="17"/>
      <c r="J1302" s="17"/>
      <c r="K1302" s="17"/>
    </row>
    <row r="1303" spans="1:11" x14ac:dyDescent="0.2">
      <c r="A1303" s="115">
        <v>46206</v>
      </c>
      <c r="B1303" s="93" t="s">
        <v>2409</v>
      </c>
      <c r="C1303" s="94" t="s">
        <v>2427</v>
      </c>
      <c r="D1303" s="95">
        <v>200</v>
      </c>
      <c r="E1303" s="95">
        <v>100.74</v>
      </c>
      <c r="F1303" s="96">
        <v>20148</v>
      </c>
      <c r="G1303" s="97" t="s">
        <v>2570</v>
      </c>
      <c r="H1303" s="114">
        <f t="shared" si="20"/>
        <v>46204</v>
      </c>
      <c r="I1303" s="17"/>
      <c r="J1303" s="17"/>
      <c r="K1303" s="17"/>
    </row>
    <row r="1304" spans="1:11" x14ac:dyDescent="0.2">
      <c r="A1304" s="115">
        <v>46206</v>
      </c>
      <c r="B1304" s="93" t="s">
        <v>2410</v>
      </c>
      <c r="C1304" s="94" t="s">
        <v>2428</v>
      </c>
      <c r="D1304" s="95">
        <v>200</v>
      </c>
      <c r="E1304" s="95">
        <v>100.74</v>
      </c>
      <c r="F1304" s="96">
        <v>20148</v>
      </c>
      <c r="G1304" s="97" t="s">
        <v>2570</v>
      </c>
      <c r="H1304" s="114">
        <f t="shared" si="20"/>
        <v>46204</v>
      </c>
      <c r="I1304" s="17"/>
      <c r="J1304" s="17"/>
      <c r="K1304" s="17"/>
    </row>
    <row r="1305" spans="1:11" x14ac:dyDescent="0.2">
      <c r="A1305" s="115">
        <v>46206</v>
      </c>
      <c r="B1305" s="93" t="s">
        <v>2411</v>
      </c>
      <c r="C1305" s="94" t="s">
        <v>2429</v>
      </c>
      <c r="D1305" s="95">
        <v>200</v>
      </c>
      <c r="E1305" s="95">
        <v>100.74</v>
      </c>
      <c r="F1305" s="96">
        <v>20148</v>
      </c>
      <c r="G1305" s="97" t="s">
        <v>2570</v>
      </c>
      <c r="H1305" s="114">
        <f t="shared" si="20"/>
        <v>46204</v>
      </c>
      <c r="I1305" s="17"/>
      <c r="J1305" s="17"/>
      <c r="K1305" s="17"/>
    </row>
    <row r="1306" spans="1:11" x14ac:dyDescent="0.2">
      <c r="A1306" s="115">
        <v>46206</v>
      </c>
      <c r="B1306" s="93" t="s">
        <v>2412</v>
      </c>
      <c r="C1306" s="94" t="s">
        <v>1157</v>
      </c>
      <c r="D1306" s="95">
        <v>88.55</v>
      </c>
      <c r="E1306" s="95">
        <v>100.74</v>
      </c>
      <c r="F1306" s="96">
        <v>8920.52</v>
      </c>
      <c r="G1306" s="97" t="s">
        <v>714</v>
      </c>
      <c r="H1306" s="114">
        <f t="shared" si="20"/>
        <v>46204</v>
      </c>
      <c r="I1306" s="17"/>
      <c r="J1306" s="17"/>
      <c r="K1306" s="17"/>
    </row>
    <row r="1307" spans="1:11" x14ac:dyDescent="0.2">
      <c r="A1307" s="115">
        <v>46206</v>
      </c>
      <c r="B1307" s="93" t="s">
        <v>2413</v>
      </c>
      <c r="C1307" s="94" t="s">
        <v>428</v>
      </c>
      <c r="D1307" s="95">
        <v>51.88</v>
      </c>
      <c r="E1307" s="95">
        <v>100.74</v>
      </c>
      <c r="F1307" s="96">
        <v>5226.3900000000003</v>
      </c>
      <c r="G1307" s="97" t="s">
        <v>257</v>
      </c>
      <c r="H1307" s="114">
        <f t="shared" si="20"/>
        <v>46204</v>
      </c>
      <c r="I1307" s="17"/>
      <c r="J1307" s="17"/>
      <c r="K1307" s="17"/>
    </row>
    <row r="1308" spans="1:11" x14ac:dyDescent="0.2">
      <c r="A1308" s="115">
        <v>46206</v>
      </c>
      <c r="B1308" s="93" t="s">
        <v>2414</v>
      </c>
      <c r="C1308" s="94" t="s">
        <v>50</v>
      </c>
      <c r="D1308" s="95">
        <v>263.83</v>
      </c>
      <c r="E1308" s="95">
        <v>100.74</v>
      </c>
      <c r="F1308" s="96">
        <v>26578.23</v>
      </c>
      <c r="G1308" s="97" t="s">
        <v>95</v>
      </c>
      <c r="H1308" s="114">
        <f t="shared" si="20"/>
        <v>46204</v>
      </c>
      <c r="I1308" s="17"/>
      <c r="J1308" s="17"/>
      <c r="K1308" s="17"/>
    </row>
    <row r="1309" spans="1:11" x14ac:dyDescent="0.2">
      <c r="A1309" s="115">
        <v>46206</v>
      </c>
      <c r="B1309" s="93" t="s">
        <v>2415</v>
      </c>
      <c r="C1309" s="94" t="s">
        <v>50</v>
      </c>
      <c r="D1309" s="95">
        <v>922.28</v>
      </c>
      <c r="E1309" s="95">
        <v>100.74</v>
      </c>
      <c r="F1309" s="96">
        <v>92910.49</v>
      </c>
      <c r="G1309" s="97" t="s">
        <v>95</v>
      </c>
      <c r="H1309" s="114">
        <f t="shared" si="20"/>
        <v>46204</v>
      </c>
      <c r="I1309" s="17"/>
      <c r="J1309" s="17"/>
      <c r="K1309" s="17"/>
    </row>
    <row r="1310" spans="1:11" x14ac:dyDescent="0.2">
      <c r="A1310" s="115">
        <v>46206</v>
      </c>
      <c r="B1310" s="93" t="s">
        <v>2416</v>
      </c>
      <c r="C1310" s="94" t="s">
        <v>50</v>
      </c>
      <c r="D1310" s="95">
        <v>2000.08</v>
      </c>
      <c r="E1310" s="95">
        <v>100.74</v>
      </c>
      <c r="F1310" s="96">
        <v>201488.06</v>
      </c>
      <c r="G1310" s="97" t="s">
        <v>96</v>
      </c>
      <c r="H1310" s="114">
        <f t="shared" si="20"/>
        <v>46204</v>
      </c>
      <c r="I1310" s="17"/>
      <c r="J1310" s="17"/>
      <c r="K1310" s="17"/>
    </row>
    <row r="1311" spans="1:11" x14ac:dyDescent="0.2">
      <c r="A1311" s="115">
        <v>46206</v>
      </c>
      <c r="B1311" s="93" t="s">
        <v>2417</v>
      </c>
      <c r="C1311" s="94" t="s">
        <v>13</v>
      </c>
      <c r="D1311" s="95">
        <v>600.55999999999995</v>
      </c>
      <c r="E1311" s="95">
        <v>100.74</v>
      </c>
      <c r="F1311" s="96">
        <v>60500</v>
      </c>
      <c r="G1311" s="97" t="s">
        <v>152</v>
      </c>
      <c r="H1311" s="114">
        <f t="shared" si="20"/>
        <v>46204</v>
      </c>
      <c r="I1311" s="17"/>
      <c r="J1311" s="17"/>
      <c r="K1311" s="17"/>
    </row>
    <row r="1312" spans="1:11" x14ac:dyDescent="0.2">
      <c r="A1312" s="115">
        <v>46206</v>
      </c>
      <c r="B1312" s="93" t="s">
        <v>2418</v>
      </c>
      <c r="C1312" s="94" t="s">
        <v>525</v>
      </c>
      <c r="D1312" s="95">
        <v>30</v>
      </c>
      <c r="E1312" s="95">
        <v>100.74</v>
      </c>
      <c r="F1312" s="96">
        <v>3022.2</v>
      </c>
      <c r="G1312" s="97" t="s">
        <v>58</v>
      </c>
      <c r="H1312" s="114">
        <f t="shared" si="20"/>
        <v>46204</v>
      </c>
      <c r="I1312" s="17"/>
      <c r="J1312" s="17"/>
      <c r="K1312" s="17"/>
    </row>
    <row r="1313" spans="1:11" x14ac:dyDescent="0.2">
      <c r="A1313" s="115">
        <v>46206</v>
      </c>
      <c r="B1313" s="93" t="s">
        <v>2419</v>
      </c>
      <c r="C1313" s="101" t="s">
        <v>526</v>
      </c>
      <c r="D1313" s="95">
        <v>5275.96</v>
      </c>
      <c r="E1313" s="95">
        <v>100.74</v>
      </c>
      <c r="F1313" s="96">
        <v>531500</v>
      </c>
      <c r="G1313" s="97" t="s">
        <v>58</v>
      </c>
      <c r="H1313" s="114">
        <f t="shared" si="20"/>
        <v>46204</v>
      </c>
      <c r="I1313" s="17"/>
      <c r="J1313" s="17"/>
      <c r="K1313" s="17"/>
    </row>
    <row r="1314" spans="1:11" x14ac:dyDescent="0.2">
      <c r="A1314" s="115">
        <v>46207</v>
      </c>
      <c r="B1314" s="93" t="s">
        <v>2433</v>
      </c>
      <c r="C1314" s="101" t="s">
        <v>526</v>
      </c>
      <c r="D1314" s="95">
        <v>4009.33</v>
      </c>
      <c r="E1314" s="95">
        <v>100.74</v>
      </c>
      <c r="F1314" s="96">
        <v>403900</v>
      </c>
      <c r="G1314" s="97" t="s">
        <v>58</v>
      </c>
      <c r="H1314" s="114">
        <f t="shared" si="20"/>
        <v>46204</v>
      </c>
      <c r="I1314" s="17"/>
      <c r="J1314" s="17"/>
      <c r="K1314" s="17"/>
    </row>
    <row r="1315" spans="1:11" x14ac:dyDescent="0.2">
      <c r="A1315" s="115">
        <v>46207</v>
      </c>
      <c r="B1315" s="93" t="s">
        <v>2434</v>
      </c>
      <c r="C1315" s="101" t="s">
        <v>525</v>
      </c>
      <c r="D1315" s="95">
        <v>30</v>
      </c>
      <c r="E1315" s="95">
        <v>100.74</v>
      </c>
      <c r="F1315" s="96">
        <v>3022.2</v>
      </c>
      <c r="G1315" s="97" t="s">
        <v>58</v>
      </c>
      <c r="H1315" s="114">
        <f t="shared" si="20"/>
        <v>46204</v>
      </c>
      <c r="I1315" s="17"/>
      <c r="J1315" s="17"/>
      <c r="K1315" s="17"/>
    </row>
    <row r="1316" spans="1:11" x14ac:dyDescent="0.2">
      <c r="A1316" s="115">
        <v>46207</v>
      </c>
      <c r="B1316" s="93" t="s">
        <v>2435</v>
      </c>
      <c r="C1316" s="101" t="s">
        <v>50</v>
      </c>
      <c r="D1316" s="95">
        <v>2000.04</v>
      </c>
      <c r="E1316" s="95">
        <v>100.74</v>
      </c>
      <c r="F1316" s="96">
        <v>201484.03</v>
      </c>
      <c r="G1316" s="97" t="s">
        <v>96</v>
      </c>
      <c r="H1316" s="114">
        <f t="shared" si="20"/>
        <v>46204</v>
      </c>
      <c r="I1316" s="17"/>
      <c r="J1316" s="17"/>
      <c r="K1316" s="17"/>
    </row>
    <row r="1317" spans="1:11" x14ac:dyDescent="0.2">
      <c r="A1317" s="115">
        <v>46207</v>
      </c>
      <c r="B1317" s="93" t="s">
        <v>2436</v>
      </c>
      <c r="C1317" s="101" t="s">
        <v>50</v>
      </c>
      <c r="D1317" s="95">
        <v>979.74</v>
      </c>
      <c r="E1317" s="95">
        <v>100.74</v>
      </c>
      <c r="F1317" s="96">
        <v>98699.01</v>
      </c>
      <c r="G1317" s="97" t="s">
        <v>95</v>
      </c>
      <c r="H1317" s="114">
        <f t="shared" si="20"/>
        <v>46204</v>
      </c>
      <c r="I1317" s="17"/>
      <c r="J1317" s="17"/>
      <c r="K1317" s="17"/>
    </row>
    <row r="1318" spans="1:11" x14ac:dyDescent="0.2">
      <c r="A1318" s="115">
        <v>46207</v>
      </c>
      <c r="B1318" s="93" t="s">
        <v>2437</v>
      </c>
      <c r="C1318" s="101" t="s">
        <v>13</v>
      </c>
      <c r="D1318" s="95">
        <v>1459.2</v>
      </c>
      <c r="E1318" s="95">
        <v>100.74</v>
      </c>
      <c r="F1318" s="96">
        <v>147000</v>
      </c>
      <c r="G1318" s="97" t="s">
        <v>152</v>
      </c>
      <c r="H1318" s="114">
        <f t="shared" si="20"/>
        <v>46204</v>
      </c>
      <c r="I1318" s="17"/>
      <c r="J1318" s="17"/>
      <c r="K1318" s="17"/>
    </row>
    <row r="1319" spans="1:11" x14ac:dyDescent="0.2">
      <c r="A1319" s="115">
        <v>46207</v>
      </c>
      <c r="B1319" s="93" t="s">
        <v>2438</v>
      </c>
      <c r="C1319" s="101" t="s">
        <v>13</v>
      </c>
      <c r="D1319" s="95">
        <v>176.24</v>
      </c>
      <c r="E1319" s="95">
        <v>100.74</v>
      </c>
      <c r="F1319" s="96">
        <v>17754.509999999998</v>
      </c>
      <c r="G1319" s="97" t="s">
        <v>2450</v>
      </c>
      <c r="H1319" s="114">
        <f t="shared" si="20"/>
        <v>46204</v>
      </c>
      <c r="I1319" s="17"/>
      <c r="J1319" s="17"/>
      <c r="K1319" s="17"/>
    </row>
    <row r="1320" spans="1:11" x14ac:dyDescent="0.2">
      <c r="A1320" s="115">
        <v>46207</v>
      </c>
      <c r="B1320" s="93" t="s">
        <v>2439</v>
      </c>
      <c r="C1320" s="101" t="s">
        <v>13</v>
      </c>
      <c r="D1320" s="95">
        <v>20</v>
      </c>
      <c r="E1320" s="95">
        <v>100.74</v>
      </c>
      <c r="F1320" s="96">
        <v>2014.8</v>
      </c>
      <c r="G1320" s="97" t="s">
        <v>217</v>
      </c>
      <c r="H1320" s="114">
        <f t="shared" si="20"/>
        <v>46204</v>
      </c>
      <c r="I1320" s="17"/>
      <c r="J1320" s="17"/>
      <c r="K1320" s="17"/>
    </row>
    <row r="1321" spans="1:11" x14ac:dyDescent="0.2">
      <c r="A1321" s="115">
        <v>46207</v>
      </c>
      <c r="B1321" s="93" t="s">
        <v>2440</v>
      </c>
      <c r="C1321" s="101" t="s">
        <v>1274</v>
      </c>
      <c r="D1321" s="95">
        <v>10</v>
      </c>
      <c r="E1321" s="95">
        <v>100.74</v>
      </c>
      <c r="F1321" s="96">
        <v>1007.4</v>
      </c>
      <c r="G1321" s="97" t="s">
        <v>256</v>
      </c>
      <c r="H1321" s="114">
        <f t="shared" si="20"/>
        <v>46204</v>
      </c>
      <c r="I1321" s="17"/>
      <c r="J1321" s="17"/>
      <c r="K1321" s="17"/>
    </row>
    <row r="1322" spans="1:11" x14ac:dyDescent="0.2">
      <c r="A1322" s="115">
        <v>46207</v>
      </c>
      <c r="B1322" s="93" t="s">
        <v>2441</v>
      </c>
      <c r="C1322" s="101" t="s">
        <v>13</v>
      </c>
      <c r="D1322" s="95">
        <v>15</v>
      </c>
      <c r="E1322" s="95">
        <v>100.74</v>
      </c>
      <c r="F1322" s="96">
        <v>1511.1</v>
      </c>
      <c r="G1322" s="97" t="s">
        <v>256</v>
      </c>
      <c r="H1322" s="114">
        <f t="shared" si="20"/>
        <v>46204</v>
      </c>
      <c r="I1322" s="17"/>
      <c r="J1322" s="17"/>
      <c r="K1322" s="17"/>
    </row>
    <row r="1323" spans="1:11" x14ac:dyDescent="0.2">
      <c r="A1323" s="115">
        <v>46207</v>
      </c>
      <c r="B1323" s="93" t="s">
        <v>2442</v>
      </c>
      <c r="C1323" s="101" t="s">
        <v>2447</v>
      </c>
      <c r="D1323" s="95">
        <v>19.86</v>
      </c>
      <c r="E1323" s="95">
        <v>100.74</v>
      </c>
      <c r="F1323" s="96">
        <v>2000</v>
      </c>
      <c r="G1323" s="97" t="s">
        <v>1786</v>
      </c>
      <c r="H1323" s="114">
        <f t="shared" si="20"/>
        <v>46204</v>
      </c>
      <c r="I1323" s="17"/>
      <c r="J1323" s="17"/>
      <c r="K1323" s="17"/>
    </row>
    <row r="1324" spans="1:11" x14ac:dyDescent="0.2">
      <c r="A1324" s="115">
        <v>46207</v>
      </c>
      <c r="B1324" s="93" t="s">
        <v>2443</v>
      </c>
      <c r="C1324" s="101" t="s">
        <v>2448</v>
      </c>
      <c r="D1324" s="95">
        <v>19.86</v>
      </c>
      <c r="E1324" s="95">
        <v>100.74</v>
      </c>
      <c r="F1324" s="96">
        <v>2000</v>
      </c>
      <c r="G1324" s="97" t="s">
        <v>1786</v>
      </c>
      <c r="H1324" s="114">
        <f t="shared" si="20"/>
        <v>46204</v>
      </c>
      <c r="I1324" s="17"/>
      <c r="J1324" s="17"/>
      <c r="K1324" s="17"/>
    </row>
    <row r="1325" spans="1:11" x14ac:dyDescent="0.2">
      <c r="A1325" s="115">
        <v>46207</v>
      </c>
      <c r="B1325" s="93" t="s">
        <v>2444</v>
      </c>
      <c r="C1325" s="101" t="s">
        <v>2449</v>
      </c>
      <c r="D1325" s="95">
        <v>27.8</v>
      </c>
      <c r="E1325" s="95">
        <v>100.74</v>
      </c>
      <c r="F1325" s="96">
        <v>2800</v>
      </c>
      <c r="G1325" s="97" t="s">
        <v>1786</v>
      </c>
      <c r="H1325" s="114">
        <f t="shared" si="20"/>
        <v>46204</v>
      </c>
      <c r="I1325" s="17"/>
      <c r="J1325" s="17"/>
      <c r="K1325" s="17"/>
    </row>
    <row r="1326" spans="1:11" x14ac:dyDescent="0.2">
      <c r="A1326" s="115">
        <v>46207</v>
      </c>
      <c r="B1326" s="93" t="s">
        <v>2445</v>
      </c>
      <c r="C1326" s="101" t="s">
        <v>2157</v>
      </c>
      <c r="D1326" s="95">
        <v>27.8</v>
      </c>
      <c r="E1326" s="95">
        <v>100.74</v>
      </c>
      <c r="F1326" s="96">
        <v>2800</v>
      </c>
      <c r="G1326" s="97" t="s">
        <v>1786</v>
      </c>
      <c r="H1326" s="114">
        <f t="shared" si="20"/>
        <v>46204</v>
      </c>
      <c r="I1326" s="17"/>
      <c r="J1326" s="17"/>
      <c r="K1326" s="17"/>
    </row>
    <row r="1327" spans="1:11" x14ac:dyDescent="0.2">
      <c r="A1327" s="115">
        <v>46207</v>
      </c>
      <c r="B1327" s="93" t="s">
        <v>2446</v>
      </c>
      <c r="C1327" s="101" t="s">
        <v>2158</v>
      </c>
      <c r="D1327" s="95">
        <v>27.8</v>
      </c>
      <c r="E1327" s="95">
        <v>100.74</v>
      </c>
      <c r="F1327" s="96">
        <v>2800</v>
      </c>
      <c r="G1327" s="97" t="s">
        <v>1786</v>
      </c>
      <c r="H1327" s="114">
        <f t="shared" si="20"/>
        <v>46204</v>
      </c>
      <c r="I1327" s="17"/>
      <c r="J1327" s="17"/>
      <c r="K1327" s="17"/>
    </row>
    <row r="1328" spans="1:11" x14ac:dyDescent="0.2">
      <c r="A1328" s="115">
        <v>46208</v>
      </c>
      <c r="B1328" s="93" t="s">
        <v>2456</v>
      </c>
      <c r="C1328" s="101" t="s">
        <v>1744</v>
      </c>
      <c r="D1328" s="95">
        <v>200</v>
      </c>
      <c r="E1328" s="95">
        <v>100.74</v>
      </c>
      <c r="F1328" s="96">
        <v>20148</v>
      </c>
      <c r="G1328" s="97" t="s">
        <v>2570</v>
      </c>
      <c r="H1328" s="114">
        <f t="shared" si="20"/>
        <v>46204</v>
      </c>
      <c r="I1328" s="17"/>
      <c r="J1328" s="17"/>
      <c r="K1328" s="17"/>
    </row>
    <row r="1329" spans="1:11" x14ac:dyDescent="0.2">
      <c r="A1329" s="115">
        <v>46208</v>
      </c>
      <c r="B1329" s="93" t="s">
        <v>2457</v>
      </c>
      <c r="C1329" s="101" t="s">
        <v>1746</v>
      </c>
      <c r="D1329" s="95">
        <v>200</v>
      </c>
      <c r="E1329" s="95">
        <v>100.74</v>
      </c>
      <c r="F1329" s="96">
        <v>20148</v>
      </c>
      <c r="G1329" s="97" t="s">
        <v>2570</v>
      </c>
      <c r="H1329" s="114">
        <f t="shared" si="20"/>
        <v>46204</v>
      </c>
      <c r="I1329" s="17"/>
      <c r="J1329" s="17"/>
      <c r="K1329" s="17"/>
    </row>
    <row r="1330" spans="1:11" x14ac:dyDescent="0.2">
      <c r="A1330" s="115">
        <v>46208</v>
      </c>
      <c r="B1330" s="93" t="s">
        <v>2458</v>
      </c>
      <c r="C1330" s="101" t="s">
        <v>1781</v>
      </c>
      <c r="D1330" s="95">
        <v>200</v>
      </c>
      <c r="E1330" s="95">
        <v>100.74</v>
      </c>
      <c r="F1330" s="96">
        <v>20148</v>
      </c>
      <c r="G1330" s="97" t="s">
        <v>2570</v>
      </c>
      <c r="H1330" s="114">
        <f t="shared" si="20"/>
        <v>46204</v>
      </c>
      <c r="I1330" s="17"/>
      <c r="J1330" s="17"/>
      <c r="K1330" s="17"/>
    </row>
    <row r="1331" spans="1:11" x14ac:dyDescent="0.2">
      <c r="A1331" s="115">
        <v>46208</v>
      </c>
      <c r="B1331" s="93" t="s">
        <v>2459</v>
      </c>
      <c r="C1331" s="101" t="s">
        <v>1780</v>
      </c>
      <c r="D1331" s="95">
        <v>200</v>
      </c>
      <c r="E1331" s="95">
        <v>100.74</v>
      </c>
      <c r="F1331" s="96">
        <v>20148</v>
      </c>
      <c r="G1331" s="97" t="s">
        <v>2570</v>
      </c>
      <c r="H1331" s="114">
        <f t="shared" si="20"/>
        <v>46204</v>
      </c>
      <c r="I1331" s="17"/>
      <c r="J1331" s="17"/>
      <c r="K1331" s="17"/>
    </row>
    <row r="1332" spans="1:11" x14ac:dyDescent="0.2">
      <c r="A1332" s="115">
        <v>46208</v>
      </c>
      <c r="B1332" s="93" t="s">
        <v>2460</v>
      </c>
      <c r="C1332" s="101" t="s">
        <v>1747</v>
      </c>
      <c r="D1332" s="95">
        <v>200</v>
      </c>
      <c r="E1332" s="95">
        <v>100.74</v>
      </c>
      <c r="F1332" s="96">
        <v>20148</v>
      </c>
      <c r="G1332" s="97" t="s">
        <v>2570</v>
      </c>
      <c r="H1332" s="114">
        <f t="shared" si="20"/>
        <v>46204</v>
      </c>
      <c r="I1332" s="17"/>
      <c r="J1332" s="17"/>
      <c r="K1332" s="17"/>
    </row>
    <row r="1333" spans="1:11" x14ac:dyDescent="0.2">
      <c r="A1333" s="115">
        <v>46208</v>
      </c>
      <c r="B1333" s="93" t="s">
        <v>2461</v>
      </c>
      <c r="C1333" s="101" t="s">
        <v>2487</v>
      </c>
      <c r="D1333" s="95">
        <v>19.86</v>
      </c>
      <c r="E1333" s="95">
        <v>100.74</v>
      </c>
      <c r="F1333" s="96">
        <v>2000</v>
      </c>
      <c r="G1333" s="97" t="s">
        <v>1786</v>
      </c>
      <c r="H1333" s="114">
        <f t="shared" si="20"/>
        <v>46204</v>
      </c>
      <c r="I1333" s="17"/>
      <c r="J1333" s="17"/>
      <c r="K1333" s="17"/>
    </row>
    <row r="1334" spans="1:11" x14ac:dyDescent="0.2">
      <c r="A1334" s="115">
        <v>46208</v>
      </c>
      <c r="B1334" s="93" t="s">
        <v>2462</v>
      </c>
      <c r="C1334" s="101" t="s">
        <v>2488</v>
      </c>
      <c r="D1334" s="95">
        <v>19.86</v>
      </c>
      <c r="E1334" s="95">
        <v>100.74</v>
      </c>
      <c r="F1334" s="96">
        <v>2000</v>
      </c>
      <c r="G1334" s="97" t="s">
        <v>1786</v>
      </c>
      <c r="H1334" s="114">
        <f t="shared" si="20"/>
        <v>46204</v>
      </c>
      <c r="I1334" s="17"/>
      <c r="J1334" s="17"/>
      <c r="K1334" s="17"/>
    </row>
    <row r="1335" spans="1:11" x14ac:dyDescent="0.2">
      <c r="A1335" s="115">
        <v>46208</v>
      </c>
      <c r="B1335" s="93" t="s">
        <v>2463</v>
      </c>
      <c r="C1335" s="101" t="s">
        <v>2489</v>
      </c>
      <c r="D1335" s="95">
        <v>19.86</v>
      </c>
      <c r="E1335" s="95">
        <v>100.74</v>
      </c>
      <c r="F1335" s="96">
        <v>2000</v>
      </c>
      <c r="G1335" s="97" t="s">
        <v>1786</v>
      </c>
      <c r="H1335" s="114">
        <f t="shared" si="20"/>
        <v>46204</v>
      </c>
      <c r="I1335" s="17"/>
      <c r="J1335" s="17"/>
      <c r="K1335" s="17"/>
    </row>
    <row r="1336" spans="1:11" x14ac:dyDescent="0.2">
      <c r="A1336" s="115">
        <v>46208</v>
      </c>
      <c r="B1336" s="93" t="s">
        <v>2464</v>
      </c>
      <c r="C1336" s="101" t="s">
        <v>2490</v>
      </c>
      <c r="D1336" s="95">
        <v>24.82</v>
      </c>
      <c r="E1336" s="95">
        <v>100.74</v>
      </c>
      <c r="F1336" s="96">
        <v>2500</v>
      </c>
      <c r="G1336" s="97" t="s">
        <v>1786</v>
      </c>
      <c r="H1336" s="114">
        <f t="shared" si="20"/>
        <v>46204</v>
      </c>
      <c r="I1336" s="17"/>
      <c r="J1336" s="17"/>
      <c r="K1336" s="17"/>
    </row>
    <row r="1337" spans="1:11" x14ac:dyDescent="0.2">
      <c r="A1337" s="115">
        <v>46208</v>
      </c>
      <c r="B1337" s="93" t="s">
        <v>2465</v>
      </c>
      <c r="C1337" s="101" t="s">
        <v>2491</v>
      </c>
      <c r="D1337" s="95">
        <v>24.82</v>
      </c>
      <c r="E1337" s="95">
        <v>100.74</v>
      </c>
      <c r="F1337" s="96">
        <v>2500</v>
      </c>
      <c r="G1337" s="97" t="s">
        <v>1786</v>
      </c>
      <c r="H1337" s="114">
        <f t="shared" si="20"/>
        <v>46204</v>
      </c>
      <c r="I1337" s="17"/>
      <c r="J1337" s="17"/>
      <c r="K1337" s="17"/>
    </row>
    <row r="1338" spans="1:11" x14ac:dyDescent="0.2">
      <c r="A1338" s="115">
        <v>46208</v>
      </c>
      <c r="B1338" s="93" t="s">
        <v>2466</v>
      </c>
      <c r="C1338" s="101" t="s">
        <v>2492</v>
      </c>
      <c r="D1338" s="95">
        <v>24.82</v>
      </c>
      <c r="E1338" s="95">
        <v>100.74</v>
      </c>
      <c r="F1338" s="96">
        <v>2500</v>
      </c>
      <c r="G1338" s="97" t="s">
        <v>1786</v>
      </c>
      <c r="H1338" s="114">
        <f t="shared" si="20"/>
        <v>46204</v>
      </c>
      <c r="I1338" s="17"/>
      <c r="J1338" s="17"/>
      <c r="K1338" s="17"/>
    </row>
    <row r="1339" spans="1:11" x14ac:dyDescent="0.2">
      <c r="A1339" s="115">
        <v>46208</v>
      </c>
      <c r="B1339" s="93" t="s">
        <v>2467</v>
      </c>
      <c r="C1339" s="101" t="s">
        <v>2493</v>
      </c>
      <c r="D1339" s="95">
        <v>24.82</v>
      </c>
      <c r="E1339" s="95">
        <v>100.74</v>
      </c>
      <c r="F1339" s="96">
        <v>2500</v>
      </c>
      <c r="G1339" s="97" t="s">
        <v>1786</v>
      </c>
      <c r="H1339" s="114">
        <f t="shared" si="20"/>
        <v>46204</v>
      </c>
      <c r="I1339" s="17"/>
      <c r="J1339" s="17"/>
      <c r="K1339" s="17"/>
    </row>
    <row r="1340" spans="1:11" x14ac:dyDescent="0.2">
      <c r="A1340" s="115">
        <v>46208</v>
      </c>
      <c r="B1340" s="93" t="s">
        <v>2468</v>
      </c>
      <c r="C1340" s="101" t="s">
        <v>2013</v>
      </c>
      <c r="D1340" s="95">
        <v>27.8</v>
      </c>
      <c r="E1340" s="95">
        <v>100.74</v>
      </c>
      <c r="F1340" s="96">
        <v>2800</v>
      </c>
      <c r="G1340" s="97" t="s">
        <v>1786</v>
      </c>
      <c r="H1340" s="114">
        <f t="shared" si="20"/>
        <v>46204</v>
      </c>
      <c r="I1340" s="17"/>
      <c r="J1340" s="17"/>
      <c r="K1340" s="17"/>
    </row>
    <row r="1341" spans="1:11" x14ac:dyDescent="0.2">
      <c r="A1341" s="115">
        <v>46208</v>
      </c>
      <c r="B1341" s="93" t="s">
        <v>2469</v>
      </c>
      <c r="C1341" s="101" t="s">
        <v>2157</v>
      </c>
      <c r="D1341" s="95">
        <v>27.8</v>
      </c>
      <c r="E1341" s="95">
        <v>100.74</v>
      </c>
      <c r="F1341" s="96">
        <v>2800</v>
      </c>
      <c r="G1341" s="97" t="s">
        <v>1786</v>
      </c>
      <c r="H1341" s="114">
        <f t="shared" si="20"/>
        <v>46204</v>
      </c>
      <c r="I1341" s="17"/>
      <c r="J1341" s="17"/>
      <c r="K1341" s="17"/>
    </row>
    <row r="1342" spans="1:11" x14ac:dyDescent="0.2">
      <c r="A1342" s="115">
        <v>46208</v>
      </c>
      <c r="B1342" s="93" t="s">
        <v>2470</v>
      </c>
      <c r="C1342" s="101" t="s">
        <v>2494</v>
      </c>
      <c r="D1342" s="95">
        <v>300</v>
      </c>
      <c r="E1342" s="95">
        <v>100.74</v>
      </c>
      <c r="F1342" s="96">
        <v>30222</v>
      </c>
      <c r="G1342" s="97" t="s">
        <v>1483</v>
      </c>
      <c r="H1342" s="114">
        <f t="shared" si="20"/>
        <v>46204</v>
      </c>
      <c r="I1342" s="17"/>
      <c r="J1342" s="17"/>
      <c r="K1342" s="17"/>
    </row>
    <row r="1343" spans="1:11" x14ac:dyDescent="0.2">
      <c r="A1343" s="115">
        <v>46208</v>
      </c>
      <c r="B1343" s="93" t="s">
        <v>2471</v>
      </c>
      <c r="C1343" s="101" t="s">
        <v>2495</v>
      </c>
      <c r="D1343" s="95">
        <v>25.81</v>
      </c>
      <c r="E1343" s="95">
        <v>100.74</v>
      </c>
      <c r="F1343" s="96">
        <v>2600</v>
      </c>
      <c r="G1343" s="97" t="s">
        <v>1786</v>
      </c>
      <c r="H1343" s="114">
        <f t="shared" si="20"/>
        <v>46204</v>
      </c>
      <c r="I1343" s="17"/>
      <c r="J1343" s="17"/>
      <c r="K1343" s="17"/>
    </row>
    <row r="1344" spans="1:11" x14ac:dyDescent="0.2">
      <c r="A1344" s="115">
        <v>46208</v>
      </c>
      <c r="B1344" s="93" t="s">
        <v>2472</v>
      </c>
      <c r="C1344" s="94" t="s">
        <v>2496</v>
      </c>
      <c r="D1344" s="95">
        <v>25.81</v>
      </c>
      <c r="E1344" s="95">
        <v>100.74</v>
      </c>
      <c r="F1344" s="96">
        <v>2600</v>
      </c>
      <c r="G1344" s="97" t="s">
        <v>1786</v>
      </c>
      <c r="H1344" s="114">
        <f t="shared" si="20"/>
        <v>46204</v>
      </c>
      <c r="I1344" s="17"/>
      <c r="J1344" s="17"/>
      <c r="K1344" s="17"/>
    </row>
    <row r="1345" spans="1:11" x14ac:dyDescent="0.2">
      <c r="A1345" s="115">
        <v>46208</v>
      </c>
      <c r="B1345" s="93" t="s">
        <v>2473</v>
      </c>
      <c r="C1345" s="94" t="s">
        <v>2158</v>
      </c>
      <c r="D1345" s="95">
        <v>27.8</v>
      </c>
      <c r="E1345" s="95">
        <v>100.74</v>
      </c>
      <c r="F1345" s="96">
        <v>2800</v>
      </c>
      <c r="G1345" s="97" t="s">
        <v>1786</v>
      </c>
      <c r="H1345" s="114">
        <f t="shared" si="20"/>
        <v>46204</v>
      </c>
      <c r="I1345" s="17"/>
      <c r="J1345" s="17"/>
      <c r="K1345" s="17"/>
    </row>
    <row r="1346" spans="1:11" x14ac:dyDescent="0.2">
      <c r="A1346" s="115">
        <v>46208</v>
      </c>
      <c r="B1346" s="93" t="s">
        <v>2474</v>
      </c>
      <c r="C1346" s="94" t="s">
        <v>2491</v>
      </c>
      <c r="D1346" s="95">
        <v>27.8</v>
      </c>
      <c r="E1346" s="95">
        <v>100.74</v>
      </c>
      <c r="F1346" s="96">
        <v>2800</v>
      </c>
      <c r="G1346" s="97" t="s">
        <v>1786</v>
      </c>
      <c r="H1346" s="114">
        <f t="shared" si="20"/>
        <v>46204</v>
      </c>
      <c r="I1346" s="17"/>
      <c r="J1346" s="17"/>
      <c r="K1346" s="17"/>
    </row>
    <row r="1347" spans="1:11" x14ac:dyDescent="0.2">
      <c r="A1347" s="115">
        <v>46208</v>
      </c>
      <c r="B1347" s="93" t="s">
        <v>2475</v>
      </c>
      <c r="C1347" s="94" t="s">
        <v>1157</v>
      </c>
      <c r="D1347" s="95">
        <v>78.819999999999993</v>
      </c>
      <c r="E1347" s="95">
        <v>100.74</v>
      </c>
      <c r="F1347" s="96">
        <v>7940.32</v>
      </c>
      <c r="G1347" s="97" t="s">
        <v>714</v>
      </c>
      <c r="H1347" s="114">
        <f t="shared" si="20"/>
        <v>46204</v>
      </c>
      <c r="I1347" s="17"/>
      <c r="J1347" s="17"/>
      <c r="K1347" s="17"/>
    </row>
    <row r="1348" spans="1:11" x14ac:dyDescent="0.2">
      <c r="A1348" s="115">
        <v>46208</v>
      </c>
      <c r="B1348" s="93" t="s">
        <v>2476</v>
      </c>
      <c r="C1348" s="94" t="s">
        <v>2497</v>
      </c>
      <c r="D1348" s="95">
        <v>80</v>
      </c>
      <c r="E1348" s="95">
        <v>100.74</v>
      </c>
      <c r="F1348" s="96">
        <v>8059.2</v>
      </c>
      <c r="G1348" s="97" t="s">
        <v>714</v>
      </c>
      <c r="H1348" s="114">
        <f t="shared" ref="H1348:H1411" si="21">IF(A1348&lt;&gt;"", EOMONTH(A1348, -1) + 1, "")</f>
        <v>46204</v>
      </c>
      <c r="I1348" s="17"/>
      <c r="J1348" s="17"/>
      <c r="K1348" s="17"/>
    </row>
    <row r="1349" spans="1:11" x14ac:dyDescent="0.2">
      <c r="A1349" s="115">
        <v>46208</v>
      </c>
      <c r="B1349" s="93" t="s">
        <v>2477</v>
      </c>
      <c r="C1349" s="94" t="s">
        <v>2498</v>
      </c>
      <c r="D1349" s="95">
        <v>20</v>
      </c>
      <c r="E1349" s="95">
        <v>100.74</v>
      </c>
      <c r="F1349" s="96">
        <v>2014.8</v>
      </c>
      <c r="G1349" s="97" t="s">
        <v>256</v>
      </c>
      <c r="H1349" s="114">
        <f t="shared" si="21"/>
        <v>46204</v>
      </c>
      <c r="I1349" s="17"/>
      <c r="J1349" s="17"/>
      <c r="K1349" s="17"/>
    </row>
    <row r="1350" spans="1:11" x14ac:dyDescent="0.2">
      <c r="A1350" s="115">
        <v>46208</v>
      </c>
      <c r="B1350" s="93" t="s">
        <v>2478</v>
      </c>
      <c r="C1350" s="94" t="s">
        <v>1172</v>
      </c>
      <c r="D1350" s="95">
        <v>20</v>
      </c>
      <c r="E1350" s="95">
        <v>100.74</v>
      </c>
      <c r="F1350" s="96">
        <v>2014.8</v>
      </c>
      <c r="G1350" s="97" t="s">
        <v>256</v>
      </c>
      <c r="H1350" s="114">
        <f t="shared" si="21"/>
        <v>46204</v>
      </c>
      <c r="I1350" s="17"/>
      <c r="J1350" s="17"/>
      <c r="K1350" s="17"/>
    </row>
    <row r="1351" spans="1:11" x14ac:dyDescent="0.2">
      <c r="A1351" s="115">
        <v>46208</v>
      </c>
      <c r="B1351" s="93" t="s">
        <v>2479</v>
      </c>
      <c r="C1351" s="94" t="s">
        <v>1172</v>
      </c>
      <c r="D1351" s="95">
        <v>20</v>
      </c>
      <c r="E1351" s="95">
        <v>100.74</v>
      </c>
      <c r="F1351" s="96">
        <v>2014.8</v>
      </c>
      <c r="G1351" s="97" t="s">
        <v>256</v>
      </c>
      <c r="H1351" s="114">
        <f t="shared" si="21"/>
        <v>46204</v>
      </c>
      <c r="I1351" s="17"/>
      <c r="J1351" s="17"/>
      <c r="K1351" s="17"/>
    </row>
    <row r="1352" spans="1:11" x14ac:dyDescent="0.2">
      <c r="A1352" s="115">
        <v>46208</v>
      </c>
      <c r="B1352" s="93" t="s">
        <v>2480</v>
      </c>
      <c r="C1352" s="94" t="s">
        <v>2395</v>
      </c>
      <c r="D1352" s="95">
        <v>15</v>
      </c>
      <c r="E1352" s="95">
        <v>100.74</v>
      </c>
      <c r="F1352" s="96">
        <v>1511.1</v>
      </c>
      <c r="G1352" s="97" t="s">
        <v>256</v>
      </c>
      <c r="H1352" s="114">
        <f t="shared" si="21"/>
        <v>46204</v>
      </c>
      <c r="I1352" s="17"/>
      <c r="J1352" s="17"/>
      <c r="K1352" s="17"/>
    </row>
    <row r="1353" spans="1:11" x14ac:dyDescent="0.2">
      <c r="A1353" s="115">
        <v>46208</v>
      </c>
      <c r="B1353" s="93" t="s">
        <v>2481</v>
      </c>
      <c r="C1353" s="94" t="s">
        <v>13</v>
      </c>
      <c r="D1353" s="95">
        <v>772.98</v>
      </c>
      <c r="E1353" s="95">
        <v>100.74</v>
      </c>
      <c r="F1353" s="96">
        <v>77870</v>
      </c>
      <c r="G1353" s="97" t="s">
        <v>2450</v>
      </c>
      <c r="H1353" s="114">
        <f t="shared" si="21"/>
        <v>46204</v>
      </c>
      <c r="I1353" s="17"/>
      <c r="J1353" s="17"/>
      <c r="K1353" s="17"/>
    </row>
    <row r="1354" spans="1:11" x14ac:dyDescent="0.2">
      <c r="A1354" s="115">
        <v>46208</v>
      </c>
      <c r="B1354" s="93" t="s">
        <v>2482</v>
      </c>
      <c r="C1354" s="94" t="s">
        <v>13</v>
      </c>
      <c r="D1354" s="95">
        <v>49.63</v>
      </c>
      <c r="E1354" s="95">
        <v>100.74</v>
      </c>
      <c r="F1354" s="96">
        <v>5000</v>
      </c>
      <c r="G1354" s="97" t="s">
        <v>2364</v>
      </c>
      <c r="H1354" s="114">
        <f t="shared" si="21"/>
        <v>46204</v>
      </c>
      <c r="I1354" s="17"/>
      <c r="J1354" s="17"/>
      <c r="K1354" s="17"/>
    </row>
    <row r="1355" spans="1:11" x14ac:dyDescent="0.2">
      <c r="A1355" s="115">
        <v>46208</v>
      </c>
      <c r="B1355" s="93" t="s">
        <v>2483</v>
      </c>
      <c r="C1355" s="94" t="s">
        <v>13</v>
      </c>
      <c r="D1355" s="95">
        <v>519.16</v>
      </c>
      <c r="E1355" s="95">
        <v>100.74</v>
      </c>
      <c r="F1355" s="96">
        <v>52300</v>
      </c>
      <c r="G1355" s="97" t="s">
        <v>152</v>
      </c>
      <c r="H1355" s="114">
        <f t="shared" si="21"/>
        <v>46204</v>
      </c>
      <c r="I1355" s="17"/>
      <c r="J1355" s="17"/>
      <c r="K1355" s="17"/>
    </row>
    <row r="1356" spans="1:11" x14ac:dyDescent="0.2">
      <c r="A1356" s="115">
        <v>46208</v>
      </c>
      <c r="B1356" s="93" t="s">
        <v>2484</v>
      </c>
      <c r="C1356" s="94" t="s">
        <v>526</v>
      </c>
      <c r="D1356" s="95">
        <v>1800.68</v>
      </c>
      <c r="E1356" s="95">
        <v>100.74</v>
      </c>
      <c r="F1356" s="96">
        <v>181400</v>
      </c>
      <c r="G1356" s="97" t="s">
        <v>58</v>
      </c>
      <c r="H1356" s="114">
        <f t="shared" si="21"/>
        <v>46204</v>
      </c>
      <c r="I1356" s="17"/>
      <c r="J1356" s="17"/>
      <c r="K1356" s="17"/>
    </row>
    <row r="1357" spans="1:11" x14ac:dyDescent="0.2">
      <c r="A1357" s="115">
        <v>46208</v>
      </c>
      <c r="B1357" s="93" t="s">
        <v>2485</v>
      </c>
      <c r="C1357" s="94" t="s">
        <v>525</v>
      </c>
      <c r="D1357" s="95">
        <v>29.78</v>
      </c>
      <c r="E1357" s="95">
        <v>100.74</v>
      </c>
      <c r="F1357" s="96">
        <v>3000</v>
      </c>
      <c r="G1357" s="97" t="s">
        <v>58</v>
      </c>
      <c r="H1357" s="114">
        <f t="shared" si="21"/>
        <v>46204</v>
      </c>
      <c r="I1357" s="17"/>
      <c r="J1357" s="17"/>
      <c r="K1357" s="17"/>
    </row>
    <row r="1358" spans="1:11" x14ac:dyDescent="0.2">
      <c r="A1358" s="115">
        <v>46208</v>
      </c>
      <c r="B1358" s="93" t="s">
        <v>2486</v>
      </c>
      <c r="C1358" s="94" t="s">
        <v>50</v>
      </c>
      <c r="D1358" s="95">
        <v>964.48</v>
      </c>
      <c r="E1358" s="95">
        <v>100.74</v>
      </c>
      <c r="F1358" s="96">
        <v>97161.72</v>
      </c>
      <c r="G1358" s="97" t="s">
        <v>95</v>
      </c>
      <c r="H1358" s="114">
        <f t="shared" si="21"/>
        <v>46204</v>
      </c>
      <c r="I1358" s="17"/>
      <c r="J1358" s="17"/>
      <c r="K1358" s="17"/>
    </row>
    <row r="1359" spans="1:11" x14ac:dyDescent="0.2">
      <c r="A1359" s="115">
        <v>46209</v>
      </c>
      <c r="B1359" s="93" t="s">
        <v>2504</v>
      </c>
      <c r="C1359" s="94" t="s">
        <v>2539</v>
      </c>
      <c r="D1359" s="95">
        <v>12000</v>
      </c>
      <c r="E1359" s="95">
        <v>100.74</v>
      </c>
      <c r="F1359" s="96">
        <v>1208880</v>
      </c>
      <c r="G1359" s="97" t="s">
        <v>143</v>
      </c>
      <c r="H1359" s="114">
        <f t="shared" si="21"/>
        <v>46204</v>
      </c>
      <c r="I1359" s="17"/>
      <c r="J1359" s="17"/>
      <c r="K1359" s="17"/>
    </row>
    <row r="1360" spans="1:11" x14ac:dyDescent="0.2">
      <c r="A1360" s="115">
        <v>46209</v>
      </c>
      <c r="B1360" s="93" t="s">
        <v>2505</v>
      </c>
      <c r="C1360" s="94" t="s">
        <v>2421</v>
      </c>
      <c r="D1360" s="95">
        <v>200</v>
      </c>
      <c r="E1360" s="95">
        <v>100.74</v>
      </c>
      <c r="F1360" s="96">
        <v>20148</v>
      </c>
      <c r="G1360" s="97" t="s">
        <v>2570</v>
      </c>
      <c r="H1360" s="114">
        <f t="shared" si="21"/>
        <v>46204</v>
      </c>
      <c r="I1360" s="17"/>
      <c r="J1360" s="17"/>
      <c r="K1360" s="17"/>
    </row>
    <row r="1361" spans="1:11" x14ac:dyDescent="0.2">
      <c r="A1361" s="115">
        <v>46209</v>
      </c>
      <c r="B1361" s="93" t="s">
        <v>2506</v>
      </c>
      <c r="C1361" s="94" t="s">
        <v>2420</v>
      </c>
      <c r="D1361" s="95">
        <v>200</v>
      </c>
      <c r="E1361" s="95">
        <v>100.74</v>
      </c>
      <c r="F1361" s="96">
        <v>20148</v>
      </c>
      <c r="G1361" s="97" t="s">
        <v>2570</v>
      </c>
      <c r="H1361" s="114">
        <f t="shared" si="21"/>
        <v>46204</v>
      </c>
      <c r="I1361" s="17"/>
      <c r="J1361" s="17"/>
      <c r="K1361" s="17"/>
    </row>
    <row r="1362" spans="1:11" x14ac:dyDescent="0.2">
      <c r="A1362" s="115">
        <v>46209</v>
      </c>
      <c r="B1362" s="93" t="s">
        <v>2507</v>
      </c>
      <c r="C1362" s="94" t="s">
        <v>1745</v>
      </c>
      <c r="D1362" s="95">
        <v>200</v>
      </c>
      <c r="E1362" s="95">
        <v>100.74</v>
      </c>
      <c r="F1362" s="96">
        <v>20148</v>
      </c>
      <c r="G1362" s="97" t="s">
        <v>2570</v>
      </c>
      <c r="H1362" s="114">
        <f t="shared" si="21"/>
        <v>46204</v>
      </c>
      <c r="I1362" s="17"/>
      <c r="J1362" s="17"/>
      <c r="K1362" s="17"/>
    </row>
    <row r="1363" spans="1:11" x14ac:dyDescent="0.2">
      <c r="A1363" s="115">
        <v>46209</v>
      </c>
      <c r="B1363" s="93" t="s">
        <v>2508</v>
      </c>
      <c r="C1363" s="94" t="s">
        <v>1743</v>
      </c>
      <c r="D1363" s="95">
        <v>200</v>
      </c>
      <c r="E1363" s="95">
        <v>100.74</v>
      </c>
      <c r="F1363" s="96">
        <v>20148</v>
      </c>
      <c r="G1363" s="97" t="s">
        <v>2570</v>
      </c>
      <c r="H1363" s="114">
        <f t="shared" si="21"/>
        <v>46204</v>
      </c>
      <c r="I1363" s="17"/>
      <c r="J1363" s="17"/>
      <c r="K1363" s="17"/>
    </row>
    <row r="1364" spans="1:11" x14ac:dyDescent="0.2">
      <c r="A1364" s="115">
        <v>46209</v>
      </c>
      <c r="B1364" s="93" t="s">
        <v>2509</v>
      </c>
      <c r="C1364" s="94" t="s">
        <v>2428</v>
      </c>
      <c r="D1364" s="95">
        <v>200</v>
      </c>
      <c r="E1364" s="95">
        <v>100.74</v>
      </c>
      <c r="F1364" s="96">
        <v>20148</v>
      </c>
      <c r="G1364" s="97" t="s">
        <v>2570</v>
      </c>
      <c r="H1364" s="114">
        <f t="shared" si="21"/>
        <v>46204</v>
      </c>
      <c r="I1364" s="17"/>
      <c r="J1364" s="17"/>
      <c r="K1364" s="17"/>
    </row>
    <row r="1365" spans="1:11" x14ac:dyDescent="0.2">
      <c r="A1365" s="115">
        <v>46209</v>
      </c>
      <c r="B1365" s="93" t="s">
        <v>2510</v>
      </c>
      <c r="C1365" s="94" t="s">
        <v>2427</v>
      </c>
      <c r="D1365" s="95">
        <v>200</v>
      </c>
      <c r="E1365" s="95">
        <v>100.74</v>
      </c>
      <c r="F1365" s="96">
        <v>20148</v>
      </c>
      <c r="G1365" s="97" t="s">
        <v>2570</v>
      </c>
      <c r="H1365" s="114">
        <f t="shared" si="21"/>
        <v>46204</v>
      </c>
      <c r="I1365" s="17"/>
      <c r="J1365" s="17"/>
      <c r="K1365" s="17"/>
    </row>
    <row r="1366" spans="1:11" x14ac:dyDescent="0.2">
      <c r="A1366" s="115">
        <v>46209</v>
      </c>
      <c r="B1366" s="93" t="s">
        <v>2511</v>
      </c>
      <c r="C1366" s="94" t="s">
        <v>2422</v>
      </c>
      <c r="D1366" s="95">
        <v>200</v>
      </c>
      <c r="E1366" s="95">
        <v>100.74</v>
      </c>
      <c r="F1366" s="96">
        <v>20148</v>
      </c>
      <c r="G1366" s="97" t="s">
        <v>2570</v>
      </c>
      <c r="H1366" s="114">
        <f t="shared" si="21"/>
        <v>46204</v>
      </c>
      <c r="I1366" s="17"/>
      <c r="J1366" s="17"/>
      <c r="K1366" s="17"/>
    </row>
    <row r="1367" spans="1:11" x14ac:dyDescent="0.2">
      <c r="A1367" s="115">
        <v>46209</v>
      </c>
      <c r="B1367" s="93" t="s">
        <v>2512</v>
      </c>
      <c r="C1367" s="94" t="s">
        <v>2425</v>
      </c>
      <c r="D1367" s="95">
        <v>200</v>
      </c>
      <c r="E1367" s="95">
        <v>100.74</v>
      </c>
      <c r="F1367" s="96">
        <v>20148</v>
      </c>
      <c r="G1367" s="97" t="s">
        <v>2570</v>
      </c>
      <c r="H1367" s="114">
        <f t="shared" si="21"/>
        <v>46204</v>
      </c>
      <c r="I1367" s="17"/>
      <c r="J1367" s="17"/>
      <c r="K1367" s="17"/>
    </row>
    <row r="1368" spans="1:11" x14ac:dyDescent="0.2">
      <c r="A1368" s="115">
        <v>46209</v>
      </c>
      <c r="B1368" s="93" t="s">
        <v>2513</v>
      </c>
      <c r="C1368" s="94" t="s">
        <v>2426</v>
      </c>
      <c r="D1368" s="95">
        <v>200</v>
      </c>
      <c r="E1368" s="95">
        <v>100.74</v>
      </c>
      <c r="F1368" s="96">
        <v>20148</v>
      </c>
      <c r="G1368" s="97" t="s">
        <v>2570</v>
      </c>
      <c r="H1368" s="114">
        <f t="shared" si="21"/>
        <v>46204</v>
      </c>
      <c r="I1368" s="17"/>
      <c r="J1368" s="17"/>
      <c r="K1368" s="17"/>
    </row>
    <row r="1369" spans="1:11" x14ac:dyDescent="0.2">
      <c r="A1369" s="115">
        <v>46209</v>
      </c>
      <c r="B1369" s="93" t="s">
        <v>2514</v>
      </c>
      <c r="C1369" s="94" t="s">
        <v>2423</v>
      </c>
      <c r="D1369" s="95">
        <v>200</v>
      </c>
      <c r="E1369" s="95">
        <v>100.74</v>
      </c>
      <c r="F1369" s="96">
        <v>20148</v>
      </c>
      <c r="G1369" s="97" t="s">
        <v>2570</v>
      </c>
      <c r="H1369" s="114">
        <f t="shared" si="21"/>
        <v>46204</v>
      </c>
      <c r="I1369" s="17"/>
      <c r="J1369" s="17"/>
      <c r="K1369" s="17"/>
    </row>
    <row r="1370" spans="1:11" x14ac:dyDescent="0.2">
      <c r="A1370" s="115">
        <v>46209</v>
      </c>
      <c r="B1370" s="93" t="s">
        <v>2515</v>
      </c>
      <c r="C1370" s="94" t="s">
        <v>2429</v>
      </c>
      <c r="D1370" s="95">
        <v>200</v>
      </c>
      <c r="E1370" s="95">
        <v>100.74</v>
      </c>
      <c r="F1370" s="96">
        <v>20148</v>
      </c>
      <c r="G1370" s="97" t="s">
        <v>2570</v>
      </c>
      <c r="H1370" s="114">
        <f t="shared" si="21"/>
        <v>46204</v>
      </c>
      <c r="I1370" s="17"/>
      <c r="J1370" s="17"/>
      <c r="K1370" s="17"/>
    </row>
    <row r="1371" spans="1:11" x14ac:dyDescent="0.2">
      <c r="A1371" s="115">
        <v>46209</v>
      </c>
      <c r="B1371" s="93" t="s">
        <v>2516</v>
      </c>
      <c r="C1371" s="94" t="s">
        <v>2424</v>
      </c>
      <c r="D1371" s="95">
        <v>200</v>
      </c>
      <c r="E1371" s="95">
        <v>100.74</v>
      </c>
      <c r="F1371" s="96">
        <v>20148</v>
      </c>
      <c r="G1371" s="97" t="s">
        <v>2570</v>
      </c>
      <c r="H1371" s="114">
        <f t="shared" si="21"/>
        <v>46204</v>
      </c>
      <c r="I1371" s="17"/>
      <c r="J1371" s="17"/>
      <c r="K1371" s="17"/>
    </row>
    <row r="1372" spans="1:11" x14ac:dyDescent="0.2">
      <c r="A1372" s="115">
        <v>46209</v>
      </c>
      <c r="B1372" s="93" t="s">
        <v>2517</v>
      </c>
      <c r="C1372" s="94" t="s">
        <v>41</v>
      </c>
      <c r="D1372" s="95">
        <v>49.24</v>
      </c>
      <c r="E1372" s="95">
        <v>100.74</v>
      </c>
      <c r="F1372" s="96">
        <v>4960.43</v>
      </c>
      <c r="G1372" s="97" t="s">
        <v>53</v>
      </c>
      <c r="H1372" s="114">
        <f t="shared" si="21"/>
        <v>46204</v>
      </c>
      <c r="I1372" s="17"/>
      <c r="J1372" s="17"/>
      <c r="K1372" s="17"/>
    </row>
    <row r="1373" spans="1:11" x14ac:dyDescent="0.2">
      <c r="A1373" s="115">
        <v>46209</v>
      </c>
      <c r="B1373" s="93" t="s">
        <v>2518</v>
      </c>
      <c r="C1373" s="94" t="s">
        <v>2448</v>
      </c>
      <c r="D1373" s="95">
        <v>19.86</v>
      </c>
      <c r="E1373" s="95">
        <v>100.74</v>
      </c>
      <c r="F1373" s="96">
        <v>2000</v>
      </c>
      <c r="G1373" s="97" t="s">
        <v>1786</v>
      </c>
      <c r="H1373" s="114">
        <f t="shared" si="21"/>
        <v>46204</v>
      </c>
      <c r="I1373" s="17"/>
      <c r="J1373" s="17"/>
      <c r="K1373" s="17"/>
    </row>
    <row r="1374" spans="1:11" x14ac:dyDescent="0.2">
      <c r="A1374" s="115">
        <v>46209</v>
      </c>
      <c r="B1374" s="93" t="s">
        <v>2519</v>
      </c>
      <c r="C1374" s="94" t="s">
        <v>2447</v>
      </c>
      <c r="D1374" s="95">
        <v>19.86</v>
      </c>
      <c r="E1374" s="95">
        <v>100.74</v>
      </c>
      <c r="F1374" s="96">
        <v>2000</v>
      </c>
      <c r="G1374" s="97" t="s">
        <v>1786</v>
      </c>
      <c r="H1374" s="114">
        <f t="shared" si="21"/>
        <v>46204</v>
      </c>
      <c r="I1374" s="17"/>
      <c r="J1374" s="17"/>
      <c r="K1374" s="17"/>
    </row>
    <row r="1375" spans="1:11" x14ac:dyDescent="0.2">
      <c r="A1375" s="115">
        <v>46209</v>
      </c>
      <c r="B1375" s="93" t="s">
        <v>2520</v>
      </c>
      <c r="C1375" s="94" t="s">
        <v>2540</v>
      </c>
      <c r="D1375" s="95">
        <v>24.82</v>
      </c>
      <c r="E1375" s="95">
        <v>100.74</v>
      </c>
      <c r="F1375" s="96">
        <v>2500</v>
      </c>
      <c r="G1375" s="97" t="s">
        <v>1786</v>
      </c>
      <c r="H1375" s="114">
        <f t="shared" si="21"/>
        <v>46204</v>
      </c>
      <c r="I1375" s="17"/>
      <c r="J1375" s="17"/>
      <c r="K1375" s="17"/>
    </row>
    <row r="1376" spans="1:11" x14ac:dyDescent="0.2">
      <c r="A1376" s="115">
        <v>46209</v>
      </c>
      <c r="B1376" s="93" t="s">
        <v>2521</v>
      </c>
      <c r="C1376" s="94" t="s">
        <v>2013</v>
      </c>
      <c r="D1376" s="95">
        <v>24.82</v>
      </c>
      <c r="E1376" s="95">
        <v>100.74</v>
      </c>
      <c r="F1376" s="96">
        <v>2500</v>
      </c>
      <c r="G1376" s="97" t="s">
        <v>1786</v>
      </c>
      <c r="H1376" s="114">
        <f t="shared" si="21"/>
        <v>46204</v>
      </c>
      <c r="I1376" s="17"/>
      <c r="J1376" s="17"/>
      <c r="K1376" s="17"/>
    </row>
    <row r="1377" spans="1:11" x14ac:dyDescent="0.2">
      <c r="A1377" s="115">
        <v>46209</v>
      </c>
      <c r="B1377" s="93" t="s">
        <v>2522</v>
      </c>
      <c r="C1377" s="94" t="s">
        <v>2493</v>
      </c>
      <c r="D1377" s="95">
        <v>24.82</v>
      </c>
      <c r="E1377" s="95">
        <v>100.74</v>
      </c>
      <c r="F1377" s="96">
        <v>2500</v>
      </c>
      <c r="G1377" s="97" t="s">
        <v>1786</v>
      </c>
      <c r="H1377" s="114">
        <f t="shared" si="21"/>
        <v>46204</v>
      </c>
      <c r="I1377" s="17"/>
      <c r="J1377" s="17"/>
      <c r="K1377" s="17"/>
    </row>
    <row r="1378" spans="1:11" x14ac:dyDescent="0.2">
      <c r="A1378" s="115">
        <v>46209</v>
      </c>
      <c r="B1378" s="93" t="s">
        <v>2523</v>
      </c>
      <c r="C1378" s="94" t="s">
        <v>2495</v>
      </c>
      <c r="D1378" s="95">
        <v>25.81</v>
      </c>
      <c r="E1378" s="95">
        <v>100.74</v>
      </c>
      <c r="F1378" s="96">
        <v>2600</v>
      </c>
      <c r="G1378" s="97" t="s">
        <v>1786</v>
      </c>
      <c r="H1378" s="114">
        <f t="shared" si="21"/>
        <v>46204</v>
      </c>
      <c r="I1378" s="17"/>
      <c r="J1378" s="17"/>
      <c r="K1378" s="17"/>
    </row>
    <row r="1379" spans="1:11" x14ac:dyDescent="0.2">
      <c r="A1379" s="115">
        <v>46209</v>
      </c>
      <c r="B1379" s="93" t="s">
        <v>2524</v>
      </c>
      <c r="C1379" s="94" t="s">
        <v>2496</v>
      </c>
      <c r="D1379" s="95">
        <v>25.81</v>
      </c>
      <c r="E1379" s="95">
        <v>100.74</v>
      </c>
      <c r="F1379" s="96">
        <v>2600</v>
      </c>
      <c r="G1379" s="97" t="s">
        <v>1786</v>
      </c>
      <c r="H1379" s="114">
        <f t="shared" si="21"/>
        <v>46204</v>
      </c>
      <c r="I1379" s="17"/>
      <c r="J1379" s="17"/>
      <c r="K1379" s="17"/>
    </row>
    <row r="1380" spans="1:11" x14ac:dyDescent="0.2">
      <c r="A1380" s="115">
        <v>46209</v>
      </c>
      <c r="B1380" s="93" t="s">
        <v>2525</v>
      </c>
      <c r="C1380" s="94" t="s">
        <v>2491</v>
      </c>
      <c r="D1380" s="95">
        <v>25.81</v>
      </c>
      <c r="E1380" s="95">
        <v>100.74</v>
      </c>
      <c r="F1380" s="96">
        <v>2600</v>
      </c>
      <c r="G1380" s="97" t="s">
        <v>1786</v>
      </c>
      <c r="H1380" s="114">
        <f t="shared" si="21"/>
        <v>46204</v>
      </c>
      <c r="I1380" s="17"/>
      <c r="J1380" s="17"/>
      <c r="K1380" s="17"/>
    </row>
    <row r="1381" spans="1:11" x14ac:dyDescent="0.2">
      <c r="A1381" s="115">
        <v>46209</v>
      </c>
      <c r="B1381" s="93" t="s">
        <v>2526</v>
      </c>
      <c r="C1381" s="94" t="s">
        <v>2158</v>
      </c>
      <c r="D1381" s="95">
        <v>27.8</v>
      </c>
      <c r="E1381" s="95">
        <v>100.74</v>
      </c>
      <c r="F1381" s="96">
        <v>2800</v>
      </c>
      <c r="G1381" s="97" t="s">
        <v>1786</v>
      </c>
      <c r="H1381" s="114">
        <f t="shared" si="21"/>
        <v>46204</v>
      </c>
      <c r="I1381" s="17"/>
      <c r="J1381" s="17"/>
      <c r="K1381" s="17"/>
    </row>
    <row r="1382" spans="1:11" x14ac:dyDescent="0.2">
      <c r="A1382" s="115">
        <v>46209</v>
      </c>
      <c r="B1382" s="93" t="s">
        <v>2527</v>
      </c>
      <c r="C1382" s="94" t="s">
        <v>2157</v>
      </c>
      <c r="D1382" s="95">
        <v>27.8</v>
      </c>
      <c r="E1382" s="95">
        <v>100.74</v>
      </c>
      <c r="F1382" s="96">
        <v>2800</v>
      </c>
      <c r="G1382" s="97" t="s">
        <v>1786</v>
      </c>
      <c r="H1382" s="114">
        <f t="shared" si="21"/>
        <v>46204</v>
      </c>
      <c r="I1382" s="17"/>
      <c r="J1382" s="17"/>
      <c r="K1382" s="17"/>
    </row>
    <row r="1383" spans="1:11" x14ac:dyDescent="0.2">
      <c r="A1383" s="115">
        <v>46209</v>
      </c>
      <c r="B1383" s="93" t="s">
        <v>2528</v>
      </c>
      <c r="C1383" s="94" t="s">
        <v>2541</v>
      </c>
      <c r="D1383" s="95">
        <v>27.8</v>
      </c>
      <c r="E1383" s="95">
        <v>100.74</v>
      </c>
      <c r="F1383" s="96">
        <v>2800</v>
      </c>
      <c r="G1383" s="97" t="s">
        <v>1786</v>
      </c>
      <c r="H1383" s="114">
        <f t="shared" si="21"/>
        <v>46204</v>
      </c>
      <c r="I1383" s="17"/>
      <c r="J1383" s="17"/>
      <c r="K1383" s="17"/>
    </row>
    <row r="1384" spans="1:11" x14ac:dyDescent="0.2">
      <c r="A1384" s="115">
        <v>46209</v>
      </c>
      <c r="B1384" s="93" t="s">
        <v>2529</v>
      </c>
      <c r="C1384" s="94" t="s">
        <v>2449</v>
      </c>
      <c r="D1384" s="95">
        <v>27.8</v>
      </c>
      <c r="E1384" s="95">
        <v>100.74</v>
      </c>
      <c r="F1384" s="96">
        <v>2800</v>
      </c>
      <c r="G1384" s="97" t="s">
        <v>1786</v>
      </c>
      <c r="H1384" s="114">
        <f t="shared" si="21"/>
        <v>46204</v>
      </c>
      <c r="I1384" s="17"/>
      <c r="J1384" s="17"/>
      <c r="K1384" s="17"/>
    </row>
    <row r="1385" spans="1:11" x14ac:dyDescent="0.2">
      <c r="A1385" s="115">
        <v>46209</v>
      </c>
      <c r="B1385" s="93" t="s">
        <v>2530</v>
      </c>
      <c r="C1385" s="94" t="s">
        <v>2542</v>
      </c>
      <c r="D1385" s="95">
        <v>27.8</v>
      </c>
      <c r="E1385" s="95">
        <v>100.74</v>
      </c>
      <c r="F1385" s="96">
        <v>2800</v>
      </c>
      <c r="G1385" s="97" t="s">
        <v>1786</v>
      </c>
      <c r="H1385" s="114">
        <f t="shared" si="21"/>
        <v>46204</v>
      </c>
      <c r="I1385" s="17"/>
      <c r="J1385" s="17"/>
      <c r="K1385" s="17"/>
    </row>
    <row r="1386" spans="1:11" x14ac:dyDescent="0.2">
      <c r="A1386" s="115">
        <v>46209</v>
      </c>
      <c r="B1386" s="93" t="s">
        <v>2531</v>
      </c>
      <c r="C1386" s="94" t="s">
        <v>2543</v>
      </c>
      <c r="D1386" s="95">
        <v>29.78</v>
      </c>
      <c r="E1386" s="95">
        <v>100.74</v>
      </c>
      <c r="F1386" s="96">
        <v>3000</v>
      </c>
      <c r="G1386" s="97" t="s">
        <v>1786</v>
      </c>
      <c r="H1386" s="114">
        <f t="shared" si="21"/>
        <v>46204</v>
      </c>
      <c r="I1386" s="17"/>
      <c r="J1386" s="17"/>
      <c r="K1386" s="17"/>
    </row>
    <row r="1387" spans="1:11" x14ac:dyDescent="0.2">
      <c r="A1387" s="115">
        <v>46209</v>
      </c>
      <c r="B1387" s="93" t="s">
        <v>2532</v>
      </c>
      <c r="C1387" s="94" t="s">
        <v>2544</v>
      </c>
      <c r="D1387" s="95">
        <v>29.78</v>
      </c>
      <c r="E1387" s="95">
        <v>100.74</v>
      </c>
      <c r="F1387" s="96">
        <v>3000</v>
      </c>
      <c r="G1387" s="97" t="s">
        <v>1786</v>
      </c>
      <c r="H1387" s="114">
        <f t="shared" si="21"/>
        <v>46204</v>
      </c>
      <c r="I1387" s="17"/>
      <c r="J1387" s="17"/>
      <c r="K1387" s="17"/>
    </row>
    <row r="1388" spans="1:11" x14ac:dyDescent="0.2">
      <c r="A1388" s="115">
        <v>46209</v>
      </c>
      <c r="B1388" s="93" t="s">
        <v>2533</v>
      </c>
      <c r="C1388" s="94" t="s">
        <v>2540</v>
      </c>
      <c r="D1388" s="95">
        <v>34.75</v>
      </c>
      <c r="E1388" s="95">
        <v>100.74</v>
      </c>
      <c r="F1388" s="96">
        <v>3500</v>
      </c>
      <c r="G1388" s="97" t="s">
        <v>1786</v>
      </c>
      <c r="H1388" s="114">
        <f t="shared" si="21"/>
        <v>46204</v>
      </c>
      <c r="I1388" s="17"/>
      <c r="J1388" s="17"/>
      <c r="K1388" s="17"/>
    </row>
    <row r="1389" spans="1:11" x14ac:dyDescent="0.2">
      <c r="A1389" s="115">
        <v>46209</v>
      </c>
      <c r="B1389" s="93" t="s">
        <v>2534</v>
      </c>
      <c r="C1389" s="94" t="s">
        <v>13</v>
      </c>
      <c r="D1389" s="95">
        <v>533.94000000000005</v>
      </c>
      <c r="E1389" s="95">
        <v>100.74</v>
      </c>
      <c r="F1389" s="96">
        <v>53789</v>
      </c>
      <c r="G1389" s="97" t="s">
        <v>2450</v>
      </c>
      <c r="H1389" s="114">
        <f t="shared" si="21"/>
        <v>46204</v>
      </c>
      <c r="I1389" s="17"/>
      <c r="J1389" s="17"/>
      <c r="K1389" s="17"/>
    </row>
    <row r="1390" spans="1:11" x14ac:dyDescent="0.2">
      <c r="A1390" s="115">
        <v>46209</v>
      </c>
      <c r="B1390" s="93" t="s">
        <v>2535</v>
      </c>
      <c r="C1390" s="94" t="s">
        <v>13</v>
      </c>
      <c r="D1390" s="95">
        <v>44.67</v>
      </c>
      <c r="E1390" s="95">
        <v>100.74</v>
      </c>
      <c r="F1390" s="96">
        <v>4500</v>
      </c>
      <c r="G1390" s="97" t="s">
        <v>2364</v>
      </c>
      <c r="H1390" s="114">
        <f t="shared" si="21"/>
        <v>46204</v>
      </c>
      <c r="I1390" s="17"/>
      <c r="J1390" s="17"/>
      <c r="K1390" s="17"/>
    </row>
    <row r="1391" spans="1:11" x14ac:dyDescent="0.2">
      <c r="A1391" s="115">
        <v>46209</v>
      </c>
      <c r="B1391" s="93" t="s">
        <v>2536</v>
      </c>
      <c r="C1391" s="94" t="s">
        <v>50</v>
      </c>
      <c r="D1391" s="95">
        <v>1186.0999999999999</v>
      </c>
      <c r="E1391" s="95">
        <v>100.74</v>
      </c>
      <c r="F1391" s="96">
        <v>119487.71</v>
      </c>
      <c r="G1391" s="97" t="s">
        <v>95</v>
      </c>
      <c r="H1391" s="114">
        <f t="shared" si="21"/>
        <v>46204</v>
      </c>
      <c r="I1391" s="17"/>
      <c r="J1391" s="17"/>
      <c r="K1391" s="17"/>
    </row>
    <row r="1392" spans="1:11" x14ac:dyDescent="0.2">
      <c r="A1392" s="115">
        <v>46209</v>
      </c>
      <c r="B1392" s="93" t="s">
        <v>2537</v>
      </c>
      <c r="C1392" s="94" t="s">
        <v>13</v>
      </c>
      <c r="D1392" s="95">
        <v>1107.8</v>
      </c>
      <c r="E1392" s="95">
        <v>100.74</v>
      </c>
      <c r="F1392" s="96">
        <v>111600</v>
      </c>
      <c r="G1392" s="97" t="s">
        <v>152</v>
      </c>
      <c r="H1392" s="114">
        <f t="shared" si="21"/>
        <v>46204</v>
      </c>
      <c r="I1392" s="17"/>
      <c r="J1392" s="17"/>
      <c r="K1392" s="17"/>
    </row>
    <row r="1393" spans="1:11" x14ac:dyDescent="0.2">
      <c r="A1393" s="115">
        <v>46209</v>
      </c>
      <c r="B1393" s="93" t="s">
        <v>2538</v>
      </c>
      <c r="C1393" s="94" t="s">
        <v>526</v>
      </c>
      <c r="D1393" s="95">
        <v>2668.25</v>
      </c>
      <c r="E1393" s="95">
        <v>100.74</v>
      </c>
      <c r="F1393" s="96">
        <v>268800</v>
      </c>
      <c r="G1393" s="97" t="s">
        <v>58</v>
      </c>
      <c r="H1393" s="114">
        <f t="shared" si="21"/>
        <v>46204</v>
      </c>
      <c r="I1393" s="17"/>
      <c r="J1393" s="17"/>
      <c r="K1393" s="17"/>
    </row>
    <row r="1394" spans="1:11" x14ac:dyDescent="0.2">
      <c r="A1394" s="115">
        <v>46210</v>
      </c>
      <c r="B1394" s="93" t="s">
        <v>2550</v>
      </c>
      <c r="C1394" s="94" t="s">
        <v>526</v>
      </c>
      <c r="D1394" s="95">
        <v>4525.51</v>
      </c>
      <c r="E1394" s="95">
        <v>100.74</v>
      </c>
      <c r="F1394" s="96">
        <v>455900</v>
      </c>
      <c r="G1394" s="97" t="s">
        <v>58</v>
      </c>
      <c r="H1394" s="114">
        <f t="shared" si="21"/>
        <v>46204</v>
      </c>
      <c r="I1394" s="17"/>
      <c r="J1394" s="17"/>
      <c r="K1394" s="17"/>
    </row>
    <row r="1395" spans="1:11" x14ac:dyDescent="0.2">
      <c r="A1395" s="115">
        <v>46210</v>
      </c>
      <c r="B1395" s="93" t="s">
        <v>2551</v>
      </c>
      <c r="C1395" s="94" t="s">
        <v>13</v>
      </c>
      <c r="D1395" s="95">
        <v>1534.64</v>
      </c>
      <c r="E1395" s="95">
        <v>100.74</v>
      </c>
      <c r="F1395" s="96">
        <v>154600</v>
      </c>
      <c r="G1395" s="97" t="s">
        <v>152</v>
      </c>
      <c r="H1395" s="114">
        <f t="shared" si="21"/>
        <v>46204</v>
      </c>
      <c r="I1395" s="17"/>
      <c r="J1395" s="17"/>
      <c r="K1395" s="17"/>
    </row>
    <row r="1396" spans="1:11" x14ac:dyDescent="0.2">
      <c r="A1396" s="115">
        <v>46210</v>
      </c>
      <c r="B1396" s="93" t="s">
        <v>2552</v>
      </c>
      <c r="C1396" s="94" t="s">
        <v>50</v>
      </c>
      <c r="D1396" s="95">
        <v>1134.6500000000001</v>
      </c>
      <c r="E1396" s="95">
        <v>100.74</v>
      </c>
      <c r="F1396" s="96">
        <v>114304.64</v>
      </c>
      <c r="G1396" s="97" t="s">
        <v>95</v>
      </c>
      <c r="H1396" s="114">
        <f t="shared" si="21"/>
        <v>46204</v>
      </c>
      <c r="I1396" s="17"/>
      <c r="J1396" s="17"/>
      <c r="K1396" s="17"/>
    </row>
    <row r="1397" spans="1:11" x14ac:dyDescent="0.2">
      <c r="A1397" s="115">
        <v>46210</v>
      </c>
      <c r="B1397" s="93" t="s">
        <v>2553</v>
      </c>
      <c r="C1397" s="94" t="s">
        <v>50</v>
      </c>
      <c r="D1397" s="95">
        <v>2000.02</v>
      </c>
      <c r="E1397" s="95">
        <v>100.74</v>
      </c>
      <c r="F1397" s="96">
        <v>201482.01</v>
      </c>
      <c r="G1397" s="97" t="s">
        <v>96</v>
      </c>
      <c r="H1397" s="114">
        <f t="shared" si="21"/>
        <v>46204</v>
      </c>
      <c r="I1397" s="17"/>
      <c r="J1397" s="17"/>
      <c r="K1397" s="17"/>
    </row>
    <row r="1398" spans="1:11" x14ac:dyDescent="0.2">
      <c r="A1398" s="115">
        <v>46210</v>
      </c>
      <c r="B1398" s="93" t="s">
        <v>2554</v>
      </c>
      <c r="C1398" s="94" t="s">
        <v>13</v>
      </c>
      <c r="D1398" s="95">
        <v>33.950000000000003</v>
      </c>
      <c r="E1398" s="95">
        <v>100.74</v>
      </c>
      <c r="F1398" s="96">
        <v>3420.45</v>
      </c>
      <c r="G1398" s="97" t="s">
        <v>2364</v>
      </c>
      <c r="H1398" s="114">
        <f t="shared" si="21"/>
        <v>46204</v>
      </c>
      <c r="I1398" s="17"/>
      <c r="J1398" s="17"/>
      <c r="K1398" s="17"/>
    </row>
    <row r="1399" spans="1:11" x14ac:dyDescent="0.2">
      <c r="A1399" s="115">
        <v>46210</v>
      </c>
      <c r="B1399" s="93" t="s">
        <v>2555</v>
      </c>
      <c r="C1399" s="94" t="s">
        <v>13</v>
      </c>
      <c r="D1399" s="95">
        <v>590.11</v>
      </c>
      <c r="E1399" s="95">
        <v>100.74</v>
      </c>
      <c r="F1399" s="96">
        <v>59447.9</v>
      </c>
      <c r="G1399" s="97" t="s">
        <v>2450</v>
      </c>
      <c r="H1399" s="114">
        <f t="shared" si="21"/>
        <v>46204</v>
      </c>
      <c r="I1399" s="17"/>
      <c r="J1399" s="17"/>
      <c r="K1399" s="17"/>
    </row>
    <row r="1400" spans="1:11" x14ac:dyDescent="0.2">
      <c r="A1400" s="115">
        <v>46210</v>
      </c>
      <c r="B1400" s="93" t="s">
        <v>2556</v>
      </c>
      <c r="C1400" s="94" t="s">
        <v>792</v>
      </c>
      <c r="D1400" s="95">
        <v>100</v>
      </c>
      <c r="E1400" s="95">
        <v>100.74</v>
      </c>
      <c r="F1400" s="96">
        <v>10074</v>
      </c>
      <c r="G1400" s="97" t="s">
        <v>714</v>
      </c>
      <c r="H1400" s="114">
        <f t="shared" si="21"/>
        <v>46204</v>
      </c>
      <c r="I1400" s="17"/>
      <c r="J1400" s="17"/>
      <c r="K1400" s="17"/>
    </row>
    <row r="1401" spans="1:11" x14ac:dyDescent="0.2">
      <c r="A1401" s="115">
        <v>46210</v>
      </c>
      <c r="B1401" s="93" t="s">
        <v>2557</v>
      </c>
      <c r="C1401" s="94" t="s">
        <v>44</v>
      </c>
      <c r="D1401" s="95">
        <v>44.92</v>
      </c>
      <c r="E1401" s="95">
        <v>100.74</v>
      </c>
      <c r="F1401" s="96">
        <v>4525.24</v>
      </c>
      <c r="G1401" s="97" t="s">
        <v>56</v>
      </c>
      <c r="H1401" s="114">
        <f t="shared" si="21"/>
        <v>46204</v>
      </c>
      <c r="I1401" s="17"/>
      <c r="J1401" s="17"/>
      <c r="K1401" s="17"/>
    </row>
    <row r="1402" spans="1:11" x14ac:dyDescent="0.2">
      <c r="A1402" s="115">
        <v>46210</v>
      </c>
      <c r="B1402" s="93" t="s">
        <v>2558</v>
      </c>
      <c r="C1402" s="94" t="s">
        <v>45</v>
      </c>
      <c r="D1402" s="95">
        <v>30</v>
      </c>
      <c r="E1402" s="95">
        <v>100.74</v>
      </c>
      <c r="F1402" s="96">
        <v>3022.2</v>
      </c>
      <c r="G1402" s="97" t="s">
        <v>56</v>
      </c>
      <c r="H1402" s="114">
        <f t="shared" si="21"/>
        <v>46204</v>
      </c>
      <c r="I1402" s="17"/>
      <c r="J1402" s="17"/>
      <c r="K1402" s="17"/>
    </row>
    <row r="1403" spans="1:11" x14ac:dyDescent="0.2">
      <c r="A1403" s="115">
        <v>46210</v>
      </c>
      <c r="B1403" s="93" t="s">
        <v>2559</v>
      </c>
      <c r="C1403" s="94" t="s">
        <v>45</v>
      </c>
      <c r="D1403" s="95">
        <v>46.77</v>
      </c>
      <c r="E1403" s="95">
        <v>100.74</v>
      </c>
      <c r="F1403" s="96">
        <v>4711.6000000000004</v>
      </c>
      <c r="G1403" s="97" t="s">
        <v>56</v>
      </c>
      <c r="H1403" s="114">
        <f t="shared" si="21"/>
        <v>46204</v>
      </c>
      <c r="I1403" s="17"/>
      <c r="J1403" s="17"/>
      <c r="K1403" s="17"/>
    </row>
    <row r="1404" spans="1:11" x14ac:dyDescent="0.2">
      <c r="A1404" s="115">
        <v>46210</v>
      </c>
      <c r="B1404" s="93" t="s">
        <v>2560</v>
      </c>
      <c r="C1404" s="94" t="s">
        <v>129</v>
      </c>
      <c r="D1404" s="95">
        <v>109</v>
      </c>
      <c r="E1404" s="95">
        <v>100.74</v>
      </c>
      <c r="F1404" s="96">
        <v>10980.66</v>
      </c>
      <c r="G1404" s="97" t="s">
        <v>56</v>
      </c>
      <c r="H1404" s="114">
        <f t="shared" si="21"/>
        <v>46204</v>
      </c>
      <c r="I1404" s="17"/>
      <c r="J1404" s="17"/>
      <c r="K1404" s="17"/>
    </row>
    <row r="1405" spans="1:11" x14ac:dyDescent="0.2">
      <c r="A1405" s="115">
        <v>46210</v>
      </c>
      <c r="B1405" s="93" t="s">
        <v>2561</v>
      </c>
      <c r="C1405" s="94" t="s">
        <v>872</v>
      </c>
      <c r="D1405" s="95">
        <v>350</v>
      </c>
      <c r="E1405" s="95">
        <v>100.74</v>
      </c>
      <c r="F1405" s="96">
        <v>35259</v>
      </c>
      <c r="G1405" s="97" t="s">
        <v>199</v>
      </c>
      <c r="H1405" s="114">
        <f t="shared" si="21"/>
        <v>46204</v>
      </c>
      <c r="I1405" s="17"/>
      <c r="J1405" s="17"/>
      <c r="K1405" s="17"/>
    </row>
    <row r="1406" spans="1:11" x14ac:dyDescent="0.2">
      <c r="A1406" s="115">
        <v>46210</v>
      </c>
      <c r="B1406" s="93" t="s">
        <v>2562</v>
      </c>
      <c r="C1406" s="94" t="s">
        <v>2490</v>
      </c>
      <c r="D1406" s="95">
        <v>24.82</v>
      </c>
      <c r="E1406" s="95">
        <v>100.74</v>
      </c>
      <c r="F1406" s="96">
        <v>2500</v>
      </c>
      <c r="G1406" s="97" t="s">
        <v>1786</v>
      </c>
      <c r="H1406" s="114">
        <f t="shared" si="21"/>
        <v>46204</v>
      </c>
      <c r="I1406" s="17"/>
      <c r="J1406" s="17"/>
      <c r="K1406" s="17"/>
    </row>
    <row r="1407" spans="1:11" x14ac:dyDescent="0.2">
      <c r="A1407" s="115">
        <v>46210</v>
      </c>
      <c r="B1407" s="93" t="s">
        <v>2563</v>
      </c>
      <c r="C1407" s="94" t="s">
        <v>2492</v>
      </c>
      <c r="D1407" s="95">
        <v>24.82</v>
      </c>
      <c r="E1407" s="95">
        <v>100.74</v>
      </c>
      <c r="F1407" s="96">
        <v>2500</v>
      </c>
      <c r="G1407" s="97" t="s">
        <v>1786</v>
      </c>
      <c r="H1407" s="114">
        <f t="shared" si="21"/>
        <v>46204</v>
      </c>
      <c r="I1407" s="17"/>
      <c r="J1407" s="17"/>
      <c r="K1407" s="17"/>
    </row>
    <row r="1408" spans="1:11" x14ac:dyDescent="0.2">
      <c r="A1408" s="115">
        <v>46210</v>
      </c>
      <c r="B1408" s="93" t="s">
        <v>2564</v>
      </c>
      <c r="C1408" s="94" t="s">
        <v>406</v>
      </c>
      <c r="D1408" s="95">
        <v>29.78</v>
      </c>
      <c r="E1408" s="95">
        <v>100.74</v>
      </c>
      <c r="F1408" s="96">
        <v>3000</v>
      </c>
      <c r="G1408" s="97" t="s">
        <v>1786</v>
      </c>
      <c r="H1408" s="114">
        <f t="shared" si="21"/>
        <v>46204</v>
      </c>
      <c r="I1408" s="17"/>
      <c r="J1408" s="17"/>
      <c r="K1408" s="17"/>
    </row>
    <row r="1409" spans="1:11" x14ac:dyDescent="0.2">
      <c r="A1409" s="115">
        <v>46211</v>
      </c>
      <c r="B1409" s="93" t="s">
        <v>2580</v>
      </c>
      <c r="C1409" s="94" t="s">
        <v>50</v>
      </c>
      <c r="D1409" s="95">
        <v>3000</v>
      </c>
      <c r="E1409" s="95">
        <v>100.74</v>
      </c>
      <c r="F1409" s="96">
        <v>302220</v>
      </c>
      <c r="G1409" s="97" t="s">
        <v>1073</v>
      </c>
      <c r="H1409" s="114">
        <f t="shared" si="21"/>
        <v>46204</v>
      </c>
      <c r="I1409" s="17"/>
      <c r="J1409" s="17"/>
      <c r="K1409" s="17"/>
    </row>
    <row r="1410" spans="1:11" x14ac:dyDescent="0.2">
      <c r="A1410" s="115">
        <v>46211</v>
      </c>
      <c r="B1410" s="93" t="s">
        <v>2581</v>
      </c>
      <c r="C1410" s="94" t="s">
        <v>2602</v>
      </c>
      <c r="D1410" s="95">
        <v>600</v>
      </c>
      <c r="E1410" s="95">
        <v>100.74</v>
      </c>
      <c r="F1410" s="96">
        <v>60444</v>
      </c>
      <c r="G1410" s="97" t="s">
        <v>92</v>
      </c>
      <c r="H1410" s="114">
        <f t="shared" si="21"/>
        <v>46204</v>
      </c>
      <c r="I1410" s="17"/>
      <c r="J1410" s="17"/>
      <c r="K1410" s="17"/>
    </row>
    <row r="1411" spans="1:11" x14ac:dyDescent="0.2">
      <c r="A1411" s="115">
        <v>46211</v>
      </c>
      <c r="B1411" s="93" t="s">
        <v>2582</v>
      </c>
      <c r="C1411" s="94" t="s">
        <v>1747</v>
      </c>
      <c r="D1411" s="95">
        <v>200</v>
      </c>
      <c r="E1411" s="95">
        <v>100.74</v>
      </c>
      <c r="F1411" s="96">
        <v>20148</v>
      </c>
      <c r="G1411" s="97" t="s">
        <v>2570</v>
      </c>
      <c r="H1411" s="114">
        <f t="shared" si="21"/>
        <v>46204</v>
      </c>
      <c r="I1411" s="17"/>
      <c r="J1411" s="17"/>
      <c r="K1411" s="17"/>
    </row>
    <row r="1412" spans="1:11" x14ac:dyDescent="0.2">
      <c r="A1412" s="115">
        <v>46211</v>
      </c>
      <c r="B1412" s="93" t="s">
        <v>2583</v>
      </c>
      <c r="C1412" s="94" t="s">
        <v>2603</v>
      </c>
      <c r="D1412" s="95">
        <v>200</v>
      </c>
      <c r="E1412" s="95">
        <v>100.74</v>
      </c>
      <c r="F1412" s="96">
        <v>20148</v>
      </c>
      <c r="G1412" s="97" t="s">
        <v>2570</v>
      </c>
      <c r="H1412" s="114">
        <f t="shared" ref="H1412:H1475" si="22">IF(A1412&lt;&gt;"", EOMONTH(A1412, -1) + 1, "")</f>
        <v>46204</v>
      </c>
      <c r="I1412" s="17"/>
      <c r="J1412" s="17"/>
      <c r="K1412" s="17"/>
    </row>
    <row r="1413" spans="1:11" x14ac:dyDescent="0.2">
      <c r="A1413" s="115">
        <v>46211</v>
      </c>
      <c r="B1413" s="93" t="s">
        <v>2584</v>
      </c>
      <c r="C1413" s="94" t="s">
        <v>2604</v>
      </c>
      <c r="D1413" s="95">
        <v>99.27</v>
      </c>
      <c r="E1413" s="95">
        <v>100.74</v>
      </c>
      <c r="F1413" s="96">
        <v>10000</v>
      </c>
      <c r="G1413" s="97" t="s">
        <v>2611</v>
      </c>
      <c r="H1413" s="114">
        <f t="shared" si="22"/>
        <v>46204</v>
      </c>
      <c r="I1413" s="17"/>
      <c r="J1413" s="17"/>
      <c r="K1413" s="17"/>
    </row>
    <row r="1414" spans="1:11" x14ac:dyDescent="0.2">
      <c r="A1414" s="115">
        <v>46211</v>
      </c>
      <c r="B1414" s="93" t="s">
        <v>2585</v>
      </c>
      <c r="C1414" s="94" t="s">
        <v>1275</v>
      </c>
      <c r="D1414" s="95">
        <v>20</v>
      </c>
      <c r="E1414" s="95">
        <v>100.74</v>
      </c>
      <c r="F1414" s="96">
        <v>2014.8</v>
      </c>
      <c r="G1414" s="97" t="s">
        <v>256</v>
      </c>
      <c r="H1414" s="114">
        <f t="shared" si="22"/>
        <v>46204</v>
      </c>
      <c r="I1414" s="17"/>
      <c r="J1414" s="17"/>
      <c r="K1414" s="17"/>
    </row>
    <row r="1415" spans="1:11" x14ac:dyDescent="0.2">
      <c r="A1415" s="115">
        <v>46211</v>
      </c>
      <c r="B1415" s="93" t="s">
        <v>2586</v>
      </c>
      <c r="C1415" s="94" t="s">
        <v>1275</v>
      </c>
      <c r="D1415" s="95">
        <v>15</v>
      </c>
      <c r="E1415" s="95">
        <v>100.74</v>
      </c>
      <c r="F1415" s="96">
        <v>1511.1</v>
      </c>
      <c r="G1415" s="97" t="s">
        <v>256</v>
      </c>
      <c r="H1415" s="114">
        <f t="shared" si="22"/>
        <v>46204</v>
      </c>
      <c r="I1415" s="17"/>
      <c r="J1415" s="17"/>
      <c r="K1415" s="17"/>
    </row>
    <row r="1416" spans="1:11" x14ac:dyDescent="0.2">
      <c r="A1416" s="115">
        <v>46211</v>
      </c>
      <c r="B1416" s="93" t="s">
        <v>2587</v>
      </c>
      <c r="C1416" s="94" t="s">
        <v>1274</v>
      </c>
      <c r="D1416" s="95">
        <v>20</v>
      </c>
      <c r="E1416" s="95">
        <v>100.74</v>
      </c>
      <c r="F1416" s="96">
        <v>2014.8</v>
      </c>
      <c r="G1416" s="97" t="s">
        <v>256</v>
      </c>
      <c r="H1416" s="114">
        <f t="shared" si="22"/>
        <v>46204</v>
      </c>
      <c r="I1416" s="17"/>
      <c r="J1416" s="17"/>
      <c r="K1416" s="17"/>
    </row>
    <row r="1417" spans="1:11" x14ac:dyDescent="0.2">
      <c r="A1417" s="115">
        <v>46211</v>
      </c>
      <c r="B1417" s="93" t="s">
        <v>2588</v>
      </c>
      <c r="C1417" s="94" t="s">
        <v>2395</v>
      </c>
      <c r="D1417" s="95">
        <v>15</v>
      </c>
      <c r="E1417" s="95">
        <v>100.74</v>
      </c>
      <c r="F1417" s="96">
        <v>1511.1</v>
      </c>
      <c r="G1417" s="97" t="s">
        <v>256</v>
      </c>
      <c r="H1417" s="114">
        <f t="shared" si="22"/>
        <v>46204</v>
      </c>
      <c r="I1417" s="17"/>
      <c r="J1417" s="17"/>
      <c r="K1417" s="17"/>
    </row>
    <row r="1418" spans="1:11" x14ac:dyDescent="0.2">
      <c r="A1418" s="115">
        <v>46211</v>
      </c>
      <c r="B1418" s="93" t="s">
        <v>2589</v>
      </c>
      <c r="C1418" s="94" t="s">
        <v>2604</v>
      </c>
      <c r="D1418" s="95">
        <v>50</v>
      </c>
      <c r="E1418" s="95">
        <v>100.74</v>
      </c>
      <c r="F1418" s="96">
        <v>5037</v>
      </c>
      <c r="G1418" s="97" t="s">
        <v>2611</v>
      </c>
      <c r="H1418" s="114">
        <f t="shared" si="22"/>
        <v>46204</v>
      </c>
      <c r="I1418" s="17"/>
      <c r="J1418" s="17"/>
      <c r="K1418" s="17"/>
    </row>
    <row r="1419" spans="1:11" x14ac:dyDescent="0.2">
      <c r="A1419" s="115">
        <v>46211</v>
      </c>
      <c r="B1419" s="93" t="s">
        <v>2590</v>
      </c>
      <c r="C1419" s="94" t="s">
        <v>13</v>
      </c>
      <c r="D1419" s="95">
        <v>19.850000000000001</v>
      </c>
      <c r="E1419" s="95">
        <v>100.74</v>
      </c>
      <c r="F1419" s="96">
        <v>2000</v>
      </c>
      <c r="G1419" s="97" t="s">
        <v>2364</v>
      </c>
      <c r="H1419" s="114">
        <f t="shared" si="22"/>
        <v>46204</v>
      </c>
      <c r="I1419" s="17"/>
      <c r="J1419" s="17"/>
      <c r="K1419" s="17"/>
    </row>
    <row r="1420" spans="1:11" x14ac:dyDescent="0.2">
      <c r="A1420" s="115">
        <v>46211</v>
      </c>
      <c r="B1420" s="93" t="s">
        <v>2591</v>
      </c>
      <c r="C1420" s="94" t="s">
        <v>13</v>
      </c>
      <c r="D1420" s="95">
        <v>924.17</v>
      </c>
      <c r="E1420" s="95">
        <v>100.74</v>
      </c>
      <c r="F1420" s="96">
        <v>93100.75</v>
      </c>
      <c r="G1420" s="97" t="s">
        <v>2450</v>
      </c>
      <c r="H1420" s="114">
        <f t="shared" si="22"/>
        <v>46204</v>
      </c>
      <c r="I1420" s="17"/>
      <c r="J1420" s="17"/>
      <c r="K1420" s="17"/>
    </row>
    <row r="1421" spans="1:11" x14ac:dyDescent="0.2">
      <c r="A1421" s="115">
        <v>46211</v>
      </c>
      <c r="B1421" s="93" t="s">
        <v>2592</v>
      </c>
      <c r="C1421" s="94" t="s">
        <v>50</v>
      </c>
      <c r="D1421" s="95">
        <v>919.05</v>
      </c>
      <c r="E1421" s="95">
        <v>100.74</v>
      </c>
      <c r="F1421" s="96">
        <v>92585.1</v>
      </c>
      <c r="G1421" s="97" t="s">
        <v>95</v>
      </c>
      <c r="H1421" s="114">
        <f t="shared" si="22"/>
        <v>46204</v>
      </c>
      <c r="I1421" s="17"/>
      <c r="J1421" s="17"/>
      <c r="K1421" s="17"/>
    </row>
    <row r="1422" spans="1:11" x14ac:dyDescent="0.2">
      <c r="A1422" s="115">
        <v>46211</v>
      </c>
      <c r="B1422" s="93" t="s">
        <v>2593</v>
      </c>
      <c r="C1422" s="94" t="s">
        <v>13</v>
      </c>
      <c r="D1422" s="95">
        <v>1841.37</v>
      </c>
      <c r="E1422" s="95">
        <v>100.74</v>
      </c>
      <c r="F1422" s="96">
        <v>185500</v>
      </c>
      <c r="G1422" s="97" t="s">
        <v>152</v>
      </c>
      <c r="H1422" s="114">
        <f t="shared" si="22"/>
        <v>46204</v>
      </c>
      <c r="I1422" s="17"/>
      <c r="J1422" s="17"/>
      <c r="K1422" s="17"/>
    </row>
    <row r="1423" spans="1:11" x14ac:dyDescent="0.2">
      <c r="A1423" s="115">
        <v>46211</v>
      </c>
      <c r="B1423" s="93" t="s">
        <v>2594</v>
      </c>
      <c r="C1423" s="94" t="s">
        <v>525</v>
      </c>
      <c r="D1423" s="95">
        <v>9.93</v>
      </c>
      <c r="E1423" s="95">
        <v>100.74</v>
      </c>
      <c r="F1423" s="96">
        <v>1000</v>
      </c>
      <c r="G1423" s="97" t="s">
        <v>58</v>
      </c>
      <c r="H1423" s="114">
        <f t="shared" si="22"/>
        <v>46204</v>
      </c>
      <c r="I1423" s="17"/>
      <c r="J1423" s="17"/>
      <c r="K1423" s="17"/>
    </row>
    <row r="1424" spans="1:11" x14ac:dyDescent="0.2">
      <c r="A1424" s="115">
        <v>46211</v>
      </c>
      <c r="B1424" s="93" t="s">
        <v>2595</v>
      </c>
      <c r="C1424" s="94" t="s">
        <v>526</v>
      </c>
      <c r="D1424" s="95">
        <v>3489.18</v>
      </c>
      <c r="E1424" s="95">
        <v>100.74</v>
      </c>
      <c r="F1424" s="96">
        <v>351500</v>
      </c>
      <c r="G1424" s="97" t="s">
        <v>58</v>
      </c>
      <c r="H1424" s="114">
        <f t="shared" si="22"/>
        <v>46204</v>
      </c>
      <c r="I1424" s="17"/>
      <c r="J1424" s="17"/>
      <c r="K1424" s="17"/>
    </row>
    <row r="1425" spans="1:11" x14ac:dyDescent="0.2">
      <c r="A1425" s="115">
        <v>46211</v>
      </c>
      <c r="B1425" s="93" t="s">
        <v>2596</v>
      </c>
      <c r="C1425" s="94" t="s">
        <v>2605</v>
      </c>
      <c r="D1425" s="95">
        <v>198.53</v>
      </c>
      <c r="E1425" s="95">
        <v>100.74</v>
      </c>
      <c r="F1425" s="96">
        <v>20000</v>
      </c>
      <c r="G1425" s="97" t="s">
        <v>2612</v>
      </c>
      <c r="H1425" s="114">
        <f t="shared" si="22"/>
        <v>46204</v>
      </c>
      <c r="I1425" s="17"/>
      <c r="J1425" s="17"/>
      <c r="K1425" s="17"/>
    </row>
    <row r="1426" spans="1:11" x14ac:dyDescent="0.2">
      <c r="A1426" s="115">
        <v>46211</v>
      </c>
      <c r="B1426" s="93" t="s">
        <v>2597</v>
      </c>
      <c r="C1426" s="94" t="s">
        <v>2606</v>
      </c>
      <c r="D1426" s="95">
        <v>198.53</v>
      </c>
      <c r="E1426" s="95">
        <v>100.74</v>
      </c>
      <c r="F1426" s="96">
        <v>20000</v>
      </c>
      <c r="G1426" s="97" t="s">
        <v>2612</v>
      </c>
      <c r="H1426" s="114">
        <f t="shared" si="22"/>
        <v>46204</v>
      </c>
      <c r="I1426" s="17"/>
      <c r="J1426" s="17"/>
      <c r="K1426" s="17"/>
    </row>
    <row r="1427" spans="1:11" x14ac:dyDescent="0.2">
      <c r="A1427" s="115">
        <v>46211</v>
      </c>
      <c r="B1427" s="93" t="s">
        <v>2598</v>
      </c>
      <c r="C1427" s="94" t="s">
        <v>2607</v>
      </c>
      <c r="D1427" s="95">
        <v>198.53</v>
      </c>
      <c r="E1427" s="95">
        <v>100.74</v>
      </c>
      <c r="F1427" s="96">
        <v>20000</v>
      </c>
      <c r="G1427" s="97" t="s">
        <v>2612</v>
      </c>
      <c r="H1427" s="114">
        <f t="shared" si="22"/>
        <v>46204</v>
      </c>
      <c r="I1427" s="17"/>
      <c r="J1427" s="17"/>
      <c r="K1427" s="17"/>
    </row>
    <row r="1428" spans="1:11" x14ac:dyDescent="0.2">
      <c r="A1428" s="115">
        <v>46211</v>
      </c>
      <c r="B1428" s="93" t="s">
        <v>2599</v>
      </c>
      <c r="C1428" s="94" t="s">
        <v>2608</v>
      </c>
      <c r="D1428" s="95">
        <v>198.53</v>
      </c>
      <c r="E1428" s="95">
        <v>100.74</v>
      </c>
      <c r="F1428" s="96">
        <v>20000</v>
      </c>
      <c r="G1428" s="97" t="s">
        <v>2612</v>
      </c>
      <c r="H1428" s="114">
        <f t="shared" si="22"/>
        <v>46204</v>
      </c>
      <c r="I1428" s="17"/>
      <c r="J1428" s="17"/>
      <c r="K1428" s="17"/>
    </row>
    <row r="1429" spans="1:11" x14ac:dyDescent="0.2">
      <c r="A1429" s="115">
        <v>46211</v>
      </c>
      <c r="B1429" s="93" t="s">
        <v>2600</v>
      </c>
      <c r="C1429" s="94" t="s">
        <v>2609</v>
      </c>
      <c r="D1429" s="95">
        <v>198.53</v>
      </c>
      <c r="E1429" s="95">
        <v>100.74</v>
      </c>
      <c r="F1429" s="96">
        <v>20000</v>
      </c>
      <c r="G1429" s="97" t="s">
        <v>2612</v>
      </c>
      <c r="H1429" s="114">
        <f t="shared" si="22"/>
        <v>46204</v>
      </c>
      <c r="I1429" s="17"/>
      <c r="J1429" s="17"/>
      <c r="K1429" s="17"/>
    </row>
    <row r="1430" spans="1:11" x14ac:dyDescent="0.2">
      <c r="A1430" s="115">
        <v>46211</v>
      </c>
      <c r="B1430" s="93" t="s">
        <v>2601</v>
      </c>
      <c r="C1430" s="94" t="s">
        <v>2610</v>
      </c>
      <c r="D1430" s="95">
        <v>198.53</v>
      </c>
      <c r="E1430" s="95">
        <v>100.74</v>
      </c>
      <c r="F1430" s="96">
        <v>20000</v>
      </c>
      <c r="G1430" s="97" t="s">
        <v>2612</v>
      </c>
      <c r="H1430" s="114">
        <f t="shared" si="22"/>
        <v>46204</v>
      </c>
      <c r="I1430" s="17"/>
      <c r="J1430" s="17"/>
      <c r="K1430" s="17"/>
    </row>
    <row r="1431" spans="1:11" x14ac:dyDescent="0.2">
      <c r="A1431" s="115">
        <v>46212</v>
      </c>
      <c r="B1431" s="93" t="s">
        <v>2624</v>
      </c>
      <c r="C1431" s="94" t="s">
        <v>180</v>
      </c>
      <c r="D1431" s="95">
        <v>12000</v>
      </c>
      <c r="E1431" s="95">
        <v>99.5</v>
      </c>
      <c r="F1431" s="96">
        <v>1194000</v>
      </c>
      <c r="G1431" s="97" t="s">
        <v>143</v>
      </c>
      <c r="H1431" s="114">
        <f t="shared" si="22"/>
        <v>46204</v>
      </c>
      <c r="I1431" s="17"/>
      <c r="J1431" s="17"/>
      <c r="K1431" s="17"/>
    </row>
    <row r="1432" spans="1:11" x14ac:dyDescent="0.2">
      <c r="A1432" s="115">
        <v>46212</v>
      </c>
      <c r="B1432" s="93" t="s">
        <v>2625</v>
      </c>
      <c r="C1432" s="94" t="s">
        <v>40</v>
      </c>
      <c r="D1432" s="95">
        <v>12000</v>
      </c>
      <c r="E1432" s="95">
        <v>99.5</v>
      </c>
      <c r="F1432" s="96">
        <v>1194000</v>
      </c>
      <c r="G1432" s="97" t="s">
        <v>51</v>
      </c>
      <c r="H1432" s="114">
        <f t="shared" si="22"/>
        <v>46204</v>
      </c>
      <c r="I1432" s="17"/>
      <c r="J1432" s="17"/>
      <c r="K1432" s="17"/>
    </row>
    <row r="1433" spans="1:11" x14ac:dyDescent="0.2">
      <c r="A1433" s="115">
        <v>46212</v>
      </c>
      <c r="B1433" s="93" t="s">
        <v>2626</v>
      </c>
      <c r="C1433" s="94" t="s">
        <v>39</v>
      </c>
      <c r="D1433" s="95">
        <v>18000</v>
      </c>
      <c r="E1433" s="95">
        <v>99.5</v>
      </c>
      <c r="F1433" s="96">
        <v>1791000</v>
      </c>
      <c r="G1433" s="97" t="s">
        <v>51</v>
      </c>
      <c r="H1433" s="114">
        <f t="shared" si="22"/>
        <v>46204</v>
      </c>
      <c r="I1433" s="17"/>
      <c r="J1433" s="17"/>
      <c r="K1433" s="17"/>
    </row>
    <row r="1434" spans="1:11" x14ac:dyDescent="0.2">
      <c r="A1434" s="115">
        <v>46212</v>
      </c>
      <c r="B1434" s="93" t="s">
        <v>2638</v>
      </c>
      <c r="C1434" s="94" t="s">
        <v>50</v>
      </c>
      <c r="D1434" s="95">
        <v>248.22</v>
      </c>
      <c r="E1434" s="95">
        <v>100.74</v>
      </c>
      <c r="F1434" s="96">
        <v>25005.68</v>
      </c>
      <c r="G1434" s="97" t="s">
        <v>2611</v>
      </c>
      <c r="H1434" s="114">
        <f t="shared" si="22"/>
        <v>46204</v>
      </c>
      <c r="I1434" s="17"/>
      <c r="J1434" s="17"/>
      <c r="K1434" s="17"/>
    </row>
    <row r="1435" spans="1:11" x14ac:dyDescent="0.2">
      <c r="A1435" s="115">
        <v>46212</v>
      </c>
      <c r="B1435" s="93" t="s">
        <v>2639</v>
      </c>
      <c r="C1435" s="94" t="s">
        <v>50</v>
      </c>
      <c r="D1435" s="95">
        <v>2024.21</v>
      </c>
      <c r="E1435" s="95">
        <v>100.74</v>
      </c>
      <c r="F1435" s="96">
        <v>203918.92</v>
      </c>
      <c r="G1435" s="97" t="s">
        <v>95</v>
      </c>
      <c r="H1435" s="114">
        <f t="shared" si="22"/>
        <v>46204</v>
      </c>
      <c r="I1435" s="17"/>
      <c r="J1435" s="17"/>
      <c r="K1435" s="17"/>
    </row>
    <row r="1436" spans="1:11" x14ac:dyDescent="0.2">
      <c r="A1436" s="115">
        <v>46212</v>
      </c>
      <c r="B1436" s="93" t="s">
        <v>2640</v>
      </c>
      <c r="C1436" s="94" t="s">
        <v>50</v>
      </c>
      <c r="D1436" s="95">
        <v>2000</v>
      </c>
      <c r="E1436" s="95">
        <v>100.74</v>
      </c>
      <c r="F1436" s="96">
        <v>201480</v>
      </c>
      <c r="G1436" s="97" t="s">
        <v>96</v>
      </c>
      <c r="H1436" s="114">
        <f t="shared" si="22"/>
        <v>46204</v>
      </c>
      <c r="I1436" s="17"/>
      <c r="J1436" s="17"/>
      <c r="K1436" s="17"/>
    </row>
    <row r="1437" spans="1:11" x14ac:dyDescent="0.2">
      <c r="A1437" s="115">
        <v>46212</v>
      </c>
      <c r="B1437" s="93" t="s">
        <v>2641</v>
      </c>
      <c r="C1437" s="94" t="s">
        <v>50</v>
      </c>
      <c r="D1437" s="95">
        <v>2000.03</v>
      </c>
      <c r="E1437" s="95">
        <v>100.74</v>
      </c>
      <c r="F1437" s="96">
        <v>201483.02</v>
      </c>
      <c r="G1437" s="97" t="s">
        <v>901</v>
      </c>
      <c r="H1437" s="114">
        <f t="shared" si="22"/>
        <v>46204</v>
      </c>
      <c r="I1437" s="17"/>
      <c r="J1437" s="17"/>
      <c r="K1437" s="17"/>
    </row>
    <row r="1438" spans="1:11" x14ac:dyDescent="0.2">
      <c r="A1438" s="115">
        <v>46212</v>
      </c>
      <c r="B1438" s="93" t="s">
        <v>2642</v>
      </c>
      <c r="C1438" s="94" t="s">
        <v>13</v>
      </c>
      <c r="D1438" s="95">
        <v>1357.95</v>
      </c>
      <c r="E1438" s="95">
        <v>100.74</v>
      </c>
      <c r="F1438" s="96">
        <v>136800</v>
      </c>
      <c r="G1438" s="97" t="s">
        <v>152</v>
      </c>
      <c r="H1438" s="114">
        <f t="shared" si="22"/>
        <v>46204</v>
      </c>
      <c r="I1438" s="17"/>
      <c r="J1438" s="17"/>
      <c r="K1438" s="17"/>
    </row>
    <row r="1439" spans="1:11" x14ac:dyDescent="0.2">
      <c r="A1439" s="115">
        <v>46212</v>
      </c>
      <c r="B1439" s="93" t="s">
        <v>2643</v>
      </c>
      <c r="C1439" s="94" t="s">
        <v>525</v>
      </c>
      <c r="D1439" s="95">
        <v>49.63</v>
      </c>
      <c r="E1439" s="95">
        <v>100.74</v>
      </c>
      <c r="F1439" s="96">
        <v>5000</v>
      </c>
      <c r="G1439" s="97" t="s">
        <v>58</v>
      </c>
      <c r="H1439" s="114">
        <f t="shared" si="22"/>
        <v>46204</v>
      </c>
      <c r="I1439" s="17"/>
      <c r="J1439" s="17"/>
      <c r="K1439" s="17"/>
    </row>
    <row r="1440" spans="1:11" x14ac:dyDescent="0.2">
      <c r="A1440" s="115">
        <v>46212</v>
      </c>
      <c r="B1440" s="93" t="s">
        <v>2644</v>
      </c>
      <c r="C1440" s="94" t="s">
        <v>526</v>
      </c>
      <c r="D1440" s="95">
        <v>4746.87</v>
      </c>
      <c r="E1440" s="95">
        <v>100.74</v>
      </c>
      <c r="F1440" s="96">
        <v>478200</v>
      </c>
      <c r="G1440" s="97" t="s">
        <v>58</v>
      </c>
      <c r="H1440" s="114">
        <f t="shared" si="22"/>
        <v>46204</v>
      </c>
      <c r="I1440" s="17"/>
      <c r="J1440" s="17"/>
      <c r="K1440" s="17"/>
    </row>
    <row r="1441" spans="1:11" x14ac:dyDescent="0.2">
      <c r="A1441" s="115">
        <v>46212</v>
      </c>
      <c r="B1441" s="93" t="s">
        <v>2645</v>
      </c>
      <c r="C1441" s="94" t="s">
        <v>13</v>
      </c>
      <c r="D1441" s="95">
        <v>39.71</v>
      </c>
      <c r="E1441" s="95">
        <v>100.74</v>
      </c>
      <c r="F1441" s="96">
        <v>4000</v>
      </c>
      <c r="G1441" s="97" t="s">
        <v>2364</v>
      </c>
      <c r="H1441" s="114">
        <f t="shared" si="22"/>
        <v>46204</v>
      </c>
      <c r="I1441" s="17"/>
      <c r="J1441" s="17"/>
      <c r="K1441" s="17"/>
    </row>
    <row r="1442" spans="1:11" x14ac:dyDescent="0.2">
      <c r="A1442" s="115">
        <v>46212</v>
      </c>
      <c r="B1442" s="93" t="s">
        <v>2646</v>
      </c>
      <c r="C1442" s="94" t="s">
        <v>13</v>
      </c>
      <c r="D1442" s="95">
        <v>1150.9100000000001</v>
      </c>
      <c r="E1442" s="95">
        <v>100.74</v>
      </c>
      <c r="F1442" s="96">
        <v>115942.82</v>
      </c>
      <c r="G1442" s="97" t="s">
        <v>2450</v>
      </c>
      <c r="H1442" s="114">
        <f t="shared" si="22"/>
        <v>46204</v>
      </c>
      <c r="I1442" s="17"/>
      <c r="J1442" s="17"/>
      <c r="K1442" s="17"/>
    </row>
    <row r="1443" spans="1:11" x14ac:dyDescent="0.2">
      <c r="A1443" s="115">
        <v>46212</v>
      </c>
      <c r="B1443" s="93" t="s">
        <v>2653</v>
      </c>
      <c r="C1443" s="94" t="s">
        <v>1743</v>
      </c>
      <c r="D1443" s="95">
        <v>200</v>
      </c>
      <c r="E1443" s="95">
        <v>100.74</v>
      </c>
      <c r="F1443" s="96">
        <v>20148</v>
      </c>
      <c r="G1443" s="97" t="s">
        <v>2570</v>
      </c>
      <c r="H1443" s="114">
        <f t="shared" si="22"/>
        <v>46204</v>
      </c>
      <c r="I1443" s="17"/>
      <c r="J1443" s="17"/>
      <c r="K1443" s="17"/>
    </row>
    <row r="1444" spans="1:11" x14ac:dyDescent="0.2">
      <c r="A1444" s="115">
        <v>46212</v>
      </c>
      <c r="B1444" s="93" t="s">
        <v>2654</v>
      </c>
      <c r="C1444" s="94" t="s">
        <v>45</v>
      </c>
      <c r="D1444" s="95">
        <v>41</v>
      </c>
      <c r="E1444" s="95">
        <v>100.74</v>
      </c>
      <c r="F1444" s="96">
        <v>4130.34</v>
      </c>
      <c r="G1444" s="97" t="s">
        <v>56</v>
      </c>
      <c r="H1444" s="114">
        <f t="shared" si="22"/>
        <v>46204</v>
      </c>
      <c r="I1444" s="17"/>
      <c r="J1444" s="17"/>
      <c r="K1444" s="17"/>
    </row>
    <row r="1445" spans="1:11" x14ac:dyDescent="0.2">
      <c r="A1445" s="115">
        <v>46212</v>
      </c>
      <c r="B1445" s="93" t="s">
        <v>2655</v>
      </c>
      <c r="C1445" s="94" t="s">
        <v>1172</v>
      </c>
      <c r="D1445" s="95">
        <v>20</v>
      </c>
      <c r="E1445" s="95">
        <v>100.74</v>
      </c>
      <c r="F1445" s="96">
        <v>2014.8</v>
      </c>
      <c r="G1445" s="97" t="s">
        <v>256</v>
      </c>
      <c r="H1445" s="114">
        <f t="shared" si="22"/>
        <v>46204</v>
      </c>
      <c r="I1445" s="17"/>
      <c r="J1445" s="17"/>
      <c r="K1445" s="17"/>
    </row>
    <row r="1446" spans="1:11" x14ac:dyDescent="0.2">
      <c r="A1446" s="115">
        <v>46212</v>
      </c>
      <c r="B1446" s="93" t="s">
        <v>2656</v>
      </c>
      <c r="C1446" s="94" t="s">
        <v>2663</v>
      </c>
      <c r="D1446" s="95">
        <v>10</v>
      </c>
      <c r="E1446" s="95">
        <v>100.74</v>
      </c>
      <c r="F1446" s="96">
        <v>1007.4</v>
      </c>
      <c r="G1446" s="97" t="s">
        <v>256</v>
      </c>
      <c r="H1446" s="114">
        <f t="shared" si="22"/>
        <v>46204</v>
      </c>
      <c r="I1446" s="17"/>
      <c r="J1446" s="17"/>
      <c r="K1446" s="17"/>
    </row>
    <row r="1447" spans="1:11" x14ac:dyDescent="0.2">
      <c r="A1447" s="115">
        <v>46212</v>
      </c>
      <c r="B1447" s="93" t="s">
        <v>2657</v>
      </c>
      <c r="C1447" s="94" t="s">
        <v>2665</v>
      </c>
      <c r="D1447" s="95">
        <v>20</v>
      </c>
      <c r="E1447" s="95">
        <v>100.74</v>
      </c>
      <c r="F1447" s="96">
        <v>2014.8</v>
      </c>
      <c r="G1447" s="97" t="s">
        <v>714</v>
      </c>
      <c r="H1447" s="114">
        <f t="shared" si="22"/>
        <v>46204</v>
      </c>
      <c r="I1447" s="17"/>
      <c r="J1447" s="17"/>
      <c r="K1447" s="17"/>
    </row>
    <row r="1448" spans="1:11" x14ac:dyDescent="0.2">
      <c r="A1448" s="115">
        <v>46212</v>
      </c>
      <c r="B1448" s="93" t="s">
        <v>2658</v>
      </c>
      <c r="C1448" s="94" t="s">
        <v>760</v>
      </c>
      <c r="D1448" s="95">
        <v>20</v>
      </c>
      <c r="E1448" s="95">
        <v>100.74</v>
      </c>
      <c r="F1448" s="96">
        <v>2014.8</v>
      </c>
      <c r="G1448" s="97" t="s">
        <v>714</v>
      </c>
      <c r="H1448" s="114">
        <f t="shared" si="22"/>
        <v>46204</v>
      </c>
      <c r="I1448" s="17"/>
      <c r="J1448" s="17"/>
      <c r="K1448" s="17"/>
    </row>
    <row r="1449" spans="1:11" x14ac:dyDescent="0.2">
      <c r="A1449" s="115">
        <v>46212</v>
      </c>
      <c r="B1449" s="93" t="s">
        <v>2659</v>
      </c>
      <c r="C1449" s="94" t="s">
        <v>742</v>
      </c>
      <c r="D1449" s="95">
        <v>119</v>
      </c>
      <c r="E1449" s="95">
        <v>100.74</v>
      </c>
      <c r="F1449" s="96">
        <v>11988.06</v>
      </c>
      <c r="G1449" s="97" t="s">
        <v>714</v>
      </c>
      <c r="H1449" s="114">
        <f t="shared" si="22"/>
        <v>46204</v>
      </c>
      <c r="I1449" s="17"/>
      <c r="J1449" s="17"/>
      <c r="K1449" s="17"/>
    </row>
    <row r="1450" spans="1:11" x14ac:dyDescent="0.2">
      <c r="A1450" s="115">
        <v>46212</v>
      </c>
      <c r="B1450" s="93" t="s">
        <v>2660</v>
      </c>
      <c r="C1450" s="94" t="s">
        <v>180</v>
      </c>
      <c r="D1450" s="95">
        <v>200</v>
      </c>
      <c r="E1450" s="95">
        <v>100.74</v>
      </c>
      <c r="F1450" s="96">
        <v>20148</v>
      </c>
      <c r="G1450" s="97" t="s">
        <v>54</v>
      </c>
      <c r="H1450" s="114">
        <f t="shared" si="22"/>
        <v>46204</v>
      </c>
      <c r="I1450" s="17"/>
      <c r="J1450" s="17"/>
      <c r="K1450" s="17"/>
    </row>
    <row r="1451" spans="1:11" x14ac:dyDescent="0.2">
      <c r="A1451" s="115">
        <v>46212</v>
      </c>
      <c r="B1451" s="93" t="s">
        <v>2661</v>
      </c>
      <c r="C1451" s="94" t="s">
        <v>1426</v>
      </c>
      <c r="D1451" s="95">
        <v>353.99</v>
      </c>
      <c r="E1451" s="95">
        <v>100.74</v>
      </c>
      <c r="F1451" s="96">
        <v>35660.949999999997</v>
      </c>
      <c r="G1451" s="97" t="s">
        <v>199</v>
      </c>
      <c r="H1451" s="114">
        <f t="shared" si="22"/>
        <v>46204</v>
      </c>
      <c r="I1451" s="17"/>
      <c r="J1451" s="17"/>
      <c r="K1451" s="17"/>
    </row>
    <row r="1452" spans="1:11" x14ac:dyDescent="0.2">
      <c r="A1452" s="115">
        <v>46212</v>
      </c>
      <c r="B1452" s="93" t="s">
        <v>2662</v>
      </c>
      <c r="C1452" s="94" t="s">
        <v>2664</v>
      </c>
      <c r="D1452" s="95">
        <v>258.02</v>
      </c>
      <c r="E1452" s="95">
        <v>100.74</v>
      </c>
      <c r="F1452" s="96">
        <v>25992.93</v>
      </c>
      <c r="G1452" s="97" t="s">
        <v>199</v>
      </c>
      <c r="H1452" s="114">
        <f t="shared" si="22"/>
        <v>46204</v>
      </c>
      <c r="I1452" s="17"/>
      <c r="J1452" s="17"/>
      <c r="K1452" s="17"/>
    </row>
    <row r="1453" spans="1:11" x14ac:dyDescent="0.2">
      <c r="A1453" s="115">
        <v>46213</v>
      </c>
      <c r="B1453" s="93" t="s">
        <v>2668</v>
      </c>
      <c r="C1453" s="94" t="s">
        <v>42</v>
      </c>
      <c r="D1453" s="95">
        <v>12000</v>
      </c>
      <c r="E1453" s="95">
        <v>99.5</v>
      </c>
      <c r="F1453" s="96">
        <v>1194000</v>
      </c>
      <c r="G1453" s="97" t="s">
        <v>143</v>
      </c>
      <c r="H1453" s="114">
        <f t="shared" si="22"/>
        <v>46204</v>
      </c>
      <c r="I1453" s="17"/>
      <c r="J1453" s="17"/>
      <c r="K1453" s="17"/>
    </row>
    <row r="1454" spans="1:11" x14ac:dyDescent="0.2">
      <c r="A1454" s="115">
        <v>46213</v>
      </c>
      <c r="B1454" s="93" t="s">
        <v>2669</v>
      </c>
      <c r="C1454" s="94" t="s">
        <v>2686</v>
      </c>
      <c r="D1454" s="95">
        <v>50</v>
      </c>
      <c r="E1454" s="95">
        <v>100.74</v>
      </c>
      <c r="F1454" s="96">
        <v>5037</v>
      </c>
      <c r="G1454" s="97" t="s">
        <v>2570</v>
      </c>
      <c r="H1454" s="114">
        <f t="shared" si="22"/>
        <v>46204</v>
      </c>
      <c r="I1454" s="17"/>
      <c r="J1454" s="17"/>
      <c r="K1454" s="17"/>
    </row>
    <row r="1455" spans="1:11" x14ac:dyDescent="0.2">
      <c r="A1455" s="115">
        <v>46213</v>
      </c>
      <c r="B1455" s="93" t="s">
        <v>2670</v>
      </c>
      <c r="C1455" s="94" t="s">
        <v>2603</v>
      </c>
      <c r="D1455" s="95">
        <v>200</v>
      </c>
      <c r="E1455" s="95">
        <v>100.74</v>
      </c>
      <c r="F1455" s="96">
        <v>20148</v>
      </c>
      <c r="G1455" s="97" t="s">
        <v>2570</v>
      </c>
      <c r="H1455" s="114">
        <f t="shared" si="22"/>
        <v>46204</v>
      </c>
      <c r="I1455" s="17"/>
      <c r="J1455" s="17"/>
      <c r="K1455" s="17"/>
    </row>
    <row r="1456" spans="1:11" x14ac:dyDescent="0.2">
      <c r="A1456" s="115">
        <v>46213</v>
      </c>
      <c r="B1456" s="93" t="s">
        <v>2671</v>
      </c>
      <c r="C1456" s="94" t="s">
        <v>2151</v>
      </c>
      <c r="D1456" s="95">
        <v>600</v>
      </c>
      <c r="E1456" s="95">
        <v>100.74</v>
      </c>
      <c r="F1456" s="96">
        <v>60444</v>
      </c>
      <c r="G1456" s="97" t="s">
        <v>1483</v>
      </c>
      <c r="H1456" s="114">
        <f t="shared" si="22"/>
        <v>46204</v>
      </c>
      <c r="I1456" s="17"/>
      <c r="J1456" s="17"/>
      <c r="K1456" s="17"/>
    </row>
    <row r="1457" spans="1:11" x14ac:dyDescent="0.2">
      <c r="A1457" s="115">
        <v>46213</v>
      </c>
      <c r="B1457" s="93" t="s">
        <v>2672</v>
      </c>
      <c r="C1457" s="94" t="s">
        <v>2687</v>
      </c>
      <c r="D1457" s="95">
        <v>10</v>
      </c>
      <c r="E1457" s="95">
        <v>100.74</v>
      </c>
      <c r="F1457" s="96">
        <v>1007.4</v>
      </c>
      <c r="G1457" s="97" t="s">
        <v>256</v>
      </c>
      <c r="H1457" s="114">
        <f t="shared" si="22"/>
        <v>46204</v>
      </c>
      <c r="I1457" s="17"/>
      <c r="J1457" s="17"/>
      <c r="K1457" s="17"/>
    </row>
    <row r="1458" spans="1:11" x14ac:dyDescent="0.2">
      <c r="A1458" s="115">
        <v>46213</v>
      </c>
      <c r="B1458" s="93" t="s">
        <v>2673</v>
      </c>
      <c r="C1458" s="94" t="s">
        <v>50</v>
      </c>
      <c r="D1458" s="95">
        <v>45.98</v>
      </c>
      <c r="E1458" s="95">
        <v>100.74</v>
      </c>
      <c r="F1458" s="96">
        <v>4632.0200000000004</v>
      </c>
      <c r="G1458" s="97" t="s">
        <v>54</v>
      </c>
      <c r="H1458" s="114">
        <f t="shared" si="22"/>
        <v>46204</v>
      </c>
      <c r="I1458" s="17"/>
      <c r="J1458" s="17"/>
      <c r="K1458" s="17"/>
    </row>
    <row r="1459" spans="1:11" x14ac:dyDescent="0.2">
      <c r="A1459" s="115">
        <v>46213</v>
      </c>
      <c r="B1459" s="93" t="s">
        <v>2674</v>
      </c>
      <c r="C1459" s="94" t="s">
        <v>13</v>
      </c>
      <c r="D1459" s="95">
        <v>756.8</v>
      </c>
      <c r="E1459" s="95">
        <v>100.74</v>
      </c>
      <c r="F1459" s="96">
        <v>76240</v>
      </c>
      <c r="G1459" s="97" t="s">
        <v>2450</v>
      </c>
      <c r="H1459" s="114">
        <f t="shared" si="22"/>
        <v>46204</v>
      </c>
      <c r="I1459" s="17"/>
      <c r="J1459" s="17"/>
      <c r="K1459" s="17"/>
    </row>
    <row r="1460" spans="1:11" x14ac:dyDescent="0.2">
      <c r="A1460" s="115">
        <v>46213</v>
      </c>
      <c r="B1460" s="93" t="s">
        <v>2675</v>
      </c>
      <c r="C1460" s="94" t="s">
        <v>13</v>
      </c>
      <c r="D1460" s="95">
        <v>10.42</v>
      </c>
      <c r="E1460" s="95">
        <v>100.74</v>
      </c>
      <c r="F1460" s="96">
        <v>1050</v>
      </c>
      <c r="G1460" s="97" t="s">
        <v>2364</v>
      </c>
      <c r="H1460" s="114">
        <f t="shared" si="22"/>
        <v>46204</v>
      </c>
      <c r="I1460" s="17"/>
      <c r="J1460" s="17"/>
      <c r="K1460" s="17"/>
    </row>
    <row r="1461" spans="1:11" x14ac:dyDescent="0.2">
      <c r="A1461" s="115">
        <v>46213</v>
      </c>
      <c r="B1461" s="93" t="s">
        <v>2676</v>
      </c>
      <c r="C1461" s="94" t="s">
        <v>13</v>
      </c>
      <c r="D1461" s="95">
        <v>1574.35</v>
      </c>
      <c r="E1461" s="95">
        <v>100.74</v>
      </c>
      <c r="F1461" s="96">
        <v>158600</v>
      </c>
      <c r="G1461" s="97" t="s">
        <v>152</v>
      </c>
      <c r="H1461" s="114">
        <f t="shared" si="22"/>
        <v>46204</v>
      </c>
      <c r="I1461" s="17"/>
      <c r="J1461" s="17"/>
      <c r="K1461" s="17"/>
    </row>
    <row r="1462" spans="1:11" x14ac:dyDescent="0.2">
      <c r="A1462" s="115">
        <v>46213</v>
      </c>
      <c r="B1462" s="93" t="s">
        <v>2677</v>
      </c>
      <c r="C1462" s="94" t="s">
        <v>50</v>
      </c>
      <c r="D1462" s="95">
        <v>1252.24</v>
      </c>
      <c r="E1462" s="95">
        <v>100.74</v>
      </c>
      <c r="F1462" s="96">
        <v>126150.66</v>
      </c>
      <c r="G1462" s="97" t="s">
        <v>95</v>
      </c>
      <c r="H1462" s="114">
        <f t="shared" si="22"/>
        <v>46204</v>
      </c>
      <c r="I1462" s="17"/>
      <c r="J1462" s="17"/>
      <c r="K1462" s="17"/>
    </row>
    <row r="1463" spans="1:11" x14ac:dyDescent="0.2">
      <c r="A1463" s="115">
        <v>46213</v>
      </c>
      <c r="B1463" s="93" t="s">
        <v>2678</v>
      </c>
      <c r="C1463" s="94" t="s">
        <v>525</v>
      </c>
      <c r="D1463" s="95">
        <v>59.56</v>
      </c>
      <c r="E1463" s="95">
        <v>100.74</v>
      </c>
      <c r="F1463" s="96">
        <v>6000</v>
      </c>
      <c r="G1463" s="97" t="s">
        <v>58</v>
      </c>
      <c r="H1463" s="114">
        <f t="shared" si="22"/>
        <v>46204</v>
      </c>
      <c r="I1463" s="17"/>
      <c r="J1463" s="17"/>
      <c r="K1463" s="17"/>
    </row>
    <row r="1464" spans="1:11" x14ac:dyDescent="0.2">
      <c r="A1464" s="115">
        <v>46213</v>
      </c>
      <c r="B1464" s="93" t="s">
        <v>2679</v>
      </c>
      <c r="C1464" s="94" t="s">
        <v>526</v>
      </c>
      <c r="D1464" s="95">
        <v>3895.18</v>
      </c>
      <c r="E1464" s="95">
        <v>100.74</v>
      </c>
      <c r="F1464" s="96">
        <v>392400</v>
      </c>
      <c r="G1464" s="97" t="s">
        <v>58</v>
      </c>
      <c r="H1464" s="114">
        <f t="shared" si="22"/>
        <v>46204</v>
      </c>
      <c r="I1464" s="17"/>
      <c r="J1464" s="17"/>
      <c r="K1464" s="17"/>
    </row>
    <row r="1465" spans="1:11" x14ac:dyDescent="0.2">
      <c r="A1465" s="115">
        <v>46213</v>
      </c>
      <c r="B1465" s="93" t="s">
        <v>2680</v>
      </c>
      <c r="C1465" s="94" t="s">
        <v>2605</v>
      </c>
      <c r="D1465" s="95">
        <v>198.53</v>
      </c>
      <c r="E1465" s="95">
        <v>100.74</v>
      </c>
      <c r="F1465" s="96">
        <v>20000</v>
      </c>
      <c r="G1465" s="97" t="s">
        <v>2612</v>
      </c>
      <c r="H1465" s="114">
        <f t="shared" si="22"/>
        <v>46204</v>
      </c>
      <c r="I1465" s="17"/>
      <c r="J1465" s="17"/>
      <c r="K1465" s="17"/>
    </row>
    <row r="1466" spans="1:11" x14ac:dyDescent="0.2">
      <c r="A1466" s="115">
        <v>46213</v>
      </c>
      <c r="B1466" s="93" t="s">
        <v>2681</v>
      </c>
      <c r="C1466" s="94" t="s">
        <v>2606</v>
      </c>
      <c r="D1466" s="95">
        <v>198.53</v>
      </c>
      <c r="E1466" s="95">
        <v>100.74</v>
      </c>
      <c r="F1466" s="96">
        <v>20000</v>
      </c>
      <c r="G1466" s="97" t="s">
        <v>2612</v>
      </c>
      <c r="H1466" s="114">
        <f t="shared" si="22"/>
        <v>46204</v>
      </c>
      <c r="I1466" s="17"/>
      <c r="J1466" s="17"/>
      <c r="K1466" s="17"/>
    </row>
    <row r="1467" spans="1:11" x14ac:dyDescent="0.2">
      <c r="A1467" s="115">
        <v>46213</v>
      </c>
      <c r="B1467" s="93" t="s">
        <v>2682</v>
      </c>
      <c r="C1467" s="94" t="s">
        <v>2607</v>
      </c>
      <c r="D1467" s="95">
        <v>198.53</v>
      </c>
      <c r="E1467" s="95">
        <v>100.74</v>
      </c>
      <c r="F1467" s="96">
        <v>20000</v>
      </c>
      <c r="G1467" s="97" t="s">
        <v>2612</v>
      </c>
      <c r="H1467" s="114">
        <f t="shared" si="22"/>
        <v>46204</v>
      </c>
      <c r="I1467" s="17"/>
      <c r="J1467" s="17"/>
      <c r="K1467" s="17"/>
    </row>
    <row r="1468" spans="1:11" x14ac:dyDescent="0.2">
      <c r="A1468" s="115">
        <v>46213</v>
      </c>
      <c r="B1468" s="93" t="s">
        <v>2683</v>
      </c>
      <c r="C1468" s="94" t="s">
        <v>2608</v>
      </c>
      <c r="D1468" s="95">
        <v>198.53</v>
      </c>
      <c r="E1468" s="95">
        <v>100.74</v>
      </c>
      <c r="F1468" s="96">
        <v>20000</v>
      </c>
      <c r="G1468" s="97" t="s">
        <v>2612</v>
      </c>
      <c r="H1468" s="114">
        <f t="shared" si="22"/>
        <v>46204</v>
      </c>
      <c r="I1468" s="17"/>
      <c r="J1468" s="17"/>
      <c r="K1468" s="17"/>
    </row>
    <row r="1469" spans="1:11" x14ac:dyDescent="0.2">
      <c r="A1469" s="115">
        <v>46213</v>
      </c>
      <c r="B1469" s="93" t="s">
        <v>2684</v>
      </c>
      <c r="C1469" s="94" t="s">
        <v>2609</v>
      </c>
      <c r="D1469" s="95">
        <v>198.53</v>
      </c>
      <c r="E1469" s="95">
        <v>100.74</v>
      </c>
      <c r="F1469" s="96">
        <v>20000</v>
      </c>
      <c r="G1469" s="97" t="s">
        <v>2612</v>
      </c>
      <c r="H1469" s="114">
        <f t="shared" si="22"/>
        <v>46204</v>
      </c>
      <c r="I1469" s="17"/>
      <c r="J1469" s="17"/>
      <c r="K1469" s="17"/>
    </row>
    <row r="1470" spans="1:11" x14ac:dyDescent="0.2">
      <c r="A1470" s="115">
        <v>46213</v>
      </c>
      <c r="B1470" s="93" t="s">
        <v>2685</v>
      </c>
      <c r="C1470" s="94" t="s">
        <v>2610</v>
      </c>
      <c r="D1470" s="95">
        <v>198.53</v>
      </c>
      <c r="E1470" s="95">
        <v>100.74</v>
      </c>
      <c r="F1470" s="96">
        <v>20000</v>
      </c>
      <c r="G1470" s="97" t="s">
        <v>2612</v>
      </c>
      <c r="H1470" s="114">
        <f t="shared" si="22"/>
        <v>46204</v>
      </c>
      <c r="I1470" s="17"/>
      <c r="J1470" s="17"/>
      <c r="K1470" s="17"/>
    </row>
    <row r="1471" spans="1:11" x14ac:dyDescent="0.2">
      <c r="A1471" s="115">
        <v>46214</v>
      </c>
      <c r="B1471" s="103" t="s">
        <v>2693</v>
      </c>
      <c r="C1471" s="94" t="s">
        <v>50</v>
      </c>
      <c r="D1471" s="95">
        <v>3000</v>
      </c>
      <c r="E1471" s="95">
        <v>100.74</v>
      </c>
      <c r="F1471" s="96">
        <v>302220</v>
      </c>
      <c r="G1471" s="97" t="s">
        <v>1073</v>
      </c>
      <c r="H1471" s="114">
        <f t="shared" si="22"/>
        <v>46204</v>
      </c>
      <c r="I1471" s="17"/>
      <c r="J1471" s="17"/>
      <c r="K1471" s="17"/>
    </row>
    <row r="1472" spans="1:11" x14ac:dyDescent="0.2">
      <c r="A1472" s="115">
        <v>46214</v>
      </c>
      <c r="B1472" s="103" t="s">
        <v>2694</v>
      </c>
      <c r="C1472" s="94" t="s">
        <v>1157</v>
      </c>
      <c r="D1472" s="95">
        <v>94.6</v>
      </c>
      <c r="E1472" s="95">
        <v>100.74</v>
      </c>
      <c r="F1472" s="96">
        <v>9530</v>
      </c>
      <c r="G1472" s="97" t="s">
        <v>714</v>
      </c>
      <c r="H1472" s="114">
        <f t="shared" si="22"/>
        <v>46204</v>
      </c>
      <c r="I1472" s="17"/>
      <c r="J1472" s="17"/>
      <c r="K1472" s="17"/>
    </row>
    <row r="1473" spans="1:11" x14ac:dyDescent="0.2">
      <c r="A1473" s="115">
        <v>46214</v>
      </c>
      <c r="B1473" s="103" t="s">
        <v>2695</v>
      </c>
      <c r="C1473" s="94" t="s">
        <v>129</v>
      </c>
      <c r="D1473" s="95">
        <v>96</v>
      </c>
      <c r="E1473" s="95">
        <v>100.74</v>
      </c>
      <c r="F1473" s="96">
        <v>9671.0400000000009</v>
      </c>
      <c r="G1473" s="97" t="s">
        <v>56</v>
      </c>
      <c r="H1473" s="114">
        <f t="shared" si="22"/>
        <v>46204</v>
      </c>
      <c r="I1473" s="17"/>
      <c r="J1473" s="17"/>
      <c r="K1473" s="17"/>
    </row>
    <row r="1474" spans="1:11" x14ac:dyDescent="0.2">
      <c r="A1474" s="115">
        <v>46214</v>
      </c>
      <c r="B1474" s="103" t="s">
        <v>2696</v>
      </c>
      <c r="C1474" s="94" t="s">
        <v>45</v>
      </c>
      <c r="D1474" s="95">
        <v>45</v>
      </c>
      <c r="E1474" s="95">
        <v>100.74</v>
      </c>
      <c r="F1474" s="96">
        <v>4533.3</v>
      </c>
      <c r="G1474" s="97" t="s">
        <v>56</v>
      </c>
      <c r="H1474" s="114">
        <f t="shared" si="22"/>
        <v>46204</v>
      </c>
      <c r="I1474" s="17"/>
      <c r="J1474" s="17"/>
      <c r="K1474" s="17"/>
    </row>
    <row r="1475" spans="1:11" x14ac:dyDescent="0.2">
      <c r="A1475" s="115">
        <v>46214</v>
      </c>
      <c r="B1475" s="103" t="s">
        <v>2697</v>
      </c>
      <c r="C1475" s="94" t="s">
        <v>44</v>
      </c>
      <c r="D1475" s="95">
        <v>44.08</v>
      </c>
      <c r="E1475" s="95">
        <v>100.74</v>
      </c>
      <c r="F1475" s="96">
        <v>4440.6099999999997</v>
      </c>
      <c r="G1475" s="97" t="s">
        <v>56</v>
      </c>
      <c r="H1475" s="114">
        <f t="shared" si="22"/>
        <v>46204</v>
      </c>
      <c r="I1475" s="17"/>
      <c r="J1475" s="17"/>
      <c r="K1475" s="17"/>
    </row>
    <row r="1476" spans="1:11" x14ac:dyDescent="0.2">
      <c r="A1476" s="115">
        <v>46214</v>
      </c>
      <c r="B1476" s="103" t="s">
        <v>2698</v>
      </c>
      <c r="C1476" s="94" t="s">
        <v>2686</v>
      </c>
      <c r="D1476" s="95">
        <v>150</v>
      </c>
      <c r="E1476" s="95">
        <v>100.74</v>
      </c>
      <c r="F1476" s="96">
        <v>15111</v>
      </c>
      <c r="G1476" s="97" t="s">
        <v>2570</v>
      </c>
      <c r="H1476" s="114">
        <f t="shared" ref="H1476:H1539" si="23">IF(A1476&lt;&gt;"", EOMONTH(A1476, -1) + 1, "")</f>
        <v>46204</v>
      </c>
      <c r="I1476" s="17"/>
      <c r="J1476" s="17"/>
      <c r="K1476" s="17"/>
    </row>
    <row r="1477" spans="1:11" x14ac:dyDescent="0.2">
      <c r="A1477" s="115">
        <v>46214</v>
      </c>
      <c r="B1477" s="103" t="s">
        <v>2699</v>
      </c>
      <c r="C1477" s="94" t="s">
        <v>1780</v>
      </c>
      <c r="D1477" s="95">
        <v>200</v>
      </c>
      <c r="E1477" s="95">
        <v>100.74</v>
      </c>
      <c r="F1477" s="96">
        <v>20148</v>
      </c>
      <c r="G1477" s="97" t="s">
        <v>2570</v>
      </c>
      <c r="H1477" s="114">
        <f t="shared" si="23"/>
        <v>46204</v>
      </c>
      <c r="I1477" s="17"/>
      <c r="J1477" s="17"/>
      <c r="K1477" s="17"/>
    </row>
    <row r="1478" spans="1:11" x14ac:dyDescent="0.2">
      <c r="A1478" s="115">
        <v>46214</v>
      </c>
      <c r="B1478" s="103" t="s">
        <v>2700</v>
      </c>
      <c r="C1478" s="94" t="s">
        <v>1744</v>
      </c>
      <c r="D1478" s="95">
        <v>200</v>
      </c>
      <c r="E1478" s="95">
        <v>100.74</v>
      </c>
      <c r="F1478" s="96">
        <v>20148</v>
      </c>
      <c r="G1478" s="97" t="s">
        <v>2570</v>
      </c>
      <c r="H1478" s="114">
        <f t="shared" si="23"/>
        <v>46204</v>
      </c>
      <c r="I1478" s="17"/>
      <c r="J1478" s="17"/>
      <c r="K1478" s="17"/>
    </row>
    <row r="1479" spans="1:11" x14ac:dyDescent="0.2">
      <c r="A1479" s="115">
        <v>46214</v>
      </c>
      <c r="B1479" s="103" t="s">
        <v>2701</v>
      </c>
      <c r="C1479" s="94" t="s">
        <v>1746</v>
      </c>
      <c r="D1479" s="95">
        <v>200</v>
      </c>
      <c r="E1479" s="95">
        <v>100.74</v>
      </c>
      <c r="F1479" s="96">
        <v>20148</v>
      </c>
      <c r="G1479" s="97" t="s">
        <v>2570</v>
      </c>
      <c r="H1479" s="114">
        <f t="shared" si="23"/>
        <v>46204</v>
      </c>
      <c r="I1479" s="17"/>
      <c r="J1479" s="17"/>
      <c r="K1479" s="17"/>
    </row>
    <row r="1480" spans="1:11" x14ac:dyDescent="0.2">
      <c r="A1480" s="115">
        <v>46214</v>
      </c>
      <c r="B1480" s="103" t="s">
        <v>2702</v>
      </c>
      <c r="C1480" s="94" t="s">
        <v>1747</v>
      </c>
      <c r="D1480" s="95">
        <v>200</v>
      </c>
      <c r="E1480" s="95">
        <v>100.74</v>
      </c>
      <c r="F1480" s="96">
        <v>20148</v>
      </c>
      <c r="G1480" s="97" t="s">
        <v>2570</v>
      </c>
      <c r="H1480" s="114">
        <f t="shared" si="23"/>
        <v>46204</v>
      </c>
      <c r="I1480" s="17"/>
      <c r="J1480" s="17"/>
      <c r="K1480" s="17"/>
    </row>
    <row r="1481" spans="1:11" x14ac:dyDescent="0.2">
      <c r="A1481" s="115">
        <v>46214</v>
      </c>
      <c r="B1481" s="103" t="s">
        <v>2703</v>
      </c>
      <c r="C1481" s="94" t="s">
        <v>1743</v>
      </c>
      <c r="D1481" s="95">
        <v>200</v>
      </c>
      <c r="E1481" s="95">
        <v>100.74</v>
      </c>
      <c r="F1481" s="96">
        <v>20148</v>
      </c>
      <c r="G1481" s="97" t="s">
        <v>2570</v>
      </c>
      <c r="H1481" s="114">
        <f t="shared" si="23"/>
        <v>46204</v>
      </c>
      <c r="I1481" s="17"/>
      <c r="J1481" s="17"/>
      <c r="K1481" s="17"/>
    </row>
    <row r="1482" spans="1:11" x14ac:dyDescent="0.2">
      <c r="A1482" s="115">
        <v>46214</v>
      </c>
      <c r="B1482" s="103" t="s">
        <v>2704</v>
      </c>
      <c r="C1482" s="94" t="s">
        <v>1745</v>
      </c>
      <c r="D1482" s="95">
        <v>200</v>
      </c>
      <c r="E1482" s="95">
        <v>100.74</v>
      </c>
      <c r="F1482" s="96">
        <v>20148</v>
      </c>
      <c r="G1482" s="97" t="s">
        <v>2570</v>
      </c>
      <c r="H1482" s="114">
        <f t="shared" si="23"/>
        <v>46204</v>
      </c>
      <c r="I1482" s="17"/>
      <c r="J1482" s="17"/>
      <c r="K1482" s="17"/>
    </row>
    <row r="1483" spans="1:11" x14ac:dyDescent="0.2">
      <c r="A1483" s="115">
        <v>46214</v>
      </c>
      <c r="B1483" s="103" t="s">
        <v>2705</v>
      </c>
      <c r="C1483" s="94"/>
      <c r="D1483" s="95">
        <v>119.51</v>
      </c>
      <c r="E1483" s="95">
        <v>100.74</v>
      </c>
      <c r="F1483" s="96">
        <v>12039.88</v>
      </c>
      <c r="G1483" s="97" t="s">
        <v>2364</v>
      </c>
      <c r="H1483" s="114">
        <f t="shared" si="23"/>
        <v>46204</v>
      </c>
      <c r="I1483" s="17"/>
      <c r="J1483" s="17"/>
      <c r="K1483" s="17"/>
    </row>
    <row r="1484" spans="1:11" x14ac:dyDescent="0.2">
      <c r="A1484" s="115">
        <v>46214</v>
      </c>
      <c r="B1484" s="103" t="s">
        <v>2706</v>
      </c>
      <c r="C1484" s="94"/>
      <c r="D1484" s="95">
        <v>1294.5899999999999</v>
      </c>
      <c r="E1484" s="95">
        <v>100.74</v>
      </c>
      <c r="F1484" s="96">
        <v>130416.8</v>
      </c>
      <c r="G1484" s="97" t="s">
        <v>2450</v>
      </c>
      <c r="H1484" s="114">
        <f t="shared" si="23"/>
        <v>46204</v>
      </c>
      <c r="I1484" s="17"/>
      <c r="J1484" s="17"/>
      <c r="K1484" s="17"/>
    </row>
    <row r="1485" spans="1:11" x14ac:dyDescent="0.2">
      <c r="A1485" s="115">
        <v>46214</v>
      </c>
      <c r="B1485" s="103" t="s">
        <v>2707</v>
      </c>
      <c r="C1485" s="94" t="s">
        <v>50</v>
      </c>
      <c r="D1485" s="95">
        <v>2000</v>
      </c>
      <c r="E1485" s="95">
        <v>100.74</v>
      </c>
      <c r="F1485" s="96">
        <v>201480</v>
      </c>
      <c r="G1485" s="97" t="s">
        <v>96</v>
      </c>
      <c r="H1485" s="114">
        <f t="shared" si="23"/>
        <v>46204</v>
      </c>
      <c r="I1485" s="17"/>
      <c r="J1485" s="17"/>
      <c r="K1485" s="17"/>
    </row>
    <row r="1486" spans="1:11" x14ac:dyDescent="0.2">
      <c r="A1486" s="115">
        <v>46214</v>
      </c>
      <c r="B1486" s="103" t="s">
        <v>2708</v>
      </c>
      <c r="C1486" s="94" t="s">
        <v>50</v>
      </c>
      <c r="D1486" s="95">
        <v>978.9</v>
      </c>
      <c r="E1486" s="95">
        <v>100.74</v>
      </c>
      <c r="F1486" s="96">
        <v>98614.39</v>
      </c>
      <c r="G1486" s="97" t="s">
        <v>95</v>
      </c>
      <c r="H1486" s="114">
        <f t="shared" si="23"/>
        <v>46204</v>
      </c>
      <c r="I1486" s="17"/>
      <c r="J1486" s="17"/>
      <c r="K1486" s="17"/>
    </row>
    <row r="1487" spans="1:11" x14ac:dyDescent="0.2">
      <c r="A1487" s="115">
        <v>46214</v>
      </c>
      <c r="B1487" s="103" t="s">
        <v>2709</v>
      </c>
      <c r="C1487" s="94" t="s">
        <v>50</v>
      </c>
      <c r="D1487" s="95">
        <v>198.53</v>
      </c>
      <c r="E1487" s="95">
        <v>100.74</v>
      </c>
      <c r="F1487" s="96">
        <v>20000</v>
      </c>
      <c r="G1487" s="97" t="s">
        <v>2611</v>
      </c>
      <c r="H1487" s="114">
        <f t="shared" si="23"/>
        <v>46204</v>
      </c>
      <c r="I1487" s="17"/>
      <c r="J1487" s="17"/>
      <c r="K1487" s="17"/>
    </row>
    <row r="1488" spans="1:11" x14ac:dyDescent="0.2">
      <c r="A1488" s="115">
        <v>46214</v>
      </c>
      <c r="B1488" s="103" t="s">
        <v>2710</v>
      </c>
      <c r="C1488" s="94"/>
      <c r="D1488" s="95">
        <v>1878.1</v>
      </c>
      <c r="E1488" s="95">
        <v>100.74</v>
      </c>
      <c r="F1488" s="96">
        <v>189200</v>
      </c>
      <c r="G1488" s="97" t="s">
        <v>152</v>
      </c>
      <c r="H1488" s="114">
        <f t="shared" si="23"/>
        <v>46204</v>
      </c>
      <c r="I1488" s="17"/>
      <c r="J1488" s="17"/>
      <c r="K1488" s="17"/>
    </row>
    <row r="1489" spans="1:11" x14ac:dyDescent="0.2">
      <c r="A1489" s="115">
        <v>46214</v>
      </c>
      <c r="B1489" s="103" t="s">
        <v>2711</v>
      </c>
      <c r="C1489" s="94" t="s">
        <v>525</v>
      </c>
      <c r="D1489" s="95">
        <v>59.78</v>
      </c>
      <c r="E1489" s="95">
        <v>100.74</v>
      </c>
      <c r="F1489" s="96">
        <v>6022.2</v>
      </c>
      <c r="G1489" s="97" t="s">
        <v>58</v>
      </c>
      <c r="H1489" s="114">
        <f t="shared" si="23"/>
        <v>46204</v>
      </c>
      <c r="I1489" s="17"/>
      <c r="J1489" s="17"/>
      <c r="K1489" s="17"/>
    </row>
    <row r="1490" spans="1:11" x14ac:dyDescent="0.2">
      <c r="A1490" s="115">
        <v>46214</v>
      </c>
      <c r="B1490" s="103" t="s">
        <v>2712</v>
      </c>
      <c r="C1490" s="94" t="s">
        <v>526</v>
      </c>
      <c r="D1490" s="95">
        <v>2641.45</v>
      </c>
      <c r="E1490" s="95">
        <v>100.74</v>
      </c>
      <c r="F1490" s="96">
        <v>266100</v>
      </c>
      <c r="G1490" s="97" t="s">
        <v>58</v>
      </c>
      <c r="H1490" s="114">
        <f t="shared" si="23"/>
        <v>46204</v>
      </c>
      <c r="I1490" s="17"/>
      <c r="J1490" s="17"/>
      <c r="K1490" s="17"/>
    </row>
    <row r="1491" spans="1:11" x14ac:dyDescent="0.2">
      <c r="A1491" s="115">
        <v>46215</v>
      </c>
      <c r="B1491" s="103" t="s">
        <v>2729</v>
      </c>
      <c r="C1491" s="94" t="s">
        <v>526</v>
      </c>
      <c r="D1491" s="95">
        <v>2812.19</v>
      </c>
      <c r="E1491" s="95">
        <v>100.74</v>
      </c>
      <c r="F1491" s="96">
        <v>283300</v>
      </c>
      <c r="G1491" s="97" t="s">
        <v>58</v>
      </c>
      <c r="H1491" s="114">
        <f t="shared" si="23"/>
        <v>46204</v>
      </c>
      <c r="I1491" s="17"/>
      <c r="J1491" s="17"/>
      <c r="K1491" s="17"/>
    </row>
    <row r="1492" spans="1:11" x14ac:dyDescent="0.2">
      <c r="A1492" s="115">
        <v>46215</v>
      </c>
      <c r="B1492" s="103" t="s">
        <v>2730</v>
      </c>
      <c r="C1492" s="94"/>
      <c r="D1492" s="95">
        <v>841.77</v>
      </c>
      <c r="E1492" s="95">
        <v>100.74</v>
      </c>
      <c r="F1492" s="96">
        <v>84800</v>
      </c>
      <c r="G1492" s="97" t="s">
        <v>152</v>
      </c>
      <c r="H1492" s="114">
        <f t="shared" si="23"/>
        <v>46204</v>
      </c>
      <c r="I1492" s="17"/>
      <c r="J1492" s="17"/>
      <c r="K1492" s="17"/>
    </row>
    <row r="1493" spans="1:11" x14ac:dyDescent="0.2">
      <c r="A1493" s="115">
        <v>46215</v>
      </c>
      <c r="B1493" s="103" t="s">
        <v>2731</v>
      </c>
      <c r="C1493" s="94" t="s">
        <v>50</v>
      </c>
      <c r="D1493" s="95">
        <v>1070.99</v>
      </c>
      <c r="E1493" s="95">
        <v>100.74</v>
      </c>
      <c r="F1493" s="96">
        <v>107891.53</v>
      </c>
      <c r="G1493" s="97" t="s">
        <v>95</v>
      </c>
      <c r="H1493" s="114">
        <f t="shared" si="23"/>
        <v>46204</v>
      </c>
      <c r="I1493" s="17"/>
      <c r="J1493" s="17"/>
      <c r="K1493" s="17"/>
    </row>
    <row r="1494" spans="1:11" x14ac:dyDescent="0.2">
      <c r="A1494" s="115">
        <v>46215</v>
      </c>
      <c r="B1494" s="103" t="s">
        <v>2732</v>
      </c>
      <c r="C1494" s="94"/>
      <c r="D1494" s="95">
        <v>1081.97</v>
      </c>
      <c r="E1494" s="95">
        <v>100.74</v>
      </c>
      <c r="F1494" s="96">
        <v>108998</v>
      </c>
      <c r="G1494" s="97" t="s">
        <v>2450</v>
      </c>
      <c r="H1494" s="114">
        <f t="shared" si="23"/>
        <v>46204</v>
      </c>
      <c r="I1494" s="17"/>
      <c r="J1494" s="17"/>
      <c r="K1494" s="17"/>
    </row>
    <row r="1495" spans="1:11" x14ac:dyDescent="0.2">
      <c r="A1495" s="115">
        <v>46215</v>
      </c>
      <c r="B1495" s="103" t="s">
        <v>2733</v>
      </c>
      <c r="C1495" s="94" t="s">
        <v>127</v>
      </c>
      <c r="D1495" s="95">
        <v>600</v>
      </c>
      <c r="E1495" s="95">
        <v>100.74</v>
      </c>
      <c r="F1495" s="96">
        <v>60444</v>
      </c>
      <c r="G1495" s="97" t="s">
        <v>59</v>
      </c>
      <c r="H1495" s="114">
        <f t="shared" si="23"/>
        <v>46204</v>
      </c>
      <c r="I1495" s="17"/>
      <c r="J1495" s="17"/>
      <c r="K1495" s="17"/>
    </row>
    <row r="1496" spans="1:11" x14ac:dyDescent="0.2">
      <c r="A1496" s="115">
        <v>46215</v>
      </c>
      <c r="B1496" s="103" t="s">
        <v>2734</v>
      </c>
      <c r="C1496" s="94" t="s">
        <v>2604</v>
      </c>
      <c r="D1496" s="95">
        <v>99.27</v>
      </c>
      <c r="E1496" s="95">
        <v>100.74</v>
      </c>
      <c r="F1496" s="96">
        <v>10000</v>
      </c>
      <c r="G1496" s="97" t="s">
        <v>2611</v>
      </c>
      <c r="H1496" s="114">
        <f t="shared" si="23"/>
        <v>46204</v>
      </c>
      <c r="I1496" s="17"/>
      <c r="J1496" s="17"/>
      <c r="K1496" s="17"/>
    </row>
    <row r="1497" spans="1:11" x14ac:dyDescent="0.2">
      <c r="A1497" s="115">
        <v>46215</v>
      </c>
      <c r="B1497" s="103" t="s">
        <v>2735</v>
      </c>
      <c r="C1497" s="94" t="s">
        <v>2736</v>
      </c>
      <c r="D1497" s="95">
        <v>197.05</v>
      </c>
      <c r="E1497" s="95">
        <v>100.74</v>
      </c>
      <c r="F1497" s="96">
        <v>19850.810000000001</v>
      </c>
      <c r="G1497" s="97" t="s">
        <v>96</v>
      </c>
      <c r="H1497" s="114">
        <f t="shared" si="23"/>
        <v>46204</v>
      </c>
      <c r="I1497" s="17"/>
      <c r="J1497" s="17"/>
      <c r="K1497" s="17"/>
    </row>
    <row r="1498" spans="1:11" x14ac:dyDescent="0.2">
      <c r="A1498" s="115">
        <v>46215</v>
      </c>
      <c r="B1498" s="103" t="s">
        <v>2737</v>
      </c>
      <c r="C1498" s="94" t="s">
        <v>2738</v>
      </c>
      <c r="D1498" s="95">
        <v>195.91</v>
      </c>
      <c r="E1498" s="95">
        <v>100.74</v>
      </c>
      <c r="F1498" s="96">
        <v>19735.97</v>
      </c>
      <c r="G1498" s="97" t="s">
        <v>96</v>
      </c>
      <c r="H1498" s="114">
        <f t="shared" si="23"/>
        <v>46204</v>
      </c>
      <c r="I1498" s="17"/>
      <c r="J1498" s="17"/>
      <c r="K1498" s="17"/>
    </row>
    <row r="1499" spans="1:11" x14ac:dyDescent="0.2">
      <c r="A1499" s="115">
        <v>46215</v>
      </c>
      <c r="B1499" s="103" t="s">
        <v>2739</v>
      </c>
      <c r="C1499" s="94" t="s">
        <v>428</v>
      </c>
      <c r="D1499" s="95">
        <v>20</v>
      </c>
      <c r="E1499" s="95">
        <v>100.74</v>
      </c>
      <c r="F1499" s="96">
        <v>2014.8</v>
      </c>
      <c r="G1499" s="97" t="s">
        <v>257</v>
      </c>
      <c r="H1499" s="114">
        <f t="shared" si="23"/>
        <v>46204</v>
      </c>
      <c r="I1499" s="17"/>
      <c r="J1499" s="17"/>
      <c r="K1499" s="17"/>
    </row>
    <row r="1500" spans="1:11" x14ac:dyDescent="0.2">
      <c r="A1500" s="115">
        <v>46215</v>
      </c>
      <c r="B1500" s="103" t="s">
        <v>2740</v>
      </c>
      <c r="C1500" s="94" t="s">
        <v>428</v>
      </c>
      <c r="D1500" s="95">
        <v>50</v>
      </c>
      <c r="E1500" s="95">
        <v>100.74</v>
      </c>
      <c r="F1500" s="96">
        <v>5037</v>
      </c>
      <c r="G1500" s="97" t="s">
        <v>257</v>
      </c>
      <c r="H1500" s="114">
        <f t="shared" si="23"/>
        <v>46204</v>
      </c>
      <c r="I1500" s="17"/>
      <c r="J1500" s="17"/>
      <c r="K1500" s="17"/>
    </row>
    <row r="1501" spans="1:11" x14ac:dyDescent="0.2">
      <c r="A1501" s="115">
        <v>46215</v>
      </c>
      <c r="B1501" s="103" t="s">
        <v>2741</v>
      </c>
      <c r="C1501" s="94" t="s">
        <v>583</v>
      </c>
      <c r="D1501" s="95">
        <v>45.67</v>
      </c>
      <c r="E1501" s="95">
        <v>100.74</v>
      </c>
      <c r="F1501" s="96">
        <v>4600.79</v>
      </c>
      <c r="G1501" s="97" t="s">
        <v>136</v>
      </c>
      <c r="H1501" s="114">
        <f t="shared" si="23"/>
        <v>46204</v>
      </c>
      <c r="I1501" s="17"/>
      <c r="J1501" s="17"/>
      <c r="K1501" s="17"/>
    </row>
    <row r="1502" spans="1:11" x14ac:dyDescent="0.2">
      <c r="A1502" s="115">
        <v>46215</v>
      </c>
      <c r="B1502" s="103" t="s">
        <v>2742</v>
      </c>
      <c r="C1502" s="94" t="s">
        <v>45</v>
      </c>
      <c r="D1502" s="95">
        <v>40</v>
      </c>
      <c r="E1502" s="95">
        <v>100.74</v>
      </c>
      <c r="F1502" s="96">
        <v>4029.6</v>
      </c>
      <c r="G1502" s="97" t="s">
        <v>56</v>
      </c>
      <c r="H1502" s="114">
        <f t="shared" si="23"/>
        <v>46204</v>
      </c>
      <c r="I1502" s="17"/>
      <c r="J1502" s="17"/>
      <c r="K1502" s="17"/>
    </row>
    <row r="1503" spans="1:11" x14ac:dyDescent="0.2">
      <c r="A1503" s="115">
        <v>46215</v>
      </c>
      <c r="B1503" s="103" t="s">
        <v>2743</v>
      </c>
      <c r="C1503" s="94"/>
      <c r="D1503" s="95">
        <v>20</v>
      </c>
      <c r="E1503" s="95">
        <v>100.74</v>
      </c>
      <c r="F1503" s="96">
        <v>2014.8</v>
      </c>
      <c r="G1503" s="97" t="s">
        <v>217</v>
      </c>
      <c r="H1503" s="114">
        <f t="shared" si="23"/>
        <v>46204</v>
      </c>
      <c r="I1503" s="17"/>
      <c r="J1503" s="17"/>
      <c r="K1503" s="17"/>
    </row>
    <row r="1504" spans="1:11" x14ac:dyDescent="0.2">
      <c r="A1504" s="115">
        <v>46216</v>
      </c>
      <c r="B1504" s="103" t="s">
        <v>2751</v>
      </c>
      <c r="C1504" s="94" t="s">
        <v>39</v>
      </c>
      <c r="D1504" s="95">
        <v>18000</v>
      </c>
      <c r="E1504" s="95">
        <v>99.5</v>
      </c>
      <c r="F1504" s="96">
        <v>1791000</v>
      </c>
      <c r="G1504" s="97" t="s">
        <v>51</v>
      </c>
      <c r="H1504" s="114">
        <f t="shared" si="23"/>
        <v>46204</v>
      </c>
      <c r="I1504" s="17"/>
      <c r="J1504" s="17"/>
      <c r="K1504" s="17"/>
    </row>
    <row r="1505" spans="1:11" x14ac:dyDescent="0.2">
      <c r="A1505" s="115">
        <v>46216</v>
      </c>
      <c r="B1505" s="103" t="s">
        <v>2752</v>
      </c>
      <c r="C1505" s="94" t="s">
        <v>40</v>
      </c>
      <c r="D1505" s="95">
        <v>12000</v>
      </c>
      <c r="E1505" s="95">
        <v>99.5</v>
      </c>
      <c r="F1505" s="96">
        <v>1194000</v>
      </c>
      <c r="G1505" s="97" t="s">
        <v>143</v>
      </c>
      <c r="H1505" s="114">
        <f t="shared" si="23"/>
        <v>46204</v>
      </c>
      <c r="I1505" s="17"/>
      <c r="J1505" s="17"/>
      <c r="K1505" s="17"/>
    </row>
    <row r="1506" spans="1:11" x14ac:dyDescent="0.2">
      <c r="A1506" s="115">
        <v>46216</v>
      </c>
      <c r="B1506" s="103" t="s">
        <v>2753</v>
      </c>
      <c r="C1506" s="94" t="s">
        <v>127</v>
      </c>
      <c r="D1506" s="95">
        <v>800</v>
      </c>
      <c r="E1506" s="95">
        <v>100.74</v>
      </c>
      <c r="F1506" s="96">
        <v>80592</v>
      </c>
      <c r="G1506" s="97" t="s">
        <v>59</v>
      </c>
      <c r="H1506" s="114">
        <f t="shared" si="23"/>
        <v>46204</v>
      </c>
      <c r="I1506" s="17"/>
      <c r="J1506" s="17"/>
      <c r="K1506" s="17"/>
    </row>
    <row r="1507" spans="1:11" x14ac:dyDescent="0.2">
      <c r="A1507" s="115">
        <v>46216</v>
      </c>
      <c r="B1507" s="103" t="s">
        <v>2754</v>
      </c>
      <c r="C1507" s="94" t="s">
        <v>1781</v>
      </c>
      <c r="D1507" s="95">
        <v>200</v>
      </c>
      <c r="E1507" s="95">
        <v>100.74</v>
      </c>
      <c r="F1507" s="96">
        <v>20148</v>
      </c>
      <c r="G1507" s="97" t="s">
        <v>2570</v>
      </c>
      <c r="H1507" s="114">
        <f t="shared" si="23"/>
        <v>46204</v>
      </c>
      <c r="I1507" s="17"/>
      <c r="J1507" s="17"/>
      <c r="K1507" s="17"/>
    </row>
    <row r="1508" spans="1:11" x14ac:dyDescent="0.2">
      <c r="A1508" s="115">
        <v>46216</v>
      </c>
      <c r="B1508" s="103" t="s">
        <v>2755</v>
      </c>
      <c r="C1508" s="94" t="s">
        <v>1065</v>
      </c>
      <c r="D1508" s="95">
        <v>9.93</v>
      </c>
      <c r="E1508" s="95">
        <v>100.74</v>
      </c>
      <c r="F1508" s="96">
        <v>1000</v>
      </c>
      <c r="G1508" s="97" t="s">
        <v>257</v>
      </c>
      <c r="H1508" s="114">
        <f t="shared" si="23"/>
        <v>46204</v>
      </c>
      <c r="I1508" s="17"/>
      <c r="J1508" s="17"/>
      <c r="K1508" s="17"/>
    </row>
    <row r="1509" spans="1:11" x14ac:dyDescent="0.2">
      <c r="A1509" s="115">
        <v>46216</v>
      </c>
      <c r="B1509" s="103" t="s">
        <v>2756</v>
      </c>
      <c r="C1509" s="94" t="s">
        <v>1338</v>
      </c>
      <c r="D1509" s="95">
        <v>81.459999999999994</v>
      </c>
      <c r="E1509" s="95">
        <v>100.74</v>
      </c>
      <c r="F1509" s="96">
        <v>8206.2800000000007</v>
      </c>
      <c r="G1509" s="97" t="s">
        <v>714</v>
      </c>
      <c r="H1509" s="114">
        <f t="shared" si="23"/>
        <v>46204</v>
      </c>
      <c r="I1509" s="17"/>
      <c r="J1509" s="17"/>
      <c r="K1509" s="17"/>
    </row>
    <row r="1510" spans="1:11" x14ac:dyDescent="0.2">
      <c r="A1510" s="115">
        <v>46216</v>
      </c>
      <c r="B1510" s="103" t="s">
        <v>2757</v>
      </c>
      <c r="C1510" s="94" t="s">
        <v>1266</v>
      </c>
      <c r="D1510" s="95">
        <v>210</v>
      </c>
      <c r="E1510" s="95">
        <v>100.74</v>
      </c>
      <c r="F1510" s="96">
        <v>21155.4</v>
      </c>
      <c r="G1510" s="97" t="s">
        <v>714</v>
      </c>
      <c r="H1510" s="114">
        <f t="shared" si="23"/>
        <v>46204</v>
      </c>
      <c r="I1510" s="17"/>
      <c r="J1510" s="17"/>
      <c r="K1510" s="17"/>
    </row>
    <row r="1511" spans="1:11" x14ac:dyDescent="0.2">
      <c r="A1511" s="115">
        <v>46216</v>
      </c>
      <c r="B1511" s="103" t="s">
        <v>2758</v>
      </c>
      <c r="C1511" s="94" t="s">
        <v>742</v>
      </c>
      <c r="D1511" s="95">
        <v>118</v>
      </c>
      <c r="E1511" s="95">
        <v>100.74</v>
      </c>
      <c r="F1511" s="96">
        <v>11887.32</v>
      </c>
      <c r="G1511" s="97" t="s">
        <v>714</v>
      </c>
      <c r="H1511" s="114">
        <f t="shared" si="23"/>
        <v>46204</v>
      </c>
      <c r="I1511" s="17"/>
      <c r="J1511" s="17"/>
      <c r="K1511" s="17"/>
    </row>
    <row r="1512" spans="1:11" x14ac:dyDescent="0.2">
      <c r="A1512" s="115">
        <v>46216</v>
      </c>
      <c r="B1512" s="103" t="s">
        <v>2759</v>
      </c>
      <c r="C1512" s="94" t="s">
        <v>2665</v>
      </c>
      <c r="D1512" s="95">
        <v>20</v>
      </c>
      <c r="E1512" s="95">
        <v>100.74</v>
      </c>
      <c r="F1512" s="96">
        <v>2014.8</v>
      </c>
      <c r="G1512" s="100" t="s">
        <v>714</v>
      </c>
      <c r="H1512" s="114">
        <f t="shared" si="23"/>
        <v>46204</v>
      </c>
      <c r="I1512" s="17"/>
      <c r="J1512" s="17"/>
      <c r="K1512" s="17"/>
    </row>
    <row r="1513" spans="1:11" x14ac:dyDescent="0.2">
      <c r="A1513" s="115">
        <v>46216</v>
      </c>
      <c r="B1513" s="103" t="s">
        <v>2760</v>
      </c>
      <c r="C1513" s="94" t="s">
        <v>760</v>
      </c>
      <c r="D1513" s="95">
        <v>20</v>
      </c>
      <c r="E1513" s="95">
        <v>100.74</v>
      </c>
      <c r="F1513" s="96">
        <v>2014.8</v>
      </c>
      <c r="G1513" s="100" t="s">
        <v>714</v>
      </c>
      <c r="H1513" s="114">
        <f t="shared" si="23"/>
        <v>46204</v>
      </c>
      <c r="I1513" s="17"/>
      <c r="J1513" s="17"/>
      <c r="K1513" s="17"/>
    </row>
    <row r="1514" spans="1:11" x14ac:dyDescent="0.2">
      <c r="A1514" s="115">
        <v>46216</v>
      </c>
      <c r="B1514" s="103" t="s">
        <v>2761</v>
      </c>
      <c r="C1514" s="94" t="s">
        <v>2497</v>
      </c>
      <c r="D1514" s="95">
        <v>50</v>
      </c>
      <c r="E1514" s="95">
        <v>100.74</v>
      </c>
      <c r="F1514" s="96">
        <v>5037</v>
      </c>
      <c r="G1514" s="100" t="s">
        <v>714</v>
      </c>
      <c r="H1514" s="114">
        <f t="shared" si="23"/>
        <v>46204</v>
      </c>
      <c r="I1514" s="17"/>
      <c r="J1514" s="17"/>
      <c r="K1514" s="17"/>
    </row>
    <row r="1515" spans="1:11" x14ac:dyDescent="0.2">
      <c r="A1515" s="115">
        <v>46216</v>
      </c>
      <c r="B1515" s="103" t="s">
        <v>2762</v>
      </c>
      <c r="C1515" s="94"/>
      <c r="D1515" s="95">
        <v>16.88</v>
      </c>
      <c r="E1515" s="95">
        <v>100.74</v>
      </c>
      <c r="F1515" s="96">
        <v>1700</v>
      </c>
      <c r="G1515" s="100" t="s">
        <v>2364</v>
      </c>
      <c r="H1515" s="114">
        <f t="shared" si="23"/>
        <v>46204</v>
      </c>
      <c r="I1515" s="17"/>
      <c r="J1515" s="17"/>
      <c r="K1515" s="17"/>
    </row>
    <row r="1516" spans="1:11" x14ac:dyDescent="0.2">
      <c r="A1516" s="115">
        <v>46216</v>
      </c>
      <c r="B1516" s="103" t="s">
        <v>2763</v>
      </c>
      <c r="C1516" s="94"/>
      <c r="D1516" s="95">
        <v>358.35</v>
      </c>
      <c r="E1516" s="95">
        <v>100.74</v>
      </c>
      <c r="F1516" s="96">
        <v>36100</v>
      </c>
      <c r="G1516" s="100" t="s">
        <v>152</v>
      </c>
      <c r="H1516" s="114">
        <f t="shared" si="23"/>
        <v>46204</v>
      </c>
      <c r="I1516" s="17"/>
      <c r="J1516" s="17"/>
      <c r="K1516" s="17"/>
    </row>
    <row r="1517" spans="1:11" x14ac:dyDescent="0.2">
      <c r="A1517" s="115">
        <v>46216</v>
      </c>
      <c r="B1517" s="103" t="s">
        <v>2764</v>
      </c>
      <c r="C1517" s="94" t="s">
        <v>526</v>
      </c>
      <c r="D1517" s="95">
        <v>2790.35</v>
      </c>
      <c r="E1517" s="95">
        <v>100.74</v>
      </c>
      <c r="F1517" s="96">
        <v>281100</v>
      </c>
      <c r="G1517" s="100" t="s">
        <v>58</v>
      </c>
      <c r="H1517" s="114">
        <f t="shared" si="23"/>
        <v>46204</v>
      </c>
      <c r="I1517" s="17"/>
      <c r="J1517" s="17"/>
      <c r="K1517" s="17"/>
    </row>
    <row r="1518" spans="1:11" x14ac:dyDescent="0.2">
      <c r="A1518" s="115">
        <v>46216</v>
      </c>
      <c r="B1518" s="103" t="s">
        <v>2765</v>
      </c>
      <c r="C1518" s="94" t="s">
        <v>50</v>
      </c>
      <c r="D1518" s="95">
        <v>100.26</v>
      </c>
      <c r="E1518" s="95">
        <v>100.74</v>
      </c>
      <c r="F1518" s="96">
        <v>10100</v>
      </c>
      <c r="G1518" s="100" t="s">
        <v>2611</v>
      </c>
      <c r="H1518" s="114">
        <f t="shared" si="23"/>
        <v>46204</v>
      </c>
      <c r="I1518" s="17"/>
      <c r="J1518" s="17"/>
      <c r="K1518" s="17"/>
    </row>
    <row r="1519" spans="1:11" x14ac:dyDescent="0.2">
      <c r="A1519" s="115">
        <v>46216</v>
      </c>
      <c r="B1519" s="103" t="s">
        <v>2766</v>
      </c>
      <c r="C1519" s="94" t="s">
        <v>50</v>
      </c>
      <c r="D1519" s="95">
        <v>2000</v>
      </c>
      <c r="E1519" s="95">
        <v>100.74</v>
      </c>
      <c r="F1519" s="96">
        <v>201480</v>
      </c>
      <c r="G1519" s="97" t="s">
        <v>96</v>
      </c>
      <c r="H1519" s="114">
        <f t="shared" si="23"/>
        <v>46204</v>
      </c>
      <c r="I1519" s="17"/>
      <c r="J1519" s="17"/>
      <c r="K1519" s="17"/>
    </row>
    <row r="1520" spans="1:11" x14ac:dyDescent="0.2">
      <c r="A1520" s="115">
        <v>46216</v>
      </c>
      <c r="B1520" s="103" t="s">
        <v>2767</v>
      </c>
      <c r="C1520" s="94" t="s">
        <v>50</v>
      </c>
      <c r="D1520" s="95">
        <v>947.37</v>
      </c>
      <c r="E1520" s="95">
        <v>100.74</v>
      </c>
      <c r="F1520" s="96">
        <v>95438.05</v>
      </c>
      <c r="G1520" s="97" t="s">
        <v>95</v>
      </c>
      <c r="H1520" s="114">
        <f t="shared" si="23"/>
        <v>46204</v>
      </c>
      <c r="I1520" s="17"/>
      <c r="J1520" s="17"/>
      <c r="K1520" s="17"/>
    </row>
    <row r="1521" spans="1:11" x14ac:dyDescent="0.2">
      <c r="A1521" s="115">
        <v>46216</v>
      </c>
      <c r="B1521" s="103" t="s">
        <v>2768</v>
      </c>
      <c r="C1521" s="94"/>
      <c r="D1521" s="95">
        <v>1035.0999999999999</v>
      </c>
      <c r="E1521" s="95">
        <v>100.74</v>
      </c>
      <c r="F1521" s="96">
        <v>104275.6</v>
      </c>
      <c r="G1521" s="97" t="s">
        <v>2450</v>
      </c>
      <c r="H1521" s="114">
        <f t="shared" si="23"/>
        <v>46204</v>
      </c>
      <c r="I1521" s="17"/>
      <c r="J1521" s="17"/>
      <c r="K1521" s="17"/>
    </row>
    <row r="1522" spans="1:11" x14ac:dyDescent="0.2">
      <c r="A1522" s="115">
        <v>46217</v>
      </c>
      <c r="B1522" s="103" t="s">
        <v>2774</v>
      </c>
      <c r="C1522" s="94" t="s">
        <v>127</v>
      </c>
      <c r="D1522" s="95">
        <v>969.69</v>
      </c>
      <c r="E1522" s="95">
        <v>100.74</v>
      </c>
      <c r="F1522" s="96">
        <v>97686.57</v>
      </c>
      <c r="G1522" s="97" t="s">
        <v>59</v>
      </c>
      <c r="H1522" s="114">
        <f t="shared" si="23"/>
        <v>46204</v>
      </c>
      <c r="I1522" s="17"/>
      <c r="J1522" s="17"/>
      <c r="K1522" s="17"/>
    </row>
    <row r="1523" spans="1:11" x14ac:dyDescent="0.2">
      <c r="A1523" s="115">
        <v>46217</v>
      </c>
      <c r="B1523" s="103" t="s">
        <v>2775</v>
      </c>
      <c r="C1523" s="94" t="s">
        <v>50</v>
      </c>
      <c r="D1523" s="95">
        <v>148.9</v>
      </c>
      <c r="E1523" s="95">
        <v>100.74</v>
      </c>
      <c r="F1523" s="96">
        <v>15000</v>
      </c>
      <c r="G1523" s="97" t="s">
        <v>2611</v>
      </c>
      <c r="H1523" s="114">
        <f t="shared" si="23"/>
        <v>46204</v>
      </c>
      <c r="I1523" s="17"/>
      <c r="J1523" s="17"/>
      <c r="K1523" s="17"/>
    </row>
    <row r="1524" spans="1:11" x14ac:dyDescent="0.2">
      <c r="A1524" s="115">
        <v>46217</v>
      </c>
      <c r="B1524" s="103" t="s">
        <v>2776</v>
      </c>
      <c r="C1524" s="94" t="s">
        <v>50</v>
      </c>
      <c r="D1524" s="95">
        <v>957.1</v>
      </c>
      <c r="E1524" s="95">
        <v>100.74</v>
      </c>
      <c r="F1524" s="96">
        <v>96418.25</v>
      </c>
      <c r="G1524" s="97" t="s">
        <v>95</v>
      </c>
      <c r="H1524" s="114">
        <f t="shared" si="23"/>
        <v>46204</v>
      </c>
      <c r="I1524" s="17"/>
      <c r="J1524" s="17"/>
      <c r="K1524" s="17"/>
    </row>
    <row r="1525" spans="1:11" x14ac:dyDescent="0.2">
      <c r="A1525" s="115">
        <v>46217</v>
      </c>
      <c r="B1525" s="103" t="s">
        <v>2777</v>
      </c>
      <c r="C1525" s="94" t="s">
        <v>50</v>
      </c>
      <c r="D1525" s="95">
        <v>2000</v>
      </c>
      <c r="E1525" s="95">
        <v>100.74</v>
      </c>
      <c r="F1525" s="96">
        <v>201480</v>
      </c>
      <c r="G1525" s="97" t="s">
        <v>901</v>
      </c>
      <c r="H1525" s="114">
        <f t="shared" si="23"/>
        <v>46204</v>
      </c>
      <c r="I1525" s="17"/>
      <c r="J1525" s="17"/>
      <c r="K1525" s="17"/>
    </row>
    <row r="1526" spans="1:11" x14ac:dyDescent="0.2">
      <c r="A1526" s="115">
        <v>46217</v>
      </c>
      <c r="B1526" s="103" t="s">
        <v>2778</v>
      </c>
      <c r="C1526" s="94" t="s">
        <v>50</v>
      </c>
      <c r="D1526" s="95">
        <v>1999.91</v>
      </c>
      <c r="E1526" s="95">
        <v>100.74</v>
      </c>
      <c r="F1526" s="96">
        <v>201470.93</v>
      </c>
      <c r="G1526" s="97" t="s">
        <v>96</v>
      </c>
      <c r="H1526" s="114">
        <f t="shared" si="23"/>
        <v>46204</v>
      </c>
      <c r="I1526" s="17"/>
      <c r="J1526" s="17"/>
      <c r="K1526" s="17"/>
    </row>
    <row r="1527" spans="1:11" x14ac:dyDescent="0.2">
      <c r="A1527" s="115">
        <v>46217</v>
      </c>
      <c r="B1527" s="103" t="s">
        <v>2779</v>
      </c>
      <c r="C1527" s="94"/>
      <c r="D1527" s="95">
        <v>19.850000000000001</v>
      </c>
      <c r="E1527" s="95">
        <v>100.74</v>
      </c>
      <c r="F1527" s="96">
        <v>2000</v>
      </c>
      <c r="G1527" s="97" t="s">
        <v>2364</v>
      </c>
      <c r="H1527" s="114">
        <f t="shared" si="23"/>
        <v>46204</v>
      </c>
      <c r="I1527" s="17"/>
      <c r="J1527" s="17"/>
      <c r="K1527" s="17"/>
    </row>
    <row r="1528" spans="1:11" x14ac:dyDescent="0.2">
      <c r="A1528" s="115">
        <v>46217</v>
      </c>
      <c r="B1528" s="103" t="s">
        <v>2780</v>
      </c>
      <c r="C1528" s="94"/>
      <c r="D1528" s="95">
        <v>1581.81</v>
      </c>
      <c r="E1528" s="95">
        <v>100.74</v>
      </c>
      <c r="F1528" s="96">
        <v>159352</v>
      </c>
      <c r="G1528" s="97" t="s">
        <v>2450</v>
      </c>
      <c r="H1528" s="114">
        <f t="shared" si="23"/>
        <v>46204</v>
      </c>
      <c r="I1528" s="17"/>
      <c r="J1528" s="17"/>
      <c r="K1528" s="17"/>
    </row>
    <row r="1529" spans="1:11" x14ac:dyDescent="0.2">
      <c r="A1529" s="115">
        <v>46217</v>
      </c>
      <c r="B1529" s="103" t="s">
        <v>2781</v>
      </c>
      <c r="C1529" s="94"/>
      <c r="D1529" s="95">
        <v>1779.83</v>
      </c>
      <c r="E1529" s="95">
        <v>100.74</v>
      </c>
      <c r="F1529" s="96">
        <v>179300</v>
      </c>
      <c r="G1529" s="97" t="s">
        <v>152</v>
      </c>
      <c r="H1529" s="114">
        <f t="shared" si="23"/>
        <v>46204</v>
      </c>
      <c r="I1529" s="17"/>
      <c r="J1529" s="17"/>
      <c r="K1529" s="17"/>
    </row>
    <row r="1530" spans="1:11" x14ac:dyDescent="0.2">
      <c r="A1530" s="115">
        <v>46217</v>
      </c>
      <c r="B1530" s="103" t="s">
        <v>2782</v>
      </c>
      <c r="C1530" s="94" t="s">
        <v>525</v>
      </c>
      <c r="D1530" s="95">
        <v>29.78</v>
      </c>
      <c r="E1530" s="95">
        <v>100.74</v>
      </c>
      <c r="F1530" s="96">
        <v>3000</v>
      </c>
      <c r="G1530" s="97" t="s">
        <v>58</v>
      </c>
      <c r="H1530" s="114">
        <f t="shared" si="23"/>
        <v>46204</v>
      </c>
      <c r="I1530" s="17"/>
      <c r="J1530" s="17"/>
      <c r="K1530" s="17"/>
    </row>
    <row r="1531" spans="1:11" x14ac:dyDescent="0.2">
      <c r="A1531" s="115">
        <v>46217</v>
      </c>
      <c r="B1531" s="103" t="s">
        <v>2783</v>
      </c>
      <c r="C1531" s="94" t="s">
        <v>526</v>
      </c>
      <c r="D1531" s="95">
        <v>2545.17</v>
      </c>
      <c r="E1531" s="95">
        <v>100.74</v>
      </c>
      <c r="F1531" s="96">
        <v>256400</v>
      </c>
      <c r="G1531" s="97" t="s">
        <v>58</v>
      </c>
      <c r="H1531" s="114">
        <f t="shared" si="23"/>
        <v>46204</v>
      </c>
      <c r="I1531" s="17"/>
      <c r="J1531" s="17"/>
      <c r="K1531" s="17"/>
    </row>
    <row r="1532" spans="1:11" x14ac:dyDescent="0.2">
      <c r="A1532" s="115">
        <v>46217</v>
      </c>
      <c r="B1532" s="103" t="s">
        <v>2784</v>
      </c>
      <c r="C1532" s="94" t="s">
        <v>2785</v>
      </c>
      <c r="D1532" s="95">
        <v>49.64</v>
      </c>
      <c r="E1532" s="95">
        <v>100.74</v>
      </c>
      <c r="F1532" s="96">
        <v>5000</v>
      </c>
      <c r="G1532" s="97" t="s">
        <v>2611</v>
      </c>
      <c r="H1532" s="114">
        <f t="shared" si="23"/>
        <v>46204</v>
      </c>
      <c r="I1532" s="17"/>
      <c r="J1532" s="17"/>
      <c r="K1532" s="17"/>
    </row>
    <row r="1533" spans="1:11" x14ac:dyDescent="0.2">
      <c r="A1533" s="115">
        <v>46217</v>
      </c>
      <c r="B1533" s="103" t="s">
        <v>2786</v>
      </c>
      <c r="C1533" s="94" t="s">
        <v>128</v>
      </c>
      <c r="D1533" s="95">
        <v>36</v>
      </c>
      <c r="E1533" s="95">
        <v>100.74</v>
      </c>
      <c r="F1533" s="96">
        <v>3626.64</v>
      </c>
      <c r="G1533" s="97" t="s">
        <v>56</v>
      </c>
      <c r="H1533" s="114">
        <f t="shared" si="23"/>
        <v>46204</v>
      </c>
      <c r="I1533" s="17"/>
      <c r="J1533" s="17"/>
      <c r="K1533" s="17"/>
    </row>
    <row r="1534" spans="1:11" x14ac:dyDescent="0.2">
      <c r="A1534" s="115">
        <v>46217</v>
      </c>
      <c r="B1534" s="103" t="s">
        <v>2787</v>
      </c>
      <c r="C1534" s="94" t="s">
        <v>129</v>
      </c>
      <c r="D1534" s="95">
        <v>95.16</v>
      </c>
      <c r="E1534" s="95">
        <v>100.74</v>
      </c>
      <c r="F1534" s="96">
        <v>9586.41</v>
      </c>
      <c r="G1534" s="97" t="s">
        <v>56</v>
      </c>
      <c r="H1534" s="114">
        <f t="shared" si="23"/>
        <v>46204</v>
      </c>
      <c r="I1534" s="17"/>
      <c r="J1534" s="17"/>
      <c r="K1534" s="17"/>
    </row>
    <row r="1535" spans="1:11" x14ac:dyDescent="0.2">
      <c r="A1535" s="115">
        <v>46217</v>
      </c>
      <c r="B1535" s="103" t="s">
        <v>2788</v>
      </c>
      <c r="C1535" s="94" t="s">
        <v>2789</v>
      </c>
      <c r="D1535" s="95">
        <v>150</v>
      </c>
      <c r="E1535" s="95">
        <v>100.74</v>
      </c>
      <c r="F1535" s="96">
        <v>15111</v>
      </c>
      <c r="G1535" s="97" t="s">
        <v>2570</v>
      </c>
      <c r="H1535" s="114">
        <f t="shared" si="23"/>
        <v>46204</v>
      </c>
      <c r="I1535" s="17"/>
      <c r="J1535" s="17"/>
      <c r="K1535" s="17"/>
    </row>
    <row r="1536" spans="1:11" x14ac:dyDescent="0.2">
      <c r="A1536" s="115">
        <v>46217</v>
      </c>
      <c r="B1536" s="103" t="s">
        <v>2790</v>
      </c>
      <c r="C1536" s="94" t="s">
        <v>2686</v>
      </c>
      <c r="D1536" s="95">
        <v>150</v>
      </c>
      <c r="E1536" s="95">
        <v>100.74</v>
      </c>
      <c r="F1536" s="96">
        <v>15111</v>
      </c>
      <c r="G1536" s="97" t="s">
        <v>2570</v>
      </c>
      <c r="H1536" s="114">
        <f t="shared" si="23"/>
        <v>46204</v>
      </c>
      <c r="I1536" s="17"/>
      <c r="J1536" s="17"/>
      <c r="K1536" s="17"/>
    </row>
    <row r="1537" spans="1:11" x14ac:dyDescent="0.2">
      <c r="A1537" s="115">
        <v>46217</v>
      </c>
      <c r="B1537" s="103" t="s">
        <v>2791</v>
      </c>
      <c r="C1537" s="94" t="s">
        <v>2792</v>
      </c>
      <c r="D1537" s="95">
        <v>150</v>
      </c>
      <c r="E1537" s="95">
        <v>100.74</v>
      </c>
      <c r="F1537" s="96">
        <v>15111</v>
      </c>
      <c r="G1537" s="97" t="s">
        <v>2570</v>
      </c>
      <c r="H1537" s="114">
        <f t="shared" si="23"/>
        <v>46204</v>
      </c>
      <c r="I1537" s="17"/>
      <c r="J1537" s="17"/>
      <c r="K1537" s="17"/>
    </row>
    <row r="1538" spans="1:11" x14ac:dyDescent="0.2">
      <c r="A1538" s="115">
        <v>46217</v>
      </c>
      <c r="B1538" s="103" t="s">
        <v>2793</v>
      </c>
      <c r="C1538" s="94" t="s">
        <v>2789</v>
      </c>
      <c r="D1538" s="95">
        <v>50</v>
      </c>
      <c r="E1538" s="95">
        <v>100.74</v>
      </c>
      <c r="F1538" s="96">
        <v>5037</v>
      </c>
      <c r="G1538" s="97" t="s">
        <v>2570</v>
      </c>
      <c r="H1538" s="114">
        <f t="shared" si="23"/>
        <v>46204</v>
      </c>
      <c r="I1538" s="17"/>
      <c r="J1538" s="17"/>
      <c r="K1538" s="17"/>
    </row>
    <row r="1539" spans="1:11" x14ac:dyDescent="0.2">
      <c r="A1539" s="115">
        <v>46217</v>
      </c>
      <c r="B1539" s="103" t="s">
        <v>2794</v>
      </c>
      <c r="C1539" s="94" t="s">
        <v>2686</v>
      </c>
      <c r="D1539" s="95">
        <v>50</v>
      </c>
      <c r="E1539" s="95">
        <v>100.74</v>
      </c>
      <c r="F1539" s="96">
        <v>5037</v>
      </c>
      <c r="G1539" s="97" t="s">
        <v>2570</v>
      </c>
      <c r="H1539" s="114">
        <f t="shared" si="23"/>
        <v>46204</v>
      </c>
      <c r="I1539" s="17"/>
      <c r="J1539" s="17"/>
      <c r="K1539" s="17"/>
    </row>
    <row r="1540" spans="1:11" x14ac:dyDescent="0.2">
      <c r="A1540" s="115">
        <v>46217</v>
      </c>
      <c r="B1540" s="103" t="s">
        <v>2795</v>
      </c>
      <c r="C1540" s="94" t="s">
        <v>1747</v>
      </c>
      <c r="D1540" s="95">
        <v>200</v>
      </c>
      <c r="E1540" s="95">
        <v>100.74</v>
      </c>
      <c r="F1540" s="96">
        <v>20148</v>
      </c>
      <c r="G1540" s="97" t="s">
        <v>2570</v>
      </c>
      <c r="H1540" s="114">
        <f t="shared" ref="H1540:H1576" si="24">IF(A1540&lt;&gt;"", EOMONTH(A1540, -1) + 1, "")</f>
        <v>46204</v>
      </c>
      <c r="I1540" s="17"/>
      <c r="J1540" s="17"/>
      <c r="K1540" s="17"/>
    </row>
    <row r="1541" spans="1:11" x14ac:dyDescent="0.2">
      <c r="A1541" s="115">
        <v>46217</v>
      </c>
      <c r="B1541" s="103" t="s">
        <v>2796</v>
      </c>
      <c r="C1541" s="94" t="s">
        <v>2792</v>
      </c>
      <c r="D1541" s="95">
        <v>50</v>
      </c>
      <c r="E1541" s="95">
        <v>100.74</v>
      </c>
      <c r="F1541" s="96">
        <v>5037</v>
      </c>
      <c r="G1541" s="97" t="s">
        <v>2570</v>
      </c>
      <c r="H1541" s="114">
        <f t="shared" si="24"/>
        <v>46204</v>
      </c>
      <c r="I1541" s="17"/>
      <c r="J1541" s="17"/>
      <c r="K1541" s="17"/>
    </row>
    <row r="1542" spans="1:11" x14ac:dyDescent="0.2">
      <c r="A1542" s="115">
        <v>46217</v>
      </c>
      <c r="B1542" s="103" t="s">
        <v>2797</v>
      </c>
      <c r="C1542" s="94" t="s">
        <v>39</v>
      </c>
      <c r="D1542" s="95">
        <v>18000</v>
      </c>
      <c r="E1542" s="95">
        <v>99.5</v>
      </c>
      <c r="F1542" s="96">
        <v>1791000</v>
      </c>
      <c r="G1542" s="97" t="s">
        <v>51</v>
      </c>
      <c r="H1542" s="114">
        <f t="shared" si="24"/>
        <v>46204</v>
      </c>
      <c r="I1542" s="17"/>
      <c r="J1542" s="17"/>
      <c r="K1542" s="17"/>
    </row>
    <row r="1543" spans="1:11" x14ac:dyDescent="0.2">
      <c r="A1543" s="115">
        <v>46218</v>
      </c>
      <c r="B1543" s="103" t="s">
        <v>2805</v>
      </c>
      <c r="C1543" s="94" t="s">
        <v>40</v>
      </c>
      <c r="D1543" s="95">
        <v>12000</v>
      </c>
      <c r="E1543" s="95">
        <v>99.5</v>
      </c>
      <c r="F1543" s="96">
        <v>1194000</v>
      </c>
      <c r="G1543" s="97" t="s">
        <v>143</v>
      </c>
      <c r="H1543" s="114">
        <f t="shared" si="24"/>
        <v>46204</v>
      </c>
      <c r="I1543" s="17"/>
      <c r="J1543" s="17"/>
      <c r="K1543" s="17"/>
    </row>
    <row r="1544" spans="1:11" x14ac:dyDescent="0.2">
      <c r="A1544" s="115">
        <v>46218</v>
      </c>
      <c r="B1544" s="103" t="s">
        <v>2806</v>
      </c>
      <c r="C1544" s="94"/>
      <c r="D1544" s="95">
        <v>762.72</v>
      </c>
      <c r="E1544" s="95">
        <v>100.74</v>
      </c>
      <c r="F1544" s="96">
        <v>76836</v>
      </c>
      <c r="G1544" s="97" t="s">
        <v>2450</v>
      </c>
      <c r="H1544" s="114">
        <f t="shared" si="24"/>
        <v>46204</v>
      </c>
      <c r="I1544" s="17"/>
      <c r="J1544" s="17"/>
      <c r="K1544" s="17"/>
    </row>
    <row r="1545" spans="1:11" x14ac:dyDescent="0.2">
      <c r="A1545" s="115">
        <v>46218</v>
      </c>
      <c r="B1545" s="103" t="s">
        <v>2807</v>
      </c>
      <c r="C1545" s="94"/>
      <c r="D1545" s="95">
        <v>113.17</v>
      </c>
      <c r="E1545" s="95">
        <v>100.74</v>
      </c>
      <c r="F1545" s="96">
        <v>11400.39</v>
      </c>
      <c r="G1545" s="97" t="s">
        <v>2364</v>
      </c>
      <c r="H1545" s="114">
        <f t="shared" si="24"/>
        <v>46204</v>
      </c>
      <c r="I1545" s="17"/>
      <c r="J1545" s="17"/>
      <c r="K1545" s="17"/>
    </row>
    <row r="1546" spans="1:11" x14ac:dyDescent="0.2">
      <c r="A1546" s="115">
        <v>46218</v>
      </c>
      <c r="B1546" s="103" t="s">
        <v>2808</v>
      </c>
      <c r="C1546" s="94" t="s">
        <v>50</v>
      </c>
      <c r="D1546" s="95">
        <v>945.23</v>
      </c>
      <c r="E1546" s="95">
        <v>100.74</v>
      </c>
      <c r="F1546" s="96">
        <v>95222.47</v>
      </c>
      <c r="G1546" s="97" t="s">
        <v>95</v>
      </c>
      <c r="H1546" s="114">
        <f t="shared" si="24"/>
        <v>46204</v>
      </c>
      <c r="I1546" s="17"/>
      <c r="J1546" s="17"/>
      <c r="K1546" s="17"/>
    </row>
    <row r="1547" spans="1:11" x14ac:dyDescent="0.2">
      <c r="A1547" s="115">
        <v>46218</v>
      </c>
      <c r="B1547" s="103" t="s">
        <v>2809</v>
      </c>
      <c r="C1547" s="94" t="s">
        <v>50</v>
      </c>
      <c r="D1547" s="95">
        <v>198.53</v>
      </c>
      <c r="E1547" s="95">
        <v>100.74</v>
      </c>
      <c r="F1547" s="96">
        <v>20000</v>
      </c>
      <c r="G1547" s="97" t="s">
        <v>2611</v>
      </c>
      <c r="H1547" s="114">
        <f t="shared" si="24"/>
        <v>46204</v>
      </c>
      <c r="I1547" s="17"/>
      <c r="J1547" s="17"/>
      <c r="K1547" s="17"/>
    </row>
    <row r="1548" spans="1:11" x14ac:dyDescent="0.2">
      <c r="A1548" s="115">
        <v>46218</v>
      </c>
      <c r="B1548" s="103" t="s">
        <v>2810</v>
      </c>
      <c r="C1548" s="94"/>
      <c r="D1548" s="95">
        <v>45.66</v>
      </c>
      <c r="E1548" s="95">
        <v>100.74</v>
      </c>
      <c r="F1548" s="96">
        <v>4600</v>
      </c>
      <c r="G1548" s="97" t="s">
        <v>57</v>
      </c>
      <c r="H1548" s="114">
        <f t="shared" si="24"/>
        <v>46204</v>
      </c>
      <c r="I1548" s="17"/>
      <c r="J1548" s="17"/>
      <c r="K1548" s="17"/>
    </row>
    <row r="1549" spans="1:11" x14ac:dyDescent="0.2">
      <c r="A1549" s="115">
        <v>46218</v>
      </c>
      <c r="B1549" s="103" t="s">
        <v>2811</v>
      </c>
      <c r="C1549" s="94"/>
      <c r="D1549" s="95">
        <v>3392.52</v>
      </c>
      <c r="E1549" s="95">
        <v>100.74</v>
      </c>
      <c r="F1549" s="96">
        <v>341762.84</v>
      </c>
      <c r="G1549" s="97" t="s">
        <v>152</v>
      </c>
      <c r="H1549" s="114">
        <f t="shared" si="24"/>
        <v>46204</v>
      </c>
      <c r="I1549" s="17"/>
      <c r="J1549" s="17"/>
      <c r="K1549" s="17"/>
    </row>
    <row r="1550" spans="1:11" x14ac:dyDescent="0.2">
      <c r="A1550" s="115">
        <v>46218</v>
      </c>
      <c r="B1550" s="103" t="s">
        <v>2812</v>
      </c>
      <c r="C1550" s="94" t="s">
        <v>525</v>
      </c>
      <c r="D1550" s="95">
        <v>49.63</v>
      </c>
      <c r="E1550" s="95">
        <v>100.74</v>
      </c>
      <c r="F1550" s="96">
        <v>5000</v>
      </c>
      <c r="G1550" s="97" t="s">
        <v>58</v>
      </c>
      <c r="H1550" s="114">
        <f t="shared" si="24"/>
        <v>46204</v>
      </c>
      <c r="I1550" s="17"/>
      <c r="J1550" s="17"/>
      <c r="K1550" s="17"/>
    </row>
    <row r="1551" spans="1:11" x14ac:dyDescent="0.2">
      <c r="A1551" s="115">
        <v>46218</v>
      </c>
      <c r="B1551" s="103" t="s">
        <v>2813</v>
      </c>
      <c r="C1551" s="94" t="s">
        <v>526</v>
      </c>
      <c r="D1551" s="95">
        <v>3363.11</v>
      </c>
      <c r="E1551" s="95">
        <v>100.74</v>
      </c>
      <c r="F1551" s="96">
        <v>338800</v>
      </c>
      <c r="G1551" s="97" t="s">
        <v>58</v>
      </c>
      <c r="H1551" s="114">
        <f t="shared" si="24"/>
        <v>46204</v>
      </c>
      <c r="I1551" s="17"/>
      <c r="J1551" s="17"/>
      <c r="K1551" s="17"/>
    </row>
    <row r="1552" spans="1:11" x14ac:dyDescent="0.2">
      <c r="A1552" s="115">
        <v>46218</v>
      </c>
      <c r="B1552" s="103" t="s">
        <v>2814</v>
      </c>
      <c r="C1552" s="94" t="s">
        <v>1943</v>
      </c>
      <c r="D1552" s="95">
        <v>200</v>
      </c>
      <c r="E1552" s="95">
        <v>100.74</v>
      </c>
      <c r="F1552" s="96">
        <v>20148</v>
      </c>
      <c r="G1552" s="97" t="s">
        <v>54</v>
      </c>
      <c r="H1552" s="114">
        <f t="shared" si="24"/>
        <v>46204</v>
      </c>
      <c r="I1552" s="17"/>
      <c r="J1552" s="17"/>
      <c r="K1552" s="17"/>
    </row>
    <row r="1553" spans="1:11" x14ac:dyDescent="0.2">
      <c r="A1553" s="115">
        <v>46218</v>
      </c>
      <c r="B1553" s="103" t="s">
        <v>2815</v>
      </c>
      <c r="C1553" s="94" t="s">
        <v>45</v>
      </c>
      <c r="D1553" s="95">
        <v>50</v>
      </c>
      <c r="E1553" s="95">
        <v>100.74</v>
      </c>
      <c r="F1553" s="96">
        <v>5037</v>
      </c>
      <c r="G1553" s="97" t="s">
        <v>56</v>
      </c>
      <c r="H1553" s="114">
        <f t="shared" si="24"/>
        <v>46204</v>
      </c>
      <c r="I1553" s="17"/>
      <c r="J1553" s="17"/>
      <c r="K1553" s="17"/>
    </row>
    <row r="1554" spans="1:11" x14ac:dyDescent="0.2">
      <c r="A1554" s="115">
        <v>46218</v>
      </c>
      <c r="B1554" s="103" t="s">
        <v>2816</v>
      </c>
      <c r="C1554" s="94" t="s">
        <v>2817</v>
      </c>
      <c r="D1554" s="95">
        <v>100</v>
      </c>
      <c r="E1554" s="95">
        <v>100.74</v>
      </c>
      <c r="F1554" s="96">
        <v>10074</v>
      </c>
      <c r="G1554" s="97" t="s">
        <v>552</v>
      </c>
      <c r="H1554" s="114">
        <f t="shared" si="24"/>
        <v>46204</v>
      </c>
      <c r="I1554" s="17"/>
      <c r="J1554" s="17"/>
      <c r="K1554" s="17"/>
    </row>
    <row r="1555" spans="1:11" x14ac:dyDescent="0.2">
      <c r="A1555" s="115">
        <v>46218</v>
      </c>
      <c r="B1555" s="103" t="s">
        <v>2818</v>
      </c>
      <c r="C1555" s="94" t="s">
        <v>2819</v>
      </c>
      <c r="D1555" s="95">
        <v>100</v>
      </c>
      <c r="E1555" s="95">
        <v>100.74</v>
      </c>
      <c r="F1555" s="96">
        <v>10074</v>
      </c>
      <c r="G1555" s="97" t="s">
        <v>552</v>
      </c>
      <c r="H1555" s="114">
        <f t="shared" si="24"/>
        <v>46204</v>
      </c>
      <c r="I1555" s="17"/>
      <c r="J1555" s="17"/>
      <c r="K1555" s="17"/>
    </row>
    <row r="1556" spans="1:11" x14ac:dyDescent="0.2">
      <c r="A1556" s="115">
        <v>46218</v>
      </c>
      <c r="B1556" s="103" t="s">
        <v>2820</v>
      </c>
      <c r="C1556" s="94" t="s">
        <v>821</v>
      </c>
      <c r="D1556" s="95">
        <v>17</v>
      </c>
      <c r="E1556" s="95">
        <v>100.74</v>
      </c>
      <c r="F1556" s="96">
        <v>1712.58</v>
      </c>
      <c r="G1556" s="97" t="s">
        <v>714</v>
      </c>
      <c r="H1556" s="114">
        <f t="shared" si="24"/>
        <v>46204</v>
      </c>
      <c r="I1556" s="17"/>
      <c r="J1556" s="17"/>
      <c r="K1556" s="17"/>
    </row>
    <row r="1557" spans="1:11" x14ac:dyDescent="0.2">
      <c r="A1557" s="115">
        <v>46218</v>
      </c>
      <c r="B1557" s="103" t="s">
        <v>2821</v>
      </c>
      <c r="C1557" s="94" t="s">
        <v>821</v>
      </c>
      <c r="D1557" s="95">
        <v>225.32</v>
      </c>
      <c r="E1557" s="95">
        <v>100.74</v>
      </c>
      <c r="F1557" s="96">
        <v>22698.73</v>
      </c>
      <c r="G1557" s="97" t="s">
        <v>714</v>
      </c>
      <c r="H1557" s="114">
        <f t="shared" si="24"/>
        <v>46204</v>
      </c>
      <c r="I1557" s="17"/>
      <c r="J1557" s="17"/>
      <c r="K1557" s="17"/>
    </row>
    <row r="1558" spans="1:11" x14ac:dyDescent="0.2">
      <c r="A1558" s="115">
        <v>46218</v>
      </c>
      <c r="B1558" s="103" t="s">
        <v>2822</v>
      </c>
      <c r="C1558" s="94" t="s">
        <v>2823</v>
      </c>
      <c r="D1558" s="95">
        <v>50</v>
      </c>
      <c r="E1558" s="95">
        <v>100.74</v>
      </c>
      <c r="F1558" s="96">
        <v>5037</v>
      </c>
      <c r="G1558" s="97" t="s">
        <v>2570</v>
      </c>
      <c r="H1558" s="114">
        <f t="shared" si="24"/>
        <v>46204</v>
      </c>
      <c r="I1558" s="17"/>
      <c r="J1558" s="17"/>
      <c r="K1558" s="17"/>
    </row>
    <row r="1559" spans="1:11" x14ac:dyDescent="0.2">
      <c r="A1559" s="115">
        <v>46218</v>
      </c>
      <c r="B1559" s="103" t="s">
        <v>2824</v>
      </c>
      <c r="C1559" s="94" t="s">
        <v>2825</v>
      </c>
      <c r="D1559" s="95">
        <v>50</v>
      </c>
      <c r="E1559" s="95">
        <v>100.74</v>
      </c>
      <c r="F1559" s="96">
        <v>5037</v>
      </c>
      <c r="G1559" s="97" t="s">
        <v>2570</v>
      </c>
      <c r="H1559" s="114">
        <f t="shared" si="24"/>
        <v>46204</v>
      </c>
      <c r="I1559" s="17"/>
      <c r="J1559" s="17"/>
      <c r="K1559" s="17"/>
    </row>
    <row r="1560" spans="1:11" x14ac:dyDescent="0.2">
      <c r="A1560" s="115">
        <v>46218</v>
      </c>
      <c r="B1560" s="103" t="s">
        <v>2826</v>
      </c>
      <c r="C1560" s="94" t="s">
        <v>1781</v>
      </c>
      <c r="D1560" s="95">
        <v>200</v>
      </c>
      <c r="E1560" s="95">
        <v>100.74</v>
      </c>
      <c r="F1560" s="96">
        <v>20148</v>
      </c>
      <c r="G1560" s="97" t="s">
        <v>2570</v>
      </c>
      <c r="H1560" s="114">
        <f t="shared" si="24"/>
        <v>46204</v>
      </c>
      <c r="I1560" s="17"/>
      <c r="J1560" s="17"/>
      <c r="K1560" s="17"/>
    </row>
    <row r="1561" spans="1:11" x14ac:dyDescent="0.2">
      <c r="A1561" s="115">
        <v>46218</v>
      </c>
      <c r="B1561" s="103" t="s">
        <v>2827</v>
      </c>
      <c r="C1561" s="94" t="s">
        <v>2823</v>
      </c>
      <c r="D1561" s="95">
        <v>150</v>
      </c>
      <c r="E1561" s="95">
        <v>100.74</v>
      </c>
      <c r="F1561" s="96">
        <v>15111</v>
      </c>
      <c r="G1561" s="97" t="s">
        <v>2570</v>
      </c>
      <c r="H1561" s="114">
        <f t="shared" si="24"/>
        <v>46204</v>
      </c>
      <c r="I1561" s="17"/>
      <c r="J1561" s="17"/>
      <c r="K1561" s="17"/>
    </row>
    <row r="1562" spans="1:11" x14ac:dyDescent="0.2">
      <c r="A1562" s="115">
        <v>46218</v>
      </c>
      <c r="B1562" s="103" t="s">
        <v>2828</v>
      </c>
      <c r="C1562" s="94" t="s">
        <v>2825</v>
      </c>
      <c r="D1562" s="95">
        <v>150</v>
      </c>
      <c r="E1562" s="95">
        <v>100.74</v>
      </c>
      <c r="F1562" s="96">
        <v>15111</v>
      </c>
      <c r="G1562" s="97" t="s">
        <v>2570</v>
      </c>
      <c r="H1562" s="114">
        <f t="shared" si="24"/>
        <v>46204</v>
      </c>
      <c r="I1562" s="17"/>
      <c r="J1562" s="17"/>
      <c r="K1562" s="17"/>
    </row>
    <row r="1563" spans="1:11" x14ac:dyDescent="0.2">
      <c r="A1563" s="115">
        <v>46219</v>
      </c>
      <c r="B1563" s="103" t="s">
        <v>2833</v>
      </c>
      <c r="C1563" s="94" t="s">
        <v>2686</v>
      </c>
      <c r="D1563" s="95">
        <v>200</v>
      </c>
      <c r="E1563" s="95">
        <v>100.74</v>
      </c>
      <c r="F1563" s="96">
        <v>20148</v>
      </c>
      <c r="G1563" s="97" t="s">
        <v>2570</v>
      </c>
      <c r="H1563" s="114">
        <f t="shared" si="24"/>
        <v>46204</v>
      </c>
      <c r="I1563" s="17"/>
      <c r="J1563" s="17"/>
      <c r="K1563" s="17"/>
    </row>
    <row r="1564" spans="1:11" x14ac:dyDescent="0.2">
      <c r="A1564" s="115">
        <v>46219</v>
      </c>
      <c r="B1564" s="103" t="s">
        <v>2834</v>
      </c>
      <c r="C1564" s="94" t="s">
        <v>2835</v>
      </c>
      <c r="D1564" s="95">
        <v>200</v>
      </c>
      <c r="E1564" s="95">
        <v>100.74</v>
      </c>
      <c r="F1564" s="96">
        <v>20148</v>
      </c>
      <c r="G1564" s="97" t="s">
        <v>2570</v>
      </c>
      <c r="H1564" s="114">
        <f t="shared" si="24"/>
        <v>46204</v>
      </c>
      <c r="I1564" s="17"/>
      <c r="J1564" s="17"/>
      <c r="K1564" s="17"/>
    </row>
    <row r="1565" spans="1:11" x14ac:dyDescent="0.2">
      <c r="A1565" s="115">
        <v>46219</v>
      </c>
      <c r="B1565" s="103" t="s">
        <v>2836</v>
      </c>
      <c r="C1565" s="94" t="s">
        <v>2792</v>
      </c>
      <c r="D1565" s="95">
        <v>200</v>
      </c>
      <c r="E1565" s="95">
        <v>100.74</v>
      </c>
      <c r="F1565" s="96">
        <v>20148</v>
      </c>
      <c r="G1565" s="97" t="s">
        <v>2570</v>
      </c>
      <c r="H1565" s="114">
        <f t="shared" si="24"/>
        <v>46204</v>
      </c>
      <c r="I1565" s="17"/>
      <c r="J1565" s="17"/>
      <c r="K1565" s="17"/>
    </row>
    <row r="1566" spans="1:11" x14ac:dyDescent="0.2">
      <c r="A1566" s="115">
        <v>46219</v>
      </c>
      <c r="B1566" s="103" t="s">
        <v>2837</v>
      </c>
      <c r="C1566" s="94" t="s">
        <v>2838</v>
      </c>
      <c r="D1566" s="95">
        <v>200</v>
      </c>
      <c r="E1566" s="95">
        <v>100.74</v>
      </c>
      <c r="F1566" s="96">
        <v>20148</v>
      </c>
      <c r="G1566" s="97" t="s">
        <v>2570</v>
      </c>
      <c r="H1566" s="114">
        <f t="shared" si="24"/>
        <v>46204</v>
      </c>
      <c r="I1566" s="17"/>
      <c r="J1566" s="17"/>
      <c r="K1566" s="17"/>
    </row>
    <row r="1567" spans="1:11" x14ac:dyDescent="0.2">
      <c r="A1567" s="115">
        <v>46219</v>
      </c>
      <c r="B1567" s="103" t="s">
        <v>2839</v>
      </c>
      <c r="C1567" s="94" t="s">
        <v>1157</v>
      </c>
      <c r="D1567" s="95">
        <v>97.01</v>
      </c>
      <c r="E1567" s="95">
        <v>100.74</v>
      </c>
      <c r="F1567" s="96">
        <v>9772.7900000000009</v>
      </c>
      <c r="G1567" s="97" t="s">
        <v>714</v>
      </c>
      <c r="H1567" s="114">
        <f t="shared" si="24"/>
        <v>46204</v>
      </c>
      <c r="I1567" s="17"/>
      <c r="J1567" s="17"/>
      <c r="K1567" s="17"/>
    </row>
    <row r="1568" spans="1:11" x14ac:dyDescent="0.2">
      <c r="A1568" s="115">
        <v>46219</v>
      </c>
      <c r="B1568" s="103" t="s">
        <v>2840</v>
      </c>
      <c r="C1568" s="94" t="s">
        <v>2841</v>
      </c>
      <c r="D1568" s="95">
        <v>100</v>
      </c>
      <c r="E1568" s="95">
        <v>100.74</v>
      </c>
      <c r="F1568" s="96">
        <v>10074</v>
      </c>
      <c r="G1568" s="97" t="s">
        <v>714</v>
      </c>
      <c r="H1568" s="114">
        <f t="shared" si="24"/>
        <v>46204</v>
      </c>
      <c r="I1568" s="17"/>
      <c r="J1568" s="17"/>
      <c r="K1568" s="17"/>
    </row>
    <row r="1569" spans="1:11" x14ac:dyDescent="0.2">
      <c r="A1569" s="115">
        <v>46219</v>
      </c>
      <c r="B1569" s="103" t="s">
        <v>2842</v>
      </c>
      <c r="C1569" s="94" t="s">
        <v>873</v>
      </c>
      <c r="D1569" s="95">
        <v>11.91</v>
      </c>
      <c r="E1569" s="95">
        <v>100.74</v>
      </c>
      <c r="F1569" s="96">
        <v>1200</v>
      </c>
      <c r="G1569" s="97" t="s">
        <v>257</v>
      </c>
      <c r="H1569" s="114">
        <f t="shared" si="24"/>
        <v>46204</v>
      </c>
      <c r="I1569" s="17"/>
      <c r="J1569" s="17"/>
      <c r="K1569" s="17"/>
    </row>
    <row r="1570" spans="1:11" x14ac:dyDescent="0.2">
      <c r="A1570" s="115">
        <v>46219</v>
      </c>
      <c r="B1570" s="103" t="s">
        <v>2843</v>
      </c>
      <c r="C1570" s="94" t="s">
        <v>251</v>
      </c>
      <c r="D1570" s="95">
        <v>11.91</v>
      </c>
      <c r="E1570" s="95">
        <v>100.74</v>
      </c>
      <c r="F1570" s="96">
        <v>1200</v>
      </c>
      <c r="G1570" s="97" t="s">
        <v>257</v>
      </c>
      <c r="H1570" s="114">
        <f t="shared" si="24"/>
        <v>46204</v>
      </c>
      <c r="I1570" s="17"/>
      <c r="J1570" s="17"/>
      <c r="K1570" s="17"/>
    </row>
    <row r="1571" spans="1:11" x14ac:dyDescent="0.2">
      <c r="A1571" s="115">
        <v>46219</v>
      </c>
      <c r="B1571" s="103" t="s">
        <v>2844</v>
      </c>
      <c r="C1571" s="94"/>
      <c r="D1571" s="95">
        <v>261.64999999999998</v>
      </c>
      <c r="E1571" s="95">
        <v>100.74</v>
      </c>
      <c r="F1571" s="96">
        <v>26358.959999999999</v>
      </c>
      <c r="G1571" s="97" t="s">
        <v>2450</v>
      </c>
      <c r="H1571" s="114">
        <f t="shared" si="24"/>
        <v>46204</v>
      </c>
      <c r="I1571" s="17"/>
      <c r="J1571" s="17"/>
      <c r="K1571" s="17"/>
    </row>
    <row r="1572" spans="1:11" x14ac:dyDescent="0.2">
      <c r="A1572" s="115">
        <v>46219</v>
      </c>
      <c r="B1572" s="103" t="s">
        <v>2845</v>
      </c>
      <c r="C1572" s="94" t="s">
        <v>50</v>
      </c>
      <c r="D1572" s="95">
        <v>1167.99</v>
      </c>
      <c r="E1572" s="95">
        <v>100.74</v>
      </c>
      <c r="F1572" s="96">
        <v>117663.31</v>
      </c>
      <c r="G1572" s="97" t="s">
        <v>95</v>
      </c>
      <c r="H1572" s="114">
        <f t="shared" si="24"/>
        <v>46204</v>
      </c>
      <c r="I1572" s="17"/>
      <c r="J1572" s="17"/>
      <c r="K1572" s="17"/>
    </row>
    <row r="1573" spans="1:11" x14ac:dyDescent="0.2">
      <c r="A1573" s="115">
        <v>46219</v>
      </c>
      <c r="B1573" s="103" t="s">
        <v>2846</v>
      </c>
      <c r="C1573" s="94" t="s">
        <v>50</v>
      </c>
      <c r="D1573" s="95">
        <v>198.53</v>
      </c>
      <c r="E1573" s="95">
        <v>100.74</v>
      </c>
      <c r="F1573" s="96">
        <v>20000</v>
      </c>
      <c r="G1573" s="97" t="s">
        <v>2611</v>
      </c>
      <c r="H1573" s="114">
        <f t="shared" si="24"/>
        <v>46204</v>
      </c>
      <c r="I1573" s="17"/>
      <c r="J1573" s="17"/>
      <c r="K1573" s="17"/>
    </row>
    <row r="1574" spans="1:11" x14ac:dyDescent="0.2">
      <c r="A1574" s="115">
        <v>46219</v>
      </c>
      <c r="B1574" s="103" t="s">
        <v>2847</v>
      </c>
      <c r="C1574" s="94"/>
      <c r="D1574" s="95">
        <v>974.32</v>
      </c>
      <c r="E1574" s="95">
        <v>100.74</v>
      </c>
      <c r="F1574" s="96">
        <v>98152.98</v>
      </c>
      <c r="G1574" s="97" t="s">
        <v>152</v>
      </c>
      <c r="H1574" s="114">
        <f t="shared" si="24"/>
        <v>46204</v>
      </c>
      <c r="I1574" s="17"/>
      <c r="J1574" s="17"/>
      <c r="K1574" s="17"/>
    </row>
    <row r="1575" spans="1:11" x14ac:dyDescent="0.2">
      <c r="A1575" s="115">
        <v>46219</v>
      </c>
      <c r="B1575" s="103" t="s">
        <v>2848</v>
      </c>
      <c r="C1575" s="94" t="s">
        <v>525</v>
      </c>
      <c r="D1575" s="95">
        <v>148.9</v>
      </c>
      <c r="E1575" s="95">
        <v>100.74</v>
      </c>
      <c r="F1575" s="96">
        <v>15000</v>
      </c>
      <c r="G1575" s="97" t="s">
        <v>58</v>
      </c>
      <c r="H1575" s="114">
        <f t="shared" si="24"/>
        <v>46204</v>
      </c>
      <c r="I1575" s="17"/>
      <c r="J1575" s="17"/>
      <c r="K1575" s="17"/>
    </row>
    <row r="1576" spans="1:11" x14ac:dyDescent="0.2">
      <c r="A1576" s="115">
        <v>46219</v>
      </c>
      <c r="B1576" s="103" t="s">
        <v>2849</v>
      </c>
      <c r="C1576" s="94" t="s">
        <v>526</v>
      </c>
      <c r="D1576" s="95">
        <v>2888.62</v>
      </c>
      <c r="E1576" s="95">
        <v>100.74</v>
      </c>
      <c r="F1576" s="96">
        <v>291000</v>
      </c>
      <c r="G1576" s="97" t="s">
        <v>58</v>
      </c>
      <c r="H1576" s="114">
        <f t="shared" si="24"/>
        <v>46204</v>
      </c>
      <c r="I1576" s="17"/>
      <c r="J1576" s="17"/>
      <c r="K1576" s="17"/>
    </row>
    <row r="1577" spans="1:11" x14ac:dyDescent="0.2">
      <c r="A1577" s="115">
        <v>46220</v>
      </c>
      <c r="B1577" s="103" t="s">
        <v>2852</v>
      </c>
      <c r="C1577" s="94" t="s">
        <v>2539</v>
      </c>
      <c r="D1577" s="95">
        <v>12000</v>
      </c>
      <c r="E1577" s="95">
        <v>99.5</v>
      </c>
      <c r="F1577" s="96">
        <v>1194000</v>
      </c>
      <c r="G1577" s="97" t="s">
        <v>51</v>
      </c>
      <c r="H1577" s="114">
        <v>46204</v>
      </c>
      <c r="I1577" s="17"/>
      <c r="J1577" s="17"/>
      <c r="K1577" s="17"/>
    </row>
    <row r="1578" spans="1:11" x14ac:dyDescent="0.2">
      <c r="A1578" s="115">
        <v>46220</v>
      </c>
      <c r="B1578" s="103" t="s">
        <v>2853</v>
      </c>
      <c r="C1578" s="94" t="s">
        <v>1722</v>
      </c>
      <c r="D1578" s="95">
        <v>1200</v>
      </c>
      <c r="E1578" s="95">
        <v>100.74</v>
      </c>
      <c r="F1578" s="96">
        <v>120888</v>
      </c>
      <c r="G1578" s="97" t="s">
        <v>501</v>
      </c>
      <c r="H1578" s="114">
        <v>46204</v>
      </c>
      <c r="I1578" s="17"/>
      <c r="J1578" s="17"/>
      <c r="K1578" s="17"/>
    </row>
    <row r="1579" spans="1:11" x14ac:dyDescent="0.2">
      <c r="A1579" s="115">
        <v>46220</v>
      </c>
      <c r="B1579" s="103" t="s">
        <v>2854</v>
      </c>
      <c r="C1579" s="94" t="s">
        <v>2855</v>
      </c>
      <c r="D1579" s="95">
        <v>20</v>
      </c>
      <c r="E1579" s="95">
        <v>100.74</v>
      </c>
      <c r="F1579" s="96">
        <v>2014.8</v>
      </c>
      <c r="G1579" s="97" t="s">
        <v>552</v>
      </c>
      <c r="H1579" s="114">
        <v>46204</v>
      </c>
      <c r="I1579" s="17"/>
      <c r="J1579" s="17"/>
      <c r="K1579" s="17"/>
    </row>
    <row r="1580" spans="1:11" x14ac:dyDescent="0.2">
      <c r="A1580" s="115">
        <v>46220</v>
      </c>
      <c r="B1580" s="103" t="s">
        <v>2856</v>
      </c>
      <c r="C1580" s="94" t="s">
        <v>41</v>
      </c>
      <c r="D1580" s="95">
        <v>55</v>
      </c>
      <c r="E1580" s="95">
        <v>100.74</v>
      </c>
      <c r="F1580" s="96">
        <v>5540.7</v>
      </c>
      <c r="G1580" s="100" t="s">
        <v>53</v>
      </c>
      <c r="H1580" s="114">
        <v>46204</v>
      </c>
      <c r="I1580" s="17"/>
      <c r="J1580" s="17"/>
      <c r="K1580" s="17"/>
    </row>
    <row r="1581" spans="1:11" x14ac:dyDescent="0.2">
      <c r="A1581" s="115">
        <v>46220</v>
      </c>
      <c r="B1581" s="103" t="s">
        <v>2857</v>
      </c>
      <c r="C1581" s="94" t="s">
        <v>2858</v>
      </c>
      <c r="D1581" s="95">
        <v>10</v>
      </c>
      <c r="E1581" s="95">
        <v>100.74</v>
      </c>
      <c r="F1581" s="96">
        <v>1007.4</v>
      </c>
      <c r="G1581" s="100" t="s">
        <v>714</v>
      </c>
      <c r="H1581" s="114">
        <v>46204</v>
      </c>
      <c r="I1581" s="17"/>
      <c r="J1581" s="17"/>
      <c r="K1581" s="17"/>
    </row>
    <row r="1582" spans="1:11" x14ac:dyDescent="0.2">
      <c r="A1582" s="115">
        <v>46220</v>
      </c>
      <c r="B1582" s="103" t="s">
        <v>2859</v>
      </c>
      <c r="C1582" s="94" t="s">
        <v>2860</v>
      </c>
      <c r="D1582" s="95">
        <v>50</v>
      </c>
      <c r="E1582" s="95">
        <v>100.74</v>
      </c>
      <c r="F1582" s="96">
        <v>5037</v>
      </c>
      <c r="G1582" s="100" t="s">
        <v>714</v>
      </c>
      <c r="H1582" s="114">
        <v>46204</v>
      </c>
      <c r="I1582" s="17"/>
      <c r="J1582" s="17"/>
      <c r="K1582" s="17"/>
    </row>
    <row r="1583" spans="1:11" x14ac:dyDescent="0.2">
      <c r="A1583" s="115">
        <v>46220</v>
      </c>
      <c r="B1583" s="103" t="s">
        <v>2861</v>
      </c>
      <c r="C1583" s="94" t="s">
        <v>129</v>
      </c>
      <c r="D1583" s="95">
        <v>97.96</v>
      </c>
      <c r="E1583" s="95">
        <v>100.74</v>
      </c>
      <c r="F1583" s="96">
        <v>9868.49</v>
      </c>
      <c r="G1583" s="100" t="s">
        <v>56</v>
      </c>
      <c r="H1583" s="114">
        <v>46204</v>
      </c>
      <c r="I1583" s="17"/>
      <c r="J1583" s="17"/>
      <c r="K1583" s="17"/>
    </row>
    <row r="1584" spans="1:11" x14ac:dyDescent="0.2">
      <c r="A1584" s="115">
        <v>46220</v>
      </c>
      <c r="B1584" s="103" t="s">
        <v>2862</v>
      </c>
      <c r="C1584" s="94" t="s">
        <v>1105</v>
      </c>
      <c r="D1584" s="95">
        <v>230.01</v>
      </c>
      <c r="E1584" s="95">
        <v>100.74</v>
      </c>
      <c r="F1584" s="96">
        <v>23171.200000000001</v>
      </c>
      <c r="G1584" s="100" t="s">
        <v>199</v>
      </c>
      <c r="H1584" s="114">
        <v>46204</v>
      </c>
      <c r="I1584" s="17"/>
      <c r="J1584" s="17"/>
      <c r="K1584" s="17"/>
    </row>
    <row r="1585" spans="1:11" x14ac:dyDescent="0.2">
      <c r="A1585" s="115">
        <v>46220</v>
      </c>
      <c r="B1585" s="103" t="s">
        <v>2863</v>
      </c>
      <c r="C1585" s="94" t="s">
        <v>1526</v>
      </c>
      <c r="D1585" s="95">
        <v>37.74</v>
      </c>
      <c r="E1585" s="95">
        <v>100.74</v>
      </c>
      <c r="F1585" s="96">
        <v>3801.92</v>
      </c>
      <c r="G1585" s="100" t="s">
        <v>901</v>
      </c>
      <c r="H1585" s="114">
        <v>46204</v>
      </c>
      <c r="I1585" s="17"/>
      <c r="J1585" s="17"/>
      <c r="K1585" s="17"/>
    </row>
    <row r="1586" spans="1:11" x14ac:dyDescent="0.2">
      <c r="A1586" s="115">
        <v>46220</v>
      </c>
      <c r="B1586" s="103" t="s">
        <v>2864</v>
      </c>
      <c r="C1586" s="94" t="s">
        <v>127</v>
      </c>
      <c r="D1586" s="95">
        <v>400</v>
      </c>
      <c r="E1586" s="95">
        <v>100.74</v>
      </c>
      <c r="F1586" s="96">
        <v>40296</v>
      </c>
      <c r="G1586" s="100" t="s">
        <v>59</v>
      </c>
      <c r="H1586" s="114">
        <v>46204</v>
      </c>
      <c r="I1586" s="17"/>
      <c r="J1586" s="17"/>
      <c r="K1586" s="17"/>
    </row>
    <row r="1587" spans="1:11" x14ac:dyDescent="0.2">
      <c r="A1587" s="115">
        <v>46220</v>
      </c>
      <c r="B1587" s="103" t="s">
        <v>2865</v>
      </c>
      <c r="C1587" s="94" t="s">
        <v>1780</v>
      </c>
      <c r="D1587" s="95">
        <v>200</v>
      </c>
      <c r="E1587" s="95">
        <v>100.74</v>
      </c>
      <c r="F1587" s="96">
        <v>20148</v>
      </c>
      <c r="G1587" s="100" t="s">
        <v>2570</v>
      </c>
      <c r="H1587" s="114">
        <v>46204</v>
      </c>
      <c r="I1587" s="17"/>
      <c r="J1587" s="17"/>
      <c r="K1587" s="17"/>
    </row>
    <row r="1588" spans="1:11" x14ac:dyDescent="0.2">
      <c r="A1588" s="115">
        <v>46220</v>
      </c>
      <c r="B1588" s="103" t="s">
        <v>2866</v>
      </c>
      <c r="C1588" s="94" t="s">
        <v>2603</v>
      </c>
      <c r="D1588" s="95">
        <v>200</v>
      </c>
      <c r="E1588" s="95">
        <v>100.74</v>
      </c>
      <c r="F1588" s="96">
        <v>20148</v>
      </c>
      <c r="G1588" s="100" t="s">
        <v>2570</v>
      </c>
      <c r="H1588" s="114">
        <v>46204</v>
      </c>
      <c r="I1588" s="17"/>
      <c r="J1588" s="17"/>
      <c r="K1588" s="17"/>
    </row>
    <row r="1589" spans="1:11" x14ac:dyDescent="0.2">
      <c r="A1589" s="115">
        <v>46220</v>
      </c>
      <c r="B1589" s="103" t="s">
        <v>2867</v>
      </c>
      <c r="C1589" s="94" t="s">
        <v>1747</v>
      </c>
      <c r="D1589" s="95">
        <v>200</v>
      </c>
      <c r="E1589" s="95">
        <v>100.74</v>
      </c>
      <c r="F1589" s="96">
        <v>20148</v>
      </c>
      <c r="G1589" s="100" t="s">
        <v>2570</v>
      </c>
      <c r="H1589" s="114">
        <v>46204</v>
      </c>
      <c r="I1589" s="17"/>
      <c r="J1589" s="17"/>
      <c r="K1589" s="17"/>
    </row>
    <row r="1590" spans="1:11" x14ac:dyDescent="0.2">
      <c r="A1590" s="115">
        <v>46220</v>
      </c>
      <c r="B1590" s="103" t="s">
        <v>2868</v>
      </c>
      <c r="C1590" s="94" t="s">
        <v>2869</v>
      </c>
      <c r="D1590" s="95">
        <v>200</v>
      </c>
      <c r="E1590" s="95">
        <v>100.74</v>
      </c>
      <c r="F1590" s="96">
        <v>20148</v>
      </c>
      <c r="G1590" s="100" t="s">
        <v>2570</v>
      </c>
      <c r="H1590" s="114">
        <v>46204</v>
      </c>
      <c r="I1590" s="17"/>
      <c r="J1590" s="17"/>
      <c r="K1590" s="17"/>
    </row>
    <row r="1591" spans="1:11" x14ac:dyDescent="0.2">
      <c r="A1591" s="115">
        <v>46220</v>
      </c>
      <c r="B1591" s="103" t="s">
        <v>2870</v>
      </c>
      <c r="C1591" s="94" t="s">
        <v>2425</v>
      </c>
      <c r="D1591" s="95">
        <v>200</v>
      </c>
      <c r="E1591" s="95">
        <v>100.74</v>
      </c>
      <c r="F1591" s="96">
        <v>20148</v>
      </c>
      <c r="G1591" s="100" t="s">
        <v>2570</v>
      </c>
      <c r="H1591" s="114">
        <v>46204</v>
      </c>
      <c r="I1591" s="17"/>
      <c r="J1591" s="17"/>
      <c r="K1591" s="17"/>
    </row>
    <row r="1592" spans="1:11" x14ac:dyDescent="0.2">
      <c r="A1592" s="115">
        <v>46220</v>
      </c>
      <c r="B1592" s="103" t="s">
        <v>2871</v>
      </c>
      <c r="C1592" s="94" t="s">
        <v>2872</v>
      </c>
      <c r="D1592" s="95">
        <v>200</v>
      </c>
      <c r="E1592" s="95">
        <v>100.74</v>
      </c>
      <c r="F1592" s="96">
        <v>20148</v>
      </c>
      <c r="G1592" s="97" t="s">
        <v>2570</v>
      </c>
      <c r="H1592" s="114">
        <v>46204</v>
      </c>
      <c r="I1592" s="17"/>
      <c r="J1592" s="17"/>
      <c r="K1592" s="17"/>
    </row>
    <row r="1593" spans="1:11" x14ac:dyDescent="0.2">
      <c r="A1593" s="115">
        <v>46220</v>
      </c>
      <c r="B1593" s="103" t="s">
        <v>2873</v>
      </c>
      <c r="C1593" s="94" t="s">
        <v>2429</v>
      </c>
      <c r="D1593" s="95">
        <v>200</v>
      </c>
      <c r="E1593" s="95">
        <v>100.74</v>
      </c>
      <c r="F1593" s="96">
        <v>20148</v>
      </c>
      <c r="G1593" s="97" t="s">
        <v>2570</v>
      </c>
      <c r="H1593" s="114">
        <v>46204</v>
      </c>
      <c r="I1593" s="17"/>
      <c r="J1593" s="17"/>
      <c r="K1593" s="17"/>
    </row>
    <row r="1594" spans="1:11" x14ac:dyDescent="0.2">
      <c r="A1594" s="115">
        <v>46220</v>
      </c>
      <c r="B1594" s="103" t="s">
        <v>2874</v>
      </c>
      <c r="C1594" s="94"/>
      <c r="D1594" s="95">
        <v>1097.6400000000001</v>
      </c>
      <c r="E1594" s="95">
        <v>100.74</v>
      </c>
      <c r="F1594" s="96">
        <v>110575.98</v>
      </c>
      <c r="G1594" s="97" t="s">
        <v>2450</v>
      </c>
      <c r="H1594" s="114">
        <v>46204</v>
      </c>
      <c r="I1594" s="17"/>
      <c r="J1594" s="17"/>
      <c r="K1594" s="17"/>
    </row>
    <row r="1595" spans="1:11" x14ac:dyDescent="0.2">
      <c r="A1595" s="115">
        <v>46220</v>
      </c>
      <c r="B1595" s="103" t="s">
        <v>2875</v>
      </c>
      <c r="C1595" s="94"/>
      <c r="D1595" s="95">
        <v>99.27</v>
      </c>
      <c r="E1595" s="95">
        <v>100.74</v>
      </c>
      <c r="F1595" s="96">
        <v>10000</v>
      </c>
      <c r="G1595" s="97" t="s">
        <v>2364</v>
      </c>
      <c r="H1595" s="114">
        <v>46204</v>
      </c>
      <c r="I1595" s="17"/>
      <c r="J1595" s="17"/>
      <c r="K1595" s="17"/>
    </row>
    <row r="1596" spans="1:11" x14ac:dyDescent="0.2">
      <c r="A1596" s="115">
        <v>46220</v>
      </c>
      <c r="B1596" s="103" t="s">
        <v>2876</v>
      </c>
      <c r="C1596" s="94"/>
      <c r="D1596" s="95">
        <v>250.63</v>
      </c>
      <c r="E1596" s="95">
        <v>100.74</v>
      </c>
      <c r="F1596" s="96">
        <v>25248</v>
      </c>
      <c r="G1596" s="97" t="s">
        <v>57</v>
      </c>
      <c r="H1596" s="114">
        <v>46204</v>
      </c>
      <c r="I1596" s="17"/>
      <c r="J1596" s="17"/>
      <c r="K1596" s="17"/>
    </row>
    <row r="1597" spans="1:11" x14ac:dyDescent="0.2">
      <c r="A1597" s="115">
        <v>46220</v>
      </c>
      <c r="B1597" s="103" t="s">
        <v>2877</v>
      </c>
      <c r="C1597" s="94" t="s">
        <v>50</v>
      </c>
      <c r="D1597" s="95">
        <v>893.04</v>
      </c>
      <c r="E1597" s="95">
        <v>100.74</v>
      </c>
      <c r="F1597" s="96">
        <v>89964.85</v>
      </c>
      <c r="G1597" s="97" t="s">
        <v>95</v>
      </c>
      <c r="H1597" s="114">
        <v>46204</v>
      </c>
      <c r="I1597" s="17"/>
      <c r="J1597" s="17"/>
      <c r="K1597" s="17"/>
    </row>
    <row r="1598" spans="1:11" x14ac:dyDescent="0.2">
      <c r="A1598" s="115">
        <v>46220</v>
      </c>
      <c r="B1598" s="103" t="s">
        <v>2878</v>
      </c>
      <c r="C1598" s="94" t="s">
        <v>50</v>
      </c>
      <c r="D1598" s="95">
        <v>2000</v>
      </c>
      <c r="E1598" s="95">
        <v>100.74</v>
      </c>
      <c r="F1598" s="96">
        <v>201480</v>
      </c>
      <c r="G1598" s="97" t="s">
        <v>96</v>
      </c>
      <c r="H1598" s="114">
        <v>46204</v>
      </c>
      <c r="I1598" s="17"/>
      <c r="J1598" s="17"/>
      <c r="K1598" s="17"/>
    </row>
    <row r="1599" spans="1:11" x14ac:dyDescent="0.2">
      <c r="A1599" s="115">
        <v>46220</v>
      </c>
      <c r="B1599" s="103" t="s">
        <v>2879</v>
      </c>
      <c r="C1599" s="94"/>
      <c r="D1599" s="95">
        <v>2753.29</v>
      </c>
      <c r="E1599" s="95">
        <v>100.74</v>
      </c>
      <c r="F1599" s="96">
        <v>277366</v>
      </c>
      <c r="G1599" s="97" t="s">
        <v>152</v>
      </c>
      <c r="H1599" s="114">
        <v>46204</v>
      </c>
      <c r="I1599" s="17"/>
      <c r="J1599" s="17"/>
      <c r="K1599" s="17"/>
    </row>
    <row r="1600" spans="1:11" x14ac:dyDescent="0.2">
      <c r="A1600" s="115">
        <v>46220</v>
      </c>
      <c r="B1600" s="103" t="s">
        <v>2880</v>
      </c>
      <c r="C1600" s="94" t="s">
        <v>525</v>
      </c>
      <c r="D1600" s="95">
        <v>74.45</v>
      </c>
      <c r="E1600" s="95">
        <v>100.74</v>
      </c>
      <c r="F1600" s="96">
        <v>7500</v>
      </c>
      <c r="G1600" s="97" t="s">
        <v>58</v>
      </c>
      <c r="H1600" s="114">
        <v>46204</v>
      </c>
      <c r="I1600" s="17"/>
      <c r="J1600" s="17"/>
      <c r="K1600" s="17"/>
    </row>
    <row r="1601" spans="1:11" x14ac:dyDescent="0.2">
      <c r="A1601" s="115">
        <v>46220</v>
      </c>
      <c r="B1601" s="103" t="s">
        <v>2881</v>
      </c>
      <c r="C1601" s="94" t="s">
        <v>526</v>
      </c>
      <c r="D1601" s="95">
        <v>3114.95</v>
      </c>
      <c r="E1601" s="95">
        <v>100.74</v>
      </c>
      <c r="F1601" s="96">
        <v>313800</v>
      </c>
      <c r="G1601" s="97" t="s">
        <v>58</v>
      </c>
      <c r="H1601" s="114">
        <v>46204</v>
      </c>
      <c r="I1601" s="17"/>
      <c r="J1601" s="17"/>
      <c r="K1601" s="17"/>
    </row>
    <row r="1602" spans="1:11" x14ac:dyDescent="0.2">
      <c r="A1602" s="115">
        <v>46220</v>
      </c>
      <c r="B1602" s="103" t="s">
        <v>2882</v>
      </c>
      <c r="C1602" s="94" t="s">
        <v>180</v>
      </c>
      <c r="D1602" s="95">
        <v>12000</v>
      </c>
      <c r="E1602" s="95">
        <v>99.5</v>
      </c>
      <c r="F1602" s="96">
        <v>1194000</v>
      </c>
      <c r="G1602" s="97" t="s">
        <v>143</v>
      </c>
      <c r="H1602" s="114">
        <v>46204</v>
      </c>
      <c r="I1602" s="17"/>
      <c r="J1602" s="17"/>
      <c r="K1602" s="17"/>
    </row>
    <row r="1603" spans="1:11" x14ac:dyDescent="0.2">
      <c r="A1603" s="115">
        <v>46221</v>
      </c>
      <c r="B1603" s="103" t="s">
        <v>2888</v>
      </c>
      <c r="C1603" s="94" t="s">
        <v>40</v>
      </c>
      <c r="D1603" s="95">
        <v>12000</v>
      </c>
      <c r="E1603" s="95">
        <v>99.5</v>
      </c>
      <c r="F1603" s="96">
        <v>1194000</v>
      </c>
      <c r="G1603" s="97" t="s">
        <v>51</v>
      </c>
      <c r="H1603" s="114">
        <v>46204</v>
      </c>
      <c r="I1603" s="17"/>
      <c r="J1603" s="17"/>
      <c r="K1603" s="17"/>
    </row>
    <row r="1604" spans="1:11" x14ac:dyDescent="0.2">
      <c r="A1604" s="115">
        <v>46221</v>
      </c>
      <c r="B1604" s="103" t="s">
        <v>2889</v>
      </c>
      <c r="C1604" s="94" t="s">
        <v>526</v>
      </c>
      <c r="D1604" s="95">
        <v>2926.35</v>
      </c>
      <c r="E1604" s="95">
        <v>100.74</v>
      </c>
      <c r="F1604" s="96">
        <v>294800</v>
      </c>
      <c r="G1604" s="97" t="s">
        <v>58</v>
      </c>
      <c r="H1604" s="114">
        <v>46204</v>
      </c>
      <c r="I1604" s="17"/>
      <c r="J1604" s="17"/>
      <c r="K1604" s="17"/>
    </row>
    <row r="1605" spans="1:11" x14ac:dyDescent="0.2">
      <c r="A1605" s="115">
        <v>46221</v>
      </c>
      <c r="B1605" s="103" t="s">
        <v>2890</v>
      </c>
      <c r="C1605" s="94"/>
      <c r="D1605" s="95">
        <v>1649.77</v>
      </c>
      <c r="E1605" s="95">
        <v>100.74</v>
      </c>
      <c r="F1605" s="96">
        <v>166198.22</v>
      </c>
      <c r="G1605" s="97" t="s">
        <v>152</v>
      </c>
      <c r="H1605" s="114">
        <v>46204</v>
      </c>
      <c r="I1605" s="17"/>
      <c r="J1605" s="17"/>
      <c r="K1605" s="17"/>
    </row>
    <row r="1606" spans="1:11" x14ac:dyDescent="0.2">
      <c r="A1606" s="115">
        <v>46221</v>
      </c>
      <c r="B1606" s="103" t="s">
        <v>2891</v>
      </c>
      <c r="C1606" s="94" t="s">
        <v>50</v>
      </c>
      <c r="D1606" s="95">
        <v>829.86</v>
      </c>
      <c r="E1606" s="95">
        <v>100.74</v>
      </c>
      <c r="F1606" s="96">
        <v>83600.100000000006</v>
      </c>
      <c r="G1606" s="97" t="s">
        <v>95</v>
      </c>
      <c r="H1606" s="114">
        <v>46204</v>
      </c>
      <c r="I1606" s="17"/>
      <c r="J1606" s="17"/>
      <c r="K1606" s="17"/>
    </row>
    <row r="1607" spans="1:11" x14ac:dyDescent="0.2">
      <c r="A1607" s="115">
        <v>46221</v>
      </c>
      <c r="B1607" s="103" t="s">
        <v>2892</v>
      </c>
      <c r="C1607" s="94" t="s">
        <v>50</v>
      </c>
      <c r="D1607" s="95">
        <v>2000</v>
      </c>
      <c r="E1607" s="95">
        <v>100.74</v>
      </c>
      <c r="F1607" s="96">
        <v>201480</v>
      </c>
      <c r="G1607" s="97" t="s">
        <v>96</v>
      </c>
      <c r="H1607" s="114">
        <v>46204</v>
      </c>
      <c r="I1607" s="17"/>
      <c r="J1607" s="17"/>
      <c r="K1607" s="17"/>
    </row>
    <row r="1608" spans="1:11" x14ac:dyDescent="0.2">
      <c r="A1608" s="115">
        <v>46221</v>
      </c>
      <c r="B1608" s="103" t="s">
        <v>2893</v>
      </c>
      <c r="C1608" s="94"/>
      <c r="D1608" s="95">
        <v>221.38</v>
      </c>
      <c r="E1608" s="95">
        <v>100.74</v>
      </c>
      <c r="F1608" s="96">
        <v>22301.919999999998</v>
      </c>
      <c r="G1608" s="97" t="s">
        <v>2364</v>
      </c>
      <c r="H1608" s="114">
        <v>46204</v>
      </c>
      <c r="I1608" s="17"/>
      <c r="J1608" s="17"/>
      <c r="K1608" s="17"/>
    </row>
    <row r="1609" spans="1:11" x14ac:dyDescent="0.2">
      <c r="A1609" s="115">
        <v>46221</v>
      </c>
      <c r="B1609" s="103" t="s">
        <v>2894</v>
      </c>
      <c r="C1609" s="94"/>
      <c r="D1609" s="95">
        <v>1676.66</v>
      </c>
      <c r="E1609" s="95">
        <v>100.74</v>
      </c>
      <c r="F1609" s="96">
        <v>168907</v>
      </c>
      <c r="G1609" s="97" t="s">
        <v>2450</v>
      </c>
      <c r="H1609" s="114">
        <v>46204</v>
      </c>
      <c r="I1609" s="17"/>
      <c r="J1609" s="17"/>
      <c r="K1609" s="17"/>
    </row>
    <row r="1610" spans="1:11" x14ac:dyDescent="0.2">
      <c r="A1610" s="115">
        <v>46221</v>
      </c>
      <c r="B1610" s="103" t="s">
        <v>2895</v>
      </c>
      <c r="C1610" s="94"/>
      <c r="D1610" s="95">
        <v>200</v>
      </c>
      <c r="E1610" s="95">
        <v>100.74</v>
      </c>
      <c r="F1610" s="96">
        <v>20148</v>
      </c>
      <c r="G1610" s="97" t="s">
        <v>57</v>
      </c>
      <c r="H1610" s="114">
        <v>46204</v>
      </c>
      <c r="I1610" s="17"/>
      <c r="J1610" s="17"/>
      <c r="K1610" s="17"/>
    </row>
    <row r="1611" spans="1:11" x14ac:dyDescent="0.2">
      <c r="A1611" s="115">
        <v>46221</v>
      </c>
      <c r="B1611" s="103" t="s">
        <v>2896</v>
      </c>
      <c r="C1611" s="94" t="s">
        <v>742</v>
      </c>
      <c r="D1611" s="95">
        <v>50</v>
      </c>
      <c r="E1611" s="95">
        <v>100.74</v>
      </c>
      <c r="F1611" s="96">
        <v>5037</v>
      </c>
      <c r="G1611" s="97" t="s">
        <v>714</v>
      </c>
      <c r="H1611" s="114">
        <v>46204</v>
      </c>
      <c r="I1611" s="17"/>
      <c r="J1611" s="17"/>
      <c r="K1611" s="17"/>
    </row>
    <row r="1612" spans="1:11" x14ac:dyDescent="0.2">
      <c r="A1612" s="115">
        <v>46221</v>
      </c>
      <c r="B1612" s="103" t="s">
        <v>2897</v>
      </c>
      <c r="C1612" s="94" t="s">
        <v>1266</v>
      </c>
      <c r="D1612" s="95">
        <v>40</v>
      </c>
      <c r="E1612" s="95">
        <v>100.74</v>
      </c>
      <c r="F1612" s="96">
        <v>4029.6</v>
      </c>
      <c r="G1612" s="97" t="s">
        <v>714</v>
      </c>
      <c r="H1612" s="114">
        <v>46204</v>
      </c>
      <c r="I1612" s="17"/>
      <c r="J1612" s="17"/>
      <c r="K1612" s="17"/>
    </row>
    <row r="1613" spans="1:11" x14ac:dyDescent="0.2">
      <c r="A1613" s="115">
        <v>46221</v>
      </c>
      <c r="B1613" s="103" t="s">
        <v>2898</v>
      </c>
      <c r="C1613" s="94" t="s">
        <v>2855</v>
      </c>
      <c r="D1613" s="95">
        <v>100</v>
      </c>
      <c r="E1613" s="95">
        <v>100.74</v>
      </c>
      <c r="F1613" s="96">
        <v>10074</v>
      </c>
      <c r="G1613" s="97" t="s">
        <v>552</v>
      </c>
      <c r="H1613" s="114">
        <v>46204</v>
      </c>
      <c r="I1613" s="17"/>
      <c r="J1613" s="17"/>
      <c r="K1613" s="17"/>
    </row>
    <row r="1614" spans="1:11" x14ac:dyDescent="0.2">
      <c r="A1614" s="115">
        <v>46221</v>
      </c>
      <c r="B1614" s="103" t="s">
        <v>2899</v>
      </c>
      <c r="C1614" s="94" t="s">
        <v>127</v>
      </c>
      <c r="D1614" s="95">
        <v>600</v>
      </c>
      <c r="E1614" s="95">
        <v>100.74</v>
      </c>
      <c r="F1614" s="96">
        <v>60444</v>
      </c>
      <c r="G1614" s="97" t="s">
        <v>59</v>
      </c>
      <c r="H1614" s="114">
        <v>46204</v>
      </c>
      <c r="I1614" s="17"/>
      <c r="J1614" s="17"/>
      <c r="K1614" s="17"/>
    </row>
    <row r="1615" spans="1:11" x14ac:dyDescent="0.2">
      <c r="A1615" s="115">
        <v>46221</v>
      </c>
      <c r="B1615" s="103" t="s">
        <v>2900</v>
      </c>
      <c r="C1615" s="94" t="s">
        <v>2427</v>
      </c>
      <c r="D1615" s="95">
        <v>215</v>
      </c>
      <c r="E1615" s="95">
        <v>100.74</v>
      </c>
      <c r="F1615" s="96">
        <v>21659.1</v>
      </c>
      <c r="G1615" s="97" t="s">
        <v>2570</v>
      </c>
      <c r="H1615" s="114">
        <v>46204</v>
      </c>
      <c r="I1615" s="17"/>
      <c r="J1615" s="17"/>
      <c r="K1615" s="17"/>
    </row>
    <row r="1616" spans="1:11" x14ac:dyDescent="0.2">
      <c r="A1616" s="115">
        <v>46221</v>
      </c>
      <c r="B1616" s="103" t="s">
        <v>2901</v>
      </c>
      <c r="C1616" s="94" t="s">
        <v>2426</v>
      </c>
      <c r="D1616" s="95">
        <v>215</v>
      </c>
      <c r="E1616" s="95">
        <v>100.74</v>
      </c>
      <c r="F1616" s="96">
        <v>21659.1</v>
      </c>
      <c r="G1616" s="97" t="s">
        <v>2570</v>
      </c>
      <c r="H1616" s="114">
        <v>46204</v>
      </c>
      <c r="I1616" s="17"/>
      <c r="J1616" s="17"/>
      <c r="K1616" s="17"/>
    </row>
    <row r="1617" spans="1:11" x14ac:dyDescent="0.2">
      <c r="A1617" s="115">
        <v>46221</v>
      </c>
      <c r="B1617" s="103" t="s">
        <v>2902</v>
      </c>
      <c r="C1617" s="94" t="s">
        <v>2903</v>
      </c>
      <c r="D1617" s="95">
        <v>215</v>
      </c>
      <c r="E1617" s="95">
        <v>100.74</v>
      </c>
      <c r="F1617" s="96">
        <v>21659.1</v>
      </c>
      <c r="G1617" s="97" t="s">
        <v>2570</v>
      </c>
      <c r="H1617" s="114">
        <v>46204</v>
      </c>
      <c r="I1617" s="17"/>
      <c r="J1617" s="17"/>
      <c r="K1617" s="17"/>
    </row>
    <row r="1618" spans="1:11" x14ac:dyDescent="0.2">
      <c r="A1618" s="115">
        <v>46221</v>
      </c>
      <c r="B1618" s="103" t="s">
        <v>2904</v>
      </c>
      <c r="C1618" s="94" t="s">
        <v>2424</v>
      </c>
      <c r="D1618" s="95">
        <v>215</v>
      </c>
      <c r="E1618" s="95">
        <v>100.74</v>
      </c>
      <c r="F1618" s="96">
        <v>21659.1</v>
      </c>
      <c r="G1618" s="97" t="s">
        <v>2570</v>
      </c>
      <c r="H1618" s="114">
        <v>46204</v>
      </c>
      <c r="I1618" s="17"/>
      <c r="J1618" s="17"/>
      <c r="K1618" s="17"/>
    </row>
    <row r="1619" spans="1:11" x14ac:dyDescent="0.2">
      <c r="A1619" s="115">
        <v>46221</v>
      </c>
      <c r="B1619" s="103" t="s">
        <v>2905</v>
      </c>
      <c r="C1619" s="94" t="s">
        <v>990</v>
      </c>
      <c r="D1619" s="95">
        <v>1000</v>
      </c>
      <c r="E1619" s="95">
        <v>100.74</v>
      </c>
      <c r="F1619" s="96">
        <v>100740</v>
      </c>
      <c r="G1619" s="97" t="s">
        <v>527</v>
      </c>
      <c r="H1619" s="114">
        <v>46204</v>
      </c>
      <c r="I1619" s="17"/>
      <c r="J1619" s="17"/>
      <c r="K1619" s="17"/>
    </row>
    <row r="1620" spans="1:11" x14ac:dyDescent="0.2">
      <c r="A1620" s="115">
        <v>46222</v>
      </c>
      <c r="B1620" s="103" t="s">
        <v>2909</v>
      </c>
      <c r="C1620" s="458">
        <v>1327</v>
      </c>
      <c r="D1620" s="95">
        <v>600</v>
      </c>
      <c r="E1620" s="95">
        <v>100.74</v>
      </c>
      <c r="F1620" s="96">
        <v>60444</v>
      </c>
      <c r="G1620" s="97" t="s">
        <v>1483</v>
      </c>
      <c r="H1620" s="114">
        <v>46204</v>
      </c>
      <c r="I1620" s="17"/>
      <c r="J1620" s="17"/>
      <c r="K1620" s="17"/>
    </row>
    <row r="1621" spans="1:11" x14ac:dyDescent="0.2">
      <c r="A1621" s="115">
        <v>46222</v>
      </c>
      <c r="B1621" s="103" t="s">
        <v>2910</v>
      </c>
      <c r="C1621" s="94" t="s">
        <v>50</v>
      </c>
      <c r="D1621" s="95">
        <v>198.53</v>
      </c>
      <c r="E1621" s="95">
        <v>100.74</v>
      </c>
      <c r="F1621" s="96">
        <v>20000</v>
      </c>
      <c r="G1621" s="97" t="s">
        <v>2611</v>
      </c>
      <c r="H1621" s="114">
        <v>46204</v>
      </c>
      <c r="I1621" s="17"/>
      <c r="J1621" s="17"/>
      <c r="K1621" s="17"/>
    </row>
    <row r="1622" spans="1:11" x14ac:dyDescent="0.2">
      <c r="A1622" s="115">
        <v>46222</v>
      </c>
      <c r="B1622" s="103" t="s">
        <v>2911</v>
      </c>
      <c r="C1622" s="94" t="s">
        <v>50</v>
      </c>
      <c r="D1622" s="95">
        <v>928.93</v>
      </c>
      <c r="E1622" s="95">
        <v>100.74</v>
      </c>
      <c r="F1622" s="96">
        <v>93580.41</v>
      </c>
      <c r="G1622" s="97" t="s">
        <v>95</v>
      </c>
      <c r="H1622" s="114">
        <v>46204</v>
      </c>
      <c r="I1622" s="17"/>
      <c r="J1622" s="17"/>
      <c r="K1622" s="17"/>
    </row>
    <row r="1623" spans="1:11" x14ac:dyDescent="0.2">
      <c r="A1623" s="115">
        <v>46222</v>
      </c>
      <c r="B1623" s="103" t="s">
        <v>2912</v>
      </c>
      <c r="C1623" s="94" t="s">
        <v>1031</v>
      </c>
      <c r="D1623" s="95">
        <v>100</v>
      </c>
      <c r="E1623" s="95">
        <v>100.74</v>
      </c>
      <c r="F1623" s="96">
        <v>10074</v>
      </c>
      <c r="G1623" s="97" t="s">
        <v>552</v>
      </c>
      <c r="H1623" s="114">
        <v>46204</v>
      </c>
      <c r="I1623" s="17"/>
      <c r="J1623" s="17"/>
      <c r="K1623" s="17"/>
    </row>
    <row r="1624" spans="1:11" x14ac:dyDescent="0.2">
      <c r="A1624" s="115">
        <v>46222</v>
      </c>
      <c r="B1624" s="103" t="s">
        <v>2913</v>
      </c>
      <c r="C1624" s="94" t="s">
        <v>2914</v>
      </c>
      <c r="D1624" s="95">
        <v>232.77</v>
      </c>
      <c r="E1624" s="95">
        <v>100.74</v>
      </c>
      <c r="F1624" s="96">
        <v>23449.24</v>
      </c>
      <c r="G1624" s="97" t="s">
        <v>199</v>
      </c>
      <c r="H1624" s="114">
        <v>46204</v>
      </c>
      <c r="I1624" s="17"/>
      <c r="J1624" s="17"/>
      <c r="K1624" s="17"/>
    </row>
    <row r="1625" spans="1:11" x14ac:dyDescent="0.2">
      <c r="A1625" s="115">
        <v>46222</v>
      </c>
      <c r="B1625" s="103" t="s">
        <v>2915</v>
      </c>
      <c r="C1625" s="94" t="s">
        <v>44</v>
      </c>
      <c r="D1625" s="95">
        <v>46.96</v>
      </c>
      <c r="E1625" s="95">
        <v>100.74</v>
      </c>
      <c r="F1625" s="96">
        <v>4730.75</v>
      </c>
      <c r="G1625" s="97" t="s">
        <v>56</v>
      </c>
      <c r="H1625" s="114">
        <v>46204</v>
      </c>
      <c r="I1625" s="17"/>
      <c r="J1625" s="17"/>
      <c r="K1625" s="17"/>
    </row>
    <row r="1626" spans="1:11" x14ac:dyDescent="0.2">
      <c r="A1626" s="115">
        <v>46222</v>
      </c>
      <c r="B1626" s="103" t="s">
        <v>2916</v>
      </c>
      <c r="C1626" s="94" t="s">
        <v>45</v>
      </c>
      <c r="D1626" s="95">
        <v>43.19</v>
      </c>
      <c r="E1626" s="95">
        <v>100.74</v>
      </c>
      <c r="F1626" s="96">
        <v>4350.96</v>
      </c>
      <c r="G1626" s="97" t="s">
        <v>56</v>
      </c>
      <c r="H1626" s="114">
        <v>46204</v>
      </c>
      <c r="I1626" s="17"/>
      <c r="J1626" s="17"/>
      <c r="K1626" s="17"/>
    </row>
    <row r="1627" spans="1:11" x14ac:dyDescent="0.2">
      <c r="A1627" s="115">
        <v>46222</v>
      </c>
      <c r="B1627" s="103" t="s">
        <v>2917</v>
      </c>
      <c r="C1627" s="94" t="s">
        <v>2858</v>
      </c>
      <c r="D1627" s="95">
        <v>20</v>
      </c>
      <c r="E1627" s="95">
        <v>100.74</v>
      </c>
      <c r="F1627" s="96">
        <v>2014.8</v>
      </c>
      <c r="G1627" s="97" t="s">
        <v>714</v>
      </c>
      <c r="H1627" s="114">
        <v>46204</v>
      </c>
      <c r="I1627" s="17"/>
      <c r="J1627" s="17"/>
      <c r="K1627" s="17"/>
    </row>
    <row r="1628" spans="1:11" x14ac:dyDescent="0.2">
      <c r="A1628" s="115">
        <v>46222</v>
      </c>
      <c r="B1628" s="103" t="s">
        <v>2918</v>
      </c>
      <c r="C1628" s="94" t="s">
        <v>2841</v>
      </c>
      <c r="D1628" s="95">
        <v>40</v>
      </c>
      <c r="E1628" s="95">
        <v>100.74</v>
      </c>
      <c r="F1628" s="96">
        <v>4029.6</v>
      </c>
      <c r="G1628" s="97" t="s">
        <v>714</v>
      </c>
      <c r="H1628" s="114">
        <v>46204</v>
      </c>
      <c r="I1628" s="17"/>
      <c r="J1628" s="17"/>
      <c r="K1628" s="17"/>
    </row>
    <row r="1629" spans="1:11" x14ac:dyDescent="0.2">
      <c r="A1629" s="115">
        <v>46222</v>
      </c>
      <c r="B1629" s="103" t="s">
        <v>2919</v>
      </c>
      <c r="C1629" s="94" t="s">
        <v>1092</v>
      </c>
      <c r="D1629" s="95">
        <v>84.58</v>
      </c>
      <c r="E1629" s="95">
        <v>100.74</v>
      </c>
      <c r="F1629" s="96">
        <v>8520.58</v>
      </c>
      <c r="G1629" s="97" t="s">
        <v>714</v>
      </c>
      <c r="H1629" s="114">
        <v>46204</v>
      </c>
      <c r="I1629" s="17"/>
      <c r="J1629" s="17"/>
      <c r="K1629" s="17"/>
    </row>
    <row r="1630" spans="1:11" x14ac:dyDescent="0.2">
      <c r="A1630" s="115">
        <v>46222</v>
      </c>
      <c r="B1630" s="103" t="s">
        <v>2920</v>
      </c>
      <c r="C1630" s="94" t="s">
        <v>2835</v>
      </c>
      <c r="D1630" s="95">
        <v>200</v>
      </c>
      <c r="E1630" s="95">
        <v>100.74</v>
      </c>
      <c r="F1630" s="96">
        <v>20148</v>
      </c>
      <c r="G1630" s="97" t="s">
        <v>2570</v>
      </c>
      <c r="H1630" s="114">
        <v>46204</v>
      </c>
      <c r="I1630" s="17"/>
      <c r="J1630" s="17"/>
      <c r="K1630" s="17"/>
    </row>
    <row r="1631" spans="1:11" x14ac:dyDescent="0.2">
      <c r="A1631" s="115">
        <v>46222</v>
      </c>
      <c r="B1631" s="103" t="s">
        <v>2921</v>
      </c>
      <c r="C1631" s="94" t="s">
        <v>2686</v>
      </c>
      <c r="D1631" s="95">
        <v>200</v>
      </c>
      <c r="E1631" s="95">
        <v>100.74</v>
      </c>
      <c r="F1631" s="96">
        <v>20148</v>
      </c>
      <c r="G1631" s="97" t="s">
        <v>2570</v>
      </c>
      <c r="H1631" s="114">
        <v>46204</v>
      </c>
      <c r="I1631" s="17"/>
      <c r="J1631" s="17"/>
      <c r="K1631" s="17"/>
    </row>
    <row r="1632" spans="1:11" x14ac:dyDescent="0.2">
      <c r="A1632" s="115">
        <v>46222</v>
      </c>
      <c r="B1632" s="103" t="s">
        <v>2922</v>
      </c>
      <c r="C1632" s="94" t="s">
        <v>2603</v>
      </c>
      <c r="D1632" s="95">
        <v>200</v>
      </c>
      <c r="E1632" s="95">
        <v>100.74</v>
      </c>
      <c r="F1632" s="96">
        <v>20148</v>
      </c>
      <c r="G1632" s="97" t="s">
        <v>2570</v>
      </c>
      <c r="H1632" s="114">
        <v>46204</v>
      </c>
      <c r="I1632" s="17"/>
      <c r="J1632" s="17"/>
      <c r="K1632" s="17"/>
    </row>
    <row r="1633" spans="1:11" x14ac:dyDescent="0.2">
      <c r="A1633" s="115">
        <v>46222</v>
      </c>
      <c r="B1633" s="103" t="s">
        <v>2923</v>
      </c>
      <c r="C1633" s="94" t="s">
        <v>1780</v>
      </c>
      <c r="D1633" s="95">
        <v>200</v>
      </c>
      <c r="E1633" s="95">
        <v>100.74</v>
      </c>
      <c r="F1633" s="96">
        <v>20148</v>
      </c>
      <c r="G1633" s="97" t="s">
        <v>2570</v>
      </c>
      <c r="H1633" s="114">
        <v>46204</v>
      </c>
      <c r="I1633" s="17"/>
      <c r="J1633" s="17"/>
      <c r="K1633" s="17"/>
    </row>
    <row r="1634" spans="1:11" x14ac:dyDescent="0.2">
      <c r="A1634" s="115">
        <v>46222</v>
      </c>
      <c r="B1634" s="103" t="s">
        <v>2924</v>
      </c>
      <c r="C1634" s="94" t="s">
        <v>1747</v>
      </c>
      <c r="D1634" s="95">
        <v>200</v>
      </c>
      <c r="E1634" s="95">
        <v>100.74</v>
      </c>
      <c r="F1634" s="96">
        <v>20148</v>
      </c>
      <c r="G1634" s="97" t="s">
        <v>2570</v>
      </c>
      <c r="H1634" s="114">
        <v>46204</v>
      </c>
      <c r="I1634" s="17"/>
      <c r="J1634" s="17"/>
      <c r="K1634" s="17"/>
    </row>
    <row r="1635" spans="1:11" x14ac:dyDescent="0.2">
      <c r="A1635" s="115">
        <v>46222</v>
      </c>
      <c r="B1635" s="103" t="s">
        <v>2925</v>
      </c>
      <c r="C1635" s="94" t="s">
        <v>44</v>
      </c>
      <c r="D1635" s="95">
        <v>50</v>
      </c>
      <c r="E1635" s="95">
        <v>100.74</v>
      </c>
      <c r="F1635" s="96">
        <v>5037</v>
      </c>
      <c r="G1635" s="97" t="s">
        <v>56</v>
      </c>
      <c r="H1635" s="114">
        <v>46204</v>
      </c>
      <c r="I1635" s="17"/>
      <c r="J1635" s="17"/>
      <c r="K1635" s="17"/>
    </row>
    <row r="1636" spans="1:11" x14ac:dyDescent="0.2">
      <c r="A1636" s="115">
        <v>46222</v>
      </c>
      <c r="B1636" s="103" t="s">
        <v>2926</v>
      </c>
      <c r="C1636" s="94"/>
      <c r="D1636" s="95">
        <v>535.59</v>
      </c>
      <c r="E1636" s="95">
        <v>100.74</v>
      </c>
      <c r="F1636" s="96">
        <v>53955</v>
      </c>
      <c r="G1636" s="97" t="s">
        <v>2450</v>
      </c>
      <c r="H1636" s="114">
        <v>46204</v>
      </c>
      <c r="I1636" s="17"/>
      <c r="J1636" s="17"/>
      <c r="K1636" s="17"/>
    </row>
    <row r="1637" spans="1:11" x14ac:dyDescent="0.2">
      <c r="A1637" s="115">
        <v>46222</v>
      </c>
      <c r="B1637" s="103" t="s">
        <v>2927</v>
      </c>
      <c r="C1637" s="94"/>
      <c r="D1637" s="95">
        <v>113.52</v>
      </c>
      <c r="E1637" s="95">
        <v>100.74</v>
      </c>
      <c r="F1637" s="96">
        <v>11436.31</v>
      </c>
      <c r="G1637" s="97" t="s">
        <v>2364</v>
      </c>
      <c r="H1637" s="114">
        <v>46204</v>
      </c>
      <c r="I1637" s="17"/>
      <c r="J1637" s="17"/>
      <c r="K1637" s="17"/>
    </row>
    <row r="1638" spans="1:11" x14ac:dyDescent="0.2">
      <c r="A1638" s="115">
        <v>46222</v>
      </c>
      <c r="B1638" s="103" t="s">
        <v>2928</v>
      </c>
      <c r="C1638" s="94"/>
      <c r="D1638" s="95">
        <v>200</v>
      </c>
      <c r="E1638" s="95">
        <v>100.74</v>
      </c>
      <c r="F1638" s="96">
        <v>20148</v>
      </c>
      <c r="G1638" s="97" t="s">
        <v>57</v>
      </c>
      <c r="H1638" s="114">
        <v>46204</v>
      </c>
      <c r="I1638" s="17"/>
      <c r="J1638" s="17"/>
      <c r="K1638" s="17"/>
    </row>
    <row r="1639" spans="1:11" x14ac:dyDescent="0.2">
      <c r="A1639" s="115">
        <v>46222</v>
      </c>
      <c r="B1639" s="103" t="s">
        <v>2929</v>
      </c>
      <c r="C1639" s="94"/>
      <c r="D1639" s="95">
        <v>1275.18</v>
      </c>
      <c r="E1639" s="95">
        <v>100.74</v>
      </c>
      <c r="F1639" s="96">
        <v>128462.06</v>
      </c>
      <c r="G1639" s="97" t="s">
        <v>152</v>
      </c>
      <c r="H1639" s="114">
        <v>46204</v>
      </c>
      <c r="I1639" s="17"/>
      <c r="J1639" s="17"/>
      <c r="K1639" s="17"/>
    </row>
    <row r="1640" spans="1:11" x14ac:dyDescent="0.2">
      <c r="A1640" s="115">
        <v>46222</v>
      </c>
      <c r="B1640" s="103" t="s">
        <v>2930</v>
      </c>
      <c r="C1640" s="94" t="s">
        <v>526</v>
      </c>
      <c r="D1640" s="95">
        <v>1185.23</v>
      </c>
      <c r="E1640" s="95">
        <v>100.74</v>
      </c>
      <c r="F1640" s="96">
        <v>119400</v>
      </c>
      <c r="G1640" s="97" t="s">
        <v>58</v>
      </c>
      <c r="H1640" s="114">
        <v>46204</v>
      </c>
      <c r="I1640" s="17"/>
      <c r="J1640" s="17"/>
      <c r="K1640" s="17"/>
    </row>
    <row r="1641" spans="1:11" x14ac:dyDescent="0.2">
      <c r="A1641" s="115">
        <v>46223</v>
      </c>
      <c r="B1641" s="93">
        <v>1640</v>
      </c>
      <c r="C1641" s="94" t="s">
        <v>40</v>
      </c>
      <c r="D1641" s="95">
        <v>12000</v>
      </c>
      <c r="E1641" s="95">
        <v>99.5</v>
      </c>
      <c r="F1641" s="96">
        <v>1194000</v>
      </c>
      <c r="G1641" s="97" t="s">
        <v>143</v>
      </c>
      <c r="H1641" s="114">
        <f t="shared" ref="H1641" si="25">IF(A1641&lt;&gt;"", EOMONTH(A1641, -1) + 1, "")</f>
        <v>46204</v>
      </c>
      <c r="I1641" s="17"/>
      <c r="J1641" s="17"/>
      <c r="K1641" s="17"/>
    </row>
    <row r="1642" spans="1:11" x14ac:dyDescent="0.2">
      <c r="A1642" s="115">
        <v>46223</v>
      </c>
      <c r="B1642" s="103" t="s">
        <v>2936</v>
      </c>
      <c r="C1642" s="94" t="s">
        <v>50</v>
      </c>
      <c r="D1642" s="95">
        <v>740.38</v>
      </c>
      <c r="E1642" s="95">
        <v>100.74</v>
      </c>
      <c r="F1642" s="96">
        <v>74585.88</v>
      </c>
      <c r="G1642" s="97" t="s">
        <v>95</v>
      </c>
      <c r="H1642" s="114">
        <v>46204</v>
      </c>
      <c r="I1642" s="17"/>
      <c r="J1642" s="17"/>
      <c r="K1642" s="17"/>
    </row>
    <row r="1643" spans="1:11" x14ac:dyDescent="0.2">
      <c r="A1643" s="115">
        <v>46223</v>
      </c>
      <c r="B1643" s="103" t="s">
        <v>2937</v>
      </c>
      <c r="C1643" s="94" t="s">
        <v>50</v>
      </c>
      <c r="D1643" s="95">
        <v>2000</v>
      </c>
      <c r="E1643" s="95">
        <v>100.74</v>
      </c>
      <c r="F1643" s="96">
        <v>201480</v>
      </c>
      <c r="G1643" s="97" t="s">
        <v>96</v>
      </c>
      <c r="H1643" s="114">
        <v>46204</v>
      </c>
      <c r="I1643" s="17"/>
      <c r="J1643" s="17"/>
      <c r="K1643" s="17"/>
    </row>
    <row r="1644" spans="1:11" x14ac:dyDescent="0.2">
      <c r="A1644" s="115">
        <v>46223</v>
      </c>
      <c r="B1644" s="103" t="s">
        <v>2938</v>
      </c>
      <c r="C1644" s="94" t="s">
        <v>50</v>
      </c>
      <c r="D1644" s="95">
        <v>2500</v>
      </c>
      <c r="E1644" s="95">
        <v>100.74</v>
      </c>
      <c r="F1644" s="96">
        <v>251850</v>
      </c>
      <c r="G1644" s="97" t="s">
        <v>901</v>
      </c>
      <c r="H1644" s="114">
        <v>46204</v>
      </c>
      <c r="I1644" s="17"/>
      <c r="J1644" s="17"/>
      <c r="K1644" s="17"/>
    </row>
    <row r="1645" spans="1:11" x14ac:dyDescent="0.2">
      <c r="A1645" s="115">
        <v>46223</v>
      </c>
      <c r="B1645" s="103" t="s">
        <v>2939</v>
      </c>
      <c r="C1645" s="94" t="s">
        <v>742</v>
      </c>
      <c r="D1645" s="95">
        <v>50</v>
      </c>
      <c r="E1645" s="95">
        <v>100.74</v>
      </c>
      <c r="F1645" s="96">
        <v>5037</v>
      </c>
      <c r="G1645" s="97" t="s">
        <v>714</v>
      </c>
      <c r="H1645" s="114">
        <v>46204</v>
      </c>
      <c r="I1645" s="17"/>
      <c r="J1645" s="17"/>
      <c r="K1645" s="17"/>
    </row>
    <row r="1646" spans="1:11" x14ac:dyDescent="0.2">
      <c r="A1646" s="115">
        <v>46223</v>
      </c>
      <c r="B1646" s="103" t="s">
        <v>2940</v>
      </c>
      <c r="C1646" s="94" t="s">
        <v>694</v>
      </c>
      <c r="D1646" s="95">
        <v>200</v>
      </c>
      <c r="E1646" s="95">
        <v>100.74</v>
      </c>
      <c r="F1646" s="96">
        <v>20148</v>
      </c>
      <c r="G1646" s="97" t="s">
        <v>199</v>
      </c>
      <c r="H1646" s="114">
        <v>46204</v>
      </c>
      <c r="I1646" s="17"/>
      <c r="J1646" s="17"/>
      <c r="K1646" s="17"/>
    </row>
    <row r="1647" spans="1:11" x14ac:dyDescent="0.2">
      <c r="A1647" s="115">
        <v>46223</v>
      </c>
      <c r="B1647" s="103" t="s">
        <v>2941</v>
      </c>
      <c r="C1647" s="94" t="s">
        <v>2942</v>
      </c>
      <c r="D1647" s="95">
        <v>100</v>
      </c>
      <c r="E1647" s="95">
        <v>100.74</v>
      </c>
      <c r="F1647" s="96">
        <v>10074</v>
      </c>
      <c r="G1647" s="97" t="s">
        <v>552</v>
      </c>
      <c r="H1647" s="114">
        <v>46204</v>
      </c>
      <c r="I1647" s="17"/>
      <c r="J1647" s="17"/>
      <c r="K1647" s="17"/>
    </row>
    <row r="1648" spans="1:11" x14ac:dyDescent="0.2">
      <c r="A1648" s="115">
        <v>46223</v>
      </c>
      <c r="B1648" s="103" t="s">
        <v>2943</v>
      </c>
      <c r="C1648" s="94"/>
      <c r="D1648" s="95">
        <v>20</v>
      </c>
      <c r="E1648" s="95">
        <v>100.74</v>
      </c>
      <c r="F1648" s="96">
        <v>2014.8</v>
      </c>
      <c r="G1648" s="97" t="s">
        <v>217</v>
      </c>
      <c r="H1648" s="114">
        <v>46204</v>
      </c>
      <c r="I1648" s="17"/>
      <c r="J1648" s="17"/>
      <c r="K1648" s="17"/>
    </row>
    <row r="1649" spans="1:11" x14ac:dyDescent="0.2">
      <c r="A1649" s="115">
        <v>46223</v>
      </c>
      <c r="B1649" s="103" t="s">
        <v>2944</v>
      </c>
      <c r="C1649" s="94" t="s">
        <v>1781</v>
      </c>
      <c r="D1649" s="95">
        <v>200</v>
      </c>
      <c r="E1649" s="95">
        <v>100.74</v>
      </c>
      <c r="F1649" s="96">
        <v>20148</v>
      </c>
      <c r="G1649" s="97" t="s">
        <v>2570</v>
      </c>
      <c r="H1649" s="114">
        <v>46204</v>
      </c>
      <c r="I1649" s="17"/>
      <c r="J1649" s="17"/>
      <c r="K1649" s="17"/>
    </row>
    <row r="1650" spans="1:11" x14ac:dyDescent="0.2">
      <c r="A1650" s="115">
        <v>46223</v>
      </c>
      <c r="B1650" s="103" t="s">
        <v>2945</v>
      </c>
      <c r="C1650" s="94" t="s">
        <v>2825</v>
      </c>
      <c r="D1650" s="95">
        <v>200</v>
      </c>
      <c r="E1650" s="95">
        <v>100.74</v>
      </c>
      <c r="F1650" s="96">
        <v>20148</v>
      </c>
      <c r="G1650" s="97" t="s">
        <v>2570</v>
      </c>
      <c r="H1650" s="114">
        <v>46204</v>
      </c>
      <c r="I1650" s="17"/>
      <c r="J1650" s="17"/>
      <c r="K1650" s="17"/>
    </row>
    <row r="1651" spans="1:11" x14ac:dyDescent="0.2">
      <c r="A1651" s="115">
        <v>46223</v>
      </c>
      <c r="B1651" s="103" t="s">
        <v>2946</v>
      </c>
      <c r="C1651" s="94" t="s">
        <v>2789</v>
      </c>
      <c r="D1651" s="95">
        <v>200</v>
      </c>
      <c r="E1651" s="95">
        <v>100.74</v>
      </c>
      <c r="F1651" s="96">
        <v>20148</v>
      </c>
      <c r="G1651" s="97" t="s">
        <v>2570</v>
      </c>
      <c r="H1651" s="114">
        <v>46204</v>
      </c>
      <c r="I1651" s="17"/>
      <c r="J1651" s="17"/>
      <c r="K1651" s="17"/>
    </row>
    <row r="1652" spans="1:11" x14ac:dyDescent="0.2">
      <c r="A1652" s="115">
        <v>46223</v>
      </c>
      <c r="B1652" s="103" t="s">
        <v>2947</v>
      </c>
      <c r="C1652" s="94" t="s">
        <v>2948</v>
      </c>
      <c r="D1652" s="95">
        <v>200</v>
      </c>
      <c r="E1652" s="95">
        <v>100.74</v>
      </c>
      <c r="F1652" s="96">
        <v>20148</v>
      </c>
      <c r="G1652" s="97" t="s">
        <v>2570</v>
      </c>
      <c r="H1652" s="114">
        <v>46204</v>
      </c>
      <c r="I1652" s="17"/>
      <c r="J1652" s="17"/>
      <c r="K1652" s="17"/>
    </row>
    <row r="1653" spans="1:11" x14ac:dyDescent="0.2">
      <c r="A1653" s="115">
        <v>46223</v>
      </c>
      <c r="B1653" s="103" t="s">
        <v>2949</v>
      </c>
      <c r="C1653" s="94" t="s">
        <v>128</v>
      </c>
      <c r="D1653" s="95">
        <v>30</v>
      </c>
      <c r="E1653" s="95">
        <v>100.74</v>
      </c>
      <c r="F1653" s="96">
        <v>3022.2</v>
      </c>
      <c r="G1653" s="97" t="s">
        <v>56</v>
      </c>
      <c r="H1653" s="114">
        <v>46204</v>
      </c>
      <c r="I1653" s="17"/>
      <c r="J1653" s="17"/>
      <c r="K1653" s="17"/>
    </row>
    <row r="1654" spans="1:11" x14ac:dyDescent="0.2">
      <c r="A1654" s="115">
        <v>46223</v>
      </c>
      <c r="B1654" s="103" t="s">
        <v>2950</v>
      </c>
      <c r="C1654" s="94" t="s">
        <v>127</v>
      </c>
      <c r="D1654" s="95">
        <v>400</v>
      </c>
      <c r="E1654" s="95">
        <v>100.74</v>
      </c>
      <c r="F1654" s="96">
        <v>40296</v>
      </c>
      <c r="G1654" s="97" t="s">
        <v>59</v>
      </c>
      <c r="H1654" s="114">
        <v>46204</v>
      </c>
      <c r="I1654" s="17"/>
      <c r="J1654" s="17"/>
      <c r="K1654" s="17"/>
    </row>
    <row r="1655" spans="1:11" x14ac:dyDescent="0.2">
      <c r="A1655" s="115">
        <v>46223</v>
      </c>
      <c r="B1655" s="103" t="s">
        <v>2951</v>
      </c>
      <c r="C1655" s="94"/>
      <c r="D1655" s="95">
        <v>991.85</v>
      </c>
      <c r="E1655" s="95">
        <v>100.74</v>
      </c>
      <c r="F1655" s="96">
        <v>99919.38</v>
      </c>
      <c r="G1655" s="97" t="s">
        <v>2450</v>
      </c>
      <c r="H1655" s="114">
        <v>46204</v>
      </c>
      <c r="I1655" s="17"/>
      <c r="J1655" s="17"/>
      <c r="K1655" s="17"/>
    </row>
    <row r="1656" spans="1:11" x14ac:dyDescent="0.2">
      <c r="A1656" s="115">
        <v>46223</v>
      </c>
      <c r="B1656" s="103" t="s">
        <v>2952</v>
      </c>
      <c r="C1656" s="94"/>
      <c r="D1656" s="95">
        <v>24.82</v>
      </c>
      <c r="E1656" s="95">
        <v>100.74</v>
      </c>
      <c r="F1656" s="96">
        <v>2500</v>
      </c>
      <c r="G1656" s="97" t="s">
        <v>2364</v>
      </c>
      <c r="H1656" s="114">
        <v>46204</v>
      </c>
      <c r="I1656" s="17"/>
      <c r="J1656" s="17"/>
      <c r="K1656" s="17"/>
    </row>
    <row r="1657" spans="1:11" x14ac:dyDescent="0.2">
      <c r="A1657" s="115">
        <v>46223</v>
      </c>
      <c r="B1657" s="103" t="s">
        <v>2953</v>
      </c>
      <c r="C1657" s="94"/>
      <c r="D1657" s="95">
        <v>570</v>
      </c>
      <c r="E1657" s="95">
        <v>100.74</v>
      </c>
      <c r="F1657" s="96">
        <v>57422.2</v>
      </c>
      <c r="G1657" s="97" t="s">
        <v>152</v>
      </c>
      <c r="H1657" s="114">
        <v>46204</v>
      </c>
      <c r="I1657" s="17"/>
      <c r="J1657" s="17"/>
      <c r="K1657" s="17"/>
    </row>
    <row r="1658" spans="1:11" x14ac:dyDescent="0.2">
      <c r="A1658" s="115">
        <v>46223</v>
      </c>
      <c r="B1658" s="103" t="s">
        <v>2954</v>
      </c>
      <c r="C1658" s="94" t="s">
        <v>525</v>
      </c>
      <c r="D1658" s="95">
        <v>89.56</v>
      </c>
      <c r="E1658" s="95">
        <v>100.74</v>
      </c>
      <c r="F1658" s="96">
        <v>9022.2000000000007</v>
      </c>
      <c r="G1658" s="97" t="s">
        <v>58</v>
      </c>
      <c r="H1658" s="114">
        <v>46204</v>
      </c>
      <c r="I1658" s="17"/>
      <c r="J1658" s="17"/>
      <c r="K1658" s="17"/>
    </row>
    <row r="1659" spans="1:11" x14ac:dyDescent="0.2">
      <c r="A1659" s="115">
        <v>46223</v>
      </c>
      <c r="B1659" s="103" t="s">
        <v>2955</v>
      </c>
      <c r="C1659" s="94" t="s">
        <v>526</v>
      </c>
      <c r="D1659" s="95">
        <v>1413.54</v>
      </c>
      <c r="E1659" s="95">
        <v>100.74</v>
      </c>
      <c r="F1659" s="96">
        <v>142400</v>
      </c>
      <c r="G1659" s="97" t="s">
        <v>58</v>
      </c>
      <c r="H1659" s="114">
        <v>46204</v>
      </c>
      <c r="I1659" s="17"/>
      <c r="J1659" s="17"/>
      <c r="K1659" s="17"/>
    </row>
    <row r="1660" spans="1:11" x14ac:dyDescent="0.2">
      <c r="A1660" s="115">
        <v>46224</v>
      </c>
      <c r="B1660" s="103" t="s">
        <v>2960</v>
      </c>
      <c r="C1660" s="94" t="s">
        <v>50</v>
      </c>
      <c r="D1660" s="95">
        <v>3000</v>
      </c>
      <c r="E1660" s="95">
        <v>100.74</v>
      </c>
      <c r="F1660" s="96">
        <v>302220</v>
      </c>
      <c r="G1660" s="97" t="s">
        <v>1073</v>
      </c>
      <c r="H1660" s="114">
        <v>46204</v>
      </c>
      <c r="I1660" s="17"/>
      <c r="J1660" s="17"/>
      <c r="K1660" s="17"/>
    </row>
    <row r="1661" spans="1:11" x14ac:dyDescent="0.2">
      <c r="A1661" s="115">
        <v>46224</v>
      </c>
      <c r="B1661" s="103" t="s">
        <v>2961</v>
      </c>
      <c r="C1661" s="101" t="s">
        <v>40</v>
      </c>
      <c r="D1661" s="95">
        <v>12000</v>
      </c>
      <c r="E1661" s="95">
        <v>99.5</v>
      </c>
      <c r="F1661" s="96">
        <v>1194000</v>
      </c>
      <c r="G1661" s="97" t="s">
        <v>52</v>
      </c>
      <c r="H1661" s="114">
        <v>46204</v>
      </c>
      <c r="I1661" s="17"/>
      <c r="J1661" s="17"/>
      <c r="K1661" s="17"/>
    </row>
    <row r="1662" spans="1:11" x14ac:dyDescent="0.2">
      <c r="A1662" s="115">
        <v>46224</v>
      </c>
      <c r="B1662" s="103" t="s">
        <v>2962</v>
      </c>
      <c r="C1662" s="101" t="s">
        <v>39</v>
      </c>
      <c r="D1662" s="95">
        <v>4000</v>
      </c>
      <c r="E1662" s="95">
        <v>99.5</v>
      </c>
      <c r="F1662" s="96">
        <v>398000</v>
      </c>
      <c r="G1662" s="97" t="s">
        <v>51</v>
      </c>
      <c r="H1662" s="114">
        <v>46204</v>
      </c>
      <c r="I1662" s="17"/>
      <c r="J1662" s="17"/>
      <c r="K1662" s="17"/>
    </row>
    <row r="1663" spans="1:11" x14ac:dyDescent="0.2">
      <c r="A1663" s="115">
        <v>46224</v>
      </c>
      <c r="B1663" s="103" t="s">
        <v>2963</v>
      </c>
      <c r="C1663" s="101" t="s">
        <v>39</v>
      </c>
      <c r="D1663" s="95">
        <v>14000</v>
      </c>
      <c r="E1663" s="95">
        <v>99.5</v>
      </c>
      <c r="F1663" s="96">
        <v>1393000</v>
      </c>
      <c r="G1663" s="97" t="s">
        <v>51</v>
      </c>
      <c r="H1663" s="114">
        <v>46204</v>
      </c>
      <c r="I1663" s="17"/>
      <c r="J1663" s="17"/>
      <c r="K1663" s="17"/>
    </row>
    <row r="1664" spans="1:11" x14ac:dyDescent="0.2">
      <c r="A1664" s="115">
        <v>46224</v>
      </c>
      <c r="B1664" s="103" t="s">
        <v>2964</v>
      </c>
      <c r="C1664" s="101" t="s">
        <v>127</v>
      </c>
      <c r="D1664" s="95">
        <v>400</v>
      </c>
      <c r="E1664" s="95">
        <v>100.74</v>
      </c>
      <c r="F1664" s="96">
        <v>40296</v>
      </c>
      <c r="G1664" s="97" t="s">
        <v>59</v>
      </c>
      <c r="H1664" s="114">
        <v>46204</v>
      </c>
      <c r="I1664" s="17"/>
      <c r="J1664" s="17"/>
      <c r="K1664" s="17"/>
    </row>
    <row r="1665" spans="1:11" x14ac:dyDescent="0.2">
      <c r="A1665" s="115">
        <v>46224</v>
      </c>
      <c r="B1665" s="103" t="s">
        <v>2965</v>
      </c>
      <c r="C1665" s="101" t="s">
        <v>50</v>
      </c>
      <c r="D1665" s="95">
        <v>707.31</v>
      </c>
      <c r="E1665" s="95">
        <v>100.74</v>
      </c>
      <c r="F1665" s="96">
        <v>71254.41</v>
      </c>
      <c r="G1665" s="97" t="s">
        <v>95</v>
      </c>
      <c r="H1665" s="114">
        <v>46204</v>
      </c>
      <c r="I1665" s="17"/>
      <c r="J1665" s="17"/>
      <c r="K1665" s="17"/>
    </row>
    <row r="1666" spans="1:11" x14ac:dyDescent="0.2">
      <c r="A1666" s="115">
        <v>46224</v>
      </c>
      <c r="B1666" s="103" t="s">
        <v>2966</v>
      </c>
      <c r="C1666" s="101" t="s">
        <v>13</v>
      </c>
      <c r="D1666" s="95">
        <v>880.95</v>
      </c>
      <c r="E1666" s="95">
        <v>100.74</v>
      </c>
      <c r="F1666" s="96">
        <v>88747.26</v>
      </c>
      <c r="G1666" s="97" t="s">
        <v>152</v>
      </c>
      <c r="H1666" s="114">
        <v>46204</v>
      </c>
      <c r="I1666" s="17"/>
      <c r="J1666" s="17"/>
      <c r="K1666" s="17"/>
    </row>
    <row r="1667" spans="1:11" x14ac:dyDescent="0.2">
      <c r="A1667" s="115">
        <v>46224</v>
      </c>
      <c r="B1667" s="103" t="s">
        <v>2967</v>
      </c>
      <c r="C1667" s="101" t="s">
        <v>526</v>
      </c>
      <c r="D1667" s="95">
        <v>2103.4299999999998</v>
      </c>
      <c r="E1667" s="95">
        <v>100.74</v>
      </c>
      <c r="F1667" s="96">
        <v>211900</v>
      </c>
      <c r="G1667" s="97" t="s">
        <v>58</v>
      </c>
      <c r="H1667" s="114">
        <v>46204</v>
      </c>
      <c r="I1667" s="17"/>
      <c r="J1667" s="17"/>
      <c r="K1667" s="17"/>
    </row>
    <row r="1668" spans="1:11" x14ac:dyDescent="0.2">
      <c r="A1668" s="115">
        <v>46224</v>
      </c>
      <c r="B1668" s="103" t="s">
        <v>2968</v>
      </c>
      <c r="C1668" s="101" t="s">
        <v>525</v>
      </c>
      <c r="D1668" s="95">
        <v>24.82</v>
      </c>
      <c r="E1668" s="95">
        <v>100.74</v>
      </c>
      <c r="F1668" s="96">
        <v>2500</v>
      </c>
      <c r="G1668" s="97" t="s">
        <v>58</v>
      </c>
      <c r="H1668" s="114">
        <v>46204</v>
      </c>
      <c r="I1668" s="17"/>
      <c r="J1668" s="17"/>
      <c r="K1668" s="17"/>
    </row>
    <row r="1669" spans="1:11" x14ac:dyDescent="0.2">
      <c r="A1669" s="115">
        <v>46224</v>
      </c>
      <c r="B1669" s="103" t="s">
        <v>2969</v>
      </c>
      <c r="C1669" s="94"/>
      <c r="D1669" s="95">
        <v>41.39</v>
      </c>
      <c r="E1669" s="95">
        <v>100.74</v>
      </c>
      <c r="F1669" s="96">
        <v>4170</v>
      </c>
      <c r="G1669" s="97" t="s">
        <v>2364</v>
      </c>
      <c r="H1669" s="114">
        <v>46204</v>
      </c>
      <c r="I1669" s="17"/>
      <c r="J1669" s="17"/>
      <c r="K1669" s="17"/>
    </row>
    <row r="1670" spans="1:11" x14ac:dyDescent="0.2">
      <c r="A1670" s="115">
        <v>46224</v>
      </c>
      <c r="B1670" s="103" t="s">
        <v>2970</v>
      </c>
      <c r="C1670" s="94" t="s">
        <v>1747</v>
      </c>
      <c r="D1670" s="95">
        <v>200</v>
      </c>
      <c r="E1670" s="95">
        <v>100.74</v>
      </c>
      <c r="F1670" s="96">
        <v>20148</v>
      </c>
      <c r="G1670" s="97" t="s">
        <v>2570</v>
      </c>
      <c r="H1670" s="114">
        <v>46204</v>
      </c>
      <c r="I1670" s="17"/>
      <c r="J1670" s="17"/>
      <c r="K1670" s="17"/>
    </row>
    <row r="1671" spans="1:11" x14ac:dyDescent="0.2">
      <c r="A1671" s="115">
        <v>46224</v>
      </c>
      <c r="B1671" s="103" t="s">
        <v>2971</v>
      </c>
      <c r="C1671" s="94" t="s">
        <v>2603</v>
      </c>
      <c r="D1671" s="95">
        <v>200</v>
      </c>
      <c r="E1671" s="95">
        <v>100.74</v>
      </c>
      <c r="F1671" s="96">
        <v>20148</v>
      </c>
      <c r="G1671" s="97" t="s">
        <v>2570</v>
      </c>
      <c r="H1671" s="114">
        <v>46204</v>
      </c>
      <c r="I1671" s="17"/>
      <c r="J1671" s="17"/>
      <c r="K1671" s="17"/>
    </row>
    <row r="1672" spans="1:11" x14ac:dyDescent="0.2">
      <c r="A1672" s="115">
        <v>46224</v>
      </c>
      <c r="B1672" s="103" t="s">
        <v>2972</v>
      </c>
      <c r="C1672" s="94" t="s">
        <v>428</v>
      </c>
      <c r="D1672" s="95">
        <v>50.13</v>
      </c>
      <c r="E1672" s="95">
        <v>100.74</v>
      </c>
      <c r="F1672" s="96">
        <v>5050.09</v>
      </c>
      <c r="G1672" s="97" t="s">
        <v>257</v>
      </c>
      <c r="H1672" s="114">
        <v>46204</v>
      </c>
      <c r="I1672" s="17"/>
      <c r="J1672" s="17"/>
      <c r="K1672" s="17"/>
    </row>
    <row r="1673" spans="1:11" x14ac:dyDescent="0.2">
      <c r="A1673" s="115">
        <v>46224</v>
      </c>
      <c r="B1673" s="103" t="s">
        <v>2973</v>
      </c>
      <c r="C1673" s="94" t="s">
        <v>50</v>
      </c>
      <c r="D1673" s="95">
        <v>47.13</v>
      </c>
      <c r="E1673" s="95">
        <v>100.74</v>
      </c>
      <c r="F1673" s="96">
        <v>4747.87</v>
      </c>
      <c r="G1673" s="97" t="s">
        <v>54</v>
      </c>
      <c r="H1673" s="114">
        <v>46204</v>
      </c>
      <c r="I1673" s="17"/>
      <c r="J1673" s="17"/>
      <c r="K1673" s="17"/>
    </row>
    <row r="1674" spans="1:11" x14ac:dyDescent="0.2">
      <c r="A1674" s="115">
        <v>46224</v>
      </c>
      <c r="B1674" s="103" t="s">
        <v>2974</v>
      </c>
      <c r="C1674" s="94" t="s">
        <v>1156</v>
      </c>
      <c r="D1674" s="95">
        <v>19.850000000000001</v>
      </c>
      <c r="E1674" s="95">
        <v>100.74</v>
      </c>
      <c r="F1674" s="96">
        <v>2000</v>
      </c>
      <c r="G1674" s="97" t="s">
        <v>714</v>
      </c>
      <c r="H1674" s="114">
        <v>46204</v>
      </c>
      <c r="I1674" s="17"/>
      <c r="J1674" s="17"/>
      <c r="K1674" s="17"/>
    </row>
    <row r="1675" spans="1:11" x14ac:dyDescent="0.2">
      <c r="A1675" s="115">
        <v>46224</v>
      </c>
      <c r="B1675" s="103" t="s">
        <v>2975</v>
      </c>
      <c r="C1675" s="94"/>
      <c r="D1675" s="95">
        <v>326.26</v>
      </c>
      <c r="E1675" s="95">
        <v>100.74</v>
      </c>
      <c r="F1675" s="96">
        <v>32867</v>
      </c>
      <c r="G1675" s="97" t="s">
        <v>2450</v>
      </c>
      <c r="H1675" s="114">
        <v>46204</v>
      </c>
      <c r="I1675" s="17"/>
      <c r="J1675" s="17"/>
      <c r="K1675" s="17"/>
    </row>
    <row r="1676" spans="1:11" x14ac:dyDescent="0.2">
      <c r="A1676" s="115">
        <v>46224</v>
      </c>
      <c r="B1676" s="103" t="s">
        <v>2983</v>
      </c>
      <c r="C1676" s="94" t="s">
        <v>50</v>
      </c>
      <c r="D1676" s="95">
        <v>198.53</v>
      </c>
      <c r="E1676" s="95">
        <v>100.74</v>
      </c>
      <c r="F1676" s="96">
        <v>20000</v>
      </c>
      <c r="G1676" s="97" t="s">
        <v>2611</v>
      </c>
      <c r="H1676" s="114">
        <f t="shared" ref="H1676" si="26">IF(A1676&lt;&gt;"", EOMONTH(A1676, -1) + 1, "")</f>
        <v>46204</v>
      </c>
      <c r="I1676" s="17"/>
      <c r="J1676" s="17"/>
      <c r="K1676" s="17"/>
    </row>
    <row r="1677" spans="1:11" x14ac:dyDescent="0.2">
      <c r="A1677" s="115">
        <v>46225</v>
      </c>
      <c r="B1677" s="103" t="s">
        <v>2985</v>
      </c>
      <c r="C1677" s="94" t="s">
        <v>50</v>
      </c>
      <c r="D1677" s="95">
        <v>3000</v>
      </c>
      <c r="E1677" s="95">
        <v>100.74</v>
      </c>
      <c r="F1677" s="96">
        <v>302220</v>
      </c>
      <c r="G1677" s="97" t="s">
        <v>1073</v>
      </c>
      <c r="H1677" s="114">
        <v>46204</v>
      </c>
      <c r="I1677" s="17"/>
      <c r="J1677" s="17"/>
      <c r="K1677" s="17"/>
    </row>
    <row r="1678" spans="1:11" x14ac:dyDescent="0.2">
      <c r="A1678" s="115">
        <v>46225</v>
      </c>
      <c r="B1678" s="103" t="s">
        <v>2986</v>
      </c>
      <c r="C1678" s="94" t="s">
        <v>50</v>
      </c>
      <c r="D1678" s="95">
        <v>149.09</v>
      </c>
      <c r="E1678" s="95">
        <v>100.74</v>
      </c>
      <c r="F1678" s="96">
        <v>15019.33</v>
      </c>
      <c r="G1678" s="97" t="s">
        <v>2611</v>
      </c>
      <c r="H1678" s="114">
        <v>46204</v>
      </c>
      <c r="I1678" s="17"/>
      <c r="J1678" s="17"/>
      <c r="K1678" s="17"/>
    </row>
    <row r="1679" spans="1:11" x14ac:dyDescent="0.2">
      <c r="A1679" s="115">
        <v>46225</v>
      </c>
      <c r="B1679" s="103" t="s">
        <v>2987</v>
      </c>
      <c r="C1679" s="94" t="s">
        <v>50</v>
      </c>
      <c r="D1679" s="95">
        <v>1332.2</v>
      </c>
      <c r="E1679" s="95">
        <v>100.74</v>
      </c>
      <c r="F1679" s="96">
        <v>134205.82999999999</v>
      </c>
      <c r="G1679" s="97" t="s">
        <v>95</v>
      </c>
      <c r="H1679" s="114">
        <v>46204</v>
      </c>
      <c r="I1679" s="17"/>
      <c r="J1679" s="17"/>
      <c r="K1679" s="17"/>
    </row>
    <row r="1680" spans="1:11" x14ac:dyDescent="0.2">
      <c r="A1680" s="115">
        <v>46225</v>
      </c>
      <c r="B1680" s="103" t="s">
        <v>2988</v>
      </c>
      <c r="C1680" s="94" t="s">
        <v>526</v>
      </c>
      <c r="D1680" s="95">
        <v>1492.95</v>
      </c>
      <c r="E1680" s="95">
        <v>100.74</v>
      </c>
      <c r="F1680" s="96">
        <v>150400</v>
      </c>
      <c r="G1680" s="97" t="s">
        <v>58</v>
      </c>
      <c r="H1680" s="114">
        <v>46204</v>
      </c>
      <c r="I1680" s="17"/>
      <c r="J1680" s="17"/>
      <c r="K1680" s="17"/>
    </row>
    <row r="1681" spans="1:11" x14ac:dyDescent="0.2">
      <c r="A1681" s="115">
        <v>46225</v>
      </c>
      <c r="B1681" s="103" t="s">
        <v>2989</v>
      </c>
      <c r="C1681" s="94" t="s">
        <v>525</v>
      </c>
      <c r="D1681" s="95">
        <v>9.93</v>
      </c>
      <c r="E1681" s="95">
        <v>100.74</v>
      </c>
      <c r="F1681" s="96">
        <v>1000</v>
      </c>
      <c r="G1681" s="97" t="s">
        <v>58</v>
      </c>
      <c r="H1681" s="114">
        <v>46204</v>
      </c>
      <c r="I1681" s="17"/>
      <c r="J1681" s="17"/>
      <c r="K1681" s="17"/>
    </row>
    <row r="1682" spans="1:11" x14ac:dyDescent="0.2">
      <c r="A1682" s="115">
        <v>46225</v>
      </c>
      <c r="B1682" s="103" t="s">
        <v>2990</v>
      </c>
      <c r="C1682" s="94"/>
      <c r="D1682" s="95">
        <v>1627.31</v>
      </c>
      <c r="E1682" s="95">
        <v>100.74</v>
      </c>
      <c r="F1682" s="96">
        <v>163935.32</v>
      </c>
      <c r="G1682" s="97" t="s">
        <v>152</v>
      </c>
      <c r="H1682" s="114">
        <v>46204</v>
      </c>
      <c r="I1682" s="17"/>
      <c r="J1682" s="17"/>
      <c r="K1682" s="17"/>
    </row>
    <row r="1683" spans="1:11" x14ac:dyDescent="0.2">
      <c r="A1683" s="115">
        <v>46225</v>
      </c>
      <c r="B1683" s="103" t="s">
        <v>2991</v>
      </c>
      <c r="C1683" s="94"/>
      <c r="D1683" s="95">
        <v>491.11</v>
      </c>
      <c r="E1683" s="95">
        <v>100.74</v>
      </c>
      <c r="F1683" s="96">
        <v>49474.73</v>
      </c>
      <c r="G1683" s="97" t="s">
        <v>2450</v>
      </c>
      <c r="H1683" s="114">
        <v>46204</v>
      </c>
      <c r="I1683" s="17"/>
      <c r="J1683" s="17"/>
      <c r="K1683" s="17"/>
    </row>
    <row r="1684" spans="1:11" x14ac:dyDescent="0.2">
      <c r="A1684" s="115">
        <v>46225</v>
      </c>
      <c r="B1684" s="103" t="s">
        <v>2992</v>
      </c>
      <c r="C1684" s="94" t="s">
        <v>2993</v>
      </c>
      <c r="D1684" s="95">
        <v>19.850000000000001</v>
      </c>
      <c r="E1684" s="95">
        <v>100.74</v>
      </c>
      <c r="F1684" s="96">
        <v>2000</v>
      </c>
      <c r="G1684" s="97" t="s">
        <v>257</v>
      </c>
      <c r="H1684" s="114">
        <v>46204</v>
      </c>
      <c r="I1684" s="17"/>
      <c r="J1684" s="17"/>
      <c r="K1684" s="17"/>
    </row>
    <row r="1685" spans="1:11" x14ac:dyDescent="0.2">
      <c r="A1685" s="115">
        <v>46225</v>
      </c>
      <c r="B1685" s="103" t="s">
        <v>2994</v>
      </c>
      <c r="C1685" s="94" t="s">
        <v>44</v>
      </c>
      <c r="D1685" s="95">
        <v>44.85</v>
      </c>
      <c r="E1685" s="95">
        <v>100.74</v>
      </c>
      <c r="F1685" s="96">
        <v>4518.18</v>
      </c>
      <c r="G1685" s="97" t="s">
        <v>56</v>
      </c>
      <c r="H1685" s="114">
        <v>46204</v>
      </c>
      <c r="I1685" s="17"/>
      <c r="J1685" s="17"/>
      <c r="K1685" s="17"/>
    </row>
    <row r="1686" spans="1:11" x14ac:dyDescent="0.2">
      <c r="A1686" s="115">
        <v>46225</v>
      </c>
      <c r="B1686" s="103" t="s">
        <v>2995</v>
      </c>
      <c r="C1686" s="94" t="s">
        <v>1157</v>
      </c>
      <c r="D1686" s="95">
        <v>90.64</v>
      </c>
      <c r="E1686" s="95">
        <v>100.74</v>
      </c>
      <c r="F1686" s="96">
        <v>9131.07</v>
      </c>
      <c r="G1686" s="97" t="s">
        <v>714</v>
      </c>
      <c r="H1686" s="114">
        <v>46204</v>
      </c>
      <c r="I1686" s="17"/>
      <c r="J1686" s="17"/>
      <c r="K1686" s="17"/>
    </row>
    <row r="1687" spans="1:11" x14ac:dyDescent="0.2">
      <c r="A1687" s="115">
        <v>46225</v>
      </c>
      <c r="B1687" s="103" t="s">
        <v>2996</v>
      </c>
      <c r="C1687" s="94" t="s">
        <v>992</v>
      </c>
      <c r="D1687" s="95">
        <v>100</v>
      </c>
      <c r="E1687" s="95">
        <v>100.74</v>
      </c>
      <c r="F1687" s="96">
        <v>10074</v>
      </c>
      <c r="G1687" s="97" t="s">
        <v>552</v>
      </c>
      <c r="H1687" s="114">
        <v>46204</v>
      </c>
      <c r="I1687" s="17"/>
      <c r="J1687" s="17"/>
      <c r="K1687" s="17"/>
    </row>
    <row r="1688" spans="1:11" x14ac:dyDescent="0.2">
      <c r="A1688" s="115">
        <v>46225</v>
      </c>
      <c r="B1688" s="103" t="s">
        <v>2997</v>
      </c>
      <c r="C1688" s="94" t="s">
        <v>39</v>
      </c>
      <c r="D1688" s="95">
        <v>100</v>
      </c>
      <c r="E1688" s="95">
        <v>100.74</v>
      </c>
      <c r="F1688" s="96">
        <v>10074</v>
      </c>
      <c r="G1688" s="97" t="s">
        <v>54</v>
      </c>
      <c r="H1688" s="114">
        <v>46204</v>
      </c>
      <c r="I1688" s="17"/>
      <c r="J1688" s="17"/>
      <c r="K1688" s="17"/>
    </row>
    <row r="1689" spans="1:11" x14ac:dyDescent="0.2">
      <c r="A1689" s="115">
        <v>46225</v>
      </c>
      <c r="B1689" s="103" t="s">
        <v>2998</v>
      </c>
      <c r="C1689" s="94" t="s">
        <v>127</v>
      </c>
      <c r="D1689" s="95">
        <v>200</v>
      </c>
      <c r="E1689" s="95">
        <v>100.74</v>
      </c>
      <c r="F1689" s="96">
        <v>20148</v>
      </c>
      <c r="G1689" s="97" t="s">
        <v>59</v>
      </c>
      <c r="H1689" s="114">
        <v>46204</v>
      </c>
      <c r="I1689" s="17"/>
      <c r="J1689" s="17"/>
      <c r="K1689" s="17"/>
    </row>
    <row r="1690" spans="1:11" x14ac:dyDescent="0.2">
      <c r="A1690" s="115">
        <v>46225</v>
      </c>
      <c r="B1690" s="103" t="s">
        <v>2999</v>
      </c>
      <c r="C1690" s="94" t="s">
        <v>872</v>
      </c>
      <c r="D1690" s="95">
        <v>354.81</v>
      </c>
      <c r="E1690" s="95">
        <v>100.74</v>
      </c>
      <c r="F1690" s="96">
        <v>35743.550000000003</v>
      </c>
      <c r="G1690" s="97" t="s">
        <v>199</v>
      </c>
      <c r="H1690" s="114">
        <v>46204</v>
      </c>
      <c r="I1690" s="17"/>
      <c r="J1690" s="17"/>
      <c r="K1690" s="17"/>
    </row>
    <row r="1691" spans="1:11" x14ac:dyDescent="0.2">
      <c r="A1691" s="115">
        <v>46225</v>
      </c>
      <c r="B1691" s="103" t="s">
        <v>3000</v>
      </c>
      <c r="C1691" s="94" t="s">
        <v>3001</v>
      </c>
      <c r="D1691" s="95">
        <v>256</v>
      </c>
      <c r="E1691" s="95">
        <v>100.74</v>
      </c>
      <c r="F1691" s="96">
        <v>25789.439999999999</v>
      </c>
      <c r="G1691" s="97" t="s">
        <v>199</v>
      </c>
      <c r="H1691" s="114">
        <v>46204</v>
      </c>
      <c r="I1691" s="17"/>
      <c r="J1691" s="17"/>
      <c r="K1691" s="17"/>
    </row>
    <row r="1692" spans="1:11" x14ac:dyDescent="0.2">
      <c r="A1692" s="115">
        <v>46225</v>
      </c>
      <c r="B1692" s="103" t="s">
        <v>3002</v>
      </c>
      <c r="C1692" s="94" t="s">
        <v>2823</v>
      </c>
      <c r="D1692" s="95">
        <v>50</v>
      </c>
      <c r="E1692" s="95">
        <v>100.74</v>
      </c>
      <c r="F1692" s="96">
        <v>5037</v>
      </c>
      <c r="G1692" s="97" t="s">
        <v>2570</v>
      </c>
      <c r="H1692" s="114">
        <v>46204</v>
      </c>
      <c r="I1692" s="17"/>
      <c r="J1692" s="17"/>
      <c r="K1692" s="17"/>
    </row>
    <row r="1693" spans="1:11" x14ac:dyDescent="0.2">
      <c r="A1693" s="115">
        <v>46225</v>
      </c>
      <c r="B1693" s="103" t="s">
        <v>3003</v>
      </c>
      <c r="C1693" s="94" t="s">
        <v>2838</v>
      </c>
      <c r="D1693" s="95">
        <v>50</v>
      </c>
      <c r="E1693" s="95">
        <v>100.74</v>
      </c>
      <c r="F1693" s="96">
        <v>5037</v>
      </c>
      <c r="G1693" s="97" t="s">
        <v>2570</v>
      </c>
      <c r="H1693" s="114">
        <v>46204</v>
      </c>
      <c r="I1693" s="17"/>
      <c r="J1693" s="17"/>
      <c r="K1693" s="17"/>
    </row>
    <row r="1694" spans="1:11" x14ac:dyDescent="0.2">
      <c r="A1694" s="115">
        <v>46225</v>
      </c>
      <c r="B1694" s="103" t="s">
        <v>3004</v>
      </c>
      <c r="C1694" s="94" t="s">
        <v>3005</v>
      </c>
      <c r="D1694" s="95">
        <v>50</v>
      </c>
      <c r="E1694" s="95">
        <v>100.74</v>
      </c>
      <c r="F1694" s="96">
        <v>5037</v>
      </c>
      <c r="G1694" s="97" t="s">
        <v>2570</v>
      </c>
      <c r="H1694" s="114">
        <v>46204</v>
      </c>
      <c r="I1694" s="17"/>
      <c r="J1694" s="17"/>
      <c r="K1694" s="17"/>
    </row>
    <row r="1695" spans="1:11" x14ac:dyDescent="0.2">
      <c r="A1695" s="115">
        <v>46225</v>
      </c>
      <c r="B1695" s="103" t="s">
        <v>3006</v>
      </c>
      <c r="C1695" s="94" t="s">
        <v>3007</v>
      </c>
      <c r="D1695" s="95">
        <v>50</v>
      </c>
      <c r="E1695" s="95">
        <v>100.74</v>
      </c>
      <c r="F1695" s="96">
        <v>5037</v>
      </c>
      <c r="G1695" s="97" t="s">
        <v>2570</v>
      </c>
      <c r="H1695" s="114">
        <v>46204</v>
      </c>
      <c r="I1695" s="17"/>
      <c r="J1695" s="17"/>
      <c r="K1695" s="17"/>
    </row>
    <row r="1696" spans="1:11" x14ac:dyDescent="0.2">
      <c r="A1696" s="115">
        <v>46225</v>
      </c>
      <c r="B1696" s="103" t="s">
        <v>3008</v>
      </c>
      <c r="C1696" s="94" t="s">
        <v>2686</v>
      </c>
      <c r="D1696" s="95">
        <v>50</v>
      </c>
      <c r="E1696" s="95">
        <v>100.74</v>
      </c>
      <c r="F1696" s="96">
        <v>5037</v>
      </c>
      <c r="G1696" s="97" t="s">
        <v>2570</v>
      </c>
      <c r="H1696" s="114">
        <v>46204</v>
      </c>
      <c r="I1696" s="17"/>
      <c r="J1696" s="17"/>
      <c r="K1696" s="17"/>
    </row>
    <row r="1697" spans="1:11" x14ac:dyDescent="0.2">
      <c r="A1697" s="115">
        <v>46225</v>
      </c>
      <c r="B1697" s="103" t="s">
        <v>3009</v>
      </c>
      <c r="C1697" s="94" t="s">
        <v>1781</v>
      </c>
      <c r="D1697" s="95">
        <v>200</v>
      </c>
      <c r="E1697" s="95">
        <v>100.74</v>
      </c>
      <c r="F1697" s="96">
        <v>20148</v>
      </c>
      <c r="G1697" s="97" t="s">
        <v>2570</v>
      </c>
      <c r="H1697" s="114">
        <v>46204</v>
      </c>
      <c r="I1697" s="17"/>
      <c r="J1697" s="17"/>
      <c r="K1697" s="17"/>
    </row>
    <row r="1698" spans="1:11" x14ac:dyDescent="0.2">
      <c r="A1698" s="115">
        <v>46226</v>
      </c>
      <c r="B1698" s="103" t="s">
        <v>3015</v>
      </c>
      <c r="C1698" s="94" t="s">
        <v>42</v>
      </c>
      <c r="D1698" s="95">
        <v>12000</v>
      </c>
      <c r="E1698" s="95">
        <v>99.5</v>
      </c>
      <c r="F1698" s="96">
        <v>1194000</v>
      </c>
      <c r="G1698" s="97" t="s">
        <v>143</v>
      </c>
      <c r="H1698" s="114">
        <v>46204</v>
      </c>
      <c r="I1698" s="17"/>
      <c r="J1698" s="17"/>
      <c r="K1698" s="17"/>
    </row>
    <row r="1699" spans="1:11" x14ac:dyDescent="0.2">
      <c r="A1699" s="115">
        <v>46226</v>
      </c>
      <c r="B1699" s="103" t="s">
        <v>3016</v>
      </c>
      <c r="C1699" s="94" t="s">
        <v>40</v>
      </c>
      <c r="D1699" s="95">
        <v>12000</v>
      </c>
      <c r="E1699" s="95">
        <v>99.5</v>
      </c>
      <c r="F1699" s="96">
        <v>1194000</v>
      </c>
      <c r="G1699" s="97" t="s">
        <v>52</v>
      </c>
      <c r="H1699" s="114">
        <v>46204</v>
      </c>
      <c r="I1699" s="17"/>
      <c r="J1699" s="17"/>
      <c r="K1699" s="17"/>
    </row>
    <row r="1700" spans="1:11" x14ac:dyDescent="0.2">
      <c r="A1700" s="115">
        <v>46226</v>
      </c>
      <c r="B1700" s="103" t="s">
        <v>3017</v>
      </c>
      <c r="C1700" s="94" t="s">
        <v>50</v>
      </c>
      <c r="D1700" s="95">
        <v>49.44</v>
      </c>
      <c r="E1700" s="95">
        <v>100.74</v>
      </c>
      <c r="F1700" s="96">
        <v>4980.59</v>
      </c>
      <c r="G1700" s="97" t="s">
        <v>2611</v>
      </c>
      <c r="H1700" s="114">
        <v>46204</v>
      </c>
      <c r="I1700" s="17"/>
      <c r="J1700" s="17"/>
      <c r="K1700" s="17"/>
    </row>
    <row r="1701" spans="1:11" x14ac:dyDescent="0.2">
      <c r="A1701" s="115">
        <v>46226</v>
      </c>
      <c r="B1701" s="103" t="s">
        <v>3018</v>
      </c>
      <c r="C1701" s="94" t="s">
        <v>50</v>
      </c>
      <c r="D1701" s="95">
        <v>561.11</v>
      </c>
      <c r="E1701" s="95">
        <v>100.74</v>
      </c>
      <c r="F1701" s="96">
        <v>56526.22</v>
      </c>
      <c r="G1701" s="97" t="s">
        <v>95</v>
      </c>
      <c r="H1701" s="114">
        <v>46204</v>
      </c>
      <c r="I1701" s="17"/>
      <c r="J1701" s="17"/>
      <c r="K1701" s="17"/>
    </row>
    <row r="1702" spans="1:11" x14ac:dyDescent="0.2">
      <c r="A1702" s="115">
        <v>46226</v>
      </c>
      <c r="B1702" s="103" t="s">
        <v>3019</v>
      </c>
      <c r="C1702" s="94"/>
      <c r="D1702" s="95">
        <v>514.9</v>
      </c>
      <c r="E1702" s="95">
        <v>100.74</v>
      </c>
      <c r="F1702" s="96">
        <v>51871</v>
      </c>
      <c r="G1702" s="97" t="s">
        <v>2450</v>
      </c>
      <c r="H1702" s="114">
        <v>46204</v>
      </c>
      <c r="I1702" s="17"/>
      <c r="J1702" s="17"/>
      <c r="K1702" s="17"/>
    </row>
    <row r="1703" spans="1:11" x14ac:dyDescent="0.2">
      <c r="A1703" s="115">
        <v>46226</v>
      </c>
      <c r="B1703" s="103" t="s">
        <v>3020</v>
      </c>
      <c r="C1703" s="94"/>
      <c r="D1703" s="95">
        <v>1880.78</v>
      </c>
      <c r="E1703" s="95">
        <v>100.74</v>
      </c>
      <c r="F1703" s="96">
        <v>189469.56</v>
      </c>
      <c r="G1703" s="97" t="s">
        <v>152</v>
      </c>
      <c r="H1703" s="114">
        <v>46204</v>
      </c>
      <c r="I1703" s="17"/>
      <c r="J1703" s="17"/>
      <c r="K1703" s="17"/>
    </row>
    <row r="1704" spans="1:11" x14ac:dyDescent="0.2">
      <c r="A1704" s="115">
        <v>46226</v>
      </c>
      <c r="B1704" s="103" t="s">
        <v>3021</v>
      </c>
      <c r="C1704" s="94" t="s">
        <v>526</v>
      </c>
      <c r="D1704" s="95">
        <v>608.5</v>
      </c>
      <c r="E1704" s="95">
        <v>100.74</v>
      </c>
      <c r="F1704" s="96">
        <v>61300</v>
      </c>
      <c r="G1704" s="97" t="s">
        <v>58</v>
      </c>
      <c r="H1704" s="114">
        <v>46204</v>
      </c>
      <c r="I1704" s="17"/>
      <c r="J1704" s="17"/>
      <c r="K1704" s="17"/>
    </row>
    <row r="1705" spans="1:11" x14ac:dyDescent="0.2">
      <c r="A1705" s="115">
        <v>46226</v>
      </c>
      <c r="B1705" s="103" t="s">
        <v>3022</v>
      </c>
      <c r="C1705" s="94" t="s">
        <v>1526</v>
      </c>
      <c r="D1705" s="95">
        <v>43.88</v>
      </c>
      <c r="E1705" s="95">
        <v>100.74</v>
      </c>
      <c r="F1705" s="96">
        <v>4420.47</v>
      </c>
      <c r="G1705" s="97" t="s">
        <v>901</v>
      </c>
      <c r="H1705" s="114">
        <v>46204</v>
      </c>
      <c r="I1705" s="17"/>
      <c r="J1705" s="17"/>
      <c r="K1705" s="17"/>
    </row>
    <row r="1706" spans="1:11" x14ac:dyDescent="0.2">
      <c r="A1706" s="115">
        <v>46226</v>
      </c>
      <c r="B1706" s="103" t="s">
        <v>3023</v>
      </c>
      <c r="C1706" s="94" t="s">
        <v>45</v>
      </c>
      <c r="D1706" s="95">
        <v>43.88</v>
      </c>
      <c r="E1706" s="95">
        <v>100.74</v>
      </c>
      <c r="F1706" s="96">
        <v>4420.47</v>
      </c>
      <c r="G1706" s="97" t="s">
        <v>56</v>
      </c>
      <c r="H1706" s="114">
        <v>46204</v>
      </c>
      <c r="I1706" s="17"/>
      <c r="J1706" s="17"/>
      <c r="K1706" s="17"/>
    </row>
    <row r="1707" spans="1:11" x14ac:dyDescent="0.2">
      <c r="A1707" s="115">
        <v>46226</v>
      </c>
      <c r="B1707" s="103" t="s">
        <v>3024</v>
      </c>
      <c r="C1707" s="94" t="s">
        <v>128</v>
      </c>
      <c r="D1707" s="95">
        <v>44.23</v>
      </c>
      <c r="E1707" s="95">
        <v>100.74</v>
      </c>
      <c r="F1707" s="96">
        <v>4455.7299999999996</v>
      </c>
      <c r="G1707" s="97" t="s">
        <v>56</v>
      </c>
      <c r="H1707" s="114">
        <v>46204</v>
      </c>
      <c r="I1707" s="17"/>
      <c r="J1707" s="17"/>
      <c r="K1707" s="17"/>
    </row>
    <row r="1708" spans="1:11" x14ac:dyDescent="0.2">
      <c r="A1708" s="115">
        <v>46226</v>
      </c>
      <c r="B1708" s="103" t="s">
        <v>3025</v>
      </c>
      <c r="C1708" s="94" t="s">
        <v>3026</v>
      </c>
      <c r="D1708" s="95">
        <v>353.82</v>
      </c>
      <c r="E1708" s="95">
        <v>100.74</v>
      </c>
      <c r="F1708" s="96">
        <v>35643.82</v>
      </c>
      <c r="G1708" s="97" t="s">
        <v>199</v>
      </c>
      <c r="H1708" s="114">
        <v>46204</v>
      </c>
      <c r="I1708" s="17"/>
      <c r="J1708" s="17"/>
      <c r="K1708" s="17"/>
    </row>
    <row r="1709" spans="1:11" x14ac:dyDescent="0.2">
      <c r="A1709" s="115">
        <v>46226</v>
      </c>
      <c r="B1709" s="103" t="s">
        <v>3027</v>
      </c>
      <c r="C1709" s="94" t="s">
        <v>3028</v>
      </c>
      <c r="D1709" s="95">
        <v>100</v>
      </c>
      <c r="E1709" s="95">
        <v>100.74</v>
      </c>
      <c r="F1709" s="96">
        <v>10074</v>
      </c>
      <c r="G1709" s="97" t="s">
        <v>552</v>
      </c>
      <c r="H1709" s="114">
        <v>46204</v>
      </c>
      <c r="I1709" s="17"/>
      <c r="J1709" s="17"/>
      <c r="K1709" s="17"/>
    </row>
    <row r="1710" spans="1:11" x14ac:dyDescent="0.2">
      <c r="A1710" s="115">
        <v>46226</v>
      </c>
      <c r="B1710" s="103" t="s">
        <v>3029</v>
      </c>
      <c r="C1710" s="94" t="s">
        <v>3030</v>
      </c>
      <c r="D1710" s="95">
        <v>100</v>
      </c>
      <c r="E1710" s="95">
        <v>100.74</v>
      </c>
      <c r="F1710" s="96">
        <v>10074</v>
      </c>
      <c r="G1710" s="97" t="s">
        <v>552</v>
      </c>
      <c r="H1710" s="114">
        <v>46204</v>
      </c>
      <c r="I1710" s="17"/>
      <c r="J1710" s="17"/>
      <c r="K1710" s="17"/>
    </row>
    <row r="1711" spans="1:11" x14ac:dyDescent="0.2">
      <c r="A1711" s="115">
        <v>46226</v>
      </c>
      <c r="B1711" s="103" t="s">
        <v>3031</v>
      </c>
      <c r="C1711" s="94" t="s">
        <v>1062</v>
      </c>
      <c r="D1711" s="95">
        <v>100</v>
      </c>
      <c r="E1711" s="95">
        <v>100.74</v>
      </c>
      <c r="F1711" s="96">
        <v>10074</v>
      </c>
      <c r="G1711" s="97" t="s">
        <v>552</v>
      </c>
      <c r="H1711" s="114">
        <v>46204</v>
      </c>
      <c r="I1711" s="17"/>
      <c r="J1711" s="17"/>
      <c r="K1711" s="17"/>
    </row>
    <row r="1712" spans="1:11" x14ac:dyDescent="0.2">
      <c r="A1712" s="115">
        <v>46226</v>
      </c>
      <c r="B1712" s="103" t="s">
        <v>3032</v>
      </c>
      <c r="C1712" s="94" t="s">
        <v>2835</v>
      </c>
      <c r="D1712" s="95">
        <v>200</v>
      </c>
      <c r="E1712" s="95">
        <v>100.74</v>
      </c>
      <c r="F1712" s="96">
        <v>20148</v>
      </c>
      <c r="G1712" s="97" t="s">
        <v>2570</v>
      </c>
      <c r="H1712" s="114">
        <v>46204</v>
      </c>
      <c r="I1712" s="17"/>
      <c r="J1712" s="17"/>
      <c r="K1712" s="17"/>
    </row>
    <row r="1713" spans="1:11" x14ac:dyDescent="0.2">
      <c r="A1713" s="115">
        <v>46226</v>
      </c>
      <c r="B1713" s="103" t="s">
        <v>3033</v>
      </c>
      <c r="C1713" s="94" t="s">
        <v>1780</v>
      </c>
      <c r="D1713" s="95">
        <v>200</v>
      </c>
      <c r="E1713" s="95">
        <v>100.74</v>
      </c>
      <c r="F1713" s="96">
        <v>20148</v>
      </c>
      <c r="G1713" s="97" t="s">
        <v>2570</v>
      </c>
      <c r="H1713" s="114">
        <v>46204</v>
      </c>
      <c r="I1713" s="17"/>
      <c r="J1713" s="17"/>
      <c r="K1713" s="17"/>
    </row>
    <row r="1714" spans="1:11" x14ac:dyDescent="0.2">
      <c r="A1714" s="115">
        <v>46226</v>
      </c>
      <c r="B1714" s="103" t="s">
        <v>3034</v>
      </c>
      <c r="C1714" s="94" t="s">
        <v>3035</v>
      </c>
      <c r="D1714" s="95">
        <v>200</v>
      </c>
      <c r="E1714" s="95">
        <v>100.74</v>
      </c>
      <c r="F1714" s="96">
        <v>20148</v>
      </c>
      <c r="G1714" s="97" t="s">
        <v>2570</v>
      </c>
      <c r="H1714" s="114">
        <v>46204</v>
      </c>
      <c r="I1714" s="17"/>
      <c r="J1714" s="17"/>
      <c r="K1714" s="17"/>
    </row>
    <row r="1715" spans="1:11" x14ac:dyDescent="0.2">
      <c r="A1715" s="115">
        <v>46226</v>
      </c>
      <c r="B1715" s="103" t="s">
        <v>3036</v>
      </c>
      <c r="C1715" s="94" t="s">
        <v>1747</v>
      </c>
      <c r="D1715" s="95">
        <v>200</v>
      </c>
      <c r="E1715" s="95">
        <v>100.74</v>
      </c>
      <c r="F1715" s="96">
        <v>20148</v>
      </c>
      <c r="G1715" s="97" t="s">
        <v>2570</v>
      </c>
      <c r="H1715" s="114">
        <v>46204</v>
      </c>
      <c r="I1715" s="17"/>
      <c r="J1715" s="17"/>
      <c r="K1715" s="17"/>
    </row>
    <row r="1716" spans="1:11" x14ac:dyDescent="0.2">
      <c r="A1716" s="115">
        <v>46226</v>
      </c>
      <c r="B1716" s="103" t="s">
        <v>3037</v>
      </c>
      <c r="C1716" s="94" t="s">
        <v>3005</v>
      </c>
      <c r="D1716" s="95">
        <v>150</v>
      </c>
      <c r="E1716" s="95">
        <v>100.74</v>
      </c>
      <c r="F1716" s="96">
        <v>15111</v>
      </c>
      <c r="G1716" s="97" t="s">
        <v>2570</v>
      </c>
      <c r="H1716" s="114">
        <v>46204</v>
      </c>
      <c r="I1716" s="17"/>
      <c r="J1716" s="17"/>
      <c r="K1716" s="17"/>
    </row>
    <row r="1717" spans="1:11" x14ac:dyDescent="0.2">
      <c r="A1717" s="115">
        <v>46226</v>
      </c>
      <c r="B1717" s="103" t="s">
        <v>3038</v>
      </c>
      <c r="C1717" s="94" t="s">
        <v>3007</v>
      </c>
      <c r="D1717" s="95">
        <v>150</v>
      </c>
      <c r="E1717" s="95">
        <v>100.74</v>
      </c>
      <c r="F1717" s="96">
        <v>15111</v>
      </c>
      <c r="G1717" s="97" t="s">
        <v>2570</v>
      </c>
      <c r="H1717" s="114">
        <v>46204</v>
      </c>
      <c r="I1717" s="17"/>
      <c r="J1717" s="17"/>
      <c r="K1717" s="17"/>
    </row>
    <row r="1718" spans="1:11" x14ac:dyDescent="0.2">
      <c r="A1718" s="115">
        <v>46226</v>
      </c>
      <c r="B1718" s="103" t="s">
        <v>3039</v>
      </c>
      <c r="C1718" s="94" t="s">
        <v>2823</v>
      </c>
      <c r="D1718" s="95">
        <v>150</v>
      </c>
      <c r="E1718" s="95">
        <v>100.74</v>
      </c>
      <c r="F1718" s="96">
        <v>15111</v>
      </c>
      <c r="G1718" s="97" t="s">
        <v>2570</v>
      </c>
      <c r="H1718" s="114">
        <v>46204</v>
      </c>
      <c r="I1718" s="17"/>
      <c r="J1718" s="17"/>
      <c r="K1718" s="17"/>
    </row>
    <row r="1719" spans="1:11" x14ac:dyDescent="0.2">
      <c r="A1719" s="115">
        <v>46226</v>
      </c>
      <c r="B1719" s="103" t="s">
        <v>3040</v>
      </c>
      <c r="C1719" s="94" t="s">
        <v>2838</v>
      </c>
      <c r="D1719" s="95">
        <v>150</v>
      </c>
      <c r="E1719" s="95">
        <v>100.74</v>
      </c>
      <c r="F1719" s="96">
        <v>15111</v>
      </c>
      <c r="G1719" s="97" t="s">
        <v>2570</v>
      </c>
      <c r="H1719" s="114">
        <v>46204</v>
      </c>
      <c r="I1719" s="17"/>
      <c r="J1719" s="17"/>
      <c r="K1719" s="17"/>
    </row>
    <row r="1720" spans="1:11" x14ac:dyDescent="0.2">
      <c r="A1720" s="115">
        <v>46226</v>
      </c>
      <c r="B1720" s="103" t="s">
        <v>3041</v>
      </c>
      <c r="C1720" s="94" t="s">
        <v>2686</v>
      </c>
      <c r="D1720" s="95">
        <v>150</v>
      </c>
      <c r="E1720" s="95">
        <v>100.74</v>
      </c>
      <c r="F1720" s="96">
        <v>15111</v>
      </c>
      <c r="G1720" s="97" t="s">
        <v>2570</v>
      </c>
      <c r="H1720" s="114">
        <v>46204</v>
      </c>
      <c r="I1720" s="17"/>
      <c r="J1720" s="17"/>
      <c r="K1720" s="17"/>
    </row>
    <row r="1721" spans="1:11" x14ac:dyDescent="0.2">
      <c r="A1721" s="115">
        <v>46226</v>
      </c>
      <c r="B1721" s="103" t="s">
        <v>3042</v>
      </c>
      <c r="C1721" s="94" t="s">
        <v>2789</v>
      </c>
      <c r="D1721" s="95">
        <v>200</v>
      </c>
      <c r="E1721" s="95">
        <v>100.74</v>
      </c>
      <c r="F1721" s="96">
        <v>20148</v>
      </c>
      <c r="G1721" s="97" t="s">
        <v>2570</v>
      </c>
      <c r="H1721" s="114">
        <v>46204</v>
      </c>
      <c r="I1721" s="17"/>
      <c r="J1721" s="17"/>
      <c r="K1721" s="17"/>
    </row>
    <row r="1722" spans="1:11" x14ac:dyDescent="0.2">
      <c r="A1722" s="115">
        <v>46226</v>
      </c>
      <c r="B1722" s="103" t="s">
        <v>3043</v>
      </c>
      <c r="C1722" s="94" t="s">
        <v>2825</v>
      </c>
      <c r="D1722" s="95">
        <v>200</v>
      </c>
      <c r="E1722" s="95">
        <v>100.74</v>
      </c>
      <c r="F1722" s="96">
        <v>20148</v>
      </c>
      <c r="G1722" s="97" t="s">
        <v>2570</v>
      </c>
      <c r="H1722" s="114">
        <v>46204</v>
      </c>
      <c r="I1722" s="17"/>
      <c r="J1722" s="17"/>
      <c r="K1722" s="17"/>
    </row>
    <row r="1723" spans="1:11" x14ac:dyDescent="0.2">
      <c r="A1723" s="115">
        <v>46226</v>
      </c>
      <c r="B1723" s="103" t="s">
        <v>3044</v>
      </c>
      <c r="C1723" s="94" t="s">
        <v>2948</v>
      </c>
      <c r="D1723" s="95">
        <v>200</v>
      </c>
      <c r="E1723" s="95">
        <v>100.74</v>
      </c>
      <c r="F1723" s="96">
        <v>20148</v>
      </c>
      <c r="G1723" s="97" t="s">
        <v>2570</v>
      </c>
      <c r="H1723" s="114">
        <v>46204</v>
      </c>
      <c r="I1723" s="17"/>
      <c r="J1723" s="17"/>
      <c r="K1723" s="17"/>
    </row>
    <row r="1724" spans="1:11" x14ac:dyDescent="0.2">
      <c r="A1724" s="115">
        <v>46227</v>
      </c>
      <c r="B1724" s="103" t="s">
        <v>3051</v>
      </c>
      <c r="C1724" s="94" t="s">
        <v>181</v>
      </c>
      <c r="D1724" s="95">
        <v>300</v>
      </c>
      <c r="E1724" s="95">
        <v>100.74</v>
      </c>
      <c r="F1724" s="96">
        <v>30222</v>
      </c>
      <c r="G1724" s="97" t="s">
        <v>184</v>
      </c>
      <c r="H1724" s="114">
        <v>46204</v>
      </c>
      <c r="I1724" s="17"/>
      <c r="J1724" s="17"/>
      <c r="K1724" s="17"/>
    </row>
    <row r="1725" spans="1:11" x14ac:dyDescent="0.2">
      <c r="A1725" s="115">
        <v>46227</v>
      </c>
      <c r="B1725" s="103" t="s">
        <v>3052</v>
      </c>
      <c r="C1725" s="94" t="s">
        <v>41</v>
      </c>
      <c r="D1725" s="95">
        <v>47</v>
      </c>
      <c r="E1725" s="95">
        <v>100.74</v>
      </c>
      <c r="F1725" s="96">
        <v>4734.78</v>
      </c>
      <c r="G1725" s="97" t="s">
        <v>53</v>
      </c>
      <c r="H1725" s="114">
        <v>46204</v>
      </c>
      <c r="I1725" s="17"/>
      <c r="J1725" s="17"/>
      <c r="K1725" s="17"/>
    </row>
    <row r="1726" spans="1:11" x14ac:dyDescent="0.2">
      <c r="A1726" s="115">
        <v>46227</v>
      </c>
      <c r="B1726" s="103" t="s">
        <v>3053</v>
      </c>
      <c r="C1726" s="94" t="s">
        <v>2603</v>
      </c>
      <c r="D1726" s="95">
        <v>200</v>
      </c>
      <c r="E1726" s="95">
        <v>100.74</v>
      </c>
      <c r="F1726" s="96">
        <v>20148</v>
      </c>
      <c r="G1726" s="97" t="s">
        <v>2570</v>
      </c>
      <c r="H1726" s="114">
        <v>46204</v>
      </c>
      <c r="I1726" s="17"/>
      <c r="J1726" s="17"/>
      <c r="K1726" s="17"/>
    </row>
    <row r="1727" spans="1:11" x14ac:dyDescent="0.2">
      <c r="A1727" s="115">
        <v>46227</v>
      </c>
      <c r="B1727" s="103" t="s">
        <v>3054</v>
      </c>
      <c r="C1727" s="94" t="s">
        <v>1781</v>
      </c>
      <c r="D1727" s="95">
        <v>200</v>
      </c>
      <c r="E1727" s="95">
        <v>100.74</v>
      </c>
      <c r="F1727" s="96">
        <v>20148</v>
      </c>
      <c r="G1727" s="97" t="s">
        <v>2570</v>
      </c>
      <c r="H1727" s="114">
        <v>46204</v>
      </c>
      <c r="I1727" s="17"/>
      <c r="J1727" s="17"/>
      <c r="K1727" s="17"/>
    </row>
    <row r="1728" spans="1:11" x14ac:dyDescent="0.2">
      <c r="A1728" s="115">
        <v>46227</v>
      </c>
      <c r="B1728" s="103" t="s">
        <v>3055</v>
      </c>
      <c r="C1728" s="94" t="s">
        <v>2792</v>
      </c>
      <c r="D1728" s="95">
        <v>200</v>
      </c>
      <c r="E1728" s="95">
        <v>100.74</v>
      </c>
      <c r="F1728" s="96">
        <v>20148</v>
      </c>
      <c r="G1728" s="97" t="s">
        <v>2570</v>
      </c>
      <c r="H1728" s="114">
        <v>46204</v>
      </c>
      <c r="I1728" s="17"/>
      <c r="J1728" s="17"/>
      <c r="K1728" s="17"/>
    </row>
    <row r="1729" spans="1:11" x14ac:dyDescent="0.2">
      <c r="A1729" s="115">
        <v>46227</v>
      </c>
      <c r="B1729" s="103" t="s">
        <v>3056</v>
      </c>
      <c r="C1729" s="94" t="s">
        <v>742</v>
      </c>
      <c r="D1729" s="95">
        <v>103.8</v>
      </c>
      <c r="E1729" s="95">
        <v>100.74</v>
      </c>
      <c r="F1729" s="96">
        <v>10456.81</v>
      </c>
      <c r="G1729" s="97" t="s">
        <v>714</v>
      </c>
      <c r="H1729" s="114">
        <v>46204</v>
      </c>
      <c r="I1729" s="17"/>
      <c r="J1729" s="17"/>
      <c r="K1729" s="17"/>
    </row>
    <row r="1730" spans="1:11" x14ac:dyDescent="0.2">
      <c r="A1730" s="115">
        <v>46227</v>
      </c>
      <c r="B1730" s="103" t="s">
        <v>3057</v>
      </c>
      <c r="C1730" s="94" t="s">
        <v>2860</v>
      </c>
      <c r="D1730" s="95">
        <v>60</v>
      </c>
      <c r="E1730" s="95">
        <v>100.74</v>
      </c>
      <c r="F1730" s="96">
        <v>6044.4</v>
      </c>
      <c r="G1730" s="97" t="s">
        <v>714</v>
      </c>
      <c r="H1730" s="114">
        <v>46204</v>
      </c>
      <c r="I1730" s="17"/>
      <c r="J1730" s="17"/>
      <c r="K1730" s="17"/>
    </row>
    <row r="1731" spans="1:11" x14ac:dyDescent="0.2">
      <c r="A1731" s="115">
        <v>46227</v>
      </c>
      <c r="B1731" s="103" t="s">
        <v>3058</v>
      </c>
      <c r="C1731" s="94" t="s">
        <v>2819</v>
      </c>
      <c r="D1731" s="95">
        <v>100</v>
      </c>
      <c r="E1731" s="95">
        <v>100.74</v>
      </c>
      <c r="F1731" s="96">
        <v>10074</v>
      </c>
      <c r="G1731" s="97" t="s">
        <v>552</v>
      </c>
      <c r="H1731" s="114">
        <v>46204</v>
      </c>
      <c r="I1731" s="17"/>
      <c r="J1731" s="17"/>
      <c r="K1731" s="17"/>
    </row>
    <row r="1732" spans="1:11" x14ac:dyDescent="0.2">
      <c r="A1732" s="115">
        <v>46227</v>
      </c>
      <c r="B1732" s="103" t="s">
        <v>3059</v>
      </c>
      <c r="C1732" s="94" t="s">
        <v>2817</v>
      </c>
      <c r="D1732" s="95">
        <v>100</v>
      </c>
      <c r="E1732" s="95">
        <v>100.74</v>
      </c>
      <c r="F1732" s="96">
        <v>10074</v>
      </c>
      <c r="G1732" s="97" t="s">
        <v>552</v>
      </c>
      <c r="H1732" s="114">
        <v>46204</v>
      </c>
      <c r="I1732" s="17"/>
      <c r="J1732" s="17"/>
      <c r="K1732" s="17"/>
    </row>
    <row r="1733" spans="1:11" x14ac:dyDescent="0.2">
      <c r="A1733" s="115">
        <v>46227</v>
      </c>
      <c r="B1733" s="103" t="s">
        <v>3060</v>
      </c>
      <c r="C1733" s="94" t="s">
        <v>3061</v>
      </c>
      <c r="D1733" s="95">
        <v>400</v>
      </c>
      <c r="E1733" s="95">
        <v>100.74</v>
      </c>
      <c r="F1733" s="96">
        <v>40296</v>
      </c>
      <c r="G1733" s="97" t="s">
        <v>59</v>
      </c>
      <c r="H1733" s="114">
        <v>46204</v>
      </c>
      <c r="I1733" s="17"/>
      <c r="J1733" s="17"/>
      <c r="K1733" s="17"/>
    </row>
    <row r="1734" spans="1:11" x14ac:dyDescent="0.2">
      <c r="A1734" s="115">
        <v>46227</v>
      </c>
      <c r="B1734" s="103" t="s">
        <v>3062</v>
      </c>
      <c r="C1734" s="94"/>
      <c r="D1734" s="95">
        <v>432.6</v>
      </c>
      <c r="E1734" s="95">
        <v>100.74</v>
      </c>
      <c r="F1734" s="96">
        <v>43580</v>
      </c>
      <c r="G1734" s="97" t="s">
        <v>2450</v>
      </c>
      <c r="H1734" s="114">
        <v>46204</v>
      </c>
      <c r="I1734" s="17"/>
      <c r="J1734" s="17"/>
      <c r="K1734" s="17"/>
    </row>
    <row r="1735" spans="1:11" x14ac:dyDescent="0.2">
      <c r="A1735" s="115">
        <v>46227</v>
      </c>
      <c r="B1735" s="103" t="s">
        <v>3063</v>
      </c>
      <c r="C1735" s="94"/>
      <c r="D1735" s="95">
        <v>37.72</v>
      </c>
      <c r="E1735" s="95">
        <v>100.74</v>
      </c>
      <c r="F1735" s="96">
        <v>3800</v>
      </c>
      <c r="G1735" s="97" t="s">
        <v>2364</v>
      </c>
      <c r="H1735" s="114">
        <v>46204</v>
      </c>
      <c r="I1735" s="17"/>
      <c r="J1735" s="17"/>
      <c r="K1735" s="17"/>
    </row>
    <row r="1736" spans="1:11" x14ac:dyDescent="0.2">
      <c r="A1736" s="115">
        <v>46227</v>
      </c>
      <c r="B1736" s="103" t="s">
        <v>3064</v>
      </c>
      <c r="C1736" s="94" t="s">
        <v>50</v>
      </c>
      <c r="D1736" s="95">
        <v>2000</v>
      </c>
      <c r="E1736" s="95">
        <v>100.74</v>
      </c>
      <c r="F1736" s="96">
        <v>201480</v>
      </c>
      <c r="G1736" s="97" t="s">
        <v>901</v>
      </c>
      <c r="H1736" s="114">
        <v>46204</v>
      </c>
      <c r="I1736" s="17"/>
      <c r="J1736" s="17"/>
      <c r="K1736" s="17"/>
    </row>
    <row r="1737" spans="1:11" x14ac:dyDescent="0.2">
      <c r="A1737" s="115">
        <v>46227</v>
      </c>
      <c r="B1737" s="103" t="s">
        <v>3065</v>
      </c>
      <c r="C1737" s="94" t="s">
        <v>50</v>
      </c>
      <c r="D1737" s="95">
        <v>2000</v>
      </c>
      <c r="E1737" s="95">
        <v>100.74</v>
      </c>
      <c r="F1737" s="96">
        <v>201480</v>
      </c>
      <c r="G1737" s="97" t="s">
        <v>96</v>
      </c>
      <c r="H1737" s="114">
        <v>46204</v>
      </c>
      <c r="I1737" s="17"/>
      <c r="J1737" s="17"/>
      <c r="K1737" s="17"/>
    </row>
    <row r="1738" spans="1:11" x14ac:dyDescent="0.2">
      <c r="A1738" s="115">
        <v>46227</v>
      </c>
      <c r="B1738" s="103" t="s">
        <v>3066</v>
      </c>
      <c r="C1738" s="94" t="s">
        <v>50</v>
      </c>
      <c r="D1738" s="95">
        <v>1002.15</v>
      </c>
      <c r="E1738" s="95">
        <v>100.74</v>
      </c>
      <c r="F1738" s="96">
        <v>100956.59</v>
      </c>
      <c r="G1738" s="97" t="s">
        <v>95</v>
      </c>
      <c r="H1738" s="114">
        <v>46204</v>
      </c>
      <c r="I1738" s="17"/>
      <c r="J1738" s="17"/>
      <c r="K1738" s="17"/>
    </row>
    <row r="1739" spans="1:11" x14ac:dyDescent="0.2">
      <c r="A1739" s="115">
        <v>46227</v>
      </c>
      <c r="B1739" s="103" t="s">
        <v>3067</v>
      </c>
      <c r="C1739" s="94" t="s">
        <v>50</v>
      </c>
      <c r="D1739" s="95">
        <v>154.28</v>
      </c>
      <c r="E1739" s="95">
        <v>100.74</v>
      </c>
      <c r="F1739" s="96">
        <v>15542.17</v>
      </c>
      <c r="G1739" s="97" t="s">
        <v>2611</v>
      </c>
      <c r="H1739" s="114">
        <v>46204</v>
      </c>
      <c r="I1739" s="17"/>
      <c r="J1739" s="17"/>
      <c r="K1739" s="17"/>
    </row>
    <row r="1740" spans="1:11" x14ac:dyDescent="0.2">
      <c r="A1740" s="115">
        <v>46227</v>
      </c>
      <c r="B1740" s="103" t="s">
        <v>3068</v>
      </c>
      <c r="C1740" s="94"/>
      <c r="D1740" s="95">
        <v>1933.37</v>
      </c>
      <c r="E1740" s="95">
        <v>100.74</v>
      </c>
      <c r="F1740" s="96">
        <v>194768.08</v>
      </c>
      <c r="G1740" s="97" t="s">
        <v>152</v>
      </c>
      <c r="H1740" s="114">
        <v>46204</v>
      </c>
      <c r="I1740" s="17"/>
      <c r="J1740" s="17"/>
      <c r="K1740" s="17"/>
    </row>
    <row r="1741" spans="1:11" x14ac:dyDescent="0.2">
      <c r="A1741" s="115">
        <v>46227</v>
      </c>
      <c r="B1741" s="103" t="s">
        <v>3069</v>
      </c>
      <c r="C1741" s="94" t="s">
        <v>525</v>
      </c>
      <c r="D1741" s="95">
        <v>14.89</v>
      </c>
      <c r="E1741" s="95">
        <v>100.74</v>
      </c>
      <c r="F1741" s="96">
        <v>1500</v>
      </c>
      <c r="G1741" s="97" t="s">
        <v>58</v>
      </c>
      <c r="H1741" s="114">
        <v>46204</v>
      </c>
      <c r="I1741" s="17"/>
      <c r="J1741" s="17"/>
      <c r="K1741" s="17"/>
    </row>
    <row r="1742" spans="1:11" x14ac:dyDescent="0.2">
      <c r="A1742" s="115">
        <v>46228</v>
      </c>
      <c r="B1742" s="103" t="s">
        <v>3076</v>
      </c>
      <c r="C1742" s="94" t="s">
        <v>180</v>
      </c>
      <c r="D1742" s="95">
        <v>12000</v>
      </c>
      <c r="E1742" s="95">
        <v>99.5</v>
      </c>
      <c r="F1742" s="96">
        <v>1194000</v>
      </c>
      <c r="G1742" s="97" t="s">
        <v>143</v>
      </c>
      <c r="H1742" s="114">
        <v>46204</v>
      </c>
      <c r="I1742" s="17"/>
      <c r="J1742" s="17"/>
      <c r="K1742" s="17"/>
    </row>
    <row r="1743" spans="1:11" x14ac:dyDescent="0.2">
      <c r="A1743" s="115">
        <v>46228</v>
      </c>
      <c r="B1743" s="103" t="s">
        <v>3077</v>
      </c>
      <c r="C1743" s="94"/>
      <c r="D1743" s="95">
        <v>761.14</v>
      </c>
      <c r="E1743" s="95">
        <v>100.74</v>
      </c>
      <c r="F1743" s="96">
        <v>76677.399999999994</v>
      </c>
      <c r="G1743" s="97" t="s">
        <v>2450</v>
      </c>
      <c r="H1743" s="114">
        <v>46204</v>
      </c>
      <c r="I1743" s="17"/>
      <c r="J1743" s="17"/>
      <c r="K1743" s="17"/>
    </row>
    <row r="1744" spans="1:11" x14ac:dyDescent="0.2">
      <c r="A1744" s="115">
        <v>46228</v>
      </c>
      <c r="B1744" s="103" t="s">
        <v>3078</v>
      </c>
      <c r="C1744" s="94"/>
      <c r="D1744" s="95">
        <v>9.93</v>
      </c>
      <c r="E1744" s="95">
        <v>100.74</v>
      </c>
      <c r="F1744" s="96">
        <v>1000</v>
      </c>
      <c r="G1744" s="97" t="s">
        <v>2364</v>
      </c>
      <c r="H1744" s="114">
        <v>46204</v>
      </c>
      <c r="I1744" s="17"/>
      <c r="J1744" s="17"/>
      <c r="K1744" s="17"/>
    </row>
    <row r="1745" spans="1:11" x14ac:dyDescent="0.2">
      <c r="A1745" s="115">
        <v>46228</v>
      </c>
      <c r="B1745" s="103" t="s">
        <v>3079</v>
      </c>
      <c r="C1745" s="94"/>
      <c r="D1745" s="95">
        <v>100</v>
      </c>
      <c r="E1745" s="95">
        <v>100.74</v>
      </c>
      <c r="F1745" s="96">
        <v>10074</v>
      </c>
      <c r="G1745" s="97" t="s">
        <v>57</v>
      </c>
      <c r="H1745" s="114">
        <v>46204</v>
      </c>
      <c r="I1745" s="17"/>
      <c r="J1745" s="17"/>
      <c r="K1745" s="17"/>
    </row>
    <row r="1746" spans="1:11" x14ac:dyDescent="0.2">
      <c r="A1746" s="115">
        <v>46228</v>
      </c>
      <c r="B1746" s="103" t="s">
        <v>3080</v>
      </c>
      <c r="C1746" s="94" t="s">
        <v>50</v>
      </c>
      <c r="D1746" s="95">
        <v>143.52000000000001</v>
      </c>
      <c r="E1746" s="95">
        <v>100.74</v>
      </c>
      <c r="F1746" s="96">
        <v>14458</v>
      </c>
      <c r="G1746" s="97" t="s">
        <v>2611</v>
      </c>
      <c r="H1746" s="114">
        <v>46204</v>
      </c>
      <c r="I1746" s="17"/>
      <c r="J1746" s="17"/>
      <c r="K1746" s="17"/>
    </row>
    <row r="1747" spans="1:11" x14ac:dyDescent="0.2">
      <c r="A1747" s="115">
        <v>46228</v>
      </c>
      <c r="B1747" s="103" t="s">
        <v>3081</v>
      </c>
      <c r="C1747" s="94" t="s">
        <v>50</v>
      </c>
      <c r="D1747" s="95">
        <v>734.48</v>
      </c>
      <c r="E1747" s="95">
        <v>100.74</v>
      </c>
      <c r="F1747" s="96">
        <v>73991.520000000004</v>
      </c>
      <c r="G1747" s="97" t="s">
        <v>95</v>
      </c>
      <c r="H1747" s="114">
        <v>46204</v>
      </c>
      <c r="I1747" s="17"/>
      <c r="J1747" s="17"/>
      <c r="K1747" s="17"/>
    </row>
    <row r="1748" spans="1:11" x14ac:dyDescent="0.2">
      <c r="A1748" s="115">
        <v>46228</v>
      </c>
      <c r="B1748" s="103" t="s">
        <v>3082</v>
      </c>
      <c r="C1748" s="94" t="s">
        <v>50</v>
      </c>
      <c r="D1748" s="95">
        <v>198.53</v>
      </c>
      <c r="E1748" s="95">
        <v>100.74</v>
      </c>
      <c r="F1748" s="96">
        <v>20000</v>
      </c>
      <c r="G1748" s="97" t="s">
        <v>3083</v>
      </c>
      <c r="H1748" s="114">
        <v>46204</v>
      </c>
      <c r="I1748" s="17"/>
      <c r="J1748" s="17"/>
      <c r="K1748" s="17"/>
    </row>
    <row r="1749" spans="1:11" x14ac:dyDescent="0.2">
      <c r="A1749" s="115">
        <v>46228</v>
      </c>
      <c r="B1749" s="103" t="s">
        <v>3084</v>
      </c>
      <c r="C1749" s="94" t="s">
        <v>50</v>
      </c>
      <c r="D1749" s="95">
        <v>1500</v>
      </c>
      <c r="E1749" s="95">
        <v>100.74</v>
      </c>
      <c r="F1749" s="96">
        <v>151110</v>
      </c>
      <c r="G1749" s="97" t="s">
        <v>96</v>
      </c>
      <c r="H1749" s="114">
        <v>46204</v>
      </c>
      <c r="I1749" s="17"/>
      <c r="J1749" s="17"/>
      <c r="K1749" s="17"/>
    </row>
    <row r="1750" spans="1:11" x14ac:dyDescent="0.2">
      <c r="A1750" s="115">
        <v>46228</v>
      </c>
      <c r="B1750" s="103" t="s">
        <v>3085</v>
      </c>
      <c r="C1750" s="94"/>
      <c r="D1750" s="95">
        <v>1721.26</v>
      </c>
      <c r="E1750" s="95">
        <v>100.74</v>
      </c>
      <c r="F1750" s="96">
        <v>173400</v>
      </c>
      <c r="G1750" s="97" t="s">
        <v>152</v>
      </c>
      <c r="H1750" s="114">
        <v>46204</v>
      </c>
      <c r="I1750" s="17"/>
      <c r="J1750" s="17"/>
      <c r="K1750" s="17"/>
    </row>
    <row r="1751" spans="1:11" x14ac:dyDescent="0.2">
      <c r="A1751" s="115">
        <v>46228</v>
      </c>
      <c r="B1751" s="103" t="s">
        <v>3086</v>
      </c>
      <c r="C1751" s="94" t="s">
        <v>525</v>
      </c>
      <c r="D1751" s="95">
        <v>29.78</v>
      </c>
      <c r="E1751" s="95">
        <v>100.74</v>
      </c>
      <c r="F1751" s="96">
        <v>3000</v>
      </c>
      <c r="G1751" s="97" t="s">
        <v>58</v>
      </c>
      <c r="H1751" s="114">
        <v>46204</v>
      </c>
      <c r="I1751" s="17"/>
      <c r="J1751" s="17"/>
      <c r="K1751" s="17"/>
    </row>
    <row r="1752" spans="1:11" x14ac:dyDescent="0.2">
      <c r="A1752" s="115">
        <v>46228</v>
      </c>
      <c r="B1752" s="103" t="s">
        <v>3087</v>
      </c>
      <c r="C1752" s="94" t="s">
        <v>44</v>
      </c>
      <c r="D1752" s="95">
        <v>42.49</v>
      </c>
      <c r="E1752" s="95">
        <v>100.74</v>
      </c>
      <c r="F1752" s="96">
        <v>4280.4399999999996</v>
      </c>
      <c r="G1752" s="97" t="s">
        <v>56</v>
      </c>
      <c r="H1752" s="114">
        <v>46204</v>
      </c>
      <c r="I1752" s="17"/>
      <c r="J1752" s="17"/>
      <c r="K1752" s="17"/>
    </row>
    <row r="1753" spans="1:11" x14ac:dyDescent="0.2">
      <c r="A1753" s="115">
        <v>46228</v>
      </c>
      <c r="B1753" s="103" t="s">
        <v>3088</v>
      </c>
      <c r="C1753" s="94" t="s">
        <v>3089</v>
      </c>
      <c r="D1753" s="95">
        <v>30</v>
      </c>
      <c r="E1753" s="95">
        <v>100.74</v>
      </c>
      <c r="F1753" s="96">
        <v>3022.2</v>
      </c>
      <c r="G1753" s="97" t="s">
        <v>56</v>
      </c>
      <c r="H1753" s="114">
        <v>46204</v>
      </c>
      <c r="I1753" s="17"/>
      <c r="J1753" s="17"/>
      <c r="K1753" s="17"/>
    </row>
    <row r="1754" spans="1:11" x14ac:dyDescent="0.2">
      <c r="A1754" s="115">
        <v>46228</v>
      </c>
      <c r="B1754" s="103" t="s">
        <v>3090</v>
      </c>
      <c r="C1754" s="94" t="s">
        <v>1943</v>
      </c>
      <c r="D1754" s="95">
        <v>200</v>
      </c>
      <c r="E1754" s="95">
        <v>100.74</v>
      </c>
      <c r="F1754" s="96">
        <v>20148</v>
      </c>
      <c r="G1754" s="97" t="s">
        <v>54</v>
      </c>
      <c r="H1754" s="114">
        <v>46204</v>
      </c>
      <c r="I1754" s="17"/>
      <c r="J1754" s="17"/>
      <c r="K1754" s="17"/>
    </row>
    <row r="1755" spans="1:11" x14ac:dyDescent="0.2">
      <c r="A1755" s="115">
        <v>46228</v>
      </c>
      <c r="B1755" s="103" t="s">
        <v>3091</v>
      </c>
      <c r="C1755" s="94" t="s">
        <v>1426</v>
      </c>
      <c r="D1755" s="95">
        <v>360</v>
      </c>
      <c r="E1755" s="95">
        <v>100.74</v>
      </c>
      <c r="F1755" s="96">
        <v>36266.400000000001</v>
      </c>
      <c r="G1755" s="97" t="s">
        <v>199</v>
      </c>
      <c r="H1755" s="114">
        <v>46204</v>
      </c>
      <c r="I1755" s="17"/>
      <c r="J1755" s="17"/>
      <c r="K1755" s="17"/>
    </row>
    <row r="1756" spans="1:11" x14ac:dyDescent="0.2">
      <c r="A1756" s="115">
        <v>46228</v>
      </c>
      <c r="B1756" s="103" t="s">
        <v>3092</v>
      </c>
      <c r="C1756" s="94" t="s">
        <v>127</v>
      </c>
      <c r="D1756" s="95">
        <v>400</v>
      </c>
      <c r="E1756" s="95">
        <v>100.74</v>
      </c>
      <c r="F1756" s="96">
        <v>40296</v>
      </c>
      <c r="G1756" s="97" t="s">
        <v>59</v>
      </c>
      <c r="H1756" s="114">
        <v>46204</v>
      </c>
      <c r="I1756" s="17"/>
      <c r="J1756" s="17"/>
      <c r="K1756" s="17"/>
    </row>
    <row r="1757" spans="1:11" x14ac:dyDescent="0.2">
      <c r="A1757" s="115">
        <v>46228</v>
      </c>
      <c r="B1757" s="103" t="s">
        <v>3093</v>
      </c>
      <c r="C1757" s="94">
        <v>8014</v>
      </c>
      <c r="D1757" s="95">
        <v>600</v>
      </c>
      <c r="E1757" s="95">
        <v>100.74</v>
      </c>
      <c r="F1757" s="96">
        <v>60444</v>
      </c>
      <c r="G1757" s="97" t="s">
        <v>1483</v>
      </c>
      <c r="H1757" s="114">
        <v>46204</v>
      </c>
      <c r="I1757" s="17"/>
      <c r="J1757" s="17"/>
      <c r="K1757" s="17"/>
    </row>
    <row r="1758" spans="1:11" x14ac:dyDescent="0.2">
      <c r="A1758" s="115">
        <v>46228</v>
      </c>
      <c r="B1758" s="103" t="s">
        <v>3094</v>
      </c>
      <c r="C1758" s="94" t="s">
        <v>2835</v>
      </c>
      <c r="D1758" s="95">
        <v>200</v>
      </c>
      <c r="E1758" s="95">
        <v>100.74</v>
      </c>
      <c r="F1758" s="96">
        <v>20148</v>
      </c>
      <c r="G1758" s="97" t="s">
        <v>2570</v>
      </c>
      <c r="H1758" s="114">
        <v>46204</v>
      </c>
      <c r="I1758" s="17"/>
      <c r="J1758" s="17"/>
      <c r="K1758" s="17"/>
    </row>
    <row r="1759" spans="1:11" x14ac:dyDescent="0.2">
      <c r="A1759" s="115">
        <v>46228</v>
      </c>
      <c r="B1759" s="103" t="s">
        <v>3095</v>
      </c>
      <c r="C1759" s="94" t="s">
        <v>2825</v>
      </c>
      <c r="D1759" s="95">
        <v>200</v>
      </c>
      <c r="E1759" s="95">
        <v>100.74</v>
      </c>
      <c r="F1759" s="96">
        <v>20148</v>
      </c>
      <c r="G1759" s="97" t="s">
        <v>2570</v>
      </c>
      <c r="H1759" s="114">
        <v>46204</v>
      </c>
      <c r="I1759" s="17"/>
      <c r="J1759" s="17"/>
      <c r="K1759" s="17"/>
    </row>
    <row r="1760" spans="1:11" x14ac:dyDescent="0.2">
      <c r="A1760" s="115">
        <v>46228</v>
      </c>
      <c r="B1760" s="103" t="s">
        <v>3096</v>
      </c>
      <c r="C1760" s="94" t="s">
        <v>2948</v>
      </c>
      <c r="D1760" s="95">
        <v>200</v>
      </c>
      <c r="E1760" s="95">
        <v>100.74</v>
      </c>
      <c r="F1760" s="96">
        <v>20148</v>
      </c>
      <c r="G1760" s="97" t="s">
        <v>2570</v>
      </c>
      <c r="H1760" s="114">
        <v>46204</v>
      </c>
      <c r="I1760" s="17"/>
      <c r="J1760" s="17"/>
      <c r="K1760" s="17"/>
    </row>
    <row r="1761" spans="1:11" x14ac:dyDescent="0.2">
      <c r="A1761" s="115">
        <v>46228</v>
      </c>
      <c r="B1761" s="103" t="s">
        <v>3097</v>
      </c>
      <c r="C1761" s="94" t="s">
        <v>2838</v>
      </c>
      <c r="D1761" s="95">
        <v>200</v>
      </c>
      <c r="E1761" s="95">
        <v>100.74</v>
      </c>
      <c r="F1761" s="96">
        <v>20148</v>
      </c>
      <c r="G1761" s="97" t="s">
        <v>2570</v>
      </c>
      <c r="H1761" s="114">
        <v>46204</v>
      </c>
      <c r="I1761" s="17"/>
      <c r="J1761" s="17"/>
      <c r="K1761" s="17"/>
    </row>
    <row r="1762" spans="1:11" x14ac:dyDescent="0.2">
      <c r="A1762" s="115">
        <v>46228</v>
      </c>
      <c r="B1762" s="103" t="s">
        <v>3098</v>
      </c>
      <c r="C1762" s="94" t="s">
        <v>3007</v>
      </c>
      <c r="D1762" s="95">
        <v>200</v>
      </c>
      <c r="E1762" s="95">
        <v>100.74</v>
      </c>
      <c r="F1762" s="96">
        <v>20148</v>
      </c>
      <c r="G1762" s="97" t="s">
        <v>2570</v>
      </c>
      <c r="H1762" s="114">
        <v>46204</v>
      </c>
      <c r="I1762" s="17"/>
      <c r="J1762" s="17"/>
      <c r="K1762" s="17"/>
    </row>
    <row r="1763" spans="1:11" x14ac:dyDescent="0.2">
      <c r="A1763" s="115">
        <v>46228</v>
      </c>
      <c r="B1763" s="103" t="s">
        <v>3099</v>
      </c>
      <c r="C1763" s="94" t="s">
        <v>3005</v>
      </c>
      <c r="D1763" s="95">
        <v>200</v>
      </c>
      <c r="E1763" s="95">
        <v>100.74</v>
      </c>
      <c r="F1763" s="96">
        <v>20148</v>
      </c>
      <c r="G1763" s="97" t="s">
        <v>2570</v>
      </c>
      <c r="H1763" s="114">
        <v>46204</v>
      </c>
      <c r="I1763" s="17"/>
      <c r="J1763" s="17"/>
      <c r="K1763" s="17"/>
    </row>
    <row r="1764" spans="1:11" x14ac:dyDescent="0.2">
      <c r="A1764" s="115">
        <v>46228</v>
      </c>
      <c r="B1764" s="103" t="s">
        <v>3100</v>
      </c>
      <c r="C1764" s="94" t="s">
        <v>3101</v>
      </c>
      <c r="D1764" s="95">
        <v>200</v>
      </c>
      <c r="E1764" s="95">
        <v>100.74</v>
      </c>
      <c r="F1764" s="96">
        <v>20148</v>
      </c>
      <c r="G1764" s="97" t="s">
        <v>2570</v>
      </c>
      <c r="H1764" s="114">
        <v>46204</v>
      </c>
      <c r="I1764" s="17"/>
      <c r="J1764" s="17"/>
      <c r="K1764" s="17"/>
    </row>
    <row r="1765" spans="1:11" x14ac:dyDescent="0.2">
      <c r="A1765" s="115">
        <v>46228</v>
      </c>
      <c r="B1765" s="103" t="s">
        <v>3102</v>
      </c>
      <c r="C1765" s="94" t="s">
        <v>3035</v>
      </c>
      <c r="D1765" s="95">
        <v>200</v>
      </c>
      <c r="E1765" s="95">
        <v>100.74</v>
      </c>
      <c r="F1765" s="96">
        <v>20148</v>
      </c>
      <c r="G1765" s="97" t="s">
        <v>2570</v>
      </c>
      <c r="H1765" s="114">
        <v>46204</v>
      </c>
      <c r="I1765" s="17"/>
      <c r="J1765" s="17"/>
      <c r="K1765" s="17"/>
    </row>
    <row r="1766" spans="1:11" x14ac:dyDescent="0.2">
      <c r="A1766" s="115">
        <v>46228</v>
      </c>
      <c r="B1766" s="103" t="s">
        <v>3103</v>
      </c>
      <c r="C1766" s="94" t="s">
        <v>2686</v>
      </c>
      <c r="D1766" s="95">
        <v>200</v>
      </c>
      <c r="E1766" s="95">
        <v>100.74</v>
      </c>
      <c r="F1766" s="96">
        <v>20148</v>
      </c>
      <c r="G1766" s="97" t="s">
        <v>2570</v>
      </c>
      <c r="H1766" s="114">
        <v>46204</v>
      </c>
      <c r="I1766" s="17"/>
      <c r="J1766" s="17"/>
      <c r="K1766" s="17"/>
    </row>
    <row r="1767" spans="1:11" x14ac:dyDescent="0.2">
      <c r="A1767" s="115">
        <v>46228</v>
      </c>
      <c r="B1767" s="103" t="s">
        <v>3104</v>
      </c>
      <c r="C1767" s="94" t="s">
        <v>1747</v>
      </c>
      <c r="D1767" s="95">
        <v>200</v>
      </c>
      <c r="E1767" s="95">
        <v>100.74</v>
      </c>
      <c r="F1767" s="96">
        <v>20148</v>
      </c>
      <c r="G1767" s="97" t="s">
        <v>2570</v>
      </c>
      <c r="H1767" s="114">
        <v>46204</v>
      </c>
      <c r="I1767" s="17"/>
      <c r="J1767" s="17"/>
      <c r="K1767" s="17"/>
    </row>
    <row r="1768" spans="1:11" x14ac:dyDescent="0.2">
      <c r="A1768" s="115">
        <v>46229</v>
      </c>
      <c r="B1768" s="103" t="s">
        <v>3112</v>
      </c>
      <c r="C1768" s="94" t="s">
        <v>122</v>
      </c>
      <c r="D1768" s="95">
        <v>1200</v>
      </c>
      <c r="E1768" s="95">
        <v>100.74</v>
      </c>
      <c r="F1768" s="96">
        <v>120888</v>
      </c>
      <c r="G1768" s="97" t="s">
        <v>134</v>
      </c>
      <c r="H1768" s="114">
        <v>46204</v>
      </c>
      <c r="I1768" s="17"/>
      <c r="J1768" s="17"/>
      <c r="K1768" s="17"/>
    </row>
    <row r="1769" spans="1:11" x14ac:dyDescent="0.2">
      <c r="A1769" s="115">
        <v>46229</v>
      </c>
      <c r="B1769" s="103" t="s">
        <v>3113</v>
      </c>
      <c r="C1769" s="94" t="s">
        <v>40</v>
      </c>
      <c r="D1769" s="95">
        <v>12000</v>
      </c>
      <c r="E1769" s="95">
        <v>99.5</v>
      </c>
      <c r="F1769" s="96">
        <v>1194000</v>
      </c>
      <c r="G1769" s="97" t="s">
        <v>52</v>
      </c>
      <c r="H1769" s="114">
        <v>46204</v>
      </c>
      <c r="I1769" s="17"/>
      <c r="J1769" s="17"/>
      <c r="K1769" s="17"/>
    </row>
    <row r="1770" spans="1:11" x14ac:dyDescent="0.2">
      <c r="A1770" s="115">
        <v>46229</v>
      </c>
      <c r="B1770" s="103" t="s">
        <v>3114</v>
      </c>
      <c r="C1770" s="94" t="s">
        <v>39</v>
      </c>
      <c r="D1770" s="95">
        <v>18000</v>
      </c>
      <c r="E1770" s="95">
        <v>99.5</v>
      </c>
      <c r="F1770" s="96">
        <v>1791000</v>
      </c>
      <c r="G1770" s="97" t="s">
        <v>51</v>
      </c>
      <c r="H1770" s="114">
        <v>46204</v>
      </c>
      <c r="I1770" s="17"/>
      <c r="J1770" s="17"/>
      <c r="K1770" s="17"/>
    </row>
    <row r="1771" spans="1:11" x14ac:dyDescent="0.2">
      <c r="A1771" s="115">
        <v>46229</v>
      </c>
      <c r="B1771" s="103" t="s">
        <v>3115</v>
      </c>
      <c r="C1771" s="94" t="s">
        <v>3116</v>
      </c>
      <c r="D1771" s="95">
        <v>250</v>
      </c>
      <c r="E1771" s="95">
        <v>100.74</v>
      </c>
      <c r="F1771" s="96">
        <v>25185</v>
      </c>
      <c r="G1771" s="97" t="s">
        <v>3083</v>
      </c>
      <c r="H1771" s="114">
        <v>46204</v>
      </c>
      <c r="I1771" s="17"/>
      <c r="J1771" s="17"/>
      <c r="K1771" s="17"/>
    </row>
    <row r="1772" spans="1:11" x14ac:dyDescent="0.2">
      <c r="A1772" s="115">
        <v>46229</v>
      </c>
      <c r="B1772" s="103" t="s">
        <v>3117</v>
      </c>
      <c r="C1772" s="94" t="s">
        <v>50</v>
      </c>
      <c r="D1772" s="95">
        <v>722.8</v>
      </c>
      <c r="E1772" s="95">
        <v>100.74</v>
      </c>
      <c r="F1772" s="96">
        <v>72814.87</v>
      </c>
      <c r="G1772" s="97" t="s">
        <v>3083</v>
      </c>
      <c r="H1772" s="114">
        <v>46204</v>
      </c>
      <c r="I1772" s="17"/>
      <c r="J1772" s="17"/>
      <c r="K1772" s="17"/>
    </row>
    <row r="1773" spans="1:11" x14ac:dyDescent="0.2">
      <c r="A1773" s="115">
        <v>46229</v>
      </c>
      <c r="B1773" s="103" t="s">
        <v>3118</v>
      </c>
      <c r="C1773" s="94" t="s">
        <v>50</v>
      </c>
      <c r="D1773" s="95">
        <v>198.16</v>
      </c>
      <c r="E1773" s="95">
        <v>100.74</v>
      </c>
      <c r="F1773" s="96">
        <v>19963</v>
      </c>
      <c r="G1773" s="97" t="s">
        <v>2611</v>
      </c>
      <c r="H1773" s="114">
        <v>46204</v>
      </c>
      <c r="I1773" s="17"/>
      <c r="J1773" s="17"/>
      <c r="K1773" s="17"/>
    </row>
    <row r="1774" spans="1:11" x14ac:dyDescent="0.2">
      <c r="A1774" s="115">
        <v>46229</v>
      </c>
      <c r="B1774" s="103" t="s">
        <v>3119</v>
      </c>
      <c r="C1774" s="94" t="s">
        <v>2604</v>
      </c>
      <c r="D1774" s="95">
        <v>50</v>
      </c>
      <c r="E1774" s="95">
        <v>100.74</v>
      </c>
      <c r="F1774" s="96">
        <v>5037</v>
      </c>
      <c r="G1774" s="97" t="s">
        <v>2611</v>
      </c>
      <c r="H1774" s="114">
        <v>46204</v>
      </c>
      <c r="I1774" s="17"/>
      <c r="J1774" s="17"/>
      <c r="K1774" s="17"/>
    </row>
    <row r="1775" spans="1:11" x14ac:dyDescent="0.2">
      <c r="A1775" s="115">
        <v>46229</v>
      </c>
      <c r="B1775" s="103" t="s">
        <v>3120</v>
      </c>
      <c r="C1775" s="94" t="s">
        <v>50</v>
      </c>
      <c r="D1775" s="95">
        <v>1116.03</v>
      </c>
      <c r="E1775" s="95">
        <v>100.74</v>
      </c>
      <c r="F1775" s="96">
        <v>112428.86</v>
      </c>
      <c r="G1775" s="97" t="s">
        <v>95</v>
      </c>
      <c r="H1775" s="114">
        <v>46204</v>
      </c>
      <c r="I1775" s="17"/>
      <c r="J1775" s="17"/>
      <c r="K1775" s="17"/>
    </row>
    <row r="1776" spans="1:11" x14ac:dyDescent="0.2">
      <c r="A1776" s="115">
        <v>46229</v>
      </c>
      <c r="B1776" s="103" t="s">
        <v>3121</v>
      </c>
      <c r="C1776" s="94" t="s">
        <v>50</v>
      </c>
      <c r="D1776" s="95">
        <v>2500</v>
      </c>
      <c r="E1776" s="95">
        <v>100.74</v>
      </c>
      <c r="F1776" s="96">
        <v>251850</v>
      </c>
      <c r="G1776" s="97" t="s">
        <v>901</v>
      </c>
      <c r="H1776" s="114">
        <v>46204</v>
      </c>
      <c r="I1776" s="17"/>
      <c r="J1776" s="17"/>
      <c r="K1776" s="17"/>
    </row>
    <row r="1777" spans="1:11" x14ac:dyDescent="0.2">
      <c r="A1777" s="115">
        <v>46229</v>
      </c>
      <c r="B1777" s="103" t="s">
        <v>3122</v>
      </c>
      <c r="C1777" s="94"/>
      <c r="D1777" s="95">
        <v>1795.38</v>
      </c>
      <c r="E1777" s="95">
        <v>100.74</v>
      </c>
      <c r="F1777" s="96">
        <v>180866.6</v>
      </c>
      <c r="G1777" s="97" t="s">
        <v>152</v>
      </c>
      <c r="H1777" s="114">
        <v>46204</v>
      </c>
      <c r="I1777" s="17"/>
      <c r="J1777" s="17"/>
      <c r="K1777" s="17"/>
    </row>
    <row r="1778" spans="1:11" x14ac:dyDescent="0.2">
      <c r="A1778" s="115">
        <v>46229</v>
      </c>
      <c r="B1778" s="103" t="s">
        <v>3123</v>
      </c>
      <c r="C1778" s="94"/>
      <c r="D1778" s="95">
        <v>100</v>
      </c>
      <c r="E1778" s="95">
        <v>100.74</v>
      </c>
      <c r="F1778" s="96">
        <v>10074</v>
      </c>
      <c r="G1778" s="97" t="s">
        <v>57</v>
      </c>
      <c r="H1778" s="114">
        <v>46204</v>
      </c>
      <c r="I1778" s="17"/>
      <c r="J1778" s="17"/>
      <c r="K1778" s="17"/>
    </row>
    <row r="1779" spans="1:11" x14ac:dyDescent="0.2">
      <c r="A1779" s="115">
        <v>46229</v>
      </c>
      <c r="B1779" s="103" t="s">
        <v>3124</v>
      </c>
      <c r="C1779" s="94"/>
      <c r="D1779" s="95">
        <v>617.41999999999996</v>
      </c>
      <c r="E1779" s="95">
        <v>100.74</v>
      </c>
      <c r="F1779" s="96">
        <v>62198.8</v>
      </c>
      <c r="G1779" s="97" t="s">
        <v>2450</v>
      </c>
      <c r="H1779" s="114">
        <v>46204</v>
      </c>
      <c r="I1779" s="17"/>
      <c r="J1779" s="17"/>
      <c r="K1779" s="17"/>
    </row>
    <row r="1780" spans="1:11" x14ac:dyDescent="0.2">
      <c r="A1780" s="115">
        <v>46229</v>
      </c>
      <c r="B1780" s="103" t="s">
        <v>3125</v>
      </c>
      <c r="C1780" s="94" t="s">
        <v>127</v>
      </c>
      <c r="D1780" s="95">
        <v>400</v>
      </c>
      <c r="E1780" s="95">
        <v>100.74</v>
      </c>
      <c r="F1780" s="96">
        <v>40296</v>
      </c>
      <c r="G1780" s="97" t="s">
        <v>59</v>
      </c>
      <c r="H1780" s="114">
        <v>46204</v>
      </c>
      <c r="I1780" s="17"/>
      <c r="J1780" s="17"/>
      <c r="K1780" s="17"/>
    </row>
    <row r="1781" spans="1:11" x14ac:dyDescent="0.2">
      <c r="A1781" s="115">
        <v>46229</v>
      </c>
      <c r="B1781" s="103" t="s">
        <v>3126</v>
      </c>
      <c r="C1781" s="94" t="s">
        <v>2603</v>
      </c>
      <c r="D1781" s="95">
        <v>200</v>
      </c>
      <c r="E1781" s="95">
        <v>100.74</v>
      </c>
      <c r="F1781" s="96">
        <v>20148</v>
      </c>
      <c r="G1781" s="97" t="s">
        <v>2570</v>
      </c>
      <c r="H1781" s="114">
        <v>46204</v>
      </c>
      <c r="I1781" s="17"/>
      <c r="J1781" s="17"/>
      <c r="K1781" s="17"/>
    </row>
    <row r="1782" spans="1:11" x14ac:dyDescent="0.2">
      <c r="A1782" s="115">
        <v>46229</v>
      </c>
      <c r="B1782" s="103" t="s">
        <v>3127</v>
      </c>
      <c r="C1782" s="94" t="s">
        <v>1781</v>
      </c>
      <c r="D1782" s="95">
        <v>200</v>
      </c>
      <c r="E1782" s="95">
        <v>100.74</v>
      </c>
      <c r="F1782" s="96">
        <v>20148</v>
      </c>
      <c r="G1782" s="97" t="s">
        <v>2570</v>
      </c>
      <c r="H1782" s="114">
        <v>46204</v>
      </c>
      <c r="I1782" s="17"/>
      <c r="J1782" s="17"/>
      <c r="K1782" s="17"/>
    </row>
    <row r="1783" spans="1:11" x14ac:dyDescent="0.2">
      <c r="A1783" s="115">
        <v>46229</v>
      </c>
      <c r="B1783" s="103" t="s">
        <v>3128</v>
      </c>
      <c r="C1783" s="94" t="s">
        <v>1780</v>
      </c>
      <c r="D1783" s="95">
        <v>200</v>
      </c>
      <c r="E1783" s="95">
        <v>100.74</v>
      </c>
      <c r="F1783" s="96">
        <v>20148</v>
      </c>
      <c r="G1783" s="97" t="s">
        <v>2570</v>
      </c>
      <c r="H1783" s="114">
        <v>46204</v>
      </c>
      <c r="I1783" s="17"/>
      <c r="J1783" s="17"/>
      <c r="K1783" s="17"/>
    </row>
    <row r="1784" spans="1:11" x14ac:dyDescent="0.2">
      <c r="A1784" s="115">
        <v>46229</v>
      </c>
      <c r="B1784" s="103" t="s">
        <v>3129</v>
      </c>
      <c r="C1784" s="94" t="s">
        <v>2789</v>
      </c>
      <c r="D1784" s="95">
        <v>200</v>
      </c>
      <c r="E1784" s="95">
        <v>100.74</v>
      </c>
      <c r="F1784" s="96">
        <v>20148</v>
      </c>
      <c r="G1784" s="97" t="s">
        <v>2570</v>
      </c>
      <c r="H1784" s="114">
        <v>46204</v>
      </c>
      <c r="I1784" s="17"/>
      <c r="J1784" s="17"/>
      <c r="K1784" s="17"/>
    </row>
    <row r="1785" spans="1:11" x14ac:dyDescent="0.2">
      <c r="A1785" s="115">
        <v>46229</v>
      </c>
      <c r="B1785" s="103" t="s">
        <v>3130</v>
      </c>
      <c r="C1785" s="94" t="s">
        <v>2792</v>
      </c>
      <c r="D1785" s="95">
        <v>200</v>
      </c>
      <c r="E1785" s="95">
        <v>100.74</v>
      </c>
      <c r="F1785" s="96">
        <v>20148</v>
      </c>
      <c r="G1785" s="97" t="s">
        <v>2570</v>
      </c>
      <c r="H1785" s="114">
        <v>46204</v>
      </c>
      <c r="I1785" s="17"/>
      <c r="J1785" s="17"/>
      <c r="K1785" s="17"/>
    </row>
    <row r="1786" spans="1:11" x14ac:dyDescent="0.2">
      <c r="A1786" s="115">
        <v>46230</v>
      </c>
      <c r="B1786" s="103" t="s">
        <v>3136</v>
      </c>
      <c r="C1786" s="94" t="s">
        <v>42</v>
      </c>
      <c r="D1786" s="95">
        <v>12000</v>
      </c>
      <c r="E1786" s="95">
        <v>99.5</v>
      </c>
      <c r="F1786" s="96">
        <v>1194000</v>
      </c>
      <c r="G1786" s="97" t="s">
        <v>51</v>
      </c>
      <c r="H1786" s="114">
        <v>46204</v>
      </c>
      <c r="I1786" s="17"/>
      <c r="J1786" s="17"/>
      <c r="K1786" s="17"/>
    </row>
    <row r="1787" spans="1:11" x14ac:dyDescent="0.2">
      <c r="A1787" s="115">
        <v>46230</v>
      </c>
      <c r="B1787" s="103" t="s">
        <v>3137</v>
      </c>
      <c r="C1787" s="94"/>
      <c r="D1787" s="95">
        <v>20</v>
      </c>
      <c r="E1787" s="95">
        <v>100.74</v>
      </c>
      <c r="F1787" s="96">
        <v>2014.8</v>
      </c>
      <c r="G1787" s="97" t="s">
        <v>217</v>
      </c>
      <c r="H1787" s="114">
        <v>46204</v>
      </c>
      <c r="I1787" s="17"/>
      <c r="J1787" s="17"/>
      <c r="K1787" s="17"/>
    </row>
    <row r="1788" spans="1:11" x14ac:dyDescent="0.2">
      <c r="A1788" s="115">
        <v>46230</v>
      </c>
      <c r="B1788" s="103" t="s">
        <v>3138</v>
      </c>
      <c r="C1788" s="94" t="s">
        <v>821</v>
      </c>
      <c r="D1788" s="95">
        <v>238</v>
      </c>
      <c r="E1788" s="95">
        <v>100.74</v>
      </c>
      <c r="F1788" s="96">
        <v>23976.12</v>
      </c>
      <c r="G1788" s="97" t="s">
        <v>714</v>
      </c>
      <c r="H1788" s="114">
        <v>46204</v>
      </c>
      <c r="I1788" s="17"/>
      <c r="J1788" s="17"/>
      <c r="K1788" s="17"/>
    </row>
    <row r="1789" spans="1:11" x14ac:dyDescent="0.2">
      <c r="A1789" s="115">
        <v>46230</v>
      </c>
      <c r="B1789" s="103" t="s">
        <v>3139</v>
      </c>
      <c r="C1789" s="94" t="s">
        <v>1266</v>
      </c>
      <c r="D1789" s="95">
        <v>245.02</v>
      </c>
      <c r="E1789" s="95">
        <v>100.74</v>
      </c>
      <c r="F1789" s="96">
        <v>24683.31</v>
      </c>
      <c r="G1789" s="97" t="s">
        <v>714</v>
      </c>
      <c r="H1789" s="114">
        <v>46204</v>
      </c>
      <c r="I1789" s="17"/>
      <c r="J1789" s="17"/>
      <c r="K1789" s="17"/>
    </row>
    <row r="1790" spans="1:11" x14ac:dyDescent="0.2">
      <c r="A1790" s="115">
        <v>46230</v>
      </c>
      <c r="B1790" s="103" t="s">
        <v>3140</v>
      </c>
      <c r="C1790" s="94" t="s">
        <v>128</v>
      </c>
      <c r="D1790" s="95">
        <v>30</v>
      </c>
      <c r="E1790" s="95">
        <v>100.74</v>
      </c>
      <c r="F1790" s="96">
        <v>3022.2</v>
      </c>
      <c r="G1790" s="97" t="s">
        <v>56</v>
      </c>
      <c r="H1790" s="114">
        <v>46204</v>
      </c>
      <c r="I1790" s="17"/>
      <c r="J1790" s="17"/>
      <c r="K1790" s="17"/>
    </row>
    <row r="1791" spans="1:11" x14ac:dyDescent="0.2">
      <c r="A1791" s="115">
        <v>46230</v>
      </c>
      <c r="B1791" s="103" t="s">
        <v>3141</v>
      </c>
      <c r="C1791" s="94" t="s">
        <v>45</v>
      </c>
      <c r="D1791" s="95">
        <v>43.28</v>
      </c>
      <c r="E1791" s="95">
        <v>100.74</v>
      </c>
      <c r="F1791" s="96">
        <v>4360.0200000000004</v>
      </c>
      <c r="G1791" s="97" t="s">
        <v>56</v>
      </c>
      <c r="H1791" s="114">
        <v>46204</v>
      </c>
      <c r="I1791" s="17"/>
      <c r="J1791" s="17"/>
      <c r="K1791" s="17"/>
    </row>
    <row r="1792" spans="1:11" x14ac:dyDescent="0.2">
      <c r="A1792" s="115">
        <v>46230</v>
      </c>
      <c r="B1792" s="103" t="s">
        <v>3142</v>
      </c>
      <c r="C1792" s="94"/>
      <c r="D1792" s="95">
        <v>340.05</v>
      </c>
      <c r="E1792" s="95">
        <v>100.74</v>
      </c>
      <c r="F1792" s="96">
        <v>34257</v>
      </c>
      <c r="G1792" s="97" t="s">
        <v>2450</v>
      </c>
      <c r="H1792" s="114">
        <v>46204</v>
      </c>
      <c r="I1792" s="17"/>
      <c r="J1792" s="17"/>
      <c r="K1792" s="17"/>
    </row>
    <row r="1793" spans="1:11" x14ac:dyDescent="0.2">
      <c r="A1793" s="115">
        <v>46230</v>
      </c>
      <c r="B1793" s="103" t="s">
        <v>3143</v>
      </c>
      <c r="C1793" s="94" t="s">
        <v>50</v>
      </c>
      <c r="D1793" s="95">
        <v>1500</v>
      </c>
      <c r="E1793" s="95">
        <v>100.74</v>
      </c>
      <c r="F1793" s="96">
        <v>151110</v>
      </c>
      <c r="G1793" s="97" t="s">
        <v>96</v>
      </c>
      <c r="H1793" s="114">
        <v>46204</v>
      </c>
      <c r="I1793" s="17"/>
      <c r="J1793" s="17"/>
      <c r="K1793" s="17"/>
    </row>
    <row r="1794" spans="1:11" x14ac:dyDescent="0.2">
      <c r="A1794" s="115">
        <v>46230</v>
      </c>
      <c r="B1794" s="103" t="s">
        <v>3144</v>
      </c>
      <c r="C1794" s="94" t="s">
        <v>50</v>
      </c>
      <c r="D1794" s="95">
        <v>1211.6099999999999</v>
      </c>
      <c r="E1794" s="95">
        <v>100.74</v>
      </c>
      <c r="F1794" s="96">
        <v>122057.59</v>
      </c>
      <c r="G1794" s="97" t="s">
        <v>95</v>
      </c>
      <c r="H1794" s="114">
        <v>46204</v>
      </c>
      <c r="I1794" s="17"/>
      <c r="J1794" s="17"/>
      <c r="K1794" s="17"/>
    </row>
    <row r="1795" spans="1:11" x14ac:dyDescent="0.2">
      <c r="A1795" s="115">
        <v>46230</v>
      </c>
      <c r="B1795" s="103" t="s">
        <v>3145</v>
      </c>
      <c r="C1795" s="94" t="s">
        <v>50</v>
      </c>
      <c r="D1795" s="95">
        <v>248.16</v>
      </c>
      <c r="E1795" s="95">
        <v>100.74</v>
      </c>
      <c r="F1795" s="96">
        <v>25000</v>
      </c>
      <c r="G1795" s="97" t="s">
        <v>2611</v>
      </c>
      <c r="H1795" s="114">
        <v>46204</v>
      </c>
      <c r="I1795" s="17"/>
      <c r="J1795" s="17"/>
      <c r="K1795" s="17"/>
    </row>
    <row r="1796" spans="1:11" x14ac:dyDescent="0.2">
      <c r="A1796" s="115">
        <v>46230</v>
      </c>
      <c r="B1796" s="103" t="s">
        <v>3146</v>
      </c>
      <c r="C1796" s="94"/>
      <c r="D1796" s="95">
        <v>652.89</v>
      </c>
      <c r="E1796" s="95">
        <v>100.74</v>
      </c>
      <c r="F1796" s="96">
        <v>65771.78</v>
      </c>
      <c r="G1796" s="97" t="s">
        <v>152</v>
      </c>
      <c r="H1796" s="114">
        <v>46204</v>
      </c>
      <c r="I1796" s="17"/>
      <c r="J1796" s="17"/>
      <c r="K1796" s="17"/>
    </row>
    <row r="1797" spans="1:11" x14ac:dyDescent="0.2">
      <c r="A1797" s="115">
        <v>46230</v>
      </c>
      <c r="B1797" s="103" t="s">
        <v>3147</v>
      </c>
      <c r="C1797" s="94" t="s">
        <v>525</v>
      </c>
      <c r="D1797" s="95">
        <v>30</v>
      </c>
      <c r="E1797" s="95">
        <v>100.74</v>
      </c>
      <c r="F1797" s="96">
        <v>3022.2</v>
      </c>
      <c r="G1797" s="97" t="s">
        <v>58</v>
      </c>
      <c r="H1797" s="114">
        <v>46204</v>
      </c>
      <c r="I1797" s="17"/>
      <c r="J1797" s="17"/>
      <c r="K1797" s="17"/>
    </row>
    <row r="1798" spans="1:11" x14ac:dyDescent="0.2">
      <c r="A1798" s="115">
        <v>46231</v>
      </c>
      <c r="B1798" s="103" t="s">
        <v>3151</v>
      </c>
      <c r="C1798" s="94" t="s">
        <v>50</v>
      </c>
      <c r="D1798" s="95">
        <v>3000</v>
      </c>
      <c r="E1798" s="95">
        <v>100.74</v>
      </c>
      <c r="F1798" s="96">
        <v>302220</v>
      </c>
      <c r="G1798" s="97" t="s">
        <v>1073</v>
      </c>
      <c r="H1798" s="114">
        <v>46204</v>
      </c>
      <c r="I1798" s="17"/>
      <c r="J1798" s="17"/>
      <c r="K1798" s="17"/>
    </row>
    <row r="1799" spans="1:11" x14ac:dyDescent="0.2">
      <c r="A1799" s="115">
        <v>46231</v>
      </c>
      <c r="B1799" s="103" t="s">
        <v>3152</v>
      </c>
      <c r="C1799" s="94" t="s">
        <v>180</v>
      </c>
      <c r="D1799" s="95">
        <v>12000</v>
      </c>
      <c r="E1799" s="95">
        <v>99.5</v>
      </c>
      <c r="F1799" s="96">
        <v>1194000</v>
      </c>
      <c r="G1799" s="97" t="s">
        <v>143</v>
      </c>
      <c r="H1799" s="114">
        <v>46204</v>
      </c>
      <c r="I1799" s="17"/>
      <c r="J1799" s="17"/>
      <c r="K1799" s="17"/>
    </row>
    <row r="1800" spans="1:11" x14ac:dyDescent="0.2">
      <c r="A1800" s="115">
        <v>46231</v>
      </c>
      <c r="B1800" s="103" t="s">
        <v>3153</v>
      </c>
      <c r="C1800" s="94" t="s">
        <v>50</v>
      </c>
      <c r="D1800" s="95">
        <v>248.16</v>
      </c>
      <c r="E1800" s="95">
        <v>100.74</v>
      </c>
      <c r="F1800" s="96">
        <v>25000</v>
      </c>
      <c r="G1800" s="97" t="s">
        <v>2611</v>
      </c>
      <c r="H1800" s="114">
        <v>46204</v>
      </c>
      <c r="I1800" s="17"/>
      <c r="J1800" s="17"/>
      <c r="K1800" s="17"/>
    </row>
    <row r="1801" spans="1:11" x14ac:dyDescent="0.2">
      <c r="A1801" s="115">
        <v>46231</v>
      </c>
      <c r="B1801" s="103" t="s">
        <v>3154</v>
      </c>
      <c r="C1801" s="94" t="s">
        <v>50</v>
      </c>
      <c r="D1801" s="95">
        <v>1031.94</v>
      </c>
      <c r="E1801" s="95">
        <v>100.74</v>
      </c>
      <c r="F1801" s="96">
        <v>103957.64</v>
      </c>
      <c r="G1801" s="97" t="s">
        <v>95</v>
      </c>
      <c r="H1801" s="114">
        <v>46204</v>
      </c>
      <c r="I1801" s="17"/>
      <c r="J1801" s="17"/>
      <c r="K1801" s="17"/>
    </row>
    <row r="1802" spans="1:11" x14ac:dyDescent="0.2">
      <c r="A1802" s="115">
        <v>46231</v>
      </c>
      <c r="B1802" s="103" t="s">
        <v>3155</v>
      </c>
      <c r="C1802" s="94" t="s">
        <v>525</v>
      </c>
      <c r="D1802" s="95">
        <v>188.6</v>
      </c>
      <c r="E1802" s="95">
        <v>100.74</v>
      </c>
      <c r="F1802" s="96">
        <v>19000</v>
      </c>
      <c r="G1802" s="97" t="s">
        <v>58</v>
      </c>
      <c r="H1802" s="114">
        <v>46204</v>
      </c>
      <c r="I1802" s="17"/>
      <c r="J1802" s="17"/>
      <c r="K1802" s="17"/>
    </row>
    <row r="1803" spans="1:11" x14ac:dyDescent="0.2">
      <c r="A1803" s="115">
        <v>46231</v>
      </c>
      <c r="B1803" s="103" t="s">
        <v>3156</v>
      </c>
      <c r="C1803" s="94"/>
      <c r="D1803" s="95">
        <v>1679.68</v>
      </c>
      <c r="E1803" s="95">
        <v>100.74</v>
      </c>
      <c r="F1803" s="96">
        <v>169210.96</v>
      </c>
      <c r="G1803" s="97" t="s">
        <v>152</v>
      </c>
      <c r="H1803" s="114">
        <v>46204</v>
      </c>
      <c r="I1803" s="17"/>
      <c r="J1803" s="17"/>
      <c r="K1803" s="17"/>
    </row>
    <row r="1804" spans="1:11" x14ac:dyDescent="0.2">
      <c r="A1804" s="115">
        <v>46231</v>
      </c>
      <c r="B1804" s="103" t="s">
        <v>3157</v>
      </c>
      <c r="C1804" s="94"/>
      <c r="D1804" s="95">
        <v>9.93</v>
      </c>
      <c r="E1804" s="95">
        <v>100.74</v>
      </c>
      <c r="F1804" s="96">
        <v>1000</v>
      </c>
      <c r="G1804" s="97" t="s">
        <v>2364</v>
      </c>
      <c r="H1804" s="114">
        <v>46204</v>
      </c>
      <c r="I1804" s="17"/>
      <c r="J1804" s="17"/>
      <c r="K1804" s="17"/>
    </row>
    <row r="1805" spans="1:11" x14ac:dyDescent="0.2">
      <c r="A1805" s="115">
        <v>46231</v>
      </c>
      <c r="B1805" s="103" t="s">
        <v>3158</v>
      </c>
      <c r="C1805" s="94"/>
      <c r="D1805" s="95">
        <v>651.11</v>
      </c>
      <c r="E1805" s="95">
        <v>100.74</v>
      </c>
      <c r="F1805" s="96">
        <v>65592.679999999993</v>
      </c>
      <c r="G1805" s="97" t="s">
        <v>2450</v>
      </c>
      <c r="H1805" s="114">
        <v>46204</v>
      </c>
      <c r="I1805" s="17"/>
      <c r="J1805" s="17"/>
      <c r="K1805" s="17"/>
    </row>
    <row r="1806" spans="1:11" x14ac:dyDescent="0.2">
      <c r="A1806" s="115">
        <v>46231</v>
      </c>
      <c r="B1806" s="103" t="s">
        <v>3159</v>
      </c>
      <c r="C1806" s="94"/>
      <c r="D1806" s="95">
        <v>40</v>
      </c>
      <c r="E1806" s="95">
        <v>100.74</v>
      </c>
      <c r="F1806" s="96">
        <v>4029.6</v>
      </c>
      <c r="G1806" s="97" t="s">
        <v>57</v>
      </c>
      <c r="H1806" s="114">
        <v>46204</v>
      </c>
      <c r="I1806" s="17"/>
      <c r="J1806" s="17"/>
      <c r="K1806" s="17"/>
    </row>
    <row r="1807" spans="1:11" x14ac:dyDescent="0.2">
      <c r="A1807" s="115">
        <v>46231</v>
      </c>
      <c r="B1807" s="103" t="s">
        <v>3160</v>
      </c>
      <c r="C1807" s="94" t="s">
        <v>44</v>
      </c>
      <c r="D1807" s="95">
        <v>42.59</v>
      </c>
      <c r="E1807" s="95">
        <v>100.74</v>
      </c>
      <c r="F1807" s="96">
        <v>4290.51</v>
      </c>
      <c r="G1807" s="97" t="s">
        <v>56</v>
      </c>
      <c r="H1807" s="114">
        <v>46204</v>
      </c>
      <c r="I1807" s="17"/>
      <c r="J1807" s="17"/>
      <c r="K1807" s="17"/>
    </row>
    <row r="1808" spans="1:11" x14ac:dyDescent="0.2">
      <c r="A1808" s="115">
        <v>46231</v>
      </c>
      <c r="B1808" s="103" t="s">
        <v>3161</v>
      </c>
      <c r="C1808" s="94"/>
      <c r="D1808" s="95">
        <v>40</v>
      </c>
      <c r="E1808" s="95">
        <v>100.74</v>
      </c>
      <c r="F1808" s="96">
        <v>4029.6</v>
      </c>
      <c r="G1808" s="97" t="s">
        <v>217</v>
      </c>
      <c r="H1808" s="114">
        <v>46204</v>
      </c>
      <c r="I1808" s="17"/>
      <c r="J1808" s="17"/>
      <c r="K1808" s="17"/>
    </row>
    <row r="1809" spans="1:11" x14ac:dyDescent="0.2">
      <c r="A1809" s="115">
        <v>46232</v>
      </c>
      <c r="B1809" s="103" t="s">
        <v>3167</v>
      </c>
      <c r="C1809" s="94" t="s">
        <v>39</v>
      </c>
      <c r="D1809" s="95">
        <v>18000</v>
      </c>
      <c r="E1809" s="95">
        <v>99.5</v>
      </c>
      <c r="F1809" s="96">
        <v>1791000</v>
      </c>
      <c r="G1809" s="97" t="s">
        <v>51</v>
      </c>
      <c r="H1809" s="114">
        <v>46204</v>
      </c>
      <c r="I1809" s="17"/>
      <c r="J1809" s="17"/>
      <c r="K1809" s="17"/>
    </row>
    <row r="1810" spans="1:11" x14ac:dyDescent="0.2">
      <c r="A1810" s="115">
        <v>46232</v>
      </c>
      <c r="B1810" s="103" t="s">
        <v>3168</v>
      </c>
      <c r="C1810" s="94" t="s">
        <v>426</v>
      </c>
      <c r="D1810" s="95">
        <v>10</v>
      </c>
      <c r="E1810" s="95">
        <v>100.74</v>
      </c>
      <c r="F1810" s="96">
        <v>1007.4</v>
      </c>
      <c r="G1810" s="97" t="s">
        <v>257</v>
      </c>
      <c r="H1810" s="114">
        <v>46204</v>
      </c>
      <c r="I1810" s="17"/>
      <c r="J1810" s="17"/>
      <c r="K1810" s="17"/>
    </row>
    <row r="1811" spans="1:11" x14ac:dyDescent="0.2">
      <c r="A1811" s="115">
        <v>46232</v>
      </c>
      <c r="B1811" s="103" t="s">
        <v>3169</v>
      </c>
      <c r="C1811" s="94" t="s">
        <v>873</v>
      </c>
      <c r="D1811" s="95">
        <v>54.6</v>
      </c>
      <c r="E1811" s="95">
        <v>100.74</v>
      </c>
      <c r="F1811" s="96">
        <v>5500</v>
      </c>
      <c r="G1811" s="97" t="s">
        <v>257</v>
      </c>
      <c r="H1811" s="114">
        <v>46204</v>
      </c>
      <c r="I1811" s="17"/>
      <c r="J1811" s="17"/>
      <c r="K1811" s="17"/>
    </row>
    <row r="1812" spans="1:11" x14ac:dyDescent="0.2">
      <c r="A1812" s="115">
        <v>46232</v>
      </c>
      <c r="B1812" s="103" t="s">
        <v>3170</v>
      </c>
      <c r="C1812" s="94" t="s">
        <v>1065</v>
      </c>
      <c r="D1812" s="95">
        <v>54.6</v>
      </c>
      <c r="E1812" s="95">
        <v>100.74</v>
      </c>
      <c r="F1812" s="96">
        <v>5500</v>
      </c>
      <c r="G1812" s="97" t="s">
        <v>257</v>
      </c>
      <c r="H1812" s="114">
        <v>46204</v>
      </c>
      <c r="I1812" s="17"/>
      <c r="J1812" s="17"/>
      <c r="K1812" s="17"/>
    </row>
    <row r="1813" spans="1:11" x14ac:dyDescent="0.2">
      <c r="A1813" s="115">
        <v>46232</v>
      </c>
      <c r="B1813" s="103" t="s">
        <v>3171</v>
      </c>
      <c r="C1813" s="94" t="s">
        <v>1066</v>
      </c>
      <c r="D1813" s="95">
        <v>54.6</v>
      </c>
      <c r="E1813" s="95">
        <v>100.74</v>
      </c>
      <c r="F1813" s="96">
        <v>5500</v>
      </c>
      <c r="G1813" s="97" t="s">
        <v>257</v>
      </c>
      <c r="H1813" s="114">
        <v>46204</v>
      </c>
      <c r="I1813" s="17"/>
      <c r="J1813" s="17"/>
      <c r="K1813" s="17"/>
    </row>
    <row r="1814" spans="1:11" x14ac:dyDescent="0.2">
      <c r="A1814" s="115">
        <v>46232</v>
      </c>
      <c r="B1814" s="103" t="s">
        <v>3172</v>
      </c>
      <c r="C1814" s="94" t="s">
        <v>1321</v>
      </c>
      <c r="D1814" s="95">
        <v>54.6</v>
      </c>
      <c r="E1814" s="95">
        <v>100.74</v>
      </c>
      <c r="F1814" s="96">
        <v>5500</v>
      </c>
      <c r="G1814" s="97" t="s">
        <v>257</v>
      </c>
      <c r="H1814" s="114">
        <v>46204</v>
      </c>
      <c r="I1814" s="17"/>
      <c r="J1814" s="17"/>
      <c r="K1814" s="17"/>
    </row>
    <row r="1815" spans="1:11" x14ac:dyDescent="0.2">
      <c r="A1815" s="115">
        <v>46232</v>
      </c>
      <c r="B1815" s="103" t="s">
        <v>3173</v>
      </c>
      <c r="C1815" s="94" t="s">
        <v>251</v>
      </c>
      <c r="D1815" s="95">
        <v>54.6</v>
      </c>
      <c r="E1815" s="95">
        <v>100.74</v>
      </c>
      <c r="F1815" s="96">
        <v>5500</v>
      </c>
      <c r="G1815" s="97" t="s">
        <v>257</v>
      </c>
      <c r="H1815" s="114">
        <v>46204</v>
      </c>
      <c r="I1815" s="17"/>
      <c r="J1815" s="17"/>
      <c r="K1815" s="17"/>
    </row>
    <row r="1816" spans="1:11" x14ac:dyDescent="0.2">
      <c r="A1816" s="115">
        <v>46232</v>
      </c>
      <c r="B1816" s="103" t="s">
        <v>3174</v>
      </c>
      <c r="C1816" s="94" t="s">
        <v>254</v>
      </c>
      <c r="D1816" s="95">
        <v>54.6</v>
      </c>
      <c r="E1816" s="95">
        <v>100.74</v>
      </c>
      <c r="F1816" s="96">
        <v>5500</v>
      </c>
      <c r="G1816" s="97" t="s">
        <v>257</v>
      </c>
      <c r="H1816" s="114">
        <v>46204</v>
      </c>
      <c r="I1816" s="17"/>
      <c r="J1816" s="17"/>
      <c r="K1816" s="17"/>
    </row>
    <row r="1817" spans="1:11" x14ac:dyDescent="0.2">
      <c r="A1817" s="115">
        <v>46232</v>
      </c>
      <c r="B1817" s="103" t="s">
        <v>3175</v>
      </c>
      <c r="C1817" s="94" t="s">
        <v>426</v>
      </c>
      <c r="D1817" s="95">
        <v>54.6</v>
      </c>
      <c r="E1817" s="95">
        <v>100.74</v>
      </c>
      <c r="F1817" s="96">
        <v>5500</v>
      </c>
      <c r="G1817" s="97" t="s">
        <v>257</v>
      </c>
      <c r="H1817" s="114">
        <v>46204</v>
      </c>
      <c r="I1817" s="17"/>
      <c r="J1817" s="17"/>
      <c r="K1817" s="17"/>
    </row>
    <row r="1818" spans="1:11" x14ac:dyDescent="0.2">
      <c r="A1818" s="115">
        <v>46232</v>
      </c>
      <c r="B1818" s="103" t="s">
        <v>3176</v>
      </c>
      <c r="C1818" s="94" t="s">
        <v>427</v>
      </c>
      <c r="D1818" s="95">
        <v>54.6</v>
      </c>
      <c r="E1818" s="95">
        <v>100.74</v>
      </c>
      <c r="F1818" s="96">
        <v>5500</v>
      </c>
      <c r="G1818" s="97" t="s">
        <v>257</v>
      </c>
      <c r="H1818" s="114">
        <v>46204</v>
      </c>
      <c r="I1818" s="17"/>
      <c r="J1818" s="17"/>
      <c r="K1818" s="17"/>
    </row>
    <row r="1819" spans="1:11" x14ac:dyDescent="0.2">
      <c r="A1819" s="115">
        <v>46232</v>
      </c>
      <c r="B1819" s="103" t="s">
        <v>3177</v>
      </c>
      <c r="C1819" s="94" t="s">
        <v>1068</v>
      </c>
      <c r="D1819" s="95">
        <v>54.6</v>
      </c>
      <c r="E1819" s="95">
        <v>100.74</v>
      </c>
      <c r="F1819" s="96">
        <v>5500</v>
      </c>
      <c r="G1819" s="97" t="s">
        <v>257</v>
      </c>
      <c r="H1819" s="114">
        <v>46204</v>
      </c>
      <c r="I1819" s="17"/>
      <c r="J1819" s="17"/>
      <c r="K1819" s="17"/>
    </row>
    <row r="1820" spans="1:11" x14ac:dyDescent="0.2">
      <c r="A1820" s="115">
        <v>46232</v>
      </c>
      <c r="B1820" s="103" t="s">
        <v>3178</v>
      </c>
      <c r="C1820" s="94" t="s">
        <v>1781</v>
      </c>
      <c r="D1820" s="95">
        <v>94.3</v>
      </c>
      <c r="E1820" s="95">
        <v>100.74</v>
      </c>
      <c r="F1820" s="96">
        <v>9500</v>
      </c>
      <c r="G1820" s="97" t="s">
        <v>2570</v>
      </c>
      <c r="H1820" s="114">
        <v>46204</v>
      </c>
      <c r="I1820" s="17"/>
      <c r="J1820" s="17"/>
      <c r="K1820" s="17"/>
    </row>
    <row r="1821" spans="1:11" x14ac:dyDescent="0.2">
      <c r="A1821" s="115">
        <v>46232</v>
      </c>
      <c r="B1821" s="103" t="s">
        <v>3179</v>
      </c>
      <c r="C1821" s="94" t="s">
        <v>1780</v>
      </c>
      <c r="D1821" s="95">
        <v>94.3</v>
      </c>
      <c r="E1821" s="95">
        <v>100.74</v>
      </c>
      <c r="F1821" s="96">
        <v>9500</v>
      </c>
      <c r="G1821" s="97" t="s">
        <v>2570</v>
      </c>
      <c r="H1821" s="114">
        <v>46204</v>
      </c>
      <c r="I1821" s="17"/>
      <c r="J1821" s="17"/>
      <c r="K1821" s="17"/>
    </row>
    <row r="1822" spans="1:11" x14ac:dyDescent="0.2">
      <c r="A1822" s="115">
        <v>46232</v>
      </c>
      <c r="B1822" s="103" t="s">
        <v>3180</v>
      </c>
      <c r="C1822" s="94" t="s">
        <v>1744</v>
      </c>
      <c r="D1822" s="95">
        <v>94.3</v>
      </c>
      <c r="E1822" s="95">
        <v>100.74</v>
      </c>
      <c r="F1822" s="96">
        <v>9500</v>
      </c>
      <c r="G1822" s="97" t="s">
        <v>2570</v>
      </c>
      <c r="H1822" s="114">
        <v>46204</v>
      </c>
      <c r="I1822" s="17"/>
      <c r="J1822" s="17"/>
      <c r="K1822" s="17"/>
    </row>
    <row r="1823" spans="1:11" x14ac:dyDescent="0.2">
      <c r="A1823" s="115">
        <v>46232</v>
      </c>
      <c r="B1823" s="103" t="s">
        <v>3181</v>
      </c>
      <c r="C1823" s="94" t="s">
        <v>2603</v>
      </c>
      <c r="D1823" s="95">
        <v>94.3</v>
      </c>
      <c r="E1823" s="95">
        <v>100.74</v>
      </c>
      <c r="F1823" s="96">
        <v>9500</v>
      </c>
      <c r="G1823" s="97" t="s">
        <v>2570</v>
      </c>
      <c r="H1823" s="114">
        <v>46204</v>
      </c>
      <c r="I1823" s="17"/>
      <c r="J1823" s="17"/>
      <c r="K1823" s="17"/>
    </row>
    <row r="1824" spans="1:11" x14ac:dyDescent="0.2">
      <c r="A1824" s="115">
        <v>46232</v>
      </c>
      <c r="B1824" s="103" t="s">
        <v>3182</v>
      </c>
      <c r="C1824" s="94" t="s">
        <v>1747</v>
      </c>
      <c r="D1824" s="95">
        <v>94.3</v>
      </c>
      <c r="E1824" s="95">
        <v>100.74</v>
      </c>
      <c r="F1824" s="96">
        <v>9500</v>
      </c>
      <c r="G1824" s="97" t="s">
        <v>2570</v>
      </c>
      <c r="H1824" s="114">
        <v>46204</v>
      </c>
      <c r="I1824" s="17"/>
      <c r="J1824" s="17"/>
      <c r="K1824" s="17"/>
    </row>
    <row r="1825" spans="1:11" x14ac:dyDescent="0.2">
      <c r="A1825" s="115">
        <v>46232</v>
      </c>
      <c r="B1825" s="103" t="s">
        <v>3183</v>
      </c>
      <c r="C1825" s="94" t="s">
        <v>127</v>
      </c>
      <c r="D1825" s="95">
        <v>400</v>
      </c>
      <c r="E1825" s="95">
        <v>100.74</v>
      </c>
      <c r="F1825" s="96">
        <v>40296</v>
      </c>
      <c r="G1825" s="97" t="s">
        <v>59</v>
      </c>
      <c r="H1825" s="114">
        <v>46204</v>
      </c>
      <c r="I1825" s="17"/>
      <c r="J1825" s="17"/>
      <c r="K1825" s="17"/>
    </row>
    <row r="1826" spans="1:11" x14ac:dyDescent="0.2">
      <c r="A1826" s="115">
        <v>46232</v>
      </c>
      <c r="B1826" s="103" t="s">
        <v>3184</v>
      </c>
      <c r="C1826" s="94" t="s">
        <v>1526</v>
      </c>
      <c r="D1826" s="95">
        <v>45</v>
      </c>
      <c r="E1826" s="95">
        <v>100.74</v>
      </c>
      <c r="F1826" s="96">
        <v>4533.3</v>
      </c>
      <c r="G1826" s="97" t="s">
        <v>901</v>
      </c>
      <c r="H1826" s="114">
        <v>46204</v>
      </c>
      <c r="I1826" s="17"/>
      <c r="J1826" s="17"/>
      <c r="K1826" s="17"/>
    </row>
    <row r="1827" spans="1:11" x14ac:dyDescent="0.2">
      <c r="A1827" s="115">
        <v>46232</v>
      </c>
      <c r="B1827" s="103" t="s">
        <v>3185</v>
      </c>
      <c r="C1827" s="94" t="s">
        <v>50</v>
      </c>
      <c r="D1827" s="95">
        <v>46.47</v>
      </c>
      <c r="E1827" s="95">
        <v>100.74</v>
      </c>
      <c r="F1827" s="96">
        <v>4681.38</v>
      </c>
      <c r="G1827" s="97" t="s">
        <v>54</v>
      </c>
      <c r="H1827" s="114">
        <v>46204</v>
      </c>
      <c r="I1827" s="17"/>
      <c r="J1827" s="17"/>
      <c r="K1827" s="17"/>
    </row>
    <row r="1828" spans="1:11" x14ac:dyDescent="0.2">
      <c r="A1828" s="115">
        <v>46232</v>
      </c>
      <c r="B1828" s="103" t="s">
        <v>3186</v>
      </c>
      <c r="C1828" s="94" t="s">
        <v>45</v>
      </c>
      <c r="D1828" s="95">
        <v>30</v>
      </c>
      <c r="E1828" s="95">
        <v>100.74</v>
      </c>
      <c r="F1828" s="96">
        <v>3022.2</v>
      </c>
      <c r="G1828" s="97" t="s">
        <v>56</v>
      </c>
      <c r="H1828" s="114">
        <v>46204</v>
      </c>
      <c r="I1828" s="17"/>
      <c r="J1828" s="17"/>
      <c r="K1828" s="17"/>
    </row>
    <row r="1829" spans="1:11" x14ac:dyDescent="0.2">
      <c r="A1829" s="115">
        <v>46232</v>
      </c>
      <c r="B1829" s="103" t="s">
        <v>3187</v>
      </c>
      <c r="C1829" s="94" t="s">
        <v>45</v>
      </c>
      <c r="D1829" s="95">
        <v>20</v>
      </c>
      <c r="E1829" s="95">
        <v>100.74</v>
      </c>
      <c r="F1829" s="96">
        <v>2014.8</v>
      </c>
      <c r="G1829" s="97" t="s">
        <v>56</v>
      </c>
      <c r="H1829" s="114">
        <v>46204</v>
      </c>
      <c r="I1829" s="17"/>
      <c r="J1829" s="17"/>
      <c r="K1829" s="17"/>
    </row>
    <row r="1830" spans="1:11" x14ac:dyDescent="0.2">
      <c r="A1830" s="115">
        <v>46232</v>
      </c>
      <c r="B1830" s="103" t="s">
        <v>3188</v>
      </c>
      <c r="C1830" s="94"/>
      <c r="D1830" s="95">
        <v>251.61</v>
      </c>
      <c r="E1830" s="95">
        <v>100.74</v>
      </c>
      <c r="F1830" s="96">
        <v>25347</v>
      </c>
      <c r="G1830" s="97" t="s">
        <v>2450</v>
      </c>
      <c r="H1830" s="114">
        <v>46204</v>
      </c>
      <c r="I1830" s="17"/>
      <c r="J1830" s="17"/>
      <c r="K1830" s="17"/>
    </row>
    <row r="1831" spans="1:11" x14ac:dyDescent="0.2">
      <c r="A1831" s="115">
        <v>46232</v>
      </c>
      <c r="B1831" s="103" t="s">
        <v>3189</v>
      </c>
      <c r="C1831" s="94"/>
      <c r="D1831" s="95">
        <v>1527.7</v>
      </c>
      <c r="E1831" s="95">
        <v>100.74</v>
      </c>
      <c r="F1831" s="96">
        <v>153900</v>
      </c>
      <c r="G1831" s="97" t="s">
        <v>152</v>
      </c>
      <c r="H1831" s="114">
        <v>46204</v>
      </c>
      <c r="I1831" s="17"/>
      <c r="J1831" s="17"/>
      <c r="K1831" s="17"/>
    </row>
    <row r="1832" spans="1:11" x14ac:dyDescent="0.2">
      <c r="A1832" s="115">
        <v>46232</v>
      </c>
      <c r="B1832" s="103" t="s">
        <v>3190</v>
      </c>
      <c r="C1832" s="94" t="s">
        <v>526</v>
      </c>
      <c r="D1832" s="95">
        <v>1474.09</v>
      </c>
      <c r="E1832" s="95">
        <v>100.74</v>
      </c>
      <c r="F1832" s="96">
        <v>148500</v>
      </c>
      <c r="G1832" s="97" t="s">
        <v>58</v>
      </c>
      <c r="H1832" s="114">
        <v>46204</v>
      </c>
      <c r="I1832" s="17"/>
      <c r="J1832" s="17"/>
      <c r="K1832" s="17"/>
    </row>
    <row r="1833" spans="1:11" x14ac:dyDescent="0.2">
      <c r="A1833" s="115">
        <v>46232</v>
      </c>
      <c r="B1833" s="103" t="s">
        <v>3191</v>
      </c>
      <c r="C1833" s="94" t="s">
        <v>525</v>
      </c>
      <c r="D1833" s="95">
        <v>89.34</v>
      </c>
      <c r="E1833" s="95">
        <v>100.74</v>
      </c>
      <c r="F1833" s="96">
        <v>9000</v>
      </c>
      <c r="G1833" s="97" t="s">
        <v>58</v>
      </c>
      <c r="H1833" s="114">
        <v>46204</v>
      </c>
      <c r="I1833" s="17"/>
      <c r="J1833" s="17"/>
      <c r="K1833" s="17"/>
    </row>
    <row r="1834" spans="1:11" x14ac:dyDescent="0.2">
      <c r="A1834" s="115">
        <v>46232</v>
      </c>
      <c r="B1834" s="103" t="s">
        <v>3192</v>
      </c>
      <c r="C1834" s="94" t="s">
        <v>50</v>
      </c>
      <c r="D1834" s="95">
        <v>297.8</v>
      </c>
      <c r="E1834" s="95">
        <v>100.74</v>
      </c>
      <c r="F1834" s="96">
        <v>30000</v>
      </c>
      <c r="G1834" s="97" t="s">
        <v>3083</v>
      </c>
      <c r="H1834" s="114">
        <v>46204</v>
      </c>
      <c r="I1834" s="17"/>
      <c r="J1834" s="17"/>
      <c r="K1834" s="17"/>
    </row>
    <row r="1835" spans="1:11" x14ac:dyDescent="0.2">
      <c r="A1835" s="115">
        <v>46232</v>
      </c>
      <c r="B1835" s="103" t="s">
        <v>3193</v>
      </c>
      <c r="C1835" s="94" t="s">
        <v>50</v>
      </c>
      <c r="D1835" s="95">
        <v>1500</v>
      </c>
      <c r="E1835" s="95">
        <v>100.74</v>
      </c>
      <c r="F1835" s="96">
        <v>151110</v>
      </c>
      <c r="G1835" s="97" t="s">
        <v>96</v>
      </c>
      <c r="H1835" s="114">
        <v>46204</v>
      </c>
      <c r="I1835" s="17"/>
      <c r="J1835" s="17"/>
      <c r="K1835" s="17"/>
    </row>
    <row r="1836" spans="1:11" x14ac:dyDescent="0.2">
      <c r="A1836" s="115">
        <v>46232</v>
      </c>
      <c r="B1836" s="103" t="s">
        <v>3194</v>
      </c>
      <c r="C1836" s="94" t="s">
        <v>50</v>
      </c>
      <c r="D1836" s="95">
        <v>811.63</v>
      </c>
      <c r="E1836" s="95">
        <v>100.74</v>
      </c>
      <c r="F1836" s="96">
        <v>81763.61</v>
      </c>
      <c r="G1836" s="97" t="s">
        <v>95</v>
      </c>
      <c r="H1836" s="114">
        <v>46204</v>
      </c>
      <c r="I1836" s="17"/>
      <c r="J1836" s="17"/>
      <c r="K1836" s="17"/>
    </row>
    <row r="1837" spans="1:11" x14ac:dyDescent="0.2">
      <c r="A1837" s="115">
        <v>46232</v>
      </c>
      <c r="B1837" s="103" t="s">
        <v>3195</v>
      </c>
      <c r="C1837" s="94" t="s">
        <v>50</v>
      </c>
      <c r="D1837" s="95">
        <v>248.16</v>
      </c>
      <c r="E1837" s="95">
        <v>100.74</v>
      </c>
      <c r="F1837" s="96">
        <v>25000</v>
      </c>
      <c r="G1837" s="97" t="s">
        <v>2611</v>
      </c>
      <c r="H1837" s="114">
        <v>46204</v>
      </c>
      <c r="I1837" s="17"/>
      <c r="J1837" s="17"/>
      <c r="K1837" s="17"/>
    </row>
    <row r="1838" spans="1:11" x14ac:dyDescent="0.2">
      <c r="A1838" s="115">
        <v>46233</v>
      </c>
      <c r="B1838" s="103" t="s">
        <v>3200</v>
      </c>
      <c r="C1838" s="94" t="s">
        <v>1322</v>
      </c>
      <c r="D1838" s="95">
        <v>54.6</v>
      </c>
      <c r="E1838" s="95">
        <v>100.74</v>
      </c>
      <c r="F1838" s="96">
        <v>5500</v>
      </c>
      <c r="G1838" s="97" t="s">
        <v>257</v>
      </c>
      <c r="H1838" s="114">
        <v>46204</v>
      </c>
      <c r="I1838" s="17"/>
      <c r="J1838" s="17"/>
      <c r="K1838" s="17"/>
    </row>
    <row r="1839" spans="1:11" x14ac:dyDescent="0.2">
      <c r="A1839" s="115">
        <v>46233</v>
      </c>
      <c r="B1839" s="103" t="s">
        <v>3201</v>
      </c>
      <c r="C1839" s="94" t="s">
        <v>1067</v>
      </c>
      <c r="D1839" s="95">
        <v>54.6</v>
      </c>
      <c r="E1839" s="95">
        <v>100.74</v>
      </c>
      <c r="F1839" s="96">
        <v>5500</v>
      </c>
      <c r="G1839" s="97" t="s">
        <v>257</v>
      </c>
      <c r="H1839" s="114">
        <v>46204</v>
      </c>
      <c r="I1839" s="17"/>
      <c r="J1839" s="17"/>
      <c r="K1839" s="17"/>
    </row>
    <row r="1840" spans="1:11" x14ac:dyDescent="0.2">
      <c r="A1840" s="115">
        <v>46233</v>
      </c>
      <c r="B1840" s="103" t="s">
        <v>3202</v>
      </c>
      <c r="C1840" s="94" t="s">
        <v>429</v>
      </c>
      <c r="D1840" s="95">
        <v>54.6</v>
      </c>
      <c r="E1840" s="95">
        <v>100.74</v>
      </c>
      <c r="F1840" s="96">
        <v>5500</v>
      </c>
      <c r="G1840" s="97" t="s">
        <v>257</v>
      </c>
      <c r="H1840" s="114">
        <v>46204</v>
      </c>
      <c r="I1840" s="17"/>
      <c r="J1840" s="17"/>
      <c r="K1840" s="17"/>
    </row>
    <row r="1841" spans="1:11" x14ac:dyDescent="0.2">
      <c r="A1841" s="115">
        <v>46233</v>
      </c>
      <c r="B1841" s="103" t="s">
        <v>3203</v>
      </c>
      <c r="C1841" s="94" t="s">
        <v>693</v>
      </c>
      <c r="D1841" s="95">
        <v>54.6</v>
      </c>
      <c r="E1841" s="95">
        <v>100.74</v>
      </c>
      <c r="F1841" s="96">
        <v>5500</v>
      </c>
      <c r="G1841" s="97" t="s">
        <v>257</v>
      </c>
      <c r="H1841" s="114">
        <v>46204</v>
      </c>
      <c r="I1841" s="17"/>
      <c r="J1841" s="17"/>
      <c r="K1841" s="17"/>
    </row>
    <row r="1842" spans="1:11" x14ac:dyDescent="0.2">
      <c r="A1842" s="115">
        <v>46233</v>
      </c>
      <c r="B1842" s="103" t="s">
        <v>3204</v>
      </c>
      <c r="C1842" s="94" t="s">
        <v>1065</v>
      </c>
      <c r="D1842" s="95">
        <v>54.6</v>
      </c>
      <c r="E1842" s="95">
        <v>100.74</v>
      </c>
      <c r="F1842" s="96">
        <v>5500</v>
      </c>
      <c r="G1842" s="97" t="s">
        <v>257</v>
      </c>
      <c r="H1842" s="114">
        <v>46204</v>
      </c>
      <c r="I1842" s="17"/>
      <c r="J1842" s="17"/>
      <c r="K1842" s="17"/>
    </row>
    <row r="1843" spans="1:11" x14ac:dyDescent="0.2">
      <c r="A1843" s="115">
        <v>46233</v>
      </c>
      <c r="B1843" s="103" t="s">
        <v>3205</v>
      </c>
      <c r="C1843" s="94" t="s">
        <v>873</v>
      </c>
      <c r="D1843" s="95">
        <v>54.6</v>
      </c>
      <c r="E1843" s="95">
        <v>100.74</v>
      </c>
      <c r="F1843" s="96">
        <v>5500</v>
      </c>
      <c r="G1843" s="97" t="s">
        <v>257</v>
      </c>
      <c r="H1843" s="114">
        <v>46204</v>
      </c>
      <c r="I1843" s="17"/>
      <c r="J1843" s="17"/>
      <c r="K1843" s="17"/>
    </row>
    <row r="1844" spans="1:11" x14ac:dyDescent="0.2">
      <c r="A1844" s="115">
        <v>46233</v>
      </c>
      <c r="B1844" s="103" t="s">
        <v>3206</v>
      </c>
      <c r="C1844" s="94" t="s">
        <v>427</v>
      </c>
      <c r="D1844" s="95">
        <v>54.6</v>
      </c>
      <c r="E1844" s="95">
        <v>100.74</v>
      </c>
      <c r="F1844" s="96">
        <v>5500</v>
      </c>
      <c r="G1844" s="97" t="s">
        <v>257</v>
      </c>
      <c r="H1844" s="114">
        <v>46204</v>
      </c>
      <c r="I1844" s="17"/>
      <c r="J1844" s="17"/>
      <c r="K1844" s="17"/>
    </row>
    <row r="1845" spans="1:11" x14ac:dyDescent="0.2">
      <c r="A1845" s="115">
        <v>46233</v>
      </c>
      <c r="B1845" s="103" t="s">
        <v>3207</v>
      </c>
      <c r="C1845" s="94" t="s">
        <v>1068</v>
      </c>
      <c r="D1845" s="95">
        <v>54.6</v>
      </c>
      <c r="E1845" s="95">
        <v>100.74</v>
      </c>
      <c r="F1845" s="96">
        <v>5500</v>
      </c>
      <c r="G1845" s="97" t="s">
        <v>257</v>
      </c>
      <c r="H1845" s="114">
        <v>46204</v>
      </c>
      <c r="I1845" s="17"/>
      <c r="J1845" s="17"/>
      <c r="K1845" s="17"/>
    </row>
    <row r="1846" spans="1:11" x14ac:dyDescent="0.2">
      <c r="A1846" s="115">
        <v>46233</v>
      </c>
      <c r="B1846" s="103" t="s">
        <v>3208</v>
      </c>
      <c r="C1846" s="94" t="s">
        <v>1323</v>
      </c>
      <c r="D1846" s="95">
        <v>54.6</v>
      </c>
      <c r="E1846" s="95">
        <v>100.74</v>
      </c>
      <c r="F1846" s="96">
        <v>5500</v>
      </c>
      <c r="G1846" s="97" t="s">
        <v>257</v>
      </c>
      <c r="H1846" s="114">
        <v>46204</v>
      </c>
      <c r="I1846" s="17"/>
      <c r="J1846" s="17"/>
      <c r="K1846" s="17"/>
    </row>
    <row r="1847" spans="1:11" x14ac:dyDescent="0.2">
      <c r="A1847" s="115">
        <v>46233</v>
      </c>
      <c r="B1847" s="103" t="s">
        <v>3209</v>
      </c>
      <c r="C1847" s="94" t="s">
        <v>1066</v>
      </c>
      <c r="D1847" s="95">
        <v>54.6</v>
      </c>
      <c r="E1847" s="95">
        <v>100.74</v>
      </c>
      <c r="F1847" s="96">
        <v>5500</v>
      </c>
      <c r="G1847" s="97" t="s">
        <v>257</v>
      </c>
      <c r="H1847" s="114">
        <v>46204</v>
      </c>
      <c r="I1847" s="17"/>
      <c r="J1847" s="17"/>
      <c r="K1847" s="17"/>
    </row>
    <row r="1848" spans="1:11" x14ac:dyDescent="0.2">
      <c r="A1848" s="115">
        <v>46233</v>
      </c>
      <c r="B1848" s="103" t="s">
        <v>3210</v>
      </c>
      <c r="C1848" s="94" t="s">
        <v>254</v>
      </c>
      <c r="D1848" s="95">
        <v>54.6</v>
      </c>
      <c r="E1848" s="95">
        <v>100.74</v>
      </c>
      <c r="F1848" s="96">
        <v>5500</v>
      </c>
      <c r="G1848" s="97" t="s">
        <v>257</v>
      </c>
      <c r="H1848" s="114">
        <v>46204</v>
      </c>
      <c r="I1848" s="17"/>
      <c r="J1848" s="17"/>
      <c r="K1848" s="17"/>
    </row>
    <row r="1849" spans="1:11" x14ac:dyDescent="0.2">
      <c r="A1849" s="115">
        <v>46233</v>
      </c>
      <c r="B1849" s="103" t="s">
        <v>3211</v>
      </c>
      <c r="C1849" s="94" t="s">
        <v>127</v>
      </c>
      <c r="D1849" s="95">
        <v>600</v>
      </c>
      <c r="E1849" s="95">
        <v>100.74</v>
      </c>
      <c r="F1849" s="96">
        <v>60444</v>
      </c>
      <c r="G1849" s="97" t="s">
        <v>59</v>
      </c>
      <c r="H1849" s="114">
        <v>46204</v>
      </c>
      <c r="I1849" s="17"/>
      <c r="J1849" s="17"/>
      <c r="K1849" s="17"/>
    </row>
    <row r="1850" spans="1:11" x14ac:dyDescent="0.2">
      <c r="A1850" s="115">
        <v>46233</v>
      </c>
      <c r="B1850" s="103" t="s">
        <v>3212</v>
      </c>
      <c r="C1850" s="94" t="s">
        <v>180</v>
      </c>
      <c r="D1850" s="95">
        <v>12000</v>
      </c>
      <c r="E1850" s="95">
        <v>99.5</v>
      </c>
      <c r="F1850" s="96">
        <v>1194000</v>
      </c>
      <c r="G1850" s="97" t="s">
        <v>143</v>
      </c>
      <c r="H1850" s="114">
        <v>46204</v>
      </c>
      <c r="I1850" s="17"/>
      <c r="J1850" s="17"/>
      <c r="K1850" s="17"/>
    </row>
    <row r="1851" spans="1:11" x14ac:dyDescent="0.2">
      <c r="A1851" s="115">
        <v>46233</v>
      </c>
      <c r="B1851" s="103" t="s">
        <v>3213</v>
      </c>
      <c r="C1851" s="94" t="s">
        <v>45</v>
      </c>
      <c r="D1851" s="95">
        <v>20</v>
      </c>
      <c r="E1851" s="95">
        <v>100.74</v>
      </c>
      <c r="F1851" s="96">
        <v>2014.8</v>
      </c>
      <c r="G1851" s="97" t="s">
        <v>56</v>
      </c>
      <c r="H1851" s="114">
        <v>46204</v>
      </c>
      <c r="I1851" s="17"/>
      <c r="J1851" s="17"/>
      <c r="K1851" s="17"/>
    </row>
    <row r="1852" spans="1:11" x14ac:dyDescent="0.2">
      <c r="A1852" s="115">
        <v>46233</v>
      </c>
      <c r="B1852" s="103" t="s">
        <v>3214</v>
      </c>
      <c r="C1852" s="94" t="s">
        <v>44</v>
      </c>
      <c r="D1852" s="95">
        <v>35</v>
      </c>
      <c r="E1852" s="95">
        <v>100.74</v>
      </c>
      <c r="F1852" s="96">
        <v>3525.9</v>
      </c>
      <c r="G1852" s="97" t="s">
        <v>56</v>
      </c>
      <c r="H1852" s="114">
        <v>46204</v>
      </c>
      <c r="I1852" s="17"/>
      <c r="J1852" s="17"/>
      <c r="K1852" s="17"/>
    </row>
    <row r="1853" spans="1:11" x14ac:dyDescent="0.2">
      <c r="A1853" s="115">
        <v>46233</v>
      </c>
      <c r="B1853" s="103" t="s">
        <v>3215</v>
      </c>
      <c r="C1853" s="94" t="s">
        <v>44</v>
      </c>
      <c r="D1853" s="95">
        <v>20</v>
      </c>
      <c r="E1853" s="95">
        <v>100.74</v>
      </c>
      <c r="F1853" s="96">
        <v>2014.8</v>
      </c>
      <c r="G1853" s="97" t="s">
        <v>56</v>
      </c>
      <c r="H1853" s="114">
        <v>46204</v>
      </c>
      <c r="I1853" s="17"/>
      <c r="J1853" s="17"/>
      <c r="K1853" s="17"/>
    </row>
    <row r="1854" spans="1:11" x14ac:dyDescent="0.2">
      <c r="A1854" s="115">
        <v>46233</v>
      </c>
      <c r="B1854" s="103" t="s">
        <v>3216</v>
      </c>
      <c r="C1854" s="94" t="s">
        <v>1323</v>
      </c>
      <c r="D1854" s="95">
        <v>10.92</v>
      </c>
      <c r="E1854" s="95">
        <v>100.74</v>
      </c>
      <c r="F1854" s="96">
        <v>1100</v>
      </c>
      <c r="G1854" s="97" t="s">
        <v>257</v>
      </c>
      <c r="H1854" s="114">
        <v>46204</v>
      </c>
      <c r="I1854" s="17"/>
      <c r="J1854" s="17"/>
      <c r="K1854" s="17"/>
    </row>
    <row r="1855" spans="1:11" x14ac:dyDescent="0.2">
      <c r="A1855" s="115">
        <v>46233</v>
      </c>
      <c r="B1855" s="103" t="s">
        <v>3217</v>
      </c>
      <c r="C1855" s="94"/>
      <c r="D1855" s="95">
        <v>20</v>
      </c>
      <c r="E1855" s="95">
        <v>100.74</v>
      </c>
      <c r="F1855" s="96">
        <v>2014.8</v>
      </c>
      <c r="G1855" s="97" t="s">
        <v>217</v>
      </c>
      <c r="H1855" s="114">
        <v>46204</v>
      </c>
      <c r="I1855" s="17"/>
      <c r="J1855" s="17"/>
      <c r="K1855" s="17"/>
    </row>
    <row r="1856" spans="1:11" x14ac:dyDescent="0.2">
      <c r="A1856" s="115">
        <v>46233</v>
      </c>
      <c r="B1856" s="103" t="s">
        <v>3218</v>
      </c>
      <c r="C1856" s="94" t="s">
        <v>1743</v>
      </c>
      <c r="D1856" s="95">
        <v>94.3</v>
      </c>
      <c r="E1856" s="95">
        <v>100.74</v>
      </c>
      <c r="F1856" s="96">
        <v>9500</v>
      </c>
      <c r="G1856" s="97" t="s">
        <v>2570</v>
      </c>
      <c r="H1856" s="114">
        <v>46204</v>
      </c>
      <c r="I1856" s="17"/>
      <c r="J1856" s="17"/>
      <c r="K1856" s="17"/>
    </row>
    <row r="1857" spans="1:11" x14ac:dyDescent="0.2">
      <c r="A1857" s="115">
        <v>46233</v>
      </c>
      <c r="B1857" s="103" t="s">
        <v>3219</v>
      </c>
      <c r="C1857" s="94" t="s">
        <v>1746</v>
      </c>
      <c r="D1857" s="95">
        <v>94.3</v>
      </c>
      <c r="E1857" s="95">
        <v>100.74</v>
      </c>
      <c r="F1857" s="96">
        <v>9500</v>
      </c>
      <c r="G1857" s="97" t="s">
        <v>2570</v>
      </c>
      <c r="H1857" s="114">
        <v>46204</v>
      </c>
      <c r="I1857" s="17"/>
      <c r="J1857" s="17"/>
      <c r="K1857" s="17"/>
    </row>
    <row r="1858" spans="1:11" x14ac:dyDescent="0.2">
      <c r="A1858" s="115">
        <v>46233</v>
      </c>
      <c r="B1858" s="103" t="s">
        <v>3220</v>
      </c>
      <c r="C1858" s="94" t="s">
        <v>1745</v>
      </c>
      <c r="D1858" s="95">
        <v>94.3</v>
      </c>
      <c r="E1858" s="95">
        <v>100.74</v>
      </c>
      <c r="F1858" s="96">
        <v>9500</v>
      </c>
      <c r="G1858" s="97" t="s">
        <v>2570</v>
      </c>
      <c r="H1858" s="114">
        <v>46204</v>
      </c>
      <c r="I1858" s="17"/>
      <c r="J1858" s="17"/>
      <c r="K1858" s="17"/>
    </row>
    <row r="1859" spans="1:11" x14ac:dyDescent="0.2">
      <c r="A1859" s="115">
        <v>46233</v>
      </c>
      <c r="B1859" s="103" t="s">
        <v>3221</v>
      </c>
      <c r="C1859" s="94"/>
      <c r="D1859" s="95">
        <v>1027.74</v>
      </c>
      <c r="E1859" s="95">
        <v>100.74</v>
      </c>
      <c r="F1859" s="96">
        <v>103535</v>
      </c>
      <c r="G1859" s="97" t="s">
        <v>2450</v>
      </c>
      <c r="H1859" s="114">
        <v>46204</v>
      </c>
      <c r="I1859" s="17"/>
      <c r="J1859" s="17"/>
      <c r="K1859" s="17"/>
    </row>
    <row r="1860" spans="1:11" x14ac:dyDescent="0.2">
      <c r="A1860" s="115">
        <v>46233</v>
      </c>
      <c r="B1860" s="103" t="s">
        <v>3222</v>
      </c>
      <c r="C1860" s="94"/>
      <c r="D1860" s="95">
        <v>1381.26</v>
      </c>
      <c r="E1860" s="95">
        <v>100.74</v>
      </c>
      <c r="F1860" s="96">
        <v>139148.1</v>
      </c>
      <c r="G1860" s="97" t="s">
        <v>152</v>
      </c>
      <c r="H1860" s="114">
        <v>46204</v>
      </c>
      <c r="I1860" s="17"/>
      <c r="J1860" s="17"/>
      <c r="K1860" s="17"/>
    </row>
    <row r="1861" spans="1:11" x14ac:dyDescent="0.2">
      <c r="A1861" s="115">
        <v>46233</v>
      </c>
      <c r="B1861" s="103" t="s">
        <v>3223</v>
      </c>
      <c r="C1861" s="94" t="s">
        <v>525</v>
      </c>
      <c r="D1861" s="95">
        <v>39.71</v>
      </c>
      <c r="E1861" s="95">
        <v>100.74</v>
      </c>
      <c r="F1861" s="96">
        <v>4000</v>
      </c>
      <c r="G1861" s="97" t="s">
        <v>58</v>
      </c>
      <c r="H1861" s="114">
        <v>46204</v>
      </c>
      <c r="I1861" s="17"/>
      <c r="J1861" s="17"/>
      <c r="K1861" s="17"/>
    </row>
    <row r="1862" spans="1:11" x14ac:dyDescent="0.2">
      <c r="A1862" s="115">
        <v>46233</v>
      </c>
      <c r="B1862" s="103" t="s">
        <v>3224</v>
      </c>
      <c r="C1862" s="94" t="s">
        <v>526</v>
      </c>
      <c r="D1862" s="95">
        <v>2162.9899999999998</v>
      </c>
      <c r="E1862" s="95">
        <v>100.74</v>
      </c>
      <c r="F1862" s="96">
        <v>217900</v>
      </c>
      <c r="G1862" s="97" t="s">
        <v>58</v>
      </c>
      <c r="H1862" s="114">
        <v>46204</v>
      </c>
      <c r="I1862" s="17"/>
      <c r="J1862" s="17"/>
      <c r="K1862" s="17"/>
    </row>
    <row r="1863" spans="1:11" x14ac:dyDescent="0.2">
      <c r="A1863" s="115">
        <v>46233</v>
      </c>
      <c r="B1863" s="103" t="s">
        <v>3225</v>
      </c>
      <c r="C1863" s="94" t="s">
        <v>50</v>
      </c>
      <c r="D1863" s="95">
        <v>248.16</v>
      </c>
      <c r="E1863" s="95">
        <v>100.74</v>
      </c>
      <c r="F1863" s="96">
        <v>25000</v>
      </c>
      <c r="G1863" s="97" t="s">
        <v>2611</v>
      </c>
      <c r="H1863" s="114">
        <v>46204</v>
      </c>
      <c r="I1863" s="17"/>
      <c r="J1863" s="17"/>
      <c r="K1863" s="17"/>
    </row>
    <row r="1864" spans="1:11" x14ac:dyDescent="0.2">
      <c r="A1864" s="115">
        <v>46233</v>
      </c>
      <c r="B1864" s="103" t="s">
        <v>3226</v>
      </c>
      <c r="C1864" s="94" t="s">
        <v>50</v>
      </c>
      <c r="D1864" s="95">
        <v>779.93</v>
      </c>
      <c r="E1864" s="95">
        <v>100.74</v>
      </c>
      <c r="F1864" s="96">
        <v>78570.149999999994</v>
      </c>
      <c r="G1864" s="97" t="s">
        <v>95</v>
      </c>
      <c r="H1864" s="114">
        <v>46204</v>
      </c>
      <c r="I1864" s="17"/>
      <c r="J1864" s="17"/>
      <c r="K1864" s="17"/>
    </row>
    <row r="1865" spans="1:11" x14ac:dyDescent="0.2">
      <c r="A1865" s="115">
        <v>46234</v>
      </c>
      <c r="B1865" s="103" t="s">
        <v>3234</v>
      </c>
      <c r="C1865" s="94" t="s">
        <v>40</v>
      </c>
      <c r="D1865" s="95">
        <v>12000</v>
      </c>
      <c r="E1865" s="95">
        <v>99.5</v>
      </c>
      <c r="F1865" s="96">
        <v>1194000</v>
      </c>
      <c r="G1865" s="97" t="s">
        <v>52</v>
      </c>
      <c r="H1865" s="114">
        <v>46204</v>
      </c>
      <c r="I1865" s="17"/>
      <c r="J1865" s="17"/>
      <c r="K1865" s="17"/>
    </row>
    <row r="1866" spans="1:11" x14ac:dyDescent="0.2">
      <c r="A1866" s="115">
        <v>46234</v>
      </c>
      <c r="B1866" s="103" t="s">
        <v>3235</v>
      </c>
      <c r="C1866" s="94" t="s">
        <v>426</v>
      </c>
      <c r="D1866" s="95">
        <v>54.6</v>
      </c>
      <c r="E1866" s="95">
        <v>100.74</v>
      </c>
      <c r="F1866" s="96">
        <v>5500</v>
      </c>
      <c r="G1866" s="97" t="s">
        <v>257</v>
      </c>
      <c r="H1866" s="114">
        <v>46204</v>
      </c>
      <c r="I1866" s="17"/>
      <c r="J1866" s="17"/>
      <c r="K1866" s="17"/>
    </row>
    <row r="1867" spans="1:11" x14ac:dyDescent="0.2">
      <c r="A1867" s="115">
        <v>46234</v>
      </c>
      <c r="B1867" s="103" t="s">
        <v>3236</v>
      </c>
      <c r="C1867" s="94" t="s">
        <v>1067</v>
      </c>
      <c r="D1867" s="95">
        <v>54.6</v>
      </c>
      <c r="E1867" s="95">
        <v>100.74</v>
      </c>
      <c r="F1867" s="96">
        <v>5500</v>
      </c>
      <c r="G1867" s="97" t="s">
        <v>257</v>
      </c>
      <c r="H1867" s="114">
        <v>46204</v>
      </c>
      <c r="I1867" s="17"/>
      <c r="J1867" s="17"/>
      <c r="K1867" s="17"/>
    </row>
    <row r="1868" spans="1:11" x14ac:dyDescent="0.2">
      <c r="A1868" s="115">
        <v>46234</v>
      </c>
      <c r="B1868" s="103" t="s">
        <v>3237</v>
      </c>
      <c r="C1868" s="94" t="s">
        <v>1065</v>
      </c>
      <c r="D1868" s="95">
        <v>54.6</v>
      </c>
      <c r="E1868" s="95">
        <v>100.74</v>
      </c>
      <c r="F1868" s="96">
        <v>5500</v>
      </c>
      <c r="G1868" s="97" t="s">
        <v>257</v>
      </c>
      <c r="H1868" s="114">
        <v>46204</v>
      </c>
      <c r="I1868" s="17"/>
      <c r="J1868" s="17"/>
      <c r="K1868" s="17"/>
    </row>
    <row r="1869" spans="1:11" x14ac:dyDescent="0.2">
      <c r="A1869" s="115">
        <v>46234</v>
      </c>
      <c r="B1869" s="103" t="s">
        <v>3238</v>
      </c>
      <c r="C1869" s="94" t="s">
        <v>429</v>
      </c>
      <c r="D1869" s="95">
        <v>54.6</v>
      </c>
      <c r="E1869" s="95">
        <v>100.74</v>
      </c>
      <c r="F1869" s="96">
        <v>5500</v>
      </c>
      <c r="G1869" s="97" t="s">
        <v>257</v>
      </c>
      <c r="H1869" s="114">
        <v>46204</v>
      </c>
      <c r="I1869" s="17"/>
      <c r="J1869" s="17"/>
      <c r="K1869" s="17"/>
    </row>
    <row r="1870" spans="1:11" x14ac:dyDescent="0.2">
      <c r="A1870" s="115">
        <v>46234</v>
      </c>
      <c r="B1870" s="103" t="s">
        <v>3239</v>
      </c>
      <c r="C1870" s="94" t="s">
        <v>873</v>
      </c>
      <c r="D1870" s="95">
        <v>54.6</v>
      </c>
      <c r="E1870" s="95">
        <v>100.74</v>
      </c>
      <c r="F1870" s="96">
        <v>5500</v>
      </c>
      <c r="G1870" s="97" t="s">
        <v>257</v>
      </c>
      <c r="H1870" s="114">
        <v>46204</v>
      </c>
      <c r="I1870" s="17"/>
      <c r="J1870" s="17"/>
      <c r="K1870" s="17"/>
    </row>
    <row r="1871" spans="1:11" x14ac:dyDescent="0.2">
      <c r="A1871" s="115">
        <v>46234</v>
      </c>
      <c r="B1871" s="103" t="s">
        <v>3240</v>
      </c>
      <c r="C1871" s="94" t="s">
        <v>253</v>
      </c>
      <c r="D1871" s="95">
        <v>54.6</v>
      </c>
      <c r="E1871" s="95">
        <v>100.74</v>
      </c>
      <c r="F1871" s="96">
        <v>5500</v>
      </c>
      <c r="G1871" s="97" t="s">
        <v>257</v>
      </c>
      <c r="H1871" s="114">
        <v>46204</v>
      </c>
      <c r="I1871" s="17"/>
      <c r="J1871" s="17"/>
      <c r="K1871" s="17"/>
    </row>
    <row r="1872" spans="1:11" x14ac:dyDescent="0.2">
      <c r="A1872" s="115">
        <v>46234</v>
      </c>
      <c r="B1872" s="103" t="s">
        <v>3241</v>
      </c>
      <c r="C1872" s="94" t="s">
        <v>693</v>
      </c>
      <c r="D1872" s="95">
        <v>54.6</v>
      </c>
      <c r="E1872" s="95">
        <v>100.74</v>
      </c>
      <c r="F1872" s="96">
        <v>5500</v>
      </c>
      <c r="G1872" s="97" t="s">
        <v>257</v>
      </c>
      <c r="H1872" s="114">
        <v>46204</v>
      </c>
      <c r="I1872" s="17"/>
      <c r="J1872" s="17"/>
      <c r="K1872" s="17"/>
    </row>
    <row r="1873" spans="1:11" x14ac:dyDescent="0.2">
      <c r="A1873" s="115">
        <v>46234</v>
      </c>
      <c r="B1873" s="103" t="s">
        <v>3242</v>
      </c>
      <c r="C1873" s="94" t="s">
        <v>1066</v>
      </c>
      <c r="D1873" s="95">
        <v>54.6</v>
      </c>
      <c r="E1873" s="95">
        <v>100.74</v>
      </c>
      <c r="F1873" s="96">
        <v>5500</v>
      </c>
      <c r="G1873" s="97" t="s">
        <v>257</v>
      </c>
      <c r="H1873" s="114">
        <v>46204</v>
      </c>
      <c r="I1873" s="17"/>
      <c r="J1873" s="17"/>
      <c r="K1873" s="17"/>
    </row>
    <row r="1874" spans="1:11" x14ac:dyDescent="0.2">
      <c r="A1874" s="115">
        <v>46234</v>
      </c>
      <c r="B1874" s="103" t="s">
        <v>3243</v>
      </c>
      <c r="C1874" s="94" t="s">
        <v>252</v>
      </c>
      <c r="D1874" s="95">
        <v>54.6</v>
      </c>
      <c r="E1874" s="95">
        <v>100.74</v>
      </c>
      <c r="F1874" s="96">
        <v>5500</v>
      </c>
      <c r="G1874" s="97" t="s">
        <v>257</v>
      </c>
      <c r="H1874" s="114">
        <v>46204</v>
      </c>
      <c r="I1874" s="17"/>
      <c r="J1874" s="17"/>
      <c r="K1874" s="17"/>
    </row>
    <row r="1875" spans="1:11" x14ac:dyDescent="0.2">
      <c r="A1875" s="115">
        <v>46234</v>
      </c>
      <c r="B1875" s="103" t="s">
        <v>3244</v>
      </c>
      <c r="C1875" s="94" t="s">
        <v>1322</v>
      </c>
      <c r="D1875" s="95">
        <v>54.6</v>
      </c>
      <c r="E1875" s="95">
        <v>100.74</v>
      </c>
      <c r="F1875" s="96">
        <v>5500</v>
      </c>
      <c r="G1875" s="97" t="s">
        <v>257</v>
      </c>
      <c r="H1875" s="114">
        <v>46204</v>
      </c>
      <c r="I1875" s="17"/>
      <c r="J1875" s="17"/>
      <c r="K1875" s="17"/>
    </row>
    <row r="1876" spans="1:11" x14ac:dyDescent="0.2">
      <c r="A1876" s="115">
        <v>46234</v>
      </c>
      <c r="B1876" s="103" t="s">
        <v>3245</v>
      </c>
      <c r="C1876" s="94" t="s">
        <v>253</v>
      </c>
      <c r="D1876" s="95">
        <v>10.92</v>
      </c>
      <c r="E1876" s="95">
        <v>100.74</v>
      </c>
      <c r="F1876" s="96">
        <v>1100</v>
      </c>
      <c r="G1876" s="97" t="s">
        <v>257</v>
      </c>
      <c r="H1876" s="114">
        <v>46204</v>
      </c>
      <c r="I1876" s="17"/>
      <c r="J1876" s="17"/>
      <c r="K1876" s="17"/>
    </row>
    <row r="1877" spans="1:11" x14ac:dyDescent="0.2">
      <c r="A1877" s="115">
        <v>46234</v>
      </c>
      <c r="B1877" s="103" t="s">
        <v>3246</v>
      </c>
      <c r="C1877" s="94" t="s">
        <v>3247</v>
      </c>
      <c r="D1877" s="95">
        <v>600</v>
      </c>
      <c r="E1877" s="95">
        <v>100.74</v>
      </c>
      <c r="F1877" s="96">
        <v>60444</v>
      </c>
      <c r="G1877" s="97" t="s">
        <v>1483</v>
      </c>
      <c r="H1877" s="114">
        <v>46204</v>
      </c>
      <c r="I1877" s="17"/>
      <c r="J1877" s="17"/>
      <c r="K1877" s="17"/>
    </row>
    <row r="1878" spans="1:11" x14ac:dyDescent="0.2">
      <c r="A1878" s="115">
        <v>46234</v>
      </c>
      <c r="B1878" s="103" t="s">
        <v>3248</v>
      </c>
      <c r="C1878" s="94" t="s">
        <v>526</v>
      </c>
      <c r="D1878" s="95">
        <v>1841.37</v>
      </c>
      <c r="E1878" s="95">
        <v>100.74</v>
      </c>
      <c r="F1878" s="96">
        <v>185500</v>
      </c>
      <c r="G1878" s="97" t="s">
        <v>58</v>
      </c>
      <c r="H1878" s="114">
        <v>46204</v>
      </c>
      <c r="I1878" s="17"/>
      <c r="J1878" s="17"/>
      <c r="K1878" s="17"/>
    </row>
    <row r="1879" spans="1:11" x14ac:dyDescent="0.2">
      <c r="A1879" s="115">
        <v>46234</v>
      </c>
      <c r="B1879" s="103" t="s">
        <v>3249</v>
      </c>
      <c r="C1879" s="94"/>
      <c r="D1879" s="95">
        <v>962.32</v>
      </c>
      <c r="E1879" s="95">
        <v>100.74</v>
      </c>
      <c r="F1879" s="96">
        <v>96944.4</v>
      </c>
      <c r="G1879" s="97" t="s">
        <v>152</v>
      </c>
      <c r="H1879" s="114">
        <v>46204</v>
      </c>
      <c r="I1879" s="17"/>
      <c r="J1879" s="17"/>
      <c r="K1879" s="17"/>
    </row>
    <row r="1880" spans="1:11" x14ac:dyDescent="0.2">
      <c r="A1880" s="115">
        <v>46234</v>
      </c>
      <c r="B1880" s="103" t="s">
        <v>3250</v>
      </c>
      <c r="C1880" s="94" t="s">
        <v>50</v>
      </c>
      <c r="D1880" s="95">
        <v>248.16</v>
      </c>
      <c r="E1880" s="95">
        <v>100.74</v>
      </c>
      <c r="F1880" s="96">
        <v>25000</v>
      </c>
      <c r="G1880" s="97" t="s">
        <v>2611</v>
      </c>
      <c r="H1880" s="114">
        <v>46204</v>
      </c>
      <c r="I1880" s="17"/>
      <c r="J1880" s="17"/>
      <c r="K1880" s="17"/>
    </row>
    <row r="1881" spans="1:11" x14ac:dyDescent="0.2">
      <c r="A1881" s="115">
        <v>46234</v>
      </c>
      <c r="B1881" s="103" t="s">
        <v>3251</v>
      </c>
      <c r="C1881" s="94" t="s">
        <v>50</v>
      </c>
      <c r="D1881" s="95">
        <v>738.05</v>
      </c>
      <c r="E1881" s="95">
        <v>100.74</v>
      </c>
      <c r="F1881" s="96">
        <v>74351.16</v>
      </c>
      <c r="G1881" s="97" t="s">
        <v>95</v>
      </c>
      <c r="H1881" s="114">
        <v>46204</v>
      </c>
      <c r="I1881" s="17"/>
      <c r="J1881" s="17"/>
      <c r="K1881" s="17"/>
    </row>
    <row r="1882" spans="1:11" x14ac:dyDescent="0.2">
      <c r="A1882" s="115">
        <v>46234</v>
      </c>
      <c r="B1882" s="103" t="s">
        <v>3252</v>
      </c>
      <c r="C1882" s="94" t="s">
        <v>50</v>
      </c>
      <c r="D1882" s="95">
        <v>297.8</v>
      </c>
      <c r="E1882" s="95">
        <v>100.74</v>
      </c>
      <c r="F1882" s="96">
        <v>30000</v>
      </c>
      <c r="G1882" s="97" t="s">
        <v>3083</v>
      </c>
      <c r="H1882" s="114">
        <v>46204</v>
      </c>
      <c r="I1882" s="17"/>
      <c r="J1882" s="17"/>
      <c r="K1882" s="17"/>
    </row>
    <row r="1883" spans="1:11" x14ac:dyDescent="0.2">
      <c r="A1883" s="115">
        <v>46234</v>
      </c>
      <c r="B1883" s="103" t="s">
        <v>3253</v>
      </c>
      <c r="C1883" s="94" t="s">
        <v>3116</v>
      </c>
      <c r="D1883" s="95">
        <v>100</v>
      </c>
      <c r="E1883" s="95">
        <v>100.74</v>
      </c>
      <c r="F1883" s="96">
        <v>10074</v>
      </c>
      <c r="G1883" s="97" t="s">
        <v>3083</v>
      </c>
      <c r="H1883" s="114">
        <v>46204</v>
      </c>
      <c r="I1883" s="17"/>
      <c r="J1883" s="17"/>
      <c r="K1883" s="17"/>
    </row>
    <row r="1884" spans="1:11" x14ac:dyDescent="0.2">
      <c r="A1884" s="115">
        <v>46234</v>
      </c>
      <c r="B1884" s="103" t="s">
        <v>3254</v>
      </c>
      <c r="C1884" s="94" t="s">
        <v>50</v>
      </c>
      <c r="D1884" s="95">
        <v>2000.01</v>
      </c>
      <c r="E1884" s="95">
        <v>100.74</v>
      </c>
      <c r="F1884" s="96">
        <v>201481.01</v>
      </c>
      <c r="G1884" s="97" t="s">
        <v>96</v>
      </c>
      <c r="H1884" s="114">
        <v>46204</v>
      </c>
      <c r="I1884" s="17"/>
      <c r="J1884" s="17"/>
      <c r="K1884" s="17"/>
    </row>
    <row r="1885" spans="1:11" x14ac:dyDescent="0.2">
      <c r="A1885" s="115">
        <v>46234</v>
      </c>
      <c r="B1885" s="103" t="s">
        <v>3255</v>
      </c>
      <c r="C1885" s="94" t="s">
        <v>50</v>
      </c>
      <c r="D1885" s="95">
        <v>2500</v>
      </c>
      <c r="E1885" s="95">
        <v>100.74</v>
      </c>
      <c r="F1885" s="96">
        <v>251850</v>
      </c>
      <c r="G1885" s="97" t="s">
        <v>901</v>
      </c>
      <c r="H1885" s="114">
        <v>46204</v>
      </c>
      <c r="I1885" s="17"/>
      <c r="J1885" s="17"/>
      <c r="K1885" s="17"/>
    </row>
    <row r="1886" spans="1:11" x14ac:dyDescent="0.2">
      <c r="A1886" s="115">
        <v>46234</v>
      </c>
      <c r="B1886" s="103" t="s">
        <v>3256</v>
      </c>
      <c r="C1886" s="94"/>
      <c r="D1886" s="95">
        <v>37.72</v>
      </c>
      <c r="E1886" s="95">
        <v>100.74</v>
      </c>
      <c r="F1886" s="96">
        <v>3800</v>
      </c>
      <c r="G1886" s="97" t="s">
        <v>2364</v>
      </c>
      <c r="H1886" s="114">
        <v>46204</v>
      </c>
      <c r="I1886" s="17"/>
      <c r="J1886" s="17"/>
      <c r="K1886" s="17"/>
    </row>
    <row r="1887" spans="1:11" x14ac:dyDescent="0.2">
      <c r="A1887" s="115">
        <v>46234</v>
      </c>
      <c r="B1887" s="103" t="s">
        <v>3257</v>
      </c>
      <c r="C1887" s="94"/>
      <c r="D1887" s="95">
        <v>577.25</v>
      </c>
      <c r="E1887" s="95">
        <v>100.74</v>
      </c>
      <c r="F1887" s="96">
        <v>58152.18</v>
      </c>
      <c r="G1887" s="97" t="s">
        <v>2450</v>
      </c>
      <c r="H1887" s="114">
        <v>46204</v>
      </c>
      <c r="I1887" s="17"/>
      <c r="J1887" s="17"/>
      <c r="K1887" s="17"/>
    </row>
    <row r="1888" spans="1:11" x14ac:dyDescent="0.2">
      <c r="A1888" s="115">
        <v>46234</v>
      </c>
      <c r="B1888" s="103" t="s">
        <v>3258</v>
      </c>
      <c r="C1888" s="94" t="s">
        <v>39</v>
      </c>
      <c r="D1888" s="95">
        <v>18000</v>
      </c>
      <c r="E1888" s="95">
        <v>99.5</v>
      </c>
      <c r="F1888" s="96">
        <v>1791000</v>
      </c>
      <c r="G1888" s="97" t="s">
        <v>51</v>
      </c>
      <c r="H1888" s="114">
        <v>46204</v>
      </c>
      <c r="I1888" s="17"/>
      <c r="J1888" s="17"/>
      <c r="K1888" s="17"/>
    </row>
    <row r="1889" spans="1:11" x14ac:dyDescent="0.2">
      <c r="A1889" s="115">
        <v>46234</v>
      </c>
      <c r="B1889" s="103" t="s">
        <v>3267</v>
      </c>
      <c r="C1889" s="94" t="s">
        <v>42</v>
      </c>
      <c r="D1889" s="95">
        <v>12000</v>
      </c>
      <c r="E1889" s="95">
        <v>99.5</v>
      </c>
      <c r="F1889" s="96">
        <v>1194000</v>
      </c>
      <c r="G1889" s="97" t="s">
        <v>52</v>
      </c>
      <c r="H1889" s="114">
        <f t="shared" ref="H1889" si="27">IF(A1889&lt;&gt;"", EOMONTH(A1889, -1) + 1, "")</f>
        <v>46204</v>
      </c>
      <c r="I1889" s="17"/>
      <c r="J1889" s="17"/>
      <c r="K1889" s="17"/>
    </row>
    <row r="1890" spans="1:11" x14ac:dyDescent="0.2">
      <c r="A1890" s="115">
        <v>46235</v>
      </c>
      <c r="B1890" s="103" t="s">
        <v>3269</v>
      </c>
      <c r="C1890" s="94" t="s">
        <v>991</v>
      </c>
      <c r="D1890" s="95">
        <v>54.6</v>
      </c>
      <c r="E1890" s="95">
        <v>100.74</v>
      </c>
      <c r="F1890" s="96">
        <v>5500</v>
      </c>
      <c r="G1890" s="97" t="s">
        <v>257</v>
      </c>
      <c r="H1890" s="114">
        <v>46235</v>
      </c>
      <c r="I1890" s="17"/>
      <c r="J1890" s="17"/>
      <c r="K1890" s="17"/>
    </row>
    <row r="1891" spans="1:11" x14ac:dyDescent="0.2">
      <c r="A1891" s="115">
        <v>46235</v>
      </c>
      <c r="B1891" s="103" t="s">
        <v>3270</v>
      </c>
      <c r="C1891" s="94" t="s">
        <v>1068</v>
      </c>
      <c r="D1891" s="95">
        <v>54.6</v>
      </c>
      <c r="E1891" s="95">
        <v>100.74</v>
      </c>
      <c r="F1891" s="96">
        <v>5500</v>
      </c>
      <c r="G1891" s="97" t="s">
        <v>257</v>
      </c>
      <c r="H1891" s="114">
        <v>46235</v>
      </c>
      <c r="I1891" s="17"/>
      <c r="J1891" s="17"/>
      <c r="K1891" s="17"/>
    </row>
    <row r="1892" spans="1:11" x14ac:dyDescent="0.2">
      <c r="A1892" s="115">
        <v>46235</v>
      </c>
      <c r="B1892" s="103" t="s">
        <v>3271</v>
      </c>
      <c r="C1892" s="94" t="s">
        <v>1323</v>
      </c>
      <c r="D1892" s="95">
        <v>54.6</v>
      </c>
      <c r="E1892" s="95">
        <v>100.74</v>
      </c>
      <c r="F1892" s="96">
        <v>5500</v>
      </c>
      <c r="G1892" s="97" t="s">
        <v>257</v>
      </c>
      <c r="H1892" s="114">
        <v>46235</v>
      </c>
      <c r="I1892" s="17"/>
      <c r="J1892" s="17"/>
      <c r="K1892" s="17"/>
    </row>
    <row r="1893" spans="1:11" x14ac:dyDescent="0.2">
      <c r="A1893" s="115">
        <v>46235</v>
      </c>
      <c r="B1893" s="103" t="s">
        <v>3272</v>
      </c>
      <c r="C1893" s="94" t="s">
        <v>427</v>
      </c>
      <c r="D1893" s="95">
        <v>54.6</v>
      </c>
      <c r="E1893" s="95">
        <v>100.74</v>
      </c>
      <c r="F1893" s="96">
        <v>5500</v>
      </c>
      <c r="G1893" s="97" t="s">
        <v>257</v>
      </c>
      <c r="H1893" s="114">
        <v>46235</v>
      </c>
      <c r="I1893" s="17"/>
      <c r="J1893" s="17"/>
      <c r="K1893" s="17"/>
    </row>
    <row r="1894" spans="1:11" x14ac:dyDescent="0.2">
      <c r="A1894" s="115">
        <v>46235</v>
      </c>
      <c r="B1894" s="103" t="s">
        <v>3273</v>
      </c>
      <c r="C1894" s="94" t="s">
        <v>991</v>
      </c>
      <c r="D1894" s="95">
        <v>11.92</v>
      </c>
      <c r="E1894" s="95">
        <v>100.74</v>
      </c>
      <c r="F1894" s="96">
        <v>1200</v>
      </c>
      <c r="G1894" s="97" t="s">
        <v>257</v>
      </c>
      <c r="H1894" s="114">
        <v>46235</v>
      </c>
      <c r="I1894" s="17"/>
      <c r="J1894" s="17"/>
      <c r="K1894" s="17"/>
    </row>
    <row r="1895" spans="1:11" x14ac:dyDescent="0.2">
      <c r="A1895" s="115">
        <v>46235</v>
      </c>
      <c r="B1895" s="103" t="s">
        <v>3274</v>
      </c>
      <c r="C1895" s="94" t="s">
        <v>1006</v>
      </c>
      <c r="D1895" s="95">
        <v>10.92</v>
      </c>
      <c r="E1895" s="95">
        <v>100.74</v>
      </c>
      <c r="F1895" s="96">
        <v>1100</v>
      </c>
      <c r="G1895" s="97" t="s">
        <v>257</v>
      </c>
      <c r="H1895" s="114">
        <v>46235</v>
      </c>
      <c r="I1895" s="17"/>
      <c r="J1895" s="17"/>
      <c r="K1895" s="17"/>
    </row>
    <row r="1896" spans="1:11" x14ac:dyDescent="0.2">
      <c r="A1896" s="115">
        <v>46235</v>
      </c>
      <c r="B1896" s="103" t="s">
        <v>3275</v>
      </c>
      <c r="C1896" s="94" t="s">
        <v>1064</v>
      </c>
      <c r="D1896" s="95">
        <v>10.92</v>
      </c>
      <c r="E1896" s="95">
        <v>100.74</v>
      </c>
      <c r="F1896" s="96">
        <v>1100</v>
      </c>
      <c r="G1896" s="97" t="s">
        <v>257</v>
      </c>
      <c r="H1896" s="114">
        <v>46235</v>
      </c>
      <c r="I1896" s="17"/>
      <c r="J1896" s="17"/>
      <c r="K1896" s="17"/>
    </row>
    <row r="1897" spans="1:11" x14ac:dyDescent="0.2">
      <c r="A1897" s="115">
        <v>46235</v>
      </c>
      <c r="B1897" s="103" t="s">
        <v>3276</v>
      </c>
      <c r="C1897" s="94" t="s">
        <v>1324</v>
      </c>
      <c r="D1897" s="95">
        <v>10.92</v>
      </c>
      <c r="E1897" s="95">
        <v>100.74</v>
      </c>
      <c r="F1897" s="96">
        <v>1100</v>
      </c>
      <c r="G1897" s="97" t="s">
        <v>257</v>
      </c>
      <c r="H1897" s="114">
        <v>46235</v>
      </c>
      <c r="I1897" s="17"/>
      <c r="J1897" s="17"/>
      <c r="K1897" s="17"/>
    </row>
    <row r="1898" spans="1:11" x14ac:dyDescent="0.2">
      <c r="A1898" s="115">
        <v>46235</v>
      </c>
      <c r="B1898" s="103" t="s">
        <v>3277</v>
      </c>
      <c r="C1898" s="94" t="s">
        <v>521</v>
      </c>
      <c r="D1898" s="95">
        <v>53.7</v>
      </c>
      <c r="E1898" s="95">
        <v>100.74</v>
      </c>
      <c r="F1898" s="96">
        <v>5409.73</v>
      </c>
      <c r="G1898" s="97" t="s">
        <v>257</v>
      </c>
      <c r="H1898" s="114">
        <v>46235</v>
      </c>
      <c r="I1898" s="17"/>
      <c r="J1898" s="17"/>
      <c r="K1898" s="17"/>
    </row>
    <row r="1899" spans="1:11" x14ac:dyDescent="0.2">
      <c r="A1899" s="115">
        <v>46235</v>
      </c>
      <c r="B1899" s="103" t="s">
        <v>3278</v>
      </c>
      <c r="C1899" s="94" t="s">
        <v>127</v>
      </c>
      <c r="D1899" s="95">
        <v>400</v>
      </c>
      <c r="E1899" s="95">
        <v>100.74</v>
      </c>
      <c r="F1899" s="96">
        <v>40296</v>
      </c>
      <c r="G1899" s="97" t="s">
        <v>59</v>
      </c>
      <c r="H1899" s="114">
        <v>46235</v>
      </c>
      <c r="I1899" s="17"/>
      <c r="J1899" s="17"/>
      <c r="K1899" s="17"/>
    </row>
    <row r="1900" spans="1:11" x14ac:dyDescent="0.2">
      <c r="A1900" s="115">
        <v>46235</v>
      </c>
      <c r="B1900" s="103" t="s">
        <v>3279</v>
      </c>
      <c r="C1900" s="94" t="s">
        <v>2835</v>
      </c>
      <c r="D1900" s="95">
        <v>94.3</v>
      </c>
      <c r="E1900" s="95">
        <v>100.74</v>
      </c>
      <c r="F1900" s="96">
        <v>9500</v>
      </c>
      <c r="G1900" s="97" t="s">
        <v>2570</v>
      </c>
      <c r="H1900" s="114">
        <v>46235</v>
      </c>
      <c r="I1900" s="17"/>
      <c r="J1900" s="17"/>
      <c r="K1900" s="17"/>
    </row>
    <row r="1901" spans="1:11" x14ac:dyDescent="0.2">
      <c r="A1901" s="115">
        <v>46235</v>
      </c>
      <c r="B1901" s="103" t="s">
        <v>3280</v>
      </c>
      <c r="C1901" s="94" t="s">
        <v>2948</v>
      </c>
      <c r="D1901" s="95">
        <v>94.3</v>
      </c>
      <c r="E1901" s="95">
        <v>100.74</v>
      </c>
      <c r="F1901" s="96">
        <v>9500</v>
      </c>
      <c r="G1901" s="97" t="s">
        <v>2570</v>
      </c>
      <c r="H1901" s="114">
        <v>46235</v>
      </c>
      <c r="I1901" s="17"/>
      <c r="J1901" s="17"/>
      <c r="K1901" s="17"/>
    </row>
    <row r="1902" spans="1:11" x14ac:dyDescent="0.2">
      <c r="A1902" s="115">
        <v>46235</v>
      </c>
      <c r="B1902" s="103" t="s">
        <v>3281</v>
      </c>
      <c r="C1902" s="94" t="s">
        <v>45</v>
      </c>
      <c r="D1902" s="95">
        <v>45.38</v>
      </c>
      <c r="E1902" s="95">
        <v>100.74</v>
      </c>
      <c r="F1902" s="96">
        <v>4571.58</v>
      </c>
      <c r="G1902" s="97" t="s">
        <v>56</v>
      </c>
      <c r="H1902" s="114">
        <v>46235</v>
      </c>
      <c r="I1902" s="17"/>
      <c r="J1902" s="17"/>
      <c r="K1902" s="17"/>
    </row>
    <row r="1903" spans="1:11" x14ac:dyDescent="0.2">
      <c r="A1903" s="115">
        <v>46235</v>
      </c>
      <c r="B1903" s="103" t="s">
        <v>3282</v>
      </c>
      <c r="C1903" s="94" t="s">
        <v>44</v>
      </c>
      <c r="D1903" s="95">
        <v>50.39</v>
      </c>
      <c r="E1903" s="95">
        <v>100.74</v>
      </c>
      <c r="F1903" s="96">
        <v>5076.28</v>
      </c>
      <c r="G1903" s="97" t="s">
        <v>56</v>
      </c>
      <c r="H1903" s="114">
        <v>46235</v>
      </c>
      <c r="I1903" s="17"/>
      <c r="J1903" s="17"/>
      <c r="K1903" s="17"/>
    </row>
    <row r="1904" spans="1:11" x14ac:dyDescent="0.2">
      <c r="A1904" s="115">
        <v>46235</v>
      </c>
      <c r="B1904" s="103" t="s">
        <v>3283</v>
      </c>
      <c r="C1904" s="94" t="s">
        <v>44</v>
      </c>
      <c r="D1904" s="95">
        <v>50</v>
      </c>
      <c r="E1904" s="95">
        <v>100.74</v>
      </c>
      <c r="F1904" s="96">
        <v>5037</v>
      </c>
      <c r="G1904" s="97" t="s">
        <v>56</v>
      </c>
      <c r="H1904" s="114">
        <v>46235</v>
      </c>
      <c r="I1904" s="17"/>
      <c r="J1904" s="17"/>
      <c r="K1904" s="17"/>
    </row>
    <row r="1905" spans="1:11" x14ac:dyDescent="0.2">
      <c r="A1905" s="115">
        <v>46235</v>
      </c>
      <c r="B1905" s="103" t="s">
        <v>3284</v>
      </c>
      <c r="C1905" s="94" t="s">
        <v>129</v>
      </c>
      <c r="D1905" s="95">
        <v>93.75</v>
      </c>
      <c r="E1905" s="95">
        <v>100.74</v>
      </c>
      <c r="F1905" s="96">
        <v>9444.3700000000008</v>
      </c>
      <c r="G1905" s="97" t="s">
        <v>56</v>
      </c>
      <c r="H1905" s="114">
        <v>46235</v>
      </c>
      <c r="I1905" s="17"/>
      <c r="J1905" s="17"/>
      <c r="K1905" s="17"/>
    </row>
    <row r="1906" spans="1:11" x14ac:dyDescent="0.2">
      <c r="A1906" s="115">
        <v>46235</v>
      </c>
      <c r="B1906" s="103" t="s">
        <v>3285</v>
      </c>
      <c r="C1906" s="94"/>
      <c r="D1906" s="95">
        <v>397.01</v>
      </c>
      <c r="E1906" s="95">
        <v>100.74</v>
      </c>
      <c r="F1906" s="96">
        <v>39994.42</v>
      </c>
      <c r="G1906" s="97" t="s">
        <v>2450</v>
      </c>
      <c r="H1906" s="114">
        <v>46235</v>
      </c>
      <c r="I1906" s="17"/>
      <c r="J1906" s="17"/>
      <c r="K1906" s="17"/>
    </row>
    <row r="1907" spans="1:11" x14ac:dyDescent="0.2">
      <c r="A1907" s="115">
        <v>46235</v>
      </c>
      <c r="B1907" s="103" t="s">
        <v>3286</v>
      </c>
      <c r="C1907" s="94"/>
      <c r="D1907" s="95">
        <v>112.17</v>
      </c>
      <c r="E1907" s="95">
        <v>100.74</v>
      </c>
      <c r="F1907" s="96">
        <v>11300</v>
      </c>
      <c r="G1907" s="97" t="s">
        <v>2364</v>
      </c>
      <c r="H1907" s="114">
        <v>46235</v>
      </c>
      <c r="I1907" s="17"/>
      <c r="J1907" s="17"/>
      <c r="K1907" s="17"/>
    </row>
    <row r="1908" spans="1:11" x14ac:dyDescent="0.2">
      <c r="A1908" s="115">
        <v>46235</v>
      </c>
      <c r="B1908" s="103" t="s">
        <v>3287</v>
      </c>
      <c r="C1908" s="94" t="s">
        <v>50</v>
      </c>
      <c r="D1908" s="95">
        <v>1251.3</v>
      </c>
      <c r="E1908" s="95">
        <v>100.74</v>
      </c>
      <c r="F1908" s="96">
        <v>126055.96</v>
      </c>
      <c r="G1908" s="97" t="s">
        <v>95</v>
      </c>
      <c r="H1908" s="114">
        <v>46235</v>
      </c>
      <c r="I1908" s="17"/>
      <c r="J1908" s="17"/>
      <c r="K1908" s="17"/>
    </row>
    <row r="1909" spans="1:11" x14ac:dyDescent="0.2">
      <c r="A1909" s="115">
        <v>46235</v>
      </c>
      <c r="B1909" s="103" t="s">
        <v>3288</v>
      </c>
      <c r="C1909" s="94" t="s">
        <v>50</v>
      </c>
      <c r="D1909" s="95">
        <v>197.8</v>
      </c>
      <c r="E1909" s="95">
        <v>100.74</v>
      </c>
      <c r="F1909" s="96">
        <v>19926</v>
      </c>
      <c r="G1909" s="97" t="s">
        <v>3083</v>
      </c>
      <c r="H1909" s="114">
        <v>46235</v>
      </c>
      <c r="I1909" s="17"/>
      <c r="J1909" s="17"/>
      <c r="K1909" s="17"/>
    </row>
    <row r="1910" spans="1:11" x14ac:dyDescent="0.2">
      <c r="A1910" s="115">
        <v>46235</v>
      </c>
      <c r="B1910" s="103" t="s">
        <v>3289</v>
      </c>
      <c r="C1910" s="94"/>
      <c r="D1910" s="95">
        <v>995.63</v>
      </c>
      <c r="E1910" s="95">
        <v>100.74</v>
      </c>
      <c r="F1910" s="96">
        <v>100300</v>
      </c>
      <c r="G1910" s="97" t="s">
        <v>152</v>
      </c>
      <c r="H1910" s="114">
        <v>46235</v>
      </c>
      <c r="I1910" s="17"/>
      <c r="J1910" s="17"/>
      <c r="K1910" s="17"/>
    </row>
    <row r="1911" spans="1:11" x14ac:dyDescent="0.2">
      <c r="A1911" s="115">
        <v>46235</v>
      </c>
      <c r="B1911" s="103" t="s">
        <v>3290</v>
      </c>
      <c r="C1911" s="94" t="s">
        <v>526</v>
      </c>
      <c r="D1911" s="95">
        <v>1934.68</v>
      </c>
      <c r="E1911" s="95">
        <v>100.74</v>
      </c>
      <c r="F1911" s="96">
        <v>194900</v>
      </c>
      <c r="G1911" s="97" t="s">
        <v>58</v>
      </c>
      <c r="H1911" s="114">
        <v>46235</v>
      </c>
      <c r="I1911" s="17"/>
      <c r="J1911" s="17"/>
      <c r="K1911" s="17"/>
    </row>
    <row r="1912" spans="1:11" x14ac:dyDescent="0.2">
      <c r="A1912" s="115">
        <v>46235</v>
      </c>
      <c r="B1912" s="103" t="s">
        <v>3291</v>
      </c>
      <c r="C1912" s="94" t="s">
        <v>50</v>
      </c>
      <c r="D1912" s="95">
        <v>1500</v>
      </c>
      <c r="E1912" s="95">
        <v>100.24</v>
      </c>
      <c r="F1912" s="96">
        <v>150360</v>
      </c>
      <c r="G1912" s="97" t="s">
        <v>96</v>
      </c>
      <c r="H1912" s="114">
        <v>46235</v>
      </c>
      <c r="I1912" s="17"/>
      <c r="J1912" s="17"/>
      <c r="K1912" s="17"/>
    </row>
    <row r="1913" spans="1:11" x14ac:dyDescent="0.2">
      <c r="A1913" s="115">
        <v>46236</v>
      </c>
      <c r="B1913" s="103" t="s">
        <v>3298</v>
      </c>
      <c r="C1913" s="94" t="s">
        <v>1065</v>
      </c>
      <c r="D1913" s="95">
        <v>54.6</v>
      </c>
      <c r="E1913" s="95">
        <v>100.74</v>
      </c>
      <c r="F1913" s="96">
        <v>5500</v>
      </c>
      <c r="G1913" s="97" t="s">
        <v>257</v>
      </c>
      <c r="H1913" s="114">
        <v>46235</v>
      </c>
      <c r="I1913" s="17"/>
      <c r="J1913" s="17"/>
      <c r="K1913" s="17"/>
    </row>
    <row r="1914" spans="1:11" x14ac:dyDescent="0.2">
      <c r="A1914" s="115">
        <v>46236</v>
      </c>
      <c r="B1914" s="103" t="s">
        <v>3299</v>
      </c>
      <c r="C1914" s="94" t="s">
        <v>1064</v>
      </c>
      <c r="D1914" s="95">
        <v>54.6</v>
      </c>
      <c r="E1914" s="95">
        <v>100.74</v>
      </c>
      <c r="F1914" s="96">
        <v>5500</v>
      </c>
      <c r="G1914" s="97" t="s">
        <v>257</v>
      </c>
      <c r="H1914" s="114">
        <v>46235</v>
      </c>
      <c r="I1914" s="17"/>
      <c r="J1914" s="17"/>
      <c r="K1914" s="17"/>
    </row>
    <row r="1915" spans="1:11" x14ac:dyDescent="0.2">
      <c r="A1915" s="115">
        <v>46236</v>
      </c>
      <c r="B1915" s="103" t="s">
        <v>3300</v>
      </c>
      <c r="C1915" s="94" t="s">
        <v>1066</v>
      </c>
      <c r="D1915" s="95">
        <v>54.6</v>
      </c>
      <c r="E1915" s="95">
        <v>100.74</v>
      </c>
      <c r="F1915" s="96">
        <v>5500</v>
      </c>
      <c r="G1915" s="97" t="s">
        <v>257</v>
      </c>
      <c r="H1915" s="114">
        <v>46235</v>
      </c>
      <c r="I1915" s="17"/>
      <c r="J1915" s="17"/>
      <c r="K1915" s="17"/>
    </row>
    <row r="1916" spans="1:11" x14ac:dyDescent="0.2">
      <c r="A1916" s="115">
        <v>46236</v>
      </c>
      <c r="B1916" s="103" t="s">
        <v>3301</v>
      </c>
      <c r="C1916" s="94" t="s">
        <v>1322</v>
      </c>
      <c r="D1916" s="95">
        <v>54.6</v>
      </c>
      <c r="E1916" s="95">
        <v>100.74</v>
      </c>
      <c r="F1916" s="96">
        <v>5500</v>
      </c>
      <c r="G1916" s="97" t="s">
        <v>257</v>
      </c>
      <c r="H1916" s="114">
        <v>46235</v>
      </c>
      <c r="I1916" s="17"/>
      <c r="J1916" s="17"/>
      <c r="K1916" s="17"/>
    </row>
    <row r="1917" spans="1:11" x14ac:dyDescent="0.2">
      <c r="A1917" s="115">
        <v>46236</v>
      </c>
      <c r="B1917" s="103" t="s">
        <v>3302</v>
      </c>
      <c r="C1917" s="94" t="s">
        <v>1067</v>
      </c>
      <c r="D1917" s="95">
        <v>54.6</v>
      </c>
      <c r="E1917" s="95">
        <v>100.74</v>
      </c>
      <c r="F1917" s="96">
        <v>5500</v>
      </c>
      <c r="G1917" s="97" t="s">
        <v>257</v>
      </c>
      <c r="H1917" s="114">
        <v>46235</v>
      </c>
      <c r="I1917" s="17"/>
      <c r="J1917" s="17"/>
      <c r="K1917" s="17"/>
    </row>
    <row r="1918" spans="1:11" x14ac:dyDescent="0.2">
      <c r="A1918" s="115">
        <v>46236</v>
      </c>
      <c r="B1918" s="103" t="s">
        <v>3303</v>
      </c>
      <c r="C1918" s="94" t="s">
        <v>252</v>
      </c>
      <c r="D1918" s="95">
        <v>54.6</v>
      </c>
      <c r="E1918" s="95">
        <v>100.74</v>
      </c>
      <c r="F1918" s="96">
        <v>5500</v>
      </c>
      <c r="G1918" s="97" t="s">
        <v>257</v>
      </c>
      <c r="H1918" s="114">
        <v>46235</v>
      </c>
      <c r="I1918" s="17"/>
      <c r="J1918" s="17"/>
      <c r="K1918" s="17"/>
    </row>
    <row r="1919" spans="1:11" x14ac:dyDescent="0.2">
      <c r="A1919" s="115">
        <v>46236</v>
      </c>
      <c r="B1919" s="103" t="s">
        <v>3304</v>
      </c>
      <c r="C1919" s="94" t="s">
        <v>254</v>
      </c>
      <c r="D1919" s="95">
        <v>54.6</v>
      </c>
      <c r="E1919" s="95">
        <v>100.74</v>
      </c>
      <c r="F1919" s="96">
        <v>5500</v>
      </c>
      <c r="G1919" s="97" t="s">
        <v>257</v>
      </c>
      <c r="H1919" s="114">
        <v>46235</v>
      </c>
      <c r="I1919" s="17"/>
      <c r="J1919" s="17"/>
      <c r="K1919" s="17"/>
    </row>
    <row r="1920" spans="1:11" x14ac:dyDescent="0.2">
      <c r="A1920" s="115">
        <v>46236</v>
      </c>
      <c r="B1920" s="103" t="s">
        <v>3305</v>
      </c>
      <c r="C1920" s="94" t="s">
        <v>429</v>
      </c>
      <c r="D1920" s="95">
        <v>54.6</v>
      </c>
      <c r="E1920" s="95">
        <v>100.74</v>
      </c>
      <c r="F1920" s="96">
        <v>5500</v>
      </c>
      <c r="G1920" s="97" t="s">
        <v>257</v>
      </c>
      <c r="H1920" s="114">
        <v>46235</v>
      </c>
      <c r="I1920" s="17"/>
      <c r="J1920" s="17"/>
      <c r="K1920" s="17"/>
    </row>
    <row r="1921" spans="1:11" x14ac:dyDescent="0.2">
      <c r="A1921" s="115">
        <v>46236</v>
      </c>
      <c r="B1921" s="103" t="s">
        <v>3306</v>
      </c>
      <c r="C1921" s="94" t="s">
        <v>693</v>
      </c>
      <c r="D1921" s="95">
        <v>54.6</v>
      </c>
      <c r="E1921" s="95">
        <v>100.74</v>
      </c>
      <c r="F1921" s="96">
        <v>5500</v>
      </c>
      <c r="G1921" s="97" t="s">
        <v>257</v>
      </c>
      <c r="H1921" s="114">
        <v>46235</v>
      </c>
      <c r="I1921" s="17"/>
      <c r="J1921" s="17"/>
      <c r="K1921" s="17"/>
    </row>
    <row r="1922" spans="1:11" x14ac:dyDescent="0.2">
      <c r="A1922" s="115">
        <v>46236</v>
      </c>
      <c r="B1922" s="103" t="s">
        <v>3307</v>
      </c>
      <c r="C1922" s="94" t="s">
        <v>1323</v>
      </c>
      <c r="D1922" s="95">
        <v>54.6</v>
      </c>
      <c r="E1922" s="95">
        <v>100.74</v>
      </c>
      <c r="F1922" s="96">
        <v>5500</v>
      </c>
      <c r="G1922" s="97" t="s">
        <v>257</v>
      </c>
      <c r="H1922" s="114">
        <v>46235</v>
      </c>
      <c r="I1922" s="17"/>
      <c r="J1922" s="17"/>
      <c r="K1922" s="17"/>
    </row>
    <row r="1923" spans="1:11" x14ac:dyDescent="0.2">
      <c r="A1923" s="115">
        <v>46236</v>
      </c>
      <c r="B1923" s="103" t="s">
        <v>3308</v>
      </c>
      <c r="C1923" s="94" t="s">
        <v>426</v>
      </c>
      <c r="D1923" s="95">
        <v>54.6</v>
      </c>
      <c r="E1923" s="95">
        <v>100.74</v>
      </c>
      <c r="F1923" s="96">
        <v>5500</v>
      </c>
      <c r="G1923" s="97" t="s">
        <v>257</v>
      </c>
      <c r="H1923" s="114">
        <v>46235</v>
      </c>
      <c r="I1923" s="17"/>
      <c r="J1923" s="17"/>
      <c r="K1923" s="17"/>
    </row>
    <row r="1924" spans="1:11" x14ac:dyDescent="0.2">
      <c r="A1924" s="115">
        <v>46236</v>
      </c>
      <c r="B1924" s="103" t="s">
        <v>3309</v>
      </c>
      <c r="C1924" s="94" t="s">
        <v>1006</v>
      </c>
      <c r="D1924" s="95">
        <v>54.6</v>
      </c>
      <c r="E1924" s="95">
        <v>100.74</v>
      </c>
      <c r="F1924" s="96">
        <v>5500</v>
      </c>
      <c r="G1924" s="97" t="s">
        <v>257</v>
      </c>
      <c r="H1924" s="114">
        <v>46235</v>
      </c>
      <c r="I1924" s="17"/>
      <c r="J1924" s="17"/>
      <c r="K1924" s="17"/>
    </row>
    <row r="1925" spans="1:11" x14ac:dyDescent="0.2">
      <c r="A1925" s="115">
        <v>46236</v>
      </c>
      <c r="B1925" s="103" t="s">
        <v>3310</v>
      </c>
      <c r="C1925" s="94" t="s">
        <v>991</v>
      </c>
      <c r="D1925" s="95">
        <v>54.6</v>
      </c>
      <c r="E1925" s="95">
        <v>100.74</v>
      </c>
      <c r="F1925" s="96">
        <v>5500</v>
      </c>
      <c r="G1925" s="97" t="s">
        <v>257</v>
      </c>
      <c r="H1925" s="114">
        <v>46235</v>
      </c>
      <c r="I1925" s="17"/>
      <c r="J1925" s="17"/>
      <c r="K1925" s="17"/>
    </row>
    <row r="1926" spans="1:11" x14ac:dyDescent="0.2">
      <c r="A1926" s="115">
        <v>46236</v>
      </c>
      <c r="B1926" s="103" t="s">
        <v>3311</v>
      </c>
      <c r="C1926" s="94" t="s">
        <v>1068</v>
      </c>
      <c r="D1926" s="95">
        <v>54.6</v>
      </c>
      <c r="E1926" s="95">
        <v>100.74</v>
      </c>
      <c r="F1926" s="96">
        <v>5500</v>
      </c>
      <c r="G1926" s="97" t="s">
        <v>257</v>
      </c>
      <c r="H1926" s="114">
        <v>46235</v>
      </c>
      <c r="I1926" s="17"/>
      <c r="J1926" s="17"/>
      <c r="K1926" s="17"/>
    </row>
    <row r="1927" spans="1:11" x14ac:dyDescent="0.2">
      <c r="A1927" s="115">
        <v>46236</v>
      </c>
      <c r="B1927" s="103" t="s">
        <v>3312</v>
      </c>
      <c r="C1927" s="94" t="s">
        <v>873</v>
      </c>
      <c r="D1927" s="95">
        <v>54.6</v>
      </c>
      <c r="E1927" s="95">
        <v>100.74</v>
      </c>
      <c r="F1927" s="96">
        <v>5500</v>
      </c>
      <c r="G1927" s="97" t="s">
        <v>257</v>
      </c>
      <c r="H1927" s="114">
        <v>46235</v>
      </c>
      <c r="I1927" s="17"/>
      <c r="J1927" s="17"/>
      <c r="K1927" s="17"/>
    </row>
    <row r="1928" spans="1:11" x14ac:dyDescent="0.2">
      <c r="A1928" s="115">
        <v>46236</v>
      </c>
      <c r="B1928" s="103" t="s">
        <v>3313</v>
      </c>
      <c r="C1928" s="94" t="s">
        <v>427</v>
      </c>
      <c r="D1928" s="95">
        <v>54.6</v>
      </c>
      <c r="E1928" s="95">
        <v>100.74</v>
      </c>
      <c r="F1928" s="96">
        <v>5500</v>
      </c>
      <c r="G1928" s="97" t="s">
        <v>257</v>
      </c>
      <c r="H1928" s="114">
        <v>46235</v>
      </c>
      <c r="I1928" s="17"/>
      <c r="J1928" s="17"/>
      <c r="K1928" s="17"/>
    </row>
    <row r="1929" spans="1:11" x14ac:dyDescent="0.2">
      <c r="A1929" s="115">
        <v>46236</v>
      </c>
      <c r="B1929" s="103" t="s">
        <v>3314</v>
      </c>
      <c r="C1929" s="94" t="s">
        <v>1324</v>
      </c>
      <c r="D1929" s="95">
        <v>29.78</v>
      </c>
      <c r="E1929" s="95">
        <v>100.74</v>
      </c>
      <c r="F1929" s="96">
        <v>3000</v>
      </c>
      <c r="G1929" s="97" t="s">
        <v>257</v>
      </c>
      <c r="H1929" s="114">
        <v>46235</v>
      </c>
      <c r="I1929" s="17"/>
      <c r="J1929" s="17"/>
      <c r="K1929" s="17"/>
    </row>
    <row r="1930" spans="1:11" x14ac:dyDescent="0.2">
      <c r="A1930" s="115">
        <v>46236</v>
      </c>
      <c r="B1930" s="103" t="s">
        <v>3315</v>
      </c>
      <c r="C1930" s="94" t="s">
        <v>3116</v>
      </c>
      <c r="D1930" s="95">
        <v>225.89</v>
      </c>
      <c r="E1930" s="95">
        <v>100.74</v>
      </c>
      <c r="F1930" s="96">
        <v>22756.15</v>
      </c>
      <c r="G1930" s="97" t="s">
        <v>3083</v>
      </c>
      <c r="H1930" s="114">
        <v>46235</v>
      </c>
      <c r="I1930" s="17"/>
      <c r="J1930" s="17"/>
      <c r="K1930" s="17"/>
    </row>
    <row r="1931" spans="1:11" x14ac:dyDescent="0.2">
      <c r="A1931" s="115">
        <v>46236</v>
      </c>
      <c r="B1931" s="103" t="s">
        <v>3316</v>
      </c>
      <c r="C1931" s="94" t="s">
        <v>742</v>
      </c>
      <c r="D1931" s="95">
        <v>99</v>
      </c>
      <c r="E1931" s="95">
        <v>100.74</v>
      </c>
      <c r="F1931" s="96">
        <v>9973.26</v>
      </c>
      <c r="G1931" s="97" t="s">
        <v>714</v>
      </c>
      <c r="H1931" s="114">
        <v>46235</v>
      </c>
      <c r="I1931" s="17"/>
      <c r="J1931" s="17"/>
      <c r="K1931" s="17"/>
    </row>
    <row r="1932" spans="1:11" x14ac:dyDescent="0.2">
      <c r="A1932" s="115">
        <v>46236</v>
      </c>
      <c r="B1932" s="103" t="s">
        <v>3317</v>
      </c>
      <c r="C1932" s="94" t="s">
        <v>872</v>
      </c>
      <c r="D1932" s="95">
        <v>367.31</v>
      </c>
      <c r="E1932" s="95">
        <v>100.74</v>
      </c>
      <c r="F1932" s="96">
        <v>37002.800000000003</v>
      </c>
      <c r="G1932" s="97" t="s">
        <v>199</v>
      </c>
      <c r="H1932" s="114">
        <v>46235</v>
      </c>
      <c r="I1932" s="17"/>
      <c r="J1932" s="17"/>
      <c r="K1932" s="17"/>
    </row>
    <row r="1933" spans="1:11" x14ac:dyDescent="0.2">
      <c r="A1933" s="115">
        <v>46236</v>
      </c>
      <c r="B1933" s="103" t="s">
        <v>3318</v>
      </c>
      <c r="C1933" s="94"/>
      <c r="D1933" s="95">
        <v>43.68</v>
      </c>
      <c r="E1933" s="95">
        <v>100.74</v>
      </c>
      <c r="F1933" s="96">
        <v>4400</v>
      </c>
      <c r="G1933" s="97" t="s">
        <v>57</v>
      </c>
      <c r="H1933" s="114">
        <v>46235</v>
      </c>
      <c r="I1933" s="17"/>
      <c r="J1933" s="17"/>
      <c r="K1933" s="17"/>
    </row>
    <row r="1934" spans="1:11" x14ac:dyDescent="0.2">
      <c r="A1934" s="115">
        <v>46236</v>
      </c>
      <c r="B1934" s="103" t="s">
        <v>3319</v>
      </c>
      <c r="C1934" s="94"/>
      <c r="D1934" s="95">
        <v>625.44000000000005</v>
      </c>
      <c r="E1934" s="95">
        <v>100.74</v>
      </c>
      <c r="F1934" s="96">
        <v>63007</v>
      </c>
      <c r="G1934" s="97" t="s">
        <v>2450</v>
      </c>
      <c r="H1934" s="114">
        <v>46235</v>
      </c>
      <c r="I1934" s="17"/>
      <c r="J1934" s="17"/>
      <c r="K1934" s="17"/>
    </row>
    <row r="1935" spans="1:11" x14ac:dyDescent="0.2">
      <c r="A1935" s="115">
        <v>46236</v>
      </c>
      <c r="B1935" s="103" t="s">
        <v>3320</v>
      </c>
      <c r="C1935" s="94"/>
      <c r="D1935" s="95">
        <v>38.85</v>
      </c>
      <c r="E1935" s="95">
        <v>100.74</v>
      </c>
      <c r="F1935" s="96">
        <v>3914</v>
      </c>
      <c r="G1935" s="97" t="s">
        <v>2364</v>
      </c>
      <c r="H1935" s="114">
        <v>46235</v>
      </c>
      <c r="I1935" s="17"/>
      <c r="J1935" s="17"/>
      <c r="K1935" s="17"/>
    </row>
    <row r="1936" spans="1:11" x14ac:dyDescent="0.2">
      <c r="A1936" s="115">
        <v>46236</v>
      </c>
      <c r="B1936" s="103" t="s">
        <v>3321</v>
      </c>
      <c r="C1936" s="94" t="s">
        <v>50</v>
      </c>
      <c r="D1936" s="95">
        <v>1985.99</v>
      </c>
      <c r="E1936" s="95">
        <v>100.74</v>
      </c>
      <c r="F1936" s="96">
        <v>200068.63</v>
      </c>
      <c r="G1936" s="97" t="s">
        <v>95</v>
      </c>
      <c r="H1936" s="114">
        <v>46235</v>
      </c>
      <c r="I1936" s="17"/>
      <c r="J1936" s="17"/>
      <c r="K1936" s="17"/>
    </row>
    <row r="1937" spans="1:11" x14ac:dyDescent="0.2">
      <c r="A1937" s="115">
        <v>46236</v>
      </c>
      <c r="B1937" s="103" t="s">
        <v>3322</v>
      </c>
      <c r="C1937" s="94" t="s">
        <v>50</v>
      </c>
      <c r="D1937" s="95">
        <v>99.27</v>
      </c>
      <c r="E1937" s="95">
        <v>100.74</v>
      </c>
      <c r="F1937" s="96">
        <v>10000</v>
      </c>
      <c r="G1937" s="97" t="s">
        <v>2611</v>
      </c>
      <c r="H1937" s="114">
        <v>46235</v>
      </c>
      <c r="I1937" s="17"/>
      <c r="J1937" s="17"/>
      <c r="K1937" s="17"/>
    </row>
    <row r="1938" spans="1:11" x14ac:dyDescent="0.2">
      <c r="A1938" s="115">
        <v>46236</v>
      </c>
      <c r="B1938" s="103" t="s">
        <v>3323</v>
      </c>
      <c r="C1938" s="94"/>
      <c r="D1938" s="95">
        <v>2345.58</v>
      </c>
      <c r="E1938" s="95">
        <v>100.74</v>
      </c>
      <c r="F1938" s="96">
        <v>236293.98</v>
      </c>
      <c r="G1938" s="97" t="s">
        <v>152</v>
      </c>
      <c r="H1938" s="114">
        <v>46235</v>
      </c>
      <c r="I1938" s="17"/>
      <c r="J1938" s="17"/>
      <c r="K1938" s="17"/>
    </row>
    <row r="1939" spans="1:11" x14ac:dyDescent="0.2">
      <c r="A1939" s="115">
        <v>46236</v>
      </c>
      <c r="B1939" s="103" t="s">
        <v>3324</v>
      </c>
      <c r="C1939" s="94" t="s">
        <v>526</v>
      </c>
      <c r="D1939" s="95">
        <v>1804.65</v>
      </c>
      <c r="E1939" s="95">
        <v>100.74</v>
      </c>
      <c r="F1939" s="96">
        <v>181800</v>
      </c>
      <c r="G1939" s="97" t="s">
        <v>58</v>
      </c>
      <c r="H1939" s="114">
        <v>46235</v>
      </c>
      <c r="I1939" s="17"/>
      <c r="J1939" s="17"/>
      <c r="K1939" s="17"/>
    </row>
    <row r="1940" spans="1:11" x14ac:dyDescent="0.2">
      <c r="A1940" s="115">
        <v>46237</v>
      </c>
      <c r="B1940" s="103" t="s">
        <v>3329</v>
      </c>
      <c r="C1940" s="94" t="s">
        <v>50</v>
      </c>
      <c r="D1940" s="95">
        <v>3000</v>
      </c>
      <c r="E1940" s="95">
        <v>100.74</v>
      </c>
      <c r="F1940" s="96">
        <v>302220</v>
      </c>
      <c r="G1940" s="97" t="s">
        <v>1073</v>
      </c>
      <c r="H1940" s="114">
        <v>46235</v>
      </c>
      <c r="I1940" s="17"/>
      <c r="J1940" s="17"/>
      <c r="K1940" s="17"/>
    </row>
    <row r="1941" spans="1:11" x14ac:dyDescent="0.2">
      <c r="A1941" s="115">
        <v>46237</v>
      </c>
      <c r="B1941" s="103" t="s">
        <v>3330</v>
      </c>
      <c r="C1941" s="94" t="s">
        <v>39</v>
      </c>
      <c r="D1941" s="95">
        <v>18000</v>
      </c>
      <c r="E1941" s="95">
        <v>99.5</v>
      </c>
      <c r="F1941" s="96">
        <v>1791000</v>
      </c>
      <c r="G1941" s="97" t="s">
        <v>52</v>
      </c>
      <c r="H1941" s="114">
        <v>46235</v>
      </c>
      <c r="I1941" s="17"/>
      <c r="J1941" s="17"/>
      <c r="K1941" s="17"/>
    </row>
    <row r="1942" spans="1:11" x14ac:dyDescent="0.2">
      <c r="A1942" s="115">
        <v>46237</v>
      </c>
      <c r="B1942" s="103" t="s">
        <v>3331</v>
      </c>
      <c r="C1942" s="94" t="s">
        <v>499</v>
      </c>
      <c r="D1942" s="95">
        <v>1200</v>
      </c>
      <c r="E1942" s="95">
        <v>100.74</v>
      </c>
      <c r="F1942" s="96">
        <v>120888</v>
      </c>
      <c r="G1942" s="97" t="s">
        <v>501</v>
      </c>
      <c r="H1942" s="114">
        <v>46235</v>
      </c>
      <c r="I1942" s="17"/>
      <c r="J1942" s="17"/>
      <c r="K1942" s="17"/>
    </row>
    <row r="1943" spans="1:11" x14ac:dyDescent="0.2">
      <c r="A1943" s="115">
        <v>46237</v>
      </c>
      <c r="B1943" s="103" t="s">
        <v>3332</v>
      </c>
      <c r="C1943" s="94" t="s">
        <v>44</v>
      </c>
      <c r="D1943" s="95">
        <v>42.19</v>
      </c>
      <c r="E1943" s="95">
        <v>100.74</v>
      </c>
      <c r="F1943" s="96">
        <v>4250.22</v>
      </c>
      <c r="G1943" s="97" t="s">
        <v>56</v>
      </c>
      <c r="H1943" s="114">
        <v>46235</v>
      </c>
      <c r="I1943" s="17"/>
      <c r="J1943" s="17"/>
      <c r="K1943" s="17"/>
    </row>
    <row r="1944" spans="1:11" x14ac:dyDescent="0.2">
      <c r="A1944" s="115">
        <v>46237</v>
      </c>
      <c r="B1944" s="103" t="s">
        <v>3333</v>
      </c>
      <c r="C1944" s="94"/>
      <c r="D1944" s="95">
        <v>14.89</v>
      </c>
      <c r="E1944" s="95">
        <v>100.74</v>
      </c>
      <c r="F1944" s="96">
        <v>1500</v>
      </c>
      <c r="G1944" s="97" t="s">
        <v>2364</v>
      </c>
      <c r="H1944" s="114">
        <v>46235</v>
      </c>
      <c r="I1944" s="17"/>
      <c r="J1944" s="17"/>
      <c r="K1944" s="17"/>
    </row>
    <row r="1945" spans="1:11" x14ac:dyDescent="0.2">
      <c r="A1945" s="115">
        <v>46237</v>
      </c>
      <c r="B1945" s="103" t="s">
        <v>3334</v>
      </c>
      <c r="C1945" s="94"/>
      <c r="D1945" s="95">
        <v>222.27</v>
      </c>
      <c r="E1945" s="95">
        <v>100.74</v>
      </c>
      <c r="F1945" s="96">
        <v>22392.02</v>
      </c>
      <c r="G1945" s="97" t="s">
        <v>2450</v>
      </c>
      <c r="H1945" s="114">
        <v>46235</v>
      </c>
      <c r="I1945" s="17"/>
      <c r="J1945" s="17"/>
      <c r="K1945" s="17"/>
    </row>
    <row r="1946" spans="1:11" x14ac:dyDescent="0.2">
      <c r="A1946" s="115">
        <v>46237</v>
      </c>
      <c r="B1946" s="103" t="s">
        <v>3335</v>
      </c>
      <c r="C1946" s="94" t="s">
        <v>50</v>
      </c>
      <c r="D1946" s="95">
        <v>200.95</v>
      </c>
      <c r="E1946" s="95">
        <v>100.74</v>
      </c>
      <c r="F1946" s="96">
        <v>20243.98</v>
      </c>
      <c r="G1946" s="97" t="s">
        <v>3083</v>
      </c>
      <c r="H1946" s="114">
        <v>46235</v>
      </c>
      <c r="I1946" s="17"/>
      <c r="J1946" s="17"/>
      <c r="K1946" s="17"/>
    </row>
    <row r="1947" spans="1:11" x14ac:dyDescent="0.2">
      <c r="A1947" s="115">
        <v>46237</v>
      </c>
      <c r="B1947" s="103" t="s">
        <v>3336</v>
      </c>
      <c r="C1947" s="94" t="s">
        <v>50</v>
      </c>
      <c r="D1947" s="95">
        <v>2100</v>
      </c>
      <c r="E1947" s="95">
        <v>100.24</v>
      </c>
      <c r="F1947" s="96">
        <v>210504</v>
      </c>
      <c r="G1947" s="97" t="s">
        <v>96</v>
      </c>
      <c r="H1947" s="114">
        <v>46235</v>
      </c>
      <c r="I1947" s="17"/>
      <c r="J1947" s="17"/>
      <c r="K1947" s="17"/>
    </row>
    <row r="1948" spans="1:11" x14ac:dyDescent="0.2">
      <c r="A1948" s="115">
        <v>46237</v>
      </c>
      <c r="B1948" s="103" t="s">
        <v>3337</v>
      </c>
      <c r="C1948" s="94" t="s">
        <v>50</v>
      </c>
      <c r="D1948" s="95">
        <v>1178.26</v>
      </c>
      <c r="E1948" s="95">
        <v>100.74</v>
      </c>
      <c r="F1948" s="96">
        <v>118697.91</v>
      </c>
      <c r="G1948" s="97" t="s">
        <v>95</v>
      </c>
      <c r="H1948" s="114">
        <v>46235</v>
      </c>
      <c r="I1948" s="17"/>
      <c r="J1948" s="17"/>
      <c r="K1948" s="17"/>
    </row>
    <row r="1949" spans="1:11" x14ac:dyDescent="0.2">
      <c r="A1949" s="115">
        <v>46237</v>
      </c>
      <c r="B1949" s="103" t="s">
        <v>3338</v>
      </c>
      <c r="C1949" s="94" t="s">
        <v>50</v>
      </c>
      <c r="D1949" s="95">
        <v>198.53</v>
      </c>
      <c r="E1949" s="95">
        <v>100.74</v>
      </c>
      <c r="F1949" s="96">
        <v>20000</v>
      </c>
      <c r="G1949" s="97" t="s">
        <v>2611</v>
      </c>
      <c r="H1949" s="114">
        <v>46235</v>
      </c>
      <c r="I1949" s="17"/>
      <c r="J1949" s="17"/>
      <c r="K1949" s="17"/>
    </row>
    <row r="1950" spans="1:11" x14ac:dyDescent="0.2">
      <c r="A1950" s="115">
        <v>46237</v>
      </c>
      <c r="B1950" s="103" t="s">
        <v>3339</v>
      </c>
      <c r="C1950" s="94"/>
      <c r="D1950" s="95">
        <v>148.9</v>
      </c>
      <c r="E1950" s="95">
        <v>100.74</v>
      </c>
      <c r="F1950" s="96">
        <v>15000</v>
      </c>
      <c r="G1950" s="97" t="s">
        <v>57</v>
      </c>
      <c r="H1950" s="114">
        <v>46235</v>
      </c>
      <c r="I1950" s="17"/>
      <c r="J1950" s="17"/>
      <c r="K1950" s="17"/>
    </row>
    <row r="1951" spans="1:11" x14ac:dyDescent="0.2">
      <c r="A1951" s="115">
        <v>46237</v>
      </c>
      <c r="B1951" s="103" t="s">
        <v>3340</v>
      </c>
      <c r="C1951" s="94"/>
      <c r="D1951" s="95">
        <v>1770.73</v>
      </c>
      <c r="E1951" s="95">
        <v>100.74</v>
      </c>
      <c r="F1951" s="96">
        <v>178383.12</v>
      </c>
      <c r="G1951" s="97" t="s">
        <v>152</v>
      </c>
      <c r="H1951" s="114">
        <v>46235</v>
      </c>
      <c r="I1951" s="17"/>
      <c r="J1951" s="17"/>
      <c r="K1951" s="17"/>
    </row>
    <row r="1952" spans="1:11" x14ac:dyDescent="0.2">
      <c r="A1952" s="115">
        <v>46237</v>
      </c>
      <c r="B1952" s="103" t="s">
        <v>3341</v>
      </c>
      <c r="C1952" s="94" t="s">
        <v>526</v>
      </c>
      <c r="D1952" s="95">
        <v>2235.46</v>
      </c>
      <c r="E1952" s="95">
        <v>100.74</v>
      </c>
      <c r="F1952" s="96">
        <v>225200</v>
      </c>
      <c r="G1952" s="97" t="s">
        <v>58</v>
      </c>
      <c r="H1952" s="114">
        <v>46235</v>
      </c>
      <c r="I1952" s="17"/>
      <c r="J1952" s="17"/>
      <c r="K1952" s="17"/>
    </row>
    <row r="1953" spans="1:11" x14ac:dyDescent="0.2">
      <c r="A1953" s="115">
        <v>46237</v>
      </c>
      <c r="B1953" s="103" t="s">
        <v>3342</v>
      </c>
      <c r="C1953" s="94" t="s">
        <v>180</v>
      </c>
      <c r="D1953" s="95">
        <v>12000</v>
      </c>
      <c r="E1953" s="95">
        <v>99.5</v>
      </c>
      <c r="F1953" s="96">
        <v>1194000</v>
      </c>
      <c r="G1953" s="97" t="s">
        <v>143</v>
      </c>
      <c r="H1953" s="114">
        <v>46235</v>
      </c>
      <c r="I1953" s="17"/>
      <c r="J1953" s="17"/>
      <c r="K1953" s="17"/>
    </row>
    <row r="1954" spans="1:11" x14ac:dyDescent="0.2">
      <c r="A1954" s="115">
        <v>46238</v>
      </c>
      <c r="B1954" s="103" t="s">
        <v>3346</v>
      </c>
      <c r="C1954" s="94" t="s">
        <v>42</v>
      </c>
      <c r="D1954" s="95">
        <v>12000</v>
      </c>
      <c r="E1954" s="95">
        <v>99.5</v>
      </c>
      <c r="F1954" s="96">
        <v>1194000</v>
      </c>
      <c r="G1954" s="97" t="s">
        <v>51</v>
      </c>
      <c r="H1954" s="114">
        <v>46235</v>
      </c>
      <c r="I1954" s="17"/>
      <c r="J1954" s="17"/>
      <c r="K1954" s="17"/>
    </row>
    <row r="1955" spans="1:11" x14ac:dyDescent="0.2">
      <c r="A1955" s="115">
        <v>46238</v>
      </c>
      <c r="B1955" s="103" t="s">
        <v>3347</v>
      </c>
      <c r="C1955" s="94" t="s">
        <v>40</v>
      </c>
      <c r="D1955" s="95">
        <v>12000</v>
      </c>
      <c r="E1955" s="95">
        <v>99.5</v>
      </c>
      <c r="F1955" s="96">
        <v>1194000</v>
      </c>
      <c r="G1955" s="97" t="s">
        <v>52</v>
      </c>
      <c r="H1955" s="114">
        <v>46235</v>
      </c>
      <c r="I1955" s="17"/>
      <c r="J1955" s="17"/>
      <c r="K1955" s="17"/>
    </row>
    <row r="1956" spans="1:11" x14ac:dyDescent="0.2">
      <c r="A1956" s="115">
        <v>46238</v>
      </c>
      <c r="B1956" s="103" t="s">
        <v>3348</v>
      </c>
      <c r="C1956" s="94"/>
      <c r="D1956" s="95">
        <v>39.71</v>
      </c>
      <c r="E1956" s="95">
        <v>100.74</v>
      </c>
      <c r="F1956" s="96">
        <v>4000</v>
      </c>
      <c r="G1956" s="97" t="s">
        <v>2364</v>
      </c>
      <c r="H1956" s="114">
        <v>46235</v>
      </c>
      <c r="I1956" s="17"/>
      <c r="J1956" s="17"/>
      <c r="K1956" s="17"/>
    </row>
    <row r="1957" spans="1:11" x14ac:dyDescent="0.2">
      <c r="A1957" s="115">
        <v>46238</v>
      </c>
      <c r="B1957" s="103" t="s">
        <v>3349</v>
      </c>
      <c r="C1957" s="94"/>
      <c r="D1957" s="95">
        <v>713.38</v>
      </c>
      <c r="E1957" s="95">
        <v>100.74</v>
      </c>
      <c r="F1957" s="96">
        <v>71866</v>
      </c>
      <c r="G1957" s="97" t="s">
        <v>2450</v>
      </c>
      <c r="H1957" s="114">
        <v>46235</v>
      </c>
      <c r="I1957" s="17"/>
      <c r="J1957" s="17"/>
      <c r="K1957" s="17"/>
    </row>
    <row r="1958" spans="1:11" x14ac:dyDescent="0.2">
      <c r="A1958" s="115">
        <v>46238</v>
      </c>
      <c r="B1958" s="103" t="s">
        <v>3350</v>
      </c>
      <c r="C1958" s="94" t="s">
        <v>525</v>
      </c>
      <c r="D1958" s="95">
        <v>28.39</v>
      </c>
      <c r="E1958" s="95">
        <v>100.74</v>
      </c>
      <c r="F1958" s="96">
        <v>2860</v>
      </c>
      <c r="G1958" s="97" t="s">
        <v>58</v>
      </c>
      <c r="H1958" s="114">
        <v>46235</v>
      </c>
      <c r="I1958" s="17"/>
      <c r="J1958" s="17"/>
      <c r="K1958" s="17"/>
    </row>
    <row r="1959" spans="1:11" x14ac:dyDescent="0.2">
      <c r="A1959" s="115">
        <v>46238</v>
      </c>
      <c r="B1959" s="103" t="s">
        <v>3351</v>
      </c>
      <c r="C1959" s="94" t="s">
        <v>526</v>
      </c>
      <c r="D1959" s="95">
        <v>1579.31</v>
      </c>
      <c r="E1959" s="95">
        <v>100.74</v>
      </c>
      <c r="F1959" s="96">
        <v>159100</v>
      </c>
      <c r="G1959" s="97" t="s">
        <v>58</v>
      </c>
      <c r="H1959" s="114">
        <v>46235</v>
      </c>
      <c r="I1959" s="17"/>
      <c r="J1959" s="17"/>
      <c r="K1959" s="17"/>
    </row>
    <row r="1960" spans="1:11" x14ac:dyDescent="0.2">
      <c r="A1960" s="115">
        <v>46238</v>
      </c>
      <c r="B1960" s="103" t="s">
        <v>3352</v>
      </c>
      <c r="C1960" s="94"/>
      <c r="D1960" s="95">
        <v>1759.05</v>
      </c>
      <c r="E1960" s="95">
        <v>100.74</v>
      </c>
      <c r="F1960" s="96">
        <v>177206.8</v>
      </c>
      <c r="G1960" s="97" t="s">
        <v>152</v>
      </c>
      <c r="H1960" s="114">
        <v>46235</v>
      </c>
      <c r="I1960" s="17"/>
      <c r="J1960" s="17"/>
      <c r="K1960" s="17"/>
    </row>
    <row r="1961" spans="1:11" x14ac:dyDescent="0.2">
      <c r="A1961" s="115">
        <v>46238</v>
      </c>
      <c r="B1961" s="103" t="s">
        <v>3353</v>
      </c>
      <c r="C1961" s="94" t="s">
        <v>50</v>
      </c>
      <c r="D1961" s="95">
        <v>99.27</v>
      </c>
      <c r="E1961" s="95">
        <v>100.74</v>
      </c>
      <c r="F1961" s="96">
        <v>10000</v>
      </c>
      <c r="G1961" s="97" t="s">
        <v>2611</v>
      </c>
      <c r="H1961" s="114">
        <v>46235</v>
      </c>
      <c r="I1961" s="17"/>
      <c r="J1961" s="17"/>
      <c r="K1961" s="17"/>
    </row>
    <row r="1962" spans="1:11" x14ac:dyDescent="0.2">
      <c r="A1962" s="115">
        <v>46238</v>
      </c>
      <c r="B1962" s="103" t="s">
        <v>3354</v>
      </c>
      <c r="C1962" s="94" t="s">
        <v>50</v>
      </c>
      <c r="D1962" s="95">
        <v>614.9</v>
      </c>
      <c r="E1962" s="95">
        <v>100.74</v>
      </c>
      <c r="F1962" s="96">
        <v>61945.03</v>
      </c>
      <c r="G1962" s="97" t="s">
        <v>95</v>
      </c>
      <c r="H1962" s="114">
        <v>46235</v>
      </c>
      <c r="I1962" s="17"/>
      <c r="J1962" s="17"/>
      <c r="K1962" s="17"/>
    </row>
    <row r="1963" spans="1:11" x14ac:dyDescent="0.2">
      <c r="A1963" s="115">
        <v>46238</v>
      </c>
      <c r="B1963" s="103" t="s">
        <v>3355</v>
      </c>
      <c r="C1963" s="94" t="s">
        <v>50</v>
      </c>
      <c r="D1963" s="95">
        <v>2000</v>
      </c>
      <c r="E1963" s="95">
        <v>100.74</v>
      </c>
      <c r="F1963" s="96">
        <v>201480</v>
      </c>
      <c r="G1963" s="97" t="s">
        <v>901</v>
      </c>
      <c r="H1963" s="114">
        <v>46235</v>
      </c>
      <c r="I1963" s="17"/>
      <c r="J1963" s="17"/>
      <c r="K1963" s="17"/>
    </row>
    <row r="1964" spans="1:11" x14ac:dyDescent="0.2">
      <c r="A1964" s="115">
        <v>46238</v>
      </c>
      <c r="B1964" s="103" t="s">
        <v>3356</v>
      </c>
      <c r="C1964" s="94" t="s">
        <v>1526</v>
      </c>
      <c r="D1964" s="95">
        <v>44.84</v>
      </c>
      <c r="E1964" s="95">
        <v>100.74</v>
      </c>
      <c r="F1964" s="96">
        <v>4517.18</v>
      </c>
      <c r="G1964" s="97" t="s">
        <v>901</v>
      </c>
      <c r="H1964" s="114">
        <v>46235</v>
      </c>
      <c r="I1964" s="17"/>
      <c r="J1964" s="17"/>
      <c r="K1964" s="17"/>
    </row>
    <row r="1965" spans="1:11" x14ac:dyDescent="0.2">
      <c r="A1965" s="115">
        <v>46238</v>
      </c>
      <c r="B1965" s="103" t="s">
        <v>3357</v>
      </c>
      <c r="C1965" s="94" t="s">
        <v>3116</v>
      </c>
      <c r="D1965" s="95">
        <v>297.8</v>
      </c>
      <c r="E1965" s="95">
        <v>100.74</v>
      </c>
      <c r="F1965" s="96">
        <v>30000</v>
      </c>
      <c r="G1965" s="97" t="s">
        <v>3083</v>
      </c>
      <c r="H1965" s="114">
        <v>46235</v>
      </c>
      <c r="I1965" s="17"/>
      <c r="J1965" s="17"/>
      <c r="K1965" s="17"/>
    </row>
    <row r="1966" spans="1:11" x14ac:dyDescent="0.2">
      <c r="A1966" s="115">
        <v>46238</v>
      </c>
      <c r="B1966" s="103" t="s">
        <v>3358</v>
      </c>
      <c r="C1966" s="94" t="s">
        <v>2604</v>
      </c>
      <c r="D1966" s="95">
        <v>148.9</v>
      </c>
      <c r="E1966" s="95">
        <v>100.74</v>
      </c>
      <c r="F1966" s="96">
        <v>15000</v>
      </c>
      <c r="G1966" s="97" t="s">
        <v>2611</v>
      </c>
      <c r="H1966" s="114">
        <v>46235</v>
      </c>
      <c r="I1966" s="17"/>
      <c r="J1966" s="17"/>
      <c r="K1966" s="17"/>
    </row>
    <row r="1967" spans="1:11" x14ac:dyDescent="0.2">
      <c r="A1967" s="115">
        <v>46238</v>
      </c>
      <c r="B1967" s="103" t="s">
        <v>3359</v>
      </c>
      <c r="C1967" s="94" t="s">
        <v>41</v>
      </c>
      <c r="D1967" s="95">
        <v>49</v>
      </c>
      <c r="E1967" s="95">
        <v>100.74</v>
      </c>
      <c r="F1967" s="96">
        <v>4936.26</v>
      </c>
      <c r="G1967" s="97" t="s">
        <v>53</v>
      </c>
      <c r="H1967" s="114">
        <v>46235</v>
      </c>
      <c r="I1967" s="17"/>
      <c r="J1967" s="17"/>
      <c r="K1967" s="17"/>
    </row>
    <row r="1968" spans="1:11" x14ac:dyDescent="0.2">
      <c r="A1968" s="115">
        <v>46238</v>
      </c>
      <c r="B1968" s="103" t="s">
        <v>3360</v>
      </c>
      <c r="C1968" s="94" t="s">
        <v>1041</v>
      </c>
      <c r="D1968" s="95">
        <v>30</v>
      </c>
      <c r="E1968" s="95">
        <v>100.74</v>
      </c>
      <c r="F1968" s="96">
        <v>3022.2</v>
      </c>
      <c r="G1968" s="97" t="s">
        <v>714</v>
      </c>
      <c r="H1968" s="114">
        <v>46235</v>
      </c>
      <c r="I1968" s="17"/>
      <c r="J1968" s="17"/>
      <c r="K1968" s="17"/>
    </row>
    <row r="1969" spans="1:11" x14ac:dyDescent="0.2">
      <c r="A1969" s="115">
        <v>46238</v>
      </c>
      <c r="B1969" s="103" t="s">
        <v>3361</v>
      </c>
      <c r="C1969" s="94" t="s">
        <v>129</v>
      </c>
      <c r="D1969" s="95">
        <v>98.35</v>
      </c>
      <c r="E1969" s="95">
        <v>100.74</v>
      </c>
      <c r="F1969" s="96">
        <v>9907.77</v>
      </c>
      <c r="G1969" s="97" t="s">
        <v>56</v>
      </c>
      <c r="H1969" s="114">
        <v>46235</v>
      </c>
      <c r="I1969" s="17"/>
      <c r="J1969" s="17"/>
      <c r="K1969" s="17"/>
    </row>
    <row r="1970" spans="1:11" x14ac:dyDescent="0.2">
      <c r="A1970" s="115">
        <v>46238</v>
      </c>
      <c r="B1970" s="103" t="s">
        <v>3362</v>
      </c>
      <c r="C1970" s="94" t="s">
        <v>3363</v>
      </c>
      <c r="D1970" s="95">
        <v>50</v>
      </c>
      <c r="E1970" s="95">
        <v>100.74</v>
      </c>
      <c r="F1970" s="96">
        <v>5037</v>
      </c>
      <c r="G1970" s="97" t="s">
        <v>56</v>
      </c>
      <c r="H1970" s="114">
        <v>46235</v>
      </c>
      <c r="I1970" s="17"/>
      <c r="J1970" s="17"/>
      <c r="K1970" s="17"/>
    </row>
    <row r="1971" spans="1:11" x14ac:dyDescent="0.2">
      <c r="A1971" s="115">
        <v>46238</v>
      </c>
      <c r="B1971" s="103" t="s">
        <v>3364</v>
      </c>
      <c r="C1971" s="94" t="s">
        <v>45</v>
      </c>
      <c r="D1971" s="95">
        <v>51.33</v>
      </c>
      <c r="E1971" s="95">
        <v>100.74</v>
      </c>
      <c r="F1971" s="96">
        <v>5170.9799999999996</v>
      </c>
      <c r="G1971" s="97" t="s">
        <v>56</v>
      </c>
      <c r="H1971" s="114">
        <v>46235</v>
      </c>
      <c r="I1971" s="17"/>
      <c r="J1971" s="17"/>
      <c r="K1971" s="17"/>
    </row>
    <row r="1972" spans="1:11" x14ac:dyDescent="0.2">
      <c r="A1972" s="115">
        <v>46238</v>
      </c>
      <c r="B1972" s="103" t="s">
        <v>3365</v>
      </c>
      <c r="C1972" s="94" t="s">
        <v>1322</v>
      </c>
      <c r="D1972" s="95">
        <v>64.52</v>
      </c>
      <c r="E1972" s="95">
        <v>100.74</v>
      </c>
      <c r="F1972" s="96">
        <v>6500</v>
      </c>
      <c r="G1972" s="97" t="s">
        <v>257</v>
      </c>
      <c r="H1972" s="114">
        <v>46235</v>
      </c>
      <c r="I1972" s="17"/>
      <c r="J1972" s="17"/>
      <c r="K1972" s="17"/>
    </row>
    <row r="1973" spans="1:11" x14ac:dyDescent="0.2">
      <c r="A1973" s="115">
        <v>46238</v>
      </c>
      <c r="B1973" s="103" t="s">
        <v>3366</v>
      </c>
      <c r="C1973" s="94" t="s">
        <v>1068</v>
      </c>
      <c r="D1973" s="95">
        <v>64.52</v>
      </c>
      <c r="E1973" s="95">
        <v>100.74</v>
      </c>
      <c r="F1973" s="96">
        <v>6500</v>
      </c>
      <c r="G1973" s="97" t="s">
        <v>257</v>
      </c>
      <c r="H1973" s="114">
        <v>46235</v>
      </c>
      <c r="I1973" s="17"/>
      <c r="J1973" s="17"/>
      <c r="K1973" s="17"/>
    </row>
    <row r="1974" spans="1:11" x14ac:dyDescent="0.2">
      <c r="A1974" s="115">
        <v>46238</v>
      </c>
      <c r="B1974" s="103" t="s">
        <v>3367</v>
      </c>
      <c r="C1974" s="94" t="s">
        <v>427</v>
      </c>
      <c r="D1974" s="95">
        <v>64.52</v>
      </c>
      <c r="E1974" s="95">
        <v>100.74</v>
      </c>
      <c r="F1974" s="96">
        <v>6500</v>
      </c>
      <c r="G1974" s="97" t="s">
        <v>257</v>
      </c>
      <c r="H1974" s="114">
        <v>46235</v>
      </c>
      <c r="I1974" s="17"/>
      <c r="J1974" s="17"/>
      <c r="K1974" s="17"/>
    </row>
    <row r="1975" spans="1:11" x14ac:dyDescent="0.2">
      <c r="A1975" s="115">
        <v>46238</v>
      </c>
      <c r="B1975" s="103" t="s">
        <v>3368</v>
      </c>
      <c r="C1975" s="94" t="s">
        <v>426</v>
      </c>
      <c r="D1975" s="95">
        <v>64.52</v>
      </c>
      <c r="E1975" s="95">
        <v>100.74</v>
      </c>
      <c r="F1975" s="96">
        <v>6500</v>
      </c>
      <c r="G1975" s="97" t="s">
        <v>257</v>
      </c>
      <c r="H1975" s="114">
        <v>46235</v>
      </c>
      <c r="I1975" s="17"/>
      <c r="J1975" s="17"/>
      <c r="K1975" s="17"/>
    </row>
    <row r="1976" spans="1:11" x14ac:dyDescent="0.2">
      <c r="A1976" s="115">
        <v>46238</v>
      </c>
      <c r="B1976" s="103" t="s">
        <v>3369</v>
      </c>
      <c r="C1976" s="94" t="s">
        <v>991</v>
      </c>
      <c r="D1976" s="95">
        <v>64.52</v>
      </c>
      <c r="E1976" s="95">
        <v>100.74</v>
      </c>
      <c r="F1976" s="96">
        <v>6500</v>
      </c>
      <c r="G1976" s="97" t="s">
        <v>257</v>
      </c>
      <c r="H1976" s="114">
        <v>46235</v>
      </c>
      <c r="I1976" s="17"/>
      <c r="J1976" s="17"/>
      <c r="K1976" s="17"/>
    </row>
    <row r="1977" spans="1:11" x14ac:dyDescent="0.2">
      <c r="A1977" s="115">
        <v>46238</v>
      </c>
      <c r="B1977" s="103" t="s">
        <v>3370</v>
      </c>
      <c r="C1977" s="94" t="s">
        <v>1006</v>
      </c>
      <c r="D1977" s="95">
        <v>64.52</v>
      </c>
      <c r="E1977" s="95">
        <v>100.74</v>
      </c>
      <c r="F1977" s="96">
        <v>6500</v>
      </c>
      <c r="G1977" s="97" t="s">
        <v>257</v>
      </c>
      <c r="H1977" s="114">
        <v>46235</v>
      </c>
      <c r="I1977" s="17"/>
      <c r="J1977" s="17"/>
      <c r="K1977" s="17"/>
    </row>
    <row r="1978" spans="1:11" x14ac:dyDescent="0.2">
      <c r="A1978" s="115">
        <v>46238</v>
      </c>
      <c r="B1978" s="103" t="s">
        <v>3371</v>
      </c>
      <c r="C1978" s="94" t="s">
        <v>253</v>
      </c>
      <c r="D1978" s="95">
        <v>10.92</v>
      </c>
      <c r="E1978" s="95">
        <v>100.74</v>
      </c>
      <c r="F1978" s="96">
        <v>1100</v>
      </c>
      <c r="G1978" s="97" t="s">
        <v>257</v>
      </c>
      <c r="H1978" s="114">
        <v>46235</v>
      </c>
      <c r="I1978" s="17"/>
      <c r="J1978" s="17"/>
      <c r="K1978" s="17"/>
    </row>
    <row r="1979" spans="1:11" x14ac:dyDescent="0.2">
      <c r="A1979" s="115">
        <v>46238</v>
      </c>
      <c r="B1979" s="103" t="s">
        <v>3372</v>
      </c>
      <c r="C1979" s="94" t="s">
        <v>2993</v>
      </c>
      <c r="D1979" s="95">
        <v>47.77</v>
      </c>
      <c r="E1979" s="95">
        <v>100.74</v>
      </c>
      <c r="F1979" s="96">
        <v>4812.34</v>
      </c>
      <c r="G1979" s="97" t="s">
        <v>257</v>
      </c>
      <c r="H1979" s="114">
        <v>46235</v>
      </c>
      <c r="I1979" s="17"/>
      <c r="J1979" s="17"/>
      <c r="K1979" s="17"/>
    </row>
    <row r="1980" spans="1:11" x14ac:dyDescent="0.2">
      <c r="A1980" s="115">
        <v>46238</v>
      </c>
      <c r="B1980" s="103" t="s">
        <v>3373</v>
      </c>
      <c r="C1980" s="94" t="s">
        <v>693</v>
      </c>
      <c r="D1980" s="95">
        <v>54.6</v>
      </c>
      <c r="E1980" s="95">
        <v>100.74</v>
      </c>
      <c r="F1980" s="96">
        <v>5500</v>
      </c>
      <c r="G1980" s="97" t="s">
        <v>257</v>
      </c>
      <c r="H1980" s="114">
        <v>46235</v>
      </c>
      <c r="I1980" s="17"/>
      <c r="J1980" s="17"/>
      <c r="K1980" s="17"/>
    </row>
    <row r="1981" spans="1:11" x14ac:dyDescent="0.2">
      <c r="A1981" s="115">
        <v>46238</v>
      </c>
      <c r="B1981" s="103" t="s">
        <v>3374</v>
      </c>
      <c r="C1981" s="94" t="s">
        <v>1324</v>
      </c>
      <c r="D1981" s="95">
        <v>54.6</v>
      </c>
      <c r="E1981" s="95">
        <v>100.74</v>
      </c>
      <c r="F1981" s="96">
        <v>5500</v>
      </c>
      <c r="G1981" s="97" t="s">
        <v>257</v>
      </c>
      <c r="H1981" s="114">
        <v>46235</v>
      </c>
      <c r="I1981" s="17"/>
      <c r="J1981" s="17"/>
      <c r="K1981" s="17"/>
    </row>
    <row r="1982" spans="1:11" x14ac:dyDescent="0.2">
      <c r="A1982" s="115">
        <v>46238</v>
      </c>
      <c r="B1982" s="103" t="s">
        <v>3375</v>
      </c>
      <c r="C1982" s="94" t="s">
        <v>429</v>
      </c>
      <c r="D1982" s="95">
        <v>54.6</v>
      </c>
      <c r="E1982" s="95">
        <v>100.74</v>
      </c>
      <c r="F1982" s="96">
        <v>5500</v>
      </c>
      <c r="G1982" s="97" t="s">
        <v>257</v>
      </c>
      <c r="H1982" s="114">
        <v>46235</v>
      </c>
      <c r="I1982" s="17"/>
      <c r="J1982" s="17"/>
      <c r="K1982" s="17"/>
    </row>
    <row r="1983" spans="1:11" x14ac:dyDescent="0.2">
      <c r="A1983" s="115">
        <v>46238</v>
      </c>
      <c r="B1983" s="103" t="s">
        <v>3376</v>
      </c>
      <c r="C1983" s="94" t="s">
        <v>1323</v>
      </c>
      <c r="D1983" s="95">
        <v>54.6</v>
      </c>
      <c r="E1983" s="95">
        <v>100.74</v>
      </c>
      <c r="F1983" s="96">
        <v>5500</v>
      </c>
      <c r="G1983" s="97" t="s">
        <v>257</v>
      </c>
      <c r="H1983" s="114">
        <v>46235</v>
      </c>
      <c r="I1983" s="17"/>
      <c r="J1983" s="17"/>
      <c r="K1983" s="17"/>
    </row>
    <row r="1984" spans="1:11" x14ac:dyDescent="0.2">
      <c r="A1984" s="115">
        <v>46238</v>
      </c>
      <c r="B1984" s="103" t="s">
        <v>3377</v>
      </c>
      <c r="C1984" s="94" t="s">
        <v>252</v>
      </c>
      <c r="D1984" s="95">
        <v>54.6</v>
      </c>
      <c r="E1984" s="95">
        <v>100.74</v>
      </c>
      <c r="F1984" s="96">
        <v>5500</v>
      </c>
      <c r="G1984" s="97" t="s">
        <v>257</v>
      </c>
      <c r="H1984" s="114">
        <v>46235</v>
      </c>
      <c r="I1984" s="17"/>
      <c r="J1984" s="17"/>
      <c r="K1984" s="17"/>
    </row>
    <row r="1985" spans="1:11" x14ac:dyDescent="0.2">
      <c r="A1985" s="115">
        <v>46238</v>
      </c>
      <c r="B1985" s="103" t="s">
        <v>3378</v>
      </c>
      <c r="C1985" s="94" t="s">
        <v>1065</v>
      </c>
      <c r="D1985" s="95">
        <v>54.6</v>
      </c>
      <c r="E1985" s="95">
        <v>100.74</v>
      </c>
      <c r="F1985" s="96">
        <v>5500</v>
      </c>
      <c r="G1985" s="97" t="s">
        <v>257</v>
      </c>
      <c r="H1985" s="114">
        <v>46235</v>
      </c>
      <c r="I1985" s="17"/>
      <c r="J1985" s="17"/>
      <c r="K1985" s="17"/>
    </row>
    <row r="1986" spans="1:11" x14ac:dyDescent="0.2">
      <c r="A1986" s="115">
        <v>46238</v>
      </c>
      <c r="B1986" s="103" t="s">
        <v>3379</v>
      </c>
      <c r="C1986" s="94" t="s">
        <v>1064</v>
      </c>
      <c r="D1986" s="95">
        <v>54.6</v>
      </c>
      <c r="E1986" s="95">
        <v>100.74</v>
      </c>
      <c r="F1986" s="96">
        <v>5500</v>
      </c>
      <c r="G1986" s="97" t="s">
        <v>257</v>
      </c>
      <c r="H1986" s="114">
        <v>46235</v>
      </c>
      <c r="I1986" s="17"/>
      <c r="J1986" s="17"/>
      <c r="K1986" s="17"/>
    </row>
    <row r="1987" spans="1:11" x14ac:dyDescent="0.2">
      <c r="A1987" s="115">
        <v>46238</v>
      </c>
      <c r="B1987" s="103" t="s">
        <v>3380</v>
      </c>
      <c r="C1987" s="94" t="s">
        <v>1066</v>
      </c>
      <c r="D1987" s="95">
        <v>54.6</v>
      </c>
      <c r="E1987" s="95">
        <v>100.74</v>
      </c>
      <c r="F1987" s="96">
        <v>5500</v>
      </c>
      <c r="G1987" s="97" t="s">
        <v>257</v>
      </c>
      <c r="H1987" s="114">
        <v>46235</v>
      </c>
      <c r="I1987" s="17"/>
      <c r="J1987" s="17"/>
      <c r="K1987" s="17"/>
    </row>
    <row r="1988" spans="1:11" x14ac:dyDescent="0.2">
      <c r="A1988" s="115">
        <v>46238</v>
      </c>
      <c r="B1988" s="103" t="s">
        <v>3381</v>
      </c>
      <c r="C1988" s="94" t="s">
        <v>1067</v>
      </c>
      <c r="D1988" s="95">
        <v>54.6</v>
      </c>
      <c r="E1988" s="95">
        <v>100.74</v>
      </c>
      <c r="F1988" s="96">
        <v>5500</v>
      </c>
      <c r="G1988" s="97" t="s">
        <v>257</v>
      </c>
      <c r="H1988" s="114">
        <v>46235</v>
      </c>
      <c r="I1988" s="17"/>
      <c r="J1988" s="17"/>
      <c r="K1988" s="17"/>
    </row>
    <row r="1989" spans="1:11" x14ac:dyDescent="0.2">
      <c r="A1989" s="115">
        <v>46238</v>
      </c>
      <c r="B1989" s="103" t="s">
        <v>3382</v>
      </c>
      <c r="C1989" s="94" t="s">
        <v>873</v>
      </c>
      <c r="D1989" s="95">
        <v>54.6</v>
      </c>
      <c r="E1989" s="95">
        <v>100.74</v>
      </c>
      <c r="F1989" s="96">
        <v>5500</v>
      </c>
      <c r="G1989" s="97" t="s">
        <v>257</v>
      </c>
      <c r="H1989" s="114">
        <v>46235</v>
      </c>
      <c r="I1989" s="17"/>
      <c r="J1989" s="17"/>
      <c r="K1989" s="17"/>
    </row>
    <row r="1990" spans="1:11" x14ac:dyDescent="0.2">
      <c r="A1990" s="115">
        <v>46238</v>
      </c>
      <c r="B1990" s="103" t="s">
        <v>3383</v>
      </c>
      <c r="C1990" s="94" t="s">
        <v>254</v>
      </c>
      <c r="D1990" s="95">
        <v>54.6</v>
      </c>
      <c r="E1990" s="95">
        <v>100.74</v>
      </c>
      <c r="F1990" s="96">
        <v>5500</v>
      </c>
      <c r="G1990" s="97" t="s">
        <v>257</v>
      </c>
      <c r="H1990" s="114">
        <v>46235</v>
      </c>
      <c r="I1990" s="17"/>
      <c r="J1990" s="17"/>
      <c r="K1990" s="17"/>
    </row>
    <row r="1991" spans="1:11" x14ac:dyDescent="0.2">
      <c r="A1991" s="115">
        <v>46239</v>
      </c>
      <c r="B1991" s="103" t="s">
        <v>3389</v>
      </c>
      <c r="C1991" s="94" t="s">
        <v>50</v>
      </c>
      <c r="D1991" s="95">
        <v>3000</v>
      </c>
      <c r="E1991" s="95">
        <v>100.74</v>
      </c>
      <c r="F1991" s="96">
        <v>302220</v>
      </c>
      <c r="G1991" s="97" t="s">
        <v>1073</v>
      </c>
      <c r="H1991" s="114">
        <v>46235</v>
      </c>
      <c r="I1991" s="17"/>
      <c r="J1991" s="17"/>
      <c r="K1991" s="17"/>
    </row>
    <row r="1992" spans="1:11" x14ac:dyDescent="0.2">
      <c r="A1992" s="115">
        <v>46239</v>
      </c>
      <c r="B1992" s="103" t="s">
        <v>3390</v>
      </c>
      <c r="C1992" s="94" t="s">
        <v>42</v>
      </c>
      <c r="D1992" s="95">
        <v>4000</v>
      </c>
      <c r="E1992" s="95">
        <v>99.5</v>
      </c>
      <c r="F1992" s="96">
        <v>398000</v>
      </c>
      <c r="G1992" s="97" t="s">
        <v>874</v>
      </c>
      <c r="H1992" s="114">
        <v>46235</v>
      </c>
      <c r="I1992" s="17"/>
      <c r="J1992" s="17"/>
      <c r="K1992" s="17"/>
    </row>
    <row r="1993" spans="1:11" x14ac:dyDescent="0.2">
      <c r="A1993" s="115">
        <v>46239</v>
      </c>
      <c r="B1993" s="103" t="s">
        <v>3391</v>
      </c>
      <c r="C1993" s="94" t="s">
        <v>42</v>
      </c>
      <c r="D1993" s="95">
        <v>4000</v>
      </c>
      <c r="E1993" s="95">
        <v>99.5</v>
      </c>
      <c r="F1993" s="96">
        <v>398000</v>
      </c>
      <c r="G1993" s="97" t="s">
        <v>302</v>
      </c>
      <c r="H1993" s="114">
        <v>46235</v>
      </c>
      <c r="I1993" s="17"/>
      <c r="J1993" s="17"/>
      <c r="K1993" s="17"/>
    </row>
    <row r="1994" spans="1:11" x14ac:dyDescent="0.2">
      <c r="A1994" s="115">
        <v>46239</v>
      </c>
      <c r="B1994" s="103" t="s">
        <v>3392</v>
      </c>
      <c r="C1994" s="94" t="s">
        <v>42</v>
      </c>
      <c r="D1994" s="95">
        <v>4000</v>
      </c>
      <c r="E1994" s="95">
        <v>99.5</v>
      </c>
      <c r="F1994" s="96">
        <v>398000</v>
      </c>
      <c r="G1994" s="97" t="s">
        <v>1036</v>
      </c>
      <c r="H1994" s="114">
        <v>46235</v>
      </c>
      <c r="I1994" s="17"/>
      <c r="J1994" s="17"/>
      <c r="K1994" s="17"/>
    </row>
    <row r="1995" spans="1:11" x14ac:dyDescent="0.2">
      <c r="A1995" s="115">
        <v>46239</v>
      </c>
      <c r="B1995" s="103" t="s">
        <v>3393</v>
      </c>
      <c r="C1995" s="94" t="s">
        <v>180</v>
      </c>
      <c r="D1995" s="95">
        <v>4000</v>
      </c>
      <c r="E1995" s="95">
        <v>99.5</v>
      </c>
      <c r="F1995" s="96">
        <v>398000</v>
      </c>
      <c r="G1995" s="97" t="s">
        <v>874</v>
      </c>
      <c r="H1995" s="114">
        <v>46235</v>
      </c>
      <c r="I1995" s="17"/>
      <c r="J1995" s="17"/>
      <c r="K1995" s="17"/>
    </row>
    <row r="1996" spans="1:11" x14ac:dyDescent="0.2">
      <c r="A1996" s="115">
        <v>46239</v>
      </c>
      <c r="B1996" s="103" t="s">
        <v>3394</v>
      </c>
      <c r="C1996" s="94" t="s">
        <v>180</v>
      </c>
      <c r="D1996" s="95">
        <v>4000</v>
      </c>
      <c r="E1996" s="95">
        <v>99.5</v>
      </c>
      <c r="F1996" s="96">
        <v>398000</v>
      </c>
      <c r="G1996" s="97" t="s">
        <v>302</v>
      </c>
      <c r="H1996" s="114">
        <v>46235</v>
      </c>
      <c r="I1996" s="17"/>
      <c r="J1996" s="17"/>
      <c r="K1996" s="17"/>
    </row>
    <row r="1997" spans="1:11" x14ac:dyDescent="0.2">
      <c r="A1997" s="115">
        <v>46239</v>
      </c>
      <c r="B1997" s="103" t="s">
        <v>3395</v>
      </c>
      <c r="C1997" s="94" t="s">
        <v>180</v>
      </c>
      <c r="D1997" s="95">
        <v>4000</v>
      </c>
      <c r="E1997" s="95">
        <v>99.5</v>
      </c>
      <c r="F1997" s="96">
        <v>398000</v>
      </c>
      <c r="G1997" s="97" t="s">
        <v>1036</v>
      </c>
      <c r="H1997" s="114">
        <v>46235</v>
      </c>
      <c r="I1997" s="17"/>
      <c r="J1997" s="17"/>
      <c r="K1997" s="17"/>
    </row>
    <row r="1998" spans="1:11" x14ac:dyDescent="0.2">
      <c r="A1998" s="115">
        <v>46239</v>
      </c>
      <c r="B1998" s="103" t="s">
        <v>3397</v>
      </c>
      <c r="C1998" s="94" t="s">
        <v>2602</v>
      </c>
      <c r="D1998" s="95">
        <v>600</v>
      </c>
      <c r="E1998" s="95">
        <v>100.74</v>
      </c>
      <c r="F1998" s="96">
        <v>60444</v>
      </c>
      <c r="G1998" s="97" t="s">
        <v>92</v>
      </c>
      <c r="H1998" s="114">
        <v>46235</v>
      </c>
      <c r="I1998" s="17"/>
      <c r="J1998" s="17"/>
      <c r="K1998" s="17"/>
    </row>
    <row r="1999" spans="1:11" x14ac:dyDescent="0.2">
      <c r="A1999" s="115">
        <v>46239</v>
      </c>
      <c r="B1999" s="103" t="s">
        <v>3398</v>
      </c>
      <c r="C1999" s="94" t="s">
        <v>50</v>
      </c>
      <c r="D1999" s="95">
        <v>297.8</v>
      </c>
      <c r="E1999" s="95">
        <v>100.74</v>
      </c>
      <c r="F1999" s="96">
        <v>30000</v>
      </c>
      <c r="G1999" s="97" t="s">
        <v>3083</v>
      </c>
      <c r="H1999" s="114">
        <v>46235</v>
      </c>
      <c r="I1999" s="17"/>
      <c r="J1999" s="17"/>
      <c r="K1999" s="17"/>
    </row>
    <row r="2000" spans="1:11" x14ac:dyDescent="0.2">
      <c r="A2000" s="115">
        <v>46239</v>
      </c>
      <c r="B2000" s="103" t="s">
        <v>3399</v>
      </c>
      <c r="C2000" s="94" t="s">
        <v>50</v>
      </c>
      <c r="D2000" s="95">
        <v>1999.82</v>
      </c>
      <c r="E2000" s="95">
        <v>100.24</v>
      </c>
      <c r="F2000" s="96">
        <v>200461.96</v>
      </c>
      <c r="G2000" s="97" t="s">
        <v>96</v>
      </c>
      <c r="H2000" s="114">
        <v>46235</v>
      </c>
      <c r="I2000" s="17"/>
      <c r="J2000" s="17"/>
      <c r="K2000" s="17"/>
    </row>
    <row r="2001" spans="1:11" x14ac:dyDescent="0.2">
      <c r="A2001" s="115">
        <v>46239</v>
      </c>
      <c r="B2001" s="103" t="s">
        <v>3400</v>
      </c>
      <c r="C2001" s="94" t="s">
        <v>50</v>
      </c>
      <c r="D2001" s="95">
        <v>248.16</v>
      </c>
      <c r="E2001" s="95">
        <v>100.74</v>
      </c>
      <c r="F2001" s="96">
        <v>25000</v>
      </c>
      <c r="G2001" s="97" t="s">
        <v>2611</v>
      </c>
      <c r="H2001" s="114">
        <v>46235</v>
      </c>
      <c r="I2001" s="17"/>
      <c r="J2001" s="17"/>
      <c r="K2001" s="17"/>
    </row>
    <row r="2002" spans="1:11" x14ac:dyDescent="0.2">
      <c r="A2002" s="115">
        <v>46239</v>
      </c>
      <c r="B2002" s="103" t="s">
        <v>3401</v>
      </c>
      <c r="C2002" s="94" t="s">
        <v>50</v>
      </c>
      <c r="D2002" s="95">
        <v>1144.95</v>
      </c>
      <c r="E2002" s="95">
        <v>100.74</v>
      </c>
      <c r="F2002" s="96">
        <v>115342.26</v>
      </c>
      <c r="G2002" s="97" t="s">
        <v>95</v>
      </c>
      <c r="H2002" s="114">
        <v>46235</v>
      </c>
      <c r="I2002" s="17"/>
      <c r="J2002" s="17"/>
      <c r="K2002" s="17"/>
    </row>
    <row r="2003" spans="1:11" x14ac:dyDescent="0.2">
      <c r="A2003" s="115">
        <v>46239</v>
      </c>
      <c r="B2003" s="103" t="s">
        <v>3402</v>
      </c>
      <c r="C2003" s="94"/>
      <c r="D2003" s="95">
        <v>2222.06</v>
      </c>
      <c r="E2003" s="95">
        <v>100.74</v>
      </c>
      <c r="F2003" s="96">
        <v>223850.31</v>
      </c>
      <c r="G2003" s="97" t="s">
        <v>152</v>
      </c>
      <c r="H2003" s="114">
        <v>46235</v>
      </c>
      <c r="I2003" s="17"/>
      <c r="J2003" s="17"/>
      <c r="K2003" s="17"/>
    </row>
    <row r="2004" spans="1:11" x14ac:dyDescent="0.2">
      <c r="A2004" s="115">
        <v>46239</v>
      </c>
      <c r="B2004" s="103" t="s">
        <v>3403</v>
      </c>
      <c r="C2004" s="94"/>
      <c r="D2004" s="95">
        <v>503.49</v>
      </c>
      <c r="E2004" s="95">
        <v>100.74</v>
      </c>
      <c r="F2004" s="96">
        <v>50721.85</v>
      </c>
      <c r="G2004" s="97" t="s">
        <v>57</v>
      </c>
      <c r="H2004" s="114">
        <v>46235</v>
      </c>
      <c r="I2004" s="17"/>
      <c r="J2004" s="17"/>
      <c r="K2004" s="17"/>
    </row>
    <row r="2005" spans="1:11" x14ac:dyDescent="0.2">
      <c r="A2005" s="115">
        <v>46239</v>
      </c>
      <c r="B2005" s="103" t="s">
        <v>3404</v>
      </c>
      <c r="C2005" s="94"/>
      <c r="D2005" s="95">
        <v>807.57</v>
      </c>
      <c r="E2005" s="95">
        <v>100.74</v>
      </c>
      <c r="F2005" s="96">
        <v>81355</v>
      </c>
      <c r="G2005" s="97" t="s">
        <v>2450</v>
      </c>
      <c r="H2005" s="114">
        <v>46235</v>
      </c>
      <c r="I2005" s="17"/>
      <c r="J2005" s="17"/>
      <c r="K2005" s="17"/>
    </row>
    <row r="2006" spans="1:11" x14ac:dyDescent="0.2">
      <c r="A2006" s="115">
        <v>46239</v>
      </c>
      <c r="B2006" s="103" t="s">
        <v>3405</v>
      </c>
      <c r="C2006" s="94" t="s">
        <v>526</v>
      </c>
      <c r="D2006" s="95">
        <v>2405.1999999999998</v>
      </c>
      <c r="E2006" s="95">
        <v>100.74</v>
      </c>
      <c r="F2006" s="96">
        <v>242300</v>
      </c>
      <c r="G2006" s="97" t="s">
        <v>58</v>
      </c>
      <c r="H2006" s="114">
        <v>46235</v>
      </c>
      <c r="I2006" s="17"/>
      <c r="J2006" s="17"/>
      <c r="K2006" s="17"/>
    </row>
    <row r="2007" spans="1:11" x14ac:dyDescent="0.2">
      <c r="A2007" s="115">
        <v>46239</v>
      </c>
      <c r="B2007" s="103" t="s">
        <v>3406</v>
      </c>
      <c r="C2007" s="94" t="s">
        <v>3247</v>
      </c>
      <c r="D2007" s="95">
        <v>600</v>
      </c>
      <c r="E2007" s="95">
        <v>100.74</v>
      </c>
      <c r="F2007" s="96">
        <v>60444</v>
      </c>
      <c r="G2007" s="97" t="s">
        <v>1483</v>
      </c>
      <c r="H2007" s="114">
        <v>46235</v>
      </c>
      <c r="I2007" s="17"/>
      <c r="J2007" s="17"/>
      <c r="K2007" s="17"/>
    </row>
    <row r="2008" spans="1:11" x14ac:dyDescent="0.2">
      <c r="A2008" s="115">
        <v>46239</v>
      </c>
      <c r="B2008" s="103" t="s">
        <v>3407</v>
      </c>
      <c r="C2008" s="94" t="s">
        <v>1338</v>
      </c>
      <c r="D2008" s="95">
        <v>40</v>
      </c>
      <c r="E2008" s="95">
        <v>100.74</v>
      </c>
      <c r="F2008" s="96">
        <v>4029.6</v>
      </c>
      <c r="G2008" s="97" t="s">
        <v>714</v>
      </c>
      <c r="H2008" s="114">
        <v>46235</v>
      </c>
      <c r="I2008" s="17"/>
      <c r="J2008" s="17"/>
      <c r="K2008" s="17"/>
    </row>
    <row r="2009" spans="1:11" x14ac:dyDescent="0.2">
      <c r="A2009" s="115">
        <v>46239</v>
      </c>
      <c r="B2009" s="103" t="s">
        <v>3408</v>
      </c>
      <c r="C2009" s="94" t="s">
        <v>2665</v>
      </c>
      <c r="D2009" s="95">
        <v>10</v>
      </c>
      <c r="E2009" s="95">
        <v>100.74</v>
      </c>
      <c r="F2009" s="96">
        <v>1007.4</v>
      </c>
      <c r="G2009" s="97" t="s">
        <v>714</v>
      </c>
      <c r="H2009" s="114">
        <v>46235</v>
      </c>
      <c r="I2009" s="17"/>
      <c r="J2009" s="17"/>
      <c r="K2009" s="17"/>
    </row>
    <row r="2010" spans="1:11" x14ac:dyDescent="0.2">
      <c r="A2010" s="115">
        <v>46239</v>
      </c>
      <c r="B2010" s="103" t="s">
        <v>3409</v>
      </c>
      <c r="C2010" s="94" t="s">
        <v>760</v>
      </c>
      <c r="D2010" s="95">
        <v>10</v>
      </c>
      <c r="E2010" s="95">
        <v>100.74</v>
      </c>
      <c r="F2010" s="96">
        <v>1007.4</v>
      </c>
      <c r="G2010" s="97" t="s">
        <v>714</v>
      </c>
      <c r="H2010" s="114">
        <v>46235</v>
      </c>
      <c r="I2010" s="17"/>
      <c r="J2010" s="17"/>
      <c r="K2010" s="17"/>
    </row>
    <row r="2011" spans="1:11" x14ac:dyDescent="0.2">
      <c r="A2011" s="115">
        <v>46239</v>
      </c>
      <c r="B2011" s="103" t="s">
        <v>3410</v>
      </c>
      <c r="C2011" s="94" t="s">
        <v>254</v>
      </c>
      <c r="D2011" s="95">
        <v>54.6</v>
      </c>
      <c r="E2011" s="95">
        <v>100.74</v>
      </c>
      <c r="F2011" s="96">
        <v>5500</v>
      </c>
      <c r="G2011" s="97" t="s">
        <v>257</v>
      </c>
      <c r="H2011" s="114">
        <v>46235</v>
      </c>
      <c r="I2011" s="17"/>
      <c r="J2011" s="17"/>
      <c r="K2011" s="17"/>
    </row>
    <row r="2012" spans="1:11" x14ac:dyDescent="0.2">
      <c r="A2012" s="115">
        <v>46239</v>
      </c>
      <c r="B2012" s="103" t="s">
        <v>3411</v>
      </c>
      <c r="C2012" s="94" t="s">
        <v>427</v>
      </c>
      <c r="D2012" s="95">
        <v>54.6</v>
      </c>
      <c r="E2012" s="95">
        <v>100.74</v>
      </c>
      <c r="F2012" s="96">
        <v>5500</v>
      </c>
      <c r="G2012" s="97" t="s">
        <v>257</v>
      </c>
      <c r="H2012" s="114">
        <v>46235</v>
      </c>
      <c r="I2012" s="17"/>
      <c r="J2012" s="17"/>
      <c r="K2012" s="17"/>
    </row>
    <row r="2013" spans="1:11" x14ac:dyDescent="0.2">
      <c r="A2013" s="115">
        <v>46239</v>
      </c>
      <c r="B2013" s="103" t="s">
        <v>3412</v>
      </c>
      <c r="C2013" s="94" t="s">
        <v>1006</v>
      </c>
      <c r="D2013" s="95">
        <v>54.6</v>
      </c>
      <c r="E2013" s="95">
        <v>100.74</v>
      </c>
      <c r="F2013" s="96">
        <v>5500</v>
      </c>
      <c r="G2013" s="97" t="s">
        <v>257</v>
      </c>
      <c r="H2013" s="114">
        <v>46235</v>
      </c>
      <c r="I2013" s="17"/>
      <c r="J2013" s="17"/>
      <c r="K2013" s="17"/>
    </row>
    <row r="2014" spans="1:11" x14ac:dyDescent="0.2">
      <c r="A2014" s="115">
        <v>46239</v>
      </c>
      <c r="B2014" s="103" t="s">
        <v>3413</v>
      </c>
      <c r="C2014" s="94" t="s">
        <v>253</v>
      </c>
      <c r="D2014" s="95">
        <v>54.6</v>
      </c>
      <c r="E2014" s="95">
        <v>100.74</v>
      </c>
      <c r="F2014" s="96">
        <v>5500</v>
      </c>
      <c r="G2014" s="97" t="s">
        <v>257</v>
      </c>
      <c r="H2014" s="114">
        <v>46235</v>
      </c>
      <c r="I2014" s="17"/>
      <c r="J2014" s="17"/>
      <c r="K2014" s="17"/>
    </row>
    <row r="2015" spans="1:11" x14ac:dyDescent="0.2">
      <c r="A2015" s="115">
        <v>46239</v>
      </c>
      <c r="B2015" s="103" t="s">
        <v>3414</v>
      </c>
      <c r="C2015" s="94" t="s">
        <v>1068</v>
      </c>
      <c r="D2015" s="95">
        <v>54.6</v>
      </c>
      <c r="E2015" s="95">
        <v>100.74</v>
      </c>
      <c r="F2015" s="96">
        <v>5500</v>
      </c>
      <c r="G2015" s="97" t="s">
        <v>257</v>
      </c>
      <c r="H2015" s="114">
        <v>46235</v>
      </c>
      <c r="I2015" s="17"/>
      <c r="J2015" s="17"/>
      <c r="K2015" s="17"/>
    </row>
    <row r="2016" spans="1:11" x14ac:dyDescent="0.2">
      <c r="A2016" s="115">
        <v>46239</v>
      </c>
      <c r="B2016" s="103" t="s">
        <v>3415</v>
      </c>
      <c r="C2016" s="94" t="s">
        <v>426</v>
      </c>
      <c r="D2016" s="95">
        <v>54.6</v>
      </c>
      <c r="E2016" s="95">
        <v>100.74</v>
      </c>
      <c r="F2016" s="96">
        <v>5500</v>
      </c>
      <c r="G2016" s="97" t="s">
        <v>257</v>
      </c>
      <c r="H2016" s="114">
        <v>46235</v>
      </c>
      <c r="I2016" s="17"/>
      <c r="J2016" s="17"/>
      <c r="K2016" s="17"/>
    </row>
    <row r="2017" spans="1:11" x14ac:dyDescent="0.2">
      <c r="A2017" s="115">
        <v>46239</v>
      </c>
      <c r="B2017" s="103" t="s">
        <v>3416</v>
      </c>
      <c r="C2017" s="94" t="s">
        <v>1322</v>
      </c>
      <c r="D2017" s="95">
        <v>54.6</v>
      </c>
      <c r="E2017" s="95">
        <v>100.74</v>
      </c>
      <c r="F2017" s="96">
        <v>5500</v>
      </c>
      <c r="G2017" s="97" t="s">
        <v>257</v>
      </c>
      <c r="H2017" s="114">
        <v>46235</v>
      </c>
      <c r="I2017" s="17"/>
      <c r="J2017" s="17"/>
      <c r="K2017" s="17"/>
    </row>
    <row r="2018" spans="1:11" x14ac:dyDescent="0.2">
      <c r="A2018" s="115">
        <v>46239</v>
      </c>
      <c r="B2018" s="103" t="s">
        <v>3417</v>
      </c>
      <c r="C2018" s="94" t="s">
        <v>1066</v>
      </c>
      <c r="D2018" s="95">
        <v>54.6</v>
      </c>
      <c r="E2018" s="95">
        <v>100.74</v>
      </c>
      <c r="F2018" s="96">
        <v>5500</v>
      </c>
      <c r="G2018" s="97" t="s">
        <v>257</v>
      </c>
      <c r="H2018" s="114">
        <v>46235</v>
      </c>
      <c r="I2018" s="17"/>
      <c r="J2018" s="17"/>
      <c r="K2018" s="17"/>
    </row>
    <row r="2019" spans="1:11" x14ac:dyDescent="0.2">
      <c r="A2019" s="115">
        <v>46239</v>
      </c>
      <c r="B2019" s="103" t="s">
        <v>3418</v>
      </c>
      <c r="C2019" s="94" t="s">
        <v>873</v>
      </c>
      <c r="D2019" s="95">
        <v>54.6</v>
      </c>
      <c r="E2019" s="95">
        <v>100.74</v>
      </c>
      <c r="F2019" s="96">
        <v>5500</v>
      </c>
      <c r="G2019" s="97" t="s">
        <v>257</v>
      </c>
      <c r="H2019" s="114">
        <v>46235</v>
      </c>
      <c r="I2019" s="17"/>
      <c r="J2019" s="17"/>
      <c r="K2019" s="17"/>
    </row>
    <row r="2020" spans="1:11" x14ac:dyDescent="0.2">
      <c r="A2020" s="115">
        <v>46239</v>
      </c>
      <c r="B2020" s="103" t="s">
        <v>3419</v>
      </c>
      <c r="C2020" s="94" t="s">
        <v>1006</v>
      </c>
      <c r="D2020" s="95">
        <v>20</v>
      </c>
      <c r="E2020" s="95">
        <v>100.74</v>
      </c>
      <c r="F2020" s="96">
        <v>2014.8</v>
      </c>
      <c r="G2020" s="97" t="s">
        <v>257</v>
      </c>
      <c r="H2020" s="114">
        <v>46235</v>
      </c>
      <c r="I2020" s="17"/>
      <c r="J2020" s="17"/>
      <c r="K2020" s="17"/>
    </row>
    <row r="2021" spans="1:11" x14ac:dyDescent="0.2">
      <c r="A2021" s="115">
        <v>46240</v>
      </c>
      <c r="B2021" s="103" t="s">
        <v>3425</v>
      </c>
      <c r="C2021" s="94" t="s">
        <v>1068</v>
      </c>
      <c r="D2021" s="95">
        <v>20</v>
      </c>
      <c r="E2021" s="95">
        <v>100.74</v>
      </c>
      <c r="F2021" s="96">
        <v>2014.8</v>
      </c>
      <c r="G2021" s="97" t="s">
        <v>257</v>
      </c>
      <c r="H2021" s="114">
        <v>46235</v>
      </c>
      <c r="I2021" s="17"/>
      <c r="J2021" s="17"/>
      <c r="K2021" s="17"/>
    </row>
    <row r="2022" spans="1:11" x14ac:dyDescent="0.2">
      <c r="A2022" s="115">
        <v>46240</v>
      </c>
      <c r="B2022" s="103" t="s">
        <v>3426</v>
      </c>
      <c r="C2022" s="94" t="s">
        <v>252</v>
      </c>
      <c r="D2022" s="95">
        <v>54.6</v>
      </c>
      <c r="E2022" s="95">
        <v>100.74</v>
      </c>
      <c r="F2022" s="96">
        <v>5500</v>
      </c>
      <c r="G2022" s="97" t="s">
        <v>257</v>
      </c>
      <c r="H2022" s="114">
        <v>46235</v>
      </c>
      <c r="I2022" s="17"/>
      <c r="J2022" s="17"/>
      <c r="K2022" s="17"/>
    </row>
    <row r="2023" spans="1:11" x14ac:dyDescent="0.2">
      <c r="A2023" s="115">
        <v>46240</v>
      </c>
      <c r="B2023" s="103" t="s">
        <v>3427</v>
      </c>
      <c r="C2023" s="94" t="s">
        <v>1323</v>
      </c>
      <c r="D2023" s="95">
        <v>54.6</v>
      </c>
      <c r="E2023" s="95">
        <v>100.74</v>
      </c>
      <c r="F2023" s="96">
        <v>5500</v>
      </c>
      <c r="G2023" s="97" t="s">
        <v>257</v>
      </c>
      <c r="H2023" s="114">
        <v>46235</v>
      </c>
      <c r="I2023" s="17"/>
      <c r="J2023" s="17"/>
      <c r="K2023" s="17"/>
    </row>
    <row r="2024" spans="1:11" x14ac:dyDescent="0.2">
      <c r="A2024" s="115">
        <v>46240</v>
      </c>
      <c r="B2024" s="103" t="s">
        <v>3428</v>
      </c>
      <c r="C2024" s="94" t="s">
        <v>521</v>
      </c>
      <c r="D2024" s="95">
        <v>48.94</v>
      </c>
      <c r="E2024" s="95">
        <v>100.74</v>
      </c>
      <c r="F2024" s="96">
        <v>4930.21</v>
      </c>
      <c r="G2024" s="97" t="s">
        <v>257</v>
      </c>
      <c r="H2024" s="114">
        <v>46235</v>
      </c>
      <c r="I2024" s="17"/>
      <c r="J2024" s="17"/>
      <c r="K2024" s="17"/>
    </row>
    <row r="2025" spans="1:11" x14ac:dyDescent="0.2">
      <c r="A2025" s="115">
        <v>46240</v>
      </c>
      <c r="B2025" s="103" t="s">
        <v>3429</v>
      </c>
      <c r="C2025" s="94" t="s">
        <v>693</v>
      </c>
      <c r="D2025" s="95">
        <v>54.6</v>
      </c>
      <c r="E2025" s="95">
        <v>100.74</v>
      </c>
      <c r="F2025" s="96">
        <v>5500</v>
      </c>
      <c r="G2025" s="97" t="s">
        <v>257</v>
      </c>
      <c r="H2025" s="114">
        <v>46235</v>
      </c>
      <c r="I2025" s="17"/>
      <c r="J2025" s="17"/>
      <c r="K2025" s="17"/>
    </row>
    <row r="2026" spans="1:11" x14ac:dyDescent="0.2">
      <c r="A2026" s="115">
        <v>46240</v>
      </c>
      <c r="B2026" s="103" t="s">
        <v>3430</v>
      </c>
      <c r="C2026" s="94" t="s">
        <v>1064</v>
      </c>
      <c r="D2026" s="95">
        <v>54.6</v>
      </c>
      <c r="E2026" s="95">
        <v>100.74</v>
      </c>
      <c r="F2026" s="96">
        <v>5500</v>
      </c>
      <c r="G2026" s="97" t="s">
        <v>257</v>
      </c>
      <c r="H2026" s="114">
        <v>46235</v>
      </c>
      <c r="I2026" s="17"/>
      <c r="J2026" s="17"/>
      <c r="K2026" s="17"/>
    </row>
    <row r="2027" spans="1:11" x14ac:dyDescent="0.2">
      <c r="A2027" s="115">
        <v>46240</v>
      </c>
      <c r="B2027" s="103" t="s">
        <v>3431</v>
      </c>
      <c r="C2027" s="94" t="s">
        <v>1065</v>
      </c>
      <c r="D2027" s="95">
        <v>54.6</v>
      </c>
      <c r="E2027" s="95">
        <v>100.74</v>
      </c>
      <c r="F2027" s="96">
        <v>5500</v>
      </c>
      <c r="G2027" s="97" t="s">
        <v>257</v>
      </c>
      <c r="H2027" s="114">
        <v>46235</v>
      </c>
      <c r="I2027" s="17"/>
      <c r="J2027" s="17"/>
      <c r="K2027" s="17"/>
    </row>
    <row r="2028" spans="1:11" x14ac:dyDescent="0.2">
      <c r="A2028" s="115">
        <v>46240</v>
      </c>
      <c r="B2028" s="103" t="s">
        <v>3432</v>
      </c>
      <c r="C2028" s="94" t="s">
        <v>429</v>
      </c>
      <c r="D2028" s="95">
        <v>54.6</v>
      </c>
      <c r="E2028" s="95">
        <v>100.74</v>
      </c>
      <c r="F2028" s="96">
        <v>5500</v>
      </c>
      <c r="G2028" s="97" t="s">
        <v>257</v>
      </c>
      <c r="H2028" s="114">
        <v>46235</v>
      </c>
      <c r="I2028" s="17"/>
      <c r="J2028" s="17"/>
      <c r="K2028" s="17"/>
    </row>
    <row r="2029" spans="1:11" x14ac:dyDescent="0.2">
      <c r="A2029" s="115">
        <v>46240</v>
      </c>
      <c r="B2029" s="103" t="s">
        <v>3433</v>
      </c>
      <c r="C2029" s="94" t="s">
        <v>254</v>
      </c>
      <c r="D2029" s="95">
        <v>54.6</v>
      </c>
      <c r="E2029" s="95">
        <v>100.74</v>
      </c>
      <c r="F2029" s="96">
        <v>5500</v>
      </c>
      <c r="G2029" s="97" t="s">
        <v>257</v>
      </c>
      <c r="H2029" s="114">
        <v>46235</v>
      </c>
      <c r="I2029" s="17"/>
      <c r="J2029" s="17"/>
      <c r="K2029" s="17"/>
    </row>
    <row r="2030" spans="1:11" x14ac:dyDescent="0.2">
      <c r="A2030" s="115">
        <v>46240</v>
      </c>
      <c r="B2030" s="103" t="s">
        <v>3434</v>
      </c>
      <c r="C2030" s="94" t="s">
        <v>1322</v>
      </c>
      <c r="D2030" s="95">
        <v>54.6</v>
      </c>
      <c r="E2030" s="95">
        <v>100.74</v>
      </c>
      <c r="F2030" s="96">
        <v>5500</v>
      </c>
      <c r="G2030" s="97" t="s">
        <v>257</v>
      </c>
      <c r="H2030" s="114">
        <v>46235</v>
      </c>
      <c r="I2030" s="17"/>
      <c r="J2030" s="17"/>
      <c r="K2030" s="17"/>
    </row>
    <row r="2031" spans="1:11" x14ac:dyDescent="0.2">
      <c r="A2031" s="115">
        <v>46240</v>
      </c>
      <c r="B2031" s="103" t="s">
        <v>3435</v>
      </c>
      <c r="C2031" s="94" t="s">
        <v>3436</v>
      </c>
      <c r="D2031" s="95">
        <v>235.76</v>
      </c>
      <c r="E2031" s="95">
        <v>100.74</v>
      </c>
      <c r="F2031" s="96">
        <v>23750.46</v>
      </c>
      <c r="G2031" s="97" t="s">
        <v>199</v>
      </c>
      <c r="H2031" s="114">
        <v>46235</v>
      </c>
      <c r="I2031" s="17"/>
      <c r="J2031" s="17"/>
      <c r="K2031" s="17"/>
    </row>
    <row r="2032" spans="1:11" x14ac:dyDescent="0.2">
      <c r="A2032" s="115">
        <v>46240</v>
      </c>
      <c r="B2032" s="103" t="s">
        <v>3437</v>
      </c>
      <c r="C2032" s="94" t="s">
        <v>1943</v>
      </c>
      <c r="D2032" s="95">
        <v>200</v>
      </c>
      <c r="E2032" s="95">
        <v>100.74</v>
      </c>
      <c r="F2032" s="96">
        <v>20148</v>
      </c>
      <c r="G2032" s="97" t="s">
        <v>54</v>
      </c>
      <c r="H2032" s="114">
        <v>46235</v>
      </c>
      <c r="I2032" s="17"/>
      <c r="J2032" s="17"/>
      <c r="K2032" s="17"/>
    </row>
    <row r="2033" spans="1:11" x14ac:dyDescent="0.2">
      <c r="A2033" s="115">
        <v>46240</v>
      </c>
      <c r="B2033" s="103" t="s">
        <v>3438</v>
      </c>
      <c r="C2033" s="94" t="s">
        <v>45</v>
      </c>
      <c r="D2033" s="95">
        <v>35</v>
      </c>
      <c r="E2033" s="95">
        <v>100.74</v>
      </c>
      <c r="F2033" s="96">
        <v>3525.9</v>
      </c>
      <c r="G2033" s="97" t="s">
        <v>56</v>
      </c>
      <c r="H2033" s="114">
        <v>46235</v>
      </c>
      <c r="I2033" s="17"/>
      <c r="J2033" s="17"/>
      <c r="K2033" s="17"/>
    </row>
    <row r="2034" spans="1:11" x14ac:dyDescent="0.2">
      <c r="A2034" s="115">
        <v>46240</v>
      </c>
      <c r="B2034" s="103" t="s">
        <v>3439</v>
      </c>
      <c r="C2034" s="94" t="s">
        <v>760</v>
      </c>
      <c r="D2034" s="95">
        <v>20</v>
      </c>
      <c r="E2034" s="95">
        <v>100.74</v>
      </c>
      <c r="F2034" s="96">
        <v>2014.8</v>
      </c>
      <c r="G2034" s="97" t="s">
        <v>714</v>
      </c>
      <c r="H2034" s="114">
        <v>46235</v>
      </c>
      <c r="I2034" s="17"/>
      <c r="J2034" s="17"/>
      <c r="K2034" s="17"/>
    </row>
    <row r="2035" spans="1:11" x14ac:dyDescent="0.2">
      <c r="A2035" s="115">
        <v>46240</v>
      </c>
      <c r="B2035" s="103" t="s">
        <v>3440</v>
      </c>
      <c r="C2035" s="94" t="s">
        <v>2604</v>
      </c>
      <c r="D2035" s="95">
        <v>49.63</v>
      </c>
      <c r="E2035" s="95">
        <v>100.74</v>
      </c>
      <c r="F2035" s="96">
        <v>5000</v>
      </c>
      <c r="G2035" s="97" t="s">
        <v>2611</v>
      </c>
      <c r="H2035" s="114">
        <v>46235</v>
      </c>
      <c r="I2035" s="17"/>
      <c r="J2035" s="17"/>
      <c r="K2035" s="17"/>
    </row>
    <row r="2036" spans="1:11" x14ac:dyDescent="0.2">
      <c r="A2036" s="115">
        <v>46240</v>
      </c>
      <c r="B2036" s="103" t="s">
        <v>3441</v>
      </c>
      <c r="C2036" s="94" t="s">
        <v>50</v>
      </c>
      <c r="D2036" s="95">
        <v>198.53</v>
      </c>
      <c r="E2036" s="95">
        <v>100.74</v>
      </c>
      <c r="F2036" s="96">
        <v>20000</v>
      </c>
      <c r="G2036" s="97" t="s">
        <v>2611</v>
      </c>
      <c r="H2036" s="114">
        <v>46235</v>
      </c>
      <c r="I2036" s="17"/>
      <c r="J2036" s="17"/>
      <c r="K2036" s="17"/>
    </row>
    <row r="2037" spans="1:11" x14ac:dyDescent="0.2">
      <c r="A2037" s="115">
        <v>46240</v>
      </c>
      <c r="B2037" s="103" t="s">
        <v>3442</v>
      </c>
      <c r="C2037" s="94"/>
      <c r="D2037" s="95">
        <v>1275.46</v>
      </c>
      <c r="E2037" s="95">
        <v>100.74</v>
      </c>
      <c r="F2037" s="96">
        <v>128489.68</v>
      </c>
      <c r="G2037" s="97" t="s">
        <v>152</v>
      </c>
      <c r="H2037" s="114">
        <v>46235</v>
      </c>
      <c r="I2037" s="17"/>
      <c r="J2037" s="17"/>
      <c r="K2037" s="17"/>
    </row>
    <row r="2038" spans="1:11" x14ac:dyDescent="0.2">
      <c r="A2038" s="115">
        <v>46240</v>
      </c>
      <c r="B2038" s="103" t="s">
        <v>3443</v>
      </c>
      <c r="C2038" s="94" t="s">
        <v>526</v>
      </c>
      <c r="D2038" s="95">
        <v>1523.72</v>
      </c>
      <c r="E2038" s="95">
        <v>100.74</v>
      </c>
      <c r="F2038" s="96">
        <v>153500</v>
      </c>
      <c r="G2038" s="97" t="s">
        <v>58</v>
      </c>
      <c r="H2038" s="114">
        <v>46235</v>
      </c>
      <c r="I2038" s="17"/>
      <c r="J2038" s="17"/>
      <c r="K2038" s="17"/>
    </row>
    <row r="2039" spans="1:11" x14ac:dyDescent="0.2">
      <c r="A2039" s="115">
        <v>46240</v>
      </c>
      <c r="B2039" s="103" t="s">
        <v>3444</v>
      </c>
      <c r="C2039" s="94" t="s">
        <v>525</v>
      </c>
      <c r="D2039" s="95">
        <v>150.44</v>
      </c>
      <c r="E2039" s="95">
        <v>100.74</v>
      </c>
      <c r="F2039" s="96">
        <v>15155.26</v>
      </c>
      <c r="G2039" s="97" t="s">
        <v>58</v>
      </c>
      <c r="H2039" s="114">
        <v>46235</v>
      </c>
      <c r="I2039" s="17"/>
      <c r="J2039" s="17"/>
      <c r="K2039" s="17"/>
    </row>
    <row r="2040" spans="1:11" x14ac:dyDescent="0.2">
      <c r="A2040" s="115">
        <v>46240</v>
      </c>
      <c r="B2040" s="103" t="s">
        <v>3445</v>
      </c>
      <c r="C2040" s="94"/>
      <c r="D2040" s="95">
        <v>248.16</v>
      </c>
      <c r="E2040" s="95">
        <v>100.74</v>
      </c>
      <c r="F2040" s="96">
        <v>25000</v>
      </c>
      <c r="G2040" s="97" t="s">
        <v>57</v>
      </c>
      <c r="H2040" s="114">
        <v>46235</v>
      </c>
      <c r="I2040" s="17"/>
      <c r="J2040" s="17"/>
      <c r="K2040" s="17"/>
    </row>
    <row r="2041" spans="1:11" x14ac:dyDescent="0.2">
      <c r="A2041" s="115">
        <v>46240</v>
      </c>
      <c r="B2041" s="103" t="s">
        <v>3446</v>
      </c>
      <c r="C2041" s="94"/>
      <c r="D2041" s="95">
        <v>866.93</v>
      </c>
      <c r="E2041" s="95">
        <v>100.74</v>
      </c>
      <c r="F2041" s="96">
        <v>87335</v>
      </c>
      <c r="G2041" s="100" t="s">
        <v>2450</v>
      </c>
      <c r="H2041" s="114">
        <v>46235</v>
      </c>
      <c r="I2041" s="17"/>
      <c r="J2041" s="17"/>
      <c r="K2041" s="17"/>
    </row>
    <row r="2042" spans="1:11" x14ac:dyDescent="0.2">
      <c r="A2042" s="115">
        <v>46240</v>
      </c>
      <c r="B2042" s="103" t="s">
        <v>3447</v>
      </c>
      <c r="C2042" s="94" t="s">
        <v>50</v>
      </c>
      <c r="D2042" s="95">
        <v>1147.03</v>
      </c>
      <c r="E2042" s="95">
        <v>100.74</v>
      </c>
      <c r="F2042" s="96">
        <v>115551.8</v>
      </c>
      <c r="G2042" s="100" t="s">
        <v>95</v>
      </c>
      <c r="H2042" s="114">
        <v>46235</v>
      </c>
      <c r="I2042" s="17"/>
      <c r="J2042" s="17"/>
      <c r="K2042" s="17"/>
    </row>
    <row r="2043" spans="1:11" x14ac:dyDescent="0.2">
      <c r="A2043" s="115">
        <v>46240</v>
      </c>
      <c r="B2043" s="103" t="s">
        <v>3448</v>
      </c>
      <c r="C2043" s="94" t="s">
        <v>50</v>
      </c>
      <c r="D2043" s="95">
        <v>1923.51</v>
      </c>
      <c r="E2043" s="95">
        <v>100.74</v>
      </c>
      <c r="F2043" s="96">
        <v>193774.4</v>
      </c>
      <c r="G2043" s="100" t="s">
        <v>901</v>
      </c>
      <c r="H2043" s="114">
        <v>46235</v>
      </c>
      <c r="I2043" s="17"/>
      <c r="J2043" s="17"/>
      <c r="K2043" s="17"/>
    </row>
    <row r="2044" spans="1:11" x14ac:dyDescent="0.2">
      <c r="A2044" s="115">
        <v>46241</v>
      </c>
      <c r="B2044" s="103" t="s">
        <v>3454</v>
      </c>
      <c r="C2044" s="94" t="s">
        <v>42</v>
      </c>
      <c r="D2044" s="95">
        <v>12000</v>
      </c>
      <c r="E2044" s="95">
        <v>99.5</v>
      </c>
      <c r="F2044" s="96">
        <v>1194000</v>
      </c>
      <c r="G2044" s="100" t="s">
        <v>143</v>
      </c>
      <c r="H2044" s="114">
        <v>46235</v>
      </c>
      <c r="I2044" s="17"/>
      <c r="J2044" s="17"/>
      <c r="K2044" s="17"/>
    </row>
    <row r="2045" spans="1:11" x14ac:dyDescent="0.2">
      <c r="A2045" s="115">
        <v>46241</v>
      </c>
      <c r="B2045" s="103" t="s">
        <v>3455</v>
      </c>
      <c r="C2045" s="94" t="s">
        <v>39</v>
      </c>
      <c r="D2045" s="95">
        <v>2000</v>
      </c>
      <c r="E2045" s="95">
        <v>99.5</v>
      </c>
      <c r="F2045" s="96">
        <v>199000</v>
      </c>
      <c r="G2045" s="100" t="s">
        <v>51</v>
      </c>
      <c r="H2045" s="114">
        <v>46235</v>
      </c>
      <c r="I2045" s="17"/>
      <c r="J2045" s="17"/>
      <c r="K2045" s="17"/>
    </row>
    <row r="2046" spans="1:11" x14ac:dyDescent="0.2">
      <c r="A2046" s="115">
        <v>46241</v>
      </c>
      <c r="B2046" s="103" t="s">
        <v>3456</v>
      </c>
      <c r="C2046" s="94" t="s">
        <v>39</v>
      </c>
      <c r="D2046" s="95">
        <v>16000</v>
      </c>
      <c r="E2046" s="95">
        <v>99.5</v>
      </c>
      <c r="F2046" s="96">
        <v>1592000</v>
      </c>
      <c r="G2046" s="100" t="s">
        <v>51</v>
      </c>
      <c r="H2046" s="114">
        <v>46235</v>
      </c>
      <c r="I2046" s="17"/>
      <c r="J2046" s="17"/>
      <c r="K2046" s="17"/>
    </row>
    <row r="2047" spans="1:11" x14ac:dyDescent="0.2">
      <c r="A2047" s="115">
        <v>46241</v>
      </c>
      <c r="B2047" s="103" t="s">
        <v>3457</v>
      </c>
      <c r="C2047" s="94"/>
      <c r="D2047" s="95">
        <v>772.04</v>
      </c>
      <c r="E2047" s="95">
        <v>100.74</v>
      </c>
      <c r="F2047" s="96">
        <v>77775</v>
      </c>
      <c r="G2047" s="100" t="s">
        <v>2450</v>
      </c>
      <c r="H2047" s="114">
        <v>46235</v>
      </c>
      <c r="I2047" s="17"/>
      <c r="J2047" s="17"/>
      <c r="K2047" s="17"/>
    </row>
    <row r="2048" spans="1:11" x14ac:dyDescent="0.2">
      <c r="A2048" s="115">
        <v>46241</v>
      </c>
      <c r="B2048" s="103" t="s">
        <v>3458</v>
      </c>
      <c r="C2048" s="94"/>
      <c r="D2048" s="95">
        <v>565.80999999999995</v>
      </c>
      <c r="E2048" s="95">
        <v>100.74</v>
      </c>
      <c r="F2048" s="96">
        <v>57000</v>
      </c>
      <c r="G2048" s="100" t="s">
        <v>57</v>
      </c>
      <c r="H2048" s="114">
        <v>46235</v>
      </c>
      <c r="I2048" s="17"/>
      <c r="J2048" s="17"/>
      <c r="K2048" s="17"/>
    </row>
    <row r="2049" spans="1:11" x14ac:dyDescent="0.2">
      <c r="A2049" s="115">
        <v>46241</v>
      </c>
      <c r="B2049" s="103" t="s">
        <v>3459</v>
      </c>
      <c r="C2049" s="94" t="s">
        <v>50</v>
      </c>
      <c r="D2049" s="95">
        <v>2000</v>
      </c>
      <c r="E2049" s="95">
        <v>100.24</v>
      </c>
      <c r="F2049" s="96">
        <v>200480</v>
      </c>
      <c r="G2049" s="100" t="s">
        <v>96</v>
      </c>
      <c r="H2049" s="114">
        <v>46235</v>
      </c>
      <c r="I2049" s="17"/>
      <c r="J2049" s="17"/>
      <c r="K2049" s="17"/>
    </row>
    <row r="2050" spans="1:11" x14ac:dyDescent="0.2">
      <c r="A2050" s="115">
        <v>46241</v>
      </c>
      <c r="B2050" s="103" t="s">
        <v>3460</v>
      </c>
      <c r="C2050" s="94" t="s">
        <v>50</v>
      </c>
      <c r="D2050" s="95">
        <v>843.67</v>
      </c>
      <c r="E2050" s="95">
        <v>100.74</v>
      </c>
      <c r="F2050" s="96">
        <v>84991.32</v>
      </c>
      <c r="G2050" s="100" t="s">
        <v>95</v>
      </c>
      <c r="H2050" s="114">
        <v>46235</v>
      </c>
      <c r="I2050" s="17"/>
      <c r="J2050" s="17"/>
      <c r="K2050" s="17"/>
    </row>
    <row r="2051" spans="1:11" x14ac:dyDescent="0.2">
      <c r="A2051" s="115">
        <v>46241</v>
      </c>
      <c r="B2051" s="103" t="s">
        <v>3461</v>
      </c>
      <c r="C2051" s="94"/>
      <c r="D2051" s="95">
        <v>1471.97</v>
      </c>
      <c r="E2051" s="95">
        <v>100.74</v>
      </c>
      <c r="F2051" s="96">
        <v>148285.88</v>
      </c>
      <c r="G2051" s="100" t="s">
        <v>152</v>
      </c>
      <c r="H2051" s="114">
        <v>46235</v>
      </c>
      <c r="I2051" s="17"/>
      <c r="J2051" s="17"/>
      <c r="K2051" s="17"/>
    </row>
    <row r="2052" spans="1:11" x14ac:dyDescent="0.2">
      <c r="A2052" s="115">
        <v>46241</v>
      </c>
      <c r="B2052" s="103" t="s">
        <v>3462</v>
      </c>
      <c r="C2052" s="94" t="s">
        <v>526</v>
      </c>
      <c r="D2052" s="95">
        <v>2707.96</v>
      </c>
      <c r="E2052" s="95">
        <v>100.74</v>
      </c>
      <c r="F2052" s="96">
        <v>272800</v>
      </c>
      <c r="G2052" s="100" t="s">
        <v>58</v>
      </c>
      <c r="H2052" s="114">
        <v>46235</v>
      </c>
      <c r="I2052" s="17"/>
      <c r="J2052" s="17"/>
      <c r="K2052" s="17"/>
    </row>
    <row r="2053" spans="1:11" x14ac:dyDescent="0.2">
      <c r="A2053" s="115">
        <v>46241</v>
      </c>
      <c r="B2053" s="103" t="s">
        <v>3463</v>
      </c>
      <c r="C2053" s="94" t="s">
        <v>525</v>
      </c>
      <c r="D2053" s="95">
        <v>89.34</v>
      </c>
      <c r="E2053" s="95">
        <v>100.74</v>
      </c>
      <c r="F2053" s="96">
        <v>9000</v>
      </c>
      <c r="G2053" s="100" t="s">
        <v>58</v>
      </c>
      <c r="H2053" s="114">
        <v>46235</v>
      </c>
      <c r="I2053" s="17"/>
      <c r="J2053" s="17"/>
      <c r="K2053" s="17"/>
    </row>
    <row r="2054" spans="1:11" x14ac:dyDescent="0.2">
      <c r="A2054" s="115">
        <v>46241</v>
      </c>
      <c r="B2054" s="103" t="s">
        <v>3464</v>
      </c>
      <c r="C2054" s="94" t="s">
        <v>129</v>
      </c>
      <c r="D2054" s="95">
        <v>94.25</v>
      </c>
      <c r="E2054" s="95">
        <v>100.74</v>
      </c>
      <c r="F2054" s="96">
        <v>9494.74</v>
      </c>
      <c r="G2054" s="100" t="s">
        <v>56</v>
      </c>
      <c r="H2054" s="114">
        <v>46235</v>
      </c>
      <c r="I2054" s="17"/>
      <c r="J2054" s="17"/>
      <c r="K2054" s="17"/>
    </row>
    <row r="2055" spans="1:11" x14ac:dyDescent="0.2">
      <c r="A2055" s="115">
        <v>46241</v>
      </c>
      <c r="B2055" s="103" t="s">
        <v>3465</v>
      </c>
      <c r="C2055" s="94" t="s">
        <v>45</v>
      </c>
      <c r="D2055" s="95">
        <v>49.47</v>
      </c>
      <c r="E2055" s="95">
        <v>100.74</v>
      </c>
      <c r="F2055" s="96">
        <v>4983.6000000000004</v>
      </c>
      <c r="G2055" s="100" t="s">
        <v>56</v>
      </c>
      <c r="H2055" s="114">
        <v>46235</v>
      </c>
      <c r="I2055" s="17"/>
      <c r="J2055" s="17"/>
      <c r="K2055" s="17"/>
    </row>
    <row r="2056" spans="1:11" x14ac:dyDescent="0.2">
      <c r="A2056" s="115">
        <v>46241</v>
      </c>
      <c r="B2056" s="103" t="s">
        <v>3466</v>
      </c>
      <c r="C2056" s="94" t="s">
        <v>44</v>
      </c>
      <c r="D2056" s="95">
        <v>50.65</v>
      </c>
      <c r="E2056" s="95">
        <v>100.74</v>
      </c>
      <c r="F2056" s="96">
        <v>5102.4799999999996</v>
      </c>
      <c r="G2056" s="100" t="s">
        <v>56</v>
      </c>
      <c r="H2056" s="114">
        <v>46235</v>
      </c>
      <c r="I2056" s="17"/>
      <c r="J2056" s="17"/>
      <c r="K2056" s="17"/>
    </row>
    <row r="2057" spans="1:11" x14ac:dyDescent="0.2">
      <c r="A2057" s="115">
        <v>46241</v>
      </c>
      <c r="B2057" s="103" t="s">
        <v>3467</v>
      </c>
      <c r="C2057" s="94" t="s">
        <v>1105</v>
      </c>
      <c r="D2057" s="95">
        <v>272.99</v>
      </c>
      <c r="E2057" s="95">
        <v>100.74</v>
      </c>
      <c r="F2057" s="96">
        <v>27501.01</v>
      </c>
      <c r="G2057" s="100" t="s">
        <v>199</v>
      </c>
      <c r="H2057" s="114">
        <v>46235</v>
      </c>
      <c r="I2057" s="17"/>
      <c r="J2057" s="17"/>
      <c r="K2057" s="17"/>
    </row>
    <row r="2058" spans="1:11" x14ac:dyDescent="0.2">
      <c r="A2058" s="115">
        <v>46241</v>
      </c>
      <c r="B2058" s="103" t="s">
        <v>3468</v>
      </c>
      <c r="C2058" s="94" t="s">
        <v>42</v>
      </c>
      <c r="D2058" s="95">
        <v>200</v>
      </c>
      <c r="E2058" s="95">
        <v>100.74</v>
      </c>
      <c r="F2058" s="96">
        <v>20148</v>
      </c>
      <c r="G2058" s="100" t="s">
        <v>54</v>
      </c>
      <c r="H2058" s="114">
        <v>46235</v>
      </c>
      <c r="I2058" s="17"/>
      <c r="J2058" s="17"/>
      <c r="K2058" s="17"/>
    </row>
    <row r="2059" spans="1:11" x14ac:dyDescent="0.2">
      <c r="A2059" s="115">
        <v>46241</v>
      </c>
      <c r="B2059" s="103" t="s">
        <v>3469</v>
      </c>
      <c r="C2059" s="94" t="s">
        <v>50</v>
      </c>
      <c r="D2059" s="95">
        <v>44.4</v>
      </c>
      <c r="E2059" s="95">
        <v>100.74</v>
      </c>
      <c r="F2059" s="96">
        <v>4472.8500000000004</v>
      </c>
      <c r="G2059" s="100" t="s">
        <v>54</v>
      </c>
      <c r="H2059" s="114">
        <v>46235</v>
      </c>
      <c r="I2059" s="17"/>
      <c r="J2059" s="17"/>
      <c r="K2059" s="17"/>
    </row>
    <row r="2060" spans="1:11" x14ac:dyDescent="0.2">
      <c r="A2060" s="115">
        <v>46241</v>
      </c>
      <c r="B2060" s="103" t="s">
        <v>3470</v>
      </c>
      <c r="C2060" s="94" t="s">
        <v>3471</v>
      </c>
      <c r="D2060" s="95">
        <v>27.8</v>
      </c>
      <c r="E2060" s="95">
        <v>100.74</v>
      </c>
      <c r="F2060" s="96">
        <v>2800</v>
      </c>
      <c r="G2060" s="100" t="s">
        <v>1786</v>
      </c>
      <c r="H2060" s="114">
        <v>46235</v>
      </c>
      <c r="I2060" s="17"/>
      <c r="J2060" s="17"/>
      <c r="K2060" s="17"/>
    </row>
    <row r="2061" spans="1:11" x14ac:dyDescent="0.2">
      <c r="A2061" s="115">
        <v>46241</v>
      </c>
      <c r="B2061" s="103" t="s">
        <v>3472</v>
      </c>
      <c r="C2061" s="94" t="s">
        <v>3473</v>
      </c>
      <c r="D2061" s="95">
        <v>27.8</v>
      </c>
      <c r="E2061" s="95">
        <v>100.74</v>
      </c>
      <c r="F2061" s="96">
        <v>2800</v>
      </c>
      <c r="G2061" s="100" t="s">
        <v>1786</v>
      </c>
      <c r="H2061" s="114">
        <v>46235</v>
      </c>
      <c r="I2061" s="17"/>
      <c r="J2061" s="17"/>
      <c r="K2061" s="17"/>
    </row>
    <row r="2062" spans="1:11" x14ac:dyDescent="0.2">
      <c r="A2062" s="115">
        <v>46241</v>
      </c>
      <c r="B2062" s="103" t="s">
        <v>3474</v>
      </c>
      <c r="C2062" s="94" t="s">
        <v>3475</v>
      </c>
      <c r="D2062" s="95">
        <v>27.8</v>
      </c>
      <c r="E2062" s="95">
        <v>100.74</v>
      </c>
      <c r="F2062" s="96">
        <v>2800</v>
      </c>
      <c r="G2062" s="100" t="s">
        <v>1786</v>
      </c>
      <c r="H2062" s="114">
        <v>46235</v>
      </c>
      <c r="I2062" s="17"/>
      <c r="J2062" s="17"/>
      <c r="K2062" s="17"/>
    </row>
    <row r="2063" spans="1:11" x14ac:dyDescent="0.2">
      <c r="A2063" s="115">
        <v>46241</v>
      </c>
      <c r="B2063" s="103" t="s">
        <v>3476</v>
      </c>
      <c r="C2063" s="94" t="s">
        <v>3477</v>
      </c>
      <c r="D2063" s="95">
        <v>27.8</v>
      </c>
      <c r="E2063" s="95">
        <v>100.74</v>
      </c>
      <c r="F2063" s="96">
        <v>2800</v>
      </c>
      <c r="G2063" s="100" t="s">
        <v>1786</v>
      </c>
      <c r="H2063" s="114">
        <v>46235</v>
      </c>
      <c r="I2063" s="17"/>
      <c r="J2063" s="17"/>
      <c r="K2063" s="17"/>
    </row>
    <row r="2064" spans="1:11" x14ac:dyDescent="0.2">
      <c r="A2064" s="115">
        <v>46241</v>
      </c>
      <c r="B2064" s="103" t="s">
        <v>3478</v>
      </c>
      <c r="C2064" s="94" t="s">
        <v>2542</v>
      </c>
      <c r="D2064" s="95">
        <v>27.8</v>
      </c>
      <c r="E2064" s="95">
        <v>100.74</v>
      </c>
      <c r="F2064" s="96">
        <v>2800</v>
      </c>
      <c r="G2064" s="100" t="s">
        <v>1786</v>
      </c>
      <c r="H2064" s="114">
        <v>46235</v>
      </c>
      <c r="I2064" s="17"/>
      <c r="J2064" s="17"/>
      <c r="K2064" s="17"/>
    </row>
    <row r="2065" spans="1:11" x14ac:dyDescent="0.2">
      <c r="A2065" s="115">
        <v>46241</v>
      </c>
      <c r="B2065" s="103" t="s">
        <v>3479</v>
      </c>
      <c r="C2065" s="94" t="s">
        <v>3480</v>
      </c>
      <c r="D2065" s="95">
        <v>27.8</v>
      </c>
      <c r="E2065" s="95">
        <v>100.74</v>
      </c>
      <c r="F2065" s="96">
        <v>2800</v>
      </c>
      <c r="G2065" s="100" t="s">
        <v>1786</v>
      </c>
      <c r="H2065" s="114">
        <v>46235</v>
      </c>
      <c r="I2065" s="17"/>
      <c r="J2065" s="17"/>
      <c r="K2065" s="17"/>
    </row>
    <row r="2066" spans="1:11" x14ac:dyDescent="0.2">
      <c r="A2066" s="115">
        <v>46242</v>
      </c>
      <c r="B2066" s="103" t="s">
        <v>3484</v>
      </c>
      <c r="C2066" s="94" t="s">
        <v>180</v>
      </c>
      <c r="D2066" s="95">
        <v>12000</v>
      </c>
      <c r="E2066" s="95">
        <v>99.5</v>
      </c>
      <c r="F2066" s="96">
        <v>1194000</v>
      </c>
      <c r="G2066" s="100" t="s">
        <v>143</v>
      </c>
      <c r="H2066" s="114">
        <v>46235</v>
      </c>
      <c r="I2066" s="17"/>
      <c r="J2066" s="17"/>
      <c r="K2066" s="17"/>
    </row>
    <row r="2067" spans="1:11" x14ac:dyDescent="0.2">
      <c r="A2067" s="115">
        <v>46242</v>
      </c>
      <c r="B2067" s="103" t="s">
        <v>3485</v>
      </c>
      <c r="C2067" s="94" t="s">
        <v>40</v>
      </c>
      <c r="D2067" s="95">
        <v>12000</v>
      </c>
      <c r="E2067" s="95">
        <v>99.5</v>
      </c>
      <c r="F2067" s="96">
        <v>1194000</v>
      </c>
      <c r="G2067" s="100" t="s">
        <v>52</v>
      </c>
      <c r="H2067" s="114">
        <v>46235</v>
      </c>
      <c r="I2067" s="17"/>
      <c r="J2067" s="17"/>
      <c r="K2067" s="17"/>
    </row>
    <row r="2068" spans="1:11" x14ac:dyDescent="0.2">
      <c r="A2068" s="115">
        <v>46242</v>
      </c>
      <c r="B2068" s="103" t="s">
        <v>3486</v>
      </c>
      <c r="C2068" s="94" t="s">
        <v>50</v>
      </c>
      <c r="D2068" s="95">
        <v>1148.71</v>
      </c>
      <c r="E2068" s="95">
        <v>100.74</v>
      </c>
      <c r="F2068" s="96">
        <v>115721.05</v>
      </c>
      <c r="G2068" s="100" t="s">
        <v>95</v>
      </c>
      <c r="H2068" s="114">
        <v>46235</v>
      </c>
      <c r="I2068" s="17"/>
      <c r="J2068" s="17"/>
      <c r="K2068" s="17"/>
    </row>
    <row r="2069" spans="1:11" x14ac:dyDescent="0.2">
      <c r="A2069" s="115">
        <v>46242</v>
      </c>
      <c r="B2069" s="103" t="s">
        <v>3487</v>
      </c>
      <c r="C2069" s="94" t="s">
        <v>50</v>
      </c>
      <c r="D2069" s="95">
        <v>248.16</v>
      </c>
      <c r="E2069" s="95">
        <v>100.74</v>
      </c>
      <c r="F2069" s="96">
        <v>25000</v>
      </c>
      <c r="G2069" s="100" t="s">
        <v>2611</v>
      </c>
      <c r="H2069" s="114">
        <v>46235</v>
      </c>
      <c r="I2069" s="17"/>
      <c r="J2069" s="17"/>
      <c r="K2069" s="17"/>
    </row>
    <row r="2070" spans="1:11" x14ac:dyDescent="0.2">
      <c r="A2070" s="115">
        <v>46242</v>
      </c>
      <c r="B2070" s="103" t="s">
        <v>3488</v>
      </c>
      <c r="C2070" s="94" t="s">
        <v>216</v>
      </c>
      <c r="D2070" s="95">
        <v>20</v>
      </c>
      <c r="E2070" s="95">
        <v>100.74</v>
      </c>
      <c r="F2070" s="96">
        <v>2014.8</v>
      </c>
      <c r="G2070" s="100" t="s">
        <v>217</v>
      </c>
      <c r="H2070" s="114">
        <v>46235</v>
      </c>
      <c r="I2070" s="17"/>
      <c r="J2070" s="17"/>
      <c r="K2070" s="17"/>
    </row>
    <row r="2071" spans="1:11" x14ac:dyDescent="0.2">
      <c r="A2071" s="115">
        <v>46242</v>
      </c>
      <c r="B2071" s="103" t="s">
        <v>3489</v>
      </c>
      <c r="C2071" s="94" t="s">
        <v>742</v>
      </c>
      <c r="D2071" s="95">
        <v>112.18</v>
      </c>
      <c r="E2071" s="95">
        <v>100.74</v>
      </c>
      <c r="F2071" s="96">
        <v>11301.01</v>
      </c>
      <c r="G2071" s="100" t="s">
        <v>714</v>
      </c>
      <c r="H2071" s="114">
        <v>46235</v>
      </c>
      <c r="I2071" s="17"/>
      <c r="J2071" s="17"/>
      <c r="K2071" s="17"/>
    </row>
    <row r="2072" spans="1:11" x14ac:dyDescent="0.2">
      <c r="A2072" s="115">
        <v>46242</v>
      </c>
      <c r="B2072" s="103" t="s">
        <v>3490</v>
      </c>
      <c r="C2072" s="94" t="s">
        <v>1266</v>
      </c>
      <c r="D2072" s="95">
        <v>60</v>
      </c>
      <c r="E2072" s="95">
        <v>100.74</v>
      </c>
      <c r="F2072" s="96">
        <v>6044.4</v>
      </c>
      <c r="G2072" s="100" t="s">
        <v>714</v>
      </c>
      <c r="H2072" s="114">
        <v>46235</v>
      </c>
      <c r="I2072" s="17"/>
      <c r="J2072" s="17"/>
      <c r="K2072" s="17"/>
    </row>
    <row r="2073" spans="1:11" x14ac:dyDescent="0.2">
      <c r="A2073" s="115">
        <v>46242</v>
      </c>
      <c r="B2073" s="103" t="s">
        <v>3491</v>
      </c>
      <c r="C2073" s="94" t="s">
        <v>1426</v>
      </c>
      <c r="D2073" s="95">
        <v>363</v>
      </c>
      <c r="E2073" s="95">
        <v>100.74</v>
      </c>
      <c r="F2073" s="96">
        <v>36568.620000000003</v>
      </c>
      <c r="G2073" s="97" t="s">
        <v>199</v>
      </c>
      <c r="H2073" s="114">
        <v>46235</v>
      </c>
      <c r="I2073" s="17"/>
      <c r="J2073" s="17"/>
      <c r="K2073" s="17"/>
    </row>
    <row r="2074" spans="1:11" x14ac:dyDescent="0.2">
      <c r="A2074" s="115">
        <v>46242</v>
      </c>
      <c r="B2074" s="103" t="s">
        <v>3492</v>
      </c>
      <c r="C2074" s="94" t="s">
        <v>3493</v>
      </c>
      <c r="D2074" s="95">
        <v>337.53</v>
      </c>
      <c r="E2074" s="95">
        <v>100.74</v>
      </c>
      <c r="F2074" s="96">
        <v>34002.769999999997</v>
      </c>
      <c r="G2074" s="97" t="s">
        <v>199</v>
      </c>
      <c r="H2074" s="114">
        <v>46235</v>
      </c>
      <c r="I2074" s="17"/>
      <c r="J2074" s="17"/>
      <c r="K2074" s="17"/>
    </row>
    <row r="2075" spans="1:11" x14ac:dyDescent="0.2">
      <c r="A2075" s="115">
        <v>46242</v>
      </c>
      <c r="B2075" s="103" t="s">
        <v>3494</v>
      </c>
      <c r="C2075" s="94" t="s">
        <v>3495</v>
      </c>
      <c r="D2075" s="95">
        <v>356.16</v>
      </c>
      <c r="E2075" s="95">
        <v>100.74</v>
      </c>
      <c r="F2075" s="96">
        <v>35879.550000000003</v>
      </c>
      <c r="G2075" s="97" t="s">
        <v>199</v>
      </c>
      <c r="H2075" s="114">
        <v>46235</v>
      </c>
      <c r="I2075" s="17"/>
      <c r="J2075" s="17"/>
      <c r="K2075" s="17"/>
    </row>
    <row r="2076" spans="1:11" x14ac:dyDescent="0.2">
      <c r="A2076" s="115">
        <v>46242</v>
      </c>
      <c r="B2076" s="103" t="s">
        <v>3496</v>
      </c>
      <c r="C2076" s="94" t="s">
        <v>3116</v>
      </c>
      <c r="D2076" s="95">
        <v>297.8</v>
      </c>
      <c r="E2076" s="95">
        <v>100.74</v>
      </c>
      <c r="F2076" s="96">
        <v>30000</v>
      </c>
      <c r="G2076" s="97" t="s">
        <v>3083</v>
      </c>
      <c r="H2076" s="114">
        <v>46235</v>
      </c>
      <c r="I2076" s="17"/>
      <c r="J2076" s="17"/>
      <c r="K2076" s="17"/>
    </row>
    <row r="2077" spans="1:11" x14ac:dyDescent="0.2">
      <c r="A2077" s="115">
        <v>46242</v>
      </c>
      <c r="B2077" s="103" t="s">
        <v>3497</v>
      </c>
      <c r="C2077" s="94" t="s">
        <v>2493</v>
      </c>
      <c r="D2077" s="95">
        <v>27.8</v>
      </c>
      <c r="E2077" s="95">
        <v>100.74</v>
      </c>
      <c r="F2077" s="96">
        <v>2800</v>
      </c>
      <c r="G2077" s="97" t="s">
        <v>1786</v>
      </c>
      <c r="H2077" s="114">
        <v>46235</v>
      </c>
      <c r="I2077" s="17"/>
      <c r="J2077" s="17"/>
      <c r="K2077" s="17"/>
    </row>
    <row r="2078" spans="1:11" x14ac:dyDescent="0.2">
      <c r="A2078" s="115">
        <v>46242</v>
      </c>
      <c r="B2078" s="103" t="s">
        <v>3498</v>
      </c>
      <c r="C2078" s="94" t="s">
        <v>3471</v>
      </c>
      <c r="D2078" s="95">
        <v>27.8</v>
      </c>
      <c r="E2078" s="95">
        <v>100.74</v>
      </c>
      <c r="F2078" s="96">
        <v>2800</v>
      </c>
      <c r="G2078" s="97" t="s">
        <v>1786</v>
      </c>
      <c r="H2078" s="114">
        <v>46235</v>
      </c>
      <c r="I2078" s="17"/>
      <c r="J2078" s="17"/>
      <c r="K2078" s="17"/>
    </row>
    <row r="2079" spans="1:11" x14ac:dyDescent="0.2">
      <c r="A2079" s="115">
        <v>46242</v>
      </c>
      <c r="B2079" s="103" t="s">
        <v>3499</v>
      </c>
      <c r="C2079" s="94" t="s">
        <v>3500</v>
      </c>
      <c r="D2079" s="95">
        <v>27.8</v>
      </c>
      <c r="E2079" s="95">
        <v>100.74</v>
      </c>
      <c r="F2079" s="96">
        <v>2800</v>
      </c>
      <c r="G2079" s="97" t="s">
        <v>1786</v>
      </c>
      <c r="H2079" s="114">
        <v>46235</v>
      </c>
      <c r="I2079" s="17"/>
      <c r="J2079" s="17"/>
      <c r="K2079" s="17"/>
    </row>
    <row r="2080" spans="1:11" x14ac:dyDescent="0.2">
      <c r="A2080" s="115">
        <v>46242</v>
      </c>
      <c r="B2080" s="103" t="s">
        <v>3501</v>
      </c>
      <c r="C2080" s="94" t="s">
        <v>2542</v>
      </c>
      <c r="D2080" s="95">
        <v>27.8</v>
      </c>
      <c r="E2080" s="95">
        <v>100.74</v>
      </c>
      <c r="F2080" s="96">
        <v>2800</v>
      </c>
      <c r="G2080" s="97" t="s">
        <v>1786</v>
      </c>
      <c r="H2080" s="114">
        <v>46235</v>
      </c>
      <c r="I2080" s="17"/>
      <c r="J2080" s="17"/>
      <c r="K2080" s="17"/>
    </row>
    <row r="2081" spans="1:11" x14ac:dyDescent="0.2">
      <c r="A2081" s="115">
        <v>46242</v>
      </c>
      <c r="B2081" s="103" t="s">
        <v>3502</v>
      </c>
      <c r="C2081" s="94"/>
      <c r="D2081" s="95">
        <v>1446.24</v>
      </c>
      <c r="E2081" s="95">
        <v>100.74</v>
      </c>
      <c r="F2081" s="96">
        <v>145694.22</v>
      </c>
      <c r="G2081" s="97" t="s">
        <v>152</v>
      </c>
      <c r="H2081" s="114">
        <v>46235</v>
      </c>
      <c r="I2081" s="17"/>
      <c r="J2081" s="17"/>
      <c r="K2081" s="17"/>
    </row>
    <row r="2082" spans="1:11" x14ac:dyDescent="0.2">
      <c r="A2082" s="115">
        <v>46242</v>
      </c>
      <c r="B2082" s="103" t="s">
        <v>3503</v>
      </c>
      <c r="C2082" s="94" t="s">
        <v>525</v>
      </c>
      <c r="D2082" s="95">
        <v>24.82</v>
      </c>
      <c r="E2082" s="95">
        <v>100.74</v>
      </c>
      <c r="F2082" s="96">
        <v>2500</v>
      </c>
      <c r="G2082" s="97" t="s">
        <v>58</v>
      </c>
      <c r="H2082" s="114">
        <v>46235</v>
      </c>
      <c r="I2082" s="17"/>
      <c r="J2082" s="17"/>
      <c r="K2082" s="17"/>
    </row>
    <row r="2083" spans="1:11" x14ac:dyDescent="0.2">
      <c r="A2083" s="115">
        <v>46242</v>
      </c>
      <c r="B2083" s="103" t="s">
        <v>3504</v>
      </c>
      <c r="C2083" s="94" t="s">
        <v>526</v>
      </c>
      <c r="D2083" s="95">
        <v>2755.61</v>
      </c>
      <c r="E2083" s="95">
        <v>100.74</v>
      </c>
      <c r="F2083" s="96">
        <v>277600</v>
      </c>
      <c r="G2083" s="97" t="s">
        <v>58</v>
      </c>
      <c r="H2083" s="114">
        <v>46235</v>
      </c>
      <c r="I2083" s="17"/>
      <c r="J2083" s="17"/>
      <c r="K2083" s="17"/>
    </row>
    <row r="2084" spans="1:11" x14ac:dyDescent="0.2">
      <c r="A2084" s="115">
        <v>46243</v>
      </c>
      <c r="B2084" s="103" t="s">
        <v>3508</v>
      </c>
      <c r="C2084" s="94" t="s">
        <v>526</v>
      </c>
      <c r="D2084" s="95">
        <v>4263.45</v>
      </c>
      <c r="E2084" s="95">
        <v>100.74</v>
      </c>
      <c r="F2084" s="96">
        <v>429500</v>
      </c>
      <c r="G2084" s="97" t="s">
        <v>58</v>
      </c>
      <c r="H2084" s="114">
        <v>46235</v>
      </c>
      <c r="I2084" s="17"/>
      <c r="J2084" s="17"/>
      <c r="K2084" s="17"/>
    </row>
    <row r="2085" spans="1:11" x14ac:dyDescent="0.2">
      <c r="A2085" s="115">
        <v>46243</v>
      </c>
      <c r="B2085" s="103" t="s">
        <v>3509</v>
      </c>
      <c r="C2085" s="94" t="s">
        <v>525</v>
      </c>
      <c r="D2085" s="95">
        <v>14.89</v>
      </c>
      <c r="E2085" s="95">
        <v>100.74</v>
      </c>
      <c r="F2085" s="96">
        <v>1500</v>
      </c>
      <c r="G2085" s="97" t="s">
        <v>58</v>
      </c>
      <c r="H2085" s="114">
        <v>46235</v>
      </c>
      <c r="I2085" s="17"/>
      <c r="J2085" s="17"/>
      <c r="K2085" s="17"/>
    </row>
    <row r="2086" spans="1:11" x14ac:dyDescent="0.2">
      <c r="A2086" s="115">
        <v>46243</v>
      </c>
      <c r="B2086" s="103" t="s">
        <v>3510</v>
      </c>
      <c r="C2086" s="94"/>
      <c r="D2086" s="95">
        <v>1107.46</v>
      </c>
      <c r="E2086" s="95">
        <v>100.74</v>
      </c>
      <c r="F2086" s="96">
        <v>111565.8</v>
      </c>
      <c r="G2086" s="97" t="s">
        <v>2450</v>
      </c>
      <c r="H2086" s="114">
        <v>46235</v>
      </c>
      <c r="I2086" s="17"/>
      <c r="J2086" s="17"/>
      <c r="K2086" s="17"/>
    </row>
    <row r="2087" spans="1:11" x14ac:dyDescent="0.2">
      <c r="A2087" s="115">
        <v>46243</v>
      </c>
      <c r="B2087" s="103" t="s">
        <v>3511</v>
      </c>
      <c r="C2087" s="94"/>
      <c r="D2087" s="95">
        <v>64.48</v>
      </c>
      <c r="E2087" s="95">
        <v>100.74</v>
      </c>
      <c r="F2087" s="96">
        <v>6495.58</v>
      </c>
      <c r="G2087" s="97" t="s">
        <v>2364</v>
      </c>
      <c r="H2087" s="114">
        <v>46235</v>
      </c>
      <c r="I2087" s="17"/>
      <c r="J2087" s="17"/>
      <c r="K2087" s="17"/>
    </row>
    <row r="2088" spans="1:11" x14ac:dyDescent="0.2">
      <c r="A2088" s="115">
        <v>46243</v>
      </c>
      <c r="B2088" s="103" t="s">
        <v>3512</v>
      </c>
      <c r="C2088" s="94"/>
      <c r="D2088" s="95">
        <v>320.02</v>
      </c>
      <c r="E2088" s="95">
        <v>100.74</v>
      </c>
      <c r="F2088" s="96">
        <v>32239.82</v>
      </c>
      <c r="G2088" s="97" t="s">
        <v>57</v>
      </c>
      <c r="H2088" s="114">
        <v>46235</v>
      </c>
      <c r="I2088" s="17"/>
      <c r="J2088" s="17"/>
      <c r="K2088" s="17"/>
    </row>
    <row r="2089" spans="1:11" x14ac:dyDescent="0.2">
      <c r="A2089" s="115">
        <v>46243</v>
      </c>
      <c r="B2089" s="103" t="s">
        <v>3513</v>
      </c>
      <c r="C2089" s="94"/>
      <c r="D2089" s="95">
        <v>2149.63</v>
      </c>
      <c r="E2089" s="95">
        <v>100.74</v>
      </c>
      <c r="F2089" s="96">
        <v>216554.06</v>
      </c>
      <c r="G2089" s="97" t="s">
        <v>152</v>
      </c>
      <c r="H2089" s="114">
        <v>46235</v>
      </c>
      <c r="I2089" s="17"/>
      <c r="J2089" s="17"/>
      <c r="K2089" s="17"/>
    </row>
    <row r="2090" spans="1:11" x14ac:dyDescent="0.2">
      <c r="A2090" s="115">
        <v>46243</v>
      </c>
      <c r="B2090" s="103" t="s">
        <v>3514</v>
      </c>
      <c r="C2090" s="94" t="s">
        <v>50</v>
      </c>
      <c r="D2090" s="95">
        <v>846.77</v>
      </c>
      <c r="E2090" s="95">
        <v>100.74</v>
      </c>
      <c r="F2090" s="96">
        <v>85303.61</v>
      </c>
      <c r="G2090" s="97" t="s">
        <v>95</v>
      </c>
      <c r="H2090" s="114">
        <v>46235</v>
      </c>
      <c r="I2090" s="17"/>
      <c r="J2090" s="17"/>
      <c r="K2090" s="17"/>
    </row>
    <row r="2091" spans="1:11" x14ac:dyDescent="0.2">
      <c r="A2091" s="115">
        <v>46243</v>
      </c>
      <c r="B2091" s="103" t="s">
        <v>3515</v>
      </c>
      <c r="C2091" s="94" t="s">
        <v>50</v>
      </c>
      <c r="D2091" s="95">
        <v>148.9</v>
      </c>
      <c r="E2091" s="95">
        <v>100.74</v>
      </c>
      <c r="F2091" s="96">
        <v>15000</v>
      </c>
      <c r="G2091" s="97" t="s">
        <v>2611</v>
      </c>
      <c r="H2091" s="114">
        <v>46235</v>
      </c>
      <c r="I2091" s="17"/>
      <c r="J2091" s="17"/>
      <c r="K2091" s="17"/>
    </row>
    <row r="2092" spans="1:11" x14ac:dyDescent="0.2">
      <c r="A2092" s="115">
        <v>46243</v>
      </c>
      <c r="B2092" s="103" t="s">
        <v>3516</v>
      </c>
      <c r="C2092" s="94" t="s">
        <v>50</v>
      </c>
      <c r="D2092" s="95">
        <v>2000</v>
      </c>
      <c r="E2092" s="95">
        <v>100.24</v>
      </c>
      <c r="F2092" s="96">
        <v>200480</v>
      </c>
      <c r="G2092" s="97" t="s">
        <v>96</v>
      </c>
      <c r="H2092" s="114">
        <v>46235</v>
      </c>
      <c r="I2092" s="17"/>
      <c r="J2092" s="17"/>
      <c r="K2092" s="17"/>
    </row>
    <row r="2093" spans="1:11" x14ac:dyDescent="0.2">
      <c r="A2093" s="115">
        <v>46243</v>
      </c>
      <c r="B2093" s="103" t="s">
        <v>3517</v>
      </c>
      <c r="C2093" s="94" t="s">
        <v>3116</v>
      </c>
      <c r="D2093" s="95">
        <v>297.8</v>
      </c>
      <c r="E2093" s="95">
        <v>100.74</v>
      </c>
      <c r="F2093" s="96">
        <v>30000</v>
      </c>
      <c r="G2093" s="97" t="s">
        <v>3083</v>
      </c>
      <c r="H2093" s="114">
        <v>46235</v>
      </c>
      <c r="I2093" s="17"/>
      <c r="J2093" s="17"/>
      <c r="K2093" s="17"/>
    </row>
    <row r="2094" spans="1:11" x14ac:dyDescent="0.2">
      <c r="A2094" s="115">
        <v>46243</v>
      </c>
      <c r="B2094" s="103" t="s">
        <v>3518</v>
      </c>
      <c r="C2094" s="94" t="s">
        <v>3519</v>
      </c>
      <c r="D2094" s="95">
        <v>27.8</v>
      </c>
      <c r="E2094" s="95">
        <v>100.74</v>
      </c>
      <c r="F2094" s="96">
        <v>2800</v>
      </c>
      <c r="G2094" s="97" t="s">
        <v>1786</v>
      </c>
      <c r="H2094" s="114">
        <v>46235</v>
      </c>
      <c r="I2094" s="17"/>
      <c r="J2094" s="17"/>
      <c r="K2094" s="17"/>
    </row>
    <row r="2095" spans="1:11" x14ac:dyDescent="0.2">
      <c r="A2095" s="115">
        <v>46243</v>
      </c>
      <c r="B2095" s="103" t="s">
        <v>3520</v>
      </c>
      <c r="C2095" s="94" t="s">
        <v>2493</v>
      </c>
      <c r="D2095" s="95">
        <v>27.8</v>
      </c>
      <c r="E2095" s="95">
        <v>100.74</v>
      </c>
      <c r="F2095" s="96">
        <v>2800</v>
      </c>
      <c r="G2095" s="97" t="s">
        <v>1786</v>
      </c>
      <c r="H2095" s="114">
        <v>46235</v>
      </c>
      <c r="I2095" s="17"/>
      <c r="J2095" s="17"/>
      <c r="K2095" s="17"/>
    </row>
    <row r="2096" spans="1:11" x14ac:dyDescent="0.2">
      <c r="A2096" s="115">
        <v>46243</v>
      </c>
      <c r="B2096" s="103" t="s">
        <v>3521</v>
      </c>
      <c r="C2096" s="94" t="s">
        <v>2492</v>
      </c>
      <c r="D2096" s="95">
        <v>27.8</v>
      </c>
      <c r="E2096" s="95">
        <v>100.74</v>
      </c>
      <c r="F2096" s="96">
        <v>2800</v>
      </c>
      <c r="G2096" s="97" t="s">
        <v>1786</v>
      </c>
      <c r="H2096" s="114">
        <v>46235</v>
      </c>
      <c r="I2096" s="17"/>
      <c r="J2096" s="17"/>
      <c r="K2096" s="17"/>
    </row>
    <row r="2097" spans="1:11" x14ac:dyDescent="0.2">
      <c r="A2097" s="115">
        <v>46243</v>
      </c>
      <c r="B2097" s="103" t="s">
        <v>3522</v>
      </c>
      <c r="C2097" s="94" t="s">
        <v>3480</v>
      </c>
      <c r="D2097" s="95">
        <v>27.8</v>
      </c>
      <c r="E2097" s="95">
        <v>100.74</v>
      </c>
      <c r="F2097" s="96">
        <v>2800</v>
      </c>
      <c r="G2097" s="97" t="s">
        <v>1786</v>
      </c>
      <c r="H2097" s="114">
        <v>46235</v>
      </c>
      <c r="I2097" s="17"/>
      <c r="J2097" s="17"/>
      <c r="K2097" s="17"/>
    </row>
    <row r="2098" spans="1:11" x14ac:dyDescent="0.2">
      <c r="A2098" s="115">
        <v>46243</v>
      </c>
      <c r="B2098" s="103" t="s">
        <v>3523</v>
      </c>
      <c r="C2098" s="94" t="s">
        <v>3524</v>
      </c>
      <c r="D2098" s="95">
        <v>27.8</v>
      </c>
      <c r="E2098" s="95">
        <v>100.74</v>
      </c>
      <c r="F2098" s="96">
        <v>2800</v>
      </c>
      <c r="G2098" s="97" t="s">
        <v>1786</v>
      </c>
      <c r="H2098" s="114">
        <v>46235</v>
      </c>
      <c r="I2098" s="17"/>
      <c r="J2098" s="17"/>
      <c r="K2098" s="17"/>
    </row>
    <row r="2099" spans="1:11" x14ac:dyDescent="0.2">
      <c r="A2099" s="115">
        <v>46243</v>
      </c>
      <c r="B2099" s="103" t="s">
        <v>3525</v>
      </c>
      <c r="C2099" s="94" t="s">
        <v>3475</v>
      </c>
      <c r="D2099" s="95">
        <v>27.8</v>
      </c>
      <c r="E2099" s="95">
        <v>100.74</v>
      </c>
      <c r="F2099" s="96">
        <v>2800</v>
      </c>
      <c r="G2099" s="97" t="s">
        <v>1786</v>
      </c>
      <c r="H2099" s="114">
        <v>46235</v>
      </c>
      <c r="I2099" s="17"/>
      <c r="J2099" s="17"/>
      <c r="K2099" s="17"/>
    </row>
    <row r="2100" spans="1:11" x14ac:dyDescent="0.2">
      <c r="A2100" s="115">
        <v>46243</v>
      </c>
      <c r="B2100" s="103" t="s">
        <v>3526</v>
      </c>
      <c r="C2100" s="94" t="s">
        <v>3473</v>
      </c>
      <c r="D2100" s="95">
        <v>27.8</v>
      </c>
      <c r="E2100" s="95">
        <v>100.74</v>
      </c>
      <c r="F2100" s="96">
        <v>2800</v>
      </c>
      <c r="G2100" s="97" t="s">
        <v>1786</v>
      </c>
      <c r="H2100" s="114">
        <v>46235</v>
      </c>
      <c r="I2100" s="17"/>
      <c r="J2100" s="17"/>
      <c r="K2100" s="17"/>
    </row>
    <row r="2101" spans="1:11" x14ac:dyDescent="0.2">
      <c r="A2101" s="115">
        <v>46243</v>
      </c>
      <c r="B2101" s="103" t="s">
        <v>3527</v>
      </c>
      <c r="C2101" s="94" t="s">
        <v>2491</v>
      </c>
      <c r="D2101" s="95">
        <v>27.8</v>
      </c>
      <c r="E2101" s="95">
        <v>100.74</v>
      </c>
      <c r="F2101" s="96">
        <v>2800</v>
      </c>
      <c r="G2101" s="97" t="s">
        <v>1786</v>
      </c>
      <c r="H2101" s="114">
        <v>46235</v>
      </c>
      <c r="I2101" s="17"/>
      <c r="J2101" s="17"/>
      <c r="K2101" s="17"/>
    </row>
    <row r="2102" spans="1:11" x14ac:dyDescent="0.2">
      <c r="A2102" s="115">
        <v>46244</v>
      </c>
      <c r="B2102" s="103" t="s">
        <v>3532</v>
      </c>
      <c r="C2102" s="94" t="s">
        <v>50</v>
      </c>
      <c r="D2102" s="95">
        <v>3000</v>
      </c>
      <c r="E2102" s="95">
        <v>100.74</v>
      </c>
      <c r="F2102" s="96">
        <v>302220</v>
      </c>
      <c r="G2102" s="97" t="s">
        <v>1073</v>
      </c>
      <c r="H2102" s="114">
        <v>46235</v>
      </c>
      <c r="I2102" s="17"/>
      <c r="J2102" s="17"/>
      <c r="K2102" s="17"/>
    </row>
    <row r="2103" spans="1:11" x14ac:dyDescent="0.2">
      <c r="A2103" s="115">
        <v>46244</v>
      </c>
      <c r="B2103" s="103" t="s">
        <v>3533</v>
      </c>
      <c r="C2103" s="94" t="s">
        <v>42</v>
      </c>
      <c r="D2103" s="95">
        <v>12000</v>
      </c>
      <c r="E2103" s="95">
        <v>99.5</v>
      </c>
      <c r="F2103" s="96">
        <v>1194000</v>
      </c>
      <c r="G2103" s="97" t="s">
        <v>143</v>
      </c>
      <c r="H2103" s="114">
        <v>46235</v>
      </c>
      <c r="I2103" s="17"/>
      <c r="J2103" s="17"/>
      <c r="K2103" s="17"/>
    </row>
    <row r="2104" spans="1:11" x14ac:dyDescent="0.2">
      <c r="A2104" s="115">
        <v>46244</v>
      </c>
      <c r="B2104" s="103" t="s">
        <v>3534</v>
      </c>
      <c r="C2104" s="94" t="s">
        <v>3473</v>
      </c>
      <c r="D2104" s="95">
        <v>27.8</v>
      </c>
      <c r="E2104" s="95">
        <v>100.74</v>
      </c>
      <c r="F2104" s="96">
        <v>2800</v>
      </c>
      <c r="G2104" s="97" t="s">
        <v>1786</v>
      </c>
      <c r="H2104" s="114">
        <v>46235</v>
      </c>
      <c r="I2104" s="17"/>
      <c r="J2104" s="17"/>
      <c r="K2104" s="17"/>
    </row>
    <row r="2105" spans="1:11" x14ac:dyDescent="0.2">
      <c r="A2105" s="115">
        <v>46244</v>
      </c>
      <c r="B2105" s="103" t="s">
        <v>3535</v>
      </c>
      <c r="C2105" s="94" t="s">
        <v>3536</v>
      </c>
      <c r="D2105" s="95">
        <v>27.8</v>
      </c>
      <c r="E2105" s="95">
        <v>100.74</v>
      </c>
      <c r="F2105" s="96">
        <v>2800</v>
      </c>
      <c r="G2105" s="97" t="s">
        <v>1786</v>
      </c>
      <c r="H2105" s="114">
        <v>46235</v>
      </c>
      <c r="I2105" s="17"/>
      <c r="J2105" s="17"/>
      <c r="K2105" s="17"/>
    </row>
    <row r="2106" spans="1:11" x14ac:dyDescent="0.2">
      <c r="A2106" s="115">
        <v>46244</v>
      </c>
      <c r="B2106" s="103" t="s">
        <v>3537</v>
      </c>
      <c r="C2106" s="94" t="s">
        <v>129</v>
      </c>
      <c r="D2106" s="95">
        <v>102.08</v>
      </c>
      <c r="E2106" s="95">
        <v>100.74</v>
      </c>
      <c r="F2106" s="96">
        <v>10283.530000000001</v>
      </c>
      <c r="G2106" s="97" t="s">
        <v>56</v>
      </c>
      <c r="H2106" s="114">
        <v>46235</v>
      </c>
      <c r="I2106" s="17"/>
      <c r="J2106" s="17"/>
      <c r="K2106" s="17"/>
    </row>
    <row r="2107" spans="1:11" x14ac:dyDescent="0.2">
      <c r="A2107" s="115">
        <v>46244</v>
      </c>
      <c r="B2107" s="103" t="s">
        <v>3538</v>
      </c>
      <c r="C2107" s="94" t="s">
        <v>44</v>
      </c>
      <c r="D2107" s="95">
        <v>44.76</v>
      </c>
      <c r="E2107" s="95">
        <v>100.74</v>
      </c>
      <c r="F2107" s="96">
        <v>4509.12</v>
      </c>
      <c r="G2107" s="97" t="s">
        <v>56</v>
      </c>
      <c r="H2107" s="114">
        <v>46235</v>
      </c>
      <c r="I2107" s="17"/>
      <c r="J2107" s="17"/>
      <c r="K2107" s="17"/>
    </row>
    <row r="2108" spans="1:11" x14ac:dyDescent="0.2">
      <c r="A2108" s="115">
        <v>46244</v>
      </c>
      <c r="B2108" s="103" t="s">
        <v>3539</v>
      </c>
      <c r="C2108" s="94"/>
      <c r="D2108" s="95">
        <v>10</v>
      </c>
      <c r="E2108" s="95">
        <v>100.74</v>
      </c>
      <c r="F2108" s="96">
        <v>1007.4</v>
      </c>
      <c r="G2108" s="97" t="s">
        <v>714</v>
      </c>
      <c r="H2108" s="114">
        <v>46235</v>
      </c>
      <c r="I2108" s="17"/>
      <c r="J2108" s="17"/>
      <c r="K2108" s="17"/>
    </row>
    <row r="2109" spans="1:11" x14ac:dyDescent="0.2">
      <c r="A2109" s="115">
        <v>46244</v>
      </c>
      <c r="B2109" s="103" t="s">
        <v>3540</v>
      </c>
      <c r="C2109" s="94"/>
      <c r="D2109" s="95">
        <v>10</v>
      </c>
      <c r="E2109" s="95">
        <v>100.74</v>
      </c>
      <c r="F2109" s="96">
        <v>1007.4</v>
      </c>
      <c r="G2109" s="97" t="s">
        <v>714</v>
      </c>
      <c r="H2109" s="114">
        <v>46235</v>
      </c>
      <c r="I2109" s="17"/>
      <c r="J2109" s="17"/>
      <c r="K2109" s="17"/>
    </row>
    <row r="2110" spans="1:11" x14ac:dyDescent="0.2">
      <c r="A2110" s="115">
        <v>46244</v>
      </c>
      <c r="B2110" s="103" t="s">
        <v>3541</v>
      </c>
      <c r="C2110" s="94" t="s">
        <v>50</v>
      </c>
      <c r="D2110" s="95">
        <v>148.88999999999999</v>
      </c>
      <c r="E2110" s="95">
        <v>100.74</v>
      </c>
      <c r="F2110" s="96">
        <v>15000</v>
      </c>
      <c r="G2110" s="97" t="s">
        <v>2611</v>
      </c>
      <c r="H2110" s="114">
        <v>46235</v>
      </c>
      <c r="I2110" s="17"/>
      <c r="J2110" s="17"/>
      <c r="K2110" s="17"/>
    </row>
    <row r="2111" spans="1:11" x14ac:dyDescent="0.2">
      <c r="A2111" s="115">
        <v>46244</v>
      </c>
      <c r="B2111" s="103" t="s">
        <v>3542</v>
      </c>
      <c r="C2111" s="94" t="s">
        <v>50</v>
      </c>
      <c r="D2111" s="95">
        <v>1246.7</v>
      </c>
      <c r="E2111" s="95">
        <v>100.74</v>
      </c>
      <c r="F2111" s="96">
        <v>125592.56</v>
      </c>
      <c r="G2111" s="97" t="s">
        <v>95</v>
      </c>
      <c r="H2111" s="114">
        <v>46235</v>
      </c>
      <c r="I2111" s="17"/>
      <c r="J2111" s="17"/>
      <c r="K2111" s="17"/>
    </row>
    <row r="2112" spans="1:11" x14ac:dyDescent="0.2">
      <c r="A2112" s="115">
        <v>46244</v>
      </c>
      <c r="B2112" s="103" t="s">
        <v>3543</v>
      </c>
      <c r="C2112" s="94" t="s">
        <v>50</v>
      </c>
      <c r="D2112" s="95">
        <v>2500</v>
      </c>
      <c r="E2112" s="95">
        <v>100.74</v>
      </c>
      <c r="F2112" s="96">
        <v>251850</v>
      </c>
      <c r="G2112" s="97" t="s">
        <v>901</v>
      </c>
      <c r="H2112" s="114">
        <v>46235</v>
      </c>
      <c r="I2112" s="17"/>
      <c r="J2112" s="17"/>
      <c r="K2112" s="17"/>
    </row>
    <row r="2113" spans="1:11" x14ac:dyDescent="0.2">
      <c r="A2113" s="115">
        <v>46244</v>
      </c>
      <c r="B2113" s="103" t="s">
        <v>3544</v>
      </c>
      <c r="C2113" s="94"/>
      <c r="D2113" s="95">
        <v>383.48</v>
      </c>
      <c r="E2113" s="95">
        <v>100.74</v>
      </c>
      <c r="F2113" s="96">
        <v>38632</v>
      </c>
      <c r="G2113" s="97" t="s">
        <v>2450</v>
      </c>
      <c r="H2113" s="114">
        <v>46235</v>
      </c>
      <c r="I2113" s="17"/>
      <c r="J2113" s="17"/>
      <c r="K2113" s="17"/>
    </row>
    <row r="2114" spans="1:11" x14ac:dyDescent="0.2">
      <c r="A2114" s="115">
        <v>46244</v>
      </c>
      <c r="B2114" s="103" t="s">
        <v>3545</v>
      </c>
      <c r="C2114" s="94" t="s">
        <v>526</v>
      </c>
      <c r="D2114" s="95">
        <v>2482.63</v>
      </c>
      <c r="E2114" s="95">
        <v>100.74</v>
      </c>
      <c r="F2114" s="96">
        <v>250100</v>
      </c>
      <c r="G2114" s="97" t="s">
        <v>58</v>
      </c>
      <c r="H2114" s="114">
        <v>46235</v>
      </c>
      <c r="I2114" s="17"/>
      <c r="J2114" s="17"/>
      <c r="K2114" s="17"/>
    </row>
    <row r="2115" spans="1:11" x14ac:dyDescent="0.2">
      <c r="A2115" s="115">
        <v>46244</v>
      </c>
      <c r="B2115" s="103" t="s">
        <v>3546</v>
      </c>
      <c r="C2115" s="94" t="s">
        <v>525</v>
      </c>
      <c r="D2115" s="95">
        <v>34.75</v>
      </c>
      <c r="E2115" s="95">
        <v>100.74</v>
      </c>
      <c r="F2115" s="96">
        <v>3500</v>
      </c>
      <c r="G2115" s="97" t="s">
        <v>58</v>
      </c>
      <c r="H2115" s="114">
        <v>46235</v>
      </c>
      <c r="I2115" s="17"/>
      <c r="J2115" s="17"/>
      <c r="K2115" s="17"/>
    </row>
    <row r="2116" spans="1:11" x14ac:dyDescent="0.2">
      <c r="A2116" s="115">
        <v>46244</v>
      </c>
      <c r="B2116" s="103" t="s">
        <v>3547</v>
      </c>
      <c r="C2116" s="94"/>
      <c r="D2116" s="95">
        <v>385.83</v>
      </c>
      <c r="E2116" s="95">
        <v>100.74</v>
      </c>
      <c r="F2116" s="96">
        <v>38868.559999999998</v>
      </c>
      <c r="G2116" s="97" t="s">
        <v>57</v>
      </c>
      <c r="H2116" s="114">
        <v>46235</v>
      </c>
      <c r="I2116" s="17"/>
      <c r="J2116" s="17"/>
      <c r="K2116" s="17"/>
    </row>
    <row r="2117" spans="1:11" x14ac:dyDescent="0.2">
      <c r="A2117" s="115">
        <v>46244</v>
      </c>
      <c r="B2117" s="103" t="s">
        <v>3548</v>
      </c>
      <c r="C2117" s="94"/>
      <c r="D2117" s="95">
        <v>35.049999999999997</v>
      </c>
      <c r="E2117" s="95">
        <v>100.74</v>
      </c>
      <c r="F2117" s="96">
        <v>3530.93</v>
      </c>
      <c r="G2117" s="97" t="s">
        <v>2364</v>
      </c>
      <c r="H2117" s="114">
        <v>46235</v>
      </c>
      <c r="I2117" s="17"/>
      <c r="J2117" s="17"/>
      <c r="K2117" s="17"/>
    </row>
    <row r="2118" spans="1:11" x14ac:dyDescent="0.2">
      <c r="A2118" s="115">
        <v>46244</v>
      </c>
      <c r="B2118" s="103" t="s">
        <v>3549</v>
      </c>
      <c r="C2118" s="94"/>
      <c r="D2118" s="95">
        <v>1122.3599999999999</v>
      </c>
      <c r="E2118" s="95">
        <v>100.74</v>
      </c>
      <c r="F2118" s="96">
        <v>113067.04</v>
      </c>
      <c r="G2118" s="97" t="s">
        <v>152</v>
      </c>
      <c r="H2118" s="114">
        <v>46235</v>
      </c>
      <c r="I2118" s="17"/>
      <c r="J2118" s="17"/>
      <c r="K2118" s="17"/>
    </row>
    <row r="2119" spans="1:11" x14ac:dyDescent="0.2">
      <c r="A2119" s="115">
        <v>46244</v>
      </c>
      <c r="B2119" s="103" t="s">
        <v>3550</v>
      </c>
      <c r="C2119" s="94"/>
      <c r="D2119" s="95">
        <v>119.12</v>
      </c>
      <c r="E2119" s="95">
        <v>100.74</v>
      </c>
      <c r="F2119" s="96">
        <v>12000</v>
      </c>
      <c r="G2119" s="97" t="s">
        <v>2450</v>
      </c>
      <c r="H2119" s="114">
        <v>46235</v>
      </c>
      <c r="I2119" s="17"/>
      <c r="J2119" s="17"/>
      <c r="K2119" s="17"/>
    </row>
    <row r="2120" spans="1:11" x14ac:dyDescent="0.2">
      <c r="A2120" s="115">
        <v>46245</v>
      </c>
      <c r="B2120" s="103" t="s">
        <v>3556</v>
      </c>
      <c r="C2120" s="94" t="s">
        <v>40</v>
      </c>
      <c r="D2120" s="95">
        <v>12000</v>
      </c>
      <c r="E2120" s="95">
        <v>99.5</v>
      </c>
      <c r="F2120" s="96">
        <v>1194000</v>
      </c>
      <c r="G2120" s="97" t="s">
        <v>51</v>
      </c>
      <c r="H2120" s="114">
        <v>46235</v>
      </c>
      <c r="I2120" s="17"/>
      <c r="J2120" s="17"/>
      <c r="K2120" s="17"/>
    </row>
    <row r="2121" spans="1:11" x14ac:dyDescent="0.2">
      <c r="A2121" s="115">
        <v>46245</v>
      </c>
      <c r="B2121" s="103" t="s">
        <v>3557</v>
      </c>
      <c r="C2121" s="94" t="s">
        <v>3536</v>
      </c>
      <c r="D2121" s="95">
        <v>27.8</v>
      </c>
      <c r="E2121" s="95">
        <v>100.74</v>
      </c>
      <c r="F2121" s="96">
        <v>2800</v>
      </c>
      <c r="G2121" s="97" t="s">
        <v>1786</v>
      </c>
      <c r="H2121" s="114">
        <v>46235</v>
      </c>
      <c r="I2121" s="17"/>
      <c r="J2121" s="17"/>
      <c r="K2121" s="17"/>
    </row>
    <row r="2122" spans="1:11" x14ac:dyDescent="0.2">
      <c r="A2122" s="115">
        <v>46245</v>
      </c>
      <c r="B2122" s="103" t="s">
        <v>3558</v>
      </c>
      <c r="C2122" s="94" t="s">
        <v>2492</v>
      </c>
      <c r="D2122" s="95">
        <v>27.8</v>
      </c>
      <c r="E2122" s="95">
        <v>100.74</v>
      </c>
      <c r="F2122" s="96">
        <v>2800</v>
      </c>
      <c r="G2122" s="97" t="s">
        <v>1786</v>
      </c>
      <c r="H2122" s="114">
        <v>46235</v>
      </c>
      <c r="I2122" s="17"/>
      <c r="J2122" s="17"/>
      <c r="K2122" s="17"/>
    </row>
    <row r="2123" spans="1:11" x14ac:dyDescent="0.2">
      <c r="A2123" s="115">
        <v>46245</v>
      </c>
      <c r="B2123" s="103" t="s">
        <v>3559</v>
      </c>
      <c r="C2123" s="94" t="s">
        <v>3473</v>
      </c>
      <c r="D2123" s="95">
        <v>27.8</v>
      </c>
      <c r="E2123" s="95">
        <v>100.74</v>
      </c>
      <c r="F2123" s="96">
        <v>2800</v>
      </c>
      <c r="G2123" s="97" t="s">
        <v>1786</v>
      </c>
      <c r="H2123" s="114">
        <v>46235</v>
      </c>
      <c r="I2123" s="17"/>
      <c r="J2123" s="17"/>
      <c r="K2123" s="17"/>
    </row>
    <row r="2124" spans="1:11" x14ac:dyDescent="0.2">
      <c r="A2124" s="115">
        <v>46245</v>
      </c>
      <c r="B2124" s="103" t="s">
        <v>3560</v>
      </c>
      <c r="C2124" s="94" t="s">
        <v>1526</v>
      </c>
      <c r="D2124" s="95">
        <v>47.73</v>
      </c>
      <c r="E2124" s="95">
        <v>100.74</v>
      </c>
      <c r="F2124" s="96">
        <v>4808.32</v>
      </c>
      <c r="G2124" s="97" t="s">
        <v>901</v>
      </c>
      <c r="H2124" s="114">
        <v>46235</v>
      </c>
      <c r="I2124" s="17"/>
      <c r="J2124" s="17"/>
      <c r="K2124" s="17"/>
    </row>
    <row r="2125" spans="1:11" x14ac:dyDescent="0.2">
      <c r="A2125" s="115">
        <v>46245</v>
      </c>
      <c r="B2125" s="103" t="s">
        <v>3561</v>
      </c>
      <c r="C2125" s="94" t="s">
        <v>1041</v>
      </c>
      <c r="D2125" s="95">
        <v>20</v>
      </c>
      <c r="E2125" s="95">
        <v>100.74</v>
      </c>
      <c r="F2125" s="96">
        <v>2014.8</v>
      </c>
      <c r="G2125" s="97" t="s">
        <v>714</v>
      </c>
      <c r="H2125" s="114">
        <v>46235</v>
      </c>
      <c r="I2125" s="17"/>
      <c r="J2125" s="17"/>
      <c r="K2125" s="17"/>
    </row>
    <row r="2126" spans="1:11" x14ac:dyDescent="0.2">
      <c r="A2126" s="115">
        <v>46245</v>
      </c>
      <c r="B2126" s="103" t="s">
        <v>3562</v>
      </c>
      <c r="C2126" s="94" t="s">
        <v>872</v>
      </c>
      <c r="D2126" s="95">
        <v>367.36</v>
      </c>
      <c r="E2126" s="95">
        <v>100.74</v>
      </c>
      <c r="F2126" s="96">
        <v>37007.839999999997</v>
      </c>
      <c r="G2126" s="97" t="s">
        <v>199</v>
      </c>
      <c r="H2126" s="114">
        <v>46235</v>
      </c>
      <c r="I2126" s="17"/>
      <c r="J2126" s="17"/>
      <c r="K2126" s="17"/>
    </row>
    <row r="2127" spans="1:11" x14ac:dyDescent="0.2">
      <c r="A2127" s="115">
        <v>46245</v>
      </c>
      <c r="B2127" s="103" t="s">
        <v>3563</v>
      </c>
      <c r="C2127" s="94" t="s">
        <v>45</v>
      </c>
      <c r="D2127" s="95">
        <v>51.45</v>
      </c>
      <c r="E2127" s="95">
        <v>100.74</v>
      </c>
      <c r="F2127" s="96">
        <v>5183.07</v>
      </c>
      <c r="G2127" s="97" t="s">
        <v>56</v>
      </c>
      <c r="H2127" s="114">
        <v>46235</v>
      </c>
      <c r="I2127" s="17"/>
      <c r="J2127" s="17"/>
      <c r="K2127" s="17"/>
    </row>
    <row r="2128" spans="1:11" x14ac:dyDescent="0.2">
      <c r="A2128" s="115">
        <v>46245</v>
      </c>
      <c r="B2128" s="103" t="s">
        <v>3564</v>
      </c>
      <c r="C2128" s="94" t="s">
        <v>526</v>
      </c>
      <c r="D2128" s="95">
        <v>2891.6</v>
      </c>
      <c r="E2128" s="95">
        <v>100.74</v>
      </c>
      <c r="F2128" s="96">
        <v>291300</v>
      </c>
      <c r="G2128" s="97" t="s">
        <v>58</v>
      </c>
      <c r="H2128" s="114">
        <v>46235</v>
      </c>
      <c r="I2128" s="17"/>
      <c r="J2128" s="17"/>
      <c r="K2128" s="17"/>
    </row>
    <row r="2129" spans="1:11" x14ac:dyDescent="0.2">
      <c r="A2129" s="115">
        <v>46245</v>
      </c>
      <c r="B2129" s="103" t="s">
        <v>3565</v>
      </c>
      <c r="C2129" s="94" t="s">
        <v>525</v>
      </c>
      <c r="D2129" s="95">
        <v>178.68</v>
      </c>
      <c r="E2129" s="95">
        <v>100.74</v>
      </c>
      <c r="F2129" s="96">
        <v>18000</v>
      </c>
      <c r="G2129" s="97" t="s">
        <v>58</v>
      </c>
      <c r="H2129" s="114">
        <v>46235</v>
      </c>
      <c r="I2129" s="17"/>
      <c r="J2129" s="17"/>
      <c r="K2129" s="17"/>
    </row>
    <row r="2130" spans="1:11" x14ac:dyDescent="0.2">
      <c r="A2130" s="115">
        <v>46245</v>
      </c>
      <c r="B2130" s="103" t="s">
        <v>3566</v>
      </c>
      <c r="C2130" s="94"/>
      <c r="D2130" s="95">
        <v>1804.53</v>
      </c>
      <c r="E2130" s="95">
        <v>100.74</v>
      </c>
      <c r="F2130" s="96">
        <v>181787.86</v>
      </c>
      <c r="G2130" s="97" t="s">
        <v>152</v>
      </c>
      <c r="H2130" s="114">
        <v>46235</v>
      </c>
      <c r="I2130" s="17"/>
      <c r="J2130" s="17"/>
      <c r="K2130" s="17"/>
    </row>
    <row r="2131" spans="1:11" x14ac:dyDescent="0.2">
      <c r="A2131" s="115">
        <v>46245</v>
      </c>
      <c r="B2131" s="103" t="s">
        <v>3567</v>
      </c>
      <c r="C2131" s="94" t="s">
        <v>50</v>
      </c>
      <c r="D2131" s="95">
        <v>248.16</v>
      </c>
      <c r="E2131" s="95">
        <v>100.74</v>
      </c>
      <c r="F2131" s="96">
        <v>25000</v>
      </c>
      <c r="G2131" s="97" t="s">
        <v>2611</v>
      </c>
      <c r="H2131" s="114">
        <v>46235</v>
      </c>
      <c r="I2131" s="17"/>
      <c r="J2131" s="17"/>
      <c r="K2131" s="17"/>
    </row>
    <row r="2132" spans="1:11" x14ac:dyDescent="0.2">
      <c r="A2132" s="115">
        <v>46245</v>
      </c>
      <c r="B2132" s="103" t="s">
        <v>3568</v>
      </c>
      <c r="C2132" s="94" t="s">
        <v>50</v>
      </c>
      <c r="D2132" s="95">
        <v>1410.25</v>
      </c>
      <c r="E2132" s="95">
        <v>100.74</v>
      </c>
      <c r="F2132" s="96">
        <v>142068.59</v>
      </c>
      <c r="G2132" s="97" t="s">
        <v>95</v>
      </c>
      <c r="H2132" s="114">
        <v>46235</v>
      </c>
      <c r="I2132" s="17"/>
      <c r="J2132" s="17"/>
      <c r="K2132" s="17"/>
    </row>
    <row r="2133" spans="1:11" x14ac:dyDescent="0.2">
      <c r="A2133" s="115">
        <v>46245</v>
      </c>
      <c r="B2133" s="103" t="s">
        <v>3569</v>
      </c>
      <c r="C2133" s="94" t="s">
        <v>50</v>
      </c>
      <c r="D2133" s="95">
        <v>2000</v>
      </c>
      <c r="E2133" s="95">
        <v>100.74</v>
      </c>
      <c r="F2133" s="96">
        <v>201480</v>
      </c>
      <c r="G2133" s="97" t="s">
        <v>901</v>
      </c>
      <c r="H2133" s="114">
        <v>46235</v>
      </c>
      <c r="I2133" s="17"/>
      <c r="J2133" s="17"/>
      <c r="K2133" s="17"/>
    </row>
    <row r="2134" spans="1:11" x14ac:dyDescent="0.2">
      <c r="A2134" s="115">
        <v>46245</v>
      </c>
      <c r="B2134" s="103" t="s">
        <v>3570</v>
      </c>
      <c r="C2134" s="94" t="s">
        <v>50</v>
      </c>
      <c r="D2134" s="95">
        <v>2000</v>
      </c>
      <c r="E2134" s="95">
        <v>100.24</v>
      </c>
      <c r="F2134" s="96">
        <v>200480</v>
      </c>
      <c r="G2134" s="97" t="s">
        <v>96</v>
      </c>
      <c r="H2134" s="114">
        <v>46235</v>
      </c>
      <c r="I2134" s="17"/>
      <c r="J2134" s="17"/>
      <c r="K2134" s="17"/>
    </row>
    <row r="2135" spans="1:11" x14ac:dyDescent="0.2">
      <c r="A2135" s="115">
        <v>46245</v>
      </c>
      <c r="B2135" s="103" t="s">
        <v>3571</v>
      </c>
      <c r="C2135" s="94"/>
      <c r="D2135" s="95">
        <v>45.47</v>
      </c>
      <c r="E2135" s="95">
        <v>100.74</v>
      </c>
      <c r="F2135" s="96">
        <v>4580.6000000000004</v>
      </c>
      <c r="G2135" s="97" t="s">
        <v>2364</v>
      </c>
      <c r="H2135" s="114">
        <v>46235</v>
      </c>
      <c r="I2135" s="17"/>
      <c r="J2135" s="17"/>
      <c r="K2135" s="17"/>
    </row>
    <row r="2136" spans="1:11" x14ac:dyDescent="0.2">
      <c r="A2136" s="115">
        <v>46245</v>
      </c>
      <c r="B2136" s="103" t="s">
        <v>3572</v>
      </c>
      <c r="C2136" s="94"/>
      <c r="D2136" s="95">
        <v>362.93</v>
      </c>
      <c r="E2136" s="95">
        <v>100.74</v>
      </c>
      <c r="F2136" s="96">
        <v>36562</v>
      </c>
      <c r="G2136" s="97" t="s">
        <v>2450</v>
      </c>
      <c r="H2136" s="114">
        <v>46235</v>
      </c>
      <c r="I2136" s="17"/>
      <c r="J2136" s="17"/>
      <c r="K2136" s="17"/>
    </row>
    <row r="2137" spans="1:11" x14ac:dyDescent="0.2">
      <c r="A2137" s="115">
        <v>46245</v>
      </c>
      <c r="B2137" s="103" t="s">
        <v>3573</v>
      </c>
      <c r="C2137" s="94"/>
      <c r="D2137" s="95">
        <v>29.78</v>
      </c>
      <c r="E2137" s="95">
        <v>100.74</v>
      </c>
      <c r="F2137" s="96">
        <v>3000</v>
      </c>
      <c r="G2137" s="97" t="s">
        <v>2450</v>
      </c>
      <c r="H2137" s="114">
        <v>46235</v>
      </c>
      <c r="I2137" s="17"/>
      <c r="J2137" s="17"/>
      <c r="K2137" s="17"/>
    </row>
    <row r="2138" spans="1:11" x14ac:dyDescent="0.2">
      <c r="A2138" s="115">
        <v>46245</v>
      </c>
      <c r="B2138" s="103" t="s">
        <v>3574</v>
      </c>
      <c r="C2138" s="94"/>
      <c r="D2138" s="95">
        <v>180.01</v>
      </c>
      <c r="E2138" s="95">
        <v>100.74</v>
      </c>
      <c r="F2138" s="96">
        <v>18134.2</v>
      </c>
      <c r="G2138" s="97" t="s">
        <v>57</v>
      </c>
      <c r="H2138" s="114">
        <v>46235</v>
      </c>
      <c r="I2138" s="17"/>
      <c r="J2138" s="17"/>
      <c r="K2138" s="17"/>
    </row>
    <row r="2139" spans="1:11" x14ac:dyDescent="0.2">
      <c r="A2139" s="115">
        <v>46246</v>
      </c>
      <c r="B2139" s="103" t="s">
        <v>3582</v>
      </c>
      <c r="C2139" s="94" t="s">
        <v>39</v>
      </c>
      <c r="D2139" s="95">
        <v>18000</v>
      </c>
      <c r="E2139" s="95">
        <v>99.5</v>
      </c>
      <c r="F2139" s="96">
        <v>1791000</v>
      </c>
      <c r="G2139" s="97" t="s">
        <v>51</v>
      </c>
      <c r="H2139" s="114">
        <v>46235</v>
      </c>
      <c r="I2139" s="17"/>
      <c r="J2139" s="17"/>
      <c r="K2139" s="17"/>
    </row>
    <row r="2140" spans="1:11" x14ac:dyDescent="0.2">
      <c r="A2140" s="115">
        <v>46246</v>
      </c>
      <c r="B2140" s="103" t="s">
        <v>3583</v>
      </c>
      <c r="C2140" s="94" t="s">
        <v>42</v>
      </c>
      <c r="D2140" s="95">
        <v>12000</v>
      </c>
      <c r="E2140" s="95">
        <v>99.5</v>
      </c>
      <c r="F2140" s="96">
        <v>1194000</v>
      </c>
      <c r="G2140" s="97" t="s">
        <v>143</v>
      </c>
      <c r="H2140" s="114">
        <v>46235</v>
      </c>
      <c r="I2140" s="17"/>
      <c r="J2140" s="17"/>
      <c r="K2140" s="17"/>
    </row>
    <row r="2141" spans="1:11" x14ac:dyDescent="0.2">
      <c r="A2141" s="115">
        <v>46246</v>
      </c>
      <c r="B2141" s="103" t="s">
        <v>3584</v>
      </c>
      <c r="C2141" s="94" t="s">
        <v>2493</v>
      </c>
      <c r="D2141" s="95">
        <v>27.8</v>
      </c>
      <c r="E2141" s="95">
        <v>100.74</v>
      </c>
      <c r="F2141" s="96">
        <v>2800</v>
      </c>
      <c r="G2141" s="97" t="s">
        <v>1786</v>
      </c>
      <c r="H2141" s="114">
        <v>46235</v>
      </c>
      <c r="I2141" s="17"/>
      <c r="J2141" s="17"/>
      <c r="K2141" s="17"/>
    </row>
    <row r="2142" spans="1:11" x14ac:dyDescent="0.2">
      <c r="A2142" s="115">
        <v>46246</v>
      </c>
      <c r="B2142" s="103" t="s">
        <v>3585</v>
      </c>
      <c r="C2142" s="94" t="s">
        <v>3473</v>
      </c>
      <c r="D2142" s="95">
        <v>27.8</v>
      </c>
      <c r="E2142" s="95">
        <v>100.74</v>
      </c>
      <c r="F2142" s="96">
        <v>2800</v>
      </c>
      <c r="G2142" s="97" t="s">
        <v>1786</v>
      </c>
      <c r="H2142" s="114">
        <v>46235</v>
      </c>
      <c r="I2142" s="17"/>
      <c r="J2142" s="17"/>
      <c r="K2142" s="17"/>
    </row>
    <row r="2143" spans="1:11" x14ac:dyDescent="0.2">
      <c r="A2143" s="115">
        <v>46246</v>
      </c>
      <c r="B2143" s="103" t="s">
        <v>3586</v>
      </c>
      <c r="C2143" s="94" t="s">
        <v>3587</v>
      </c>
      <c r="D2143" s="95">
        <v>27.8</v>
      </c>
      <c r="E2143" s="95">
        <v>100.74</v>
      </c>
      <c r="F2143" s="96">
        <v>2800</v>
      </c>
      <c r="G2143" s="97" t="s">
        <v>1786</v>
      </c>
      <c r="H2143" s="114">
        <v>46235</v>
      </c>
      <c r="I2143" s="17"/>
      <c r="J2143" s="17"/>
      <c r="K2143" s="17"/>
    </row>
    <row r="2144" spans="1:11" x14ac:dyDescent="0.2">
      <c r="A2144" s="115">
        <v>46246</v>
      </c>
      <c r="B2144" s="103" t="s">
        <v>3588</v>
      </c>
      <c r="C2144" s="94" t="s">
        <v>3589</v>
      </c>
      <c r="D2144" s="95">
        <v>27.8</v>
      </c>
      <c r="E2144" s="95">
        <v>100.74</v>
      </c>
      <c r="F2144" s="96">
        <v>2800</v>
      </c>
      <c r="G2144" s="97" t="s">
        <v>1786</v>
      </c>
      <c r="H2144" s="114">
        <v>46235</v>
      </c>
      <c r="I2144" s="17"/>
      <c r="J2144" s="17"/>
      <c r="K2144" s="17"/>
    </row>
    <row r="2145" spans="1:11" x14ac:dyDescent="0.2">
      <c r="A2145" s="115">
        <v>46246</v>
      </c>
      <c r="B2145" s="103" t="s">
        <v>3590</v>
      </c>
      <c r="C2145" s="94" t="s">
        <v>3591</v>
      </c>
      <c r="D2145" s="95">
        <v>27.8</v>
      </c>
      <c r="E2145" s="95">
        <v>100.74</v>
      </c>
      <c r="F2145" s="96">
        <v>2800</v>
      </c>
      <c r="G2145" s="97" t="s">
        <v>1786</v>
      </c>
      <c r="H2145" s="114">
        <v>46235</v>
      </c>
      <c r="I2145" s="17"/>
      <c r="J2145" s="17"/>
      <c r="K2145" s="17"/>
    </row>
    <row r="2146" spans="1:11" x14ac:dyDescent="0.2">
      <c r="A2146" s="115">
        <v>46246</v>
      </c>
      <c r="B2146" s="103" t="s">
        <v>3592</v>
      </c>
      <c r="C2146" s="94" t="s">
        <v>3593</v>
      </c>
      <c r="D2146" s="95">
        <v>27.8</v>
      </c>
      <c r="E2146" s="95">
        <v>100.74</v>
      </c>
      <c r="F2146" s="96">
        <v>2800</v>
      </c>
      <c r="G2146" s="97" t="s">
        <v>1786</v>
      </c>
      <c r="H2146" s="114">
        <v>46235</v>
      </c>
      <c r="I2146" s="17"/>
      <c r="J2146" s="17"/>
      <c r="K2146" s="17"/>
    </row>
    <row r="2147" spans="1:11" x14ac:dyDescent="0.2">
      <c r="A2147" s="115">
        <v>46246</v>
      </c>
      <c r="B2147" s="103" t="s">
        <v>3594</v>
      </c>
      <c r="C2147" s="94" t="s">
        <v>3595</v>
      </c>
      <c r="D2147" s="95">
        <v>27.8</v>
      </c>
      <c r="E2147" s="95">
        <v>100.74</v>
      </c>
      <c r="F2147" s="96">
        <v>2800</v>
      </c>
      <c r="G2147" s="97" t="s">
        <v>1786</v>
      </c>
      <c r="H2147" s="114">
        <v>46235</v>
      </c>
      <c r="I2147" s="17"/>
      <c r="J2147" s="17"/>
      <c r="K2147" s="17"/>
    </row>
    <row r="2148" spans="1:11" x14ac:dyDescent="0.2">
      <c r="A2148" s="115">
        <v>46246</v>
      </c>
      <c r="B2148" s="103" t="s">
        <v>3596</v>
      </c>
      <c r="C2148" s="94" t="s">
        <v>3597</v>
      </c>
      <c r="D2148" s="95">
        <v>27.8</v>
      </c>
      <c r="E2148" s="95">
        <v>100.74</v>
      </c>
      <c r="F2148" s="96">
        <v>2800</v>
      </c>
      <c r="G2148" s="97" t="s">
        <v>1786</v>
      </c>
      <c r="H2148" s="114">
        <v>46235</v>
      </c>
      <c r="I2148" s="17"/>
      <c r="J2148" s="17"/>
      <c r="K2148" s="17"/>
    </row>
    <row r="2149" spans="1:11" x14ac:dyDescent="0.2">
      <c r="A2149" s="115">
        <v>46246</v>
      </c>
      <c r="B2149" s="103" t="s">
        <v>3598</v>
      </c>
      <c r="C2149" s="94" t="s">
        <v>3599</v>
      </c>
      <c r="D2149" s="95">
        <v>27.8</v>
      </c>
      <c r="E2149" s="95">
        <v>100.74</v>
      </c>
      <c r="F2149" s="96">
        <v>2800</v>
      </c>
      <c r="G2149" s="97" t="s">
        <v>1786</v>
      </c>
      <c r="H2149" s="114">
        <v>46235</v>
      </c>
      <c r="I2149" s="17"/>
      <c r="J2149" s="17"/>
      <c r="K2149" s="17"/>
    </row>
    <row r="2150" spans="1:11" x14ac:dyDescent="0.2">
      <c r="A2150" s="115">
        <v>46246</v>
      </c>
      <c r="B2150" s="103" t="s">
        <v>3600</v>
      </c>
      <c r="C2150" s="94" t="s">
        <v>3601</v>
      </c>
      <c r="D2150" s="95">
        <v>27.8</v>
      </c>
      <c r="E2150" s="95">
        <v>100.74</v>
      </c>
      <c r="F2150" s="96">
        <v>2800</v>
      </c>
      <c r="G2150" s="97" t="s">
        <v>1786</v>
      </c>
      <c r="H2150" s="114">
        <v>46235</v>
      </c>
      <c r="I2150" s="17"/>
      <c r="J2150" s="17"/>
      <c r="K2150" s="17"/>
    </row>
    <row r="2151" spans="1:11" x14ac:dyDescent="0.2">
      <c r="A2151" s="115">
        <v>46246</v>
      </c>
      <c r="B2151" s="103" t="s">
        <v>3602</v>
      </c>
      <c r="C2151" s="94" t="s">
        <v>3603</v>
      </c>
      <c r="D2151" s="95">
        <v>27.8</v>
      </c>
      <c r="E2151" s="95">
        <v>100.74</v>
      </c>
      <c r="F2151" s="96">
        <v>2800</v>
      </c>
      <c r="G2151" s="97" t="s">
        <v>1786</v>
      </c>
      <c r="H2151" s="114">
        <v>46235</v>
      </c>
      <c r="I2151" s="17"/>
      <c r="J2151" s="17"/>
      <c r="K2151" s="17"/>
    </row>
    <row r="2152" spans="1:11" x14ac:dyDescent="0.2">
      <c r="A2152" s="115">
        <v>46246</v>
      </c>
      <c r="B2152" s="103" t="s">
        <v>3604</v>
      </c>
      <c r="C2152" s="94" t="s">
        <v>3605</v>
      </c>
      <c r="D2152" s="95">
        <v>46.66</v>
      </c>
      <c r="E2152" s="95">
        <v>100.74</v>
      </c>
      <c r="F2152" s="96">
        <v>4700.5200000000004</v>
      </c>
      <c r="G2152" s="97" t="s">
        <v>137</v>
      </c>
      <c r="H2152" s="114">
        <v>46235</v>
      </c>
      <c r="I2152" s="17"/>
      <c r="J2152" s="17"/>
      <c r="K2152" s="17"/>
    </row>
    <row r="2153" spans="1:11" x14ac:dyDescent="0.2">
      <c r="A2153" s="115">
        <v>46246</v>
      </c>
      <c r="B2153" s="103" t="s">
        <v>3606</v>
      </c>
      <c r="C2153" s="94" t="s">
        <v>742</v>
      </c>
      <c r="D2153" s="95">
        <v>20</v>
      </c>
      <c r="E2153" s="95">
        <v>100.74</v>
      </c>
      <c r="F2153" s="96">
        <v>2014.8</v>
      </c>
      <c r="G2153" s="97" t="s">
        <v>714</v>
      </c>
      <c r="H2153" s="114">
        <v>46235</v>
      </c>
      <c r="I2153" s="17"/>
      <c r="J2153" s="17"/>
      <c r="K2153" s="17"/>
    </row>
    <row r="2154" spans="1:11" x14ac:dyDescent="0.2">
      <c r="A2154" s="115">
        <v>46246</v>
      </c>
      <c r="B2154" s="103" t="s">
        <v>3607</v>
      </c>
      <c r="C2154" s="94" t="s">
        <v>44</v>
      </c>
      <c r="D2154" s="95">
        <v>44.23</v>
      </c>
      <c r="E2154" s="95">
        <v>100.74</v>
      </c>
      <c r="F2154" s="96">
        <v>4455.7299999999996</v>
      </c>
      <c r="G2154" s="97" t="s">
        <v>56</v>
      </c>
      <c r="H2154" s="114">
        <v>46235</v>
      </c>
      <c r="I2154" s="17"/>
      <c r="J2154" s="17"/>
      <c r="K2154" s="17"/>
    </row>
    <row r="2155" spans="1:11" x14ac:dyDescent="0.2">
      <c r="A2155" s="115">
        <v>46246</v>
      </c>
      <c r="B2155" s="103" t="s">
        <v>3608</v>
      </c>
      <c r="C2155" s="94"/>
      <c r="D2155" s="95">
        <v>89.34</v>
      </c>
      <c r="E2155" s="95">
        <v>100.74</v>
      </c>
      <c r="F2155" s="96">
        <v>9000</v>
      </c>
      <c r="G2155" s="97" t="s">
        <v>2364</v>
      </c>
      <c r="H2155" s="114">
        <v>46235</v>
      </c>
      <c r="I2155" s="17"/>
      <c r="J2155" s="17"/>
      <c r="K2155" s="17"/>
    </row>
    <row r="2156" spans="1:11" x14ac:dyDescent="0.2">
      <c r="A2156" s="115">
        <v>46246</v>
      </c>
      <c r="B2156" s="103" t="s">
        <v>3609</v>
      </c>
      <c r="C2156" s="94"/>
      <c r="D2156" s="95">
        <v>794.5</v>
      </c>
      <c r="E2156" s="95">
        <v>100.74</v>
      </c>
      <c r="F2156" s="96">
        <v>80038</v>
      </c>
      <c r="G2156" s="97" t="s">
        <v>2450</v>
      </c>
      <c r="H2156" s="114">
        <v>46235</v>
      </c>
      <c r="I2156" s="17"/>
      <c r="J2156" s="17"/>
      <c r="K2156" s="17"/>
    </row>
    <row r="2157" spans="1:11" x14ac:dyDescent="0.2">
      <c r="A2157" s="115">
        <v>46246</v>
      </c>
      <c r="B2157" s="103" t="s">
        <v>3610</v>
      </c>
      <c r="C2157" s="94" t="s">
        <v>526</v>
      </c>
      <c r="D2157" s="95">
        <v>3350.21</v>
      </c>
      <c r="E2157" s="95">
        <v>100.74</v>
      </c>
      <c r="F2157" s="96">
        <v>337500</v>
      </c>
      <c r="G2157" s="97" t="s">
        <v>58</v>
      </c>
      <c r="H2157" s="114">
        <v>46235</v>
      </c>
      <c r="I2157" s="17"/>
      <c r="J2157" s="17"/>
      <c r="K2157" s="17"/>
    </row>
    <row r="2158" spans="1:11" x14ac:dyDescent="0.2">
      <c r="A2158" s="115">
        <v>46246</v>
      </c>
      <c r="B2158" s="103" t="s">
        <v>3611</v>
      </c>
      <c r="C2158" s="94" t="s">
        <v>525</v>
      </c>
      <c r="D2158" s="95">
        <v>30</v>
      </c>
      <c r="E2158" s="95">
        <v>100.74</v>
      </c>
      <c r="F2158" s="96">
        <v>3022.2</v>
      </c>
      <c r="G2158" s="97" t="s">
        <v>58</v>
      </c>
      <c r="H2158" s="114">
        <v>46235</v>
      </c>
      <c r="I2158" s="17"/>
      <c r="J2158" s="17"/>
      <c r="K2158" s="17"/>
    </row>
    <row r="2159" spans="1:11" x14ac:dyDescent="0.2">
      <c r="A2159" s="115">
        <v>46246</v>
      </c>
      <c r="B2159" s="103" t="s">
        <v>3612</v>
      </c>
      <c r="C2159" s="94"/>
      <c r="D2159" s="95">
        <v>951.34</v>
      </c>
      <c r="E2159" s="95">
        <v>100.74</v>
      </c>
      <c r="F2159" s="96">
        <v>95838.38</v>
      </c>
      <c r="G2159" s="97" t="s">
        <v>152</v>
      </c>
      <c r="H2159" s="114">
        <v>46235</v>
      </c>
      <c r="I2159" s="17"/>
      <c r="J2159" s="17"/>
      <c r="K2159" s="17"/>
    </row>
    <row r="2160" spans="1:11" x14ac:dyDescent="0.2">
      <c r="A2160" s="115">
        <v>46246</v>
      </c>
      <c r="B2160" s="103" t="s">
        <v>3613</v>
      </c>
      <c r="C2160" s="94" t="s">
        <v>50</v>
      </c>
      <c r="D2160" s="95">
        <v>906.77</v>
      </c>
      <c r="E2160" s="95">
        <v>100.74</v>
      </c>
      <c r="F2160" s="96">
        <v>91348.01</v>
      </c>
      <c r="G2160" s="97" t="s">
        <v>95</v>
      </c>
      <c r="H2160" s="114">
        <v>46235</v>
      </c>
      <c r="I2160" s="17"/>
      <c r="J2160" s="17"/>
      <c r="K2160" s="17"/>
    </row>
    <row r="2161" spans="1:11" x14ac:dyDescent="0.2">
      <c r="A2161" s="115">
        <v>46246</v>
      </c>
      <c r="B2161" s="103" t="s">
        <v>3614</v>
      </c>
      <c r="C2161" s="94" t="s">
        <v>50</v>
      </c>
      <c r="D2161" s="95">
        <v>248.16</v>
      </c>
      <c r="E2161" s="95">
        <v>100.74</v>
      </c>
      <c r="F2161" s="96">
        <v>25000</v>
      </c>
      <c r="G2161" s="97" t="s">
        <v>2611</v>
      </c>
      <c r="H2161" s="114">
        <v>46235</v>
      </c>
      <c r="I2161" s="17"/>
      <c r="J2161" s="17"/>
      <c r="K2161" s="17"/>
    </row>
    <row r="2162" spans="1:11" x14ac:dyDescent="0.2">
      <c r="A2162" s="115">
        <v>46246</v>
      </c>
      <c r="B2162" s="103" t="s">
        <v>3615</v>
      </c>
      <c r="C2162" s="94" t="s">
        <v>50</v>
      </c>
      <c r="D2162" s="95">
        <v>2000</v>
      </c>
      <c r="E2162" s="95">
        <v>100.24</v>
      </c>
      <c r="F2162" s="96">
        <v>200480</v>
      </c>
      <c r="G2162" s="97" t="s">
        <v>96</v>
      </c>
      <c r="H2162" s="114">
        <v>46235</v>
      </c>
      <c r="I2162" s="17"/>
      <c r="J2162" s="17"/>
      <c r="K2162" s="17"/>
    </row>
    <row r="2163" spans="1:11" x14ac:dyDescent="0.2">
      <c r="A2163" s="115">
        <v>46246</v>
      </c>
      <c r="B2163" s="103" t="s">
        <v>3616</v>
      </c>
      <c r="C2163" s="94" t="s">
        <v>50</v>
      </c>
      <c r="D2163" s="95">
        <v>297.8</v>
      </c>
      <c r="E2163" s="95">
        <v>100.74</v>
      </c>
      <c r="F2163" s="96">
        <v>30000</v>
      </c>
      <c r="G2163" s="97" t="s">
        <v>3083</v>
      </c>
      <c r="H2163" s="114">
        <v>46235</v>
      </c>
      <c r="I2163" s="17"/>
      <c r="J2163" s="17"/>
      <c r="K2163" s="17"/>
    </row>
    <row r="2164" spans="1:11" x14ac:dyDescent="0.2">
      <c r="A2164" s="115">
        <v>46246</v>
      </c>
      <c r="B2164" s="103" t="s">
        <v>3617</v>
      </c>
      <c r="C2164" s="94" t="s">
        <v>3618</v>
      </c>
      <c r="D2164" s="95">
        <v>174.01</v>
      </c>
      <c r="E2164" s="95">
        <v>100.74</v>
      </c>
      <c r="F2164" s="96">
        <v>17529.77</v>
      </c>
      <c r="G2164" s="97" t="s">
        <v>59</v>
      </c>
      <c r="H2164" s="114">
        <v>46235</v>
      </c>
      <c r="I2164" s="17"/>
      <c r="J2164" s="17"/>
      <c r="K2164" s="17"/>
    </row>
    <row r="2165" spans="1:11" x14ac:dyDescent="0.2">
      <c r="A2165" s="115">
        <v>46247</v>
      </c>
      <c r="B2165" s="103" t="s">
        <v>3622</v>
      </c>
      <c r="C2165" s="94" t="s">
        <v>1338</v>
      </c>
      <c r="D2165" s="95">
        <v>20</v>
      </c>
      <c r="E2165" s="95">
        <v>100.74</v>
      </c>
      <c r="F2165" s="96">
        <v>2014.8</v>
      </c>
      <c r="G2165" s="97" t="s">
        <v>714</v>
      </c>
      <c r="H2165" s="114">
        <v>46235</v>
      </c>
      <c r="I2165" s="17"/>
      <c r="J2165" s="17"/>
      <c r="K2165" s="17"/>
    </row>
    <row r="2166" spans="1:11" x14ac:dyDescent="0.2">
      <c r="A2166" s="115">
        <v>46247</v>
      </c>
      <c r="B2166" s="103" t="s">
        <v>3623</v>
      </c>
      <c r="C2166" s="94" t="s">
        <v>39</v>
      </c>
      <c r="D2166" s="95">
        <v>100</v>
      </c>
      <c r="E2166" s="95">
        <v>100.74</v>
      </c>
      <c r="F2166" s="96">
        <v>10074</v>
      </c>
      <c r="G2166" s="97" t="s">
        <v>54</v>
      </c>
      <c r="H2166" s="114">
        <v>46235</v>
      </c>
      <c r="I2166" s="17"/>
      <c r="J2166" s="17"/>
      <c r="K2166" s="17"/>
    </row>
    <row r="2167" spans="1:11" x14ac:dyDescent="0.2">
      <c r="A2167" s="115">
        <v>46247</v>
      </c>
      <c r="B2167" s="103" t="s">
        <v>3624</v>
      </c>
      <c r="C2167" s="94" t="s">
        <v>128</v>
      </c>
      <c r="D2167" s="95">
        <v>41.7</v>
      </c>
      <c r="E2167" s="95">
        <v>100.74</v>
      </c>
      <c r="F2167" s="96">
        <v>4200.8500000000004</v>
      </c>
      <c r="G2167" s="97" t="s">
        <v>56</v>
      </c>
      <c r="H2167" s="114">
        <v>46235</v>
      </c>
      <c r="I2167" s="17"/>
      <c r="J2167" s="17"/>
      <c r="K2167" s="17"/>
    </row>
    <row r="2168" spans="1:11" x14ac:dyDescent="0.2">
      <c r="A2168" s="115">
        <v>46247</v>
      </c>
      <c r="B2168" s="103" t="s">
        <v>3625</v>
      </c>
      <c r="C2168" s="94" t="s">
        <v>3626</v>
      </c>
      <c r="D2168" s="95">
        <v>100</v>
      </c>
      <c r="E2168" s="95">
        <v>100.74</v>
      </c>
      <c r="F2168" s="96">
        <v>10074</v>
      </c>
      <c r="G2168" s="97" t="s">
        <v>56</v>
      </c>
      <c r="H2168" s="114">
        <v>46235</v>
      </c>
      <c r="I2168" s="17"/>
      <c r="J2168" s="17"/>
      <c r="K2168" s="17"/>
    </row>
    <row r="2169" spans="1:11" x14ac:dyDescent="0.2">
      <c r="A2169" s="115">
        <v>46247</v>
      </c>
      <c r="B2169" s="103" t="s">
        <v>3627</v>
      </c>
      <c r="C2169" s="94" t="s">
        <v>44</v>
      </c>
      <c r="D2169" s="95">
        <v>35</v>
      </c>
      <c r="E2169" s="95">
        <v>100.74</v>
      </c>
      <c r="F2169" s="96">
        <v>3525.9</v>
      </c>
      <c r="G2169" s="97" t="s">
        <v>56</v>
      </c>
      <c r="H2169" s="114">
        <v>46235</v>
      </c>
      <c r="I2169" s="17"/>
      <c r="J2169" s="17"/>
      <c r="K2169" s="17"/>
    </row>
    <row r="2170" spans="1:11" x14ac:dyDescent="0.2">
      <c r="A2170" s="115">
        <v>46247</v>
      </c>
      <c r="B2170" s="103" t="s">
        <v>3628</v>
      </c>
      <c r="C2170" s="94" t="s">
        <v>3601</v>
      </c>
      <c r="D2170" s="95">
        <v>27.8</v>
      </c>
      <c r="E2170" s="95">
        <v>100.74</v>
      </c>
      <c r="F2170" s="96">
        <v>2800</v>
      </c>
      <c r="G2170" s="97" t="s">
        <v>1786</v>
      </c>
      <c r="H2170" s="114">
        <v>46235</v>
      </c>
      <c r="I2170" s="17"/>
      <c r="J2170" s="17"/>
      <c r="K2170" s="17"/>
    </row>
    <row r="2171" spans="1:11" x14ac:dyDescent="0.2">
      <c r="A2171" s="115">
        <v>46247</v>
      </c>
      <c r="B2171" s="103" t="s">
        <v>3629</v>
      </c>
      <c r="C2171" s="94" t="s">
        <v>3630</v>
      </c>
      <c r="D2171" s="95">
        <v>27.8</v>
      </c>
      <c r="E2171" s="95">
        <v>100.74</v>
      </c>
      <c r="F2171" s="96">
        <v>2800</v>
      </c>
      <c r="G2171" s="97" t="s">
        <v>1786</v>
      </c>
      <c r="H2171" s="114">
        <v>46235</v>
      </c>
      <c r="I2171" s="17"/>
      <c r="J2171" s="17"/>
      <c r="K2171" s="17"/>
    </row>
    <row r="2172" spans="1:11" x14ac:dyDescent="0.2">
      <c r="A2172" s="115">
        <v>46247</v>
      </c>
      <c r="B2172" s="103" t="s">
        <v>3631</v>
      </c>
      <c r="C2172" s="94" t="s">
        <v>3632</v>
      </c>
      <c r="D2172" s="95">
        <v>27.8</v>
      </c>
      <c r="E2172" s="95">
        <v>100.74</v>
      </c>
      <c r="F2172" s="96">
        <v>2800</v>
      </c>
      <c r="G2172" s="97" t="s">
        <v>1786</v>
      </c>
      <c r="H2172" s="114">
        <v>46235</v>
      </c>
      <c r="I2172" s="17"/>
      <c r="J2172" s="17"/>
      <c r="K2172" s="17"/>
    </row>
    <row r="2173" spans="1:11" x14ac:dyDescent="0.2">
      <c r="A2173" s="115">
        <v>46247</v>
      </c>
      <c r="B2173" s="103" t="s">
        <v>3633</v>
      </c>
      <c r="C2173" s="94" t="s">
        <v>3634</v>
      </c>
      <c r="D2173" s="95">
        <v>27.8</v>
      </c>
      <c r="E2173" s="95">
        <v>100.74</v>
      </c>
      <c r="F2173" s="96">
        <v>2800</v>
      </c>
      <c r="G2173" s="97" t="s">
        <v>1786</v>
      </c>
      <c r="H2173" s="114">
        <v>46235</v>
      </c>
      <c r="I2173" s="17"/>
      <c r="J2173" s="17"/>
      <c r="K2173" s="17"/>
    </row>
    <row r="2174" spans="1:11" x14ac:dyDescent="0.2">
      <c r="A2174" s="115">
        <v>46247</v>
      </c>
      <c r="B2174" s="103" t="s">
        <v>3635</v>
      </c>
      <c r="C2174" s="94" t="s">
        <v>3636</v>
      </c>
      <c r="D2174" s="95">
        <v>27.8</v>
      </c>
      <c r="E2174" s="95">
        <v>100.74</v>
      </c>
      <c r="F2174" s="96">
        <v>2800</v>
      </c>
      <c r="G2174" s="97" t="s">
        <v>1786</v>
      </c>
      <c r="H2174" s="114">
        <v>46235</v>
      </c>
      <c r="I2174" s="17"/>
      <c r="J2174" s="17"/>
      <c r="K2174" s="17"/>
    </row>
    <row r="2175" spans="1:11" x14ac:dyDescent="0.2">
      <c r="A2175" s="115">
        <v>46247</v>
      </c>
      <c r="B2175" s="103" t="s">
        <v>3637</v>
      </c>
      <c r="C2175" s="94" t="s">
        <v>3638</v>
      </c>
      <c r="D2175" s="95">
        <v>27.8</v>
      </c>
      <c r="E2175" s="95">
        <v>100.74</v>
      </c>
      <c r="F2175" s="96">
        <v>2800</v>
      </c>
      <c r="G2175" s="97" t="s">
        <v>1786</v>
      </c>
      <c r="H2175" s="114">
        <v>46235</v>
      </c>
      <c r="I2175" s="17"/>
      <c r="J2175" s="17"/>
      <c r="K2175" s="17"/>
    </row>
    <row r="2176" spans="1:11" x14ac:dyDescent="0.2">
      <c r="A2176" s="115">
        <v>46247</v>
      </c>
      <c r="B2176" s="103" t="s">
        <v>3639</v>
      </c>
      <c r="C2176" s="94" t="s">
        <v>3640</v>
      </c>
      <c r="D2176" s="95">
        <v>27.8</v>
      </c>
      <c r="E2176" s="95">
        <v>100.74</v>
      </c>
      <c r="F2176" s="96">
        <v>2800</v>
      </c>
      <c r="G2176" s="97" t="s">
        <v>1786</v>
      </c>
      <c r="H2176" s="114">
        <v>46235</v>
      </c>
      <c r="I2176" s="17"/>
      <c r="J2176" s="17"/>
      <c r="K2176" s="17"/>
    </row>
    <row r="2177" spans="1:11" x14ac:dyDescent="0.2">
      <c r="A2177" s="115">
        <v>46247</v>
      </c>
      <c r="B2177" s="103" t="s">
        <v>3641</v>
      </c>
      <c r="C2177" s="94" t="s">
        <v>526</v>
      </c>
      <c r="D2177" s="95">
        <v>2209.65</v>
      </c>
      <c r="E2177" s="95">
        <v>100.74</v>
      </c>
      <c r="F2177" s="96">
        <v>222600</v>
      </c>
      <c r="G2177" s="97" t="s">
        <v>58</v>
      </c>
      <c r="H2177" s="114">
        <v>46235</v>
      </c>
      <c r="I2177" s="17"/>
      <c r="J2177" s="17"/>
      <c r="K2177" s="17"/>
    </row>
    <row r="2178" spans="1:11" x14ac:dyDescent="0.2">
      <c r="A2178" s="115">
        <v>46247</v>
      </c>
      <c r="B2178" s="103" t="s">
        <v>3642</v>
      </c>
      <c r="C2178" s="94" t="s">
        <v>525</v>
      </c>
      <c r="D2178" s="95">
        <v>148.9</v>
      </c>
      <c r="E2178" s="95">
        <v>100.74</v>
      </c>
      <c r="F2178" s="96">
        <v>15000</v>
      </c>
      <c r="G2178" s="97" t="s">
        <v>58</v>
      </c>
      <c r="H2178" s="114">
        <v>46235</v>
      </c>
      <c r="I2178" s="17"/>
      <c r="J2178" s="17"/>
      <c r="K2178" s="17"/>
    </row>
    <row r="2179" spans="1:11" x14ac:dyDescent="0.2">
      <c r="A2179" s="115">
        <v>46247</v>
      </c>
      <c r="B2179" s="103" t="s">
        <v>3643</v>
      </c>
      <c r="C2179" s="94"/>
      <c r="D2179" s="95">
        <v>489.18</v>
      </c>
      <c r="E2179" s="95">
        <v>100.74</v>
      </c>
      <c r="F2179" s="96">
        <v>49279.82</v>
      </c>
      <c r="G2179" s="97" t="s">
        <v>152</v>
      </c>
      <c r="H2179" s="114">
        <v>46235</v>
      </c>
      <c r="I2179" s="17"/>
      <c r="J2179" s="17"/>
      <c r="K2179" s="17"/>
    </row>
    <row r="2180" spans="1:11" x14ac:dyDescent="0.2">
      <c r="A2180" s="115">
        <v>46247</v>
      </c>
      <c r="B2180" s="103" t="s">
        <v>3644</v>
      </c>
      <c r="C2180" s="94"/>
      <c r="D2180" s="95">
        <v>605.59</v>
      </c>
      <c r="E2180" s="95">
        <v>100.74</v>
      </c>
      <c r="F2180" s="96">
        <v>61007.4</v>
      </c>
      <c r="G2180" s="97" t="s">
        <v>2450</v>
      </c>
      <c r="H2180" s="114">
        <v>46235</v>
      </c>
      <c r="I2180" s="17"/>
      <c r="J2180" s="17"/>
      <c r="K2180" s="17"/>
    </row>
    <row r="2181" spans="1:11" x14ac:dyDescent="0.2">
      <c r="A2181" s="115">
        <v>46247</v>
      </c>
      <c r="B2181" s="103" t="s">
        <v>3645</v>
      </c>
      <c r="C2181" s="94"/>
      <c r="D2181" s="95">
        <v>134.01</v>
      </c>
      <c r="E2181" s="95">
        <v>100.74</v>
      </c>
      <c r="F2181" s="96">
        <v>13500</v>
      </c>
      <c r="G2181" s="97" t="s">
        <v>2450</v>
      </c>
      <c r="H2181" s="114">
        <v>46235</v>
      </c>
      <c r="I2181" s="17"/>
      <c r="J2181" s="17"/>
      <c r="K2181" s="17"/>
    </row>
    <row r="2182" spans="1:11" x14ac:dyDescent="0.2">
      <c r="A2182" s="115">
        <v>46247</v>
      </c>
      <c r="B2182" s="103" t="s">
        <v>3646</v>
      </c>
      <c r="C2182" s="94"/>
      <c r="D2182" s="95">
        <v>23.78</v>
      </c>
      <c r="E2182" s="95">
        <v>100.74</v>
      </c>
      <c r="F2182" s="96">
        <v>2395.59</v>
      </c>
      <c r="G2182" s="97" t="s">
        <v>2364</v>
      </c>
      <c r="H2182" s="114">
        <v>46235</v>
      </c>
      <c r="I2182" s="17"/>
      <c r="J2182" s="17"/>
      <c r="K2182" s="17"/>
    </row>
    <row r="2183" spans="1:11" x14ac:dyDescent="0.2">
      <c r="A2183" s="115">
        <v>46247</v>
      </c>
      <c r="B2183" s="103" t="s">
        <v>3647</v>
      </c>
      <c r="C2183" s="94" t="s">
        <v>50</v>
      </c>
      <c r="D2183" s="95">
        <v>1269.72</v>
      </c>
      <c r="E2183" s="95">
        <v>100.74</v>
      </c>
      <c r="F2183" s="96">
        <v>127911.59</v>
      </c>
      <c r="G2183" s="97" t="s">
        <v>95</v>
      </c>
      <c r="H2183" s="114">
        <v>46235</v>
      </c>
      <c r="I2183" s="17"/>
      <c r="J2183" s="17"/>
      <c r="K2183" s="17"/>
    </row>
    <row r="2184" spans="1:11" x14ac:dyDescent="0.2">
      <c r="A2184" s="115">
        <v>46248</v>
      </c>
      <c r="B2184" s="103" t="s">
        <v>3665</v>
      </c>
      <c r="C2184" s="94" t="s">
        <v>50</v>
      </c>
      <c r="D2184" s="95">
        <v>3000</v>
      </c>
      <c r="E2184" s="95">
        <v>100.74</v>
      </c>
      <c r="F2184" s="96">
        <v>302220</v>
      </c>
      <c r="G2184" s="97" t="s">
        <v>1073</v>
      </c>
      <c r="H2184" s="114">
        <v>46235</v>
      </c>
      <c r="I2184" s="17"/>
      <c r="J2184" s="17"/>
      <c r="K2184" s="17"/>
    </row>
    <row r="2185" spans="1:11" x14ac:dyDescent="0.2">
      <c r="A2185" s="115">
        <v>46248</v>
      </c>
      <c r="B2185" s="103" t="s">
        <v>3666</v>
      </c>
      <c r="C2185" s="94" t="s">
        <v>499</v>
      </c>
      <c r="D2185" s="95">
        <v>1200</v>
      </c>
      <c r="E2185" s="95">
        <v>100.74</v>
      </c>
      <c r="F2185" s="96">
        <v>120888</v>
      </c>
      <c r="G2185" s="97" t="s">
        <v>134</v>
      </c>
      <c r="H2185" s="114">
        <v>46235</v>
      </c>
      <c r="I2185" s="17"/>
      <c r="J2185" s="17"/>
      <c r="K2185" s="17"/>
    </row>
    <row r="2186" spans="1:11" x14ac:dyDescent="0.2">
      <c r="A2186" s="115">
        <v>46248</v>
      </c>
      <c r="B2186" s="103" t="s">
        <v>3667</v>
      </c>
      <c r="C2186" s="94" t="s">
        <v>3603</v>
      </c>
      <c r="D2186" s="95">
        <v>27.79</v>
      </c>
      <c r="E2186" s="95">
        <v>100.74</v>
      </c>
      <c r="F2186" s="96">
        <v>2800</v>
      </c>
      <c r="G2186" s="97" t="s">
        <v>1786</v>
      </c>
      <c r="H2186" s="114">
        <v>46235</v>
      </c>
      <c r="I2186" s="17"/>
      <c r="J2186" s="17"/>
      <c r="K2186" s="17"/>
    </row>
    <row r="2187" spans="1:11" x14ac:dyDescent="0.2">
      <c r="A2187" s="115">
        <v>46248</v>
      </c>
      <c r="B2187" s="103" t="s">
        <v>3668</v>
      </c>
      <c r="C2187" s="94" t="s">
        <v>3247</v>
      </c>
      <c r="D2187" s="95">
        <v>600</v>
      </c>
      <c r="E2187" s="95">
        <v>100.74</v>
      </c>
      <c r="F2187" s="96">
        <v>60444</v>
      </c>
      <c r="G2187" s="97" t="s">
        <v>1483</v>
      </c>
      <c r="H2187" s="114">
        <v>46235</v>
      </c>
      <c r="I2187" s="17"/>
      <c r="J2187" s="17"/>
      <c r="K2187" s="17"/>
    </row>
    <row r="2188" spans="1:11" x14ac:dyDescent="0.2">
      <c r="A2188" s="115">
        <v>46248</v>
      </c>
      <c r="B2188" s="103" t="s">
        <v>3669</v>
      </c>
      <c r="C2188" s="94" t="s">
        <v>41</v>
      </c>
      <c r="D2188" s="95">
        <v>53.63</v>
      </c>
      <c r="E2188" s="95">
        <v>100.74</v>
      </c>
      <c r="F2188" s="96">
        <v>5402.68</v>
      </c>
      <c r="G2188" s="97" t="s">
        <v>53</v>
      </c>
      <c r="H2188" s="114">
        <v>46235</v>
      </c>
      <c r="I2188" s="17"/>
      <c r="J2188" s="17"/>
      <c r="K2188" s="17"/>
    </row>
    <row r="2189" spans="1:11" x14ac:dyDescent="0.2">
      <c r="A2189" s="115">
        <v>46248</v>
      </c>
      <c r="B2189" s="103" t="s">
        <v>3670</v>
      </c>
      <c r="C2189" s="94" t="s">
        <v>1780</v>
      </c>
      <c r="D2189" s="95">
        <v>200</v>
      </c>
      <c r="E2189" s="95">
        <v>100.74</v>
      </c>
      <c r="F2189" s="96">
        <v>20148</v>
      </c>
      <c r="G2189" s="97" t="s">
        <v>2570</v>
      </c>
      <c r="H2189" s="114">
        <v>46235</v>
      </c>
      <c r="I2189" s="17"/>
      <c r="J2189" s="17"/>
      <c r="K2189" s="17"/>
    </row>
    <row r="2190" spans="1:11" x14ac:dyDescent="0.2">
      <c r="A2190" s="115">
        <v>46248</v>
      </c>
      <c r="B2190" s="103" t="s">
        <v>3671</v>
      </c>
      <c r="C2190" s="94" t="s">
        <v>2603</v>
      </c>
      <c r="D2190" s="95">
        <v>200</v>
      </c>
      <c r="E2190" s="95">
        <v>100.74</v>
      </c>
      <c r="F2190" s="96">
        <v>20148</v>
      </c>
      <c r="G2190" s="97" t="s">
        <v>2570</v>
      </c>
      <c r="H2190" s="114">
        <v>46235</v>
      </c>
      <c r="I2190" s="17"/>
      <c r="J2190" s="17"/>
      <c r="K2190" s="17"/>
    </row>
    <row r="2191" spans="1:11" x14ac:dyDescent="0.2">
      <c r="A2191" s="115">
        <v>46248</v>
      </c>
      <c r="B2191" s="103" t="s">
        <v>3672</v>
      </c>
      <c r="C2191" s="94" t="s">
        <v>1746</v>
      </c>
      <c r="D2191" s="95">
        <v>200</v>
      </c>
      <c r="E2191" s="95">
        <v>100.74</v>
      </c>
      <c r="F2191" s="96">
        <v>20148</v>
      </c>
      <c r="G2191" s="97" t="s">
        <v>2570</v>
      </c>
      <c r="H2191" s="114">
        <v>46235</v>
      </c>
      <c r="I2191" s="17"/>
      <c r="J2191" s="17"/>
      <c r="K2191" s="17"/>
    </row>
    <row r="2192" spans="1:11" x14ac:dyDescent="0.2">
      <c r="A2192" s="115">
        <v>46248</v>
      </c>
      <c r="B2192" s="103" t="s">
        <v>3673</v>
      </c>
      <c r="C2192" s="94" t="s">
        <v>1745</v>
      </c>
      <c r="D2192" s="95">
        <v>200</v>
      </c>
      <c r="E2192" s="95">
        <v>100.74</v>
      </c>
      <c r="F2192" s="96">
        <v>20148</v>
      </c>
      <c r="G2192" s="97" t="s">
        <v>2570</v>
      </c>
      <c r="H2192" s="114">
        <v>46235</v>
      </c>
      <c r="I2192" s="17"/>
      <c r="J2192" s="17"/>
      <c r="K2192" s="17"/>
    </row>
    <row r="2193" spans="1:11" x14ac:dyDescent="0.2">
      <c r="A2193" s="115">
        <v>46248</v>
      </c>
      <c r="B2193" s="103" t="s">
        <v>3674</v>
      </c>
      <c r="C2193" s="94" t="s">
        <v>526</v>
      </c>
      <c r="D2193" s="95">
        <v>3033.55</v>
      </c>
      <c r="E2193" s="95">
        <v>100.74</v>
      </c>
      <c r="F2193" s="96">
        <v>305600</v>
      </c>
      <c r="G2193" s="97" t="s">
        <v>58</v>
      </c>
      <c r="H2193" s="114">
        <v>46235</v>
      </c>
      <c r="I2193" s="17"/>
      <c r="J2193" s="17"/>
      <c r="K2193" s="17"/>
    </row>
    <row r="2194" spans="1:11" x14ac:dyDescent="0.2">
      <c r="A2194" s="115">
        <v>46248</v>
      </c>
      <c r="B2194" s="103" t="s">
        <v>3675</v>
      </c>
      <c r="C2194" s="94" t="s">
        <v>525</v>
      </c>
      <c r="D2194" s="95">
        <v>9.93</v>
      </c>
      <c r="E2194" s="95">
        <v>100.74</v>
      </c>
      <c r="F2194" s="96">
        <v>1000</v>
      </c>
      <c r="G2194" s="97" t="s">
        <v>58</v>
      </c>
      <c r="H2194" s="114">
        <v>46235</v>
      </c>
      <c r="I2194" s="17"/>
      <c r="J2194" s="17"/>
      <c r="K2194" s="17"/>
    </row>
    <row r="2195" spans="1:11" x14ac:dyDescent="0.2">
      <c r="A2195" s="115">
        <v>46248</v>
      </c>
      <c r="B2195" s="103" t="s">
        <v>3676</v>
      </c>
      <c r="C2195" s="94"/>
      <c r="D2195" s="95">
        <v>1221.75</v>
      </c>
      <c r="E2195" s="95">
        <v>100.74</v>
      </c>
      <c r="F2195" s="96">
        <v>123078.78</v>
      </c>
      <c r="G2195" s="97" t="s">
        <v>152</v>
      </c>
      <c r="H2195" s="114">
        <v>46235</v>
      </c>
      <c r="I2195" s="17"/>
      <c r="J2195" s="17"/>
      <c r="K2195" s="17"/>
    </row>
    <row r="2196" spans="1:11" x14ac:dyDescent="0.2">
      <c r="A2196" s="115">
        <v>46248</v>
      </c>
      <c r="B2196" s="103" t="s">
        <v>3677</v>
      </c>
      <c r="C2196" s="94"/>
      <c r="D2196" s="95">
        <v>740.94</v>
      </c>
      <c r="E2196" s="95">
        <v>100.74</v>
      </c>
      <c r="F2196" s="96">
        <v>74642.600000000006</v>
      </c>
      <c r="G2196" s="97" t="s">
        <v>57</v>
      </c>
      <c r="H2196" s="114">
        <v>46235</v>
      </c>
      <c r="I2196" s="17"/>
      <c r="J2196" s="17"/>
      <c r="K2196" s="17"/>
    </row>
    <row r="2197" spans="1:11" x14ac:dyDescent="0.2">
      <c r="A2197" s="115">
        <v>46248</v>
      </c>
      <c r="B2197" s="103" t="s">
        <v>3678</v>
      </c>
      <c r="C2197" s="94" t="s">
        <v>50</v>
      </c>
      <c r="D2197" s="95">
        <v>603.13</v>
      </c>
      <c r="E2197" s="95">
        <v>100.74</v>
      </c>
      <c r="F2197" s="96">
        <v>60759.32</v>
      </c>
      <c r="G2197" s="97" t="s">
        <v>95</v>
      </c>
      <c r="H2197" s="114">
        <v>46235</v>
      </c>
      <c r="I2197" s="17"/>
      <c r="J2197" s="17"/>
      <c r="K2197" s="17"/>
    </row>
    <row r="2198" spans="1:11" x14ac:dyDescent="0.2">
      <c r="A2198" s="115">
        <v>46248</v>
      </c>
      <c r="B2198" s="103" t="s">
        <v>3679</v>
      </c>
      <c r="C2198" s="94" t="s">
        <v>50</v>
      </c>
      <c r="D2198" s="95">
        <v>2000</v>
      </c>
      <c r="E2198" s="95">
        <v>100.24</v>
      </c>
      <c r="F2198" s="96">
        <v>200480</v>
      </c>
      <c r="G2198" s="97" t="s">
        <v>96</v>
      </c>
      <c r="H2198" s="114">
        <v>46235</v>
      </c>
      <c r="I2198" s="17"/>
      <c r="J2198" s="17"/>
      <c r="K2198" s="17"/>
    </row>
    <row r="2199" spans="1:11" x14ac:dyDescent="0.2">
      <c r="A2199" s="115">
        <v>46248</v>
      </c>
      <c r="B2199" s="103" t="s">
        <v>3680</v>
      </c>
      <c r="C2199" s="94"/>
      <c r="D2199" s="95">
        <v>517.87</v>
      </c>
      <c r="E2199" s="95">
        <v>100.74</v>
      </c>
      <c r="F2199" s="96">
        <v>52170</v>
      </c>
      <c r="G2199" s="97" t="s">
        <v>2450</v>
      </c>
      <c r="H2199" s="114">
        <v>46235</v>
      </c>
      <c r="I2199" s="17"/>
      <c r="J2199" s="17"/>
      <c r="K2199" s="17"/>
    </row>
    <row r="2200" spans="1:11" x14ac:dyDescent="0.2">
      <c r="A2200" s="115">
        <v>46248</v>
      </c>
      <c r="B2200" s="103" t="s">
        <v>3681</v>
      </c>
      <c r="C2200" s="94"/>
      <c r="D2200" s="95">
        <v>59.01</v>
      </c>
      <c r="E2200" s="95">
        <v>100.74</v>
      </c>
      <c r="F2200" s="96">
        <v>5945</v>
      </c>
      <c r="G2200" s="97" t="s">
        <v>2364</v>
      </c>
      <c r="H2200" s="114">
        <v>46235</v>
      </c>
      <c r="I2200" s="17"/>
      <c r="J2200" s="17"/>
      <c r="K2200" s="17"/>
    </row>
    <row r="2201" spans="1:11" x14ac:dyDescent="0.2">
      <c r="A2201" s="115">
        <v>46249</v>
      </c>
      <c r="B2201" s="103" t="s">
        <v>3684</v>
      </c>
      <c r="C2201" s="94" t="s">
        <v>1743</v>
      </c>
      <c r="D2201" s="95">
        <v>200</v>
      </c>
      <c r="E2201" s="95">
        <v>100.74</v>
      </c>
      <c r="F2201" s="96">
        <v>20148</v>
      </c>
      <c r="G2201" s="97" t="s">
        <v>2570</v>
      </c>
      <c r="H2201" s="114">
        <v>46235</v>
      </c>
      <c r="I2201" s="17"/>
      <c r="J2201" s="17"/>
      <c r="K2201" s="17"/>
    </row>
    <row r="2202" spans="1:11" x14ac:dyDescent="0.2">
      <c r="A2202" s="115">
        <v>46249</v>
      </c>
      <c r="B2202" s="103" t="s">
        <v>3685</v>
      </c>
      <c r="C2202" s="94" t="s">
        <v>129</v>
      </c>
      <c r="D2202" s="95">
        <v>114</v>
      </c>
      <c r="E2202" s="95">
        <v>100.74</v>
      </c>
      <c r="F2202" s="96">
        <v>11484.36</v>
      </c>
      <c r="G2202" s="97" t="s">
        <v>56</v>
      </c>
      <c r="H2202" s="114">
        <v>46235</v>
      </c>
      <c r="I2202" s="17"/>
      <c r="J2202" s="17"/>
      <c r="K2202" s="17"/>
    </row>
    <row r="2203" spans="1:11" x14ac:dyDescent="0.2">
      <c r="A2203" s="115">
        <v>46249</v>
      </c>
      <c r="B2203" s="103" t="s">
        <v>3686</v>
      </c>
      <c r="C2203" s="94" t="s">
        <v>3687</v>
      </c>
      <c r="D2203" s="95">
        <v>27.79</v>
      </c>
      <c r="E2203" s="95">
        <v>100.74</v>
      </c>
      <c r="F2203" s="96">
        <v>2800</v>
      </c>
      <c r="G2203" s="97" t="s">
        <v>1786</v>
      </c>
      <c r="H2203" s="114">
        <v>46235</v>
      </c>
      <c r="I2203" s="17"/>
      <c r="J2203" s="17"/>
      <c r="K2203" s="17"/>
    </row>
    <row r="2204" spans="1:11" x14ac:dyDescent="0.2">
      <c r="A2204" s="115">
        <v>46249</v>
      </c>
      <c r="B2204" s="103" t="s">
        <v>3688</v>
      </c>
      <c r="C2204" s="94" t="s">
        <v>50</v>
      </c>
      <c r="D2204" s="95">
        <v>1012.42</v>
      </c>
      <c r="E2204" s="95">
        <v>100.74</v>
      </c>
      <c r="F2204" s="96">
        <v>101991.19</v>
      </c>
      <c r="G2204" s="97" t="s">
        <v>95</v>
      </c>
      <c r="H2204" s="114">
        <v>46235</v>
      </c>
      <c r="I2204" s="17"/>
      <c r="J2204" s="17"/>
      <c r="K2204" s="17"/>
    </row>
    <row r="2205" spans="1:11" x14ac:dyDescent="0.2">
      <c r="A2205" s="115">
        <v>46249</v>
      </c>
      <c r="B2205" s="103" t="s">
        <v>3689</v>
      </c>
      <c r="C2205" s="94"/>
      <c r="D2205" s="95">
        <v>148.9</v>
      </c>
      <c r="E2205" s="95">
        <v>100.74</v>
      </c>
      <c r="F2205" s="96">
        <v>15000</v>
      </c>
      <c r="G2205" s="97" t="s">
        <v>57</v>
      </c>
      <c r="H2205" s="114">
        <v>46235</v>
      </c>
      <c r="I2205" s="17"/>
      <c r="J2205" s="17"/>
      <c r="K2205" s="17"/>
    </row>
    <row r="2206" spans="1:11" x14ac:dyDescent="0.2">
      <c r="A2206" s="115">
        <v>46249</v>
      </c>
      <c r="B2206" s="103" t="s">
        <v>3690</v>
      </c>
      <c r="C2206" s="94"/>
      <c r="D2206" s="95">
        <v>720.09</v>
      </c>
      <c r="E2206" s="95">
        <v>100.74</v>
      </c>
      <c r="F2206" s="96">
        <v>72542</v>
      </c>
      <c r="G2206" s="97" t="s">
        <v>2450</v>
      </c>
      <c r="H2206" s="114">
        <v>46235</v>
      </c>
      <c r="I2206" s="17"/>
      <c r="J2206" s="17"/>
      <c r="K2206" s="17"/>
    </row>
    <row r="2207" spans="1:11" x14ac:dyDescent="0.2">
      <c r="A2207" s="115">
        <v>46249</v>
      </c>
      <c r="B2207" s="103" t="s">
        <v>3691</v>
      </c>
      <c r="C2207" s="94"/>
      <c r="D2207" s="95">
        <v>49.63</v>
      </c>
      <c r="E2207" s="95">
        <v>100.74</v>
      </c>
      <c r="F2207" s="96">
        <v>5000</v>
      </c>
      <c r="G2207" s="97" t="s">
        <v>2450</v>
      </c>
      <c r="H2207" s="114">
        <v>46235</v>
      </c>
      <c r="I2207" s="17"/>
      <c r="J2207" s="17"/>
      <c r="K2207" s="17"/>
    </row>
    <row r="2208" spans="1:11" x14ac:dyDescent="0.2">
      <c r="A2208" s="115">
        <v>46249</v>
      </c>
      <c r="B2208" s="103" t="s">
        <v>3692</v>
      </c>
      <c r="C2208" s="94"/>
      <c r="D2208" s="95">
        <v>29.78</v>
      </c>
      <c r="E2208" s="95">
        <v>100.74</v>
      </c>
      <c r="F2208" s="96">
        <v>3000</v>
      </c>
      <c r="G2208" s="97" t="s">
        <v>2364</v>
      </c>
      <c r="H2208" s="114">
        <v>46235</v>
      </c>
      <c r="I2208" s="17"/>
      <c r="J2208" s="17"/>
      <c r="K2208" s="17"/>
    </row>
    <row r="2209" spans="1:11" x14ac:dyDescent="0.2">
      <c r="A2209" s="115">
        <v>46249</v>
      </c>
      <c r="B2209" s="103" t="s">
        <v>3693</v>
      </c>
      <c r="C2209" s="94" t="s">
        <v>526</v>
      </c>
      <c r="D2209" s="95">
        <v>2207.66</v>
      </c>
      <c r="E2209" s="95">
        <v>100.74</v>
      </c>
      <c r="F2209" s="96">
        <v>222400</v>
      </c>
      <c r="G2209" s="97" t="s">
        <v>58</v>
      </c>
      <c r="H2209" s="114">
        <v>46235</v>
      </c>
      <c r="I2209" s="17"/>
      <c r="J2209" s="17"/>
      <c r="K2209" s="17"/>
    </row>
    <row r="2210" spans="1:11" x14ac:dyDescent="0.2">
      <c r="A2210" s="115">
        <v>46249</v>
      </c>
      <c r="B2210" s="103" t="s">
        <v>3694</v>
      </c>
      <c r="C2210" s="94" t="s">
        <v>525</v>
      </c>
      <c r="D2210" s="95">
        <v>14.89</v>
      </c>
      <c r="E2210" s="95">
        <v>100.74</v>
      </c>
      <c r="F2210" s="96">
        <v>1500</v>
      </c>
      <c r="G2210" s="97" t="s">
        <v>58</v>
      </c>
      <c r="H2210" s="114">
        <v>46235</v>
      </c>
      <c r="I2210" s="17"/>
      <c r="J2210" s="17"/>
      <c r="K2210" s="17"/>
    </row>
    <row r="2211" spans="1:11" x14ac:dyDescent="0.2">
      <c r="A2211" s="115">
        <v>46249</v>
      </c>
      <c r="B2211" s="103" t="s">
        <v>3695</v>
      </c>
      <c r="C2211" s="94"/>
      <c r="D2211" s="95">
        <v>1461.7</v>
      </c>
      <c r="E2211" s="95">
        <v>100.74</v>
      </c>
      <c r="F2211" s="96">
        <v>147252.88</v>
      </c>
      <c r="G2211" s="97" t="s">
        <v>152</v>
      </c>
      <c r="H2211" s="114">
        <v>46235</v>
      </c>
      <c r="I2211" s="17"/>
      <c r="J2211" s="17"/>
      <c r="K2211" s="17"/>
    </row>
    <row r="2212" spans="1:11" x14ac:dyDescent="0.2">
      <c r="A2212" s="115">
        <v>46250</v>
      </c>
      <c r="B2212" s="103" t="s">
        <v>3699</v>
      </c>
      <c r="C2212" s="94" t="s">
        <v>180</v>
      </c>
      <c r="D2212" s="95">
        <v>12000</v>
      </c>
      <c r="E2212" s="95">
        <v>99.5</v>
      </c>
      <c r="F2212" s="96">
        <v>1194000</v>
      </c>
      <c r="G2212" s="97" t="s">
        <v>143</v>
      </c>
      <c r="H2212" s="114">
        <v>46235</v>
      </c>
      <c r="I2212" s="17"/>
      <c r="J2212" s="17"/>
      <c r="K2212" s="17"/>
    </row>
    <row r="2213" spans="1:11" x14ac:dyDescent="0.2">
      <c r="A2213" s="115">
        <v>46250</v>
      </c>
      <c r="B2213" s="103" t="s">
        <v>3700</v>
      </c>
      <c r="C2213" s="94"/>
      <c r="D2213" s="95">
        <v>617.33000000000004</v>
      </c>
      <c r="E2213" s="95">
        <v>100.74</v>
      </c>
      <c r="F2213" s="96">
        <v>62190</v>
      </c>
      <c r="G2213" s="97" t="s">
        <v>2450</v>
      </c>
      <c r="H2213" s="114">
        <v>46235</v>
      </c>
      <c r="I2213" s="17"/>
      <c r="J2213" s="17"/>
      <c r="K2213" s="17"/>
    </row>
    <row r="2214" spans="1:11" x14ac:dyDescent="0.2">
      <c r="A2214" s="115">
        <v>46250</v>
      </c>
      <c r="B2214" s="103" t="s">
        <v>3701</v>
      </c>
      <c r="C2214" s="94"/>
      <c r="D2214" s="95">
        <v>6.29</v>
      </c>
      <c r="E2214" s="95">
        <v>100.74</v>
      </c>
      <c r="F2214" s="96">
        <v>633.65</v>
      </c>
      <c r="G2214" s="97" t="s">
        <v>2364</v>
      </c>
      <c r="H2214" s="114">
        <v>46235</v>
      </c>
      <c r="I2214" s="17"/>
      <c r="J2214" s="17"/>
      <c r="K2214" s="17"/>
    </row>
    <row r="2215" spans="1:11" x14ac:dyDescent="0.2">
      <c r="A2215" s="115">
        <v>46250</v>
      </c>
      <c r="B2215" s="103" t="s">
        <v>3702</v>
      </c>
      <c r="C2215" s="94"/>
      <c r="D2215" s="95">
        <v>905.81</v>
      </c>
      <c r="E2215" s="95">
        <v>100.74</v>
      </c>
      <c r="F2215" s="96">
        <v>91251.7</v>
      </c>
      <c r="G2215" s="97" t="s">
        <v>152</v>
      </c>
      <c r="H2215" s="114">
        <v>46235</v>
      </c>
      <c r="I2215" s="17"/>
      <c r="J2215" s="17"/>
      <c r="K2215" s="17"/>
    </row>
    <row r="2216" spans="1:11" x14ac:dyDescent="0.2">
      <c r="A2216" s="115">
        <v>46250</v>
      </c>
      <c r="B2216" s="103" t="s">
        <v>3703</v>
      </c>
      <c r="C2216" s="94" t="s">
        <v>526</v>
      </c>
      <c r="D2216" s="95">
        <v>2418.11</v>
      </c>
      <c r="E2216" s="95">
        <v>100.74</v>
      </c>
      <c r="F2216" s="96">
        <v>243600</v>
      </c>
      <c r="G2216" s="97" t="s">
        <v>58</v>
      </c>
      <c r="H2216" s="114">
        <v>46235</v>
      </c>
      <c r="I2216" s="17"/>
      <c r="J2216" s="17"/>
      <c r="K2216" s="17"/>
    </row>
    <row r="2217" spans="1:11" x14ac:dyDescent="0.2">
      <c r="A2217" s="115">
        <v>46250</v>
      </c>
      <c r="B2217" s="103" t="s">
        <v>3704</v>
      </c>
      <c r="C2217" s="94" t="s">
        <v>50</v>
      </c>
      <c r="D2217" s="95">
        <v>150</v>
      </c>
      <c r="E2217" s="95">
        <v>100.74</v>
      </c>
      <c r="F2217" s="96">
        <v>15111</v>
      </c>
      <c r="G2217" s="97" t="s">
        <v>3083</v>
      </c>
      <c r="H2217" s="114">
        <v>46235</v>
      </c>
      <c r="I2217" s="17"/>
      <c r="J2217" s="17"/>
      <c r="K2217" s="17"/>
    </row>
    <row r="2218" spans="1:11" x14ac:dyDescent="0.2">
      <c r="A2218" s="115">
        <v>46250</v>
      </c>
      <c r="B2218" s="103" t="s">
        <v>3705</v>
      </c>
      <c r="C2218" s="94" t="s">
        <v>50</v>
      </c>
      <c r="D2218" s="95">
        <v>2000</v>
      </c>
      <c r="E2218" s="95">
        <v>100.24</v>
      </c>
      <c r="F2218" s="96">
        <v>200480</v>
      </c>
      <c r="G2218" s="97" t="s">
        <v>96</v>
      </c>
      <c r="H2218" s="114">
        <v>46235</v>
      </c>
      <c r="I2218" s="17"/>
      <c r="J2218" s="17"/>
      <c r="K2218" s="17"/>
    </row>
    <row r="2219" spans="1:11" x14ac:dyDescent="0.2">
      <c r="A2219" s="115">
        <v>46250</v>
      </c>
      <c r="B2219" s="103" t="s">
        <v>3706</v>
      </c>
      <c r="C2219" s="94" t="s">
        <v>50</v>
      </c>
      <c r="D2219" s="95">
        <v>1242.3499999999999</v>
      </c>
      <c r="E2219" s="95">
        <v>100.74</v>
      </c>
      <c r="F2219" s="96">
        <v>125154.34</v>
      </c>
      <c r="G2219" s="97" t="s">
        <v>95</v>
      </c>
      <c r="H2219" s="114">
        <v>46235</v>
      </c>
      <c r="I2219" s="17"/>
      <c r="J2219" s="17"/>
      <c r="K2219" s="17"/>
    </row>
    <row r="2220" spans="1:11" x14ac:dyDescent="0.2">
      <c r="A2220" s="115">
        <v>46250</v>
      </c>
      <c r="B2220" s="103" t="s">
        <v>3707</v>
      </c>
      <c r="C2220" s="94" t="s">
        <v>1744</v>
      </c>
      <c r="D2220" s="95">
        <v>200</v>
      </c>
      <c r="E2220" s="95">
        <v>100.74</v>
      </c>
      <c r="F2220" s="96">
        <v>20148</v>
      </c>
      <c r="G2220" s="97" t="s">
        <v>2570</v>
      </c>
      <c r="H2220" s="114">
        <v>46235</v>
      </c>
      <c r="I2220" s="17"/>
      <c r="J2220" s="17"/>
      <c r="K2220" s="17"/>
    </row>
    <row r="2221" spans="1:11" x14ac:dyDescent="0.2">
      <c r="A2221" s="115">
        <v>46250</v>
      </c>
      <c r="B2221" s="103" t="s">
        <v>3708</v>
      </c>
      <c r="C2221" s="94" t="s">
        <v>1747</v>
      </c>
      <c r="D2221" s="95">
        <v>200</v>
      </c>
      <c r="E2221" s="95">
        <v>100.74</v>
      </c>
      <c r="F2221" s="96">
        <v>20148</v>
      </c>
      <c r="G2221" s="97" t="s">
        <v>2570</v>
      </c>
      <c r="H2221" s="114">
        <v>46235</v>
      </c>
      <c r="I2221" s="17"/>
      <c r="J2221" s="17"/>
      <c r="K2221" s="17"/>
    </row>
    <row r="2222" spans="1:11" x14ac:dyDescent="0.2">
      <c r="A2222" s="115">
        <v>46250</v>
      </c>
      <c r="B2222" s="103" t="s">
        <v>3709</v>
      </c>
      <c r="C2222" s="94" t="s">
        <v>44</v>
      </c>
      <c r="D2222" s="95">
        <v>49.21</v>
      </c>
      <c r="E2222" s="95">
        <v>100.74</v>
      </c>
      <c r="F2222" s="96">
        <v>4957.41</v>
      </c>
      <c r="G2222" s="97" t="s">
        <v>56</v>
      </c>
      <c r="H2222" s="114">
        <v>46235</v>
      </c>
      <c r="I2222" s="17"/>
      <c r="J2222" s="17"/>
      <c r="K2222" s="17"/>
    </row>
    <row r="2223" spans="1:11" x14ac:dyDescent="0.2">
      <c r="A2223" s="115">
        <v>46250</v>
      </c>
      <c r="B2223" s="103" t="s">
        <v>3710</v>
      </c>
      <c r="C2223" s="94" t="s">
        <v>2858</v>
      </c>
      <c r="D2223" s="95">
        <v>10</v>
      </c>
      <c r="E2223" s="95">
        <v>100.74</v>
      </c>
      <c r="F2223" s="96">
        <v>1007.4</v>
      </c>
      <c r="G2223" s="97" t="s">
        <v>714</v>
      </c>
      <c r="H2223" s="114">
        <v>46235</v>
      </c>
      <c r="I2223" s="17"/>
      <c r="J2223" s="17"/>
      <c r="K2223" s="17"/>
    </row>
    <row r="2224" spans="1:11" x14ac:dyDescent="0.2">
      <c r="A2224" s="115">
        <v>46250</v>
      </c>
      <c r="B2224" s="103" t="s">
        <v>3711</v>
      </c>
      <c r="C2224" s="94" t="s">
        <v>50</v>
      </c>
      <c r="D2224" s="95">
        <v>45.29</v>
      </c>
      <c r="E2224" s="95">
        <v>100.74</v>
      </c>
      <c r="F2224" s="96">
        <v>4562.51</v>
      </c>
      <c r="G2224" s="97" t="s">
        <v>54</v>
      </c>
      <c r="H2224" s="114">
        <v>46235</v>
      </c>
      <c r="I2224" s="17"/>
      <c r="J2224" s="17"/>
      <c r="K2224" s="17"/>
    </row>
    <row r="2225" spans="1:11" x14ac:dyDescent="0.2">
      <c r="A2225" s="115">
        <v>46251</v>
      </c>
      <c r="B2225" s="103" t="s">
        <v>3716</v>
      </c>
      <c r="C2225" s="94" t="s">
        <v>50</v>
      </c>
      <c r="D2225" s="95">
        <v>3000</v>
      </c>
      <c r="E2225" s="95">
        <v>100.74</v>
      </c>
      <c r="F2225" s="96">
        <v>302220</v>
      </c>
      <c r="G2225" s="97" t="s">
        <v>1073</v>
      </c>
      <c r="H2225" s="114">
        <v>46235</v>
      </c>
      <c r="I2225" s="17"/>
      <c r="J2225" s="17"/>
      <c r="K2225" s="17"/>
    </row>
    <row r="2226" spans="1:11" x14ac:dyDescent="0.2">
      <c r="A2226" s="115">
        <v>46251</v>
      </c>
      <c r="B2226" s="103" t="s">
        <v>3717</v>
      </c>
      <c r="C2226" s="94" t="s">
        <v>39</v>
      </c>
      <c r="D2226" s="95">
        <v>18000</v>
      </c>
      <c r="E2226" s="95">
        <v>99.5</v>
      </c>
      <c r="F2226" s="96">
        <v>1791000</v>
      </c>
      <c r="G2226" s="97" t="s">
        <v>52</v>
      </c>
      <c r="H2226" s="114">
        <v>46235</v>
      </c>
      <c r="I2226" s="17"/>
      <c r="J2226" s="17"/>
      <c r="K2226" s="17"/>
    </row>
    <row r="2227" spans="1:11" x14ac:dyDescent="0.2">
      <c r="A2227" s="115">
        <v>46251</v>
      </c>
      <c r="B2227" s="103" t="s">
        <v>3718</v>
      </c>
      <c r="C2227" s="94" t="s">
        <v>3116</v>
      </c>
      <c r="D2227" s="95">
        <v>198.53</v>
      </c>
      <c r="E2227" s="95">
        <v>100.74</v>
      </c>
      <c r="F2227" s="96">
        <v>20000</v>
      </c>
      <c r="G2227" s="97" t="s">
        <v>3083</v>
      </c>
      <c r="H2227" s="114">
        <v>46235</v>
      </c>
      <c r="I2227" s="17"/>
      <c r="J2227" s="17"/>
      <c r="K2227" s="17"/>
    </row>
    <row r="2228" spans="1:11" x14ac:dyDescent="0.2">
      <c r="A2228" s="115">
        <v>46251</v>
      </c>
      <c r="B2228" s="103" t="s">
        <v>3719</v>
      </c>
      <c r="C2228" s="94" t="s">
        <v>1526</v>
      </c>
      <c r="D2228" s="95">
        <v>20</v>
      </c>
      <c r="E2228" s="95">
        <v>100.74</v>
      </c>
      <c r="F2228" s="96">
        <v>2014.8</v>
      </c>
      <c r="G2228" s="97" t="s">
        <v>901</v>
      </c>
      <c r="H2228" s="114">
        <v>46235</v>
      </c>
      <c r="I2228" s="17"/>
      <c r="J2228" s="17"/>
      <c r="K2228" s="17"/>
    </row>
    <row r="2229" spans="1:11" x14ac:dyDescent="0.2">
      <c r="A2229" s="115">
        <v>46251</v>
      </c>
      <c r="B2229" s="103" t="s">
        <v>3720</v>
      </c>
      <c r="C2229" s="94" t="s">
        <v>1781</v>
      </c>
      <c r="D2229" s="95">
        <v>200</v>
      </c>
      <c r="E2229" s="95">
        <v>100.74</v>
      </c>
      <c r="F2229" s="96">
        <v>20148</v>
      </c>
      <c r="G2229" s="97" t="s">
        <v>2570</v>
      </c>
      <c r="H2229" s="114">
        <v>46235</v>
      </c>
      <c r="I2229" s="17"/>
      <c r="J2229" s="17"/>
      <c r="K2229" s="17"/>
    </row>
    <row r="2230" spans="1:11" x14ac:dyDescent="0.2">
      <c r="A2230" s="115">
        <v>46251</v>
      </c>
      <c r="B2230" s="103" t="s">
        <v>3721</v>
      </c>
      <c r="C2230" s="94" t="s">
        <v>2603</v>
      </c>
      <c r="D2230" s="95">
        <v>200</v>
      </c>
      <c r="E2230" s="95">
        <v>100.74</v>
      </c>
      <c r="F2230" s="96">
        <v>20148</v>
      </c>
      <c r="G2230" s="97" t="s">
        <v>2570</v>
      </c>
      <c r="H2230" s="114">
        <v>46235</v>
      </c>
      <c r="I2230" s="17"/>
      <c r="J2230" s="17"/>
      <c r="K2230" s="17"/>
    </row>
    <row r="2231" spans="1:11" x14ac:dyDescent="0.2">
      <c r="A2231" s="115">
        <v>46251</v>
      </c>
      <c r="B2231" s="103" t="s">
        <v>3722</v>
      </c>
      <c r="C2231" s="94" t="s">
        <v>1746</v>
      </c>
      <c r="D2231" s="95">
        <v>200</v>
      </c>
      <c r="E2231" s="95">
        <v>100.74</v>
      </c>
      <c r="F2231" s="96">
        <v>20148</v>
      </c>
      <c r="G2231" s="97" t="s">
        <v>2570</v>
      </c>
      <c r="H2231" s="114">
        <v>46235</v>
      </c>
      <c r="I2231" s="17"/>
      <c r="J2231" s="17"/>
      <c r="K2231" s="17"/>
    </row>
    <row r="2232" spans="1:11" x14ac:dyDescent="0.2">
      <c r="A2232" s="115">
        <v>46251</v>
      </c>
      <c r="B2232" s="103" t="s">
        <v>3723</v>
      </c>
      <c r="C2232" s="94" t="s">
        <v>50</v>
      </c>
      <c r="D2232" s="95">
        <v>1051.3699999999999</v>
      </c>
      <c r="E2232" s="95">
        <v>100.74</v>
      </c>
      <c r="F2232" s="96">
        <v>105915.01</v>
      </c>
      <c r="G2232" s="97" t="s">
        <v>95</v>
      </c>
      <c r="H2232" s="114">
        <v>46235</v>
      </c>
      <c r="I2232" s="17"/>
      <c r="J2232" s="17"/>
      <c r="K2232" s="17"/>
    </row>
    <row r="2233" spans="1:11" x14ac:dyDescent="0.2">
      <c r="A2233" s="115">
        <v>46251</v>
      </c>
      <c r="B2233" s="103" t="s">
        <v>3724</v>
      </c>
      <c r="C2233" s="94" t="s">
        <v>526</v>
      </c>
      <c r="D2233" s="95">
        <v>1114.75</v>
      </c>
      <c r="E2233" s="95">
        <v>100.74</v>
      </c>
      <c r="F2233" s="96">
        <v>112300</v>
      </c>
      <c r="G2233" s="97" t="s">
        <v>58</v>
      </c>
      <c r="H2233" s="114">
        <v>46235</v>
      </c>
      <c r="I2233" s="17"/>
      <c r="J2233" s="17"/>
      <c r="K2233" s="17"/>
    </row>
    <row r="2234" spans="1:11" x14ac:dyDescent="0.2">
      <c r="A2234" s="115">
        <v>46251</v>
      </c>
      <c r="B2234" s="103" t="s">
        <v>3725</v>
      </c>
      <c r="C2234" s="94"/>
      <c r="D2234" s="95">
        <v>967.86</v>
      </c>
      <c r="E2234" s="95">
        <v>100.74</v>
      </c>
      <c r="F2234" s="96">
        <v>97501.82</v>
      </c>
      <c r="G2234" s="97" t="s">
        <v>152</v>
      </c>
      <c r="H2234" s="114">
        <v>46235</v>
      </c>
      <c r="I2234" s="17"/>
      <c r="J2234" s="17"/>
      <c r="K2234" s="17"/>
    </row>
    <row r="2235" spans="1:11" x14ac:dyDescent="0.2">
      <c r="A2235" s="115">
        <v>46251</v>
      </c>
      <c r="B2235" s="103" t="s">
        <v>3726</v>
      </c>
      <c r="C2235" s="94"/>
      <c r="D2235" s="95">
        <v>1062.48</v>
      </c>
      <c r="E2235" s="95">
        <v>100.74</v>
      </c>
      <c r="F2235" s="96">
        <v>107033.9</v>
      </c>
      <c r="G2235" s="97" t="s">
        <v>57</v>
      </c>
      <c r="H2235" s="114">
        <v>46235</v>
      </c>
      <c r="I2235" s="17"/>
      <c r="J2235" s="17"/>
      <c r="K2235" s="17"/>
    </row>
    <row r="2236" spans="1:11" x14ac:dyDescent="0.2">
      <c r="A2236" s="115">
        <v>46251</v>
      </c>
      <c r="B2236" s="103" t="s">
        <v>3727</v>
      </c>
      <c r="C2236" s="94"/>
      <c r="D2236" s="95">
        <v>14.89</v>
      </c>
      <c r="E2236" s="95">
        <v>100.74</v>
      </c>
      <c r="F2236" s="96">
        <v>1500</v>
      </c>
      <c r="G2236" s="97" t="s">
        <v>2364</v>
      </c>
      <c r="H2236" s="114">
        <v>46235</v>
      </c>
      <c r="I2236" s="17"/>
      <c r="J2236" s="17"/>
      <c r="K2236" s="17"/>
    </row>
    <row r="2237" spans="1:11" x14ac:dyDescent="0.2">
      <c r="A2237" s="115">
        <v>46251</v>
      </c>
      <c r="B2237" s="103" t="s">
        <v>3728</v>
      </c>
      <c r="C2237" s="94"/>
      <c r="D2237" s="95">
        <v>409.87</v>
      </c>
      <c r="E2237" s="95">
        <v>100.74</v>
      </c>
      <c r="F2237" s="96">
        <v>41290</v>
      </c>
      <c r="G2237" s="97" t="s">
        <v>2450</v>
      </c>
      <c r="H2237" s="114">
        <v>46235</v>
      </c>
      <c r="I2237" s="17"/>
      <c r="J2237" s="17"/>
      <c r="K2237" s="17"/>
    </row>
    <row r="2238" spans="1:11" x14ac:dyDescent="0.2">
      <c r="A2238" s="115">
        <v>46252</v>
      </c>
      <c r="B2238" s="103" t="s">
        <v>3732</v>
      </c>
      <c r="C2238" s="94" t="s">
        <v>180</v>
      </c>
      <c r="D2238" s="95">
        <v>12000</v>
      </c>
      <c r="E2238" s="95">
        <v>99.5</v>
      </c>
      <c r="F2238" s="96">
        <v>1194000</v>
      </c>
      <c r="G2238" s="97" t="s">
        <v>143</v>
      </c>
      <c r="H2238" s="114">
        <v>46235</v>
      </c>
      <c r="I2238" s="17"/>
      <c r="J2238" s="17"/>
      <c r="K2238" s="17"/>
    </row>
    <row r="2239" spans="1:11" x14ac:dyDescent="0.2">
      <c r="A2239" s="115">
        <v>46252</v>
      </c>
      <c r="B2239" s="103" t="s">
        <v>3733</v>
      </c>
      <c r="C2239" s="94" t="s">
        <v>42</v>
      </c>
      <c r="D2239" s="95">
        <v>12000</v>
      </c>
      <c r="E2239" s="95">
        <v>99.5</v>
      </c>
      <c r="F2239" s="96">
        <v>1194000</v>
      </c>
      <c r="G2239" s="97" t="s">
        <v>51</v>
      </c>
      <c r="H2239" s="114">
        <v>46235</v>
      </c>
      <c r="I2239" s="17"/>
      <c r="J2239" s="17"/>
      <c r="K2239" s="17"/>
    </row>
    <row r="2240" spans="1:11" x14ac:dyDescent="0.2">
      <c r="A2240" s="115">
        <v>46252</v>
      </c>
      <c r="B2240" s="103" t="s">
        <v>3734</v>
      </c>
      <c r="C2240" s="94" t="s">
        <v>39</v>
      </c>
      <c r="D2240" s="95">
        <v>18000</v>
      </c>
      <c r="E2240" s="95">
        <v>99.5</v>
      </c>
      <c r="F2240" s="96">
        <v>1791000</v>
      </c>
      <c r="G2240" s="97" t="s">
        <v>51</v>
      </c>
      <c r="H2240" s="114">
        <v>46235</v>
      </c>
      <c r="I2240" s="17"/>
      <c r="J2240" s="17"/>
      <c r="K2240" s="17"/>
    </row>
    <row r="2241" spans="1:11" x14ac:dyDescent="0.2">
      <c r="A2241" s="115">
        <v>46252</v>
      </c>
      <c r="B2241" s="103" t="s">
        <v>3735</v>
      </c>
      <c r="C2241" s="94" t="s">
        <v>50</v>
      </c>
      <c r="D2241" s="95">
        <v>1326.66</v>
      </c>
      <c r="E2241" s="95">
        <v>100.74</v>
      </c>
      <c r="F2241" s="96">
        <v>133647.73000000001</v>
      </c>
      <c r="G2241" s="97" t="s">
        <v>95</v>
      </c>
      <c r="H2241" s="114">
        <v>46235</v>
      </c>
      <c r="I2241" s="17"/>
      <c r="J2241" s="17"/>
      <c r="K2241" s="17"/>
    </row>
    <row r="2242" spans="1:11" x14ac:dyDescent="0.2">
      <c r="A2242" s="115">
        <v>46252</v>
      </c>
      <c r="B2242" s="103" t="s">
        <v>3736</v>
      </c>
      <c r="C2242" s="94" t="s">
        <v>50</v>
      </c>
      <c r="D2242" s="95">
        <v>2000</v>
      </c>
      <c r="E2242" s="95">
        <v>100.24</v>
      </c>
      <c r="F2242" s="96">
        <v>200480</v>
      </c>
      <c r="G2242" s="97" t="s">
        <v>96</v>
      </c>
      <c r="H2242" s="114">
        <v>46235</v>
      </c>
      <c r="I2242" s="17"/>
      <c r="J2242" s="17"/>
      <c r="K2242" s="17"/>
    </row>
    <row r="2243" spans="1:11" x14ac:dyDescent="0.2">
      <c r="A2243" s="115">
        <v>46252</v>
      </c>
      <c r="B2243" s="103" t="s">
        <v>3737</v>
      </c>
      <c r="C2243" s="94" t="s">
        <v>1943</v>
      </c>
      <c r="D2243" s="95">
        <v>200</v>
      </c>
      <c r="E2243" s="95">
        <v>100.74</v>
      </c>
      <c r="F2243" s="96">
        <v>20148</v>
      </c>
      <c r="G2243" s="97" t="s">
        <v>54</v>
      </c>
      <c r="H2243" s="114">
        <v>46235</v>
      </c>
      <c r="I2243" s="17"/>
      <c r="J2243" s="17"/>
      <c r="K2243" s="17"/>
    </row>
    <row r="2244" spans="1:11" x14ac:dyDescent="0.2">
      <c r="A2244" s="115">
        <v>46252</v>
      </c>
      <c r="B2244" s="103" t="s">
        <v>3738</v>
      </c>
      <c r="C2244" s="94" t="s">
        <v>3116</v>
      </c>
      <c r="D2244" s="95">
        <v>147.80000000000001</v>
      </c>
      <c r="E2244" s="95">
        <v>100.74</v>
      </c>
      <c r="F2244" s="96">
        <v>14889</v>
      </c>
      <c r="G2244" s="97" t="s">
        <v>3083</v>
      </c>
      <c r="H2244" s="114">
        <v>46235</v>
      </c>
      <c r="I2244" s="17"/>
      <c r="J2244" s="17"/>
      <c r="K2244" s="17"/>
    </row>
    <row r="2245" spans="1:11" x14ac:dyDescent="0.2">
      <c r="A2245" s="115">
        <v>46252</v>
      </c>
      <c r="B2245" s="103" t="s">
        <v>3739</v>
      </c>
      <c r="C2245" s="94" t="s">
        <v>3740</v>
      </c>
      <c r="D2245" s="95">
        <v>379.6</v>
      </c>
      <c r="E2245" s="95">
        <v>100.74</v>
      </c>
      <c r="F2245" s="96">
        <v>38240.9</v>
      </c>
      <c r="G2245" s="97" t="s">
        <v>199</v>
      </c>
      <c r="H2245" s="114">
        <v>46235</v>
      </c>
      <c r="I2245" s="17"/>
      <c r="J2245" s="17"/>
      <c r="K2245" s="17"/>
    </row>
    <row r="2246" spans="1:11" x14ac:dyDescent="0.2">
      <c r="A2246" s="115">
        <v>46252</v>
      </c>
      <c r="B2246" s="103" t="s">
        <v>3741</v>
      </c>
      <c r="C2246" s="94" t="s">
        <v>44</v>
      </c>
      <c r="D2246" s="95">
        <v>42.4</v>
      </c>
      <c r="E2246" s="95">
        <v>100.74</v>
      </c>
      <c r="F2246" s="96">
        <v>4271.37</v>
      </c>
      <c r="G2246" s="97" t="s">
        <v>56</v>
      </c>
      <c r="H2246" s="114">
        <v>46235</v>
      </c>
      <c r="I2246" s="17"/>
      <c r="J2246" s="17"/>
      <c r="K2246" s="17"/>
    </row>
    <row r="2247" spans="1:11" x14ac:dyDescent="0.2">
      <c r="A2247" s="115">
        <v>46252</v>
      </c>
      <c r="B2247" s="103" t="s">
        <v>3742</v>
      </c>
      <c r="C2247" s="94" t="s">
        <v>129</v>
      </c>
      <c r="D2247" s="95">
        <v>104</v>
      </c>
      <c r="E2247" s="95">
        <v>100.74</v>
      </c>
      <c r="F2247" s="96">
        <v>10476.959999999999</v>
      </c>
      <c r="G2247" s="97" t="s">
        <v>56</v>
      </c>
      <c r="H2247" s="114">
        <v>46235</v>
      </c>
      <c r="I2247" s="17"/>
      <c r="J2247" s="17"/>
      <c r="K2247" s="17"/>
    </row>
    <row r="2248" spans="1:11" x14ac:dyDescent="0.2">
      <c r="A2248" s="115">
        <v>46252</v>
      </c>
      <c r="B2248" s="103" t="s">
        <v>3743</v>
      </c>
      <c r="C2248" s="94"/>
      <c r="D2248" s="95">
        <v>632.37</v>
      </c>
      <c r="E2248" s="95">
        <v>100.74</v>
      </c>
      <c r="F2248" s="96">
        <v>63705</v>
      </c>
      <c r="G2248" s="97" t="s">
        <v>2450</v>
      </c>
      <c r="H2248" s="114">
        <v>46235</v>
      </c>
      <c r="I2248" s="17"/>
      <c r="J2248" s="17"/>
      <c r="K2248" s="17"/>
    </row>
    <row r="2249" spans="1:11" x14ac:dyDescent="0.2">
      <c r="A2249" s="115">
        <v>46252</v>
      </c>
      <c r="B2249" s="103" t="s">
        <v>3744</v>
      </c>
      <c r="C2249" s="94"/>
      <c r="D2249" s="95">
        <v>35.770000000000003</v>
      </c>
      <c r="E2249" s="95">
        <v>100.74</v>
      </c>
      <c r="F2249" s="96">
        <v>3603.43</v>
      </c>
      <c r="G2249" s="97" t="s">
        <v>2364</v>
      </c>
      <c r="H2249" s="114">
        <v>46235</v>
      </c>
      <c r="I2249" s="17"/>
      <c r="J2249" s="17"/>
      <c r="K2249" s="17"/>
    </row>
    <row r="2250" spans="1:11" x14ac:dyDescent="0.2">
      <c r="A2250" s="115">
        <v>46252</v>
      </c>
      <c r="B2250" s="103" t="s">
        <v>3745</v>
      </c>
      <c r="C2250" s="94"/>
      <c r="D2250" s="95">
        <v>684.62</v>
      </c>
      <c r="E2250" s="95">
        <v>100.74</v>
      </c>
      <c r="F2250" s="96">
        <v>68968.72</v>
      </c>
      <c r="G2250" s="97" t="s">
        <v>152</v>
      </c>
      <c r="H2250" s="114">
        <v>46235</v>
      </c>
      <c r="I2250" s="17"/>
      <c r="J2250" s="17"/>
      <c r="K2250" s="17"/>
    </row>
    <row r="2251" spans="1:11" x14ac:dyDescent="0.2">
      <c r="A2251" s="115">
        <v>46252</v>
      </c>
      <c r="B2251" s="103" t="s">
        <v>3746</v>
      </c>
      <c r="C2251" s="94"/>
      <c r="D2251" s="95">
        <v>99.27</v>
      </c>
      <c r="E2251" s="95">
        <v>100.74</v>
      </c>
      <c r="F2251" s="96">
        <v>10000</v>
      </c>
      <c r="G2251" s="97" t="s">
        <v>57</v>
      </c>
      <c r="H2251" s="114">
        <v>46235</v>
      </c>
      <c r="I2251" s="17"/>
      <c r="J2251" s="17"/>
      <c r="K2251" s="17"/>
    </row>
    <row r="2252" spans="1:11" x14ac:dyDescent="0.2">
      <c r="A2252" s="115">
        <v>46252</v>
      </c>
      <c r="B2252" s="103" t="s">
        <v>3747</v>
      </c>
      <c r="C2252" s="94" t="s">
        <v>525</v>
      </c>
      <c r="D2252" s="95">
        <v>163.79</v>
      </c>
      <c r="E2252" s="95">
        <v>100.74</v>
      </c>
      <c r="F2252" s="96">
        <v>16500</v>
      </c>
      <c r="G2252" s="97" t="s">
        <v>58</v>
      </c>
      <c r="H2252" s="114">
        <v>46235</v>
      </c>
      <c r="I2252" s="17"/>
      <c r="J2252" s="17"/>
      <c r="K2252" s="17"/>
    </row>
    <row r="2253" spans="1:11" x14ac:dyDescent="0.2">
      <c r="A2253" s="115">
        <v>46252</v>
      </c>
      <c r="B2253" s="103" t="s">
        <v>3748</v>
      </c>
      <c r="C2253" s="94" t="s">
        <v>526</v>
      </c>
      <c r="D2253" s="95">
        <v>1879.09</v>
      </c>
      <c r="E2253" s="95">
        <v>100.74</v>
      </c>
      <c r="F2253" s="96">
        <v>189300</v>
      </c>
      <c r="G2253" s="97" t="s">
        <v>58</v>
      </c>
      <c r="H2253" s="114">
        <v>46235</v>
      </c>
      <c r="I2253" s="17"/>
      <c r="J2253" s="17"/>
      <c r="K2253" s="17"/>
    </row>
    <row r="2254" spans="1:11" x14ac:dyDescent="0.2">
      <c r="A2254" s="115">
        <v>46253</v>
      </c>
      <c r="B2254" s="103" t="s">
        <v>3752</v>
      </c>
      <c r="C2254" s="94"/>
      <c r="D2254" s="95">
        <v>20</v>
      </c>
      <c r="E2254" s="95">
        <v>100.74</v>
      </c>
      <c r="F2254" s="96">
        <v>2014.8</v>
      </c>
      <c r="G2254" s="97" t="s">
        <v>217</v>
      </c>
      <c r="H2254" s="114">
        <v>46235</v>
      </c>
      <c r="I2254" s="17"/>
      <c r="J2254" s="17"/>
      <c r="K2254" s="17"/>
    </row>
    <row r="2255" spans="1:11" x14ac:dyDescent="0.2">
      <c r="A2255" s="115">
        <v>46253</v>
      </c>
      <c r="B2255" s="103" t="s">
        <v>3753</v>
      </c>
      <c r="C2255" s="94" t="s">
        <v>3754</v>
      </c>
      <c r="D2255" s="95">
        <v>337.51</v>
      </c>
      <c r="E2255" s="95">
        <v>100.74</v>
      </c>
      <c r="F2255" s="96">
        <v>34000.75</v>
      </c>
      <c r="G2255" s="97" t="s">
        <v>199</v>
      </c>
      <c r="H2255" s="114">
        <v>46235</v>
      </c>
      <c r="I2255" s="17"/>
      <c r="J2255" s="17"/>
      <c r="K2255" s="17"/>
    </row>
    <row r="2256" spans="1:11" x14ac:dyDescent="0.2">
      <c r="A2256" s="115">
        <v>46253</v>
      </c>
      <c r="B2256" s="103" t="s">
        <v>3755</v>
      </c>
      <c r="C2256" s="94" t="s">
        <v>50</v>
      </c>
      <c r="D2256" s="95">
        <v>868.22</v>
      </c>
      <c r="E2256" s="95">
        <v>100.74</v>
      </c>
      <c r="F2256" s="96">
        <v>87464.48</v>
      </c>
      <c r="G2256" s="97" t="s">
        <v>95</v>
      </c>
      <c r="H2256" s="114">
        <v>46235</v>
      </c>
      <c r="I2256" s="17"/>
      <c r="J2256" s="17"/>
      <c r="K2256" s="17"/>
    </row>
    <row r="2257" spans="1:11" x14ac:dyDescent="0.2">
      <c r="A2257" s="115">
        <v>46253</v>
      </c>
      <c r="B2257" s="103" t="s">
        <v>3756</v>
      </c>
      <c r="C2257" s="94" t="s">
        <v>2603</v>
      </c>
      <c r="D2257" s="95">
        <v>79.41</v>
      </c>
      <c r="E2257" s="95">
        <v>100.74</v>
      </c>
      <c r="F2257" s="96">
        <v>8000</v>
      </c>
      <c r="G2257" s="97" t="s">
        <v>2570</v>
      </c>
      <c r="H2257" s="114">
        <v>46235</v>
      </c>
      <c r="I2257" s="17"/>
      <c r="J2257" s="17"/>
      <c r="K2257" s="17"/>
    </row>
    <row r="2258" spans="1:11" x14ac:dyDescent="0.2">
      <c r="A2258" s="115">
        <v>46253</v>
      </c>
      <c r="B2258" s="103" t="s">
        <v>3757</v>
      </c>
      <c r="C2258" s="94" t="s">
        <v>1746</v>
      </c>
      <c r="D2258" s="95">
        <v>79.41</v>
      </c>
      <c r="E2258" s="95">
        <v>100.74</v>
      </c>
      <c r="F2258" s="96">
        <v>8000</v>
      </c>
      <c r="G2258" s="97" t="s">
        <v>2570</v>
      </c>
      <c r="H2258" s="114">
        <v>46235</v>
      </c>
      <c r="I2258" s="17"/>
      <c r="J2258" s="17"/>
      <c r="K2258" s="17"/>
    </row>
    <row r="2259" spans="1:11" x14ac:dyDescent="0.2">
      <c r="A2259" s="115">
        <v>46253</v>
      </c>
      <c r="B2259" s="103" t="s">
        <v>3758</v>
      </c>
      <c r="C2259" s="94" t="s">
        <v>1781</v>
      </c>
      <c r="D2259" s="95">
        <v>79.41</v>
      </c>
      <c r="E2259" s="95">
        <v>100.74</v>
      </c>
      <c r="F2259" s="96">
        <v>8000</v>
      </c>
      <c r="G2259" s="97" t="s">
        <v>2570</v>
      </c>
      <c r="H2259" s="114">
        <v>46235</v>
      </c>
      <c r="I2259" s="17"/>
      <c r="J2259" s="17"/>
      <c r="K2259" s="17"/>
    </row>
    <row r="2260" spans="1:11" x14ac:dyDescent="0.2">
      <c r="A2260" s="115">
        <v>46253</v>
      </c>
      <c r="B2260" s="103" t="s">
        <v>3759</v>
      </c>
      <c r="C2260" s="94"/>
      <c r="D2260" s="95">
        <v>655.29999999999995</v>
      </c>
      <c r="E2260" s="95">
        <v>100.74</v>
      </c>
      <c r="F2260" s="96">
        <v>66014.7</v>
      </c>
      <c r="G2260" s="97" t="s">
        <v>152</v>
      </c>
      <c r="H2260" s="114">
        <v>46235</v>
      </c>
      <c r="I2260" s="17"/>
      <c r="J2260" s="17"/>
      <c r="K2260" s="17"/>
    </row>
    <row r="2261" spans="1:11" x14ac:dyDescent="0.2">
      <c r="A2261" s="115">
        <v>46253</v>
      </c>
      <c r="B2261" s="103" t="s">
        <v>3760</v>
      </c>
      <c r="C2261" s="94" t="s">
        <v>526</v>
      </c>
      <c r="D2261" s="95">
        <v>2779.43</v>
      </c>
      <c r="E2261" s="95">
        <v>100.74</v>
      </c>
      <c r="F2261" s="96">
        <v>280000</v>
      </c>
      <c r="G2261" s="97" t="s">
        <v>58</v>
      </c>
      <c r="H2261" s="114">
        <v>46235</v>
      </c>
      <c r="I2261" s="17"/>
      <c r="J2261" s="17"/>
      <c r="K2261" s="17"/>
    </row>
    <row r="2262" spans="1:11" x14ac:dyDescent="0.2">
      <c r="A2262" s="115">
        <v>46253</v>
      </c>
      <c r="B2262" s="103" t="s">
        <v>3761</v>
      </c>
      <c r="C2262" s="94"/>
      <c r="D2262" s="95">
        <v>75.540000000000006</v>
      </c>
      <c r="E2262" s="95">
        <v>100.74</v>
      </c>
      <c r="F2262" s="96">
        <v>7610</v>
      </c>
      <c r="G2262" s="97" t="s">
        <v>2364</v>
      </c>
      <c r="H2262" s="114">
        <v>46235</v>
      </c>
      <c r="I2262" s="17"/>
      <c r="J2262" s="17"/>
      <c r="K2262" s="17"/>
    </row>
    <row r="2263" spans="1:11" x14ac:dyDescent="0.2">
      <c r="A2263" s="115">
        <v>46253</v>
      </c>
      <c r="B2263" s="103" t="s">
        <v>3762</v>
      </c>
      <c r="C2263" s="94"/>
      <c r="D2263" s="95">
        <v>395.91</v>
      </c>
      <c r="E2263" s="95">
        <v>100.74</v>
      </c>
      <c r="F2263" s="96">
        <v>39884</v>
      </c>
      <c r="G2263" s="97" t="s">
        <v>2450</v>
      </c>
      <c r="H2263" s="114">
        <v>46235</v>
      </c>
      <c r="I2263" s="17"/>
      <c r="J2263" s="17"/>
      <c r="K2263" s="17"/>
    </row>
    <row r="2264" spans="1:11" x14ac:dyDescent="0.2">
      <c r="A2264" s="115">
        <v>46254</v>
      </c>
      <c r="B2264" s="103" t="s">
        <v>3767</v>
      </c>
      <c r="C2264" s="94"/>
      <c r="D2264" s="95">
        <v>475.06</v>
      </c>
      <c r="E2264" s="95">
        <v>100.74</v>
      </c>
      <c r="F2264" s="96">
        <v>47858</v>
      </c>
      <c r="G2264" s="97" t="s">
        <v>2450</v>
      </c>
      <c r="H2264" s="114">
        <v>46235</v>
      </c>
      <c r="I2264" s="17"/>
      <c r="J2264" s="17"/>
      <c r="K2264" s="17"/>
    </row>
    <row r="2265" spans="1:11" x14ac:dyDescent="0.2">
      <c r="A2265" s="115">
        <v>46254</v>
      </c>
      <c r="B2265" s="103" t="s">
        <v>3768</v>
      </c>
      <c r="C2265" s="94"/>
      <c r="D2265" s="95">
        <v>120</v>
      </c>
      <c r="E2265" s="95">
        <v>100.74</v>
      </c>
      <c r="F2265" s="96">
        <v>12088.8</v>
      </c>
      <c r="G2265" s="97" t="s">
        <v>2364</v>
      </c>
      <c r="H2265" s="114">
        <v>46235</v>
      </c>
      <c r="I2265" s="17"/>
      <c r="J2265" s="17"/>
      <c r="K2265" s="17"/>
    </row>
    <row r="2266" spans="1:11" x14ac:dyDescent="0.2">
      <c r="A2266" s="115">
        <v>46254</v>
      </c>
      <c r="B2266" s="103" t="s">
        <v>3769</v>
      </c>
      <c r="C2266" s="94"/>
      <c r="D2266" s="95">
        <v>178.79</v>
      </c>
      <c r="E2266" s="95">
        <v>100.74</v>
      </c>
      <c r="F2266" s="96">
        <v>18011.099999999999</v>
      </c>
      <c r="G2266" s="97" t="s">
        <v>152</v>
      </c>
      <c r="H2266" s="114">
        <v>46235</v>
      </c>
      <c r="I2266" s="17"/>
      <c r="J2266" s="17"/>
      <c r="K2266" s="17"/>
    </row>
    <row r="2267" spans="1:11" x14ac:dyDescent="0.2">
      <c r="A2267" s="115">
        <v>46254</v>
      </c>
      <c r="B2267" s="103" t="s">
        <v>3770</v>
      </c>
      <c r="C2267" s="94" t="s">
        <v>526</v>
      </c>
      <c r="D2267" s="95">
        <v>3161.6</v>
      </c>
      <c r="E2267" s="95">
        <v>100.74</v>
      </c>
      <c r="F2267" s="96">
        <v>318500</v>
      </c>
      <c r="G2267" s="97" t="s">
        <v>58</v>
      </c>
      <c r="H2267" s="114">
        <v>46235</v>
      </c>
      <c r="I2267" s="17"/>
      <c r="J2267" s="17"/>
      <c r="K2267" s="17"/>
    </row>
    <row r="2268" spans="1:11" x14ac:dyDescent="0.2">
      <c r="A2268" s="115">
        <v>46254</v>
      </c>
      <c r="B2268" s="103" t="s">
        <v>3771</v>
      </c>
      <c r="C2268" s="94" t="s">
        <v>525</v>
      </c>
      <c r="D2268" s="95">
        <v>29.78</v>
      </c>
      <c r="E2268" s="95">
        <v>100.74</v>
      </c>
      <c r="F2268" s="96">
        <v>3000</v>
      </c>
      <c r="G2268" s="97" t="s">
        <v>58</v>
      </c>
      <c r="H2268" s="114">
        <v>46235</v>
      </c>
      <c r="I2268" s="17"/>
      <c r="J2268" s="17"/>
      <c r="K2268" s="17"/>
    </row>
    <row r="2269" spans="1:11" x14ac:dyDescent="0.2">
      <c r="A2269" s="115">
        <v>46254</v>
      </c>
      <c r="B2269" s="103" t="s">
        <v>3772</v>
      </c>
      <c r="C2269" s="94" t="s">
        <v>3116</v>
      </c>
      <c r="D2269" s="95">
        <v>297.8</v>
      </c>
      <c r="E2269" s="95">
        <v>100.74</v>
      </c>
      <c r="F2269" s="96">
        <v>30000</v>
      </c>
      <c r="G2269" s="97" t="s">
        <v>3083</v>
      </c>
      <c r="H2269" s="114">
        <v>46235</v>
      </c>
      <c r="I2269" s="17"/>
      <c r="J2269" s="17"/>
      <c r="K2269" s="17"/>
    </row>
    <row r="2270" spans="1:11" x14ac:dyDescent="0.2">
      <c r="A2270" s="115">
        <v>46254</v>
      </c>
      <c r="B2270" s="103" t="s">
        <v>3773</v>
      </c>
      <c r="C2270" s="94" t="s">
        <v>44</v>
      </c>
      <c r="D2270" s="95">
        <v>45.9</v>
      </c>
      <c r="E2270" s="95">
        <v>100.74</v>
      </c>
      <c r="F2270" s="96">
        <v>4623.96</v>
      </c>
      <c r="G2270" s="97" t="s">
        <v>56</v>
      </c>
      <c r="H2270" s="114">
        <v>46235</v>
      </c>
      <c r="I2270" s="17"/>
      <c r="J2270" s="17"/>
      <c r="K2270" s="17"/>
    </row>
    <row r="2271" spans="1:11" x14ac:dyDescent="0.2">
      <c r="A2271" s="115">
        <v>46254</v>
      </c>
      <c r="B2271" s="103" t="s">
        <v>3774</v>
      </c>
      <c r="C2271" s="94" t="s">
        <v>1745</v>
      </c>
      <c r="D2271" s="95">
        <v>168.75</v>
      </c>
      <c r="E2271" s="95">
        <v>100.74</v>
      </c>
      <c r="F2271" s="96">
        <v>17000</v>
      </c>
      <c r="G2271" s="97" t="s">
        <v>2570</v>
      </c>
      <c r="H2271" s="114">
        <v>46235</v>
      </c>
      <c r="I2271" s="17"/>
      <c r="J2271" s="17"/>
      <c r="K2271" s="17"/>
    </row>
    <row r="2272" spans="1:11" x14ac:dyDescent="0.2">
      <c r="A2272" s="115">
        <v>46254</v>
      </c>
      <c r="B2272" s="103" t="s">
        <v>3775</v>
      </c>
      <c r="C2272" s="94" t="s">
        <v>2948</v>
      </c>
      <c r="D2272" s="95">
        <v>178.68</v>
      </c>
      <c r="E2272" s="95">
        <v>100.74</v>
      </c>
      <c r="F2272" s="96">
        <v>18000</v>
      </c>
      <c r="G2272" s="97" t="s">
        <v>2570</v>
      </c>
      <c r="H2272" s="114">
        <v>46235</v>
      </c>
      <c r="I2272" s="17"/>
      <c r="J2272" s="17"/>
      <c r="K2272" s="17"/>
    </row>
    <row r="2273" spans="1:11" x14ac:dyDescent="0.2">
      <c r="A2273" s="115">
        <v>46254</v>
      </c>
      <c r="B2273" s="103" t="s">
        <v>3776</v>
      </c>
      <c r="C2273" s="94" t="s">
        <v>3777</v>
      </c>
      <c r="D2273" s="95">
        <v>178.68</v>
      </c>
      <c r="E2273" s="95">
        <v>100.74</v>
      </c>
      <c r="F2273" s="96">
        <v>18000</v>
      </c>
      <c r="G2273" s="97" t="s">
        <v>2570</v>
      </c>
      <c r="H2273" s="114">
        <v>46235</v>
      </c>
      <c r="I2273" s="17"/>
      <c r="J2273" s="17"/>
      <c r="K2273" s="17"/>
    </row>
    <row r="2274" spans="1:11" x14ac:dyDescent="0.2">
      <c r="A2274" s="115">
        <v>46254</v>
      </c>
      <c r="B2274" s="103" t="s">
        <v>3778</v>
      </c>
      <c r="C2274" s="94" t="s">
        <v>2835</v>
      </c>
      <c r="D2274" s="95">
        <v>178.68</v>
      </c>
      <c r="E2274" s="95">
        <v>100.74</v>
      </c>
      <c r="F2274" s="96">
        <v>18000</v>
      </c>
      <c r="G2274" s="97" t="s">
        <v>2570</v>
      </c>
      <c r="H2274" s="114">
        <v>46235</v>
      </c>
      <c r="I2274" s="17"/>
      <c r="J2274" s="17"/>
      <c r="K2274" s="17"/>
    </row>
    <row r="2275" spans="1:11" x14ac:dyDescent="0.2">
      <c r="A2275" s="115">
        <v>46254</v>
      </c>
      <c r="B2275" s="103" t="s">
        <v>3779</v>
      </c>
      <c r="C2275" s="94" t="s">
        <v>1744</v>
      </c>
      <c r="D2275" s="95">
        <v>200</v>
      </c>
      <c r="E2275" s="95">
        <v>100.74</v>
      </c>
      <c r="F2275" s="96">
        <v>20148</v>
      </c>
      <c r="G2275" s="97" t="s">
        <v>2570</v>
      </c>
      <c r="H2275" s="114">
        <v>46235</v>
      </c>
      <c r="I2275" s="17"/>
      <c r="J2275" s="17"/>
      <c r="K2275" s="17"/>
    </row>
    <row r="2276" spans="1:11" x14ac:dyDescent="0.2">
      <c r="A2276" s="115">
        <v>46254</v>
      </c>
      <c r="B2276" s="103" t="s">
        <v>3780</v>
      </c>
      <c r="C2276" s="94" t="s">
        <v>50</v>
      </c>
      <c r="D2276" s="95">
        <v>957.1</v>
      </c>
      <c r="E2276" s="95">
        <v>100.74</v>
      </c>
      <c r="F2276" s="96">
        <v>96418.25</v>
      </c>
      <c r="G2276" s="97" t="s">
        <v>95</v>
      </c>
      <c r="H2276" s="114">
        <v>46235</v>
      </c>
      <c r="I2276" s="17"/>
      <c r="J2276" s="17"/>
      <c r="K2276" s="17"/>
    </row>
    <row r="2277" spans="1:11" x14ac:dyDescent="0.2">
      <c r="A2277" s="115">
        <v>46254</v>
      </c>
      <c r="B2277" s="103" t="s">
        <v>3781</v>
      </c>
      <c r="C2277" s="94" t="s">
        <v>50</v>
      </c>
      <c r="D2277" s="95">
        <v>2400</v>
      </c>
      <c r="E2277" s="95">
        <v>100.24</v>
      </c>
      <c r="F2277" s="96">
        <v>240576</v>
      </c>
      <c r="G2277" s="97" t="s">
        <v>96</v>
      </c>
      <c r="H2277" s="114">
        <v>46235</v>
      </c>
      <c r="I2277" s="17"/>
      <c r="J2277" s="17"/>
      <c r="K2277" s="17"/>
    </row>
    <row r="2278" spans="1:11" x14ac:dyDescent="0.2">
      <c r="A2278" s="115">
        <v>46255</v>
      </c>
      <c r="B2278" s="103" t="s">
        <v>3810</v>
      </c>
      <c r="C2278" s="94" t="s">
        <v>40</v>
      </c>
      <c r="D2278" s="95">
        <v>12000</v>
      </c>
      <c r="E2278" s="95">
        <v>99.5</v>
      </c>
      <c r="F2278" s="96">
        <v>1194000</v>
      </c>
      <c r="G2278" s="97" t="s">
        <v>143</v>
      </c>
      <c r="H2278" s="114">
        <v>46235</v>
      </c>
      <c r="I2278" s="17"/>
      <c r="J2278" s="17"/>
      <c r="K2278" s="17"/>
    </row>
    <row r="2279" spans="1:11" x14ac:dyDescent="0.2">
      <c r="A2279" s="115">
        <v>46255</v>
      </c>
      <c r="B2279" s="103" t="s">
        <v>3811</v>
      </c>
      <c r="C2279" s="94" t="s">
        <v>39</v>
      </c>
      <c r="D2279" s="95">
        <v>18000</v>
      </c>
      <c r="E2279" s="95">
        <v>99.99</v>
      </c>
      <c r="F2279" s="96">
        <v>1799820</v>
      </c>
      <c r="G2279" s="100" t="s">
        <v>3806</v>
      </c>
      <c r="H2279" s="114">
        <v>46235</v>
      </c>
      <c r="I2279" s="17"/>
      <c r="J2279" s="17"/>
      <c r="K2279" s="17"/>
    </row>
    <row r="2280" spans="1:11" x14ac:dyDescent="0.2">
      <c r="A2280" s="115">
        <v>46255</v>
      </c>
      <c r="B2280" s="103" t="s">
        <v>3814</v>
      </c>
      <c r="C2280" s="94" t="s">
        <v>129</v>
      </c>
      <c r="D2280" s="95">
        <v>93.48</v>
      </c>
      <c r="E2280" s="95">
        <v>100.74</v>
      </c>
      <c r="F2280" s="96">
        <v>9417.17</v>
      </c>
      <c r="G2280" s="100" t="s">
        <v>56</v>
      </c>
      <c r="H2280" s="114">
        <v>46235</v>
      </c>
      <c r="I2280" s="17"/>
      <c r="J2280" s="17"/>
      <c r="K2280" s="17"/>
    </row>
    <row r="2281" spans="1:11" x14ac:dyDescent="0.2">
      <c r="A2281" s="115">
        <v>46255</v>
      </c>
      <c r="B2281" s="103" t="s">
        <v>3815</v>
      </c>
      <c r="C2281" s="94" t="s">
        <v>742</v>
      </c>
      <c r="D2281" s="95">
        <v>50</v>
      </c>
      <c r="E2281" s="95">
        <v>100.74</v>
      </c>
      <c r="F2281" s="96">
        <v>5037</v>
      </c>
      <c r="G2281" s="100" t="s">
        <v>714</v>
      </c>
      <c r="H2281" s="114">
        <v>46235</v>
      </c>
      <c r="I2281" s="17"/>
      <c r="J2281" s="17"/>
      <c r="K2281" s="17"/>
    </row>
    <row r="2282" spans="1:11" x14ac:dyDescent="0.2">
      <c r="A2282" s="115">
        <v>46255</v>
      </c>
      <c r="B2282" s="103" t="s">
        <v>3816</v>
      </c>
      <c r="C2282" s="94" t="s">
        <v>760</v>
      </c>
      <c r="D2282" s="95">
        <v>50</v>
      </c>
      <c r="E2282" s="95">
        <v>100.74</v>
      </c>
      <c r="F2282" s="96">
        <v>5037</v>
      </c>
      <c r="G2282" s="100" t="s">
        <v>714</v>
      </c>
      <c r="H2282" s="114">
        <v>46235</v>
      </c>
      <c r="I2282" s="17"/>
      <c r="J2282" s="17"/>
      <c r="K2282" s="17"/>
    </row>
    <row r="2283" spans="1:11" x14ac:dyDescent="0.2">
      <c r="A2283" s="115">
        <v>46255</v>
      </c>
      <c r="B2283" s="103" t="s">
        <v>3817</v>
      </c>
      <c r="C2283" s="94" t="s">
        <v>760</v>
      </c>
      <c r="D2283" s="95">
        <v>10</v>
      </c>
      <c r="E2283" s="95">
        <v>100.74</v>
      </c>
      <c r="F2283" s="96">
        <v>1007.4</v>
      </c>
      <c r="G2283" s="100" t="s">
        <v>714</v>
      </c>
      <c r="H2283" s="114">
        <v>46235</v>
      </c>
      <c r="I2283" s="17"/>
      <c r="J2283" s="17"/>
      <c r="K2283" s="17"/>
    </row>
    <row r="2284" spans="1:11" x14ac:dyDescent="0.2">
      <c r="A2284" s="115">
        <v>46255</v>
      </c>
      <c r="B2284" s="103" t="s">
        <v>3818</v>
      </c>
      <c r="C2284" s="94" t="s">
        <v>1743</v>
      </c>
      <c r="D2284" s="95">
        <v>79.41</v>
      </c>
      <c r="E2284" s="95">
        <v>100.74</v>
      </c>
      <c r="F2284" s="96">
        <v>8000</v>
      </c>
      <c r="G2284" s="100" t="s">
        <v>2570</v>
      </c>
      <c r="H2284" s="114">
        <v>46235</v>
      </c>
      <c r="I2284" s="17"/>
      <c r="J2284" s="17"/>
      <c r="K2284" s="17"/>
    </row>
    <row r="2285" spans="1:11" x14ac:dyDescent="0.2">
      <c r="A2285" s="115">
        <v>46255</v>
      </c>
      <c r="B2285" s="103" t="s">
        <v>3819</v>
      </c>
      <c r="C2285" s="94"/>
      <c r="D2285" s="95">
        <v>475.25</v>
      </c>
      <c r="E2285" s="95">
        <v>100.74</v>
      </c>
      <c r="F2285" s="96">
        <v>47876.36</v>
      </c>
      <c r="G2285" s="100" t="s">
        <v>2450</v>
      </c>
      <c r="H2285" s="114">
        <v>46235</v>
      </c>
      <c r="I2285" s="17"/>
      <c r="J2285" s="17"/>
      <c r="K2285" s="17"/>
    </row>
    <row r="2286" spans="1:11" x14ac:dyDescent="0.2">
      <c r="A2286" s="115">
        <v>46255</v>
      </c>
      <c r="B2286" s="103" t="s">
        <v>3820</v>
      </c>
      <c r="C2286" s="94"/>
      <c r="D2286" s="95">
        <v>360.99</v>
      </c>
      <c r="E2286" s="95">
        <v>100.74</v>
      </c>
      <c r="F2286" s="96">
        <v>36365.86</v>
      </c>
      <c r="G2286" s="100" t="s">
        <v>152</v>
      </c>
      <c r="H2286" s="114">
        <v>46235</v>
      </c>
      <c r="I2286" s="17"/>
      <c r="J2286" s="17"/>
      <c r="K2286" s="17"/>
    </row>
    <row r="2287" spans="1:11" x14ac:dyDescent="0.2">
      <c r="A2287" s="115">
        <v>46255</v>
      </c>
      <c r="B2287" s="103" t="s">
        <v>3821</v>
      </c>
      <c r="C2287" s="94" t="s">
        <v>525</v>
      </c>
      <c r="D2287" s="95">
        <v>35</v>
      </c>
      <c r="E2287" s="95">
        <v>100.74</v>
      </c>
      <c r="F2287" s="96">
        <v>3525.9</v>
      </c>
      <c r="G2287" s="100" t="s">
        <v>58</v>
      </c>
      <c r="H2287" s="114">
        <v>46235</v>
      </c>
      <c r="I2287" s="17"/>
      <c r="J2287" s="17"/>
      <c r="K2287" s="17"/>
    </row>
    <row r="2288" spans="1:11" x14ac:dyDescent="0.2">
      <c r="A2288" s="115">
        <v>46255</v>
      </c>
      <c r="B2288" s="103" t="s">
        <v>3822</v>
      </c>
      <c r="C2288" s="94" t="s">
        <v>526</v>
      </c>
      <c r="D2288" s="95">
        <v>1826.48</v>
      </c>
      <c r="E2288" s="95">
        <v>100.74</v>
      </c>
      <c r="F2288" s="96">
        <v>184000</v>
      </c>
      <c r="G2288" s="100" t="s">
        <v>58</v>
      </c>
      <c r="H2288" s="114">
        <v>46235</v>
      </c>
      <c r="I2288" s="17"/>
      <c r="J2288" s="17"/>
      <c r="K2288" s="17"/>
    </row>
    <row r="2289" spans="1:11" x14ac:dyDescent="0.2">
      <c r="A2289" s="115">
        <v>46255</v>
      </c>
      <c r="B2289" s="103" t="s">
        <v>3823</v>
      </c>
      <c r="C2289" s="94"/>
      <c r="D2289" s="95">
        <v>29.78</v>
      </c>
      <c r="E2289" s="95">
        <v>100.74</v>
      </c>
      <c r="F2289" s="96">
        <v>3000</v>
      </c>
      <c r="G2289" s="100" t="s">
        <v>57</v>
      </c>
      <c r="H2289" s="114">
        <v>46235</v>
      </c>
      <c r="I2289" s="17"/>
      <c r="J2289" s="17"/>
      <c r="K2289" s="17"/>
    </row>
    <row r="2290" spans="1:11" x14ac:dyDescent="0.2">
      <c r="A2290" s="115">
        <v>46255</v>
      </c>
      <c r="B2290" s="103" t="s">
        <v>3824</v>
      </c>
      <c r="C2290" s="94" t="s">
        <v>50</v>
      </c>
      <c r="D2290" s="95">
        <v>1177.1500000000001</v>
      </c>
      <c r="E2290" s="95">
        <v>100.74</v>
      </c>
      <c r="F2290" s="96">
        <v>118586.09</v>
      </c>
      <c r="G2290" s="100" t="s">
        <v>95</v>
      </c>
      <c r="H2290" s="114">
        <v>46235</v>
      </c>
      <c r="I2290" s="17"/>
      <c r="J2290" s="17"/>
      <c r="K2290" s="17"/>
    </row>
    <row r="2291" spans="1:11" x14ac:dyDescent="0.2">
      <c r="A2291" s="115">
        <v>46255</v>
      </c>
      <c r="B2291" s="103" t="s">
        <v>3825</v>
      </c>
      <c r="C2291" s="94" t="s">
        <v>50</v>
      </c>
      <c r="D2291" s="95">
        <v>1204.48</v>
      </c>
      <c r="E2291" s="95">
        <v>100.74</v>
      </c>
      <c r="F2291" s="96">
        <v>121339.32</v>
      </c>
      <c r="G2291" s="100" t="s">
        <v>95</v>
      </c>
      <c r="H2291" s="114">
        <v>46235</v>
      </c>
      <c r="I2291" s="17"/>
      <c r="J2291" s="17"/>
      <c r="K2291" s="17"/>
    </row>
    <row r="2292" spans="1:11" x14ac:dyDescent="0.2">
      <c r="A2292" s="115">
        <v>46256</v>
      </c>
      <c r="B2292" s="103" t="s">
        <v>3830</v>
      </c>
      <c r="C2292" s="94" t="s">
        <v>42</v>
      </c>
      <c r="D2292" s="95">
        <v>12000</v>
      </c>
      <c r="E2292" s="95">
        <v>99.99</v>
      </c>
      <c r="F2292" s="96">
        <v>1199880</v>
      </c>
      <c r="G2292" s="100" t="s">
        <v>3806</v>
      </c>
      <c r="H2292" s="114">
        <v>46235</v>
      </c>
      <c r="I2292" s="17"/>
      <c r="J2292" s="17"/>
      <c r="K2292" s="17"/>
    </row>
    <row r="2293" spans="1:11" x14ac:dyDescent="0.2">
      <c r="A2293" s="115">
        <v>46256</v>
      </c>
      <c r="B2293" s="103" t="s">
        <v>3831</v>
      </c>
      <c r="C2293" s="94" t="s">
        <v>180</v>
      </c>
      <c r="D2293" s="95">
        <v>12000</v>
      </c>
      <c r="E2293" s="95">
        <v>99.99</v>
      </c>
      <c r="F2293" s="96">
        <v>1199880</v>
      </c>
      <c r="G2293" s="100" t="s">
        <v>3806</v>
      </c>
      <c r="H2293" s="114">
        <v>46235</v>
      </c>
      <c r="I2293" s="17"/>
      <c r="J2293" s="17"/>
      <c r="K2293" s="17"/>
    </row>
    <row r="2294" spans="1:11" x14ac:dyDescent="0.2">
      <c r="A2294" s="115">
        <v>46256</v>
      </c>
      <c r="B2294" s="103" t="s">
        <v>3832</v>
      </c>
      <c r="C2294" s="94" t="s">
        <v>40</v>
      </c>
      <c r="D2294" s="95">
        <v>12000</v>
      </c>
      <c r="E2294" s="95">
        <v>99.5</v>
      </c>
      <c r="F2294" s="96">
        <v>1194000</v>
      </c>
      <c r="G2294" s="100" t="s">
        <v>52</v>
      </c>
      <c r="H2294" s="114">
        <v>46235</v>
      </c>
      <c r="I2294" s="17"/>
      <c r="J2294" s="17"/>
      <c r="K2294" s="17"/>
    </row>
    <row r="2295" spans="1:11" x14ac:dyDescent="0.2">
      <c r="A2295" s="115">
        <v>46256</v>
      </c>
      <c r="B2295" s="103" t="s">
        <v>3833</v>
      </c>
      <c r="C2295" s="94" t="s">
        <v>50</v>
      </c>
      <c r="D2295" s="95">
        <v>716.83</v>
      </c>
      <c r="E2295" s="95">
        <v>100.74</v>
      </c>
      <c r="F2295" s="96">
        <v>72213.45</v>
      </c>
      <c r="G2295" s="100" t="s">
        <v>95</v>
      </c>
      <c r="H2295" s="114">
        <v>46235</v>
      </c>
      <c r="I2295" s="17"/>
      <c r="J2295" s="17"/>
      <c r="K2295" s="17"/>
    </row>
    <row r="2296" spans="1:11" x14ac:dyDescent="0.2">
      <c r="A2296" s="115">
        <v>46256</v>
      </c>
      <c r="B2296" s="103" t="s">
        <v>3834</v>
      </c>
      <c r="C2296" s="94" t="s">
        <v>50</v>
      </c>
      <c r="D2296" s="95">
        <v>1999.73</v>
      </c>
      <c r="E2296" s="95">
        <v>100.24</v>
      </c>
      <c r="F2296" s="96">
        <v>200452.94</v>
      </c>
      <c r="G2296" s="100" t="s">
        <v>96</v>
      </c>
      <c r="H2296" s="114">
        <v>46235</v>
      </c>
      <c r="I2296" s="17"/>
      <c r="J2296" s="17"/>
      <c r="K2296" s="17"/>
    </row>
    <row r="2297" spans="1:11" x14ac:dyDescent="0.2">
      <c r="A2297" s="115">
        <v>46256</v>
      </c>
      <c r="B2297" s="103" t="s">
        <v>3835</v>
      </c>
      <c r="C2297" s="94" t="s">
        <v>39</v>
      </c>
      <c r="D2297" s="95">
        <v>200</v>
      </c>
      <c r="E2297" s="95">
        <v>100.74</v>
      </c>
      <c r="F2297" s="96">
        <v>20148</v>
      </c>
      <c r="G2297" s="100" t="s">
        <v>54</v>
      </c>
      <c r="H2297" s="114">
        <v>46235</v>
      </c>
      <c r="I2297" s="17"/>
      <c r="J2297" s="17"/>
      <c r="K2297" s="17"/>
    </row>
    <row r="2298" spans="1:11" x14ac:dyDescent="0.2">
      <c r="A2298" s="115">
        <v>46256</v>
      </c>
      <c r="B2298" s="103" t="s">
        <v>3836</v>
      </c>
      <c r="C2298" s="94" t="s">
        <v>3495</v>
      </c>
      <c r="D2298" s="95">
        <v>352.4</v>
      </c>
      <c r="E2298" s="95">
        <v>100.74</v>
      </c>
      <c r="F2298" s="96">
        <v>35500.769999999997</v>
      </c>
      <c r="G2298" s="100" t="s">
        <v>199</v>
      </c>
      <c r="H2298" s="114">
        <v>46235</v>
      </c>
      <c r="I2298" s="17"/>
      <c r="J2298" s="17"/>
      <c r="K2298" s="17"/>
    </row>
    <row r="2299" spans="1:11" x14ac:dyDescent="0.2">
      <c r="A2299" s="115">
        <v>46256</v>
      </c>
      <c r="B2299" s="103" t="s">
        <v>3837</v>
      </c>
      <c r="C2299" s="94" t="s">
        <v>3493</v>
      </c>
      <c r="D2299" s="95">
        <v>331.07</v>
      </c>
      <c r="E2299" s="95">
        <v>100.74</v>
      </c>
      <c r="F2299" s="96">
        <v>33351.99</v>
      </c>
      <c r="G2299" s="100" t="s">
        <v>199</v>
      </c>
      <c r="H2299" s="114">
        <v>46235</v>
      </c>
      <c r="I2299" s="17"/>
      <c r="J2299" s="17"/>
      <c r="K2299" s="17"/>
    </row>
    <row r="2300" spans="1:11" x14ac:dyDescent="0.2">
      <c r="A2300" s="115">
        <v>46256</v>
      </c>
      <c r="B2300" s="103" t="s">
        <v>3838</v>
      </c>
      <c r="C2300" s="94" t="s">
        <v>2823</v>
      </c>
      <c r="D2300" s="95">
        <v>89.34</v>
      </c>
      <c r="E2300" s="95">
        <v>100.74</v>
      </c>
      <c r="F2300" s="96">
        <v>9000</v>
      </c>
      <c r="G2300" s="100" t="s">
        <v>2570</v>
      </c>
      <c r="H2300" s="114">
        <v>46235</v>
      </c>
      <c r="I2300" s="17"/>
      <c r="J2300" s="17"/>
      <c r="K2300" s="17"/>
    </row>
    <row r="2301" spans="1:11" x14ac:dyDescent="0.2">
      <c r="A2301" s="115">
        <v>46256</v>
      </c>
      <c r="B2301" s="103" t="s">
        <v>3839</v>
      </c>
      <c r="C2301" s="94" t="s">
        <v>3840</v>
      </c>
      <c r="D2301" s="95">
        <v>89.34</v>
      </c>
      <c r="E2301" s="95">
        <v>100.74</v>
      </c>
      <c r="F2301" s="96">
        <v>9000</v>
      </c>
      <c r="G2301" s="100" t="s">
        <v>2570</v>
      </c>
      <c r="H2301" s="114">
        <v>46235</v>
      </c>
      <c r="I2301" s="17"/>
      <c r="J2301" s="17"/>
      <c r="K2301" s="17"/>
    </row>
    <row r="2302" spans="1:11" x14ac:dyDescent="0.2">
      <c r="A2302" s="115">
        <v>46256</v>
      </c>
      <c r="B2302" s="103" t="s">
        <v>3841</v>
      </c>
      <c r="C2302" s="94" t="s">
        <v>2838</v>
      </c>
      <c r="D2302" s="95">
        <v>89.34</v>
      </c>
      <c r="E2302" s="95">
        <v>100.74</v>
      </c>
      <c r="F2302" s="96">
        <v>9000</v>
      </c>
      <c r="G2302" s="100" t="s">
        <v>2570</v>
      </c>
      <c r="H2302" s="114">
        <v>46235</v>
      </c>
      <c r="I2302" s="17"/>
      <c r="J2302" s="17"/>
      <c r="K2302" s="17"/>
    </row>
    <row r="2303" spans="1:11" x14ac:dyDescent="0.2">
      <c r="A2303" s="115">
        <v>46256</v>
      </c>
      <c r="B2303" s="103" t="s">
        <v>3842</v>
      </c>
      <c r="C2303" s="94" t="s">
        <v>2792</v>
      </c>
      <c r="D2303" s="95">
        <v>89.34</v>
      </c>
      <c r="E2303" s="95">
        <v>100.74</v>
      </c>
      <c r="F2303" s="96">
        <v>9000</v>
      </c>
      <c r="G2303" s="100" t="s">
        <v>2570</v>
      </c>
      <c r="H2303" s="114">
        <v>46235</v>
      </c>
      <c r="I2303" s="17"/>
      <c r="J2303" s="17"/>
      <c r="K2303" s="17"/>
    </row>
    <row r="2304" spans="1:11" x14ac:dyDescent="0.2">
      <c r="A2304" s="115">
        <v>46256</v>
      </c>
      <c r="B2304" s="103" t="s">
        <v>3843</v>
      </c>
      <c r="C2304" s="94" t="s">
        <v>3035</v>
      </c>
      <c r="D2304" s="95">
        <v>89.34</v>
      </c>
      <c r="E2304" s="95">
        <v>100.74</v>
      </c>
      <c r="F2304" s="96">
        <v>9000</v>
      </c>
      <c r="G2304" s="100" t="s">
        <v>2570</v>
      </c>
      <c r="H2304" s="114">
        <v>46235</v>
      </c>
      <c r="I2304" s="17"/>
      <c r="J2304" s="17"/>
      <c r="K2304" s="17"/>
    </row>
    <row r="2305" spans="1:11" x14ac:dyDescent="0.2">
      <c r="A2305" s="115">
        <v>46256</v>
      </c>
      <c r="B2305" s="103" t="s">
        <v>3844</v>
      </c>
      <c r="C2305" s="94" t="s">
        <v>3777</v>
      </c>
      <c r="D2305" s="95">
        <v>89.34</v>
      </c>
      <c r="E2305" s="95">
        <v>100.74</v>
      </c>
      <c r="F2305" s="96">
        <v>9000</v>
      </c>
      <c r="G2305" s="100" t="s">
        <v>2570</v>
      </c>
      <c r="H2305" s="114">
        <v>46235</v>
      </c>
      <c r="I2305" s="17"/>
      <c r="J2305" s="17"/>
      <c r="K2305" s="17"/>
    </row>
    <row r="2306" spans="1:11" x14ac:dyDescent="0.2">
      <c r="A2306" s="115">
        <v>46256</v>
      </c>
      <c r="B2306" s="103" t="s">
        <v>3845</v>
      </c>
      <c r="C2306" s="94" t="s">
        <v>1745</v>
      </c>
      <c r="D2306" s="95">
        <v>79.41</v>
      </c>
      <c r="E2306" s="95">
        <v>100.74</v>
      </c>
      <c r="F2306" s="96">
        <v>8000</v>
      </c>
      <c r="G2306" s="100" t="s">
        <v>2570</v>
      </c>
      <c r="H2306" s="114">
        <v>46235</v>
      </c>
      <c r="I2306" s="17"/>
      <c r="J2306" s="17"/>
      <c r="K2306" s="17"/>
    </row>
    <row r="2307" spans="1:11" x14ac:dyDescent="0.2">
      <c r="A2307" s="115">
        <v>46256</v>
      </c>
      <c r="B2307" s="103" t="s">
        <v>3846</v>
      </c>
      <c r="C2307" s="94" t="s">
        <v>2835</v>
      </c>
      <c r="D2307" s="95">
        <v>89.34</v>
      </c>
      <c r="E2307" s="95">
        <v>100.74</v>
      </c>
      <c r="F2307" s="96">
        <v>9000</v>
      </c>
      <c r="G2307" s="100" t="s">
        <v>2570</v>
      </c>
      <c r="H2307" s="114">
        <v>46235</v>
      </c>
      <c r="I2307" s="17"/>
      <c r="J2307" s="17"/>
      <c r="K2307" s="17"/>
    </row>
    <row r="2308" spans="1:11" x14ac:dyDescent="0.2">
      <c r="A2308" s="115">
        <v>46256</v>
      </c>
      <c r="B2308" s="103" t="s">
        <v>3847</v>
      </c>
      <c r="C2308" s="94" t="s">
        <v>3007</v>
      </c>
      <c r="D2308" s="95">
        <v>89.34</v>
      </c>
      <c r="E2308" s="95">
        <v>100.74</v>
      </c>
      <c r="F2308" s="96">
        <v>9000</v>
      </c>
      <c r="G2308" s="100" t="s">
        <v>2570</v>
      </c>
      <c r="H2308" s="114">
        <v>46235</v>
      </c>
      <c r="I2308" s="17"/>
      <c r="J2308" s="17"/>
      <c r="K2308" s="17"/>
    </row>
    <row r="2309" spans="1:11" x14ac:dyDescent="0.2">
      <c r="A2309" s="115">
        <v>46256</v>
      </c>
      <c r="B2309" s="103" t="s">
        <v>3848</v>
      </c>
      <c r="C2309" s="94" t="s">
        <v>3005</v>
      </c>
      <c r="D2309" s="95">
        <v>89.34</v>
      </c>
      <c r="E2309" s="95">
        <v>100.74</v>
      </c>
      <c r="F2309" s="96">
        <v>9000</v>
      </c>
      <c r="G2309" s="97" t="s">
        <v>2570</v>
      </c>
      <c r="H2309" s="114">
        <v>46235</v>
      </c>
      <c r="I2309" s="17"/>
      <c r="J2309" s="17"/>
      <c r="K2309" s="17"/>
    </row>
    <row r="2310" spans="1:11" x14ac:dyDescent="0.2">
      <c r="A2310" s="115">
        <v>46256</v>
      </c>
      <c r="B2310" s="103" t="s">
        <v>3849</v>
      </c>
      <c r="C2310" s="94" t="s">
        <v>3101</v>
      </c>
      <c r="D2310" s="95">
        <v>89.34</v>
      </c>
      <c r="E2310" s="95">
        <v>100.74</v>
      </c>
      <c r="F2310" s="96">
        <v>9000</v>
      </c>
      <c r="G2310" s="97" t="s">
        <v>2570</v>
      </c>
      <c r="H2310" s="114">
        <v>46235</v>
      </c>
      <c r="I2310" s="17"/>
      <c r="J2310" s="17"/>
      <c r="K2310" s="17"/>
    </row>
    <row r="2311" spans="1:11" x14ac:dyDescent="0.2">
      <c r="A2311" s="115">
        <v>46256</v>
      </c>
      <c r="B2311" s="103" t="s">
        <v>3850</v>
      </c>
      <c r="C2311" s="94" t="s">
        <v>1323</v>
      </c>
      <c r="D2311" s="95">
        <v>54.6</v>
      </c>
      <c r="E2311" s="95">
        <v>100.74</v>
      </c>
      <c r="F2311" s="96">
        <v>5500</v>
      </c>
      <c r="G2311" s="97" t="s">
        <v>257</v>
      </c>
      <c r="H2311" s="114">
        <v>46235</v>
      </c>
      <c r="I2311" s="17"/>
      <c r="J2311" s="17"/>
      <c r="K2311" s="17"/>
    </row>
    <row r="2312" spans="1:11" x14ac:dyDescent="0.2">
      <c r="A2312" s="115">
        <v>46256</v>
      </c>
      <c r="B2312" s="103" t="s">
        <v>3851</v>
      </c>
      <c r="C2312" s="94" t="s">
        <v>44</v>
      </c>
      <c r="D2312" s="95">
        <v>20</v>
      </c>
      <c r="E2312" s="95">
        <v>100.74</v>
      </c>
      <c r="F2312" s="96">
        <v>2014.8</v>
      </c>
      <c r="G2312" s="97" t="s">
        <v>56</v>
      </c>
      <c r="H2312" s="114">
        <v>46235</v>
      </c>
      <c r="I2312" s="17"/>
      <c r="J2312" s="17"/>
      <c r="K2312" s="17"/>
    </row>
    <row r="2313" spans="1:11" x14ac:dyDescent="0.2">
      <c r="A2313" s="115">
        <v>46256</v>
      </c>
      <c r="B2313" s="103" t="s">
        <v>3852</v>
      </c>
      <c r="C2313" s="94"/>
      <c r="D2313" s="95">
        <v>92.65</v>
      </c>
      <c r="E2313" s="95">
        <v>100.74</v>
      </c>
      <c r="F2313" s="96">
        <v>9333.2999999999993</v>
      </c>
      <c r="G2313" s="97" t="s">
        <v>152</v>
      </c>
      <c r="H2313" s="114">
        <v>46235</v>
      </c>
      <c r="I2313" s="17"/>
      <c r="J2313" s="17"/>
      <c r="K2313" s="17"/>
    </row>
    <row r="2314" spans="1:11" x14ac:dyDescent="0.2">
      <c r="A2314" s="115">
        <v>46256</v>
      </c>
      <c r="B2314" s="103" t="s">
        <v>3853</v>
      </c>
      <c r="C2314" s="94" t="s">
        <v>526</v>
      </c>
      <c r="D2314" s="95">
        <v>1097.8800000000001</v>
      </c>
      <c r="E2314" s="95">
        <v>100.74</v>
      </c>
      <c r="F2314" s="96">
        <v>110600</v>
      </c>
      <c r="G2314" s="97" t="s">
        <v>58</v>
      </c>
      <c r="H2314" s="114">
        <v>46235</v>
      </c>
      <c r="I2314" s="17"/>
      <c r="J2314" s="17"/>
      <c r="K2314" s="17"/>
    </row>
    <row r="2315" spans="1:11" x14ac:dyDescent="0.2">
      <c r="A2315" s="115">
        <v>46256</v>
      </c>
      <c r="B2315" s="103" t="s">
        <v>3854</v>
      </c>
      <c r="C2315" s="94"/>
      <c r="D2315" s="95">
        <v>783.2</v>
      </c>
      <c r="E2315" s="95">
        <v>100.74</v>
      </c>
      <c r="F2315" s="96">
        <v>78900</v>
      </c>
      <c r="G2315" s="97" t="s">
        <v>2450</v>
      </c>
      <c r="H2315" s="114">
        <v>46235</v>
      </c>
      <c r="I2315" s="17"/>
      <c r="J2315" s="17"/>
      <c r="K2315" s="17"/>
    </row>
    <row r="2316" spans="1:11" x14ac:dyDescent="0.2">
      <c r="A2316" s="115">
        <v>46256</v>
      </c>
      <c r="B2316" s="103" t="s">
        <v>3855</v>
      </c>
      <c r="C2316" s="94"/>
      <c r="D2316" s="95">
        <v>9.93</v>
      </c>
      <c r="E2316" s="95">
        <v>100.74</v>
      </c>
      <c r="F2316" s="96">
        <v>1000</v>
      </c>
      <c r="G2316" s="97" t="s">
        <v>2364</v>
      </c>
      <c r="H2316" s="114">
        <v>46235</v>
      </c>
      <c r="I2316" s="17"/>
      <c r="J2316" s="17"/>
      <c r="K2316" s="17"/>
    </row>
    <row r="2317" spans="1:11" x14ac:dyDescent="0.2">
      <c r="A2317" s="115">
        <v>46257</v>
      </c>
      <c r="B2317" s="103" t="s">
        <v>3861</v>
      </c>
      <c r="C2317" s="94" t="s">
        <v>39</v>
      </c>
      <c r="D2317" s="95">
        <v>18000</v>
      </c>
      <c r="E2317" s="95">
        <v>99.5</v>
      </c>
      <c r="F2317" s="96">
        <v>1791000</v>
      </c>
      <c r="G2317" s="97" t="s">
        <v>52</v>
      </c>
      <c r="H2317" s="114">
        <v>46235</v>
      </c>
      <c r="I2317" s="17"/>
      <c r="J2317" s="17"/>
      <c r="K2317" s="17"/>
    </row>
    <row r="2318" spans="1:11" x14ac:dyDescent="0.2">
      <c r="A2318" s="115">
        <v>46257</v>
      </c>
      <c r="B2318" s="103" t="s">
        <v>3862</v>
      </c>
      <c r="C2318" s="94" t="s">
        <v>50</v>
      </c>
      <c r="D2318" s="95">
        <v>198.53</v>
      </c>
      <c r="E2318" s="95">
        <v>100.74</v>
      </c>
      <c r="F2318" s="96">
        <v>20000</v>
      </c>
      <c r="G2318" s="97" t="s">
        <v>2611</v>
      </c>
      <c r="H2318" s="114">
        <v>46235</v>
      </c>
      <c r="I2318" s="17"/>
      <c r="J2318" s="17"/>
      <c r="K2318" s="17"/>
    </row>
    <row r="2319" spans="1:11" x14ac:dyDescent="0.2">
      <c r="A2319" s="115">
        <v>46257</v>
      </c>
      <c r="B2319" s="103" t="s">
        <v>3863</v>
      </c>
      <c r="C2319" s="94" t="s">
        <v>50</v>
      </c>
      <c r="D2319" s="95">
        <v>1236.47</v>
      </c>
      <c r="E2319" s="95">
        <v>100.74</v>
      </c>
      <c r="F2319" s="96">
        <v>124561.99</v>
      </c>
      <c r="G2319" s="97" t="s">
        <v>95</v>
      </c>
      <c r="H2319" s="114">
        <v>46235</v>
      </c>
      <c r="I2319" s="17"/>
      <c r="J2319" s="17"/>
      <c r="K2319" s="17"/>
    </row>
    <row r="2320" spans="1:11" x14ac:dyDescent="0.2">
      <c r="A2320" s="115">
        <v>46257</v>
      </c>
      <c r="B2320" s="103" t="s">
        <v>3864</v>
      </c>
      <c r="C2320" s="94" t="s">
        <v>1157</v>
      </c>
      <c r="D2320" s="95">
        <v>84.4</v>
      </c>
      <c r="E2320" s="95">
        <v>100.74</v>
      </c>
      <c r="F2320" s="96">
        <v>8502.4500000000007</v>
      </c>
      <c r="G2320" s="97" t="s">
        <v>714</v>
      </c>
      <c r="H2320" s="114">
        <v>46235</v>
      </c>
      <c r="I2320" s="17"/>
      <c r="J2320" s="17"/>
      <c r="K2320" s="17"/>
    </row>
    <row r="2321" spans="1:11" x14ac:dyDescent="0.2">
      <c r="A2321" s="115">
        <v>46257</v>
      </c>
      <c r="B2321" s="103" t="s">
        <v>3865</v>
      </c>
      <c r="C2321" s="94" t="s">
        <v>2993</v>
      </c>
      <c r="D2321" s="95">
        <v>48.46</v>
      </c>
      <c r="E2321" s="95">
        <v>100.74</v>
      </c>
      <c r="F2321" s="96">
        <v>4881.8599999999997</v>
      </c>
      <c r="G2321" s="97" t="s">
        <v>257</v>
      </c>
      <c r="H2321" s="114">
        <v>46235</v>
      </c>
      <c r="I2321" s="17"/>
      <c r="J2321" s="17"/>
      <c r="K2321" s="17"/>
    </row>
    <row r="2322" spans="1:11" x14ac:dyDescent="0.2">
      <c r="A2322" s="115">
        <v>46257</v>
      </c>
      <c r="B2322" s="103" t="s">
        <v>3866</v>
      </c>
      <c r="C2322" s="94" t="s">
        <v>45</v>
      </c>
      <c r="D2322" s="95">
        <v>39.799999999999997</v>
      </c>
      <c r="E2322" s="95">
        <v>100.74</v>
      </c>
      <c r="F2322" s="96">
        <v>4009.45</v>
      </c>
      <c r="G2322" s="97" t="s">
        <v>56</v>
      </c>
      <c r="H2322" s="114">
        <v>46235</v>
      </c>
      <c r="I2322" s="17"/>
      <c r="J2322" s="17"/>
      <c r="K2322" s="17"/>
    </row>
    <row r="2323" spans="1:11" x14ac:dyDescent="0.2">
      <c r="A2323" s="115">
        <v>46257</v>
      </c>
      <c r="B2323" s="103" t="s">
        <v>3867</v>
      </c>
      <c r="C2323" s="94" t="s">
        <v>44</v>
      </c>
      <c r="D2323" s="95">
        <v>10</v>
      </c>
      <c r="E2323" s="95">
        <v>100.74</v>
      </c>
      <c r="F2323" s="96">
        <v>1007.4</v>
      </c>
      <c r="G2323" s="97" t="s">
        <v>56</v>
      </c>
      <c r="H2323" s="114">
        <v>46235</v>
      </c>
      <c r="I2323" s="17"/>
      <c r="J2323" s="17"/>
      <c r="K2323" s="17"/>
    </row>
    <row r="2324" spans="1:11" x14ac:dyDescent="0.2">
      <c r="A2324" s="115">
        <v>46257</v>
      </c>
      <c r="B2324" s="103" t="s">
        <v>3868</v>
      </c>
      <c r="C2324" s="94" t="s">
        <v>1744</v>
      </c>
      <c r="D2324" s="95">
        <v>89.34</v>
      </c>
      <c r="E2324" s="95">
        <v>100.74</v>
      </c>
      <c r="F2324" s="96">
        <v>9000</v>
      </c>
      <c r="G2324" s="97" t="s">
        <v>2570</v>
      </c>
      <c r="H2324" s="114">
        <v>46235</v>
      </c>
      <c r="I2324" s="17"/>
      <c r="J2324" s="17"/>
      <c r="K2324" s="17"/>
    </row>
    <row r="2325" spans="1:11" x14ac:dyDescent="0.2">
      <c r="A2325" s="115">
        <v>46257</v>
      </c>
      <c r="B2325" s="103" t="s">
        <v>3869</v>
      </c>
      <c r="C2325" s="94" t="s">
        <v>2948</v>
      </c>
      <c r="D2325" s="95">
        <v>89.34</v>
      </c>
      <c r="E2325" s="95">
        <v>100.74</v>
      </c>
      <c r="F2325" s="96">
        <v>9000</v>
      </c>
      <c r="G2325" s="97" t="s">
        <v>2570</v>
      </c>
      <c r="H2325" s="114">
        <v>46235</v>
      </c>
      <c r="I2325" s="17"/>
      <c r="J2325" s="17"/>
      <c r="K2325" s="17"/>
    </row>
    <row r="2326" spans="1:11" x14ac:dyDescent="0.2">
      <c r="A2326" s="115">
        <v>46257</v>
      </c>
      <c r="B2326" s="103" t="s">
        <v>3870</v>
      </c>
      <c r="C2326" s="94"/>
      <c r="D2326" s="95">
        <v>886.39</v>
      </c>
      <c r="E2326" s="95">
        <v>100.74</v>
      </c>
      <c r="F2326" s="96">
        <v>89295</v>
      </c>
      <c r="G2326" s="97" t="s">
        <v>2450</v>
      </c>
      <c r="H2326" s="114">
        <v>46235</v>
      </c>
      <c r="I2326" s="17"/>
      <c r="J2326" s="17"/>
      <c r="K2326" s="17"/>
    </row>
    <row r="2327" spans="1:11" x14ac:dyDescent="0.2">
      <c r="A2327" s="115">
        <v>46257</v>
      </c>
      <c r="B2327" s="103" t="s">
        <v>3871</v>
      </c>
      <c r="C2327" s="94"/>
      <c r="D2327" s="95">
        <v>142.49</v>
      </c>
      <c r="E2327" s="95">
        <v>100.74</v>
      </c>
      <c r="F2327" s="96">
        <v>14354</v>
      </c>
      <c r="G2327" s="97" t="s">
        <v>2364</v>
      </c>
      <c r="H2327" s="114">
        <v>46235</v>
      </c>
      <c r="I2327" s="17"/>
      <c r="J2327" s="17"/>
      <c r="K2327" s="17"/>
    </row>
    <row r="2328" spans="1:11" x14ac:dyDescent="0.2">
      <c r="A2328" s="115">
        <v>46257</v>
      </c>
      <c r="B2328" s="103" t="s">
        <v>3872</v>
      </c>
      <c r="C2328" s="94"/>
      <c r="D2328" s="95">
        <v>1737.12</v>
      </c>
      <c r="E2328" s="95">
        <v>100.74</v>
      </c>
      <c r="F2328" s="96">
        <v>174997.38</v>
      </c>
      <c r="G2328" s="97" t="s">
        <v>152</v>
      </c>
      <c r="H2328" s="114">
        <v>46235</v>
      </c>
      <c r="I2328" s="17"/>
      <c r="J2328" s="17"/>
      <c r="K2328" s="17"/>
    </row>
    <row r="2329" spans="1:11" x14ac:dyDescent="0.2">
      <c r="A2329" s="115">
        <v>46257</v>
      </c>
      <c r="B2329" s="103" t="s">
        <v>3873</v>
      </c>
      <c r="C2329" s="94" t="s">
        <v>525</v>
      </c>
      <c r="D2329" s="95">
        <v>59.56</v>
      </c>
      <c r="E2329" s="95">
        <v>100.74</v>
      </c>
      <c r="F2329" s="96">
        <v>6000</v>
      </c>
      <c r="G2329" s="97" t="s">
        <v>58</v>
      </c>
      <c r="H2329" s="114">
        <v>46235</v>
      </c>
      <c r="I2329" s="17"/>
      <c r="J2329" s="17"/>
      <c r="K2329" s="17"/>
    </row>
    <row r="2330" spans="1:11" x14ac:dyDescent="0.2">
      <c r="A2330" s="115">
        <v>46257</v>
      </c>
      <c r="B2330" s="103" t="s">
        <v>3874</v>
      </c>
      <c r="C2330" s="94" t="s">
        <v>526</v>
      </c>
      <c r="D2330" s="95">
        <v>2556.08</v>
      </c>
      <c r="E2330" s="95">
        <v>100.74</v>
      </c>
      <c r="F2330" s="96">
        <v>257500</v>
      </c>
      <c r="G2330" s="97" t="s">
        <v>58</v>
      </c>
      <c r="H2330" s="114">
        <v>46235</v>
      </c>
      <c r="I2330" s="17"/>
      <c r="J2330" s="17"/>
      <c r="K2330" s="17"/>
    </row>
    <row r="2331" spans="1:11" x14ac:dyDescent="0.2">
      <c r="A2331" s="115">
        <v>46258</v>
      </c>
      <c r="B2331" s="103" t="s">
        <v>3879</v>
      </c>
      <c r="C2331" s="94" t="s">
        <v>40</v>
      </c>
      <c r="D2331" s="95">
        <v>12000</v>
      </c>
      <c r="E2331" s="95">
        <v>99.5</v>
      </c>
      <c r="F2331" s="96">
        <v>1194000</v>
      </c>
      <c r="G2331" s="97" t="s">
        <v>143</v>
      </c>
      <c r="H2331" s="114">
        <v>46235</v>
      </c>
      <c r="I2331" s="17"/>
      <c r="J2331" s="17"/>
      <c r="K2331" s="17"/>
    </row>
    <row r="2332" spans="1:11" x14ac:dyDescent="0.2">
      <c r="A2332" s="115">
        <v>46258</v>
      </c>
      <c r="B2332" s="103" t="s">
        <v>3880</v>
      </c>
      <c r="C2332" s="94" t="s">
        <v>180</v>
      </c>
      <c r="D2332" s="95">
        <v>4000</v>
      </c>
      <c r="E2332" s="95">
        <v>99.5</v>
      </c>
      <c r="F2332" s="96">
        <v>398000</v>
      </c>
      <c r="G2332" s="97" t="s">
        <v>302</v>
      </c>
      <c r="H2332" s="114">
        <v>46235</v>
      </c>
      <c r="I2332" s="17"/>
      <c r="J2332" s="17"/>
      <c r="K2332" s="17"/>
    </row>
    <row r="2333" spans="1:11" x14ac:dyDescent="0.2">
      <c r="A2333" s="115">
        <v>46258</v>
      </c>
      <c r="B2333" s="103" t="s">
        <v>3881</v>
      </c>
      <c r="C2333" s="94" t="s">
        <v>180</v>
      </c>
      <c r="D2333" s="95">
        <v>4000</v>
      </c>
      <c r="E2333" s="95">
        <v>99.5</v>
      </c>
      <c r="F2333" s="96">
        <v>398000</v>
      </c>
      <c r="G2333" s="97" t="s">
        <v>1532</v>
      </c>
      <c r="H2333" s="114">
        <v>46235</v>
      </c>
      <c r="I2333" s="17"/>
      <c r="J2333" s="17"/>
      <c r="K2333" s="17"/>
    </row>
    <row r="2334" spans="1:11" x14ac:dyDescent="0.2">
      <c r="A2334" s="115">
        <v>46258</v>
      </c>
      <c r="B2334" s="103" t="s">
        <v>3882</v>
      </c>
      <c r="C2334" s="94" t="s">
        <v>180</v>
      </c>
      <c r="D2334" s="95">
        <v>4000</v>
      </c>
      <c r="E2334" s="95">
        <v>99.5</v>
      </c>
      <c r="F2334" s="96">
        <v>398000</v>
      </c>
      <c r="G2334" s="97" t="s">
        <v>1036</v>
      </c>
      <c r="H2334" s="114">
        <v>46235</v>
      </c>
      <c r="I2334" s="17"/>
      <c r="J2334" s="17"/>
      <c r="K2334" s="17"/>
    </row>
    <row r="2335" spans="1:11" x14ac:dyDescent="0.2">
      <c r="A2335" s="115">
        <v>46258</v>
      </c>
      <c r="B2335" s="103" t="s">
        <v>3883</v>
      </c>
      <c r="C2335" s="94" t="s">
        <v>39</v>
      </c>
      <c r="D2335" s="95">
        <v>18000</v>
      </c>
      <c r="E2335" s="95">
        <v>99.5</v>
      </c>
      <c r="F2335" s="96">
        <v>1791000</v>
      </c>
      <c r="G2335" s="97" t="s">
        <v>51</v>
      </c>
      <c r="H2335" s="114">
        <v>46235</v>
      </c>
      <c r="I2335" s="17"/>
      <c r="J2335" s="17"/>
      <c r="K2335" s="17"/>
    </row>
    <row r="2336" spans="1:11" x14ac:dyDescent="0.2">
      <c r="A2336" s="115">
        <v>46258</v>
      </c>
      <c r="B2336" s="103" t="s">
        <v>3884</v>
      </c>
      <c r="C2336" s="94"/>
      <c r="D2336" s="95">
        <v>49.63</v>
      </c>
      <c r="E2336" s="95">
        <v>100.74</v>
      </c>
      <c r="F2336" s="96">
        <v>5000</v>
      </c>
      <c r="G2336" s="97" t="s">
        <v>57</v>
      </c>
      <c r="H2336" s="114">
        <v>46235</v>
      </c>
      <c r="I2336" s="17"/>
      <c r="J2336" s="17"/>
      <c r="K2336" s="17"/>
    </row>
    <row r="2337" spans="1:11" x14ac:dyDescent="0.2">
      <c r="A2337" s="115">
        <v>46258</v>
      </c>
      <c r="B2337" s="103" t="s">
        <v>3885</v>
      </c>
      <c r="C2337" s="94"/>
      <c r="D2337" s="95">
        <v>82.39</v>
      </c>
      <c r="E2337" s="95">
        <v>100.74</v>
      </c>
      <c r="F2337" s="96">
        <v>8300</v>
      </c>
      <c r="G2337" s="97" t="s">
        <v>57</v>
      </c>
      <c r="H2337" s="114">
        <v>46235</v>
      </c>
      <c r="I2337" s="17"/>
      <c r="J2337" s="17"/>
      <c r="K2337" s="17"/>
    </row>
    <row r="2338" spans="1:11" x14ac:dyDescent="0.2">
      <c r="A2338" s="115">
        <v>46258</v>
      </c>
      <c r="B2338" s="103" t="s">
        <v>3886</v>
      </c>
      <c r="C2338" s="94"/>
      <c r="D2338" s="95">
        <v>15.6</v>
      </c>
      <c r="E2338" s="95">
        <v>100.74</v>
      </c>
      <c r="F2338" s="96">
        <v>1572</v>
      </c>
      <c r="G2338" s="97" t="s">
        <v>2364</v>
      </c>
      <c r="H2338" s="114">
        <v>46235</v>
      </c>
      <c r="I2338" s="17"/>
      <c r="J2338" s="17"/>
      <c r="K2338" s="17"/>
    </row>
    <row r="2339" spans="1:11" x14ac:dyDescent="0.2">
      <c r="A2339" s="115">
        <v>46258</v>
      </c>
      <c r="B2339" s="103" t="s">
        <v>3887</v>
      </c>
      <c r="C2339" s="94"/>
      <c r="D2339" s="95">
        <v>234.96</v>
      </c>
      <c r="E2339" s="95">
        <v>100.74</v>
      </c>
      <c r="F2339" s="96">
        <v>23670</v>
      </c>
      <c r="G2339" s="97" t="s">
        <v>2450</v>
      </c>
      <c r="H2339" s="114">
        <v>46235</v>
      </c>
      <c r="I2339" s="17"/>
      <c r="J2339" s="17"/>
      <c r="K2339" s="17"/>
    </row>
    <row r="2340" spans="1:11" x14ac:dyDescent="0.2">
      <c r="A2340" s="115">
        <v>46258</v>
      </c>
      <c r="B2340" s="103" t="s">
        <v>3888</v>
      </c>
      <c r="C2340" s="94"/>
      <c r="D2340" s="95">
        <v>1142.25</v>
      </c>
      <c r="E2340" s="95">
        <v>100.74</v>
      </c>
      <c r="F2340" s="96">
        <v>115069.9</v>
      </c>
      <c r="G2340" s="97" t="s">
        <v>152</v>
      </c>
      <c r="H2340" s="114">
        <v>46235</v>
      </c>
      <c r="I2340" s="17"/>
      <c r="J2340" s="17"/>
      <c r="K2340" s="17"/>
    </row>
    <row r="2341" spans="1:11" x14ac:dyDescent="0.2">
      <c r="A2341" s="115">
        <v>46258</v>
      </c>
      <c r="B2341" s="103" t="s">
        <v>3889</v>
      </c>
      <c r="C2341" s="94" t="s">
        <v>526</v>
      </c>
      <c r="D2341" s="95">
        <v>2350.61</v>
      </c>
      <c r="E2341" s="95">
        <v>100.74</v>
      </c>
      <c r="F2341" s="96">
        <v>236800</v>
      </c>
      <c r="G2341" s="97" t="s">
        <v>58</v>
      </c>
      <c r="H2341" s="114">
        <v>46235</v>
      </c>
      <c r="I2341" s="17"/>
      <c r="J2341" s="17"/>
      <c r="K2341" s="17"/>
    </row>
    <row r="2342" spans="1:11" x14ac:dyDescent="0.2">
      <c r="A2342" s="115">
        <v>46258</v>
      </c>
      <c r="B2342" s="103" t="s">
        <v>3890</v>
      </c>
      <c r="C2342" s="94" t="s">
        <v>50</v>
      </c>
      <c r="D2342" s="95">
        <v>2000</v>
      </c>
      <c r="E2342" s="95">
        <v>100.24</v>
      </c>
      <c r="F2342" s="96">
        <v>200480</v>
      </c>
      <c r="G2342" s="97" t="s">
        <v>96</v>
      </c>
      <c r="H2342" s="114">
        <v>46235</v>
      </c>
      <c r="I2342" s="17"/>
      <c r="J2342" s="17"/>
      <c r="K2342" s="17"/>
    </row>
    <row r="2343" spans="1:11" x14ac:dyDescent="0.2">
      <c r="A2343" s="115">
        <v>46258</v>
      </c>
      <c r="B2343" s="103" t="s">
        <v>3891</v>
      </c>
      <c r="C2343" s="94" t="s">
        <v>50</v>
      </c>
      <c r="D2343" s="95">
        <v>1429.63</v>
      </c>
      <c r="E2343" s="95">
        <v>100.74</v>
      </c>
      <c r="F2343" s="96">
        <v>144020.93</v>
      </c>
      <c r="G2343" s="97" t="s">
        <v>95</v>
      </c>
      <c r="H2343" s="114">
        <v>46235</v>
      </c>
      <c r="I2343" s="17"/>
      <c r="J2343" s="17"/>
      <c r="K2343" s="17"/>
    </row>
    <row r="2344" spans="1:11" x14ac:dyDescent="0.2">
      <c r="A2344" s="115">
        <v>46258</v>
      </c>
      <c r="B2344" s="103" t="s">
        <v>3892</v>
      </c>
      <c r="C2344" s="94" t="s">
        <v>3893</v>
      </c>
      <c r="D2344" s="95">
        <v>204.69</v>
      </c>
      <c r="E2344" s="95">
        <v>100.74</v>
      </c>
      <c r="F2344" s="96">
        <v>20620.47</v>
      </c>
      <c r="G2344" s="97" t="s">
        <v>199</v>
      </c>
      <c r="H2344" s="114">
        <v>46235</v>
      </c>
      <c r="I2344" s="17"/>
      <c r="J2344" s="17"/>
      <c r="K2344" s="17"/>
    </row>
    <row r="2345" spans="1:11" x14ac:dyDescent="0.2">
      <c r="A2345" s="115">
        <v>46258</v>
      </c>
      <c r="B2345" s="103" t="s">
        <v>3894</v>
      </c>
      <c r="C2345" s="94" t="s">
        <v>3116</v>
      </c>
      <c r="D2345" s="95">
        <v>297.8</v>
      </c>
      <c r="E2345" s="95">
        <v>100.74</v>
      </c>
      <c r="F2345" s="96">
        <v>30000</v>
      </c>
      <c r="G2345" s="97" t="s">
        <v>3083</v>
      </c>
      <c r="H2345" s="114">
        <v>46235</v>
      </c>
      <c r="I2345" s="17"/>
      <c r="J2345" s="17"/>
      <c r="K2345" s="17"/>
    </row>
    <row r="2346" spans="1:11" x14ac:dyDescent="0.2">
      <c r="A2346" s="115">
        <v>46258</v>
      </c>
      <c r="B2346" s="103" t="s">
        <v>3895</v>
      </c>
      <c r="C2346" s="94" t="s">
        <v>129</v>
      </c>
      <c r="D2346" s="95">
        <v>103.09</v>
      </c>
      <c r="E2346" s="95">
        <v>100.74</v>
      </c>
      <c r="F2346" s="96">
        <v>10385.280000000001</v>
      </c>
      <c r="G2346" s="97" t="s">
        <v>56</v>
      </c>
      <c r="H2346" s="114">
        <v>46235</v>
      </c>
      <c r="I2346" s="17"/>
      <c r="J2346" s="17"/>
      <c r="K2346" s="17"/>
    </row>
    <row r="2347" spans="1:11" x14ac:dyDescent="0.2">
      <c r="A2347" s="115">
        <v>46258</v>
      </c>
      <c r="B2347" s="103" t="s">
        <v>3896</v>
      </c>
      <c r="C2347" s="94" t="s">
        <v>3473</v>
      </c>
      <c r="D2347" s="95">
        <v>27.8</v>
      </c>
      <c r="E2347" s="95">
        <v>100.74</v>
      </c>
      <c r="F2347" s="96">
        <v>2800</v>
      </c>
      <c r="G2347" s="97" t="s">
        <v>1786</v>
      </c>
      <c r="H2347" s="114">
        <v>46235</v>
      </c>
      <c r="I2347" s="17"/>
      <c r="J2347" s="17"/>
      <c r="K2347" s="17"/>
    </row>
    <row r="2348" spans="1:11" x14ac:dyDescent="0.2">
      <c r="A2348" s="115">
        <v>46258</v>
      </c>
      <c r="B2348" s="103" t="s">
        <v>3897</v>
      </c>
      <c r="C2348" s="94" t="s">
        <v>3898</v>
      </c>
      <c r="D2348" s="95">
        <v>27.8</v>
      </c>
      <c r="E2348" s="95">
        <v>100.74</v>
      </c>
      <c r="F2348" s="96">
        <v>2800</v>
      </c>
      <c r="G2348" s="97" t="s">
        <v>1786</v>
      </c>
      <c r="H2348" s="114">
        <v>46235</v>
      </c>
      <c r="I2348" s="17"/>
      <c r="J2348" s="17"/>
      <c r="K2348" s="17"/>
    </row>
    <row r="2349" spans="1:11" x14ac:dyDescent="0.2">
      <c r="A2349" s="115">
        <v>46258</v>
      </c>
      <c r="B2349" s="103" t="s">
        <v>3899</v>
      </c>
      <c r="C2349" s="94" t="s">
        <v>1746</v>
      </c>
      <c r="D2349" s="95">
        <v>89.34</v>
      </c>
      <c r="E2349" s="95">
        <v>100.74</v>
      </c>
      <c r="F2349" s="96">
        <v>9000</v>
      </c>
      <c r="G2349" s="97" t="s">
        <v>2570</v>
      </c>
      <c r="H2349" s="114">
        <v>46235</v>
      </c>
      <c r="I2349" s="17"/>
      <c r="J2349" s="17"/>
      <c r="K2349" s="17"/>
    </row>
    <row r="2350" spans="1:11" x14ac:dyDescent="0.2">
      <c r="A2350" s="115">
        <v>46258</v>
      </c>
      <c r="B2350" s="103" t="s">
        <v>3900</v>
      </c>
      <c r="C2350" s="94" t="s">
        <v>1743</v>
      </c>
      <c r="D2350" s="95">
        <v>89.34</v>
      </c>
      <c r="E2350" s="95">
        <v>100.74</v>
      </c>
      <c r="F2350" s="96">
        <v>9000</v>
      </c>
      <c r="G2350" s="97" t="s">
        <v>2570</v>
      </c>
      <c r="H2350" s="114">
        <v>46235</v>
      </c>
      <c r="I2350" s="17"/>
      <c r="J2350" s="17"/>
      <c r="K2350" s="17"/>
    </row>
    <row r="2351" spans="1:11" x14ac:dyDescent="0.2">
      <c r="A2351" s="115">
        <v>46258</v>
      </c>
      <c r="B2351" s="103" t="s">
        <v>3901</v>
      </c>
      <c r="C2351" s="94" t="s">
        <v>760</v>
      </c>
      <c r="D2351" s="95">
        <v>10</v>
      </c>
      <c r="E2351" s="95">
        <v>100.74</v>
      </c>
      <c r="F2351" s="96">
        <v>1007.4</v>
      </c>
      <c r="G2351" s="97" t="s">
        <v>714</v>
      </c>
      <c r="H2351" s="114">
        <v>46235</v>
      </c>
      <c r="I2351" s="17"/>
      <c r="J2351" s="17"/>
      <c r="K2351" s="17"/>
    </row>
    <row r="2352" spans="1:11" x14ac:dyDescent="0.2">
      <c r="A2352" s="115">
        <v>46258</v>
      </c>
      <c r="B2352" s="103" t="s">
        <v>3902</v>
      </c>
      <c r="C2352" s="94" t="s">
        <v>2665</v>
      </c>
      <c r="D2352" s="95">
        <v>10</v>
      </c>
      <c r="E2352" s="95">
        <v>100.74</v>
      </c>
      <c r="F2352" s="96">
        <v>1007.4</v>
      </c>
      <c r="G2352" s="97" t="s">
        <v>714</v>
      </c>
      <c r="H2352" s="114">
        <v>46235</v>
      </c>
      <c r="I2352" s="17"/>
      <c r="J2352" s="17"/>
      <c r="K2352" s="17"/>
    </row>
    <row r="2353" spans="1:11" x14ac:dyDescent="0.2">
      <c r="A2353" s="115">
        <v>46258</v>
      </c>
      <c r="B2353" s="103" t="s">
        <v>3903</v>
      </c>
      <c r="C2353" s="94" t="s">
        <v>3480</v>
      </c>
      <c r="D2353" s="95">
        <v>27.8</v>
      </c>
      <c r="E2353" s="95">
        <v>100.74</v>
      </c>
      <c r="F2353" s="96">
        <v>2800</v>
      </c>
      <c r="G2353" s="97" t="s">
        <v>1786</v>
      </c>
      <c r="H2353" s="114">
        <v>46235</v>
      </c>
      <c r="I2353" s="17"/>
      <c r="J2353" s="17"/>
      <c r="K2353" s="17"/>
    </row>
    <row r="2354" spans="1:11" x14ac:dyDescent="0.2">
      <c r="A2354" s="115">
        <v>46258</v>
      </c>
      <c r="B2354" s="103" t="s">
        <v>3904</v>
      </c>
      <c r="C2354" s="94" t="s">
        <v>3471</v>
      </c>
      <c r="D2354" s="95">
        <v>27.8</v>
      </c>
      <c r="E2354" s="95">
        <v>100.74</v>
      </c>
      <c r="F2354" s="96">
        <v>2800</v>
      </c>
      <c r="G2354" s="97" t="s">
        <v>1786</v>
      </c>
      <c r="H2354" s="114">
        <v>46235</v>
      </c>
      <c r="I2354" s="17"/>
      <c r="J2354" s="17"/>
      <c r="K2354" s="17"/>
    </row>
    <row r="2355" spans="1:11" x14ac:dyDescent="0.2">
      <c r="A2355" s="115">
        <v>46259</v>
      </c>
      <c r="B2355" s="103" t="s">
        <v>3909</v>
      </c>
      <c r="C2355" s="94" t="s">
        <v>583</v>
      </c>
      <c r="D2355" s="95">
        <v>37.729999999999997</v>
      </c>
      <c r="E2355" s="95">
        <v>100.74</v>
      </c>
      <c r="F2355" s="96">
        <v>3800.92</v>
      </c>
      <c r="G2355" s="97" t="s">
        <v>136</v>
      </c>
      <c r="H2355" s="114">
        <v>46235</v>
      </c>
      <c r="I2355" s="17"/>
      <c r="J2355" s="17"/>
      <c r="K2355" s="17"/>
    </row>
    <row r="2356" spans="1:11" x14ac:dyDescent="0.2">
      <c r="A2356" s="115">
        <v>46259</v>
      </c>
      <c r="B2356" s="103" t="s">
        <v>3910</v>
      </c>
      <c r="C2356" s="94" t="s">
        <v>45</v>
      </c>
      <c r="D2356" s="95">
        <v>30</v>
      </c>
      <c r="E2356" s="95">
        <v>100.74</v>
      </c>
      <c r="F2356" s="96">
        <v>3022.2</v>
      </c>
      <c r="G2356" s="97" t="s">
        <v>56</v>
      </c>
      <c r="H2356" s="114">
        <v>46235</v>
      </c>
      <c r="I2356" s="17"/>
      <c r="J2356" s="17"/>
      <c r="K2356" s="17"/>
    </row>
    <row r="2357" spans="1:11" x14ac:dyDescent="0.2">
      <c r="A2357" s="115">
        <v>46259</v>
      </c>
      <c r="B2357" s="103" t="s">
        <v>3911</v>
      </c>
      <c r="C2357" s="94" t="s">
        <v>1745</v>
      </c>
      <c r="D2357" s="95">
        <v>200</v>
      </c>
      <c r="E2357" s="95">
        <v>100.74</v>
      </c>
      <c r="F2357" s="96">
        <v>20148</v>
      </c>
      <c r="G2357" s="97" t="s">
        <v>2570</v>
      </c>
      <c r="H2357" s="114">
        <v>46235</v>
      </c>
      <c r="I2357" s="17"/>
      <c r="J2357" s="17"/>
      <c r="K2357" s="17"/>
    </row>
    <row r="2358" spans="1:11" x14ac:dyDescent="0.2">
      <c r="A2358" s="115">
        <v>46259</v>
      </c>
      <c r="B2358" s="103" t="s">
        <v>3912</v>
      </c>
      <c r="C2358" s="94" t="s">
        <v>1105</v>
      </c>
      <c r="D2358" s="95">
        <v>245.19</v>
      </c>
      <c r="E2358" s="95">
        <v>100.74</v>
      </c>
      <c r="F2358" s="96">
        <v>24700.44</v>
      </c>
      <c r="G2358" s="97" t="s">
        <v>199</v>
      </c>
      <c r="H2358" s="114">
        <v>46235</v>
      </c>
      <c r="I2358" s="17"/>
      <c r="J2358" s="17"/>
      <c r="K2358" s="17"/>
    </row>
    <row r="2359" spans="1:11" x14ac:dyDescent="0.2">
      <c r="A2359" s="115">
        <v>46259</v>
      </c>
      <c r="B2359" s="103" t="s">
        <v>3913</v>
      </c>
      <c r="C2359" s="94" t="s">
        <v>821</v>
      </c>
      <c r="D2359" s="95">
        <v>50</v>
      </c>
      <c r="E2359" s="95">
        <v>100.74</v>
      </c>
      <c r="F2359" s="96">
        <v>5037</v>
      </c>
      <c r="G2359" s="97" t="s">
        <v>714</v>
      </c>
      <c r="H2359" s="114">
        <v>46235</v>
      </c>
      <c r="I2359" s="17"/>
      <c r="J2359" s="17"/>
      <c r="K2359" s="17"/>
    </row>
    <row r="2360" spans="1:11" x14ac:dyDescent="0.2">
      <c r="A2360" s="115">
        <v>46259</v>
      </c>
      <c r="B2360" s="103" t="s">
        <v>3914</v>
      </c>
      <c r="C2360" s="94" t="s">
        <v>1157</v>
      </c>
      <c r="D2360" s="95">
        <v>86</v>
      </c>
      <c r="E2360" s="95">
        <v>100.74</v>
      </c>
      <c r="F2360" s="96">
        <v>8663.64</v>
      </c>
      <c r="G2360" s="97" t="s">
        <v>714</v>
      </c>
      <c r="H2360" s="114">
        <v>46235</v>
      </c>
      <c r="I2360" s="17"/>
      <c r="J2360" s="17"/>
      <c r="K2360" s="17"/>
    </row>
    <row r="2361" spans="1:11" x14ac:dyDescent="0.2">
      <c r="A2361" s="115">
        <v>46259</v>
      </c>
      <c r="B2361" s="103" t="s">
        <v>3915</v>
      </c>
      <c r="C2361" s="94" t="s">
        <v>742</v>
      </c>
      <c r="D2361" s="95">
        <v>30</v>
      </c>
      <c r="E2361" s="95">
        <v>100.74</v>
      </c>
      <c r="F2361" s="96">
        <v>3022.2</v>
      </c>
      <c r="G2361" s="97" t="s">
        <v>714</v>
      </c>
      <c r="H2361" s="114">
        <v>46235</v>
      </c>
      <c r="I2361" s="17"/>
      <c r="J2361" s="17"/>
      <c r="K2361" s="17"/>
    </row>
    <row r="2362" spans="1:11" x14ac:dyDescent="0.2">
      <c r="A2362" s="115">
        <v>46259</v>
      </c>
      <c r="B2362" s="103" t="s">
        <v>3916</v>
      </c>
      <c r="C2362" s="94" t="s">
        <v>742</v>
      </c>
      <c r="D2362" s="95">
        <v>50</v>
      </c>
      <c r="E2362" s="95">
        <v>100.74</v>
      </c>
      <c r="F2362" s="96">
        <v>5037</v>
      </c>
      <c r="G2362" s="97" t="s">
        <v>714</v>
      </c>
      <c r="H2362" s="114">
        <v>46235</v>
      </c>
      <c r="I2362" s="17"/>
      <c r="J2362" s="17"/>
      <c r="K2362" s="17"/>
    </row>
    <row r="2363" spans="1:11" x14ac:dyDescent="0.2">
      <c r="A2363" s="115">
        <v>46259</v>
      </c>
      <c r="B2363" s="103" t="s">
        <v>3917</v>
      </c>
      <c r="C2363" s="94" t="s">
        <v>3519</v>
      </c>
      <c r="D2363" s="95">
        <v>27.8</v>
      </c>
      <c r="E2363" s="95">
        <v>100.74</v>
      </c>
      <c r="F2363" s="96">
        <v>2800</v>
      </c>
      <c r="G2363" s="97" t="s">
        <v>1786</v>
      </c>
      <c r="H2363" s="114">
        <v>46235</v>
      </c>
      <c r="I2363" s="17"/>
      <c r="J2363" s="17"/>
      <c r="K2363" s="17"/>
    </row>
    <row r="2364" spans="1:11" x14ac:dyDescent="0.2">
      <c r="A2364" s="115">
        <v>46259</v>
      </c>
      <c r="B2364" s="103" t="s">
        <v>3918</v>
      </c>
      <c r="C2364" s="94" t="s">
        <v>3471</v>
      </c>
      <c r="D2364" s="95">
        <v>27.8</v>
      </c>
      <c r="E2364" s="95">
        <v>100.74</v>
      </c>
      <c r="F2364" s="96">
        <v>2800</v>
      </c>
      <c r="G2364" s="97" t="s">
        <v>1786</v>
      </c>
      <c r="H2364" s="114">
        <v>46235</v>
      </c>
      <c r="I2364" s="17"/>
      <c r="J2364" s="17"/>
      <c r="K2364" s="17"/>
    </row>
    <row r="2365" spans="1:11" x14ac:dyDescent="0.2">
      <c r="A2365" s="115">
        <v>46259</v>
      </c>
      <c r="B2365" s="103" t="s">
        <v>3919</v>
      </c>
      <c r="C2365" s="94" t="s">
        <v>3473</v>
      </c>
      <c r="D2365" s="95">
        <v>27.8</v>
      </c>
      <c r="E2365" s="95">
        <v>100.74</v>
      </c>
      <c r="F2365" s="96">
        <v>2800</v>
      </c>
      <c r="G2365" s="97" t="s">
        <v>1786</v>
      </c>
      <c r="H2365" s="114">
        <v>46235</v>
      </c>
      <c r="I2365" s="17"/>
      <c r="J2365" s="17"/>
      <c r="K2365" s="17"/>
    </row>
    <row r="2366" spans="1:11" x14ac:dyDescent="0.2">
      <c r="A2366" s="115">
        <v>46259</v>
      </c>
      <c r="B2366" s="103" t="s">
        <v>3920</v>
      </c>
      <c r="C2366" s="94" t="s">
        <v>3898</v>
      </c>
      <c r="D2366" s="95">
        <v>27.8</v>
      </c>
      <c r="E2366" s="95">
        <v>100.74</v>
      </c>
      <c r="F2366" s="96">
        <v>2800</v>
      </c>
      <c r="G2366" s="97" t="s">
        <v>1786</v>
      </c>
      <c r="H2366" s="114">
        <v>46235</v>
      </c>
      <c r="I2366" s="17"/>
      <c r="J2366" s="17"/>
      <c r="K2366" s="17"/>
    </row>
    <row r="2367" spans="1:11" x14ac:dyDescent="0.2">
      <c r="A2367" s="115">
        <v>46259</v>
      </c>
      <c r="B2367" s="103" t="s">
        <v>3921</v>
      </c>
      <c r="C2367" s="94" t="s">
        <v>3536</v>
      </c>
      <c r="D2367" s="95">
        <v>27.8</v>
      </c>
      <c r="E2367" s="95">
        <v>100.74</v>
      </c>
      <c r="F2367" s="96">
        <v>2800</v>
      </c>
      <c r="G2367" s="97" t="s">
        <v>1786</v>
      </c>
      <c r="H2367" s="114">
        <v>46235</v>
      </c>
      <c r="I2367" s="17"/>
      <c r="J2367" s="17"/>
      <c r="K2367" s="17"/>
    </row>
    <row r="2368" spans="1:11" x14ac:dyDescent="0.2">
      <c r="A2368" s="115">
        <v>46259</v>
      </c>
      <c r="B2368" s="103" t="s">
        <v>3922</v>
      </c>
      <c r="C2368" s="94" t="s">
        <v>3589</v>
      </c>
      <c r="D2368" s="95">
        <v>27.8</v>
      </c>
      <c r="E2368" s="95">
        <v>100.74</v>
      </c>
      <c r="F2368" s="96">
        <v>2800</v>
      </c>
      <c r="G2368" s="97" t="s">
        <v>1786</v>
      </c>
      <c r="H2368" s="114">
        <v>46235</v>
      </c>
      <c r="I2368" s="17"/>
      <c r="J2368" s="17"/>
      <c r="K2368" s="17"/>
    </row>
    <row r="2369" spans="1:11" x14ac:dyDescent="0.2">
      <c r="A2369" s="115">
        <v>46259</v>
      </c>
      <c r="B2369" s="103" t="s">
        <v>3923</v>
      </c>
      <c r="C2369" s="94" t="s">
        <v>3924</v>
      </c>
      <c r="D2369" s="95">
        <v>27.8</v>
      </c>
      <c r="E2369" s="95">
        <v>100.74</v>
      </c>
      <c r="F2369" s="96">
        <v>2800</v>
      </c>
      <c r="G2369" s="97" t="s">
        <v>1786</v>
      </c>
      <c r="H2369" s="114">
        <v>46235</v>
      </c>
      <c r="I2369" s="17"/>
      <c r="J2369" s="17"/>
      <c r="K2369" s="17"/>
    </row>
    <row r="2370" spans="1:11" x14ac:dyDescent="0.2">
      <c r="A2370" s="115">
        <v>46259</v>
      </c>
      <c r="B2370" s="103" t="s">
        <v>3925</v>
      </c>
      <c r="C2370" s="94" t="s">
        <v>3500</v>
      </c>
      <c r="D2370" s="95">
        <v>27.8</v>
      </c>
      <c r="E2370" s="95">
        <v>100.74</v>
      </c>
      <c r="F2370" s="96">
        <v>2800</v>
      </c>
      <c r="G2370" s="97" t="s">
        <v>1786</v>
      </c>
      <c r="H2370" s="114">
        <v>46235</v>
      </c>
      <c r="I2370" s="17"/>
      <c r="J2370" s="17"/>
      <c r="K2370" s="17"/>
    </row>
    <row r="2371" spans="1:11" x14ac:dyDescent="0.2">
      <c r="A2371" s="115">
        <v>46259</v>
      </c>
      <c r="B2371" s="103" t="s">
        <v>3926</v>
      </c>
      <c r="C2371" s="94" t="s">
        <v>3475</v>
      </c>
      <c r="D2371" s="95">
        <v>27.8</v>
      </c>
      <c r="E2371" s="95">
        <v>100.74</v>
      </c>
      <c r="F2371" s="96">
        <v>2800</v>
      </c>
      <c r="G2371" s="97" t="s">
        <v>1786</v>
      </c>
      <c r="H2371" s="114">
        <v>46235</v>
      </c>
      <c r="I2371" s="17"/>
      <c r="J2371" s="17"/>
      <c r="K2371" s="17"/>
    </row>
    <row r="2372" spans="1:11" x14ac:dyDescent="0.2">
      <c r="A2372" s="115">
        <v>46259</v>
      </c>
      <c r="B2372" s="103" t="s">
        <v>3927</v>
      </c>
      <c r="C2372" s="94" t="s">
        <v>2491</v>
      </c>
      <c r="D2372" s="95">
        <v>27.8</v>
      </c>
      <c r="E2372" s="95">
        <v>100.74</v>
      </c>
      <c r="F2372" s="96">
        <v>2800</v>
      </c>
      <c r="G2372" s="97" t="s">
        <v>1786</v>
      </c>
      <c r="H2372" s="114">
        <v>46235</v>
      </c>
      <c r="I2372" s="17"/>
      <c r="J2372" s="17"/>
      <c r="K2372" s="17"/>
    </row>
    <row r="2373" spans="1:11" x14ac:dyDescent="0.2">
      <c r="A2373" s="115">
        <v>46259</v>
      </c>
      <c r="B2373" s="103" t="s">
        <v>3928</v>
      </c>
      <c r="C2373" s="94" t="s">
        <v>3480</v>
      </c>
      <c r="D2373" s="95">
        <v>27.8</v>
      </c>
      <c r="E2373" s="95">
        <v>100.74</v>
      </c>
      <c r="F2373" s="96">
        <v>2800</v>
      </c>
      <c r="G2373" s="97" t="s">
        <v>1786</v>
      </c>
      <c r="H2373" s="114">
        <v>46235</v>
      </c>
      <c r="I2373" s="17"/>
      <c r="J2373" s="17"/>
      <c r="K2373" s="17"/>
    </row>
    <row r="2374" spans="1:11" x14ac:dyDescent="0.2">
      <c r="A2374" s="115">
        <v>46259</v>
      </c>
      <c r="B2374" s="103" t="s">
        <v>3929</v>
      </c>
      <c r="C2374" s="94"/>
      <c r="D2374" s="95">
        <v>1095.18</v>
      </c>
      <c r="E2374" s="95">
        <v>100.74</v>
      </c>
      <c r="F2374" s="96">
        <v>110328.7</v>
      </c>
      <c r="G2374" s="97" t="s">
        <v>2450</v>
      </c>
      <c r="H2374" s="114">
        <v>46235</v>
      </c>
      <c r="I2374" s="17"/>
      <c r="J2374" s="17"/>
      <c r="K2374" s="17"/>
    </row>
    <row r="2375" spans="1:11" x14ac:dyDescent="0.2">
      <c r="A2375" s="115">
        <v>46259</v>
      </c>
      <c r="B2375" s="103" t="s">
        <v>3930</v>
      </c>
      <c r="C2375" s="94"/>
      <c r="D2375" s="95">
        <v>9.93</v>
      </c>
      <c r="E2375" s="95">
        <v>100.74</v>
      </c>
      <c r="F2375" s="96">
        <v>1000</v>
      </c>
      <c r="G2375" s="97" t="s">
        <v>2364</v>
      </c>
      <c r="H2375" s="114">
        <v>46235</v>
      </c>
      <c r="I2375" s="17"/>
      <c r="J2375" s="17"/>
      <c r="K2375" s="17"/>
    </row>
    <row r="2376" spans="1:11" x14ac:dyDescent="0.2">
      <c r="A2376" s="115">
        <v>46259</v>
      </c>
      <c r="B2376" s="103" t="s">
        <v>3931</v>
      </c>
      <c r="C2376" s="94" t="s">
        <v>50</v>
      </c>
      <c r="D2376" s="95">
        <v>1581.44</v>
      </c>
      <c r="E2376" s="95">
        <v>100.74</v>
      </c>
      <c r="F2376" s="96">
        <v>159314.26999999999</v>
      </c>
      <c r="G2376" s="97" t="s">
        <v>95</v>
      </c>
      <c r="H2376" s="114">
        <v>46235</v>
      </c>
      <c r="I2376" s="17"/>
      <c r="J2376" s="17"/>
      <c r="K2376" s="17"/>
    </row>
    <row r="2377" spans="1:11" x14ac:dyDescent="0.2">
      <c r="A2377" s="115">
        <v>46259</v>
      </c>
      <c r="B2377" s="103" t="s">
        <v>3932</v>
      </c>
      <c r="C2377" s="94"/>
      <c r="D2377" s="95">
        <v>233</v>
      </c>
      <c r="E2377" s="95">
        <v>100.74</v>
      </c>
      <c r="F2377" s="96">
        <v>23472.42</v>
      </c>
      <c r="G2377" s="97" t="s">
        <v>57</v>
      </c>
      <c r="H2377" s="114">
        <v>46235</v>
      </c>
      <c r="I2377" s="17"/>
      <c r="J2377" s="17"/>
      <c r="K2377" s="17"/>
    </row>
    <row r="2378" spans="1:11" x14ac:dyDescent="0.2">
      <c r="A2378" s="115">
        <v>46259</v>
      </c>
      <c r="B2378" s="103" t="s">
        <v>3933</v>
      </c>
      <c r="C2378" s="94"/>
      <c r="D2378" s="95">
        <v>911.48</v>
      </c>
      <c r="E2378" s="95">
        <v>100.74</v>
      </c>
      <c r="F2378" s="96">
        <v>91822.56</v>
      </c>
      <c r="G2378" s="97" t="s">
        <v>152</v>
      </c>
      <c r="H2378" s="114">
        <v>46235</v>
      </c>
      <c r="I2378" s="17"/>
      <c r="J2378" s="17"/>
      <c r="K2378" s="17"/>
    </row>
    <row r="2379" spans="1:11" x14ac:dyDescent="0.2">
      <c r="A2379" s="115">
        <v>46259</v>
      </c>
      <c r="B2379" s="103" t="s">
        <v>3934</v>
      </c>
      <c r="C2379" s="94" t="s">
        <v>525</v>
      </c>
      <c r="D2379" s="95">
        <v>20</v>
      </c>
      <c r="E2379" s="95">
        <v>100.74</v>
      </c>
      <c r="F2379" s="96">
        <v>2014.8</v>
      </c>
      <c r="G2379" s="97" t="s">
        <v>58</v>
      </c>
      <c r="H2379" s="114">
        <v>46235</v>
      </c>
      <c r="I2379" s="17"/>
      <c r="J2379" s="17"/>
      <c r="K2379" s="17"/>
    </row>
    <row r="2380" spans="1:11" x14ac:dyDescent="0.2">
      <c r="A2380" s="115">
        <v>46259</v>
      </c>
      <c r="B2380" s="103" t="s">
        <v>3935</v>
      </c>
      <c r="C2380" s="94" t="s">
        <v>526</v>
      </c>
      <c r="D2380" s="95">
        <v>1807.62</v>
      </c>
      <c r="E2380" s="95">
        <v>100.74</v>
      </c>
      <c r="F2380" s="96">
        <v>182100</v>
      </c>
      <c r="G2380" s="97" t="s">
        <v>58</v>
      </c>
      <c r="H2380" s="114">
        <v>46235</v>
      </c>
      <c r="I2380" s="17"/>
      <c r="J2380" s="17"/>
      <c r="K2380" s="17"/>
    </row>
    <row r="2381" spans="1:11" x14ac:dyDescent="0.2">
      <c r="A2381" s="115">
        <v>46260</v>
      </c>
      <c r="B2381" s="103" t="s">
        <v>3940</v>
      </c>
      <c r="C2381" s="94" t="s">
        <v>180</v>
      </c>
      <c r="D2381" s="95">
        <v>12000</v>
      </c>
      <c r="E2381" s="95">
        <v>99.5</v>
      </c>
      <c r="F2381" s="96">
        <v>1194000</v>
      </c>
      <c r="G2381" s="97" t="s">
        <v>51</v>
      </c>
      <c r="H2381" s="114">
        <v>46235</v>
      </c>
      <c r="I2381" s="17"/>
      <c r="J2381" s="17"/>
      <c r="K2381" s="17"/>
    </row>
    <row r="2382" spans="1:11" x14ac:dyDescent="0.2">
      <c r="A2382" s="115">
        <v>46260</v>
      </c>
      <c r="B2382" s="103" t="s">
        <v>3941</v>
      </c>
      <c r="C2382" s="94" t="s">
        <v>42</v>
      </c>
      <c r="D2382" s="95">
        <v>12000</v>
      </c>
      <c r="E2382" s="95">
        <v>99.99</v>
      </c>
      <c r="F2382" s="96">
        <v>1199880</v>
      </c>
      <c r="G2382" s="97" t="s">
        <v>3806</v>
      </c>
      <c r="H2382" s="114">
        <v>46235</v>
      </c>
      <c r="I2382" s="17"/>
      <c r="J2382" s="17"/>
      <c r="K2382" s="17"/>
    </row>
    <row r="2383" spans="1:11" x14ac:dyDescent="0.2">
      <c r="A2383" s="115">
        <v>46260</v>
      </c>
      <c r="B2383" s="103" t="s">
        <v>3942</v>
      </c>
      <c r="C2383" s="94" t="s">
        <v>180</v>
      </c>
      <c r="D2383" s="95">
        <v>12000</v>
      </c>
      <c r="E2383" s="95">
        <v>99.99</v>
      </c>
      <c r="F2383" s="96">
        <v>1199880</v>
      </c>
      <c r="G2383" s="97" t="s">
        <v>3806</v>
      </c>
      <c r="H2383" s="114">
        <v>46235</v>
      </c>
      <c r="I2383" s="17"/>
      <c r="J2383" s="17"/>
      <c r="K2383" s="17"/>
    </row>
    <row r="2384" spans="1:11" x14ac:dyDescent="0.2">
      <c r="A2384" s="115">
        <v>46260</v>
      </c>
      <c r="B2384" s="103" t="s">
        <v>3943</v>
      </c>
      <c r="C2384" s="94" t="s">
        <v>40</v>
      </c>
      <c r="D2384" s="95">
        <v>12000</v>
      </c>
      <c r="E2384" s="95">
        <v>99.5</v>
      </c>
      <c r="F2384" s="96">
        <v>1194000</v>
      </c>
      <c r="G2384" s="97" t="s">
        <v>143</v>
      </c>
      <c r="H2384" s="114">
        <v>46235</v>
      </c>
      <c r="I2384" s="17"/>
      <c r="J2384" s="17"/>
      <c r="K2384" s="17"/>
    </row>
    <row r="2385" spans="1:11" x14ac:dyDescent="0.2">
      <c r="A2385" s="115">
        <v>46260</v>
      </c>
      <c r="B2385" s="103" t="s">
        <v>3944</v>
      </c>
      <c r="C2385" s="94" t="s">
        <v>39</v>
      </c>
      <c r="D2385" s="95">
        <v>18000</v>
      </c>
      <c r="E2385" s="95">
        <v>99.5</v>
      </c>
      <c r="F2385" s="96">
        <v>1791000</v>
      </c>
      <c r="G2385" s="97" t="s">
        <v>52</v>
      </c>
      <c r="H2385" s="114">
        <v>46235</v>
      </c>
      <c r="I2385" s="17"/>
      <c r="J2385" s="17"/>
      <c r="K2385" s="17"/>
    </row>
    <row r="2386" spans="1:11" x14ac:dyDescent="0.2">
      <c r="A2386" s="115">
        <v>46260</v>
      </c>
      <c r="B2386" s="103" t="s">
        <v>3945</v>
      </c>
      <c r="C2386" s="94" t="s">
        <v>526</v>
      </c>
      <c r="D2386" s="95">
        <v>2386.34</v>
      </c>
      <c r="E2386" s="95">
        <v>100.74</v>
      </c>
      <c r="F2386" s="96">
        <v>240400</v>
      </c>
      <c r="G2386" s="97" t="s">
        <v>58</v>
      </c>
      <c r="H2386" s="114">
        <v>46235</v>
      </c>
      <c r="I2386" s="17"/>
      <c r="J2386" s="17"/>
      <c r="K2386" s="17"/>
    </row>
    <row r="2387" spans="1:11" x14ac:dyDescent="0.2">
      <c r="A2387" s="115">
        <v>46260</v>
      </c>
      <c r="B2387" s="103" t="s">
        <v>3946</v>
      </c>
      <c r="C2387" s="94"/>
      <c r="D2387" s="95">
        <v>1002.69</v>
      </c>
      <c r="E2387" s="95">
        <v>100.74</v>
      </c>
      <c r="F2387" s="96">
        <v>101011</v>
      </c>
      <c r="G2387" s="97" t="s">
        <v>152</v>
      </c>
      <c r="H2387" s="114">
        <v>46235</v>
      </c>
      <c r="I2387" s="17"/>
      <c r="J2387" s="17"/>
      <c r="K2387" s="17"/>
    </row>
    <row r="2388" spans="1:11" x14ac:dyDescent="0.2">
      <c r="A2388" s="115">
        <v>46260</v>
      </c>
      <c r="B2388" s="103" t="s">
        <v>3947</v>
      </c>
      <c r="C2388" s="94" t="s">
        <v>50</v>
      </c>
      <c r="D2388" s="95">
        <v>2000</v>
      </c>
      <c r="E2388" s="95">
        <v>100.24</v>
      </c>
      <c r="F2388" s="96">
        <v>200480</v>
      </c>
      <c r="G2388" s="97" t="s">
        <v>96</v>
      </c>
      <c r="H2388" s="114">
        <v>46235</v>
      </c>
      <c r="I2388" s="17"/>
      <c r="J2388" s="17"/>
      <c r="K2388" s="17"/>
    </row>
    <row r="2389" spans="1:11" x14ac:dyDescent="0.2">
      <c r="A2389" s="115">
        <v>46260</v>
      </c>
      <c r="B2389" s="103" t="s">
        <v>3948</v>
      </c>
      <c r="C2389" s="94" t="s">
        <v>50</v>
      </c>
      <c r="D2389" s="95">
        <v>2294.85</v>
      </c>
      <c r="E2389" s="95">
        <v>100.74</v>
      </c>
      <c r="F2389" s="96">
        <v>231183.19</v>
      </c>
      <c r="G2389" s="97" t="s">
        <v>95</v>
      </c>
      <c r="H2389" s="114">
        <v>46235</v>
      </c>
      <c r="I2389" s="17"/>
      <c r="J2389" s="17"/>
      <c r="K2389" s="17"/>
    </row>
    <row r="2390" spans="1:11" x14ac:dyDescent="0.2">
      <c r="A2390" s="115">
        <v>46260</v>
      </c>
      <c r="B2390" s="103" t="s">
        <v>3949</v>
      </c>
      <c r="C2390" s="94"/>
      <c r="D2390" s="95">
        <v>797</v>
      </c>
      <c r="E2390" s="95">
        <v>100.74</v>
      </c>
      <c r="F2390" s="96">
        <v>80289.78</v>
      </c>
      <c r="G2390" s="97" t="s">
        <v>57</v>
      </c>
      <c r="H2390" s="114">
        <v>46235</v>
      </c>
      <c r="I2390" s="17"/>
      <c r="J2390" s="17"/>
      <c r="K2390" s="17"/>
    </row>
    <row r="2391" spans="1:11" x14ac:dyDescent="0.2">
      <c r="A2391" s="115">
        <v>46260</v>
      </c>
      <c r="B2391" s="103" t="s">
        <v>3950</v>
      </c>
      <c r="C2391" s="94"/>
      <c r="D2391" s="95">
        <v>4.67</v>
      </c>
      <c r="E2391" s="95">
        <v>100.74</v>
      </c>
      <c r="F2391" s="96">
        <v>470</v>
      </c>
      <c r="G2391" s="97" t="s">
        <v>2364</v>
      </c>
      <c r="H2391" s="114">
        <v>46235</v>
      </c>
      <c r="I2391" s="17"/>
      <c r="J2391" s="17"/>
      <c r="K2391" s="17"/>
    </row>
    <row r="2392" spans="1:11" x14ac:dyDescent="0.2">
      <c r="A2392" s="115">
        <v>46260</v>
      </c>
      <c r="B2392" s="103" t="s">
        <v>3951</v>
      </c>
      <c r="C2392" s="94"/>
      <c r="D2392" s="95">
        <v>218.81</v>
      </c>
      <c r="E2392" s="95">
        <v>100.74</v>
      </c>
      <c r="F2392" s="96">
        <v>22043</v>
      </c>
      <c r="G2392" s="97" t="s">
        <v>2450</v>
      </c>
      <c r="H2392" s="114">
        <v>46235</v>
      </c>
      <c r="I2392" s="17"/>
      <c r="J2392" s="17"/>
      <c r="K2392" s="17"/>
    </row>
    <row r="2393" spans="1:11" x14ac:dyDescent="0.2">
      <c r="A2393" s="115">
        <v>46260</v>
      </c>
      <c r="B2393" s="103" t="s">
        <v>3952</v>
      </c>
      <c r="C2393" s="94" t="s">
        <v>41</v>
      </c>
      <c r="D2393" s="95">
        <v>52.63</v>
      </c>
      <c r="E2393" s="95">
        <v>100.74</v>
      </c>
      <c r="F2393" s="96">
        <v>5301.94</v>
      </c>
      <c r="G2393" s="97" t="s">
        <v>53</v>
      </c>
      <c r="H2393" s="114">
        <v>46235</v>
      </c>
      <c r="I2393" s="17"/>
      <c r="J2393" s="17"/>
      <c r="K2393" s="17"/>
    </row>
    <row r="2394" spans="1:11" x14ac:dyDescent="0.2">
      <c r="A2394" s="115">
        <v>46260</v>
      </c>
      <c r="B2394" s="103" t="s">
        <v>3953</v>
      </c>
      <c r="C2394" s="94" t="s">
        <v>745</v>
      </c>
      <c r="D2394" s="95">
        <v>24.82</v>
      </c>
      <c r="E2394" s="95">
        <v>100.74</v>
      </c>
      <c r="F2394" s="96">
        <v>2500</v>
      </c>
      <c r="G2394" s="97" t="s">
        <v>714</v>
      </c>
      <c r="H2394" s="114">
        <v>46235</v>
      </c>
      <c r="I2394" s="17"/>
      <c r="J2394" s="17"/>
      <c r="K2394" s="17"/>
    </row>
    <row r="2395" spans="1:11" x14ac:dyDescent="0.2">
      <c r="A2395" s="115">
        <v>46260</v>
      </c>
      <c r="B2395" s="103" t="s">
        <v>3954</v>
      </c>
      <c r="C2395" s="94" t="s">
        <v>1266</v>
      </c>
      <c r="D2395" s="95">
        <v>20</v>
      </c>
      <c r="E2395" s="95">
        <v>100.74</v>
      </c>
      <c r="F2395" s="96">
        <v>2014.8</v>
      </c>
      <c r="G2395" s="97" t="s">
        <v>714</v>
      </c>
      <c r="H2395" s="114">
        <v>46235</v>
      </c>
      <c r="I2395" s="17"/>
      <c r="J2395" s="17"/>
      <c r="K2395" s="17"/>
    </row>
    <row r="2396" spans="1:11" x14ac:dyDescent="0.2">
      <c r="A2396" s="115">
        <v>46260</v>
      </c>
      <c r="B2396" s="103" t="s">
        <v>3955</v>
      </c>
      <c r="C2396" s="94" t="s">
        <v>45</v>
      </c>
      <c r="D2396" s="95">
        <v>46.04</v>
      </c>
      <c r="E2396" s="95">
        <v>100.74</v>
      </c>
      <c r="F2396" s="96">
        <v>4638.0600000000004</v>
      </c>
      <c r="G2396" s="97" t="s">
        <v>56</v>
      </c>
      <c r="H2396" s="114">
        <v>46235</v>
      </c>
      <c r="I2396" s="17"/>
      <c r="J2396" s="17"/>
      <c r="K2396" s="17"/>
    </row>
    <row r="2397" spans="1:11" x14ac:dyDescent="0.2">
      <c r="A2397" s="115">
        <v>46260</v>
      </c>
      <c r="B2397" s="103" t="s">
        <v>3956</v>
      </c>
      <c r="C2397" s="94" t="s">
        <v>44</v>
      </c>
      <c r="D2397" s="95">
        <v>10</v>
      </c>
      <c r="E2397" s="95">
        <v>100.74</v>
      </c>
      <c r="F2397" s="96">
        <v>1007.4</v>
      </c>
      <c r="G2397" s="97" t="s">
        <v>56</v>
      </c>
      <c r="H2397" s="114">
        <v>46235</v>
      </c>
      <c r="I2397" s="17"/>
      <c r="J2397" s="17"/>
      <c r="K2397" s="17"/>
    </row>
    <row r="2398" spans="1:11" x14ac:dyDescent="0.2">
      <c r="A2398" s="115">
        <v>46260</v>
      </c>
      <c r="B2398" s="103" t="s">
        <v>3957</v>
      </c>
      <c r="C2398" s="94" t="s">
        <v>2835</v>
      </c>
      <c r="D2398" s="95">
        <v>200</v>
      </c>
      <c r="E2398" s="95">
        <v>100.74</v>
      </c>
      <c r="F2398" s="96">
        <v>20148</v>
      </c>
      <c r="G2398" s="97" t="s">
        <v>2570</v>
      </c>
      <c r="H2398" s="114">
        <v>46235</v>
      </c>
      <c r="I2398" s="17"/>
      <c r="J2398" s="17"/>
      <c r="K2398" s="17"/>
    </row>
    <row r="2399" spans="1:11" x14ac:dyDescent="0.2">
      <c r="A2399" s="115">
        <v>46260</v>
      </c>
      <c r="B2399" s="103" t="s">
        <v>3958</v>
      </c>
      <c r="C2399" s="94" t="s">
        <v>1781</v>
      </c>
      <c r="D2399" s="95">
        <v>200</v>
      </c>
      <c r="E2399" s="95">
        <v>100.74</v>
      </c>
      <c r="F2399" s="96">
        <v>20148</v>
      </c>
      <c r="G2399" s="97" t="s">
        <v>2570</v>
      </c>
      <c r="H2399" s="114">
        <v>46235</v>
      </c>
      <c r="I2399" s="17"/>
      <c r="J2399" s="17"/>
      <c r="K2399" s="17"/>
    </row>
    <row r="2400" spans="1:11" x14ac:dyDescent="0.2">
      <c r="A2400" s="115">
        <v>46260</v>
      </c>
      <c r="B2400" s="103" t="s">
        <v>3959</v>
      </c>
      <c r="C2400" s="94" t="s">
        <v>3840</v>
      </c>
      <c r="D2400" s="95">
        <v>178.68</v>
      </c>
      <c r="E2400" s="95">
        <v>100.74</v>
      </c>
      <c r="F2400" s="96">
        <v>18000</v>
      </c>
      <c r="G2400" s="97" t="s">
        <v>2570</v>
      </c>
      <c r="H2400" s="114">
        <v>46235</v>
      </c>
      <c r="I2400" s="17"/>
      <c r="J2400" s="17"/>
      <c r="K2400" s="17"/>
    </row>
    <row r="2401" spans="1:11" x14ac:dyDescent="0.2">
      <c r="A2401" s="115">
        <v>46260</v>
      </c>
      <c r="B2401" s="103" t="s">
        <v>3960</v>
      </c>
      <c r="C2401" s="94" t="s">
        <v>3007</v>
      </c>
      <c r="D2401" s="95">
        <v>178.68</v>
      </c>
      <c r="E2401" s="95">
        <v>100.74</v>
      </c>
      <c r="F2401" s="96">
        <v>18000</v>
      </c>
      <c r="G2401" s="97" t="s">
        <v>2570</v>
      </c>
      <c r="H2401" s="114">
        <v>46235</v>
      </c>
      <c r="I2401" s="17"/>
      <c r="J2401" s="17"/>
      <c r="K2401" s="17"/>
    </row>
    <row r="2402" spans="1:11" x14ac:dyDescent="0.2">
      <c r="A2402" s="115">
        <v>46260</v>
      </c>
      <c r="B2402" s="103" t="s">
        <v>3961</v>
      </c>
      <c r="C2402" s="94" t="s">
        <v>3101</v>
      </c>
      <c r="D2402" s="95">
        <v>178.68</v>
      </c>
      <c r="E2402" s="95">
        <v>100.74</v>
      </c>
      <c r="F2402" s="96">
        <v>18000</v>
      </c>
      <c r="G2402" s="97" t="s">
        <v>2570</v>
      </c>
      <c r="H2402" s="114">
        <v>46235</v>
      </c>
      <c r="I2402" s="17"/>
      <c r="J2402" s="17"/>
      <c r="K2402" s="17"/>
    </row>
    <row r="2403" spans="1:11" x14ac:dyDescent="0.2">
      <c r="A2403" s="115">
        <v>46260</v>
      </c>
      <c r="B2403" s="103" t="s">
        <v>3962</v>
      </c>
      <c r="C2403" s="94" t="s">
        <v>3475</v>
      </c>
      <c r="D2403" s="95">
        <v>27.8</v>
      </c>
      <c r="E2403" s="95">
        <v>100.74</v>
      </c>
      <c r="F2403" s="96">
        <v>2800</v>
      </c>
      <c r="G2403" s="97" t="s">
        <v>1786</v>
      </c>
      <c r="H2403" s="114">
        <v>46235</v>
      </c>
      <c r="I2403" s="17"/>
      <c r="J2403" s="17"/>
      <c r="K2403" s="17"/>
    </row>
    <row r="2404" spans="1:11" x14ac:dyDescent="0.2">
      <c r="A2404" s="115">
        <v>46260</v>
      </c>
      <c r="B2404" s="103" t="s">
        <v>3963</v>
      </c>
      <c r="C2404" s="94" t="s">
        <v>3587</v>
      </c>
      <c r="D2404" s="95">
        <v>27.8</v>
      </c>
      <c r="E2404" s="95">
        <v>100.74</v>
      </c>
      <c r="F2404" s="96">
        <v>2800</v>
      </c>
      <c r="G2404" s="97" t="s">
        <v>1786</v>
      </c>
      <c r="H2404" s="114">
        <v>46235</v>
      </c>
      <c r="I2404" s="17"/>
      <c r="J2404" s="17"/>
      <c r="K2404" s="17"/>
    </row>
    <row r="2405" spans="1:11" x14ac:dyDescent="0.2">
      <c r="A2405" s="115">
        <v>46260</v>
      </c>
      <c r="B2405" s="103" t="s">
        <v>3964</v>
      </c>
      <c r="C2405" s="94" t="s">
        <v>3589</v>
      </c>
      <c r="D2405" s="95">
        <v>27.8</v>
      </c>
      <c r="E2405" s="95">
        <v>100.74</v>
      </c>
      <c r="F2405" s="96">
        <v>2800</v>
      </c>
      <c r="G2405" s="97" t="s">
        <v>1786</v>
      </c>
      <c r="H2405" s="114">
        <v>46235</v>
      </c>
      <c r="I2405" s="17"/>
      <c r="J2405" s="17"/>
      <c r="K2405" s="17"/>
    </row>
    <row r="2406" spans="1:11" x14ac:dyDescent="0.2">
      <c r="A2406" s="115">
        <v>46260</v>
      </c>
      <c r="B2406" s="103" t="s">
        <v>3965</v>
      </c>
      <c r="C2406" s="94" t="s">
        <v>3500</v>
      </c>
      <c r="D2406" s="95">
        <v>27.8</v>
      </c>
      <c r="E2406" s="95">
        <v>100.74</v>
      </c>
      <c r="F2406" s="96">
        <v>2800</v>
      </c>
      <c r="G2406" s="97" t="s">
        <v>1786</v>
      </c>
      <c r="H2406" s="114">
        <v>46235</v>
      </c>
      <c r="I2406" s="17"/>
      <c r="J2406" s="17"/>
      <c r="K2406" s="17"/>
    </row>
    <row r="2407" spans="1:11" x14ac:dyDescent="0.2">
      <c r="A2407" s="115">
        <v>46260</v>
      </c>
      <c r="B2407" s="103" t="s">
        <v>3966</v>
      </c>
      <c r="C2407" s="94" t="s">
        <v>3967</v>
      </c>
      <c r="D2407" s="95">
        <v>27.8</v>
      </c>
      <c r="E2407" s="95">
        <v>100.74</v>
      </c>
      <c r="F2407" s="96">
        <v>2800</v>
      </c>
      <c r="G2407" s="97" t="s">
        <v>1786</v>
      </c>
      <c r="H2407" s="114">
        <v>46235</v>
      </c>
      <c r="I2407" s="17"/>
      <c r="J2407" s="17"/>
      <c r="K2407" s="17"/>
    </row>
    <row r="2408" spans="1:11" x14ac:dyDescent="0.2">
      <c r="A2408" s="115">
        <v>46260</v>
      </c>
      <c r="B2408" s="103" t="s">
        <v>3968</v>
      </c>
      <c r="C2408" s="94" t="s">
        <v>3480</v>
      </c>
      <c r="D2408" s="95">
        <v>27.8</v>
      </c>
      <c r="E2408" s="95">
        <v>100.74</v>
      </c>
      <c r="F2408" s="96">
        <v>2800</v>
      </c>
      <c r="G2408" s="97" t="s">
        <v>1786</v>
      </c>
      <c r="H2408" s="114">
        <v>46235</v>
      </c>
      <c r="I2408" s="17"/>
      <c r="J2408" s="17"/>
      <c r="K2408" s="17"/>
    </row>
    <row r="2409" spans="1:11" x14ac:dyDescent="0.2">
      <c r="A2409" s="115">
        <v>46260</v>
      </c>
      <c r="B2409" s="103" t="s">
        <v>3969</v>
      </c>
      <c r="C2409" s="94" t="s">
        <v>2491</v>
      </c>
      <c r="D2409" s="95">
        <v>27.8</v>
      </c>
      <c r="E2409" s="95">
        <v>100.74</v>
      </c>
      <c r="F2409" s="96">
        <v>2800</v>
      </c>
      <c r="G2409" s="97" t="s">
        <v>1786</v>
      </c>
      <c r="H2409" s="114">
        <v>46235</v>
      </c>
      <c r="I2409" s="17"/>
      <c r="J2409" s="17"/>
      <c r="K2409" s="17"/>
    </row>
    <row r="2410" spans="1:11" x14ac:dyDescent="0.2">
      <c r="A2410" s="115">
        <v>46260</v>
      </c>
      <c r="B2410" s="103" t="s">
        <v>3970</v>
      </c>
      <c r="C2410" s="94" t="s">
        <v>3524</v>
      </c>
      <c r="D2410" s="95">
        <v>27.8</v>
      </c>
      <c r="E2410" s="95">
        <v>100.74</v>
      </c>
      <c r="F2410" s="96">
        <v>2800</v>
      </c>
      <c r="G2410" s="97" t="s">
        <v>1786</v>
      </c>
      <c r="H2410" s="114">
        <v>46235</v>
      </c>
      <c r="I2410" s="17"/>
      <c r="J2410" s="17"/>
      <c r="K2410" s="17"/>
    </row>
    <row r="2411" spans="1:11" x14ac:dyDescent="0.2">
      <c r="A2411" s="115">
        <v>46260</v>
      </c>
      <c r="B2411" s="103" t="s">
        <v>3971</v>
      </c>
      <c r="C2411" s="94" t="s">
        <v>3972</v>
      </c>
      <c r="D2411" s="95">
        <v>27.8</v>
      </c>
      <c r="E2411" s="95">
        <v>100.74</v>
      </c>
      <c r="F2411" s="96">
        <v>2800</v>
      </c>
      <c r="G2411" s="97" t="s">
        <v>1786</v>
      </c>
      <c r="H2411" s="114">
        <v>46235</v>
      </c>
      <c r="I2411" s="17"/>
      <c r="J2411" s="17"/>
      <c r="K2411" s="17"/>
    </row>
    <row r="2412" spans="1:11" x14ac:dyDescent="0.2">
      <c r="A2412" s="115">
        <v>46260</v>
      </c>
      <c r="B2412" s="103" t="s">
        <v>3973</v>
      </c>
      <c r="C2412" s="94" t="s">
        <v>3924</v>
      </c>
      <c r="D2412" s="95">
        <v>27.8</v>
      </c>
      <c r="E2412" s="95">
        <v>100.74</v>
      </c>
      <c r="F2412" s="96">
        <v>2800</v>
      </c>
      <c r="G2412" s="97" t="s">
        <v>1786</v>
      </c>
      <c r="H2412" s="114">
        <v>46235</v>
      </c>
      <c r="I2412" s="17"/>
      <c r="J2412" s="17"/>
      <c r="K2412" s="17"/>
    </row>
    <row r="2413" spans="1:11" x14ac:dyDescent="0.2">
      <c r="A2413" s="115">
        <v>46260</v>
      </c>
      <c r="B2413" s="103" t="s">
        <v>3974</v>
      </c>
      <c r="C2413" s="94" t="s">
        <v>3471</v>
      </c>
      <c r="D2413" s="95">
        <v>27.8</v>
      </c>
      <c r="E2413" s="95">
        <v>100.74</v>
      </c>
      <c r="F2413" s="96">
        <v>2800</v>
      </c>
      <c r="G2413" s="97" t="s">
        <v>1786</v>
      </c>
      <c r="H2413" s="114">
        <v>46235</v>
      </c>
      <c r="I2413" s="17"/>
      <c r="J2413" s="17"/>
      <c r="K2413" s="17"/>
    </row>
    <row r="2414" spans="1:11" x14ac:dyDescent="0.2">
      <c r="A2414" s="115">
        <v>46260</v>
      </c>
      <c r="B2414" s="103" t="s">
        <v>3975</v>
      </c>
      <c r="C2414" s="94" t="s">
        <v>3480</v>
      </c>
      <c r="D2414" s="95">
        <v>27.8</v>
      </c>
      <c r="E2414" s="95">
        <v>100.74</v>
      </c>
      <c r="F2414" s="96">
        <v>2800</v>
      </c>
      <c r="G2414" s="97" t="s">
        <v>1786</v>
      </c>
      <c r="H2414" s="114">
        <v>46235</v>
      </c>
      <c r="I2414" s="17"/>
      <c r="J2414" s="17"/>
      <c r="K2414" s="17"/>
    </row>
    <row r="2415" spans="1:11" x14ac:dyDescent="0.2">
      <c r="A2415" s="115">
        <v>46260</v>
      </c>
      <c r="B2415" s="103" t="s">
        <v>3976</v>
      </c>
      <c r="C2415" s="94" t="s">
        <v>3977</v>
      </c>
      <c r="D2415" s="95">
        <v>27.8</v>
      </c>
      <c r="E2415" s="95">
        <v>100.74</v>
      </c>
      <c r="F2415" s="96">
        <v>2800</v>
      </c>
      <c r="G2415" s="97" t="s">
        <v>1786</v>
      </c>
      <c r="H2415" s="114">
        <v>46235</v>
      </c>
      <c r="I2415" s="17"/>
      <c r="J2415" s="17"/>
      <c r="K2415" s="17"/>
    </row>
    <row r="2416" spans="1:11" x14ac:dyDescent="0.2">
      <c r="A2416" s="115">
        <v>46260</v>
      </c>
      <c r="B2416" s="103" t="s">
        <v>3978</v>
      </c>
      <c r="C2416" s="94" t="s">
        <v>3638</v>
      </c>
      <c r="D2416" s="95">
        <v>27.8</v>
      </c>
      <c r="E2416" s="95">
        <v>100.74</v>
      </c>
      <c r="F2416" s="96">
        <v>2800</v>
      </c>
      <c r="G2416" s="97" t="s">
        <v>1786</v>
      </c>
      <c r="H2416" s="114">
        <v>46235</v>
      </c>
      <c r="I2416" s="17"/>
      <c r="J2416" s="17"/>
      <c r="K2416" s="17"/>
    </row>
    <row r="2417" spans="1:11" x14ac:dyDescent="0.2">
      <c r="A2417" s="115">
        <v>46260</v>
      </c>
      <c r="B2417" s="103" t="s">
        <v>3979</v>
      </c>
      <c r="C2417" s="94" t="s">
        <v>3632</v>
      </c>
      <c r="D2417" s="95">
        <v>27.8</v>
      </c>
      <c r="E2417" s="95">
        <v>100.74</v>
      </c>
      <c r="F2417" s="96">
        <v>2800</v>
      </c>
      <c r="G2417" s="97" t="s">
        <v>1786</v>
      </c>
      <c r="H2417" s="114">
        <v>46235</v>
      </c>
      <c r="I2417" s="17"/>
      <c r="J2417" s="17"/>
      <c r="K2417" s="17"/>
    </row>
    <row r="2418" spans="1:11" x14ac:dyDescent="0.2">
      <c r="A2418" s="115">
        <v>46260</v>
      </c>
      <c r="B2418" s="103" t="s">
        <v>3980</v>
      </c>
      <c r="C2418" s="94" t="s">
        <v>3636</v>
      </c>
      <c r="D2418" s="95">
        <v>27.8</v>
      </c>
      <c r="E2418" s="95">
        <v>100.74</v>
      </c>
      <c r="F2418" s="96">
        <v>2800</v>
      </c>
      <c r="G2418" s="97" t="s">
        <v>1786</v>
      </c>
      <c r="H2418" s="114">
        <v>46235</v>
      </c>
      <c r="I2418" s="17"/>
      <c r="J2418" s="17"/>
      <c r="K2418" s="17"/>
    </row>
    <row r="2419" spans="1:11" x14ac:dyDescent="0.2">
      <c r="A2419" s="115">
        <v>46260</v>
      </c>
      <c r="B2419" s="103" t="s">
        <v>3981</v>
      </c>
      <c r="C2419" s="94" t="s">
        <v>3640</v>
      </c>
      <c r="D2419" s="95">
        <v>27.8</v>
      </c>
      <c r="E2419" s="95">
        <v>100.74</v>
      </c>
      <c r="F2419" s="96">
        <v>2800</v>
      </c>
      <c r="G2419" s="97" t="s">
        <v>1786</v>
      </c>
      <c r="H2419" s="114">
        <v>46235</v>
      </c>
      <c r="I2419" s="17"/>
      <c r="J2419" s="17"/>
      <c r="K2419" s="17"/>
    </row>
    <row r="2420" spans="1:11" x14ac:dyDescent="0.2">
      <c r="A2420" s="115">
        <v>46260</v>
      </c>
      <c r="B2420" s="103" t="s">
        <v>3982</v>
      </c>
      <c r="C2420" s="94" t="s">
        <v>3536</v>
      </c>
      <c r="D2420" s="95">
        <v>27.8</v>
      </c>
      <c r="E2420" s="95">
        <v>100.74</v>
      </c>
      <c r="F2420" s="96">
        <v>2800</v>
      </c>
      <c r="G2420" s="97" t="s">
        <v>1786</v>
      </c>
      <c r="H2420" s="114">
        <v>46235</v>
      </c>
      <c r="I2420" s="17"/>
      <c r="J2420" s="17"/>
      <c r="K2420" s="17"/>
    </row>
    <row r="2421" spans="1:11" x14ac:dyDescent="0.2">
      <c r="A2421" s="115">
        <v>46260</v>
      </c>
      <c r="B2421" s="103" t="s">
        <v>3983</v>
      </c>
      <c r="C2421" s="94" t="s">
        <v>3984</v>
      </c>
      <c r="D2421" s="95">
        <v>27.8</v>
      </c>
      <c r="E2421" s="95">
        <v>100.74</v>
      </c>
      <c r="F2421" s="96">
        <v>2800</v>
      </c>
      <c r="G2421" s="97" t="s">
        <v>1786</v>
      </c>
      <c r="H2421" s="114">
        <v>46235</v>
      </c>
      <c r="I2421" s="17"/>
      <c r="J2421" s="17"/>
      <c r="K2421" s="17"/>
    </row>
    <row r="2422" spans="1:11" x14ac:dyDescent="0.2">
      <c r="A2422" s="115">
        <v>46260</v>
      </c>
      <c r="B2422" s="103" t="s">
        <v>3985</v>
      </c>
      <c r="C2422" s="94" t="s">
        <v>3986</v>
      </c>
      <c r="D2422" s="95">
        <v>27.8</v>
      </c>
      <c r="E2422" s="95">
        <v>100.74</v>
      </c>
      <c r="F2422" s="96">
        <v>2800</v>
      </c>
      <c r="G2422" s="97" t="s">
        <v>1786</v>
      </c>
      <c r="H2422" s="114">
        <v>46235</v>
      </c>
      <c r="I2422" s="17"/>
      <c r="J2422" s="17"/>
      <c r="K2422" s="17"/>
    </row>
    <row r="2423" spans="1:11" x14ac:dyDescent="0.2">
      <c r="A2423" s="115">
        <v>46260</v>
      </c>
      <c r="B2423" s="103" t="s">
        <v>3987</v>
      </c>
      <c r="C2423" s="94" t="s">
        <v>3630</v>
      </c>
      <c r="D2423" s="95">
        <v>27.8</v>
      </c>
      <c r="E2423" s="95">
        <v>100.74</v>
      </c>
      <c r="F2423" s="96">
        <v>2800</v>
      </c>
      <c r="G2423" s="97" t="s">
        <v>1786</v>
      </c>
      <c r="H2423" s="114">
        <v>46235</v>
      </c>
      <c r="I2423" s="17"/>
      <c r="J2423" s="17"/>
      <c r="K2423" s="17"/>
    </row>
    <row r="2424" spans="1:11" x14ac:dyDescent="0.2">
      <c r="A2424" s="115">
        <v>46260</v>
      </c>
      <c r="B2424" s="103" t="s">
        <v>3988</v>
      </c>
      <c r="C2424" s="94" t="s">
        <v>3480</v>
      </c>
      <c r="D2424" s="95">
        <v>27.8</v>
      </c>
      <c r="E2424" s="95">
        <v>100.74</v>
      </c>
      <c r="F2424" s="96">
        <v>2800</v>
      </c>
      <c r="G2424" s="97" t="s">
        <v>1786</v>
      </c>
      <c r="H2424" s="114">
        <v>46235</v>
      </c>
      <c r="I2424" s="17"/>
      <c r="J2424" s="17"/>
      <c r="K2424" s="17"/>
    </row>
    <row r="2425" spans="1:11" x14ac:dyDescent="0.2">
      <c r="A2425" s="115">
        <v>46260</v>
      </c>
      <c r="B2425" s="103" t="s">
        <v>3989</v>
      </c>
      <c r="C2425" s="94" t="s">
        <v>3632</v>
      </c>
      <c r="D2425" s="95">
        <v>27.8</v>
      </c>
      <c r="E2425" s="95">
        <v>100.74</v>
      </c>
      <c r="F2425" s="96">
        <v>2800</v>
      </c>
      <c r="G2425" s="97" t="s">
        <v>1786</v>
      </c>
      <c r="H2425" s="114">
        <v>46235</v>
      </c>
      <c r="I2425" s="17"/>
      <c r="J2425" s="17"/>
      <c r="K2425" s="17"/>
    </row>
    <row r="2426" spans="1:11" x14ac:dyDescent="0.2">
      <c r="A2426" s="115">
        <v>46260</v>
      </c>
      <c r="B2426" s="103" t="s">
        <v>3997</v>
      </c>
      <c r="C2426" s="94" t="s">
        <v>50</v>
      </c>
      <c r="D2426" s="95">
        <v>198.53</v>
      </c>
      <c r="E2426" s="95">
        <v>100.74</v>
      </c>
      <c r="F2426" s="96">
        <v>20000</v>
      </c>
      <c r="G2426" s="97" t="s">
        <v>2611</v>
      </c>
      <c r="H2426" s="114">
        <f t="shared" ref="H2426" si="28">IF(A2426&lt;&gt;"", EOMONTH(A2426, -1) + 1, "")</f>
        <v>46235</v>
      </c>
      <c r="I2426" s="17"/>
      <c r="J2426" s="17"/>
      <c r="K2426" s="17"/>
    </row>
    <row r="2427" spans="1:11" x14ac:dyDescent="0.2">
      <c r="A2427" s="115">
        <v>46261</v>
      </c>
      <c r="B2427" s="103" t="s">
        <v>3998</v>
      </c>
      <c r="C2427" s="94" t="s">
        <v>672</v>
      </c>
      <c r="D2427" s="95">
        <v>1200</v>
      </c>
      <c r="E2427" s="95">
        <v>100.74</v>
      </c>
      <c r="F2427" s="96">
        <v>120888</v>
      </c>
      <c r="G2427" s="97" t="s">
        <v>501</v>
      </c>
      <c r="H2427" s="114">
        <v>46235</v>
      </c>
      <c r="I2427" s="17"/>
      <c r="J2427" s="17"/>
      <c r="K2427" s="17"/>
    </row>
    <row r="2428" spans="1:11" x14ac:dyDescent="0.2">
      <c r="A2428" s="115">
        <v>46261</v>
      </c>
      <c r="B2428" s="103" t="s">
        <v>3999</v>
      </c>
      <c r="C2428" s="94" t="s">
        <v>42</v>
      </c>
      <c r="D2428" s="95">
        <v>12000</v>
      </c>
      <c r="E2428" s="95">
        <v>99.5</v>
      </c>
      <c r="F2428" s="96">
        <v>1194000</v>
      </c>
      <c r="G2428" s="97" t="s">
        <v>52</v>
      </c>
      <c r="H2428" s="114">
        <v>46235</v>
      </c>
      <c r="I2428" s="17"/>
      <c r="J2428" s="17"/>
      <c r="K2428" s="17"/>
    </row>
    <row r="2429" spans="1:11" x14ac:dyDescent="0.2">
      <c r="A2429" s="115">
        <v>46261</v>
      </c>
      <c r="B2429" s="103" t="s">
        <v>4000</v>
      </c>
      <c r="C2429" s="94"/>
      <c r="D2429" s="95">
        <v>484.17</v>
      </c>
      <c r="E2429" s="95">
        <v>100.74</v>
      </c>
      <c r="F2429" s="96">
        <v>48775</v>
      </c>
      <c r="G2429" s="97" t="s">
        <v>2450</v>
      </c>
      <c r="H2429" s="114">
        <v>46235</v>
      </c>
      <c r="I2429" s="17"/>
      <c r="J2429" s="17"/>
      <c r="K2429" s="17"/>
    </row>
    <row r="2430" spans="1:11" x14ac:dyDescent="0.2">
      <c r="A2430" s="115">
        <v>46261</v>
      </c>
      <c r="B2430" s="103" t="s">
        <v>4001</v>
      </c>
      <c r="C2430" s="94"/>
      <c r="D2430" s="95">
        <v>238.02</v>
      </c>
      <c r="E2430" s="95">
        <v>100.74</v>
      </c>
      <c r="F2430" s="96">
        <v>23978.12</v>
      </c>
      <c r="G2430" s="97" t="s">
        <v>57</v>
      </c>
      <c r="H2430" s="114">
        <v>46235</v>
      </c>
      <c r="I2430" s="17"/>
      <c r="J2430" s="17"/>
      <c r="K2430" s="17"/>
    </row>
    <row r="2431" spans="1:11" x14ac:dyDescent="0.2">
      <c r="A2431" s="115">
        <v>46261</v>
      </c>
      <c r="B2431" s="103" t="s">
        <v>4002</v>
      </c>
      <c r="C2431" s="94"/>
      <c r="D2431" s="95">
        <v>692.03</v>
      </c>
      <c r="E2431" s="95">
        <v>100.74</v>
      </c>
      <c r="F2431" s="96">
        <v>69715.34</v>
      </c>
      <c r="G2431" s="97" t="s">
        <v>152</v>
      </c>
      <c r="H2431" s="114">
        <v>46235</v>
      </c>
      <c r="I2431" s="17"/>
      <c r="J2431" s="17"/>
      <c r="K2431" s="17"/>
    </row>
    <row r="2432" spans="1:11" x14ac:dyDescent="0.2">
      <c r="A2432" s="115">
        <v>46261</v>
      </c>
      <c r="B2432" s="103" t="s">
        <v>4003</v>
      </c>
      <c r="C2432" s="94" t="s">
        <v>526</v>
      </c>
      <c r="D2432" s="95">
        <v>2565.02</v>
      </c>
      <c r="E2432" s="95">
        <v>100.74</v>
      </c>
      <c r="F2432" s="96">
        <v>258400</v>
      </c>
      <c r="G2432" s="97" t="s">
        <v>58</v>
      </c>
      <c r="H2432" s="114">
        <v>46235</v>
      </c>
      <c r="I2432" s="17"/>
      <c r="J2432" s="17"/>
      <c r="K2432" s="17"/>
    </row>
    <row r="2433" spans="1:11" x14ac:dyDescent="0.2">
      <c r="A2433" s="115">
        <v>46261</v>
      </c>
      <c r="B2433" s="103" t="s">
        <v>4004</v>
      </c>
      <c r="C2433" s="94" t="s">
        <v>50</v>
      </c>
      <c r="D2433" s="95">
        <v>1074.81</v>
      </c>
      <c r="E2433" s="95">
        <v>100.74</v>
      </c>
      <c r="F2433" s="96">
        <v>108276.36</v>
      </c>
      <c r="G2433" s="97" t="s">
        <v>95</v>
      </c>
      <c r="H2433" s="114">
        <v>46235</v>
      </c>
      <c r="I2433" s="17"/>
      <c r="J2433" s="17"/>
      <c r="K2433" s="17"/>
    </row>
    <row r="2434" spans="1:11" x14ac:dyDescent="0.2">
      <c r="A2434" s="115">
        <v>46261</v>
      </c>
      <c r="B2434" s="103" t="s">
        <v>4005</v>
      </c>
      <c r="C2434" s="94" t="s">
        <v>180</v>
      </c>
      <c r="D2434" s="95">
        <v>306.70999999999998</v>
      </c>
      <c r="E2434" s="95">
        <v>100.74</v>
      </c>
      <c r="F2434" s="96">
        <v>30897.96</v>
      </c>
      <c r="G2434" s="97" t="s">
        <v>54</v>
      </c>
      <c r="H2434" s="114">
        <v>46235</v>
      </c>
      <c r="I2434" s="17"/>
      <c r="J2434" s="17"/>
      <c r="K2434" s="17"/>
    </row>
    <row r="2435" spans="1:11" x14ac:dyDescent="0.2">
      <c r="A2435" s="115">
        <v>46261</v>
      </c>
      <c r="B2435" s="103" t="s">
        <v>4006</v>
      </c>
      <c r="C2435" s="94" t="s">
        <v>1943</v>
      </c>
      <c r="D2435" s="95">
        <v>200</v>
      </c>
      <c r="E2435" s="95">
        <v>100.74</v>
      </c>
      <c r="F2435" s="96">
        <v>20148</v>
      </c>
      <c r="G2435" s="97" t="s">
        <v>54</v>
      </c>
      <c r="H2435" s="114">
        <v>46235</v>
      </c>
      <c r="I2435" s="17"/>
      <c r="J2435" s="17"/>
      <c r="K2435" s="17"/>
    </row>
    <row r="2436" spans="1:11" x14ac:dyDescent="0.2">
      <c r="A2436" s="115">
        <v>46261</v>
      </c>
      <c r="B2436" s="103" t="s">
        <v>4007</v>
      </c>
      <c r="C2436" s="94" t="s">
        <v>2604</v>
      </c>
      <c r="D2436" s="95">
        <v>99.27</v>
      </c>
      <c r="E2436" s="95">
        <v>100.74</v>
      </c>
      <c r="F2436" s="96">
        <v>10000</v>
      </c>
      <c r="G2436" s="97" t="s">
        <v>2611</v>
      </c>
      <c r="H2436" s="114">
        <v>46235</v>
      </c>
      <c r="I2436" s="17"/>
      <c r="J2436" s="17"/>
      <c r="K2436" s="17"/>
    </row>
    <row r="2437" spans="1:11" x14ac:dyDescent="0.2">
      <c r="A2437" s="115">
        <v>46261</v>
      </c>
      <c r="B2437" s="103" t="s">
        <v>4008</v>
      </c>
      <c r="C2437" s="94" t="s">
        <v>2948</v>
      </c>
      <c r="D2437" s="95">
        <v>200</v>
      </c>
      <c r="E2437" s="95">
        <v>100.74</v>
      </c>
      <c r="F2437" s="96">
        <v>20148</v>
      </c>
      <c r="G2437" s="97" t="s">
        <v>2570</v>
      </c>
      <c r="H2437" s="114">
        <v>46235</v>
      </c>
      <c r="I2437" s="17"/>
      <c r="J2437" s="17"/>
      <c r="K2437" s="17"/>
    </row>
    <row r="2438" spans="1:11" x14ac:dyDescent="0.2">
      <c r="A2438" s="115">
        <v>46261</v>
      </c>
      <c r="B2438" s="103" t="s">
        <v>4009</v>
      </c>
      <c r="C2438" s="94" t="s">
        <v>991</v>
      </c>
      <c r="D2438" s="95">
        <v>89.34</v>
      </c>
      <c r="E2438" s="95">
        <v>100.74</v>
      </c>
      <c r="F2438" s="96">
        <v>9000</v>
      </c>
      <c r="G2438" s="97" t="s">
        <v>257</v>
      </c>
      <c r="H2438" s="114">
        <v>46235</v>
      </c>
      <c r="I2438" s="17"/>
      <c r="J2438" s="17"/>
      <c r="K2438" s="17"/>
    </row>
    <row r="2439" spans="1:11" x14ac:dyDescent="0.2">
      <c r="A2439" s="115">
        <v>46261</v>
      </c>
      <c r="B2439" s="103" t="s">
        <v>4010</v>
      </c>
      <c r="C2439" s="94" t="s">
        <v>742</v>
      </c>
      <c r="D2439" s="95">
        <v>50</v>
      </c>
      <c r="E2439" s="95">
        <v>100.74</v>
      </c>
      <c r="F2439" s="96">
        <v>5037</v>
      </c>
      <c r="G2439" s="97" t="s">
        <v>714</v>
      </c>
      <c r="H2439" s="114">
        <v>46235</v>
      </c>
      <c r="I2439" s="17"/>
      <c r="J2439" s="17"/>
      <c r="K2439" s="17"/>
    </row>
    <row r="2440" spans="1:11" x14ac:dyDescent="0.2">
      <c r="A2440" s="115">
        <v>46261</v>
      </c>
      <c r="B2440" s="103" t="s">
        <v>4011</v>
      </c>
      <c r="C2440" s="94" t="s">
        <v>1157</v>
      </c>
      <c r="D2440" s="95">
        <v>86.4</v>
      </c>
      <c r="E2440" s="95">
        <v>100.74</v>
      </c>
      <c r="F2440" s="96">
        <v>8703.93</v>
      </c>
      <c r="G2440" s="97" t="s">
        <v>714</v>
      </c>
      <c r="H2440" s="114">
        <v>46235</v>
      </c>
      <c r="I2440" s="17"/>
      <c r="J2440" s="17"/>
      <c r="K2440" s="17"/>
    </row>
    <row r="2441" spans="1:11" x14ac:dyDescent="0.2">
      <c r="A2441" s="115">
        <v>46261</v>
      </c>
      <c r="B2441" s="103" t="s">
        <v>4012</v>
      </c>
      <c r="C2441" s="94" t="s">
        <v>3626</v>
      </c>
      <c r="D2441" s="95">
        <v>100.64</v>
      </c>
      <c r="E2441" s="95">
        <v>100.74</v>
      </c>
      <c r="F2441" s="96">
        <v>10138.469999999999</v>
      </c>
      <c r="G2441" s="97" t="s">
        <v>56</v>
      </c>
      <c r="H2441" s="114">
        <v>46235</v>
      </c>
      <c r="I2441" s="17"/>
      <c r="J2441" s="17"/>
      <c r="K2441" s="17"/>
    </row>
    <row r="2442" spans="1:11" x14ac:dyDescent="0.2">
      <c r="A2442" s="115">
        <v>46261</v>
      </c>
      <c r="B2442" s="103" t="s">
        <v>4013</v>
      </c>
      <c r="C2442" s="94" t="s">
        <v>3977</v>
      </c>
      <c r="D2442" s="95">
        <v>27.8</v>
      </c>
      <c r="E2442" s="95">
        <v>100.74</v>
      </c>
      <c r="F2442" s="96">
        <v>2800</v>
      </c>
      <c r="G2442" s="97" t="s">
        <v>1786</v>
      </c>
      <c r="H2442" s="114">
        <v>46235</v>
      </c>
      <c r="I2442" s="17"/>
      <c r="J2442" s="17"/>
      <c r="K2442" s="17"/>
    </row>
    <row r="2443" spans="1:11" x14ac:dyDescent="0.2">
      <c r="A2443" s="115">
        <v>46261</v>
      </c>
      <c r="B2443" s="103" t="s">
        <v>4014</v>
      </c>
      <c r="C2443" s="94" t="s">
        <v>3597</v>
      </c>
      <c r="D2443" s="95">
        <v>27.8</v>
      </c>
      <c r="E2443" s="95">
        <v>100.74</v>
      </c>
      <c r="F2443" s="96">
        <v>2800</v>
      </c>
      <c r="G2443" s="97" t="s">
        <v>1786</v>
      </c>
      <c r="H2443" s="114">
        <v>46235</v>
      </c>
      <c r="I2443" s="17"/>
      <c r="J2443" s="17"/>
      <c r="K2443" s="17"/>
    </row>
    <row r="2444" spans="1:11" x14ac:dyDescent="0.2">
      <c r="A2444" s="115">
        <v>46261</v>
      </c>
      <c r="B2444" s="103" t="s">
        <v>4015</v>
      </c>
      <c r="C2444" s="94" t="s">
        <v>3601</v>
      </c>
      <c r="D2444" s="95">
        <v>27.8</v>
      </c>
      <c r="E2444" s="95">
        <v>100.74</v>
      </c>
      <c r="F2444" s="96">
        <v>2800</v>
      </c>
      <c r="G2444" s="97" t="s">
        <v>1786</v>
      </c>
      <c r="H2444" s="114">
        <v>46235</v>
      </c>
      <c r="I2444" s="17"/>
      <c r="J2444" s="17"/>
      <c r="K2444" s="17"/>
    </row>
    <row r="2445" spans="1:11" x14ac:dyDescent="0.2">
      <c r="A2445" s="115">
        <v>46261</v>
      </c>
      <c r="B2445" s="103" t="s">
        <v>4016</v>
      </c>
      <c r="C2445" s="94" t="s">
        <v>4017</v>
      </c>
      <c r="D2445" s="95">
        <v>27.8</v>
      </c>
      <c r="E2445" s="95">
        <v>100.74</v>
      </c>
      <c r="F2445" s="96">
        <v>2800</v>
      </c>
      <c r="G2445" s="97" t="s">
        <v>1786</v>
      </c>
      <c r="H2445" s="114">
        <v>46235</v>
      </c>
      <c r="I2445" s="17"/>
      <c r="J2445" s="17"/>
      <c r="K2445" s="17"/>
    </row>
    <row r="2446" spans="1:11" x14ac:dyDescent="0.2">
      <c r="A2446" s="115">
        <v>46261</v>
      </c>
      <c r="B2446" s="103" t="s">
        <v>4018</v>
      </c>
      <c r="C2446" s="94" t="s">
        <v>3519</v>
      </c>
      <c r="D2446" s="95">
        <v>27.8</v>
      </c>
      <c r="E2446" s="95">
        <v>100.74</v>
      </c>
      <c r="F2446" s="96">
        <v>2800</v>
      </c>
      <c r="G2446" s="97" t="s">
        <v>1786</v>
      </c>
      <c r="H2446" s="114">
        <v>46235</v>
      </c>
      <c r="I2446" s="17"/>
      <c r="J2446" s="17"/>
      <c r="K2446" s="17"/>
    </row>
    <row r="2447" spans="1:11" x14ac:dyDescent="0.2">
      <c r="A2447" s="115">
        <v>46261</v>
      </c>
      <c r="B2447" s="103" t="s">
        <v>4019</v>
      </c>
      <c r="C2447" s="94" t="s">
        <v>4020</v>
      </c>
      <c r="D2447" s="95">
        <v>27.8</v>
      </c>
      <c r="E2447" s="95">
        <v>100.74</v>
      </c>
      <c r="F2447" s="96">
        <v>2800</v>
      </c>
      <c r="G2447" s="97" t="s">
        <v>1786</v>
      </c>
      <c r="H2447" s="114">
        <v>46235</v>
      </c>
      <c r="I2447" s="17"/>
      <c r="J2447" s="17"/>
      <c r="K2447" s="17"/>
    </row>
    <row r="2448" spans="1:11" x14ac:dyDescent="0.2">
      <c r="A2448" s="115">
        <v>46261</v>
      </c>
      <c r="B2448" s="103" t="s">
        <v>4021</v>
      </c>
      <c r="C2448" s="94" t="s">
        <v>3967</v>
      </c>
      <c r="D2448" s="95">
        <v>27.8</v>
      </c>
      <c r="E2448" s="95">
        <v>100.74</v>
      </c>
      <c r="F2448" s="96">
        <v>2800</v>
      </c>
      <c r="G2448" s="97" t="s">
        <v>1786</v>
      </c>
      <c r="H2448" s="114">
        <v>46235</v>
      </c>
      <c r="I2448" s="17"/>
      <c r="J2448" s="17"/>
      <c r="K2448" s="17"/>
    </row>
    <row r="2449" spans="1:11" x14ac:dyDescent="0.2">
      <c r="A2449" s="115">
        <v>46261</v>
      </c>
      <c r="B2449" s="103" t="s">
        <v>4022</v>
      </c>
      <c r="C2449" s="94" t="s">
        <v>3986</v>
      </c>
      <c r="D2449" s="95">
        <v>27.8</v>
      </c>
      <c r="E2449" s="95">
        <v>100.74</v>
      </c>
      <c r="F2449" s="96">
        <v>2800</v>
      </c>
      <c r="G2449" s="97" t="s">
        <v>1786</v>
      </c>
      <c r="H2449" s="114">
        <v>46235</v>
      </c>
      <c r="I2449" s="17"/>
      <c r="J2449" s="17"/>
      <c r="K2449" s="17"/>
    </row>
    <row r="2450" spans="1:11" x14ac:dyDescent="0.2">
      <c r="A2450" s="115">
        <v>46261</v>
      </c>
      <c r="B2450" s="103" t="s">
        <v>4023</v>
      </c>
      <c r="C2450" s="94" t="s">
        <v>3524</v>
      </c>
      <c r="D2450" s="95">
        <v>27.8</v>
      </c>
      <c r="E2450" s="95">
        <v>100.74</v>
      </c>
      <c r="F2450" s="96">
        <v>2800</v>
      </c>
      <c r="G2450" s="97" t="s">
        <v>1786</v>
      </c>
      <c r="H2450" s="114">
        <v>46235</v>
      </c>
      <c r="I2450" s="17"/>
      <c r="J2450" s="17"/>
      <c r="K2450" s="17"/>
    </row>
    <row r="2451" spans="1:11" x14ac:dyDescent="0.2">
      <c r="A2451" s="115">
        <v>46261</v>
      </c>
      <c r="B2451" s="103" t="s">
        <v>4024</v>
      </c>
      <c r="C2451" s="94" t="s">
        <v>3638</v>
      </c>
      <c r="D2451" s="95">
        <v>27.8</v>
      </c>
      <c r="E2451" s="95">
        <v>100.74</v>
      </c>
      <c r="F2451" s="96">
        <v>2800</v>
      </c>
      <c r="G2451" s="97" t="s">
        <v>1786</v>
      </c>
      <c r="H2451" s="114">
        <v>46235</v>
      </c>
      <c r="I2451" s="17"/>
      <c r="J2451" s="17"/>
      <c r="K2451" s="17"/>
    </row>
    <row r="2452" spans="1:11" x14ac:dyDescent="0.2">
      <c r="A2452" s="115">
        <v>46261</v>
      </c>
      <c r="B2452" s="103" t="s">
        <v>4025</v>
      </c>
      <c r="C2452" s="94" t="s">
        <v>2491</v>
      </c>
      <c r="D2452" s="95">
        <v>27.8</v>
      </c>
      <c r="E2452" s="95">
        <v>100.74</v>
      </c>
      <c r="F2452" s="96">
        <v>2800</v>
      </c>
      <c r="G2452" s="97" t="s">
        <v>1786</v>
      </c>
      <c r="H2452" s="114">
        <v>46235</v>
      </c>
      <c r="I2452" s="17"/>
      <c r="J2452" s="17"/>
      <c r="K2452" s="17"/>
    </row>
    <row r="2453" spans="1:11" x14ac:dyDescent="0.2">
      <c r="A2453" s="115">
        <v>46261</v>
      </c>
      <c r="B2453" s="103" t="s">
        <v>4026</v>
      </c>
      <c r="C2453" s="94" t="s">
        <v>3589</v>
      </c>
      <c r="D2453" s="95">
        <v>27.8</v>
      </c>
      <c r="E2453" s="95">
        <v>100.74</v>
      </c>
      <c r="F2453" s="96">
        <v>2800</v>
      </c>
      <c r="G2453" s="97" t="s">
        <v>1786</v>
      </c>
      <c r="H2453" s="114">
        <v>46235</v>
      </c>
      <c r="I2453" s="17"/>
      <c r="J2453" s="17"/>
      <c r="K2453" s="17"/>
    </row>
    <row r="2454" spans="1:11" x14ac:dyDescent="0.2">
      <c r="A2454" s="115">
        <v>46261</v>
      </c>
      <c r="B2454" s="103" t="s">
        <v>4027</v>
      </c>
      <c r="C2454" s="94" t="s">
        <v>3500</v>
      </c>
      <c r="D2454" s="95">
        <v>27.8</v>
      </c>
      <c r="E2454" s="95">
        <v>100.74</v>
      </c>
      <c r="F2454" s="96">
        <v>2800</v>
      </c>
      <c r="G2454" s="97" t="s">
        <v>1786</v>
      </c>
      <c r="H2454" s="114">
        <v>46235</v>
      </c>
      <c r="I2454" s="17"/>
      <c r="J2454" s="17"/>
      <c r="K2454" s="17"/>
    </row>
    <row r="2455" spans="1:11" x14ac:dyDescent="0.2">
      <c r="A2455" s="115">
        <v>46261</v>
      </c>
      <c r="B2455" s="103" t="s">
        <v>4028</v>
      </c>
      <c r="C2455" s="94" t="s">
        <v>3480</v>
      </c>
      <c r="D2455" s="95">
        <v>27.8</v>
      </c>
      <c r="E2455" s="95">
        <v>100.74</v>
      </c>
      <c r="F2455" s="96">
        <v>2800</v>
      </c>
      <c r="G2455" s="97" t="s">
        <v>1786</v>
      </c>
      <c r="H2455" s="114">
        <v>46235</v>
      </c>
      <c r="I2455" s="17"/>
      <c r="J2455" s="17"/>
      <c r="K2455" s="17"/>
    </row>
    <row r="2456" spans="1:11" x14ac:dyDescent="0.2">
      <c r="A2456" s="115">
        <v>46261</v>
      </c>
      <c r="B2456" s="103" t="s">
        <v>4029</v>
      </c>
      <c r="C2456" s="94" t="s">
        <v>3640</v>
      </c>
      <c r="D2456" s="95">
        <v>27.8</v>
      </c>
      <c r="E2456" s="95">
        <v>100.74</v>
      </c>
      <c r="F2456" s="96">
        <v>2800</v>
      </c>
      <c r="G2456" s="97" t="s">
        <v>1786</v>
      </c>
      <c r="H2456" s="114">
        <v>46235</v>
      </c>
      <c r="I2456" s="17"/>
      <c r="J2456" s="17"/>
      <c r="K2456" s="17"/>
    </row>
    <row r="2457" spans="1:11" x14ac:dyDescent="0.2">
      <c r="A2457" s="115">
        <v>46261</v>
      </c>
      <c r="B2457" s="103" t="s">
        <v>4030</v>
      </c>
      <c r="C2457" s="94" t="s">
        <v>3636</v>
      </c>
      <c r="D2457" s="95">
        <v>27.8</v>
      </c>
      <c r="E2457" s="95">
        <v>100.74</v>
      </c>
      <c r="F2457" s="96">
        <v>2800</v>
      </c>
      <c r="G2457" s="97" t="s">
        <v>1786</v>
      </c>
      <c r="H2457" s="114">
        <v>46235</v>
      </c>
      <c r="I2457" s="17"/>
      <c r="J2457" s="17"/>
      <c r="K2457" s="17"/>
    </row>
    <row r="2458" spans="1:11" x14ac:dyDescent="0.2">
      <c r="A2458" s="115">
        <v>46261</v>
      </c>
      <c r="B2458" s="103" t="s">
        <v>4031</v>
      </c>
      <c r="C2458" s="94" t="s">
        <v>3519</v>
      </c>
      <c r="D2458" s="95">
        <v>27.8</v>
      </c>
      <c r="E2458" s="95">
        <v>100.74</v>
      </c>
      <c r="F2458" s="96">
        <v>2800</v>
      </c>
      <c r="G2458" s="97" t="s">
        <v>1786</v>
      </c>
      <c r="H2458" s="114">
        <v>46235</v>
      </c>
      <c r="I2458" s="17"/>
      <c r="J2458" s="17"/>
      <c r="K2458" s="17"/>
    </row>
    <row r="2459" spans="1:11" x14ac:dyDescent="0.2">
      <c r="A2459" s="115">
        <v>46261</v>
      </c>
      <c r="B2459" s="103" t="s">
        <v>4032</v>
      </c>
      <c r="C2459" s="94" t="s">
        <v>3471</v>
      </c>
      <c r="D2459" s="95">
        <v>27.8</v>
      </c>
      <c r="E2459" s="95">
        <v>100.74</v>
      </c>
      <c r="F2459" s="96">
        <v>2800</v>
      </c>
      <c r="G2459" s="97" t="s">
        <v>1786</v>
      </c>
      <c r="H2459" s="114">
        <v>46235</v>
      </c>
      <c r="I2459" s="17"/>
      <c r="J2459" s="17"/>
      <c r="K2459" s="17"/>
    </row>
    <row r="2460" spans="1:11" x14ac:dyDescent="0.2">
      <c r="A2460" s="115">
        <v>46261</v>
      </c>
      <c r="B2460" s="103" t="s">
        <v>4033</v>
      </c>
      <c r="C2460" s="94" t="s">
        <v>3924</v>
      </c>
      <c r="D2460" s="95">
        <v>27.8</v>
      </c>
      <c r="E2460" s="95">
        <v>100.74</v>
      </c>
      <c r="F2460" s="96">
        <v>2800</v>
      </c>
      <c r="G2460" s="97" t="s">
        <v>1786</v>
      </c>
      <c r="H2460" s="114">
        <v>46235</v>
      </c>
      <c r="I2460" s="17"/>
      <c r="J2460" s="17"/>
      <c r="K2460" s="17"/>
    </row>
    <row r="2461" spans="1:11" x14ac:dyDescent="0.2">
      <c r="A2461" s="115">
        <v>46261</v>
      </c>
      <c r="B2461" s="103" t="s">
        <v>4034</v>
      </c>
      <c r="C2461" s="94" t="s">
        <v>3475</v>
      </c>
      <c r="D2461" s="95">
        <v>27.8</v>
      </c>
      <c r="E2461" s="95">
        <v>100.74</v>
      </c>
      <c r="F2461" s="96">
        <v>2800</v>
      </c>
      <c r="G2461" s="97" t="s">
        <v>1786</v>
      </c>
      <c r="H2461" s="114">
        <v>46235</v>
      </c>
      <c r="I2461" s="17"/>
      <c r="J2461" s="17"/>
      <c r="K2461" s="17"/>
    </row>
    <row r="2462" spans="1:11" x14ac:dyDescent="0.2">
      <c r="A2462" s="115">
        <v>46261</v>
      </c>
      <c r="B2462" s="103" t="s">
        <v>4035</v>
      </c>
      <c r="C2462" s="94" t="s">
        <v>4017</v>
      </c>
      <c r="D2462" s="95">
        <v>27.8</v>
      </c>
      <c r="E2462" s="95">
        <v>100.74</v>
      </c>
      <c r="F2462" s="96">
        <v>2800</v>
      </c>
      <c r="G2462" s="97" t="s">
        <v>1786</v>
      </c>
      <c r="H2462" s="114">
        <v>46235</v>
      </c>
      <c r="I2462" s="17"/>
      <c r="J2462" s="17"/>
      <c r="K2462" s="17"/>
    </row>
    <row r="2463" spans="1:11" x14ac:dyDescent="0.2">
      <c r="A2463" s="115">
        <v>46261</v>
      </c>
      <c r="B2463" s="103" t="s">
        <v>4036</v>
      </c>
      <c r="C2463" s="94" t="s">
        <v>3603</v>
      </c>
      <c r="D2463" s="95">
        <v>27.8</v>
      </c>
      <c r="E2463" s="95">
        <v>100.74</v>
      </c>
      <c r="F2463" s="96">
        <v>2800</v>
      </c>
      <c r="G2463" s="97" t="s">
        <v>1786</v>
      </c>
      <c r="H2463" s="114">
        <v>46235</v>
      </c>
      <c r="I2463" s="17"/>
      <c r="J2463" s="17"/>
      <c r="K2463" s="17"/>
    </row>
    <row r="2464" spans="1:11" x14ac:dyDescent="0.2">
      <c r="A2464" s="115">
        <v>46261</v>
      </c>
      <c r="B2464" s="103" t="s">
        <v>4037</v>
      </c>
      <c r="C2464" s="94" t="s">
        <v>4038</v>
      </c>
      <c r="D2464" s="95">
        <v>27.8</v>
      </c>
      <c r="E2464" s="95">
        <v>100.74</v>
      </c>
      <c r="F2464" s="96">
        <v>2800</v>
      </c>
      <c r="G2464" s="97" t="s">
        <v>1786</v>
      </c>
      <c r="H2464" s="114">
        <v>46235</v>
      </c>
      <c r="I2464" s="17"/>
      <c r="J2464" s="17"/>
      <c r="K2464" s="17"/>
    </row>
    <row r="2465" spans="1:11" x14ac:dyDescent="0.2">
      <c r="A2465" s="115">
        <v>46261</v>
      </c>
      <c r="B2465" s="103" t="s">
        <v>4039</v>
      </c>
      <c r="C2465" s="94" t="s">
        <v>3638</v>
      </c>
      <c r="D2465" s="95">
        <v>27.8</v>
      </c>
      <c r="E2465" s="95">
        <v>100.74</v>
      </c>
      <c r="F2465" s="96">
        <v>2800</v>
      </c>
      <c r="G2465" s="97" t="s">
        <v>1786</v>
      </c>
      <c r="H2465" s="114">
        <v>46235</v>
      </c>
      <c r="I2465" s="17"/>
      <c r="J2465" s="17"/>
      <c r="K2465" s="17"/>
    </row>
    <row r="2466" spans="1:11" x14ac:dyDescent="0.2">
      <c r="A2466" s="115">
        <v>46261</v>
      </c>
      <c r="B2466" s="103" t="s">
        <v>4040</v>
      </c>
      <c r="C2466" s="94" t="s">
        <v>3524</v>
      </c>
      <c r="D2466" s="95">
        <v>27.8</v>
      </c>
      <c r="E2466" s="95">
        <v>100.74</v>
      </c>
      <c r="F2466" s="96">
        <v>2800</v>
      </c>
      <c r="G2466" s="97" t="s">
        <v>1786</v>
      </c>
      <c r="H2466" s="114">
        <v>46235</v>
      </c>
      <c r="I2466" s="17"/>
      <c r="J2466" s="17"/>
      <c r="K2466" s="17"/>
    </row>
    <row r="2467" spans="1:11" x14ac:dyDescent="0.2">
      <c r="A2467" s="115">
        <v>46261</v>
      </c>
      <c r="B2467" s="103" t="s">
        <v>4041</v>
      </c>
      <c r="C2467" s="94" t="s">
        <v>2542</v>
      </c>
      <c r="D2467" s="95">
        <v>27.8</v>
      </c>
      <c r="E2467" s="95">
        <v>100.74</v>
      </c>
      <c r="F2467" s="96">
        <v>2800</v>
      </c>
      <c r="G2467" s="97" t="s">
        <v>1786</v>
      </c>
      <c r="H2467" s="114">
        <v>46235</v>
      </c>
      <c r="I2467" s="17"/>
      <c r="J2467" s="17"/>
      <c r="K2467" s="17"/>
    </row>
    <row r="2468" spans="1:11" x14ac:dyDescent="0.2">
      <c r="A2468" s="115">
        <v>46261</v>
      </c>
      <c r="B2468" s="103" t="s">
        <v>4042</v>
      </c>
      <c r="C2468" s="94" t="s">
        <v>3536</v>
      </c>
      <c r="D2468" s="95">
        <v>27.8</v>
      </c>
      <c r="E2468" s="95">
        <v>100.74</v>
      </c>
      <c r="F2468" s="96">
        <v>2800</v>
      </c>
      <c r="G2468" s="97" t="s">
        <v>1786</v>
      </c>
      <c r="H2468" s="114">
        <v>46235</v>
      </c>
      <c r="I2468" s="17"/>
      <c r="J2468" s="17"/>
      <c r="K2468" s="17"/>
    </row>
    <row r="2469" spans="1:11" x14ac:dyDescent="0.2">
      <c r="A2469" s="115">
        <v>46261</v>
      </c>
      <c r="B2469" s="103" t="s">
        <v>4043</v>
      </c>
      <c r="C2469" s="94" t="s">
        <v>3972</v>
      </c>
      <c r="D2469" s="95">
        <v>27.8</v>
      </c>
      <c r="E2469" s="95">
        <v>100.74</v>
      </c>
      <c r="F2469" s="96">
        <v>2800</v>
      </c>
      <c r="G2469" s="97" t="s">
        <v>1786</v>
      </c>
      <c r="H2469" s="114">
        <v>46235</v>
      </c>
      <c r="I2469" s="17"/>
      <c r="J2469" s="17"/>
      <c r="K2469" s="17"/>
    </row>
    <row r="2470" spans="1:11" x14ac:dyDescent="0.2">
      <c r="A2470" s="115">
        <v>46261</v>
      </c>
      <c r="B2470" s="103" t="s">
        <v>4044</v>
      </c>
      <c r="C2470" s="94" t="s">
        <v>3632</v>
      </c>
      <c r="D2470" s="95">
        <v>27.8</v>
      </c>
      <c r="E2470" s="95">
        <v>100.74</v>
      </c>
      <c r="F2470" s="96">
        <v>2800</v>
      </c>
      <c r="G2470" s="97" t="s">
        <v>1786</v>
      </c>
      <c r="H2470" s="114">
        <v>46235</v>
      </c>
      <c r="I2470" s="17"/>
      <c r="J2470" s="17"/>
      <c r="K2470" s="17"/>
    </row>
    <row r="2471" spans="1:11" x14ac:dyDescent="0.2">
      <c r="A2471" s="115">
        <v>46261</v>
      </c>
      <c r="B2471" s="103" t="s">
        <v>4045</v>
      </c>
      <c r="C2471" s="94" t="s">
        <v>3986</v>
      </c>
      <c r="D2471" s="95">
        <v>27.8</v>
      </c>
      <c r="E2471" s="95">
        <v>100.74</v>
      </c>
      <c r="F2471" s="96">
        <v>2800</v>
      </c>
      <c r="G2471" s="97" t="s">
        <v>1786</v>
      </c>
      <c r="H2471" s="114">
        <v>46235</v>
      </c>
      <c r="I2471" s="17"/>
      <c r="J2471" s="17"/>
      <c r="K2471" s="17"/>
    </row>
    <row r="2472" spans="1:11" x14ac:dyDescent="0.2">
      <c r="A2472" s="115">
        <v>46261</v>
      </c>
      <c r="B2472" s="103" t="s">
        <v>4046</v>
      </c>
      <c r="C2472" s="94" t="s">
        <v>3967</v>
      </c>
      <c r="D2472" s="95">
        <v>27.8</v>
      </c>
      <c r="E2472" s="95">
        <v>100.74</v>
      </c>
      <c r="F2472" s="96">
        <v>2800</v>
      </c>
      <c r="G2472" s="97" t="s">
        <v>1786</v>
      </c>
      <c r="H2472" s="114">
        <v>46235</v>
      </c>
      <c r="I2472" s="17"/>
      <c r="J2472" s="17"/>
      <c r="K2472" s="17"/>
    </row>
    <row r="2473" spans="1:11" x14ac:dyDescent="0.2">
      <c r="A2473" s="115">
        <v>46261</v>
      </c>
      <c r="B2473" s="103" t="s">
        <v>4047</v>
      </c>
      <c r="C2473" s="94" t="s">
        <v>3630</v>
      </c>
      <c r="D2473" s="95">
        <v>27.8</v>
      </c>
      <c r="E2473" s="95">
        <v>100.74</v>
      </c>
      <c r="F2473" s="96">
        <v>2800</v>
      </c>
      <c r="G2473" s="97" t="s">
        <v>1786</v>
      </c>
      <c r="H2473" s="114">
        <v>46235</v>
      </c>
      <c r="I2473" s="17"/>
      <c r="J2473" s="17"/>
      <c r="K2473" s="17"/>
    </row>
    <row r="2474" spans="1:11" x14ac:dyDescent="0.2">
      <c r="A2474" s="115">
        <v>46261</v>
      </c>
      <c r="B2474" s="103" t="s">
        <v>4048</v>
      </c>
      <c r="C2474" s="94" t="s">
        <v>3473</v>
      </c>
      <c r="D2474" s="95">
        <v>27.8</v>
      </c>
      <c r="E2474" s="95">
        <v>100.74</v>
      </c>
      <c r="F2474" s="96">
        <v>2800</v>
      </c>
      <c r="G2474" s="97" t="s">
        <v>1786</v>
      </c>
      <c r="H2474" s="114">
        <v>46235</v>
      </c>
      <c r="I2474" s="17"/>
      <c r="J2474" s="17"/>
      <c r="K2474" s="17"/>
    </row>
    <row r="2475" spans="1:11" x14ac:dyDescent="0.2">
      <c r="A2475" s="115">
        <v>46261</v>
      </c>
      <c r="B2475" s="103" t="s">
        <v>4049</v>
      </c>
      <c r="C2475" s="94" t="s">
        <v>39</v>
      </c>
      <c r="D2475" s="95">
        <v>18000</v>
      </c>
      <c r="E2475" s="95">
        <v>99.99</v>
      </c>
      <c r="F2475" s="96">
        <v>1799820</v>
      </c>
      <c r="G2475" s="97" t="s">
        <v>3806</v>
      </c>
      <c r="H2475" s="114">
        <v>46235</v>
      </c>
      <c r="I2475" s="17"/>
      <c r="J2475" s="17"/>
      <c r="K2475" s="17"/>
    </row>
    <row r="2476" spans="1:11" x14ac:dyDescent="0.2">
      <c r="A2476" s="115">
        <v>46262</v>
      </c>
      <c r="B2476" s="103" t="s">
        <v>4055</v>
      </c>
      <c r="C2476" s="94" t="s">
        <v>40</v>
      </c>
      <c r="D2476" s="95">
        <v>12000</v>
      </c>
      <c r="E2476" s="95">
        <v>99.99</v>
      </c>
      <c r="F2476" s="96">
        <v>1199880</v>
      </c>
      <c r="G2476" s="97" t="s">
        <v>3806</v>
      </c>
      <c r="H2476" s="114">
        <v>46235</v>
      </c>
      <c r="I2476" s="17"/>
      <c r="J2476" s="17"/>
      <c r="K2476" s="17"/>
    </row>
    <row r="2477" spans="1:11" x14ac:dyDescent="0.2">
      <c r="A2477" s="115">
        <v>46262</v>
      </c>
      <c r="B2477" s="103" t="s">
        <v>4056</v>
      </c>
      <c r="C2477" s="94" t="s">
        <v>180</v>
      </c>
      <c r="D2477" s="95">
        <v>12000</v>
      </c>
      <c r="E2477" s="95">
        <v>99.99</v>
      </c>
      <c r="F2477" s="96">
        <v>1199880</v>
      </c>
      <c r="G2477" s="97" t="s">
        <v>3806</v>
      </c>
      <c r="H2477" s="114">
        <v>46235</v>
      </c>
      <c r="I2477" s="17"/>
      <c r="J2477" s="17"/>
      <c r="K2477" s="17"/>
    </row>
    <row r="2478" spans="1:11" x14ac:dyDescent="0.2">
      <c r="A2478" s="115">
        <v>46262</v>
      </c>
      <c r="B2478" s="103" t="s">
        <v>4057</v>
      </c>
      <c r="C2478" s="94" t="s">
        <v>39</v>
      </c>
      <c r="D2478" s="95">
        <v>18000</v>
      </c>
      <c r="E2478" s="95">
        <v>99.5</v>
      </c>
      <c r="F2478" s="96">
        <v>1791000</v>
      </c>
      <c r="G2478" s="97" t="s">
        <v>52</v>
      </c>
      <c r="H2478" s="114">
        <v>46235</v>
      </c>
      <c r="I2478" s="17"/>
      <c r="J2478" s="17"/>
      <c r="K2478" s="17"/>
    </row>
    <row r="2479" spans="1:11" x14ac:dyDescent="0.2">
      <c r="A2479" s="115">
        <v>46262</v>
      </c>
      <c r="B2479" s="103" t="s">
        <v>4058</v>
      </c>
      <c r="C2479" s="94" t="s">
        <v>3116</v>
      </c>
      <c r="D2479" s="95">
        <v>297.8</v>
      </c>
      <c r="E2479" s="95">
        <v>100.74</v>
      </c>
      <c r="F2479" s="96">
        <v>30000</v>
      </c>
      <c r="G2479" s="97" t="s">
        <v>3083</v>
      </c>
      <c r="H2479" s="114">
        <v>46235</v>
      </c>
      <c r="I2479" s="17"/>
      <c r="J2479" s="17"/>
      <c r="K2479" s="17"/>
    </row>
    <row r="2480" spans="1:11" x14ac:dyDescent="0.2">
      <c r="A2480" s="115">
        <v>46262</v>
      </c>
      <c r="B2480" s="103" t="s">
        <v>4059</v>
      </c>
      <c r="C2480" s="94" t="s">
        <v>50</v>
      </c>
      <c r="D2480" s="95">
        <v>45.5</v>
      </c>
      <c r="E2480" s="95">
        <v>100.74</v>
      </c>
      <c r="F2480" s="96">
        <v>4583.67</v>
      </c>
      <c r="G2480" s="97" t="s">
        <v>54</v>
      </c>
      <c r="H2480" s="114">
        <v>46235</v>
      </c>
      <c r="I2480" s="17"/>
      <c r="J2480" s="17"/>
      <c r="K2480" s="17"/>
    </row>
    <row r="2481" spans="1:11" x14ac:dyDescent="0.2">
      <c r="A2481" s="115">
        <v>46262</v>
      </c>
      <c r="B2481" s="103" t="s">
        <v>4060</v>
      </c>
      <c r="C2481" s="94" t="s">
        <v>4061</v>
      </c>
      <c r="D2481" s="95">
        <v>340</v>
      </c>
      <c r="E2481" s="95">
        <v>100.74</v>
      </c>
      <c r="F2481" s="96">
        <v>34251.599999999999</v>
      </c>
      <c r="G2481" s="97" t="s">
        <v>199</v>
      </c>
      <c r="H2481" s="114">
        <v>46235</v>
      </c>
      <c r="I2481" s="17"/>
      <c r="J2481" s="17"/>
      <c r="K2481" s="17"/>
    </row>
    <row r="2482" spans="1:11" x14ac:dyDescent="0.2">
      <c r="A2482" s="115">
        <v>46262</v>
      </c>
      <c r="B2482" s="103" t="s">
        <v>4062</v>
      </c>
      <c r="C2482" s="94" t="s">
        <v>45</v>
      </c>
      <c r="D2482" s="95">
        <v>20</v>
      </c>
      <c r="E2482" s="95">
        <v>100.74</v>
      </c>
      <c r="F2482" s="96">
        <v>2014.8</v>
      </c>
      <c r="G2482" s="97" t="s">
        <v>56</v>
      </c>
      <c r="H2482" s="114">
        <v>46235</v>
      </c>
      <c r="I2482" s="17"/>
      <c r="J2482" s="17"/>
      <c r="K2482" s="17"/>
    </row>
    <row r="2483" spans="1:11" x14ac:dyDescent="0.2">
      <c r="A2483" s="115">
        <v>46262</v>
      </c>
      <c r="B2483" s="103" t="s">
        <v>4063</v>
      </c>
      <c r="C2483" s="94" t="s">
        <v>760</v>
      </c>
      <c r="D2483" s="95">
        <v>10</v>
      </c>
      <c r="E2483" s="95">
        <v>100.74</v>
      </c>
      <c r="F2483" s="96">
        <v>1007.4</v>
      </c>
      <c r="G2483" s="97" t="s">
        <v>714</v>
      </c>
      <c r="H2483" s="114">
        <v>46235</v>
      </c>
      <c r="I2483" s="17"/>
      <c r="J2483" s="17"/>
      <c r="K2483" s="17"/>
    </row>
    <row r="2484" spans="1:11" x14ac:dyDescent="0.2">
      <c r="A2484" s="115">
        <v>46262</v>
      </c>
      <c r="B2484" s="103" t="s">
        <v>4064</v>
      </c>
      <c r="C2484" s="94" t="s">
        <v>760</v>
      </c>
      <c r="D2484" s="95">
        <v>10</v>
      </c>
      <c r="E2484" s="95">
        <v>100.74</v>
      </c>
      <c r="F2484" s="96">
        <v>1007.4</v>
      </c>
      <c r="G2484" s="97" t="s">
        <v>714</v>
      </c>
      <c r="H2484" s="114">
        <v>46235</v>
      </c>
      <c r="I2484" s="17"/>
      <c r="J2484" s="17"/>
      <c r="K2484" s="17"/>
    </row>
    <row r="2485" spans="1:11" x14ac:dyDescent="0.2">
      <c r="A2485" s="115">
        <v>46262</v>
      </c>
      <c r="B2485" s="103" t="s">
        <v>4065</v>
      </c>
      <c r="C2485" s="94" t="s">
        <v>3924</v>
      </c>
      <c r="D2485" s="95">
        <v>27.8</v>
      </c>
      <c r="E2485" s="95">
        <v>100.74</v>
      </c>
      <c r="F2485" s="96">
        <v>2800</v>
      </c>
      <c r="G2485" s="97" t="s">
        <v>1786</v>
      </c>
      <c r="H2485" s="114">
        <v>46235</v>
      </c>
      <c r="I2485" s="17"/>
      <c r="J2485" s="17"/>
      <c r="K2485" s="17"/>
    </row>
    <row r="2486" spans="1:11" x14ac:dyDescent="0.2">
      <c r="A2486" s="115">
        <v>46262</v>
      </c>
      <c r="B2486" s="103" t="s">
        <v>4066</v>
      </c>
      <c r="C2486" s="94" t="s">
        <v>2491</v>
      </c>
      <c r="D2486" s="95">
        <v>27.8</v>
      </c>
      <c r="E2486" s="95">
        <v>100.74</v>
      </c>
      <c r="F2486" s="96">
        <v>2800</v>
      </c>
      <c r="G2486" s="97" t="s">
        <v>1786</v>
      </c>
      <c r="H2486" s="114">
        <v>46235</v>
      </c>
      <c r="I2486" s="17"/>
      <c r="J2486" s="17"/>
      <c r="K2486" s="17"/>
    </row>
    <row r="2487" spans="1:11" x14ac:dyDescent="0.2">
      <c r="A2487" s="115">
        <v>46262</v>
      </c>
      <c r="B2487" s="103" t="s">
        <v>4067</v>
      </c>
      <c r="C2487" s="94" t="s">
        <v>2493</v>
      </c>
      <c r="D2487" s="95">
        <v>27.8</v>
      </c>
      <c r="E2487" s="95">
        <v>100.74</v>
      </c>
      <c r="F2487" s="96">
        <v>2800</v>
      </c>
      <c r="G2487" s="97" t="s">
        <v>1786</v>
      </c>
      <c r="H2487" s="114">
        <v>46235</v>
      </c>
      <c r="I2487" s="17"/>
      <c r="J2487" s="17"/>
      <c r="K2487" s="17"/>
    </row>
    <row r="2488" spans="1:11" x14ac:dyDescent="0.2">
      <c r="A2488" s="115">
        <v>46262</v>
      </c>
      <c r="B2488" s="103" t="s">
        <v>4068</v>
      </c>
      <c r="C2488" s="94" t="s">
        <v>3634</v>
      </c>
      <c r="D2488" s="95">
        <v>27.8</v>
      </c>
      <c r="E2488" s="95">
        <v>100.74</v>
      </c>
      <c r="F2488" s="96">
        <v>2800</v>
      </c>
      <c r="G2488" s="97" t="s">
        <v>1786</v>
      </c>
      <c r="H2488" s="114">
        <v>46235</v>
      </c>
      <c r="I2488" s="17"/>
      <c r="J2488" s="17"/>
      <c r="K2488" s="17"/>
    </row>
    <row r="2489" spans="1:11" x14ac:dyDescent="0.2">
      <c r="A2489" s="115">
        <v>46262</v>
      </c>
      <c r="B2489" s="103" t="s">
        <v>4069</v>
      </c>
      <c r="C2489" s="94" t="s">
        <v>3519</v>
      </c>
      <c r="D2489" s="95">
        <v>27.8</v>
      </c>
      <c r="E2489" s="95">
        <v>100.74</v>
      </c>
      <c r="F2489" s="96">
        <v>2800</v>
      </c>
      <c r="G2489" s="97" t="s">
        <v>1786</v>
      </c>
      <c r="H2489" s="114">
        <v>46235</v>
      </c>
      <c r="I2489" s="17"/>
      <c r="J2489" s="17"/>
      <c r="K2489" s="17"/>
    </row>
    <row r="2490" spans="1:11" x14ac:dyDescent="0.2">
      <c r="A2490" s="115">
        <v>46262</v>
      </c>
      <c r="B2490" s="103" t="s">
        <v>4070</v>
      </c>
      <c r="C2490" s="94" t="s">
        <v>3473</v>
      </c>
      <c r="D2490" s="95">
        <v>27.8</v>
      </c>
      <c r="E2490" s="95">
        <v>100.74</v>
      </c>
      <c r="F2490" s="96">
        <v>2800</v>
      </c>
      <c r="G2490" s="97" t="s">
        <v>1786</v>
      </c>
      <c r="H2490" s="114">
        <v>46235</v>
      </c>
      <c r="I2490" s="17"/>
      <c r="J2490" s="17"/>
      <c r="K2490" s="17"/>
    </row>
    <row r="2491" spans="1:11" x14ac:dyDescent="0.2">
      <c r="A2491" s="115">
        <v>46262</v>
      </c>
      <c r="B2491" s="103" t="s">
        <v>4071</v>
      </c>
      <c r="C2491" s="94" t="s">
        <v>3589</v>
      </c>
      <c r="D2491" s="95">
        <v>27.8</v>
      </c>
      <c r="E2491" s="95">
        <v>100.74</v>
      </c>
      <c r="F2491" s="96">
        <v>2800</v>
      </c>
      <c r="G2491" s="97" t="s">
        <v>1786</v>
      </c>
      <c r="H2491" s="114">
        <v>46235</v>
      </c>
      <c r="I2491" s="17"/>
      <c r="J2491" s="17"/>
      <c r="K2491" s="17"/>
    </row>
    <row r="2492" spans="1:11" x14ac:dyDescent="0.2">
      <c r="A2492" s="115">
        <v>46262</v>
      </c>
      <c r="B2492" s="103" t="s">
        <v>4072</v>
      </c>
      <c r="C2492" s="94" t="s">
        <v>3984</v>
      </c>
      <c r="D2492" s="95">
        <v>27.8</v>
      </c>
      <c r="E2492" s="95">
        <v>100.74</v>
      </c>
      <c r="F2492" s="96">
        <v>2800</v>
      </c>
      <c r="G2492" s="97" t="s">
        <v>1786</v>
      </c>
      <c r="H2492" s="114">
        <v>46235</v>
      </c>
      <c r="I2492" s="17"/>
      <c r="J2492" s="17"/>
      <c r="K2492" s="17"/>
    </row>
    <row r="2493" spans="1:11" x14ac:dyDescent="0.2">
      <c r="A2493" s="115">
        <v>46262</v>
      </c>
      <c r="B2493" s="103" t="s">
        <v>4073</v>
      </c>
      <c r="C2493" s="94" t="s">
        <v>3500</v>
      </c>
      <c r="D2493" s="95">
        <v>27.8</v>
      </c>
      <c r="E2493" s="95">
        <v>100.74</v>
      </c>
      <c r="F2493" s="96">
        <v>2800</v>
      </c>
      <c r="G2493" s="97" t="s">
        <v>1786</v>
      </c>
      <c r="H2493" s="114">
        <v>46235</v>
      </c>
      <c r="I2493" s="17"/>
      <c r="J2493" s="17"/>
      <c r="K2493" s="17"/>
    </row>
    <row r="2494" spans="1:11" x14ac:dyDescent="0.2">
      <c r="A2494" s="115">
        <v>46262</v>
      </c>
      <c r="B2494" s="103" t="s">
        <v>4074</v>
      </c>
      <c r="C2494" s="94" t="s">
        <v>3630</v>
      </c>
      <c r="D2494" s="95">
        <v>27.8</v>
      </c>
      <c r="E2494" s="95">
        <v>100.74</v>
      </c>
      <c r="F2494" s="96">
        <v>2800</v>
      </c>
      <c r="G2494" s="97" t="s">
        <v>1786</v>
      </c>
      <c r="H2494" s="114">
        <v>46235</v>
      </c>
      <c r="I2494" s="17"/>
      <c r="J2494" s="17"/>
      <c r="K2494" s="17"/>
    </row>
    <row r="2495" spans="1:11" x14ac:dyDescent="0.2">
      <c r="A2495" s="115">
        <v>46262</v>
      </c>
      <c r="B2495" s="103" t="s">
        <v>4075</v>
      </c>
      <c r="C2495" s="94" t="s">
        <v>3967</v>
      </c>
      <c r="D2495" s="95">
        <v>27.8</v>
      </c>
      <c r="E2495" s="95">
        <v>100.74</v>
      </c>
      <c r="F2495" s="96">
        <v>2800</v>
      </c>
      <c r="G2495" s="97" t="s">
        <v>1786</v>
      </c>
      <c r="H2495" s="114">
        <v>46235</v>
      </c>
      <c r="I2495" s="17"/>
      <c r="J2495" s="17"/>
      <c r="K2495" s="17"/>
    </row>
    <row r="2496" spans="1:11" x14ac:dyDescent="0.2">
      <c r="A2496" s="115">
        <v>46262</v>
      </c>
      <c r="B2496" s="103" t="s">
        <v>4076</v>
      </c>
      <c r="C2496" s="94" t="s">
        <v>3632</v>
      </c>
      <c r="D2496" s="95">
        <v>27.8</v>
      </c>
      <c r="E2496" s="95">
        <v>100.74</v>
      </c>
      <c r="F2496" s="96">
        <v>2800</v>
      </c>
      <c r="G2496" s="97" t="s">
        <v>1786</v>
      </c>
      <c r="H2496" s="114">
        <v>46235</v>
      </c>
      <c r="I2496" s="17"/>
      <c r="J2496" s="17"/>
      <c r="K2496" s="17"/>
    </row>
    <row r="2497" spans="1:11" x14ac:dyDescent="0.2">
      <c r="A2497" s="115">
        <v>46262</v>
      </c>
      <c r="B2497" s="103" t="s">
        <v>4077</v>
      </c>
      <c r="C2497" s="94" t="s">
        <v>3480</v>
      </c>
      <c r="D2497" s="95">
        <v>27.8</v>
      </c>
      <c r="E2497" s="95">
        <v>100.74</v>
      </c>
      <c r="F2497" s="96">
        <v>2800</v>
      </c>
      <c r="G2497" s="97" t="s">
        <v>1786</v>
      </c>
      <c r="H2497" s="114">
        <v>46235</v>
      </c>
      <c r="I2497" s="17"/>
      <c r="J2497" s="17"/>
      <c r="K2497" s="17"/>
    </row>
    <row r="2498" spans="1:11" x14ac:dyDescent="0.2">
      <c r="A2498" s="115">
        <v>46262</v>
      </c>
      <c r="B2498" s="103" t="s">
        <v>4078</v>
      </c>
      <c r="C2498" s="94" t="s">
        <v>3524</v>
      </c>
      <c r="D2498" s="95">
        <v>27.8</v>
      </c>
      <c r="E2498" s="95">
        <v>100.74</v>
      </c>
      <c r="F2498" s="96">
        <v>2800</v>
      </c>
      <c r="G2498" s="97" t="s">
        <v>1786</v>
      </c>
      <c r="H2498" s="114">
        <v>46235</v>
      </c>
      <c r="I2498" s="17"/>
      <c r="J2498" s="17"/>
      <c r="K2498" s="17"/>
    </row>
    <row r="2499" spans="1:11" x14ac:dyDescent="0.2">
      <c r="A2499" s="115">
        <v>46262</v>
      </c>
      <c r="B2499" s="103" t="s">
        <v>4079</v>
      </c>
      <c r="C2499" s="94" t="s">
        <v>2542</v>
      </c>
      <c r="D2499" s="95">
        <v>27.8</v>
      </c>
      <c r="E2499" s="95">
        <v>100.74</v>
      </c>
      <c r="F2499" s="96">
        <v>2800</v>
      </c>
      <c r="G2499" s="97" t="s">
        <v>1786</v>
      </c>
      <c r="H2499" s="114">
        <v>46235</v>
      </c>
      <c r="I2499" s="17"/>
      <c r="J2499" s="17"/>
      <c r="K2499" s="17"/>
    </row>
    <row r="2500" spans="1:11" x14ac:dyDescent="0.2">
      <c r="A2500" s="115">
        <v>46262</v>
      </c>
      <c r="B2500" s="103" t="s">
        <v>4080</v>
      </c>
      <c r="C2500" s="94" t="s">
        <v>4038</v>
      </c>
      <c r="D2500" s="95">
        <v>27.8</v>
      </c>
      <c r="E2500" s="95">
        <v>100.74</v>
      </c>
      <c r="F2500" s="96">
        <v>2800</v>
      </c>
      <c r="G2500" s="97" t="s">
        <v>1786</v>
      </c>
      <c r="H2500" s="114">
        <v>46235</v>
      </c>
      <c r="I2500" s="17"/>
      <c r="J2500" s="17"/>
      <c r="K2500" s="17"/>
    </row>
    <row r="2501" spans="1:11" x14ac:dyDescent="0.2">
      <c r="A2501" s="115">
        <v>46262</v>
      </c>
      <c r="B2501" s="103" t="s">
        <v>4081</v>
      </c>
      <c r="C2501" s="94" t="s">
        <v>3986</v>
      </c>
      <c r="D2501" s="95">
        <v>27.8</v>
      </c>
      <c r="E2501" s="95">
        <v>100.74</v>
      </c>
      <c r="F2501" s="96">
        <v>2800</v>
      </c>
      <c r="G2501" s="97" t="s">
        <v>1786</v>
      </c>
      <c r="H2501" s="114">
        <v>46235</v>
      </c>
      <c r="I2501" s="17"/>
      <c r="J2501" s="17"/>
      <c r="K2501" s="17"/>
    </row>
    <row r="2502" spans="1:11" x14ac:dyDescent="0.2">
      <c r="A2502" s="115">
        <v>46262</v>
      </c>
      <c r="B2502" s="103" t="s">
        <v>4082</v>
      </c>
      <c r="C2502" s="94" t="s">
        <v>3603</v>
      </c>
      <c r="D2502" s="95">
        <v>27.8</v>
      </c>
      <c r="E2502" s="95">
        <v>100.74</v>
      </c>
      <c r="F2502" s="96">
        <v>2800</v>
      </c>
      <c r="G2502" s="97" t="s">
        <v>1786</v>
      </c>
      <c r="H2502" s="114">
        <v>46235</v>
      </c>
      <c r="I2502" s="17"/>
      <c r="J2502" s="17"/>
      <c r="K2502" s="17"/>
    </row>
    <row r="2503" spans="1:11" x14ac:dyDescent="0.2">
      <c r="A2503" s="115">
        <v>46262</v>
      </c>
      <c r="B2503" s="103" t="s">
        <v>4083</v>
      </c>
      <c r="C2503" s="94" t="s">
        <v>3638</v>
      </c>
      <c r="D2503" s="95">
        <v>27.8</v>
      </c>
      <c r="E2503" s="95">
        <v>100.74</v>
      </c>
      <c r="F2503" s="96">
        <v>2800</v>
      </c>
      <c r="G2503" s="97" t="s">
        <v>1786</v>
      </c>
      <c r="H2503" s="114">
        <v>46235</v>
      </c>
      <c r="I2503" s="17"/>
      <c r="J2503" s="17"/>
      <c r="K2503" s="17"/>
    </row>
    <row r="2504" spans="1:11" x14ac:dyDescent="0.2">
      <c r="A2504" s="115">
        <v>46262</v>
      </c>
      <c r="B2504" s="103" t="s">
        <v>4084</v>
      </c>
      <c r="C2504" s="94" t="s">
        <v>3972</v>
      </c>
      <c r="D2504" s="95">
        <v>27.8</v>
      </c>
      <c r="E2504" s="95">
        <v>100.74</v>
      </c>
      <c r="F2504" s="96">
        <v>2800</v>
      </c>
      <c r="G2504" s="97" t="s">
        <v>1786</v>
      </c>
      <c r="H2504" s="114">
        <v>46235</v>
      </c>
      <c r="I2504" s="17"/>
      <c r="J2504" s="17"/>
      <c r="K2504" s="17"/>
    </row>
    <row r="2505" spans="1:11" x14ac:dyDescent="0.2">
      <c r="A2505" s="115">
        <v>46262</v>
      </c>
      <c r="B2505" s="103" t="s">
        <v>4085</v>
      </c>
      <c r="C2505" s="94" t="s">
        <v>3480</v>
      </c>
      <c r="D2505" s="95">
        <v>27.8</v>
      </c>
      <c r="E2505" s="95">
        <v>100.74</v>
      </c>
      <c r="F2505" s="96">
        <v>2800</v>
      </c>
      <c r="G2505" s="97" t="s">
        <v>1786</v>
      </c>
      <c r="H2505" s="114">
        <v>46235</v>
      </c>
      <c r="I2505" s="17"/>
      <c r="J2505" s="17"/>
      <c r="K2505" s="17"/>
    </row>
    <row r="2506" spans="1:11" x14ac:dyDescent="0.2">
      <c r="A2506" s="115">
        <v>46262</v>
      </c>
      <c r="B2506" s="103" t="s">
        <v>4086</v>
      </c>
      <c r="C2506" s="94" t="s">
        <v>3536</v>
      </c>
      <c r="D2506" s="95">
        <v>27.8</v>
      </c>
      <c r="E2506" s="95">
        <v>100.74</v>
      </c>
      <c r="F2506" s="96">
        <v>2800</v>
      </c>
      <c r="G2506" s="97" t="s">
        <v>1786</v>
      </c>
      <c r="H2506" s="114">
        <v>46235</v>
      </c>
      <c r="I2506" s="17"/>
      <c r="J2506" s="17"/>
      <c r="K2506" s="17"/>
    </row>
    <row r="2507" spans="1:11" x14ac:dyDescent="0.2">
      <c r="A2507" s="115">
        <v>46262</v>
      </c>
      <c r="B2507" s="103" t="s">
        <v>4087</v>
      </c>
      <c r="C2507" s="94" t="s">
        <v>3634</v>
      </c>
      <c r="D2507" s="95">
        <v>27.8</v>
      </c>
      <c r="E2507" s="95">
        <v>100.74</v>
      </c>
      <c r="F2507" s="96">
        <v>2800</v>
      </c>
      <c r="G2507" s="97" t="s">
        <v>1786</v>
      </c>
      <c r="H2507" s="114">
        <v>46235</v>
      </c>
      <c r="I2507" s="17"/>
      <c r="J2507" s="17"/>
      <c r="K2507" s="17"/>
    </row>
    <row r="2508" spans="1:11" x14ac:dyDescent="0.2">
      <c r="A2508" s="115">
        <v>46262</v>
      </c>
      <c r="B2508" s="103" t="s">
        <v>4088</v>
      </c>
      <c r="C2508" s="94" t="s">
        <v>3638</v>
      </c>
      <c r="D2508" s="95">
        <v>27.8</v>
      </c>
      <c r="E2508" s="95">
        <v>100.74</v>
      </c>
      <c r="F2508" s="96">
        <v>2800</v>
      </c>
      <c r="G2508" s="97" t="s">
        <v>1786</v>
      </c>
      <c r="H2508" s="114">
        <v>46235</v>
      </c>
      <c r="I2508" s="17"/>
      <c r="J2508" s="17"/>
      <c r="K2508" s="17"/>
    </row>
    <row r="2509" spans="1:11" x14ac:dyDescent="0.2">
      <c r="A2509" s="115">
        <v>46262</v>
      </c>
      <c r="B2509" s="103" t="s">
        <v>4089</v>
      </c>
      <c r="C2509" s="94" t="s">
        <v>3977</v>
      </c>
      <c r="D2509" s="95">
        <v>27.8</v>
      </c>
      <c r="E2509" s="95">
        <v>100.74</v>
      </c>
      <c r="F2509" s="96">
        <v>2800</v>
      </c>
      <c r="G2509" s="97" t="s">
        <v>1786</v>
      </c>
      <c r="H2509" s="114">
        <v>46235</v>
      </c>
      <c r="I2509" s="17"/>
      <c r="J2509" s="17"/>
      <c r="K2509" s="17"/>
    </row>
    <row r="2510" spans="1:11" x14ac:dyDescent="0.2">
      <c r="A2510" s="115">
        <v>46262</v>
      </c>
      <c r="B2510" s="103" t="s">
        <v>4090</v>
      </c>
      <c r="C2510" s="94" t="s">
        <v>3603</v>
      </c>
      <c r="D2510" s="95">
        <v>27.8</v>
      </c>
      <c r="E2510" s="95">
        <v>100.74</v>
      </c>
      <c r="F2510" s="96">
        <v>2800</v>
      </c>
      <c r="G2510" s="97" t="s">
        <v>1786</v>
      </c>
      <c r="H2510" s="114">
        <v>46235</v>
      </c>
      <c r="I2510" s="17"/>
      <c r="J2510" s="17"/>
      <c r="K2510" s="17"/>
    </row>
    <row r="2511" spans="1:11" x14ac:dyDescent="0.2">
      <c r="A2511" s="115">
        <v>46262</v>
      </c>
      <c r="B2511" s="103" t="s">
        <v>4091</v>
      </c>
      <c r="C2511" s="94" t="s">
        <v>3519</v>
      </c>
      <c r="D2511" s="95">
        <v>27.8</v>
      </c>
      <c r="E2511" s="95">
        <v>100.74</v>
      </c>
      <c r="F2511" s="96">
        <v>2800</v>
      </c>
      <c r="G2511" s="97" t="s">
        <v>1786</v>
      </c>
      <c r="H2511" s="114">
        <v>46235</v>
      </c>
      <c r="I2511" s="17"/>
      <c r="J2511" s="17"/>
      <c r="K2511" s="17"/>
    </row>
    <row r="2512" spans="1:11" x14ac:dyDescent="0.2">
      <c r="A2512" s="115">
        <v>46262</v>
      </c>
      <c r="B2512" s="103" t="s">
        <v>4092</v>
      </c>
      <c r="C2512" s="94" t="s">
        <v>3986</v>
      </c>
      <c r="D2512" s="95">
        <v>27.8</v>
      </c>
      <c r="E2512" s="95">
        <v>100.74</v>
      </c>
      <c r="F2512" s="96">
        <v>2800</v>
      </c>
      <c r="G2512" s="97" t="s">
        <v>1786</v>
      </c>
      <c r="H2512" s="114">
        <v>46235</v>
      </c>
      <c r="I2512" s="17"/>
      <c r="J2512" s="17"/>
      <c r="K2512" s="17"/>
    </row>
    <row r="2513" spans="1:11" x14ac:dyDescent="0.2">
      <c r="A2513" s="115">
        <v>46262</v>
      </c>
      <c r="B2513" s="103" t="s">
        <v>4093</v>
      </c>
      <c r="C2513" s="94" t="s">
        <v>3601</v>
      </c>
      <c r="D2513" s="95">
        <v>27.8</v>
      </c>
      <c r="E2513" s="95">
        <v>100.74</v>
      </c>
      <c r="F2513" s="96">
        <v>2800</v>
      </c>
      <c r="G2513" s="97" t="s">
        <v>1786</v>
      </c>
      <c r="H2513" s="114">
        <v>46235</v>
      </c>
      <c r="I2513" s="17"/>
      <c r="J2513" s="17"/>
      <c r="K2513" s="17"/>
    </row>
    <row r="2514" spans="1:11" x14ac:dyDescent="0.2">
      <c r="A2514" s="115">
        <v>46262</v>
      </c>
      <c r="B2514" s="103" t="s">
        <v>4094</v>
      </c>
      <c r="C2514" s="94" t="s">
        <v>3597</v>
      </c>
      <c r="D2514" s="95">
        <v>27.8</v>
      </c>
      <c r="E2514" s="95">
        <v>100.74</v>
      </c>
      <c r="F2514" s="96">
        <v>2800</v>
      </c>
      <c r="G2514" s="97" t="s">
        <v>1786</v>
      </c>
      <c r="H2514" s="114">
        <v>46235</v>
      </c>
      <c r="I2514" s="17"/>
      <c r="J2514" s="17"/>
      <c r="K2514" s="17"/>
    </row>
    <row r="2515" spans="1:11" x14ac:dyDescent="0.2">
      <c r="A2515" s="115">
        <v>46262</v>
      </c>
      <c r="B2515" s="103" t="s">
        <v>4095</v>
      </c>
      <c r="C2515" s="94" t="s">
        <v>3967</v>
      </c>
      <c r="D2515" s="95">
        <v>27.8</v>
      </c>
      <c r="E2515" s="95">
        <v>100.74</v>
      </c>
      <c r="F2515" s="96">
        <v>2800</v>
      </c>
      <c r="G2515" s="97" t="s">
        <v>1786</v>
      </c>
      <c r="H2515" s="114">
        <v>46235</v>
      </c>
      <c r="I2515" s="17"/>
      <c r="J2515" s="17"/>
      <c r="K2515" s="17"/>
    </row>
    <row r="2516" spans="1:11" x14ac:dyDescent="0.2">
      <c r="A2516" s="115">
        <v>46262</v>
      </c>
      <c r="B2516" s="103" t="s">
        <v>4096</v>
      </c>
      <c r="C2516" s="94" t="s">
        <v>3475</v>
      </c>
      <c r="D2516" s="95">
        <v>27.8</v>
      </c>
      <c r="E2516" s="95">
        <v>100.74</v>
      </c>
      <c r="F2516" s="96">
        <v>2800</v>
      </c>
      <c r="G2516" s="97" t="s">
        <v>1786</v>
      </c>
      <c r="H2516" s="114">
        <v>46235</v>
      </c>
      <c r="I2516" s="17"/>
      <c r="J2516" s="17"/>
      <c r="K2516" s="17"/>
    </row>
    <row r="2517" spans="1:11" x14ac:dyDescent="0.2">
      <c r="A2517" s="115">
        <v>46262</v>
      </c>
      <c r="B2517" s="103" t="s">
        <v>4097</v>
      </c>
      <c r="C2517" s="94" t="s">
        <v>3589</v>
      </c>
      <c r="D2517" s="95">
        <v>27.8</v>
      </c>
      <c r="E2517" s="95">
        <v>100.74</v>
      </c>
      <c r="F2517" s="96">
        <v>2800</v>
      </c>
      <c r="G2517" s="97" t="s">
        <v>1786</v>
      </c>
      <c r="H2517" s="114">
        <v>46235</v>
      </c>
      <c r="I2517" s="17"/>
      <c r="J2517" s="17"/>
      <c r="K2517" s="17"/>
    </row>
    <row r="2518" spans="1:11" x14ac:dyDescent="0.2">
      <c r="A2518" s="115">
        <v>46262</v>
      </c>
      <c r="B2518" s="103" t="s">
        <v>4098</v>
      </c>
      <c r="C2518" s="94" t="s">
        <v>3473</v>
      </c>
      <c r="D2518" s="95">
        <v>27.8</v>
      </c>
      <c r="E2518" s="95">
        <v>100.74</v>
      </c>
      <c r="F2518" s="96">
        <v>2800</v>
      </c>
      <c r="G2518" s="97" t="s">
        <v>1786</v>
      </c>
      <c r="H2518" s="114">
        <v>46235</v>
      </c>
      <c r="I2518" s="17"/>
      <c r="J2518" s="17"/>
      <c r="K2518" s="17"/>
    </row>
    <row r="2519" spans="1:11" x14ac:dyDescent="0.2">
      <c r="A2519" s="115">
        <v>46262</v>
      </c>
      <c r="B2519" s="103" t="s">
        <v>4099</v>
      </c>
      <c r="C2519" s="94" t="s">
        <v>3898</v>
      </c>
      <c r="D2519" s="95">
        <v>27.8</v>
      </c>
      <c r="E2519" s="95">
        <v>100.74</v>
      </c>
      <c r="F2519" s="96">
        <v>2800</v>
      </c>
      <c r="G2519" s="97" t="s">
        <v>1786</v>
      </c>
      <c r="H2519" s="114">
        <v>46235</v>
      </c>
      <c r="I2519" s="17"/>
      <c r="J2519" s="17"/>
      <c r="K2519" s="17"/>
    </row>
    <row r="2520" spans="1:11" x14ac:dyDescent="0.2">
      <c r="A2520" s="115">
        <v>46262</v>
      </c>
      <c r="B2520" s="103" t="s">
        <v>4100</v>
      </c>
      <c r="C2520" s="94" t="s">
        <v>3984</v>
      </c>
      <c r="D2520" s="95">
        <v>27.8</v>
      </c>
      <c r="E2520" s="95">
        <v>100.74</v>
      </c>
      <c r="F2520" s="96">
        <v>2800</v>
      </c>
      <c r="G2520" s="97" t="s">
        <v>1786</v>
      </c>
      <c r="H2520" s="114">
        <v>46235</v>
      </c>
      <c r="I2520" s="17"/>
      <c r="J2520" s="17"/>
      <c r="K2520" s="17"/>
    </row>
    <row r="2521" spans="1:11" x14ac:dyDescent="0.2">
      <c r="A2521" s="115">
        <v>46262</v>
      </c>
      <c r="B2521" s="103" t="s">
        <v>4101</v>
      </c>
      <c r="C2521" s="94" t="s">
        <v>3587</v>
      </c>
      <c r="D2521" s="95">
        <v>27.8</v>
      </c>
      <c r="E2521" s="95">
        <v>100.74</v>
      </c>
      <c r="F2521" s="96">
        <v>2800</v>
      </c>
      <c r="G2521" s="97" t="s">
        <v>1786</v>
      </c>
      <c r="H2521" s="114">
        <v>46235</v>
      </c>
      <c r="I2521" s="17"/>
      <c r="J2521" s="17"/>
      <c r="K2521" s="17"/>
    </row>
    <row r="2522" spans="1:11" x14ac:dyDescent="0.2">
      <c r="A2522" s="115">
        <v>46262</v>
      </c>
      <c r="B2522" s="103" t="s">
        <v>4102</v>
      </c>
      <c r="C2522" s="94" t="s">
        <v>3500</v>
      </c>
      <c r="D2522" s="95">
        <v>27.8</v>
      </c>
      <c r="E2522" s="95">
        <v>100.74</v>
      </c>
      <c r="F2522" s="96">
        <v>2800</v>
      </c>
      <c r="G2522" s="97" t="s">
        <v>1786</v>
      </c>
      <c r="H2522" s="114">
        <v>46235</v>
      </c>
      <c r="I2522" s="17"/>
      <c r="J2522" s="17"/>
      <c r="K2522" s="17"/>
    </row>
    <row r="2523" spans="1:11" x14ac:dyDescent="0.2">
      <c r="A2523" s="115">
        <v>46262</v>
      </c>
      <c r="B2523" s="103" t="s">
        <v>4103</v>
      </c>
      <c r="C2523" s="94" t="s">
        <v>3471</v>
      </c>
      <c r="D2523" s="95">
        <v>27.8</v>
      </c>
      <c r="E2523" s="95">
        <v>100.74</v>
      </c>
      <c r="F2523" s="96">
        <v>2800</v>
      </c>
      <c r="G2523" s="97" t="s">
        <v>1786</v>
      </c>
      <c r="H2523" s="114">
        <v>46235</v>
      </c>
      <c r="I2523" s="17"/>
      <c r="J2523" s="17"/>
      <c r="K2523" s="17"/>
    </row>
    <row r="2524" spans="1:11" x14ac:dyDescent="0.2">
      <c r="A2524" s="115">
        <v>46262</v>
      </c>
      <c r="B2524" s="103" t="s">
        <v>4104</v>
      </c>
      <c r="C2524" s="94"/>
      <c r="D2524" s="95">
        <v>272.08999999999997</v>
      </c>
      <c r="E2524" s="95">
        <v>100.74</v>
      </c>
      <c r="F2524" s="96">
        <v>27410</v>
      </c>
      <c r="G2524" s="97" t="s">
        <v>2450</v>
      </c>
      <c r="H2524" s="114">
        <v>46235</v>
      </c>
      <c r="I2524" s="17"/>
      <c r="J2524" s="17"/>
      <c r="K2524" s="17"/>
    </row>
    <row r="2525" spans="1:11" x14ac:dyDescent="0.2">
      <c r="A2525" s="115">
        <v>46262</v>
      </c>
      <c r="B2525" s="103" t="s">
        <v>4105</v>
      </c>
      <c r="C2525" s="94"/>
      <c r="D2525" s="95">
        <v>5.18</v>
      </c>
      <c r="E2525" s="95">
        <v>100.74</v>
      </c>
      <c r="F2525" s="96">
        <v>522</v>
      </c>
      <c r="G2525" s="97" t="s">
        <v>2364</v>
      </c>
      <c r="H2525" s="114">
        <v>46235</v>
      </c>
      <c r="I2525" s="17"/>
      <c r="J2525" s="17"/>
      <c r="K2525" s="17"/>
    </row>
    <row r="2526" spans="1:11" x14ac:dyDescent="0.2">
      <c r="A2526" s="115">
        <v>46262</v>
      </c>
      <c r="B2526" s="103" t="s">
        <v>4106</v>
      </c>
      <c r="C2526" s="94"/>
      <c r="D2526" s="95">
        <v>41.89</v>
      </c>
      <c r="E2526" s="95">
        <v>100.74</v>
      </c>
      <c r="F2526" s="96">
        <v>4220</v>
      </c>
      <c r="G2526" s="97" t="s">
        <v>57</v>
      </c>
      <c r="H2526" s="114">
        <v>46235</v>
      </c>
      <c r="I2526" s="17"/>
      <c r="J2526" s="17"/>
      <c r="K2526" s="17"/>
    </row>
    <row r="2527" spans="1:11" x14ac:dyDescent="0.2">
      <c r="A2527" s="115">
        <v>46262</v>
      </c>
      <c r="B2527" s="103" t="s">
        <v>4107</v>
      </c>
      <c r="C2527" s="94"/>
      <c r="D2527" s="95">
        <v>1504.86</v>
      </c>
      <c r="E2527" s="95">
        <v>100.74</v>
      </c>
      <c r="F2527" s="96">
        <v>151599.9</v>
      </c>
      <c r="G2527" s="97" t="s">
        <v>152</v>
      </c>
      <c r="H2527" s="114">
        <v>46235</v>
      </c>
      <c r="I2527" s="17"/>
      <c r="J2527" s="17"/>
      <c r="K2527" s="17"/>
    </row>
    <row r="2528" spans="1:11" x14ac:dyDescent="0.2">
      <c r="A2528" s="115">
        <v>46262</v>
      </c>
      <c r="B2528" s="103" t="s">
        <v>4108</v>
      </c>
      <c r="C2528" s="94" t="s">
        <v>526</v>
      </c>
      <c r="D2528" s="95">
        <v>2034.94</v>
      </c>
      <c r="E2528" s="95">
        <v>100.74</v>
      </c>
      <c r="F2528" s="96">
        <v>205000</v>
      </c>
      <c r="G2528" s="97" t="s">
        <v>58</v>
      </c>
      <c r="H2528" s="114">
        <v>46235</v>
      </c>
      <c r="I2528" s="17"/>
      <c r="J2528" s="17"/>
      <c r="K2528" s="17"/>
    </row>
    <row r="2529" spans="1:11" x14ac:dyDescent="0.2">
      <c r="A2529" s="115">
        <v>46262</v>
      </c>
      <c r="B2529" s="103" t="s">
        <v>4109</v>
      </c>
      <c r="C2529" s="94" t="s">
        <v>50</v>
      </c>
      <c r="D2529" s="95">
        <v>198.53</v>
      </c>
      <c r="E2529" s="95">
        <v>100.74</v>
      </c>
      <c r="F2529" s="96">
        <v>20000</v>
      </c>
      <c r="G2529" s="97" t="s">
        <v>2611</v>
      </c>
      <c r="H2529" s="114">
        <v>46235</v>
      </c>
      <c r="I2529" s="17"/>
      <c r="J2529" s="17"/>
      <c r="K2529" s="17"/>
    </row>
    <row r="2530" spans="1:11" x14ac:dyDescent="0.2">
      <c r="A2530" s="115">
        <v>46262</v>
      </c>
      <c r="B2530" s="103" t="s">
        <v>4110</v>
      </c>
      <c r="C2530" s="94" t="s">
        <v>50</v>
      </c>
      <c r="D2530" s="95">
        <v>985.97</v>
      </c>
      <c r="E2530" s="95">
        <v>100.74</v>
      </c>
      <c r="F2530" s="96">
        <v>99326.62</v>
      </c>
      <c r="G2530" s="97" t="s">
        <v>95</v>
      </c>
      <c r="H2530" s="114">
        <v>46235</v>
      </c>
      <c r="I2530" s="17"/>
      <c r="J2530" s="17"/>
      <c r="K2530" s="17"/>
    </row>
    <row r="2531" spans="1:11" x14ac:dyDescent="0.2">
      <c r="A2531" s="115">
        <v>46262</v>
      </c>
      <c r="B2531" s="103" t="s">
        <v>4111</v>
      </c>
      <c r="C2531" s="94" t="s">
        <v>50</v>
      </c>
      <c r="D2531" s="95">
        <v>2027.29</v>
      </c>
      <c r="E2531" s="95">
        <v>100.24</v>
      </c>
      <c r="F2531" s="96">
        <v>203215.55</v>
      </c>
      <c r="G2531" s="97" t="s">
        <v>96</v>
      </c>
      <c r="H2531" s="114">
        <v>46235</v>
      </c>
      <c r="I2531" s="17"/>
      <c r="J2531" s="17"/>
      <c r="K2531" s="17"/>
    </row>
    <row r="2532" spans="1:11" x14ac:dyDescent="0.2">
      <c r="A2532" s="115"/>
      <c r="B2532" s="93"/>
      <c r="C2532" s="94"/>
      <c r="D2532" s="95"/>
      <c r="E2532" s="95"/>
      <c r="F2532" s="96"/>
      <c r="G2532" s="97"/>
      <c r="H2532" s="114" t="str">
        <f t="shared" ref="H2532:H2563" si="29">IF(A2532&lt;&gt;"", EOMONTH(A2532, -1) + 1, "")</f>
        <v/>
      </c>
      <c r="I2532" s="17"/>
      <c r="J2532" s="17"/>
      <c r="K2532" s="17"/>
    </row>
    <row r="2533" spans="1:11" x14ac:dyDescent="0.2">
      <c r="A2533" s="115"/>
      <c r="B2533" s="93"/>
      <c r="C2533" s="94"/>
      <c r="D2533" s="95"/>
      <c r="E2533" s="95"/>
      <c r="F2533" s="96"/>
      <c r="G2533" s="97"/>
      <c r="H2533" s="114" t="str">
        <f t="shared" si="29"/>
        <v/>
      </c>
      <c r="I2533" s="17"/>
      <c r="J2533" s="17"/>
      <c r="K2533" s="17"/>
    </row>
    <row r="2534" spans="1:11" x14ac:dyDescent="0.2">
      <c r="A2534" s="115"/>
      <c r="B2534" s="93"/>
      <c r="C2534" s="94"/>
      <c r="D2534" s="95"/>
      <c r="E2534" s="95"/>
      <c r="F2534" s="96"/>
      <c r="G2534" s="97"/>
      <c r="H2534" s="114" t="str">
        <f t="shared" si="29"/>
        <v/>
      </c>
      <c r="I2534" s="17"/>
      <c r="J2534" s="17"/>
      <c r="K2534" s="17"/>
    </row>
    <row r="2535" spans="1:11" x14ac:dyDescent="0.2">
      <c r="A2535" s="115"/>
      <c r="B2535" s="93"/>
      <c r="C2535" s="94"/>
      <c r="D2535" s="95"/>
      <c r="E2535" s="95"/>
      <c r="F2535" s="96"/>
      <c r="G2535" s="97"/>
      <c r="H2535" s="114" t="str">
        <f t="shared" si="29"/>
        <v/>
      </c>
      <c r="I2535" s="17"/>
      <c r="J2535" s="17"/>
      <c r="K2535" s="17"/>
    </row>
    <row r="2536" spans="1:11" x14ac:dyDescent="0.2">
      <c r="A2536" s="115"/>
      <c r="B2536" s="93"/>
      <c r="C2536" s="94"/>
      <c r="D2536" s="95"/>
      <c r="E2536" s="95"/>
      <c r="F2536" s="96"/>
      <c r="G2536" s="97"/>
      <c r="H2536" s="114" t="str">
        <f t="shared" si="29"/>
        <v/>
      </c>
      <c r="I2536" s="17"/>
      <c r="J2536" s="17"/>
      <c r="K2536" s="17"/>
    </row>
    <row r="2537" spans="1:11" x14ac:dyDescent="0.2">
      <c r="A2537" s="115"/>
      <c r="B2537" s="93"/>
      <c r="C2537" s="94"/>
      <c r="D2537" s="95"/>
      <c r="E2537" s="95"/>
      <c r="F2537" s="96"/>
      <c r="G2537" s="97"/>
      <c r="H2537" s="114" t="str">
        <f t="shared" si="29"/>
        <v/>
      </c>
      <c r="I2537" s="17"/>
      <c r="J2537" s="17"/>
      <c r="K2537" s="17"/>
    </row>
    <row r="2538" spans="1:11" x14ac:dyDescent="0.2">
      <c r="A2538" s="115"/>
      <c r="B2538" s="93"/>
      <c r="C2538" s="94"/>
      <c r="D2538" s="95"/>
      <c r="E2538" s="95"/>
      <c r="F2538" s="96"/>
      <c r="G2538" s="97"/>
      <c r="H2538" s="114" t="str">
        <f t="shared" si="29"/>
        <v/>
      </c>
      <c r="I2538" s="17"/>
      <c r="J2538" s="17"/>
      <c r="K2538" s="17"/>
    </row>
    <row r="2539" spans="1:11" x14ac:dyDescent="0.2">
      <c r="A2539" s="115"/>
      <c r="B2539" s="93"/>
      <c r="C2539" s="94"/>
      <c r="D2539" s="95"/>
      <c r="E2539" s="95"/>
      <c r="F2539" s="96"/>
      <c r="G2539" s="97"/>
      <c r="H2539" s="114" t="str">
        <f t="shared" si="29"/>
        <v/>
      </c>
      <c r="I2539" s="17"/>
      <c r="J2539" s="17"/>
      <c r="K2539" s="17"/>
    </row>
    <row r="2540" spans="1:11" x14ac:dyDescent="0.2">
      <c r="A2540" s="115"/>
      <c r="B2540" s="93"/>
      <c r="C2540" s="94"/>
      <c r="D2540" s="95"/>
      <c r="E2540" s="95"/>
      <c r="F2540" s="96"/>
      <c r="G2540" s="97"/>
      <c r="H2540" s="114" t="str">
        <f t="shared" si="29"/>
        <v/>
      </c>
      <c r="I2540" s="17"/>
      <c r="J2540" s="17"/>
      <c r="K2540" s="17"/>
    </row>
    <row r="2541" spans="1:11" x14ac:dyDescent="0.2">
      <c r="A2541" s="115"/>
      <c r="B2541" s="93"/>
      <c r="C2541" s="94"/>
      <c r="D2541" s="95"/>
      <c r="E2541" s="95"/>
      <c r="F2541" s="96"/>
      <c r="G2541" s="97"/>
      <c r="H2541" s="114" t="str">
        <f t="shared" si="29"/>
        <v/>
      </c>
      <c r="I2541" s="17"/>
      <c r="J2541" s="17"/>
      <c r="K2541" s="17"/>
    </row>
    <row r="2542" spans="1:11" x14ac:dyDescent="0.2">
      <c r="A2542" s="115"/>
      <c r="B2542" s="93"/>
      <c r="C2542" s="94"/>
      <c r="D2542" s="95"/>
      <c r="E2542" s="95"/>
      <c r="F2542" s="96"/>
      <c r="G2542" s="97"/>
      <c r="H2542" s="114" t="str">
        <f t="shared" si="29"/>
        <v/>
      </c>
      <c r="I2542" s="17"/>
      <c r="J2542" s="17"/>
      <c r="K2542" s="17"/>
    </row>
    <row r="2543" spans="1:11" x14ac:dyDescent="0.2">
      <c r="A2543" s="115"/>
      <c r="B2543" s="93"/>
      <c r="C2543" s="94"/>
      <c r="D2543" s="95"/>
      <c r="E2543" s="95"/>
      <c r="F2543" s="96"/>
      <c r="G2543" s="97"/>
      <c r="H2543" s="114" t="str">
        <f t="shared" si="29"/>
        <v/>
      </c>
      <c r="I2543" s="17"/>
      <c r="J2543" s="17"/>
      <c r="K2543" s="17"/>
    </row>
    <row r="2544" spans="1:11" x14ac:dyDescent="0.2">
      <c r="A2544" s="115"/>
      <c r="B2544" s="93"/>
      <c r="C2544" s="94"/>
      <c r="D2544" s="95"/>
      <c r="E2544" s="95"/>
      <c r="F2544" s="96"/>
      <c r="G2544" s="97"/>
      <c r="H2544" s="114" t="str">
        <f t="shared" si="29"/>
        <v/>
      </c>
      <c r="I2544" s="17"/>
      <c r="J2544" s="17"/>
      <c r="K2544" s="17"/>
    </row>
    <row r="2545" spans="1:11" x14ac:dyDescent="0.2">
      <c r="A2545" s="115"/>
      <c r="B2545" s="93"/>
      <c r="C2545" s="94"/>
      <c r="D2545" s="95"/>
      <c r="E2545" s="95"/>
      <c r="F2545" s="96"/>
      <c r="G2545" s="97"/>
      <c r="H2545" s="114" t="str">
        <f t="shared" si="29"/>
        <v/>
      </c>
      <c r="I2545" s="17"/>
      <c r="J2545" s="17"/>
      <c r="K2545" s="17"/>
    </row>
    <row r="2546" spans="1:11" x14ac:dyDescent="0.2">
      <c r="A2546" s="115"/>
      <c r="B2546" s="93"/>
      <c r="C2546" s="94"/>
      <c r="D2546" s="95"/>
      <c r="E2546" s="95"/>
      <c r="F2546" s="96"/>
      <c r="G2546" s="97"/>
      <c r="H2546" s="114" t="str">
        <f t="shared" si="29"/>
        <v/>
      </c>
      <c r="I2546" s="17"/>
      <c r="J2546" s="17"/>
      <c r="K2546" s="17"/>
    </row>
    <row r="2547" spans="1:11" x14ac:dyDescent="0.2">
      <c r="A2547" s="115"/>
      <c r="B2547" s="93"/>
      <c r="C2547" s="94"/>
      <c r="D2547" s="95"/>
      <c r="E2547" s="95"/>
      <c r="F2547" s="96"/>
      <c r="G2547" s="97"/>
      <c r="H2547" s="114" t="str">
        <f t="shared" si="29"/>
        <v/>
      </c>
      <c r="I2547" s="17"/>
      <c r="J2547" s="17"/>
      <c r="K2547" s="17"/>
    </row>
    <row r="2548" spans="1:11" x14ac:dyDescent="0.2">
      <c r="A2548" s="115"/>
      <c r="B2548" s="93"/>
      <c r="C2548" s="94"/>
      <c r="D2548" s="95"/>
      <c r="E2548" s="95"/>
      <c r="F2548" s="96"/>
      <c r="G2548" s="97"/>
      <c r="H2548" s="114" t="str">
        <f t="shared" si="29"/>
        <v/>
      </c>
      <c r="I2548" s="17"/>
      <c r="J2548" s="17"/>
      <c r="K2548" s="17"/>
    </row>
    <row r="2549" spans="1:11" x14ac:dyDescent="0.2">
      <c r="A2549" s="115"/>
      <c r="B2549" s="93"/>
      <c r="C2549" s="94"/>
      <c r="D2549" s="95"/>
      <c r="E2549" s="95"/>
      <c r="F2549" s="96"/>
      <c r="G2549" s="97"/>
      <c r="H2549" s="114" t="str">
        <f t="shared" si="29"/>
        <v/>
      </c>
      <c r="I2549" s="17"/>
      <c r="J2549" s="17"/>
      <c r="K2549" s="17"/>
    </row>
    <row r="2550" spans="1:11" x14ac:dyDescent="0.2">
      <c r="A2550" s="115"/>
      <c r="B2550" s="93"/>
      <c r="C2550" s="94"/>
      <c r="D2550" s="95"/>
      <c r="E2550" s="95"/>
      <c r="F2550" s="96"/>
      <c r="G2550" s="97"/>
      <c r="H2550" s="114" t="str">
        <f t="shared" si="29"/>
        <v/>
      </c>
      <c r="I2550" s="17"/>
      <c r="J2550" s="17"/>
      <c r="K2550" s="17"/>
    </row>
    <row r="2551" spans="1:11" x14ac:dyDescent="0.2">
      <c r="A2551" s="115"/>
      <c r="B2551" s="93"/>
      <c r="C2551" s="94"/>
      <c r="D2551" s="95"/>
      <c r="E2551" s="95"/>
      <c r="F2551" s="96"/>
      <c r="G2551" s="97"/>
      <c r="H2551" s="114" t="str">
        <f t="shared" si="29"/>
        <v/>
      </c>
      <c r="I2551" s="17"/>
      <c r="J2551" s="17"/>
      <c r="K2551" s="17"/>
    </row>
    <row r="2552" spans="1:11" x14ac:dyDescent="0.2">
      <c r="A2552" s="115"/>
      <c r="B2552" s="93"/>
      <c r="C2552" s="94"/>
      <c r="D2552" s="95"/>
      <c r="E2552" s="95"/>
      <c r="F2552" s="96"/>
      <c r="G2552" s="97"/>
      <c r="H2552" s="114" t="str">
        <f t="shared" si="29"/>
        <v/>
      </c>
      <c r="I2552" s="17"/>
      <c r="J2552" s="17"/>
      <c r="K2552" s="17"/>
    </row>
    <row r="2553" spans="1:11" x14ac:dyDescent="0.2">
      <c r="A2553" s="115"/>
      <c r="B2553" s="93"/>
      <c r="C2553" s="94"/>
      <c r="D2553" s="95"/>
      <c r="E2553" s="95"/>
      <c r="F2553" s="96"/>
      <c r="G2553" s="97"/>
      <c r="H2553" s="114" t="str">
        <f t="shared" si="29"/>
        <v/>
      </c>
      <c r="I2553" s="17"/>
      <c r="J2553" s="17"/>
      <c r="K2553" s="17"/>
    </row>
    <row r="2554" spans="1:11" x14ac:dyDescent="0.2">
      <c r="A2554" s="115"/>
      <c r="B2554" s="93"/>
      <c r="C2554" s="94"/>
      <c r="D2554" s="95"/>
      <c r="E2554" s="95"/>
      <c r="F2554" s="96"/>
      <c r="G2554" s="97"/>
      <c r="H2554" s="114" t="str">
        <f t="shared" si="29"/>
        <v/>
      </c>
      <c r="I2554" s="17"/>
      <c r="J2554" s="17"/>
      <c r="K2554" s="17"/>
    </row>
    <row r="2555" spans="1:11" x14ac:dyDescent="0.2">
      <c r="A2555" s="115"/>
      <c r="B2555" s="93"/>
      <c r="C2555" s="94"/>
      <c r="D2555" s="95"/>
      <c r="E2555" s="95"/>
      <c r="F2555" s="96"/>
      <c r="G2555" s="97"/>
      <c r="H2555" s="114" t="str">
        <f t="shared" si="29"/>
        <v/>
      </c>
      <c r="I2555" s="17"/>
      <c r="J2555" s="17"/>
      <c r="K2555" s="17"/>
    </row>
    <row r="2556" spans="1:11" x14ac:dyDescent="0.2">
      <c r="A2556" s="115"/>
      <c r="B2556" s="93"/>
      <c r="C2556" s="94"/>
      <c r="D2556" s="95"/>
      <c r="E2556" s="95"/>
      <c r="F2556" s="96"/>
      <c r="G2556" s="97"/>
      <c r="H2556" s="114" t="str">
        <f t="shared" si="29"/>
        <v/>
      </c>
      <c r="I2556" s="17"/>
      <c r="J2556" s="17"/>
      <c r="K2556" s="17"/>
    </row>
    <row r="2557" spans="1:11" x14ac:dyDescent="0.2">
      <c r="A2557" s="115"/>
      <c r="B2557" s="93"/>
      <c r="C2557" s="94"/>
      <c r="D2557" s="95"/>
      <c r="E2557" s="95"/>
      <c r="F2557" s="96"/>
      <c r="G2557" s="97"/>
      <c r="H2557" s="114" t="str">
        <f t="shared" si="29"/>
        <v/>
      </c>
      <c r="I2557" s="17"/>
      <c r="J2557" s="17"/>
      <c r="K2557" s="17"/>
    </row>
    <row r="2558" spans="1:11" x14ac:dyDescent="0.2">
      <c r="A2558" s="115"/>
      <c r="B2558" s="93"/>
      <c r="C2558" s="94"/>
      <c r="D2558" s="95"/>
      <c r="E2558" s="95"/>
      <c r="F2558" s="96"/>
      <c r="G2558" s="97"/>
      <c r="H2558" s="114" t="str">
        <f t="shared" si="29"/>
        <v/>
      </c>
      <c r="I2558" s="17"/>
      <c r="J2558" s="17"/>
      <c r="K2558" s="17"/>
    </row>
    <row r="2559" spans="1:11" x14ac:dyDescent="0.2">
      <c r="A2559" s="115"/>
      <c r="B2559" s="93"/>
      <c r="C2559" s="94"/>
      <c r="D2559" s="95"/>
      <c r="E2559" s="95"/>
      <c r="F2559" s="96"/>
      <c r="G2559" s="97"/>
      <c r="H2559" s="114" t="str">
        <f t="shared" si="29"/>
        <v/>
      </c>
      <c r="I2559" s="17"/>
      <c r="J2559" s="17"/>
      <c r="K2559" s="17"/>
    </row>
    <row r="2560" spans="1:11" x14ac:dyDescent="0.2">
      <c r="A2560" s="115"/>
      <c r="B2560" s="93"/>
      <c r="C2560" s="94"/>
      <c r="D2560" s="95"/>
      <c r="E2560" s="95"/>
      <c r="F2560" s="96"/>
      <c r="G2560" s="97"/>
      <c r="H2560" s="114" t="str">
        <f t="shared" si="29"/>
        <v/>
      </c>
      <c r="I2560" s="17"/>
      <c r="J2560" s="17"/>
      <c r="K2560" s="17"/>
    </row>
    <row r="2561" spans="1:11" x14ac:dyDescent="0.2">
      <c r="A2561" s="115"/>
      <c r="B2561" s="93"/>
      <c r="C2561" s="94"/>
      <c r="D2561" s="95"/>
      <c r="E2561" s="95"/>
      <c r="F2561" s="96"/>
      <c r="G2561" s="97"/>
      <c r="H2561" s="114" t="str">
        <f t="shared" si="29"/>
        <v/>
      </c>
      <c r="I2561" s="17"/>
      <c r="J2561" s="17"/>
      <c r="K2561" s="17"/>
    </row>
    <row r="2562" spans="1:11" x14ac:dyDescent="0.2">
      <c r="A2562" s="115"/>
      <c r="B2562" s="93"/>
      <c r="C2562" s="94"/>
      <c r="D2562" s="95"/>
      <c r="E2562" s="95"/>
      <c r="F2562" s="96"/>
      <c r="G2562" s="97"/>
      <c r="H2562" s="114" t="str">
        <f t="shared" si="29"/>
        <v/>
      </c>
      <c r="I2562" s="17"/>
      <c r="J2562" s="17"/>
      <c r="K2562" s="17"/>
    </row>
    <row r="2563" spans="1:11" x14ac:dyDescent="0.2">
      <c r="A2563" s="115"/>
      <c r="B2563" s="93"/>
      <c r="C2563" s="94"/>
      <c r="D2563" s="95"/>
      <c r="E2563" s="95"/>
      <c r="F2563" s="96"/>
      <c r="G2563" s="97"/>
      <c r="H2563" s="114" t="str">
        <f t="shared" si="29"/>
        <v/>
      </c>
      <c r="I2563" s="17"/>
      <c r="J2563" s="17"/>
      <c r="K2563" s="17"/>
    </row>
    <row r="2564" spans="1:11" x14ac:dyDescent="0.2">
      <c r="A2564" s="115"/>
      <c r="B2564" s="93"/>
      <c r="C2564" s="94"/>
      <c r="D2564" s="95"/>
      <c r="E2564" s="95"/>
      <c r="F2564" s="96"/>
      <c r="G2564" s="97"/>
      <c r="H2564" s="114" t="str">
        <f t="shared" ref="H2564:H2627" si="30">IF(A2564&lt;&gt;"", EOMONTH(A2564, -1) + 1, "")</f>
        <v/>
      </c>
      <c r="I2564" s="17"/>
      <c r="J2564" s="17"/>
      <c r="K2564" s="17"/>
    </row>
    <row r="2565" spans="1:11" x14ac:dyDescent="0.2">
      <c r="A2565" s="115"/>
      <c r="B2565" s="93"/>
      <c r="C2565" s="94"/>
      <c r="D2565" s="95"/>
      <c r="E2565" s="95"/>
      <c r="F2565" s="96"/>
      <c r="G2565" s="97"/>
      <c r="H2565" s="114" t="str">
        <f t="shared" si="30"/>
        <v/>
      </c>
      <c r="I2565" s="17"/>
      <c r="J2565" s="17"/>
      <c r="K2565" s="17"/>
    </row>
    <row r="2566" spans="1:11" x14ac:dyDescent="0.2">
      <c r="A2566" s="115"/>
      <c r="B2566" s="93"/>
      <c r="C2566" s="94"/>
      <c r="D2566" s="95"/>
      <c r="E2566" s="95"/>
      <c r="F2566" s="96"/>
      <c r="G2566" s="97"/>
      <c r="H2566" s="114" t="str">
        <f t="shared" si="30"/>
        <v/>
      </c>
      <c r="I2566" s="17"/>
      <c r="J2566" s="17"/>
      <c r="K2566" s="17"/>
    </row>
    <row r="2567" spans="1:11" x14ac:dyDescent="0.2">
      <c r="A2567" s="115"/>
      <c r="B2567" s="93"/>
      <c r="C2567" s="94"/>
      <c r="D2567" s="95"/>
      <c r="E2567" s="95"/>
      <c r="F2567" s="96"/>
      <c r="G2567" s="97"/>
      <c r="H2567" s="114" t="str">
        <f t="shared" si="30"/>
        <v/>
      </c>
      <c r="I2567" s="17"/>
      <c r="J2567" s="17"/>
      <c r="K2567" s="17"/>
    </row>
    <row r="2568" spans="1:11" x14ac:dyDescent="0.2">
      <c r="A2568" s="115"/>
      <c r="B2568" s="93"/>
      <c r="C2568" s="94"/>
      <c r="D2568" s="95"/>
      <c r="E2568" s="95"/>
      <c r="F2568" s="96"/>
      <c r="G2568" s="97"/>
      <c r="H2568" s="114" t="str">
        <f t="shared" si="30"/>
        <v/>
      </c>
      <c r="I2568" s="17"/>
      <c r="J2568" s="17"/>
      <c r="K2568" s="17"/>
    </row>
    <row r="2569" spans="1:11" x14ac:dyDescent="0.2">
      <c r="A2569" s="115"/>
      <c r="B2569" s="93"/>
      <c r="C2569" s="94"/>
      <c r="D2569" s="95"/>
      <c r="E2569" s="95"/>
      <c r="F2569" s="96"/>
      <c r="G2569" s="97"/>
      <c r="H2569" s="114" t="str">
        <f t="shared" si="30"/>
        <v/>
      </c>
      <c r="I2569" s="17"/>
      <c r="J2569" s="17"/>
      <c r="K2569" s="17"/>
    </row>
    <row r="2570" spans="1:11" x14ac:dyDescent="0.2">
      <c r="A2570" s="115"/>
      <c r="B2570" s="93"/>
      <c r="C2570" s="94"/>
      <c r="D2570" s="95"/>
      <c r="E2570" s="95"/>
      <c r="F2570" s="96"/>
      <c r="G2570" s="97"/>
      <c r="H2570" s="114" t="str">
        <f t="shared" si="30"/>
        <v/>
      </c>
      <c r="I2570" s="17"/>
      <c r="J2570" s="17"/>
      <c r="K2570" s="17"/>
    </row>
    <row r="2571" spans="1:11" x14ac:dyDescent="0.2">
      <c r="A2571" s="115"/>
      <c r="B2571" s="93"/>
      <c r="C2571" s="94"/>
      <c r="D2571" s="95"/>
      <c r="E2571" s="95"/>
      <c r="F2571" s="96"/>
      <c r="G2571" s="97"/>
      <c r="H2571" s="114" t="str">
        <f t="shared" si="30"/>
        <v/>
      </c>
      <c r="I2571" s="17"/>
      <c r="J2571" s="17"/>
      <c r="K2571" s="17"/>
    </row>
    <row r="2572" spans="1:11" x14ac:dyDescent="0.2">
      <c r="A2572" s="115"/>
      <c r="B2572" s="93"/>
      <c r="C2572" s="94"/>
      <c r="D2572" s="95"/>
      <c r="E2572" s="95"/>
      <c r="F2572" s="96"/>
      <c r="G2572" s="97"/>
      <c r="H2572" s="114" t="str">
        <f t="shared" si="30"/>
        <v/>
      </c>
      <c r="I2572" s="17"/>
      <c r="J2572" s="17"/>
      <c r="K2572" s="17"/>
    </row>
    <row r="2573" spans="1:11" x14ac:dyDescent="0.2">
      <c r="A2573" s="115"/>
      <c r="B2573" s="93"/>
      <c r="C2573" s="94"/>
      <c r="D2573" s="95"/>
      <c r="E2573" s="95"/>
      <c r="F2573" s="96"/>
      <c r="G2573" s="97"/>
      <c r="H2573" s="114" t="str">
        <f t="shared" si="30"/>
        <v/>
      </c>
      <c r="I2573" s="17"/>
      <c r="J2573" s="17"/>
      <c r="K2573" s="17"/>
    </row>
    <row r="2574" spans="1:11" x14ac:dyDescent="0.2">
      <c r="A2574" s="115"/>
      <c r="B2574" s="93"/>
      <c r="C2574" s="94"/>
      <c r="D2574" s="95"/>
      <c r="E2574" s="95"/>
      <c r="F2574" s="96"/>
      <c r="G2574" s="97"/>
      <c r="H2574" s="114" t="str">
        <f t="shared" si="30"/>
        <v/>
      </c>
      <c r="I2574" s="17"/>
      <c r="J2574" s="17"/>
      <c r="K2574" s="17"/>
    </row>
    <row r="2575" spans="1:11" x14ac:dyDescent="0.2">
      <c r="A2575" s="115"/>
      <c r="B2575" s="93"/>
      <c r="C2575" s="94"/>
      <c r="D2575" s="95"/>
      <c r="E2575" s="95"/>
      <c r="F2575" s="96"/>
      <c r="G2575" s="97"/>
      <c r="H2575" s="114" t="str">
        <f t="shared" si="30"/>
        <v/>
      </c>
      <c r="I2575" s="17"/>
      <c r="J2575" s="17"/>
      <c r="K2575" s="17"/>
    </row>
    <row r="2576" spans="1:11" x14ac:dyDescent="0.2">
      <c r="A2576" s="115"/>
      <c r="B2576" s="93"/>
      <c r="C2576" s="94"/>
      <c r="D2576" s="95"/>
      <c r="E2576" s="95"/>
      <c r="F2576" s="96"/>
      <c r="G2576" s="97"/>
      <c r="H2576" s="114" t="str">
        <f t="shared" si="30"/>
        <v/>
      </c>
      <c r="I2576" s="17"/>
      <c r="J2576" s="17"/>
      <c r="K2576" s="17"/>
    </row>
    <row r="2577" spans="1:11" x14ac:dyDescent="0.2">
      <c r="A2577" s="115"/>
      <c r="B2577" s="93"/>
      <c r="C2577" s="94"/>
      <c r="D2577" s="95"/>
      <c r="E2577" s="95"/>
      <c r="F2577" s="96"/>
      <c r="G2577" s="97"/>
      <c r="H2577" s="114" t="str">
        <f t="shared" si="30"/>
        <v/>
      </c>
      <c r="I2577" s="17"/>
      <c r="J2577" s="17"/>
      <c r="K2577" s="17"/>
    </row>
    <row r="2578" spans="1:11" x14ac:dyDescent="0.2">
      <c r="A2578" s="115"/>
      <c r="B2578" s="93"/>
      <c r="C2578" s="94"/>
      <c r="D2578" s="95"/>
      <c r="E2578" s="95"/>
      <c r="F2578" s="96"/>
      <c r="G2578" s="97"/>
      <c r="H2578" s="114" t="str">
        <f t="shared" si="30"/>
        <v/>
      </c>
      <c r="I2578" s="17"/>
      <c r="J2578" s="17"/>
      <c r="K2578" s="17"/>
    </row>
    <row r="2579" spans="1:11" x14ac:dyDescent="0.2">
      <c r="A2579" s="115"/>
      <c r="B2579" s="93"/>
      <c r="C2579" s="94"/>
      <c r="D2579" s="95"/>
      <c r="E2579" s="95"/>
      <c r="F2579" s="96"/>
      <c r="G2579" s="97"/>
      <c r="H2579" s="114" t="str">
        <f t="shared" si="30"/>
        <v/>
      </c>
      <c r="I2579" s="17"/>
      <c r="J2579" s="17"/>
      <c r="K2579" s="17"/>
    </row>
    <row r="2580" spans="1:11" x14ac:dyDescent="0.2">
      <c r="A2580" s="115"/>
      <c r="B2580" s="93"/>
      <c r="C2580" s="94"/>
      <c r="D2580" s="95"/>
      <c r="E2580" s="95"/>
      <c r="F2580" s="96"/>
      <c r="G2580" s="97"/>
      <c r="H2580" s="114" t="str">
        <f t="shared" si="30"/>
        <v/>
      </c>
      <c r="I2580" s="17"/>
      <c r="J2580" s="17"/>
      <c r="K2580" s="17"/>
    </row>
    <row r="2581" spans="1:11" x14ac:dyDescent="0.2">
      <c r="A2581" s="115"/>
      <c r="B2581" s="93"/>
      <c r="C2581" s="94"/>
      <c r="D2581" s="95"/>
      <c r="E2581" s="95"/>
      <c r="F2581" s="96"/>
      <c r="G2581" s="97"/>
      <c r="H2581" s="114" t="str">
        <f t="shared" si="30"/>
        <v/>
      </c>
      <c r="I2581" s="17"/>
      <c r="J2581" s="17"/>
      <c r="K2581" s="17"/>
    </row>
    <row r="2582" spans="1:11" x14ac:dyDescent="0.2">
      <c r="A2582" s="115"/>
      <c r="B2582" s="93"/>
      <c r="C2582" s="94"/>
      <c r="D2582" s="95"/>
      <c r="E2582" s="95"/>
      <c r="F2582" s="96"/>
      <c r="G2582" s="97"/>
      <c r="H2582" s="114" t="str">
        <f t="shared" si="30"/>
        <v/>
      </c>
      <c r="I2582" s="17"/>
      <c r="J2582" s="17"/>
      <c r="K2582" s="17"/>
    </row>
    <row r="2583" spans="1:11" x14ac:dyDescent="0.2">
      <c r="A2583" s="115"/>
      <c r="B2583" s="93"/>
      <c r="C2583" s="94"/>
      <c r="D2583" s="95"/>
      <c r="E2583" s="95"/>
      <c r="F2583" s="96"/>
      <c r="G2583" s="97"/>
      <c r="H2583" s="114" t="str">
        <f t="shared" si="30"/>
        <v/>
      </c>
      <c r="I2583" s="17"/>
      <c r="J2583" s="17"/>
      <c r="K2583" s="17"/>
    </row>
    <row r="2584" spans="1:11" x14ac:dyDescent="0.2">
      <c r="A2584" s="115"/>
      <c r="B2584" s="93"/>
      <c r="C2584" s="94"/>
      <c r="D2584" s="95"/>
      <c r="E2584" s="95"/>
      <c r="F2584" s="96"/>
      <c r="G2584" s="97"/>
      <c r="H2584" s="114" t="str">
        <f t="shared" si="30"/>
        <v/>
      </c>
      <c r="I2584" s="17"/>
      <c r="J2584" s="17"/>
      <c r="K2584" s="17"/>
    </row>
    <row r="2585" spans="1:11" x14ac:dyDescent="0.2">
      <c r="A2585" s="115"/>
      <c r="B2585" s="93"/>
      <c r="C2585" s="94"/>
      <c r="D2585" s="95"/>
      <c r="E2585" s="95"/>
      <c r="F2585" s="96"/>
      <c r="G2585" s="97"/>
      <c r="H2585" s="114" t="str">
        <f t="shared" si="30"/>
        <v/>
      </c>
      <c r="I2585" s="17"/>
      <c r="J2585" s="17"/>
      <c r="K2585" s="17"/>
    </row>
    <row r="2586" spans="1:11" x14ac:dyDescent="0.2">
      <c r="A2586" s="115"/>
      <c r="B2586" s="93"/>
      <c r="C2586" s="94"/>
      <c r="D2586" s="95"/>
      <c r="E2586" s="95"/>
      <c r="F2586" s="96"/>
      <c r="G2586" s="97"/>
      <c r="H2586" s="114" t="str">
        <f t="shared" si="30"/>
        <v/>
      </c>
      <c r="I2586" s="17"/>
      <c r="J2586" s="17"/>
      <c r="K2586" s="17"/>
    </row>
    <row r="2587" spans="1:11" x14ac:dyDescent="0.2">
      <c r="A2587" s="115"/>
      <c r="B2587" s="93"/>
      <c r="C2587" s="94"/>
      <c r="D2587" s="95"/>
      <c r="E2587" s="95"/>
      <c r="F2587" s="96"/>
      <c r="G2587" s="97"/>
      <c r="H2587" s="114" t="str">
        <f t="shared" si="30"/>
        <v/>
      </c>
      <c r="I2587" s="17"/>
      <c r="J2587" s="17"/>
      <c r="K2587" s="17"/>
    </row>
    <row r="2588" spans="1:11" x14ac:dyDescent="0.2">
      <c r="A2588" s="115"/>
      <c r="B2588" s="93"/>
      <c r="C2588" s="94"/>
      <c r="D2588" s="95"/>
      <c r="E2588" s="95"/>
      <c r="F2588" s="96"/>
      <c r="G2588" s="97"/>
      <c r="H2588" s="114" t="str">
        <f t="shared" si="30"/>
        <v/>
      </c>
      <c r="I2588" s="17"/>
      <c r="J2588" s="17"/>
      <c r="K2588" s="17"/>
    </row>
    <row r="2589" spans="1:11" x14ac:dyDescent="0.2">
      <c r="A2589" s="115"/>
      <c r="B2589" s="93"/>
      <c r="C2589" s="94"/>
      <c r="D2589" s="95"/>
      <c r="E2589" s="95"/>
      <c r="F2589" s="96"/>
      <c r="G2589" s="97"/>
      <c r="H2589" s="114" t="str">
        <f t="shared" si="30"/>
        <v/>
      </c>
      <c r="I2589" s="17"/>
      <c r="J2589" s="17"/>
      <c r="K2589" s="17"/>
    </row>
    <row r="2590" spans="1:11" x14ac:dyDescent="0.2">
      <c r="A2590" s="115"/>
      <c r="B2590" s="93"/>
      <c r="C2590" s="94"/>
      <c r="D2590" s="95"/>
      <c r="E2590" s="95"/>
      <c r="F2590" s="96"/>
      <c r="G2590" s="97"/>
      <c r="H2590" s="114" t="str">
        <f t="shared" si="30"/>
        <v/>
      </c>
      <c r="I2590" s="17"/>
      <c r="J2590" s="17"/>
      <c r="K2590" s="17"/>
    </row>
    <row r="2591" spans="1:11" x14ac:dyDescent="0.2">
      <c r="A2591" s="115"/>
      <c r="B2591" s="93"/>
      <c r="C2591" s="94"/>
      <c r="D2591" s="95"/>
      <c r="E2591" s="95"/>
      <c r="F2591" s="96"/>
      <c r="G2591" s="97"/>
      <c r="H2591" s="114" t="str">
        <f t="shared" si="30"/>
        <v/>
      </c>
      <c r="I2591" s="17"/>
      <c r="J2591" s="17"/>
      <c r="K2591" s="17"/>
    </row>
    <row r="2592" spans="1:11" x14ac:dyDescent="0.2">
      <c r="A2592" s="115"/>
      <c r="B2592" s="93"/>
      <c r="C2592" s="94"/>
      <c r="D2592" s="95"/>
      <c r="E2592" s="95"/>
      <c r="F2592" s="96"/>
      <c r="G2592" s="97"/>
      <c r="H2592" s="114" t="str">
        <f t="shared" si="30"/>
        <v/>
      </c>
      <c r="I2592" s="17"/>
      <c r="J2592" s="17"/>
      <c r="K2592" s="17"/>
    </row>
    <row r="2593" spans="1:11" x14ac:dyDescent="0.2">
      <c r="A2593" s="115"/>
      <c r="B2593" s="93"/>
      <c r="C2593" s="94"/>
      <c r="D2593" s="95"/>
      <c r="E2593" s="95"/>
      <c r="F2593" s="96"/>
      <c r="G2593" s="97"/>
      <c r="H2593" s="114" t="str">
        <f t="shared" si="30"/>
        <v/>
      </c>
      <c r="I2593" s="17"/>
      <c r="J2593" s="17"/>
      <c r="K2593" s="17"/>
    </row>
    <row r="2594" spans="1:11" x14ac:dyDescent="0.2">
      <c r="A2594" s="115"/>
      <c r="B2594" s="93"/>
      <c r="C2594" s="94"/>
      <c r="D2594" s="95"/>
      <c r="E2594" s="95"/>
      <c r="F2594" s="96"/>
      <c r="G2594" s="97"/>
      <c r="H2594" s="114" t="str">
        <f t="shared" si="30"/>
        <v/>
      </c>
      <c r="I2594" s="17"/>
      <c r="J2594" s="17"/>
      <c r="K2594" s="17"/>
    </row>
    <row r="2595" spans="1:11" x14ac:dyDescent="0.2">
      <c r="A2595" s="115"/>
      <c r="B2595" s="93"/>
      <c r="C2595" s="94"/>
      <c r="D2595" s="95"/>
      <c r="E2595" s="95"/>
      <c r="F2595" s="96"/>
      <c r="G2595" s="97"/>
      <c r="H2595" s="114" t="str">
        <f t="shared" si="30"/>
        <v/>
      </c>
      <c r="I2595" s="17"/>
      <c r="J2595" s="17"/>
      <c r="K2595" s="17"/>
    </row>
    <row r="2596" spans="1:11" x14ac:dyDescent="0.2">
      <c r="A2596" s="115"/>
      <c r="B2596" s="93"/>
      <c r="C2596" s="94"/>
      <c r="D2596" s="95"/>
      <c r="E2596" s="95"/>
      <c r="F2596" s="96"/>
      <c r="G2596" s="97"/>
      <c r="H2596" s="114" t="str">
        <f t="shared" si="30"/>
        <v/>
      </c>
      <c r="I2596" s="17"/>
      <c r="J2596" s="17"/>
      <c r="K2596" s="17"/>
    </row>
    <row r="2597" spans="1:11" x14ac:dyDescent="0.2">
      <c r="A2597" s="115"/>
      <c r="B2597" s="93"/>
      <c r="C2597" s="94"/>
      <c r="D2597" s="95"/>
      <c r="E2597" s="95"/>
      <c r="F2597" s="96"/>
      <c r="G2597" s="97"/>
      <c r="H2597" s="114" t="str">
        <f t="shared" si="30"/>
        <v/>
      </c>
      <c r="I2597" s="17"/>
      <c r="J2597" s="17"/>
      <c r="K2597" s="17"/>
    </row>
    <row r="2598" spans="1:11" x14ac:dyDescent="0.2">
      <c r="A2598" s="115"/>
      <c r="B2598" s="93"/>
      <c r="C2598" s="94"/>
      <c r="D2598" s="95"/>
      <c r="E2598" s="95"/>
      <c r="F2598" s="96"/>
      <c r="G2598" s="97"/>
      <c r="H2598" s="114" t="str">
        <f t="shared" si="30"/>
        <v/>
      </c>
      <c r="I2598" s="17"/>
      <c r="J2598" s="17"/>
      <c r="K2598" s="17"/>
    </row>
    <row r="2599" spans="1:11" x14ac:dyDescent="0.2">
      <c r="A2599" s="115"/>
      <c r="B2599" s="93"/>
      <c r="C2599" s="94"/>
      <c r="D2599" s="95"/>
      <c r="E2599" s="95"/>
      <c r="F2599" s="96"/>
      <c r="G2599" s="97"/>
      <c r="H2599" s="114" t="str">
        <f t="shared" si="30"/>
        <v/>
      </c>
      <c r="I2599" s="17"/>
      <c r="J2599" s="17"/>
      <c r="K2599" s="17"/>
    </row>
    <row r="2600" spans="1:11" x14ac:dyDescent="0.2">
      <c r="A2600" s="115"/>
      <c r="B2600" s="93"/>
      <c r="C2600" s="94"/>
      <c r="D2600" s="95"/>
      <c r="E2600" s="95"/>
      <c r="F2600" s="96"/>
      <c r="G2600" s="97"/>
      <c r="H2600" s="114" t="str">
        <f t="shared" si="30"/>
        <v/>
      </c>
      <c r="I2600" s="17"/>
      <c r="J2600" s="17"/>
      <c r="K2600" s="17"/>
    </row>
    <row r="2601" spans="1:11" x14ac:dyDescent="0.2">
      <c r="A2601" s="115"/>
      <c r="B2601" s="93"/>
      <c r="C2601" s="94"/>
      <c r="D2601" s="95"/>
      <c r="E2601" s="95"/>
      <c r="F2601" s="96"/>
      <c r="G2601" s="97"/>
      <c r="H2601" s="114" t="str">
        <f t="shared" si="30"/>
        <v/>
      </c>
      <c r="I2601" s="17"/>
      <c r="J2601" s="17"/>
      <c r="K2601" s="17"/>
    </row>
    <row r="2602" spans="1:11" x14ac:dyDescent="0.2">
      <c r="A2602" s="115"/>
      <c r="B2602" s="93"/>
      <c r="C2602" s="94"/>
      <c r="D2602" s="95"/>
      <c r="E2602" s="95"/>
      <c r="F2602" s="96"/>
      <c r="G2602" s="97"/>
      <c r="H2602" s="114" t="str">
        <f t="shared" si="30"/>
        <v/>
      </c>
      <c r="I2602" s="17"/>
      <c r="J2602" s="17"/>
      <c r="K2602" s="17"/>
    </row>
    <row r="2603" spans="1:11" x14ac:dyDescent="0.2">
      <c r="A2603" s="115"/>
      <c r="B2603" s="93"/>
      <c r="C2603" s="94"/>
      <c r="D2603" s="95"/>
      <c r="E2603" s="95"/>
      <c r="F2603" s="96"/>
      <c r="G2603" s="97"/>
      <c r="H2603" s="114" t="str">
        <f t="shared" si="30"/>
        <v/>
      </c>
      <c r="I2603" s="17"/>
      <c r="J2603" s="17"/>
      <c r="K2603" s="17"/>
    </row>
    <row r="2604" spans="1:11" x14ac:dyDescent="0.2">
      <c r="A2604" s="115"/>
      <c r="B2604" s="93"/>
      <c r="C2604" s="94"/>
      <c r="D2604" s="95"/>
      <c r="E2604" s="95"/>
      <c r="F2604" s="96"/>
      <c r="G2604" s="97"/>
      <c r="H2604" s="114" t="str">
        <f t="shared" si="30"/>
        <v/>
      </c>
      <c r="I2604" s="17"/>
      <c r="J2604" s="17"/>
      <c r="K2604" s="17"/>
    </row>
    <row r="2605" spans="1:11" x14ac:dyDescent="0.2">
      <c r="A2605" s="115"/>
      <c r="B2605" s="93"/>
      <c r="C2605" s="94"/>
      <c r="D2605" s="95"/>
      <c r="E2605" s="95"/>
      <c r="F2605" s="96"/>
      <c r="G2605" s="97"/>
      <c r="H2605" s="114" t="str">
        <f t="shared" si="30"/>
        <v/>
      </c>
      <c r="I2605" s="17"/>
      <c r="J2605" s="17"/>
      <c r="K2605" s="17"/>
    </row>
    <row r="2606" spans="1:11" x14ac:dyDescent="0.2">
      <c r="A2606" s="115"/>
      <c r="B2606" s="93"/>
      <c r="C2606" s="94"/>
      <c r="D2606" s="95"/>
      <c r="E2606" s="95"/>
      <c r="F2606" s="96"/>
      <c r="G2606" s="97"/>
      <c r="H2606" s="114" t="str">
        <f t="shared" si="30"/>
        <v/>
      </c>
      <c r="I2606" s="17"/>
      <c r="J2606" s="17"/>
      <c r="K2606" s="17"/>
    </row>
    <row r="2607" spans="1:11" x14ac:dyDescent="0.2">
      <c r="A2607" s="115"/>
      <c r="B2607" s="93"/>
      <c r="C2607" s="94"/>
      <c r="D2607" s="95"/>
      <c r="E2607" s="95"/>
      <c r="F2607" s="96"/>
      <c r="G2607" s="97"/>
      <c r="H2607" s="114" t="str">
        <f t="shared" si="30"/>
        <v/>
      </c>
      <c r="I2607" s="17"/>
      <c r="J2607" s="17"/>
      <c r="K2607" s="17"/>
    </row>
    <row r="2608" spans="1:11" x14ac:dyDescent="0.2">
      <c r="A2608" s="115"/>
      <c r="B2608" s="93"/>
      <c r="C2608" s="94"/>
      <c r="D2608" s="95"/>
      <c r="E2608" s="95"/>
      <c r="F2608" s="96"/>
      <c r="G2608" s="97"/>
      <c r="H2608" s="114" t="str">
        <f t="shared" si="30"/>
        <v/>
      </c>
      <c r="I2608" s="17"/>
      <c r="J2608" s="17"/>
      <c r="K2608" s="17"/>
    </row>
    <row r="2609" spans="1:11" x14ac:dyDescent="0.2">
      <c r="A2609" s="115"/>
      <c r="B2609" s="93"/>
      <c r="C2609" s="94"/>
      <c r="D2609" s="95"/>
      <c r="E2609" s="95"/>
      <c r="F2609" s="96"/>
      <c r="G2609" s="97"/>
      <c r="H2609" s="114" t="str">
        <f t="shared" si="30"/>
        <v/>
      </c>
      <c r="I2609" s="17"/>
      <c r="J2609" s="17"/>
      <c r="K2609" s="17"/>
    </row>
    <row r="2610" spans="1:11" x14ac:dyDescent="0.2">
      <c r="A2610" s="115"/>
      <c r="B2610" s="93"/>
      <c r="C2610" s="94"/>
      <c r="D2610" s="95"/>
      <c r="E2610" s="95"/>
      <c r="F2610" s="96"/>
      <c r="G2610" s="97"/>
      <c r="H2610" s="114" t="str">
        <f t="shared" si="30"/>
        <v/>
      </c>
      <c r="I2610" s="17"/>
      <c r="J2610" s="17"/>
      <c r="K2610" s="17"/>
    </row>
    <row r="2611" spans="1:11" x14ac:dyDescent="0.2">
      <c r="A2611" s="115"/>
      <c r="B2611" s="93"/>
      <c r="C2611" s="94"/>
      <c r="D2611" s="95"/>
      <c r="E2611" s="95"/>
      <c r="F2611" s="96"/>
      <c r="G2611" s="97"/>
      <c r="H2611" s="114" t="str">
        <f t="shared" si="30"/>
        <v/>
      </c>
      <c r="I2611" s="17"/>
      <c r="J2611" s="17"/>
      <c r="K2611" s="17"/>
    </row>
    <row r="2612" spans="1:11" x14ac:dyDescent="0.2">
      <c r="A2612" s="115"/>
      <c r="B2612" s="93"/>
      <c r="C2612" s="94"/>
      <c r="D2612" s="95"/>
      <c r="E2612" s="95"/>
      <c r="F2612" s="96"/>
      <c r="G2612" s="97"/>
      <c r="H2612" s="114" t="str">
        <f t="shared" si="30"/>
        <v/>
      </c>
      <c r="I2612" s="17"/>
      <c r="J2612" s="17"/>
      <c r="K2612" s="17"/>
    </row>
    <row r="2613" spans="1:11" x14ac:dyDescent="0.2">
      <c r="A2613" s="115"/>
      <c r="B2613" s="93"/>
      <c r="C2613" s="94"/>
      <c r="D2613" s="95"/>
      <c r="E2613" s="95"/>
      <c r="F2613" s="96"/>
      <c r="G2613" s="97"/>
      <c r="H2613" s="114" t="str">
        <f t="shared" si="30"/>
        <v/>
      </c>
      <c r="I2613" s="17"/>
      <c r="J2613" s="17"/>
      <c r="K2613" s="17"/>
    </row>
    <row r="2614" spans="1:11" x14ac:dyDescent="0.2">
      <c r="A2614" s="115"/>
      <c r="B2614" s="93"/>
      <c r="C2614" s="94"/>
      <c r="D2614" s="95"/>
      <c r="E2614" s="95"/>
      <c r="F2614" s="96"/>
      <c r="G2614" s="97"/>
      <c r="H2614" s="114" t="str">
        <f t="shared" si="30"/>
        <v/>
      </c>
      <c r="I2614" s="17"/>
      <c r="J2614" s="17"/>
      <c r="K2614" s="17"/>
    </row>
    <row r="2615" spans="1:11" x14ac:dyDescent="0.2">
      <c r="A2615" s="115"/>
      <c r="B2615" s="93"/>
      <c r="C2615" s="94"/>
      <c r="D2615" s="95"/>
      <c r="E2615" s="95"/>
      <c r="F2615" s="96"/>
      <c r="G2615" s="97"/>
      <c r="H2615" s="114" t="str">
        <f t="shared" si="30"/>
        <v/>
      </c>
      <c r="I2615" s="17"/>
      <c r="J2615" s="17"/>
      <c r="K2615" s="17"/>
    </row>
    <row r="2616" spans="1:11" x14ac:dyDescent="0.2">
      <c r="A2616" s="115"/>
      <c r="B2616" s="93"/>
      <c r="C2616" s="94"/>
      <c r="D2616" s="95"/>
      <c r="E2616" s="95"/>
      <c r="F2616" s="96"/>
      <c r="G2616" s="97"/>
      <c r="H2616" s="114" t="str">
        <f t="shared" si="30"/>
        <v/>
      </c>
      <c r="I2616" s="17"/>
      <c r="J2616" s="17"/>
      <c r="K2616" s="17"/>
    </row>
    <row r="2617" spans="1:11" x14ac:dyDescent="0.2">
      <c r="A2617" s="115"/>
      <c r="B2617" s="93"/>
      <c r="C2617" s="94"/>
      <c r="D2617" s="95"/>
      <c r="E2617" s="95"/>
      <c r="F2617" s="96"/>
      <c r="G2617" s="97"/>
      <c r="H2617" s="114" t="str">
        <f t="shared" si="30"/>
        <v/>
      </c>
      <c r="I2617" s="17"/>
      <c r="J2617" s="17"/>
      <c r="K2617" s="17"/>
    </row>
    <row r="2618" spans="1:11" x14ac:dyDescent="0.2">
      <c r="A2618" s="115"/>
      <c r="B2618" s="93"/>
      <c r="C2618" s="94"/>
      <c r="D2618" s="95"/>
      <c r="E2618" s="95"/>
      <c r="F2618" s="96"/>
      <c r="G2618" s="97"/>
      <c r="H2618" s="114" t="str">
        <f t="shared" si="30"/>
        <v/>
      </c>
      <c r="I2618" s="17"/>
      <c r="J2618" s="17"/>
      <c r="K2618" s="17"/>
    </row>
    <row r="2619" spans="1:11" x14ac:dyDescent="0.2">
      <c r="A2619" s="115"/>
      <c r="B2619" s="93"/>
      <c r="C2619" s="94"/>
      <c r="D2619" s="95"/>
      <c r="E2619" s="95"/>
      <c r="F2619" s="96"/>
      <c r="G2619" s="97"/>
      <c r="H2619" s="114" t="str">
        <f t="shared" si="30"/>
        <v/>
      </c>
      <c r="I2619" s="17"/>
      <c r="J2619" s="17"/>
      <c r="K2619" s="17"/>
    </row>
    <row r="2620" spans="1:11" x14ac:dyDescent="0.2">
      <c r="A2620" s="115"/>
      <c r="B2620" s="93"/>
      <c r="C2620" s="94"/>
      <c r="D2620" s="95"/>
      <c r="E2620" s="95"/>
      <c r="F2620" s="96"/>
      <c r="G2620" s="97"/>
      <c r="H2620" s="114" t="str">
        <f t="shared" si="30"/>
        <v/>
      </c>
      <c r="I2620" s="17"/>
      <c r="J2620" s="17"/>
      <c r="K2620" s="17"/>
    </row>
    <row r="2621" spans="1:11" x14ac:dyDescent="0.2">
      <c r="A2621" s="115"/>
      <c r="B2621" s="93"/>
      <c r="C2621" s="94"/>
      <c r="D2621" s="95"/>
      <c r="E2621" s="95"/>
      <c r="F2621" s="96"/>
      <c r="G2621" s="97"/>
      <c r="H2621" s="114" t="str">
        <f t="shared" si="30"/>
        <v/>
      </c>
      <c r="I2621" s="17"/>
      <c r="J2621" s="17"/>
      <c r="K2621" s="17"/>
    </row>
    <row r="2622" spans="1:11" x14ac:dyDescent="0.2">
      <c r="A2622" s="115"/>
      <c r="B2622" s="93"/>
      <c r="C2622" s="94"/>
      <c r="D2622" s="95"/>
      <c r="E2622" s="95"/>
      <c r="F2622" s="96"/>
      <c r="G2622" s="97"/>
      <c r="H2622" s="114" t="str">
        <f t="shared" si="30"/>
        <v/>
      </c>
      <c r="I2622" s="17"/>
      <c r="J2622" s="17"/>
      <c r="K2622" s="17"/>
    </row>
    <row r="2623" spans="1:11" x14ac:dyDescent="0.2">
      <c r="A2623" s="115"/>
      <c r="B2623" s="93"/>
      <c r="C2623" s="94"/>
      <c r="D2623" s="95"/>
      <c r="E2623" s="95"/>
      <c r="F2623" s="96"/>
      <c r="G2623" s="97"/>
      <c r="H2623" s="114" t="str">
        <f t="shared" si="30"/>
        <v/>
      </c>
      <c r="I2623" s="17"/>
      <c r="J2623" s="17"/>
      <c r="K2623" s="17"/>
    </row>
    <row r="2624" spans="1:11" x14ac:dyDescent="0.2">
      <c r="A2624" s="115"/>
      <c r="B2624" s="93"/>
      <c r="C2624" s="94"/>
      <c r="D2624" s="95"/>
      <c r="E2624" s="95"/>
      <c r="F2624" s="96"/>
      <c r="G2624" s="97"/>
      <c r="H2624" s="114" t="str">
        <f t="shared" si="30"/>
        <v/>
      </c>
      <c r="I2624" s="17"/>
      <c r="J2624" s="17"/>
      <c r="K2624" s="17"/>
    </row>
    <row r="2625" spans="1:11" x14ac:dyDescent="0.2">
      <c r="A2625" s="115"/>
      <c r="B2625" s="93"/>
      <c r="C2625" s="94"/>
      <c r="D2625" s="95"/>
      <c r="E2625" s="95"/>
      <c r="F2625" s="96"/>
      <c r="G2625" s="97"/>
      <c r="H2625" s="114" t="str">
        <f t="shared" si="30"/>
        <v/>
      </c>
      <c r="I2625" s="17"/>
      <c r="J2625" s="17"/>
      <c r="K2625" s="17"/>
    </row>
    <row r="2626" spans="1:11" x14ac:dyDescent="0.2">
      <c r="A2626" s="115"/>
      <c r="B2626" s="93"/>
      <c r="C2626" s="94"/>
      <c r="D2626" s="95"/>
      <c r="E2626" s="95"/>
      <c r="F2626" s="96"/>
      <c r="G2626" s="97"/>
      <c r="H2626" s="114" t="str">
        <f t="shared" si="30"/>
        <v/>
      </c>
      <c r="I2626" s="17"/>
      <c r="J2626" s="17"/>
      <c r="K2626" s="17"/>
    </row>
    <row r="2627" spans="1:11" x14ac:dyDescent="0.2">
      <c r="A2627" s="115"/>
      <c r="B2627" s="93"/>
      <c r="C2627" s="94"/>
      <c r="D2627" s="95"/>
      <c r="E2627" s="95"/>
      <c r="F2627" s="96"/>
      <c r="G2627" s="97"/>
      <c r="H2627" s="114" t="str">
        <f t="shared" si="30"/>
        <v/>
      </c>
      <c r="I2627" s="17"/>
      <c r="J2627" s="17"/>
      <c r="K2627" s="17"/>
    </row>
    <row r="2628" spans="1:11" x14ac:dyDescent="0.2">
      <c r="A2628" s="115"/>
      <c r="B2628" s="93"/>
      <c r="C2628" s="94"/>
      <c r="D2628" s="95"/>
      <c r="E2628" s="95"/>
      <c r="F2628" s="96"/>
      <c r="G2628" s="97"/>
      <c r="H2628" s="114" t="str">
        <f t="shared" ref="H2628:H2691" si="31">IF(A2628&lt;&gt;"", EOMONTH(A2628, -1) + 1, "")</f>
        <v/>
      </c>
      <c r="I2628" s="17"/>
      <c r="J2628" s="17"/>
      <c r="K2628" s="17"/>
    </row>
    <row r="2629" spans="1:11" x14ac:dyDescent="0.2">
      <c r="A2629" s="115"/>
      <c r="B2629" s="93"/>
      <c r="C2629" s="94"/>
      <c r="D2629" s="95"/>
      <c r="E2629" s="95"/>
      <c r="F2629" s="96"/>
      <c r="G2629" s="97"/>
      <c r="H2629" s="114" t="str">
        <f t="shared" si="31"/>
        <v/>
      </c>
      <c r="I2629" s="17"/>
      <c r="J2629" s="17"/>
      <c r="K2629" s="17"/>
    </row>
    <row r="2630" spans="1:11" x14ac:dyDescent="0.2">
      <c r="A2630" s="115"/>
      <c r="B2630" s="93"/>
      <c r="C2630" s="94"/>
      <c r="D2630" s="95"/>
      <c r="E2630" s="95"/>
      <c r="F2630" s="96"/>
      <c r="G2630" s="97"/>
      <c r="H2630" s="114" t="str">
        <f t="shared" si="31"/>
        <v/>
      </c>
      <c r="I2630" s="17"/>
      <c r="J2630" s="17"/>
      <c r="K2630" s="17"/>
    </row>
    <row r="2631" spans="1:11" x14ac:dyDescent="0.2">
      <c r="A2631" s="115"/>
      <c r="B2631" s="93"/>
      <c r="C2631" s="94"/>
      <c r="D2631" s="95"/>
      <c r="E2631" s="95"/>
      <c r="F2631" s="96"/>
      <c r="G2631" s="97"/>
      <c r="H2631" s="114" t="str">
        <f t="shared" si="31"/>
        <v/>
      </c>
      <c r="I2631" s="17"/>
      <c r="J2631" s="17"/>
      <c r="K2631" s="17"/>
    </row>
    <row r="2632" spans="1:11" x14ac:dyDescent="0.2">
      <c r="A2632" s="115"/>
      <c r="B2632" s="93"/>
      <c r="C2632" s="94"/>
      <c r="D2632" s="95"/>
      <c r="E2632" s="95"/>
      <c r="F2632" s="96"/>
      <c r="G2632" s="100"/>
      <c r="H2632" s="114" t="str">
        <f t="shared" si="31"/>
        <v/>
      </c>
      <c r="I2632" s="17"/>
      <c r="J2632" s="17"/>
      <c r="K2632" s="17"/>
    </row>
    <row r="2633" spans="1:11" x14ac:dyDescent="0.2">
      <c r="A2633" s="115"/>
      <c r="B2633" s="93"/>
      <c r="C2633" s="94"/>
      <c r="D2633" s="95"/>
      <c r="E2633" s="95"/>
      <c r="F2633" s="96"/>
      <c r="G2633" s="100"/>
      <c r="H2633" s="114" t="str">
        <f t="shared" si="31"/>
        <v/>
      </c>
      <c r="I2633" s="17"/>
      <c r="J2633" s="17"/>
      <c r="K2633" s="17"/>
    </row>
    <row r="2634" spans="1:11" x14ac:dyDescent="0.2">
      <c r="A2634" s="115"/>
      <c r="B2634" s="93"/>
      <c r="C2634" s="94"/>
      <c r="D2634" s="95"/>
      <c r="E2634" s="95"/>
      <c r="F2634" s="96"/>
      <c r="G2634" s="100"/>
      <c r="H2634" s="114" t="str">
        <f t="shared" si="31"/>
        <v/>
      </c>
      <c r="I2634" s="17"/>
      <c r="J2634" s="17"/>
      <c r="K2634" s="17"/>
    </row>
    <row r="2635" spans="1:11" x14ac:dyDescent="0.2">
      <c r="A2635" s="115"/>
      <c r="B2635" s="93"/>
      <c r="C2635" s="94"/>
      <c r="D2635" s="95"/>
      <c r="E2635" s="95"/>
      <c r="F2635" s="96"/>
      <c r="G2635" s="100"/>
      <c r="H2635" s="114" t="str">
        <f t="shared" si="31"/>
        <v/>
      </c>
      <c r="I2635" s="17"/>
      <c r="J2635" s="17"/>
      <c r="K2635" s="17"/>
    </row>
    <row r="2636" spans="1:11" x14ac:dyDescent="0.2">
      <c r="A2636" s="115"/>
      <c r="B2636" s="93"/>
      <c r="C2636" s="94"/>
      <c r="D2636" s="95"/>
      <c r="E2636" s="95"/>
      <c r="F2636" s="96"/>
      <c r="G2636" s="100"/>
      <c r="H2636" s="114" t="str">
        <f t="shared" si="31"/>
        <v/>
      </c>
      <c r="I2636" s="17"/>
      <c r="J2636" s="17"/>
      <c r="K2636" s="17"/>
    </row>
    <row r="2637" spans="1:11" x14ac:dyDescent="0.2">
      <c r="A2637" s="115"/>
      <c r="B2637" s="93"/>
      <c r="C2637" s="94"/>
      <c r="D2637" s="95"/>
      <c r="E2637" s="95"/>
      <c r="F2637" s="96"/>
      <c r="G2637" s="100"/>
      <c r="H2637" s="114" t="str">
        <f t="shared" si="31"/>
        <v/>
      </c>
      <c r="I2637" s="17"/>
      <c r="J2637" s="17"/>
      <c r="K2637" s="17"/>
    </row>
    <row r="2638" spans="1:11" x14ac:dyDescent="0.2">
      <c r="A2638" s="115"/>
      <c r="B2638" s="93"/>
      <c r="C2638" s="94"/>
      <c r="D2638" s="95"/>
      <c r="E2638" s="95"/>
      <c r="F2638" s="96"/>
      <c r="G2638" s="100"/>
      <c r="H2638" s="114" t="str">
        <f t="shared" si="31"/>
        <v/>
      </c>
      <c r="I2638" s="17"/>
      <c r="J2638" s="17"/>
      <c r="K2638" s="17"/>
    </row>
    <row r="2639" spans="1:11" x14ac:dyDescent="0.2">
      <c r="A2639" s="115"/>
      <c r="B2639" s="93"/>
      <c r="C2639" s="94"/>
      <c r="D2639" s="95"/>
      <c r="E2639" s="95"/>
      <c r="F2639" s="96"/>
      <c r="G2639" s="100"/>
      <c r="H2639" s="114" t="str">
        <f t="shared" si="31"/>
        <v/>
      </c>
      <c r="I2639" s="17"/>
      <c r="J2639" s="17"/>
      <c r="K2639" s="17"/>
    </row>
    <row r="2640" spans="1:11" x14ac:dyDescent="0.2">
      <c r="A2640" s="115"/>
      <c r="B2640" s="93"/>
      <c r="C2640" s="94"/>
      <c r="D2640" s="95"/>
      <c r="E2640" s="95"/>
      <c r="F2640" s="96"/>
      <c r="G2640" s="100"/>
      <c r="H2640" s="114" t="str">
        <f t="shared" si="31"/>
        <v/>
      </c>
      <c r="I2640" s="17"/>
      <c r="J2640" s="17"/>
      <c r="K2640" s="17"/>
    </row>
    <row r="2641" spans="1:11" x14ac:dyDescent="0.2">
      <c r="A2641" s="115"/>
      <c r="B2641" s="93"/>
      <c r="C2641" s="94"/>
      <c r="D2641" s="95"/>
      <c r="E2641" s="95"/>
      <c r="F2641" s="96"/>
      <c r="G2641" s="100"/>
      <c r="H2641" s="114" t="str">
        <f t="shared" si="31"/>
        <v/>
      </c>
      <c r="I2641" s="17"/>
      <c r="J2641" s="17"/>
      <c r="K2641" s="17"/>
    </row>
    <row r="2642" spans="1:11" x14ac:dyDescent="0.2">
      <c r="A2642" s="115"/>
      <c r="B2642" s="93"/>
      <c r="C2642" s="94"/>
      <c r="D2642" s="95"/>
      <c r="E2642" s="95"/>
      <c r="F2642" s="96"/>
      <c r="G2642" s="100"/>
      <c r="H2642" s="114" t="str">
        <f t="shared" si="31"/>
        <v/>
      </c>
      <c r="I2642" s="17"/>
      <c r="J2642" s="17"/>
      <c r="K2642" s="17"/>
    </row>
    <row r="2643" spans="1:11" x14ac:dyDescent="0.2">
      <c r="A2643" s="115"/>
      <c r="B2643" s="93"/>
      <c r="C2643" s="94"/>
      <c r="D2643" s="95"/>
      <c r="E2643" s="95"/>
      <c r="F2643" s="96"/>
      <c r="G2643" s="100"/>
      <c r="H2643" s="114" t="str">
        <f t="shared" si="31"/>
        <v/>
      </c>
      <c r="I2643" s="17"/>
      <c r="J2643" s="17"/>
      <c r="K2643" s="17"/>
    </row>
    <row r="2644" spans="1:11" x14ac:dyDescent="0.2">
      <c r="A2644" s="115"/>
      <c r="B2644" s="93"/>
      <c r="C2644" s="94"/>
      <c r="D2644" s="95"/>
      <c r="E2644" s="95"/>
      <c r="F2644" s="96"/>
      <c r="G2644" s="100"/>
      <c r="H2644" s="114" t="str">
        <f t="shared" si="31"/>
        <v/>
      </c>
      <c r="I2644" s="17"/>
      <c r="J2644" s="17"/>
      <c r="K2644" s="17"/>
    </row>
    <row r="2645" spans="1:11" x14ac:dyDescent="0.2">
      <c r="A2645" s="115"/>
      <c r="B2645" s="93"/>
      <c r="C2645" s="94"/>
      <c r="D2645" s="95"/>
      <c r="E2645" s="95"/>
      <c r="F2645" s="96"/>
      <c r="G2645" s="100"/>
      <c r="H2645" s="114" t="str">
        <f t="shared" si="31"/>
        <v/>
      </c>
      <c r="I2645" s="17"/>
      <c r="J2645" s="17"/>
      <c r="K2645" s="17"/>
    </row>
    <row r="2646" spans="1:11" x14ac:dyDescent="0.2">
      <c r="A2646" s="115"/>
      <c r="B2646" s="93"/>
      <c r="C2646" s="94"/>
      <c r="D2646" s="95"/>
      <c r="E2646" s="95"/>
      <c r="F2646" s="96"/>
      <c r="G2646" s="100"/>
      <c r="H2646" s="114" t="str">
        <f t="shared" si="31"/>
        <v/>
      </c>
      <c r="I2646" s="17"/>
      <c r="J2646" s="17"/>
      <c r="K2646" s="17"/>
    </row>
    <row r="2647" spans="1:11" x14ac:dyDescent="0.2">
      <c r="A2647" s="115"/>
      <c r="B2647" s="93"/>
      <c r="C2647" s="94"/>
      <c r="D2647" s="95"/>
      <c r="E2647" s="95"/>
      <c r="F2647" s="96"/>
      <c r="G2647" s="100"/>
      <c r="H2647" s="114" t="str">
        <f t="shared" si="31"/>
        <v/>
      </c>
      <c r="I2647" s="17"/>
      <c r="J2647" s="17"/>
      <c r="K2647" s="17"/>
    </row>
    <row r="2648" spans="1:11" x14ac:dyDescent="0.2">
      <c r="A2648" s="115"/>
      <c r="B2648" s="93"/>
      <c r="C2648" s="94"/>
      <c r="D2648" s="95"/>
      <c r="E2648" s="95"/>
      <c r="F2648" s="96"/>
      <c r="G2648" s="100"/>
      <c r="H2648" s="114" t="str">
        <f t="shared" si="31"/>
        <v/>
      </c>
      <c r="I2648" s="17"/>
      <c r="J2648" s="17"/>
      <c r="K2648" s="17"/>
    </row>
    <row r="2649" spans="1:11" x14ac:dyDescent="0.2">
      <c r="A2649" s="115"/>
      <c r="B2649" s="93"/>
      <c r="C2649" s="94"/>
      <c r="D2649" s="95"/>
      <c r="E2649" s="95"/>
      <c r="F2649" s="96"/>
      <c r="G2649" s="97"/>
      <c r="H2649" s="114" t="str">
        <f t="shared" si="31"/>
        <v/>
      </c>
      <c r="I2649" s="17"/>
      <c r="J2649" s="17"/>
      <c r="K2649" s="17"/>
    </row>
    <row r="2650" spans="1:11" x14ac:dyDescent="0.2">
      <c r="A2650" s="115"/>
      <c r="B2650" s="93"/>
      <c r="C2650" s="94"/>
      <c r="D2650" s="95"/>
      <c r="E2650" s="95"/>
      <c r="F2650" s="96"/>
      <c r="G2650" s="97"/>
      <c r="H2650" s="114" t="str">
        <f t="shared" si="31"/>
        <v/>
      </c>
      <c r="I2650" s="17"/>
      <c r="J2650" s="17"/>
      <c r="K2650" s="17"/>
    </row>
    <row r="2651" spans="1:11" x14ac:dyDescent="0.2">
      <c r="A2651" s="115"/>
      <c r="B2651" s="93"/>
      <c r="C2651" s="94"/>
      <c r="D2651" s="95"/>
      <c r="E2651" s="95"/>
      <c r="F2651" s="96"/>
      <c r="G2651" s="97"/>
      <c r="H2651" s="114" t="str">
        <f t="shared" si="31"/>
        <v/>
      </c>
      <c r="I2651" s="17"/>
      <c r="J2651" s="17"/>
      <c r="K2651" s="17"/>
    </row>
    <row r="2652" spans="1:11" x14ac:dyDescent="0.2">
      <c r="A2652" s="115"/>
      <c r="B2652" s="93"/>
      <c r="C2652" s="94"/>
      <c r="D2652" s="95"/>
      <c r="E2652" s="95"/>
      <c r="F2652" s="96"/>
      <c r="G2652" s="97"/>
      <c r="H2652" s="114" t="str">
        <f t="shared" si="31"/>
        <v/>
      </c>
      <c r="I2652" s="17"/>
      <c r="J2652" s="17"/>
      <c r="K2652" s="17"/>
    </row>
    <row r="2653" spans="1:11" x14ac:dyDescent="0.2">
      <c r="A2653" s="115"/>
      <c r="B2653" s="93"/>
      <c r="C2653" s="94"/>
      <c r="D2653" s="95"/>
      <c r="E2653" s="95"/>
      <c r="F2653" s="96"/>
      <c r="G2653" s="97"/>
      <c r="H2653" s="114" t="str">
        <f t="shared" si="31"/>
        <v/>
      </c>
      <c r="I2653" s="17"/>
      <c r="J2653" s="17"/>
      <c r="K2653" s="17"/>
    </row>
    <row r="2654" spans="1:11" x14ac:dyDescent="0.2">
      <c r="A2654" s="115"/>
      <c r="B2654" s="93"/>
      <c r="C2654" s="94"/>
      <c r="D2654" s="95"/>
      <c r="E2654" s="95"/>
      <c r="F2654" s="96"/>
      <c r="G2654" s="97"/>
      <c r="H2654" s="114" t="str">
        <f t="shared" si="31"/>
        <v/>
      </c>
      <c r="I2654" s="17"/>
      <c r="J2654" s="17"/>
      <c r="K2654" s="17"/>
    </row>
    <row r="2655" spans="1:11" x14ac:dyDescent="0.2">
      <c r="A2655" s="115"/>
      <c r="B2655" s="93"/>
      <c r="C2655" s="94"/>
      <c r="D2655" s="95"/>
      <c r="E2655" s="95"/>
      <c r="F2655" s="96"/>
      <c r="G2655" s="97"/>
      <c r="H2655" s="114" t="str">
        <f t="shared" si="31"/>
        <v/>
      </c>
      <c r="I2655" s="17"/>
      <c r="J2655" s="17"/>
      <c r="K2655" s="17"/>
    </row>
    <row r="2656" spans="1:11" x14ac:dyDescent="0.2">
      <c r="A2656" s="115"/>
      <c r="B2656" s="93"/>
      <c r="C2656" s="94"/>
      <c r="D2656" s="95"/>
      <c r="E2656" s="95"/>
      <c r="F2656" s="96"/>
      <c r="G2656" s="97"/>
      <c r="H2656" s="114" t="str">
        <f t="shared" si="31"/>
        <v/>
      </c>
      <c r="I2656" s="17"/>
      <c r="J2656" s="17"/>
      <c r="K2656" s="17"/>
    </row>
    <row r="2657" spans="1:11" x14ac:dyDescent="0.2">
      <c r="A2657" s="115"/>
      <c r="B2657" s="93"/>
      <c r="C2657" s="94"/>
      <c r="D2657" s="95"/>
      <c r="E2657" s="95"/>
      <c r="F2657" s="96"/>
      <c r="G2657" s="97"/>
      <c r="H2657" s="114" t="str">
        <f t="shared" si="31"/>
        <v/>
      </c>
      <c r="I2657" s="17"/>
      <c r="J2657" s="17"/>
      <c r="K2657" s="17"/>
    </row>
    <row r="2658" spans="1:11" x14ac:dyDescent="0.2">
      <c r="A2658" s="115"/>
      <c r="B2658" s="93"/>
      <c r="C2658" s="94"/>
      <c r="D2658" s="95"/>
      <c r="E2658" s="95"/>
      <c r="F2658" s="96"/>
      <c r="G2658" s="97"/>
      <c r="H2658" s="114" t="str">
        <f t="shared" si="31"/>
        <v/>
      </c>
      <c r="I2658" s="17"/>
      <c r="J2658" s="17"/>
      <c r="K2658" s="17"/>
    </row>
    <row r="2659" spans="1:11" x14ac:dyDescent="0.2">
      <c r="A2659" s="115"/>
      <c r="B2659" s="93"/>
      <c r="C2659" s="94"/>
      <c r="D2659" s="95"/>
      <c r="E2659" s="95"/>
      <c r="F2659" s="96"/>
      <c r="G2659" s="97"/>
      <c r="H2659" s="114" t="str">
        <f t="shared" si="31"/>
        <v/>
      </c>
      <c r="I2659" s="17"/>
      <c r="J2659" s="17"/>
      <c r="K2659" s="17"/>
    </row>
    <row r="2660" spans="1:11" x14ac:dyDescent="0.2">
      <c r="A2660" s="115"/>
      <c r="B2660" s="93"/>
      <c r="C2660" s="94"/>
      <c r="D2660" s="95"/>
      <c r="E2660" s="95"/>
      <c r="F2660" s="96"/>
      <c r="G2660" s="97"/>
      <c r="H2660" s="114" t="str">
        <f t="shared" si="31"/>
        <v/>
      </c>
      <c r="I2660" s="17"/>
      <c r="J2660" s="17"/>
      <c r="K2660" s="17"/>
    </row>
    <row r="2661" spans="1:11" x14ac:dyDescent="0.2">
      <c r="A2661" s="115"/>
      <c r="B2661" s="93"/>
      <c r="C2661" s="94"/>
      <c r="D2661" s="95"/>
      <c r="E2661" s="95"/>
      <c r="F2661" s="96"/>
      <c r="G2661" s="97"/>
      <c r="H2661" s="114" t="str">
        <f t="shared" si="31"/>
        <v/>
      </c>
      <c r="I2661" s="17"/>
      <c r="J2661" s="17"/>
      <c r="K2661" s="17"/>
    </row>
    <row r="2662" spans="1:11" x14ac:dyDescent="0.2">
      <c r="A2662" s="115"/>
      <c r="B2662" s="93"/>
      <c r="C2662" s="94"/>
      <c r="D2662" s="95"/>
      <c r="E2662" s="95"/>
      <c r="F2662" s="96"/>
      <c r="G2662" s="97"/>
      <c r="H2662" s="114" t="str">
        <f t="shared" si="31"/>
        <v/>
      </c>
      <c r="I2662" s="17"/>
      <c r="J2662" s="17"/>
      <c r="K2662" s="17"/>
    </row>
    <row r="2663" spans="1:11" x14ac:dyDescent="0.2">
      <c r="A2663" s="115"/>
      <c r="B2663" s="93"/>
      <c r="C2663" s="94"/>
      <c r="D2663" s="95"/>
      <c r="E2663" s="95"/>
      <c r="F2663" s="96"/>
      <c r="G2663" s="97"/>
      <c r="H2663" s="114" t="str">
        <f t="shared" si="31"/>
        <v/>
      </c>
      <c r="I2663" s="17"/>
      <c r="J2663" s="17"/>
      <c r="K2663" s="17"/>
    </row>
    <row r="2664" spans="1:11" x14ac:dyDescent="0.2">
      <c r="A2664" s="115"/>
      <c r="B2664" s="93"/>
      <c r="C2664" s="94"/>
      <c r="D2664" s="95"/>
      <c r="E2664" s="95"/>
      <c r="F2664" s="96"/>
      <c r="G2664" s="97"/>
      <c r="H2664" s="114" t="str">
        <f t="shared" si="31"/>
        <v/>
      </c>
      <c r="I2664" s="17"/>
      <c r="J2664" s="17"/>
      <c r="K2664" s="17"/>
    </row>
    <row r="2665" spans="1:11" x14ac:dyDescent="0.2">
      <c r="A2665" s="115"/>
      <c r="B2665" s="93"/>
      <c r="C2665" s="94"/>
      <c r="D2665" s="95"/>
      <c r="E2665" s="95"/>
      <c r="F2665" s="96"/>
      <c r="G2665" s="97"/>
      <c r="H2665" s="114" t="str">
        <f t="shared" si="31"/>
        <v/>
      </c>
      <c r="I2665" s="17"/>
      <c r="J2665" s="17"/>
      <c r="K2665" s="17"/>
    </row>
    <row r="2666" spans="1:11" x14ac:dyDescent="0.2">
      <c r="A2666" s="115"/>
      <c r="B2666" s="93"/>
      <c r="C2666" s="94"/>
      <c r="D2666" s="95"/>
      <c r="E2666" s="95"/>
      <c r="F2666" s="96"/>
      <c r="G2666" s="97"/>
      <c r="H2666" s="114" t="str">
        <f t="shared" si="31"/>
        <v/>
      </c>
      <c r="I2666" s="17"/>
      <c r="J2666" s="17"/>
      <c r="K2666" s="17"/>
    </row>
    <row r="2667" spans="1:11" x14ac:dyDescent="0.2">
      <c r="A2667" s="115"/>
      <c r="B2667" s="93"/>
      <c r="C2667" s="94"/>
      <c r="D2667" s="95"/>
      <c r="E2667" s="95"/>
      <c r="F2667" s="96"/>
      <c r="G2667" s="97"/>
      <c r="H2667" s="114" t="str">
        <f t="shared" si="31"/>
        <v/>
      </c>
      <c r="I2667" s="17"/>
      <c r="J2667" s="17"/>
      <c r="K2667" s="17"/>
    </row>
    <row r="2668" spans="1:11" x14ac:dyDescent="0.2">
      <c r="A2668" s="115"/>
      <c r="B2668" s="93"/>
      <c r="C2668" s="94"/>
      <c r="D2668" s="95"/>
      <c r="E2668" s="95"/>
      <c r="F2668" s="96"/>
      <c r="G2668" s="97"/>
      <c r="H2668" s="114" t="str">
        <f t="shared" si="31"/>
        <v/>
      </c>
      <c r="I2668" s="17"/>
      <c r="J2668" s="17"/>
      <c r="K2668" s="17"/>
    </row>
    <row r="2669" spans="1:11" x14ac:dyDescent="0.2">
      <c r="A2669" s="115"/>
      <c r="B2669" s="93"/>
      <c r="C2669" s="94"/>
      <c r="D2669" s="95"/>
      <c r="E2669" s="95"/>
      <c r="F2669" s="96"/>
      <c r="G2669" s="97"/>
      <c r="H2669" s="114" t="str">
        <f t="shared" si="31"/>
        <v/>
      </c>
      <c r="I2669" s="17"/>
      <c r="J2669" s="17"/>
      <c r="K2669" s="17"/>
    </row>
    <row r="2670" spans="1:11" x14ac:dyDescent="0.2">
      <c r="A2670" s="115"/>
      <c r="B2670" s="93"/>
      <c r="C2670" s="94"/>
      <c r="D2670" s="95"/>
      <c r="E2670" s="95"/>
      <c r="F2670" s="96"/>
      <c r="G2670" s="97"/>
      <c r="H2670" s="114" t="str">
        <f t="shared" si="31"/>
        <v/>
      </c>
      <c r="I2670" s="17"/>
      <c r="J2670" s="17"/>
      <c r="K2670" s="17"/>
    </row>
    <row r="2671" spans="1:11" x14ac:dyDescent="0.2">
      <c r="A2671" s="115"/>
      <c r="B2671" s="93"/>
      <c r="C2671" s="94"/>
      <c r="D2671" s="95"/>
      <c r="E2671" s="95"/>
      <c r="F2671" s="96"/>
      <c r="G2671" s="97"/>
      <c r="H2671" s="114" t="str">
        <f t="shared" si="31"/>
        <v/>
      </c>
      <c r="I2671" s="17"/>
      <c r="J2671" s="17"/>
      <c r="K2671" s="17"/>
    </row>
    <row r="2672" spans="1:11" x14ac:dyDescent="0.2">
      <c r="A2672" s="115"/>
      <c r="B2672" s="93"/>
      <c r="C2672" s="94"/>
      <c r="D2672" s="95"/>
      <c r="E2672" s="95"/>
      <c r="F2672" s="96"/>
      <c r="G2672" s="97"/>
      <c r="H2672" s="114" t="str">
        <f t="shared" si="31"/>
        <v/>
      </c>
      <c r="I2672" s="17"/>
      <c r="J2672" s="17"/>
      <c r="K2672" s="17"/>
    </row>
    <row r="2673" spans="1:11" x14ac:dyDescent="0.2">
      <c r="A2673" s="115"/>
      <c r="B2673" s="93"/>
      <c r="C2673" s="94"/>
      <c r="D2673" s="95"/>
      <c r="E2673" s="95"/>
      <c r="F2673" s="96"/>
      <c r="G2673" s="97"/>
      <c r="H2673" s="114" t="str">
        <f t="shared" si="31"/>
        <v/>
      </c>
      <c r="I2673" s="17"/>
      <c r="J2673" s="17"/>
      <c r="K2673" s="17"/>
    </row>
    <row r="2674" spans="1:11" x14ac:dyDescent="0.2">
      <c r="A2674" s="115"/>
      <c r="B2674" s="93"/>
      <c r="C2674" s="94"/>
      <c r="D2674" s="95"/>
      <c r="E2674" s="95"/>
      <c r="F2674" s="96"/>
      <c r="G2674" s="97"/>
      <c r="H2674" s="114" t="str">
        <f t="shared" si="31"/>
        <v/>
      </c>
      <c r="I2674" s="17"/>
      <c r="J2674" s="17"/>
      <c r="K2674" s="17"/>
    </row>
    <row r="2675" spans="1:11" x14ac:dyDescent="0.2">
      <c r="A2675" s="115"/>
      <c r="B2675" s="93"/>
      <c r="C2675" s="94"/>
      <c r="D2675" s="95"/>
      <c r="E2675" s="95"/>
      <c r="F2675" s="96"/>
      <c r="G2675" s="97"/>
      <c r="H2675" s="114" t="str">
        <f t="shared" si="31"/>
        <v/>
      </c>
      <c r="I2675" s="17"/>
      <c r="J2675" s="17"/>
      <c r="K2675" s="17"/>
    </row>
    <row r="2676" spans="1:11" x14ac:dyDescent="0.2">
      <c r="A2676" s="115"/>
      <c r="B2676" s="93"/>
      <c r="C2676" s="94"/>
      <c r="D2676" s="95"/>
      <c r="E2676" s="95"/>
      <c r="F2676" s="96"/>
      <c r="G2676" s="97"/>
      <c r="H2676" s="114" t="str">
        <f t="shared" si="31"/>
        <v/>
      </c>
      <c r="I2676" s="17"/>
      <c r="J2676" s="17"/>
      <c r="K2676" s="17"/>
    </row>
    <row r="2677" spans="1:11" x14ac:dyDescent="0.2">
      <c r="A2677" s="115"/>
      <c r="B2677" s="93"/>
      <c r="C2677" s="94"/>
      <c r="D2677" s="95"/>
      <c r="E2677" s="95"/>
      <c r="F2677" s="96"/>
      <c r="G2677" s="97"/>
      <c r="H2677" s="114" t="str">
        <f t="shared" si="31"/>
        <v/>
      </c>
      <c r="I2677" s="17"/>
      <c r="J2677" s="17"/>
      <c r="K2677" s="17"/>
    </row>
    <row r="2678" spans="1:11" x14ac:dyDescent="0.2">
      <c r="A2678" s="115"/>
      <c r="B2678" s="93"/>
      <c r="C2678" s="94"/>
      <c r="D2678" s="95"/>
      <c r="E2678" s="95"/>
      <c r="F2678" s="96"/>
      <c r="G2678" s="97"/>
      <c r="H2678" s="114" t="str">
        <f t="shared" si="31"/>
        <v/>
      </c>
      <c r="I2678" s="17"/>
      <c r="J2678" s="17"/>
      <c r="K2678" s="17"/>
    </row>
    <row r="2679" spans="1:11" x14ac:dyDescent="0.2">
      <c r="A2679" s="115"/>
      <c r="B2679" s="93"/>
      <c r="C2679" s="94"/>
      <c r="D2679" s="95"/>
      <c r="E2679" s="95"/>
      <c r="F2679" s="96"/>
      <c r="G2679" s="97"/>
      <c r="H2679" s="114" t="str">
        <f t="shared" si="31"/>
        <v/>
      </c>
      <c r="I2679" s="17"/>
      <c r="J2679" s="17"/>
      <c r="K2679" s="17"/>
    </row>
    <row r="2680" spans="1:11" x14ac:dyDescent="0.2">
      <c r="A2680" s="115"/>
      <c r="B2680" s="93"/>
      <c r="C2680" s="94"/>
      <c r="D2680" s="95"/>
      <c r="E2680" s="95"/>
      <c r="F2680" s="96"/>
      <c r="G2680" s="97"/>
      <c r="H2680" s="114" t="str">
        <f t="shared" si="31"/>
        <v/>
      </c>
      <c r="I2680" s="17"/>
      <c r="J2680" s="17"/>
      <c r="K2680" s="17"/>
    </row>
    <row r="2681" spans="1:11" x14ac:dyDescent="0.2">
      <c r="A2681" s="115"/>
      <c r="B2681" s="93"/>
      <c r="C2681" s="94"/>
      <c r="D2681" s="95"/>
      <c r="E2681" s="95"/>
      <c r="F2681" s="96"/>
      <c r="G2681" s="97"/>
      <c r="H2681" s="114" t="str">
        <f t="shared" si="31"/>
        <v/>
      </c>
      <c r="I2681" s="17"/>
      <c r="J2681" s="17"/>
      <c r="K2681" s="17"/>
    </row>
    <row r="2682" spans="1:11" x14ac:dyDescent="0.2">
      <c r="A2682" s="115"/>
      <c r="B2682" s="93"/>
      <c r="C2682" s="94"/>
      <c r="D2682" s="95"/>
      <c r="E2682" s="95"/>
      <c r="F2682" s="96"/>
      <c r="G2682" s="97"/>
      <c r="H2682" s="114" t="str">
        <f t="shared" si="31"/>
        <v/>
      </c>
      <c r="I2682" s="17"/>
      <c r="J2682" s="17"/>
      <c r="K2682" s="17"/>
    </row>
    <row r="2683" spans="1:11" x14ac:dyDescent="0.2">
      <c r="A2683" s="115"/>
      <c r="B2683" s="93"/>
      <c r="C2683" s="94"/>
      <c r="D2683" s="95"/>
      <c r="E2683" s="95"/>
      <c r="F2683" s="96"/>
      <c r="G2683" s="97"/>
      <c r="H2683" s="114" t="str">
        <f t="shared" si="31"/>
        <v/>
      </c>
      <c r="I2683" s="17"/>
      <c r="J2683" s="17"/>
      <c r="K2683" s="17"/>
    </row>
    <row r="2684" spans="1:11" x14ac:dyDescent="0.2">
      <c r="A2684" s="115"/>
      <c r="B2684" s="93"/>
      <c r="C2684" s="94"/>
      <c r="D2684" s="95"/>
      <c r="E2684" s="95"/>
      <c r="F2684" s="96"/>
      <c r="G2684" s="97"/>
      <c r="H2684" s="114" t="str">
        <f t="shared" si="31"/>
        <v/>
      </c>
      <c r="I2684" s="17"/>
      <c r="J2684" s="17"/>
      <c r="K2684" s="17"/>
    </row>
    <row r="2685" spans="1:11" x14ac:dyDescent="0.2">
      <c r="A2685" s="115"/>
      <c r="B2685" s="93"/>
      <c r="C2685" s="94"/>
      <c r="D2685" s="95"/>
      <c r="E2685" s="95"/>
      <c r="F2685" s="96"/>
      <c r="G2685" s="97"/>
      <c r="H2685" s="114" t="str">
        <f t="shared" si="31"/>
        <v/>
      </c>
      <c r="I2685" s="17"/>
      <c r="J2685" s="17"/>
      <c r="K2685" s="17"/>
    </row>
    <row r="2686" spans="1:11" x14ac:dyDescent="0.2">
      <c r="A2686" s="115"/>
      <c r="B2686" s="93"/>
      <c r="C2686" s="94"/>
      <c r="D2686" s="95"/>
      <c r="E2686" s="95"/>
      <c r="F2686" s="96"/>
      <c r="G2686" s="97"/>
      <c r="H2686" s="114" t="str">
        <f t="shared" si="31"/>
        <v/>
      </c>
      <c r="I2686" s="17"/>
      <c r="J2686" s="17"/>
      <c r="K2686" s="17"/>
    </row>
    <row r="2687" spans="1:11" x14ac:dyDescent="0.2">
      <c r="A2687" s="115"/>
      <c r="B2687" s="93"/>
      <c r="C2687" s="94"/>
      <c r="D2687" s="95"/>
      <c r="E2687" s="95"/>
      <c r="F2687" s="96"/>
      <c r="G2687" s="97"/>
      <c r="H2687" s="114" t="str">
        <f t="shared" si="31"/>
        <v/>
      </c>
      <c r="I2687" s="17"/>
      <c r="J2687" s="17"/>
      <c r="K2687" s="17"/>
    </row>
    <row r="2688" spans="1:11" x14ac:dyDescent="0.2">
      <c r="A2688" s="115"/>
      <c r="B2688" s="93"/>
      <c r="C2688" s="94"/>
      <c r="D2688" s="95"/>
      <c r="E2688" s="95"/>
      <c r="F2688" s="96"/>
      <c r="G2688" s="97"/>
      <c r="H2688" s="114" t="str">
        <f t="shared" si="31"/>
        <v/>
      </c>
      <c r="I2688" s="17"/>
      <c r="J2688" s="17"/>
      <c r="K2688" s="17"/>
    </row>
    <row r="2689" spans="1:11" x14ac:dyDescent="0.2">
      <c r="A2689" s="115"/>
      <c r="B2689" s="93"/>
      <c r="C2689" s="94"/>
      <c r="D2689" s="95"/>
      <c r="E2689" s="95"/>
      <c r="F2689" s="96"/>
      <c r="G2689" s="97"/>
      <c r="H2689" s="114" t="str">
        <f t="shared" si="31"/>
        <v/>
      </c>
      <c r="I2689" s="17"/>
      <c r="J2689" s="17"/>
      <c r="K2689" s="17"/>
    </row>
    <row r="2690" spans="1:11" x14ac:dyDescent="0.2">
      <c r="A2690" s="115"/>
      <c r="B2690" s="93"/>
      <c r="C2690" s="94"/>
      <c r="D2690" s="95"/>
      <c r="E2690" s="95"/>
      <c r="F2690" s="96"/>
      <c r="G2690" s="97"/>
      <c r="H2690" s="114" t="str">
        <f t="shared" si="31"/>
        <v/>
      </c>
      <c r="I2690" s="17"/>
      <c r="J2690" s="17"/>
      <c r="K2690" s="17"/>
    </row>
    <row r="2691" spans="1:11" x14ac:dyDescent="0.2">
      <c r="A2691" s="115"/>
      <c r="B2691" s="93"/>
      <c r="C2691" s="94"/>
      <c r="D2691" s="95"/>
      <c r="E2691" s="95"/>
      <c r="F2691" s="96"/>
      <c r="G2691" s="97"/>
      <c r="H2691" s="114" t="str">
        <f t="shared" si="31"/>
        <v/>
      </c>
      <c r="I2691" s="17"/>
      <c r="J2691" s="17"/>
      <c r="K2691" s="17"/>
    </row>
    <row r="2692" spans="1:11" x14ac:dyDescent="0.2">
      <c r="A2692" s="115"/>
      <c r="B2692" s="93"/>
      <c r="C2692" s="94"/>
      <c r="D2692" s="95"/>
      <c r="E2692" s="95"/>
      <c r="F2692" s="96"/>
      <c r="G2692" s="97"/>
      <c r="H2692" s="114" t="str">
        <f t="shared" ref="H2692:H2755" si="32">IF(A2692&lt;&gt;"", EOMONTH(A2692, -1) + 1, "")</f>
        <v/>
      </c>
      <c r="I2692" s="17"/>
      <c r="J2692" s="17"/>
      <c r="K2692" s="17"/>
    </row>
    <row r="2693" spans="1:11" x14ac:dyDescent="0.2">
      <c r="A2693" s="115"/>
      <c r="B2693" s="93"/>
      <c r="C2693" s="94"/>
      <c r="D2693" s="95"/>
      <c r="E2693" s="95"/>
      <c r="F2693" s="96"/>
      <c r="G2693" s="97"/>
      <c r="H2693" s="114" t="str">
        <f t="shared" si="32"/>
        <v/>
      </c>
      <c r="I2693" s="17"/>
      <c r="J2693" s="17"/>
      <c r="K2693" s="17"/>
    </row>
    <row r="2694" spans="1:11" x14ac:dyDescent="0.2">
      <c r="A2694" s="115"/>
      <c r="B2694" s="93"/>
      <c r="C2694" s="94"/>
      <c r="D2694" s="95"/>
      <c r="E2694" s="95"/>
      <c r="F2694" s="96"/>
      <c r="G2694" s="97"/>
      <c r="H2694" s="114" t="str">
        <f t="shared" si="32"/>
        <v/>
      </c>
      <c r="I2694" s="17"/>
      <c r="J2694" s="17"/>
      <c r="K2694" s="17"/>
    </row>
    <row r="2695" spans="1:11" x14ac:dyDescent="0.2">
      <c r="A2695" s="115"/>
      <c r="B2695" s="93"/>
      <c r="C2695" s="94"/>
      <c r="D2695" s="95"/>
      <c r="E2695" s="95"/>
      <c r="F2695" s="96"/>
      <c r="G2695" s="97"/>
      <c r="H2695" s="114" t="str">
        <f t="shared" si="32"/>
        <v/>
      </c>
      <c r="I2695" s="17"/>
      <c r="J2695" s="17"/>
      <c r="K2695" s="17"/>
    </row>
    <row r="2696" spans="1:11" x14ac:dyDescent="0.2">
      <c r="A2696" s="115"/>
      <c r="B2696" s="93"/>
      <c r="C2696" s="94"/>
      <c r="D2696" s="95"/>
      <c r="E2696" s="95"/>
      <c r="F2696" s="96"/>
      <c r="G2696" s="97"/>
      <c r="H2696" s="114" t="str">
        <f t="shared" si="32"/>
        <v/>
      </c>
      <c r="I2696" s="17"/>
      <c r="J2696" s="17"/>
      <c r="K2696" s="17"/>
    </row>
    <row r="2697" spans="1:11" x14ac:dyDescent="0.2">
      <c r="A2697" s="115"/>
      <c r="B2697" s="93"/>
      <c r="C2697" s="94"/>
      <c r="D2697" s="95"/>
      <c r="E2697" s="95"/>
      <c r="F2697" s="96"/>
      <c r="G2697" s="97"/>
      <c r="H2697" s="114" t="str">
        <f t="shared" si="32"/>
        <v/>
      </c>
      <c r="I2697" s="17"/>
      <c r="J2697" s="17"/>
      <c r="K2697" s="17"/>
    </row>
    <row r="2698" spans="1:11" x14ac:dyDescent="0.2">
      <c r="A2698" s="115"/>
      <c r="B2698" s="93"/>
      <c r="C2698" s="94"/>
      <c r="D2698" s="95"/>
      <c r="E2698" s="95"/>
      <c r="F2698" s="96"/>
      <c r="G2698" s="97"/>
      <c r="H2698" s="114" t="str">
        <f t="shared" si="32"/>
        <v/>
      </c>
      <c r="I2698" s="17"/>
      <c r="J2698" s="17"/>
      <c r="K2698" s="17"/>
    </row>
    <row r="2699" spans="1:11" x14ac:dyDescent="0.2">
      <c r="A2699" s="115"/>
      <c r="B2699" s="93"/>
      <c r="C2699" s="94"/>
      <c r="D2699" s="95"/>
      <c r="E2699" s="95"/>
      <c r="F2699" s="96"/>
      <c r="G2699" s="97"/>
      <c r="H2699" s="114" t="str">
        <f t="shared" si="32"/>
        <v/>
      </c>
      <c r="I2699" s="17"/>
      <c r="J2699" s="17"/>
      <c r="K2699" s="17"/>
    </row>
    <row r="2700" spans="1:11" x14ac:dyDescent="0.2">
      <c r="A2700" s="115"/>
      <c r="B2700" s="93"/>
      <c r="C2700" s="94"/>
      <c r="D2700" s="95"/>
      <c r="E2700" s="95"/>
      <c r="F2700" s="96"/>
      <c r="G2700" s="97"/>
      <c r="H2700" s="114" t="str">
        <f t="shared" si="32"/>
        <v/>
      </c>
      <c r="I2700" s="17"/>
      <c r="J2700" s="17"/>
      <c r="K2700" s="17"/>
    </row>
    <row r="2701" spans="1:11" x14ac:dyDescent="0.2">
      <c r="A2701" s="115"/>
      <c r="B2701" s="93"/>
      <c r="C2701" s="94"/>
      <c r="D2701" s="95"/>
      <c r="E2701" s="95"/>
      <c r="F2701" s="96"/>
      <c r="G2701" s="97"/>
      <c r="H2701" s="114" t="str">
        <f t="shared" si="32"/>
        <v/>
      </c>
      <c r="I2701" s="17"/>
      <c r="J2701" s="17"/>
      <c r="K2701" s="17"/>
    </row>
    <row r="2702" spans="1:11" x14ac:dyDescent="0.2">
      <c r="A2702" s="115"/>
      <c r="B2702" s="93"/>
      <c r="C2702" s="94"/>
      <c r="D2702" s="95"/>
      <c r="E2702" s="95"/>
      <c r="F2702" s="96"/>
      <c r="G2702" s="97"/>
      <c r="H2702" s="114" t="str">
        <f t="shared" si="32"/>
        <v/>
      </c>
      <c r="I2702" s="17"/>
      <c r="J2702" s="17"/>
      <c r="K2702" s="17"/>
    </row>
    <row r="2703" spans="1:11" x14ac:dyDescent="0.2">
      <c r="A2703" s="115"/>
      <c r="B2703" s="93"/>
      <c r="C2703" s="94"/>
      <c r="D2703" s="95"/>
      <c r="E2703" s="95"/>
      <c r="F2703" s="96"/>
      <c r="G2703" s="97"/>
      <c r="H2703" s="114" t="str">
        <f t="shared" si="32"/>
        <v/>
      </c>
      <c r="I2703" s="17"/>
      <c r="J2703" s="17"/>
      <c r="K2703" s="17"/>
    </row>
    <row r="2704" spans="1:11" x14ac:dyDescent="0.2">
      <c r="A2704" s="115"/>
      <c r="B2704" s="93"/>
      <c r="C2704" s="94"/>
      <c r="D2704" s="95"/>
      <c r="E2704" s="95"/>
      <c r="F2704" s="96"/>
      <c r="G2704" s="97"/>
      <c r="H2704" s="114" t="str">
        <f t="shared" si="32"/>
        <v/>
      </c>
      <c r="I2704" s="17"/>
      <c r="J2704" s="17"/>
      <c r="K2704" s="17"/>
    </row>
    <row r="2705" spans="1:11" x14ac:dyDescent="0.2">
      <c r="A2705" s="115"/>
      <c r="B2705" s="93"/>
      <c r="C2705" s="94"/>
      <c r="D2705" s="95"/>
      <c r="E2705" s="95"/>
      <c r="F2705" s="96"/>
      <c r="G2705" s="97"/>
      <c r="H2705" s="114" t="str">
        <f t="shared" si="32"/>
        <v/>
      </c>
      <c r="I2705" s="17"/>
      <c r="J2705" s="17"/>
      <c r="K2705" s="17"/>
    </row>
    <row r="2706" spans="1:11" x14ac:dyDescent="0.2">
      <c r="A2706" s="115"/>
      <c r="B2706" s="93"/>
      <c r="C2706" s="94"/>
      <c r="D2706" s="95"/>
      <c r="E2706" s="95"/>
      <c r="F2706" s="96"/>
      <c r="G2706" s="97"/>
      <c r="H2706" s="114" t="str">
        <f t="shared" si="32"/>
        <v/>
      </c>
      <c r="I2706" s="17"/>
      <c r="J2706" s="17"/>
      <c r="K2706" s="17"/>
    </row>
    <row r="2707" spans="1:11" x14ac:dyDescent="0.2">
      <c r="A2707" s="115"/>
      <c r="B2707" s="93"/>
      <c r="C2707" s="94"/>
      <c r="D2707" s="95"/>
      <c r="E2707" s="95"/>
      <c r="F2707" s="96"/>
      <c r="G2707" s="97"/>
      <c r="H2707" s="114" t="str">
        <f t="shared" si="32"/>
        <v/>
      </c>
      <c r="I2707" s="17"/>
      <c r="J2707" s="17"/>
      <c r="K2707" s="17"/>
    </row>
    <row r="2708" spans="1:11" x14ac:dyDescent="0.2">
      <c r="A2708" s="115"/>
      <c r="B2708" s="93"/>
      <c r="C2708" s="94"/>
      <c r="D2708" s="95"/>
      <c r="E2708" s="95"/>
      <c r="F2708" s="96"/>
      <c r="G2708" s="97"/>
      <c r="H2708" s="114" t="str">
        <f t="shared" si="32"/>
        <v/>
      </c>
      <c r="I2708" s="17"/>
      <c r="J2708" s="17"/>
      <c r="K2708" s="17"/>
    </row>
    <row r="2709" spans="1:11" x14ac:dyDescent="0.2">
      <c r="A2709" s="115"/>
      <c r="B2709" s="93"/>
      <c r="C2709" s="94"/>
      <c r="D2709" s="95"/>
      <c r="E2709" s="95"/>
      <c r="F2709" s="96"/>
      <c r="G2709" s="97"/>
      <c r="H2709" s="114" t="str">
        <f t="shared" si="32"/>
        <v/>
      </c>
      <c r="I2709" s="17"/>
      <c r="J2709" s="17"/>
      <c r="K2709" s="17"/>
    </row>
    <row r="2710" spans="1:11" x14ac:dyDescent="0.2">
      <c r="A2710" s="115"/>
      <c r="B2710" s="93"/>
      <c r="C2710" s="94"/>
      <c r="D2710" s="95"/>
      <c r="E2710" s="95"/>
      <c r="F2710" s="96"/>
      <c r="G2710" s="97"/>
      <c r="H2710" s="114" t="str">
        <f t="shared" si="32"/>
        <v/>
      </c>
      <c r="I2710" s="17"/>
      <c r="J2710" s="17"/>
      <c r="K2710" s="17"/>
    </row>
    <row r="2711" spans="1:11" x14ac:dyDescent="0.2">
      <c r="A2711" s="115"/>
      <c r="B2711" s="93"/>
      <c r="C2711" s="94"/>
      <c r="D2711" s="95"/>
      <c r="E2711" s="95"/>
      <c r="F2711" s="96"/>
      <c r="G2711" s="97"/>
      <c r="H2711" s="114" t="str">
        <f t="shared" si="32"/>
        <v/>
      </c>
      <c r="I2711" s="17"/>
      <c r="J2711" s="17"/>
      <c r="K2711" s="17"/>
    </row>
    <row r="2712" spans="1:11" x14ac:dyDescent="0.2">
      <c r="A2712" s="115"/>
      <c r="B2712" s="93"/>
      <c r="C2712" s="94"/>
      <c r="D2712" s="95"/>
      <c r="E2712" s="95"/>
      <c r="F2712" s="96"/>
      <c r="G2712" s="97"/>
      <c r="H2712" s="114" t="str">
        <f t="shared" si="32"/>
        <v/>
      </c>
      <c r="I2712" s="17"/>
      <c r="J2712" s="17"/>
      <c r="K2712" s="17"/>
    </row>
    <row r="2713" spans="1:11" x14ac:dyDescent="0.2">
      <c r="A2713" s="115"/>
      <c r="B2713" s="93"/>
      <c r="C2713" s="94"/>
      <c r="D2713" s="95"/>
      <c r="E2713" s="95"/>
      <c r="F2713" s="96"/>
      <c r="G2713" s="97"/>
      <c r="H2713" s="114" t="str">
        <f t="shared" si="32"/>
        <v/>
      </c>
      <c r="I2713" s="17"/>
      <c r="J2713" s="17"/>
      <c r="K2713" s="17"/>
    </row>
    <row r="2714" spans="1:11" x14ac:dyDescent="0.2">
      <c r="A2714" s="115"/>
      <c r="B2714" s="93"/>
      <c r="C2714" s="94"/>
      <c r="D2714" s="95"/>
      <c r="E2714" s="95"/>
      <c r="F2714" s="96"/>
      <c r="G2714" s="97"/>
      <c r="H2714" s="114" t="str">
        <f t="shared" si="32"/>
        <v/>
      </c>
      <c r="I2714" s="17"/>
      <c r="J2714" s="17"/>
      <c r="K2714" s="17"/>
    </row>
    <row r="2715" spans="1:11" x14ac:dyDescent="0.2">
      <c r="A2715" s="115"/>
      <c r="B2715" s="93"/>
      <c r="C2715" s="94"/>
      <c r="D2715" s="95"/>
      <c r="E2715" s="95"/>
      <c r="F2715" s="96"/>
      <c r="G2715" s="97"/>
      <c r="H2715" s="114" t="str">
        <f t="shared" si="32"/>
        <v/>
      </c>
      <c r="I2715" s="17"/>
      <c r="J2715" s="17"/>
      <c r="K2715" s="17"/>
    </row>
    <row r="2716" spans="1:11" x14ac:dyDescent="0.2">
      <c r="A2716" s="115"/>
      <c r="B2716" s="93"/>
      <c r="C2716" s="94"/>
      <c r="D2716" s="95"/>
      <c r="E2716" s="95"/>
      <c r="F2716" s="96"/>
      <c r="G2716" s="97"/>
      <c r="H2716" s="114" t="str">
        <f t="shared" si="32"/>
        <v/>
      </c>
      <c r="I2716" s="17"/>
      <c r="J2716" s="17"/>
      <c r="K2716" s="17"/>
    </row>
    <row r="2717" spans="1:11" x14ac:dyDescent="0.2">
      <c r="A2717" s="115"/>
      <c r="B2717" s="93"/>
      <c r="C2717" s="94"/>
      <c r="D2717" s="95"/>
      <c r="E2717" s="95"/>
      <c r="F2717" s="96"/>
      <c r="G2717" s="97"/>
      <c r="H2717" s="114" t="str">
        <f t="shared" si="32"/>
        <v/>
      </c>
      <c r="I2717" s="17"/>
      <c r="J2717" s="17"/>
      <c r="K2717" s="17"/>
    </row>
    <row r="2718" spans="1:11" x14ac:dyDescent="0.2">
      <c r="A2718" s="115"/>
      <c r="B2718" s="93"/>
      <c r="C2718" s="94"/>
      <c r="D2718" s="95"/>
      <c r="E2718" s="95"/>
      <c r="F2718" s="96"/>
      <c r="G2718" s="97"/>
      <c r="H2718" s="114" t="str">
        <f t="shared" si="32"/>
        <v/>
      </c>
      <c r="I2718" s="17"/>
      <c r="J2718" s="17"/>
      <c r="K2718" s="17"/>
    </row>
    <row r="2719" spans="1:11" x14ac:dyDescent="0.2">
      <c r="A2719" s="115"/>
      <c r="B2719" s="93"/>
      <c r="C2719" s="94"/>
      <c r="D2719" s="95"/>
      <c r="E2719" s="95"/>
      <c r="F2719" s="96"/>
      <c r="G2719" s="97"/>
      <c r="H2719" s="114" t="str">
        <f t="shared" si="32"/>
        <v/>
      </c>
      <c r="I2719" s="17"/>
      <c r="J2719" s="17"/>
      <c r="K2719" s="17"/>
    </row>
    <row r="2720" spans="1:11" x14ac:dyDescent="0.2">
      <c r="A2720" s="115"/>
      <c r="B2720" s="93"/>
      <c r="C2720" s="94"/>
      <c r="D2720" s="95"/>
      <c r="E2720" s="95"/>
      <c r="F2720" s="96"/>
      <c r="G2720" s="97"/>
      <c r="H2720" s="114" t="str">
        <f t="shared" si="32"/>
        <v/>
      </c>
      <c r="I2720" s="17"/>
      <c r="J2720" s="17"/>
      <c r="K2720" s="17"/>
    </row>
    <row r="2721" spans="1:11" x14ac:dyDescent="0.2">
      <c r="A2721" s="115"/>
      <c r="B2721" s="93"/>
      <c r="C2721" s="94"/>
      <c r="D2721" s="95"/>
      <c r="E2721" s="95"/>
      <c r="F2721" s="96"/>
      <c r="G2721" s="97"/>
      <c r="H2721" s="114" t="str">
        <f t="shared" si="32"/>
        <v/>
      </c>
      <c r="I2721" s="17"/>
      <c r="J2721" s="17"/>
      <c r="K2721" s="17"/>
    </row>
    <row r="2722" spans="1:11" x14ac:dyDescent="0.2">
      <c r="A2722" s="115"/>
      <c r="B2722" s="93"/>
      <c r="C2722" s="94"/>
      <c r="D2722" s="95"/>
      <c r="E2722" s="95"/>
      <c r="F2722" s="96"/>
      <c r="G2722" s="97"/>
      <c r="H2722" s="114" t="str">
        <f t="shared" si="32"/>
        <v/>
      </c>
      <c r="I2722" s="17"/>
      <c r="J2722" s="17"/>
      <c r="K2722" s="17"/>
    </row>
    <row r="2723" spans="1:11" x14ac:dyDescent="0.2">
      <c r="A2723" s="115"/>
      <c r="B2723" s="93"/>
      <c r="C2723" s="94"/>
      <c r="D2723" s="95"/>
      <c r="E2723" s="95"/>
      <c r="F2723" s="96"/>
      <c r="G2723" s="97"/>
      <c r="H2723" s="114" t="str">
        <f t="shared" si="32"/>
        <v/>
      </c>
      <c r="I2723" s="17"/>
      <c r="J2723" s="17"/>
      <c r="K2723" s="17"/>
    </row>
    <row r="2724" spans="1:11" x14ac:dyDescent="0.2">
      <c r="A2724" s="115"/>
      <c r="B2724" s="93"/>
      <c r="C2724" s="94"/>
      <c r="D2724" s="95"/>
      <c r="E2724" s="95"/>
      <c r="F2724" s="96"/>
      <c r="G2724" s="97"/>
      <c r="H2724" s="114" t="str">
        <f t="shared" si="32"/>
        <v/>
      </c>
      <c r="I2724" s="17"/>
      <c r="J2724" s="17"/>
      <c r="K2724" s="17"/>
    </row>
    <row r="2725" spans="1:11" x14ac:dyDescent="0.2">
      <c r="A2725" s="115"/>
      <c r="B2725" s="93"/>
      <c r="C2725" s="94"/>
      <c r="D2725" s="95"/>
      <c r="E2725" s="95"/>
      <c r="F2725" s="96"/>
      <c r="G2725" s="97"/>
      <c r="H2725" s="114" t="str">
        <f t="shared" si="32"/>
        <v/>
      </c>
      <c r="I2725" s="17"/>
      <c r="J2725" s="17"/>
      <c r="K2725" s="17"/>
    </row>
    <row r="2726" spans="1:11" x14ac:dyDescent="0.2">
      <c r="A2726" s="115"/>
      <c r="B2726" s="93"/>
      <c r="C2726" s="94"/>
      <c r="D2726" s="95"/>
      <c r="E2726" s="95"/>
      <c r="F2726" s="96"/>
      <c r="G2726" s="97"/>
      <c r="H2726" s="114" t="str">
        <f t="shared" si="32"/>
        <v/>
      </c>
      <c r="I2726" s="17"/>
      <c r="J2726" s="17"/>
      <c r="K2726" s="17"/>
    </row>
    <row r="2727" spans="1:11" x14ac:dyDescent="0.2">
      <c r="A2727" s="115"/>
      <c r="B2727" s="93"/>
      <c r="C2727" s="94"/>
      <c r="D2727" s="95"/>
      <c r="E2727" s="95"/>
      <c r="F2727" s="96"/>
      <c r="G2727" s="97"/>
      <c r="H2727" s="114" t="str">
        <f t="shared" si="32"/>
        <v/>
      </c>
      <c r="I2727" s="17"/>
      <c r="J2727" s="17"/>
      <c r="K2727" s="17"/>
    </row>
    <row r="2728" spans="1:11" x14ac:dyDescent="0.2">
      <c r="A2728" s="115"/>
      <c r="B2728" s="93"/>
      <c r="C2728" s="94"/>
      <c r="D2728" s="95"/>
      <c r="E2728" s="95"/>
      <c r="F2728" s="96"/>
      <c r="G2728" s="97"/>
      <c r="H2728" s="114" t="str">
        <f t="shared" si="32"/>
        <v/>
      </c>
      <c r="I2728" s="17"/>
      <c r="J2728" s="17"/>
      <c r="K2728" s="17"/>
    </row>
    <row r="2729" spans="1:11" x14ac:dyDescent="0.2">
      <c r="A2729" s="115"/>
      <c r="B2729" s="93"/>
      <c r="C2729" s="94"/>
      <c r="D2729" s="95"/>
      <c r="E2729" s="95"/>
      <c r="F2729" s="96"/>
      <c r="G2729" s="97"/>
      <c r="H2729" s="114" t="str">
        <f t="shared" si="32"/>
        <v/>
      </c>
      <c r="I2729" s="17"/>
      <c r="J2729" s="17"/>
      <c r="K2729" s="17"/>
    </row>
    <row r="2730" spans="1:11" x14ac:dyDescent="0.2">
      <c r="A2730" s="115"/>
      <c r="B2730" s="93"/>
      <c r="C2730" s="94"/>
      <c r="D2730" s="95"/>
      <c r="E2730" s="95"/>
      <c r="F2730" s="96"/>
      <c r="G2730" s="97"/>
      <c r="H2730" s="114" t="str">
        <f t="shared" si="32"/>
        <v/>
      </c>
      <c r="I2730" s="17"/>
      <c r="J2730" s="17"/>
      <c r="K2730" s="17"/>
    </row>
    <row r="2731" spans="1:11" x14ac:dyDescent="0.2">
      <c r="A2731" s="115"/>
      <c r="B2731" s="93"/>
      <c r="C2731" s="94"/>
      <c r="D2731" s="95"/>
      <c r="E2731" s="95"/>
      <c r="F2731" s="96"/>
      <c r="G2731" s="97"/>
      <c r="H2731" s="114" t="str">
        <f t="shared" si="32"/>
        <v/>
      </c>
      <c r="I2731" s="17"/>
      <c r="J2731" s="17"/>
      <c r="K2731" s="17"/>
    </row>
    <row r="2732" spans="1:11" x14ac:dyDescent="0.2">
      <c r="A2732" s="115"/>
      <c r="B2732" s="93"/>
      <c r="C2732" s="94"/>
      <c r="D2732" s="95"/>
      <c r="E2732" s="95"/>
      <c r="F2732" s="96"/>
      <c r="G2732" s="97"/>
      <c r="H2732" s="114" t="str">
        <f t="shared" si="32"/>
        <v/>
      </c>
      <c r="I2732" s="17"/>
      <c r="J2732" s="17"/>
      <c r="K2732" s="17"/>
    </row>
    <row r="2733" spans="1:11" x14ac:dyDescent="0.2">
      <c r="A2733" s="115"/>
      <c r="B2733" s="93"/>
      <c r="C2733" s="94"/>
      <c r="D2733" s="95"/>
      <c r="E2733" s="95"/>
      <c r="F2733" s="96"/>
      <c r="G2733" s="97"/>
      <c r="H2733" s="114" t="str">
        <f t="shared" si="32"/>
        <v/>
      </c>
      <c r="I2733" s="17"/>
      <c r="J2733" s="17"/>
      <c r="K2733" s="17"/>
    </row>
    <row r="2734" spans="1:11" x14ac:dyDescent="0.2">
      <c r="A2734" s="115"/>
      <c r="B2734" s="93"/>
      <c r="C2734" s="94"/>
      <c r="D2734" s="95"/>
      <c r="E2734" s="95"/>
      <c r="F2734" s="96"/>
      <c r="G2734" s="97"/>
      <c r="H2734" s="114" t="str">
        <f t="shared" si="32"/>
        <v/>
      </c>
      <c r="I2734" s="17"/>
      <c r="J2734" s="17"/>
      <c r="K2734" s="17"/>
    </row>
    <row r="2735" spans="1:11" x14ac:dyDescent="0.2">
      <c r="A2735" s="115"/>
      <c r="B2735" s="93"/>
      <c r="C2735" s="94"/>
      <c r="D2735" s="95"/>
      <c r="E2735" s="95"/>
      <c r="F2735" s="96"/>
      <c r="G2735" s="97"/>
      <c r="H2735" s="114" t="str">
        <f t="shared" si="32"/>
        <v/>
      </c>
      <c r="I2735" s="17"/>
      <c r="J2735" s="17"/>
      <c r="K2735" s="17"/>
    </row>
    <row r="2736" spans="1:11" x14ac:dyDescent="0.2">
      <c r="A2736" s="115"/>
      <c r="B2736" s="93"/>
      <c r="C2736" s="94"/>
      <c r="D2736" s="95"/>
      <c r="E2736" s="95"/>
      <c r="F2736" s="96"/>
      <c r="G2736" s="97"/>
      <c r="H2736" s="114" t="str">
        <f t="shared" si="32"/>
        <v/>
      </c>
      <c r="I2736" s="17"/>
      <c r="J2736" s="17"/>
      <c r="K2736" s="17"/>
    </row>
    <row r="2737" spans="1:11" x14ac:dyDescent="0.2">
      <c r="A2737" s="115"/>
      <c r="B2737" s="93"/>
      <c r="C2737" s="94"/>
      <c r="D2737" s="95"/>
      <c r="E2737" s="95"/>
      <c r="F2737" s="96"/>
      <c r="G2737" s="97"/>
      <c r="H2737" s="114" t="str">
        <f t="shared" si="32"/>
        <v/>
      </c>
      <c r="I2737" s="17"/>
      <c r="J2737" s="17"/>
      <c r="K2737" s="17"/>
    </row>
    <row r="2738" spans="1:11" x14ac:dyDescent="0.2">
      <c r="A2738" s="115"/>
      <c r="B2738" s="93"/>
      <c r="C2738" s="94"/>
      <c r="D2738" s="95"/>
      <c r="E2738" s="95"/>
      <c r="F2738" s="96"/>
      <c r="G2738" s="97"/>
      <c r="H2738" s="114" t="str">
        <f t="shared" si="32"/>
        <v/>
      </c>
      <c r="I2738" s="17"/>
      <c r="J2738" s="17"/>
      <c r="K2738" s="17"/>
    </row>
    <row r="2739" spans="1:11" x14ac:dyDescent="0.2">
      <c r="A2739" s="115"/>
      <c r="B2739" s="93"/>
      <c r="C2739" s="94"/>
      <c r="D2739" s="95"/>
      <c r="E2739" s="95"/>
      <c r="F2739" s="96"/>
      <c r="G2739" s="97"/>
      <c r="H2739" s="114" t="str">
        <f t="shared" si="32"/>
        <v/>
      </c>
      <c r="I2739" s="17"/>
      <c r="J2739" s="17"/>
      <c r="K2739" s="17"/>
    </row>
    <row r="2740" spans="1:11" x14ac:dyDescent="0.2">
      <c r="A2740" s="115"/>
      <c r="B2740" s="93"/>
      <c r="C2740" s="94"/>
      <c r="D2740" s="95"/>
      <c r="E2740" s="95"/>
      <c r="F2740" s="96"/>
      <c r="G2740" s="97"/>
      <c r="H2740" s="114" t="str">
        <f t="shared" si="32"/>
        <v/>
      </c>
      <c r="I2740" s="17"/>
      <c r="J2740" s="17"/>
      <c r="K2740" s="17"/>
    </row>
    <row r="2741" spans="1:11" x14ac:dyDescent="0.2">
      <c r="A2741" s="115"/>
      <c r="B2741" s="93"/>
      <c r="C2741" s="94"/>
      <c r="D2741" s="95"/>
      <c r="E2741" s="95"/>
      <c r="F2741" s="96"/>
      <c r="G2741" s="97"/>
      <c r="H2741" s="114" t="str">
        <f t="shared" si="32"/>
        <v/>
      </c>
      <c r="I2741" s="17"/>
      <c r="J2741" s="17"/>
      <c r="K2741" s="17"/>
    </row>
    <row r="2742" spans="1:11" x14ac:dyDescent="0.2">
      <c r="A2742" s="115"/>
      <c r="B2742" s="93"/>
      <c r="C2742" s="94"/>
      <c r="D2742" s="95"/>
      <c r="E2742" s="95"/>
      <c r="F2742" s="96"/>
      <c r="G2742" s="97"/>
      <c r="H2742" s="114" t="str">
        <f t="shared" si="32"/>
        <v/>
      </c>
      <c r="I2742" s="17"/>
      <c r="J2742" s="17"/>
      <c r="K2742" s="17"/>
    </row>
    <row r="2743" spans="1:11" x14ac:dyDescent="0.2">
      <c r="A2743" s="115"/>
      <c r="B2743" s="93"/>
      <c r="C2743" s="94"/>
      <c r="D2743" s="95"/>
      <c r="E2743" s="95"/>
      <c r="F2743" s="96"/>
      <c r="G2743" s="97"/>
      <c r="H2743" s="114" t="str">
        <f t="shared" si="32"/>
        <v/>
      </c>
      <c r="I2743" s="17"/>
      <c r="J2743" s="17"/>
      <c r="K2743" s="17"/>
    </row>
    <row r="2744" spans="1:11" x14ac:dyDescent="0.2">
      <c r="A2744" s="115"/>
      <c r="B2744" s="93"/>
      <c r="C2744" s="94"/>
      <c r="D2744" s="95"/>
      <c r="E2744" s="95"/>
      <c r="F2744" s="96"/>
      <c r="G2744" s="97"/>
      <c r="H2744" s="114" t="str">
        <f t="shared" si="32"/>
        <v/>
      </c>
      <c r="I2744" s="17"/>
      <c r="J2744" s="17"/>
      <c r="K2744" s="17"/>
    </row>
    <row r="2745" spans="1:11" x14ac:dyDescent="0.2">
      <c r="A2745" s="115"/>
      <c r="B2745" s="93"/>
      <c r="C2745" s="94"/>
      <c r="D2745" s="95"/>
      <c r="E2745" s="95"/>
      <c r="F2745" s="96"/>
      <c r="G2745" s="97"/>
      <c r="H2745" s="114" t="str">
        <f t="shared" si="32"/>
        <v/>
      </c>
      <c r="I2745" s="17"/>
      <c r="J2745" s="17"/>
      <c r="K2745" s="17"/>
    </row>
    <row r="2746" spans="1:11" x14ac:dyDescent="0.2">
      <c r="A2746" s="115"/>
      <c r="B2746" s="93"/>
      <c r="C2746" s="94"/>
      <c r="D2746" s="95"/>
      <c r="E2746" s="95"/>
      <c r="F2746" s="96"/>
      <c r="G2746" s="97"/>
      <c r="H2746" s="114" t="str">
        <f t="shared" si="32"/>
        <v/>
      </c>
      <c r="I2746" s="17"/>
      <c r="J2746" s="17"/>
      <c r="K2746" s="17"/>
    </row>
    <row r="2747" spans="1:11" x14ac:dyDescent="0.2">
      <c r="A2747" s="115"/>
      <c r="B2747" s="93"/>
      <c r="C2747" s="94"/>
      <c r="D2747" s="95"/>
      <c r="E2747" s="95"/>
      <c r="F2747" s="96"/>
      <c r="G2747" s="97"/>
      <c r="H2747" s="114" t="str">
        <f t="shared" si="32"/>
        <v/>
      </c>
      <c r="I2747" s="17"/>
      <c r="J2747" s="17"/>
      <c r="K2747" s="17"/>
    </row>
    <row r="2748" spans="1:11" x14ac:dyDescent="0.2">
      <c r="A2748" s="115"/>
      <c r="B2748" s="93"/>
      <c r="C2748" s="94"/>
      <c r="D2748" s="95"/>
      <c r="E2748" s="95"/>
      <c r="F2748" s="96"/>
      <c r="G2748" s="97"/>
      <c r="H2748" s="114" t="str">
        <f t="shared" si="32"/>
        <v/>
      </c>
      <c r="I2748" s="17"/>
      <c r="J2748" s="17"/>
      <c r="K2748" s="17"/>
    </row>
    <row r="2749" spans="1:11" x14ac:dyDescent="0.2">
      <c r="A2749" s="115"/>
      <c r="B2749" s="93"/>
      <c r="C2749" s="94"/>
      <c r="D2749" s="95"/>
      <c r="E2749" s="95"/>
      <c r="F2749" s="96"/>
      <c r="G2749" s="97"/>
      <c r="H2749" s="114" t="str">
        <f t="shared" si="32"/>
        <v/>
      </c>
      <c r="I2749" s="17"/>
      <c r="J2749" s="17"/>
      <c r="K2749" s="17"/>
    </row>
    <row r="2750" spans="1:11" x14ac:dyDescent="0.2">
      <c r="A2750" s="115"/>
      <c r="B2750" s="93"/>
      <c r="C2750" s="94"/>
      <c r="D2750" s="95"/>
      <c r="E2750" s="95"/>
      <c r="F2750" s="96"/>
      <c r="G2750" s="97"/>
      <c r="H2750" s="114" t="str">
        <f t="shared" si="32"/>
        <v/>
      </c>
      <c r="I2750" s="17"/>
      <c r="J2750" s="17"/>
      <c r="K2750" s="17"/>
    </row>
    <row r="2751" spans="1:11" x14ac:dyDescent="0.2">
      <c r="A2751" s="115"/>
      <c r="B2751" s="93"/>
      <c r="C2751" s="94"/>
      <c r="D2751" s="95"/>
      <c r="E2751" s="95"/>
      <c r="F2751" s="96"/>
      <c r="G2751" s="97"/>
      <c r="H2751" s="114" t="str">
        <f t="shared" si="32"/>
        <v/>
      </c>
      <c r="I2751" s="17"/>
      <c r="J2751" s="17"/>
      <c r="K2751" s="17"/>
    </row>
    <row r="2752" spans="1:11" x14ac:dyDescent="0.2">
      <c r="A2752" s="115"/>
      <c r="B2752" s="93"/>
      <c r="C2752" s="94"/>
      <c r="D2752" s="95"/>
      <c r="E2752" s="95"/>
      <c r="F2752" s="96"/>
      <c r="G2752" s="97"/>
      <c r="H2752" s="114" t="str">
        <f t="shared" si="32"/>
        <v/>
      </c>
      <c r="I2752" s="17"/>
      <c r="J2752" s="17"/>
      <c r="K2752" s="17"/>
    </row>
    <row r="2753" spans="1:11" x14ac:dyDescent="0.2">
      <c r="A2753" s="115"/>
      <c r="B2753" s="93"/>
      <c r="C2753" s="94"/>
      <c r="D2753" s="95"/>
      <c r="E2753" s="95"/>
      <c r="F2753" s="96"/>
      <c r="G2753" s="97"/>
      <c r="H2753" s="114" t="str">
        <f t="shared" si="32"/>
        <v/>
      </c>
      <c r="I2753" s="17"/>
      <c r="J2753" s="17"/>
      <c r="K2753" s="17"/>
    </row>
    <row r="2754" spans="1:11" x14ac:dyDescent="0.2">
      <c r="A2754" s="115"/>
      <c r="B2754" s="93"/>
      <c r="C2754" s="94"/>
      <c r="D2754" s="95"/>
      <c r="E2754" s="95"/>
      <c r="F2754" s="96"/>
      <c r="G2754" s="97"/>
      <c r="H2754" s="114" t="str">
        <f t="shared" si="32"/>
        <v/>
      </c>
      <c r="I2754" s="17"/>
      <c r="J2754" s="17"/>
      <c r="K2754" s="17"/>
    </row>
    <row r="2755" spans="1:11" x14ac:dyDescent="0.2">
      <c r="A2755" s="115"/>
      <c r="B2755" s="93"/>
      <c r="C2755" s="94"/>
      <c r="D2755" s="95"/>
      <c r="E2755" s="95"/>
      <c r="F2755" s="96"/>
      <c r="G2755" s="97"/>
      <c r="H2755" s="114" t="str">
        <f t="shared" si="32"/>
        <v/>
      </c>
      <c r="I2755" s="17"/>
      <c r="J2755" s="17"/>
      <c r="K2755" s="17"/>
    </row>
    <row r="2756" spans="1:11" x14ac:dyDescent="0.2">
      <c r="A2756" s="115"/>
      <c r="B2756" s="93"/>
      <c r="C2756" s="94"/>
      <c r="D2756" s="95"/>
      <c r="E2756" s="95"/>
      <c r="F2756" s="96"/>
      <c r="G2756" s="97"/>
      <c r="H2756" s="114" t="str">
        <f t="shared" ref="H2756:H2819" si="33">IF(A2756&lt;&gt;"", EOMONTH(A2756, -1) + 1, "")</f>
        <v/>
      </c>
      <c r="I2756" s="17"/>
      <c r="J2756" s="17"/>
      <c r="K2756" s="17"/>
    </row>
    <row r="2757" spans="1:11" x14ac:dyDescent="0.2">
      <c r="A2757" s="115"/>
      <c r="B2757" s="93"/>
      <c r="C2757" s="94"/>
      <c r="D2757" s="95"/>
      <c r="E2757" s="95"/>
      <c r="F2757" s="96"/>
      <c r="G2757" s="97"/>
      <c r="H2757" s="114" t="str">
        <f t="shared" si="33"/>
        <v/>
      </c>
      <c r="I2757" s="17"/>
      <c r="J2757" s="17"/>
      <c r="K2757" s="17"/>
    </row>
    <row r="2758" spans="1:11" x14ac:dyDescent="0.2">
      <c r="A2758" s="115"/>
      <c r="B2758" s="93"/>
      <c r="C2758" s="94"/>
      <c r="D2758" s="95"/>
      <c r="E2758" s="95"/>
      <c r="F2758" s="96"/>
      <c r="G2758" s="97"/>
      <c r="H2758" s="114" t="str">
        <f t="shared" si="33"/>
        <v/>
      </c>
      <c r="I2758" s="17"/>
      <c r="J2758" s="17"/>
      <c r="K2758" s="17"/>
    </row>
    <row r="2759" spans="1:11" x14ac:dyDescent="0.2">
      <c r="A2759" s="115"/>
      <c r="B2759" s="93"/>
      <c r="C2759" s="94"/>
      <c r="D2759" s="95"/>
      <c r="E2759" s="95"/>
      <c r="F2759" s="96"/>
      <c r="G2759" s="97"/>
      <c r="H2759" s="114" t="str">
        <f t="shared" si="33"/>
        <v/>
      </c>
      <c r="I2759" s="17"/>
      <c r="J2759" s="17"/>
      <c r="K2759" s="17"/>
    </row>
    <row r="2760" spans="1:11" x14ac:dyDescent="0.2">
      <c r="A2760" s="115"/>
      <c r="B2760" s="93"/>
      <c r="C2760" s="94"/>
      <c r="D2760" s="95"/>
      <c r="E2760" s="95"/>
      <c r="F2760" s="96"/>
      <c r="G2760" s="97"/>
      <c r="H2760" s="114" t="str">
        <f t="shared" si="33"/>
        <v/>
      </c>
      <c r="I2760" s="17"/>
      <c r="J2760" s="17"/>
      <c r="K2760" s="17"/>
    </row>
    <row r="2761" spans="1:11" x14ac:dyDescent="0.2">
      <c r="A2761" s="115"/>
      <c r="B2761" s="93"/>
      <c r="C2761" s="94"/>
      <c r="D2761" s="95"/>
      <c r="E2761" s="95"/>
      <c r="F2761" s="96"/>
      <c r="G2761" s="97"/>
      <c r="H2761" s="114" t="str">
        <f t="shared" si="33"/>
        <v/>
      </c>
      <c r="I2761" s="17"/>
      <c r="J2761" s="17"/>
      <c r="K2761" s="17"/>
    </row>
    <row r="2762" spans="1:11" x14ac:dyDescent="0.2">
      <c r="A2762" s="115"/>
      <c r="B2762" s="93"/>
      <c r="C2762" s="94"/>
      <c r="D2762" s="95"/>
      <c r="E2762" s="95"/>
      <c r="F2762" s="96"/>
      <c r="G2762" s="97"/>
      <c r="H2762" s="114" t="str">
        <f t="shared" si="33"/>
        <v/>
      </c>
      <c r="I2762" s="17"/>
      <c r="J2762" s="17"/>
      <c r="K2762" s="17"/>
    </row>
    <row r="2763" spans="1:11" x14ac:dyDescent="0.2">
      <c r="A2763" s="115"/>
      <c r="B2763" s="93"/>
      <c r="C2763" s="94"/>
      <c r="D2763" s="95"/>
      <c r="E2763" s="95"/>
      <c r="F2763" s="96"/>
      <c r="G2763" s="97"/>
      <c r="H2763" s="114" t="str">
        <f t="shared" si="33"/>
        <v/>
      </c>
      <c r="I2763" s="17"/>
      <c r="J2763" s="17"/>
      <c r="K2763" s="17"/>
    </row>
    <row r="2764" spans="1:11" x14ac:dyDescent="0.2">
      <c r="A2764" s="115"/>
      <c r="B2764" s="93"/>
      <c r="C2764" s="94"/>
      <c r="D2764" s="95"/>
      <c r="E2764" s="95"/>
      <c r="F2764" s="96"/>
      <c r="G2764" s="97"/>
      <c r="H2764" s="114" t="str">
        <f t="shared" si="33"/>
        <v/>
      </c>
      <c r="I2764" s="17"/>
      <c r="J2764" s="17"/>
      <c r="K2764" s="17"/>
    </row>
    <row r="2765" spans="1:11" x14ac:dyDescent="0.2">
      <c r="A2765" s="115"/>
      <c r="B2765" s="93"/>
      <c r="C2765" s="94"/>
      <c r="D2765" s="95"/>
      <c r="E2765" s="95"/>
      <c r="F2765" s="96"/>
      <c r="G2765" s="97"/>
      <c r="H2765" s="114" t="str">
        <f t="shared" si="33"/>
        <v/>
      </c>
      <c r="I2765" s="17"/>
      <c r="J2765" s="17"/>
      <c r="K2765" s="17"/>
    </row>
    <row r="2766" spans="1:11" x14ac:dyDescent="0.2">
      <c r="A2766" s="115"/>
      <c r="B2766" s="93"/>
      <c r="C2766" s="94"/>
      <c r="D2766" s="95"/>
      <c r="E2766" s="95"/>
      <c r="F2766" s="96"/>
      <c r="G2766" s="97"/>
      <c r="H2766" s="114" t="str">
        <f t="shared" si="33"/>
        <v/>
      </c>
      <c r="I2766" s="17"/>
      <c r="J2766" s="17"/>
      <c r="K2766" s="17"/>
    </row>
    <row r="2767" spans="1:11" x14ac:dyDescent="0.2">
      <c r="A2767" s="115"/>
      <c r="B2767" s="93"/>
      <c r="C2767" s="94"/>
      <c r="D2767" s="95"/>
      <c r="E2767" s="95"/>
      <c r="F2767" s="96"/>
      <c r="G2767" s="97"/>
      <c r="H2767" s="114" t="str">
        <f t="shared" si="33"/>
        <v/>
      </c>
      <c r="I2767" s="17"/>
      <c r="J2767" s="17"/>
      <c r="K2767" s="17"/>
    </row>
    <row r="2768" spans="1:11" x14ac:dyDescent="0.2">
      <c r="A2768" s="115"/>
      <c r="B2768" s="93"/>
      <c r="C2768" s="94"/>
      <c r="D2768" s="95"/>
      <c r="E2768" s="95"/>
      <c r="F2768" s="96"/>
      <c r="G2768" s="97"/>
      <c r="H2768" s="114" t="str">
        <f t="shared" si="33"/>
        <v/>
      </c>
      <c r="I2768" s="17"/>
      <c r="J2768" s="17"/>
      <c r="K2768" s="17"/>
    </row>
    <row r="2769" spans="1:11" x14ac:dyDescent="0.2">
      <c r="A2769" s="115"/>
      <c r="B2769" s="93"/>
      <c r="C2769" s="94"/>
      <c r="D2769" s="95"/>
      <c r="E2769" s="95"/>
      <c r="F2769" s="96"/>
      <c r="G2769" s="97"/>
      <c r="H2769" s="114" t="str">
        <f t="shared" si="33"/>
        <v/>
      </c>
      <c r="I2769" s="17"/>
      <c r="J2769" s="17"/>
      <c r="K2769" s="17"/>
    </row>
    <row r="2770" spans="1:11" x14ac:dyDescent="0.2">
      <c r="A2770" s="115"/>
      <c r="B2770" s="93"/>
      <c r="C2770" s="94"/>
      <c r="D2770" s="95"/>
      <c r="E2770" s="95"/>
      <c r="F2770" s="96"/>
      <c r="G2770" s="97"/>
      <c r="H2770" s="114" t="str">
        <f t="shared" si="33"/>
        <v/>
      </c>
      <c r="I2770" s="17"/>
      <c r="J2770" s="17"/>
      <c r="K2770" s="17"/>
    </row>
    <row r="2771" spans="1:11" x14ac:dyDescent="0.2">
      <c r="A2771" s="115"/>
      <c r="B2771" s="93"/>
      <c r="C2771" s="94"/>
      <c r="D2771" s="95"/>
      <c r="E2771" s="95"/>
      <c r="F2771" s="96"/>
      <c r="G2771" s="97"/>
      <c r="H2771" s="114" t="str">
        <f t="shared" si="33"/>
        <v/>
      </c>
      <c r="I2771" s="17"/>
      <c r="J2771" s="17"/>
      <c r="K2771" s="17"/>
    </row>
    <row r="2772" spans="1:11" x14ac:dyDescent="0.2">
      <c r="A2772" s="115"/>
      <c r="B2772" s="93"/>
      <c r="C2772" s="94"/>
      <c r="D2772" s="95"/>
      <c r="E2772" s="95"/>
      <c r="F2772" s="96"/>
      <c r="G2772" s="97"/>
      <c r="H2772" s="114" t="str">
        <f t="shared" si="33"/>
        <v/>
      </c>
      <c r="I2772" s="17"/>
      <c r="J2772" s="17"/>
      <c r="K2772" s="17"/>
    </row>
    <row r="2773" spans="1:11" x14ac:dyDescent="0.2">
      <c r="A2773" s="115"/>
      <c r="B2773" s="93"/>
      <c r="C2773" s="94"/>
      <c r="D2773" s="95"/>
      <c r="E2773" s="95"/>
      <c r="F2773" s="96"/>
      <c r="G2773" s="97"/>
      <c r="H2773" s="114" t="str">
        <f t="shared" si="33"/>
        <v/>
      </c>
      <c r="I2773" s="17"/>
      <c r="J2773" s="17"/>
      <c r="K2773" s="17"/>
    </row>
    <row r="2774" spans="1:11" x14ac:dyDescent="0.2">
      <c r="A2774" s="115"/>
      <c r="B2774" s="93"/>
      <c r="C2774" s="94"/>
      <c r="D2774" s="95"/>
      <c r="E2774" s="95"/>
      <c r="F2774" s="96"/>
      <c r="G2774" s="97"/>
      <c r="H2774" s="114" t="str">
        <f t="shared" si="33"/>
        <v/>
      </c>
      <c r="I2774" s="17"/>
      <c r="J2774" s="17"/>
      <c r="K2774" s="17"/>
    </row>
    <row r="2775" spans="1:11" x14ac:dyDescent="0.2">
      <c r="A2775" s="115"/>
      <c r="B2775" s="93"/>
      <c r="C2775" s="94"/>
      <c r="D2775" s="95"/>
      <c r="E2775" s="95"/>
      <c r="F2775" s="96"/>
      <c r="G2775" s="97"/>
      <c r="H2775" s="114" t="str">
        <f t="shared" si="33"/>
        <v/>
      </c>
      <c r="I2775" s="17"/>
      <c r="J2775" s="17"/>
      <c r="K2775" s="17"/>
    </row>
    <row r="2776" spans="1:11" x14ac:dyDescent="0.2">
      <c r="A2776" s="115"/>
      <c r="B2776" s="93"/>
      <c r="C2776" s="94"/>
      <c r="D2776" s="95"/>
      <c r="E2776" s="95"/>
      <c r="F2776" s="96"/>
      <c r="G2776" s="97"/>
      <c r="H2776" s="114" t="str">
        <f t="shared" si="33"/>
        <v/>
      </c>
      <c r="I2776" s="17"/>
      <c r="J2776" s="17"/>
      <c r="K2776" s="17"/>
    </row>
    <row r="2777" spans="1:11" x14ac:dyDescent="0.2">
      <c r="A2777" s="115"/>
      <c r="B2777" s="93"/>
      <c r="C2777" s="94"/>
      <c r="D2777" s="95"/>
      <c r="E2777" s="95"/>
      <c r="F2777" s="96"/>
      <c r="G2777" s="97"/>
      <c r="H2777" s="114" t="str">
        <f t="shared" si="33"/>
        <v/>
      </c>
      <c r="I2777" s="17"/>
      <c r="J2777" s="17"/>
      <c r="K2777" s="17"/>
    </row>
    <row r="2778" spans="1:11" x14ac:dyDescent="0.2">
      <c r="A2778" s="115"/>
      <c r="B2778" s="93"/>
      <c r="C2778" s="94"/>
      <c r="D2778" s="95"/>
      <c r="E2778" s="95"/>
      <c r="F2778" s="96"/>
      <c r="G2778" s="97"/>
      <c r="H2778" s="114" t="str">
        <f t="shared" si="33"/>
        <v/>
      </c>
      <c r="I2778" s="17"/>
      <c r="J2778" s="17"/>
      <c r="K2778" s="17"/>
    </row>
    <row r="2779" spans="1:11" x14ac:dyDescent="0.2">
      <c r="A2779" s="115"/>
      <c r="B2779" s="93"/>
      <c r="C2779" s="94"/>
      <c r="D2779" s="95"/>
      <c r="E2779" s="95"/>
      <c r="F2779" s="96"/>
      <c r="G2779" s="97"/>
      <c r="H2779" s="114" t="str">
        <f t="shared" si="33"/>
        <v/>
      </c>
      <c r="I2779" s="17"/>
      <c r="J2779" s="17"/>
      <c r="K2779" s="17"/>
    </row>
    <row r="2780" spans="1:11" x14ac:dyDescent="0.2">
      <c r="A2780" s="115"/>
      <c r="B2780" s="93"/>
      <c r="C2780" s="94"/>
      <c r="D2780" s="95"/>
      <c r="E2780" s="95"/>
      <c r="F2780" s="96"/>
      <c r="G2780" s="97"/>
      <c r="H2780" s="114" t="str">
        <f t="shared" si="33"/>
        <v/>
      </c>
      <c r="I2780" s="17"/>
      <c r="J2780" s="17"/>
      <c r="K2780" s="17"/>
    </row>
    <row r="2781" spans="1:11" x14ac:dyDescent="0.2">
      <c r="A2781" s="115"/>
      <c r="B2781" s="93"/>
      <c r="C2781" s="94"/>
      <c r="D2781" s="95"/>
      <c r="E2781" s="95"/>
      <c r="F2781" s="96"/>
      <c r="G2781" s="97"/>
      <c r="H2781" s="114" t="str">
        <f t="shared" si="33"/>
        <v/>
      </c>
      <c r="I2781" s="17"/>
      <c r="J2781" s="17"/>
      <c r="K2781" s="17"/>
    </row>
    <row r="2782" spans="1:11" x14ac:dyDescent="0.2">
      <c r="A2782" s="115"/>
      <c r="B2782" s="93"/>
      <c r="C2782" s="94"/>
      <c r="D2782" s="95"/>
      <c r="E2782" s="95"/>
      <c r="F2782" s="96"/>
      <c r="G2782" s="97"/>
      <c r="H2782" s="114" t="str">
        <f t="shared" si="33"/>
        <v/>
      </c>
      <c r="I2782" s="17"/>
      <c r="J2782" s="17"/>
      <c r="K2782" s="17"/>
    </row>
    <row r="2783" spans="1:11" x14ac:dyDescent="0.2">
      <c r="A2783" s="115"/>
      <c r="B2783" s="93"/>
      <c r="C2783" s="94"/>
      <c r="D2783" s="95"/>
      <c r="E2783" s="95"/>
      <c r="F2783" s="96"/>
      <c r="G2783" s="97"/>
      <c r="H2783" s="114" t="str">
        <f t="shared" si="33"/>
        <v/>
      </c>
      <c r="I2783" s="17"/>
      <c r="J2783" s="17"/>
      <c r="K2783" s="17"/>
    </row>
    <row r="2784" spans="1:11" x14ac:dyDescent="0.2">
      <c r="A2784" s="115"/>
      <c r="B2784" s="93"/>
      <c r="C2784" s="94"/>
      <c r="D2784" s="95"/>
      <c r="E2784" s="95"/>
      <c r="F2784" s="96"/>
      <c r="G2784" s="97"/>
      <c r="H2784" s="114" t="str">
        <f t="shared" si="33"/>
        <v/>
      </c>
      <c r="I2784" s="17"/>
      <c r="J2784" s="17"/>
      <c r="K2784" s="17"/>
    </row>
    <row r="2785" spans="1:11" x14ac:dyDescent="0.2">
      <c r="A2785" s="115"/>
      <c r="B2785" s="93"/>
      <c r="C2785" s="94"/>
      <c r="D2785" s="95"/>
      <c r="E2785" s="95"/>
      <c r="F2785" s="96"/>
      <c r="G2785" s="97"/>
      <c r="H2785" s="114" t="str">
        <f t="shared" si="33"/>
        <v/>
      </c>
      <c r="I2785" s="17"/>
      <c r="J2785" s="17"/>
      <c r="K2785" s="17"/>
    </row>
    <row r="2786" spans="1:11" x14ac:dyDescent="0.2">
      <c r="A2786" s="115"/>
      <c r="B2786" s="93"/>
      <c r="C2786" s="94"/>
      <c r="D2786" s="95"/>
      <c r="E2786" s="95"/>
      <c r="F2786" s="96"/>
      <c r="G2786" s="97"/>
      <c r="H2786" s="114" t="str">
        <f t="shared" si="33"/>
        <v/>
      </c>
      <c r="I2786" s="17"/>
      <c r="J2786" s="17"/>
      <c r="K2786" s="17"/>
    </row>
    <row r="2787" spans="1:11" x14ac:dyDescent="0.2">
      <c r="A2787" s="115"/>
      <c r="B2787" s="93"/>
      <c r="C2787" s="94"/>
      <c r="D2787" s="95"/>
      <c r="E2787" s="95"/>
      <c r="F2787" s="96"/>
      <c r="G2787" s="97"/>
      <c r="H2787" s="114" t="str">
        <f t="shared" si="33"/>
        <v/>
      </c>
      <c r="I2787" s="17"/>
      <c r="J2787" s="17"/>
      <c r="K2787" s="17"/>
    </row>
    <row r="2788" spans="1:11" x14ac:dyDescent="0.2">
      <c r="A2788" s="115"/>
      <c r="B2788" s="93"/>
      <c r="C2788" s="94"/>
      <c r="D2788" s="95"/>
      <c r="E2788" s="95"/>
      <c r="F2788" s="96"/>
      <c r="G2788" s="97"/>
      <c r="H2788" s="114" t="str">
        <f t="shared" si="33"/>
        <v/>
      </c>
      <c r="I2788" s="17"/>
      <c r="J2788" s="17"/>
      <c r="K2788" s="17"/>
    </row>
    <row r="2789" spans="1:11" x14ac:dyDescent="0.2">
      <c r="A2789" s="115"/>
      <c r="B2789" s="93"/>
      <c r="C2789" s="94"/>
      <c r="D2789" s="95"/>
      <c r="E2789" s="95"/>
      <c r="F2789" s="96"/>
      <c r="G2789" s="97"/>
      <c r="H2789" s="114" t="str">
        <f t="shared" si="33"/>
        <v/>
      </c>
      <c r="I2789" s="17"/>
      <c r="J2789" s="17"/>
      <c r="K2789" s="17"/>
    </row>
    <row r="2790" spans="1:11" x14ac:dyDescent="0.2">
      <c r="A2790" s="115"/>
      <c r="B2790" s="93"/>
      <c r="C2790" s="94"/>
      <c r="D2790" s="95"/>
      <c r="E2790" s="95"/>
      <c r="F2790" s="96"/>
      <c r="G2790" s="97"/>
      <c r="H2790" s="114" t="str">
        <f t="shared" si="33"/>
        <v/>
      </c>
      <c r="I2790" s="17"/>
      <c r="J2790" s="17"/>
      <c r="K2790" s="17"/>
    </row>
    <row r="2791" spans="1:11" x14ac:dyDescent="0.2">
      <c r="A2791" s="115"/>
      <c r="B2791" s="93"/>
      <c r="C2791" s="94"/>
      <c r="D2791" s="95"/>
      <c r="E2791" s="95"/>
      <c r="F2791" s="96"/>
      <c r="G2791" s="97"/>
      <c r="H2791" s="114" t="str">
        <f t="shared" si="33"/>
        <v/>
      </c>
      <c r="I2791" s="17"/>
      <c r="J2791" s="17"/>
      <c r="K2791" s="17"/>
    </row>
    <row r="2792" spans="1:11" x14ac:dyDescent="0.2">
      <c r="A2792" s="115"/>
      <c r="B2792" s="93"/>
      <c r="C2792" s="94"/>
      <c r="D2792" s="95"/>
      <c r="E2792" s="95"/>
      <c r="F2792" s="96"/>
      <c r="G2792" s="97"/>
      <c r="H2792" s="114" t="str">
        <f t="shared" si="33"/>
        <v/>
      </c>
      <c r="I2792" s="17"/>
      <c r="J2792" s="17"/>
      <c r="K2792" s="17"/>
    </row>
    <row r="2793" spans="1:11" x14ac:dyDescent="0.2">
      <c r="A2793" s="115"/>
      <c r="B2793" s="93"/>
      <c r="C2793" s="94"/>
      <c r="D2793" s="95"/>
      <c r="E2793" s="95"/>
      <c r="F2793" s="96"/>
      <c r="G2793" s="97"/>
      <c r="H2793" s="114" t="str">
        <f t="shared" si="33"/>
        <v/>
      </c>
      <c r="I2793" s="17"/>
      <c r="J2793" s="17"/>
      <c r="K2793" s="17"/>
    </row>
    <row r="2794" spans="1:11" x14ac:dyDescent="0.2">
      <c r="A2794" s="115"/>
      <c r="B2794" s="93"/>
      <c r="C2794" s="94"/>
      <c r="D2794" s="95"/>
      <c r="E2794" s="95"/>
      <c r="F2794" s="96"/>
      <c r="G2794" s="97"/>
      <c r="H2794" s="114" t="str">
        <f t="shared" si="33"/>
        <v/>
      </c>
      <c r="I2794" s="17"/>
      <c r="J2794" s="17"/>
      <c r="K2794" s="17"/>
    </row>
    <row r="2795" spans="1:11" x14ac:dyDescent="0.2">
      <c r="A2795" s="115"/>
      <c r="B2795" s="93"/>
      <c r="C2795" s="94"/>
      <c r="D2795" s="95"/>
      <c r="E2795" s="95"/>
      <c r="F2795" s="96"/>
      <c r="G2795" s="97"/>
      <c r="H2795" s="114" t="str">
        <f t="shared" si="33"/>
        <v/>
      </c>
      <c r="I2795" s="17"/>
      <c r="J2795" s="17"/>
      <c r="K2795" s="17"/>
    </row>
    <row r="2796" spans="1:11" x14ac:dyDescent="0.2">
      <c r="A2796" s="115"/>
      <c r="B2796" s="93"/>
      <c r="C2796" s="94"/>
      <c r="D2796" s="95"/>
      <c r="E2796" s="95"/>
      <c r="F2796" s="96"/>
      <c r="G2796" s="97"/>
      <c r="H2796" s="114" t="str">
        <f t="shared" si="33"/>
        <v/>
      </c>
      <c r="I2796" s="17"/>
      <c r="J2796" s="17"/>
      <c r="K2796" s="17"/>
    </row>
    <row r="2797" spans="1:11" x14ac:dyDescent="0.2">
      <c r="A2797" s="115"/>
      <c r="B2797" s="93"/>
      <c r="C2797" s="94"/>
      <c r="D2797" s="95"/>
      <c r="E2797" s="95"/>
      <c r="F2797" s="96"/>
      <c r="G2797" s="97"/>
      <c r="H2797" s="114" t="str">
        <f t="shared" si="33"/>
        <v/>
      </c>
      <c r="I2797" s="17"/>
      <c r="J2797" s="17"/>
      <c r="K2797" s="17"/>
    </row>
    <row r="2798" spans="1:11" x14ac:dyDescent="0.2">
      <c r="A2798" s="115"/>
      <c r="B2798" s="93"/>
      <c r="C2798" s="94"/>
      <c r="D2798" s="95"/>
      <c r="E2798" s="95"/>
      <c r="F2798" s="96"/>
      <c r="G2798" s="97"/>
      <c r="H2798" s="114" t="str">
        <f t="shared" si="33"/>
        <v/>
      </c>
      <c r="I2798" s="17"/>
      <c r="J2798" s="17"/>
      <c r="K2798" s="17"/>
    </row>
    <row r="2799" spans="1:11" x14ac:dyDescent="0.2">
      <c r="A2799" s="115"/>
      <c r="B2799" s="93"/>
      <c r="C2799" s="94"/>
      <c r="D2799" s="95"/>
      <c r="E2799" s="95"/>
      <c r="F2799" s="96"/>
      <c r="G2799" s="97"/>
      <c r="H2799" s="114" t="str">
        <f t="shared" si="33"/>
        <v/>
      </c>
      <c r="I2799" s="17"/>
      <c r="J2799" s="17"/>
      <c r="K2799" s="17"/>
    </row>
    <row r="2800" spans="1:11" x14ac:dyDescent="0.2">
      <c r="A2800" s="115"/>
      <c r="B2800" s="93"/>
      <c r="C2800" s="94"/>
      <c r="D2800" s="95"/>
      <c r="E2800" s="95"/>
      <c r="F2800" s="96"/>
      <c r="G2800" s="97"/>
      <c r="H2800" s="114" t="str">
        <f t="shared" si="33"/>
        <v/>
      </c>
      <c r="I2800" s="17"/>
      <c r="J2800" s="17"/>
      <c r="K2800" s="17"/>
    </row>
    <row r="2801" spans="1:11" x14ac:dyDescent="0.2">
      <c r="A2801" s="115"/>
      <c r="B2801" s="93"/>
      <c r="C2801" s="94"/>
      <c r="D2801" s="95"/>
      <c r="E2801" s="95"/>
      <c r="F2801" s="96"/>
      <c r="G2801" s="97"/>
      <c r="H2801" s="114" t="str">
        <f t="shared" si="33"/>
        <v/>
      </c>
      <c r="I2801" s="17"/>
      <c r="J2801" s="17"/>
      <c r="K2801" s="17"/>
    </row>
    <row r="2802" spans="1:11" x14ac:dyDescent="0.2">
      <c r="A2802" s="115"/>
      <c r="B2802" s="93"/>
      <c r="C2802" s="94"/>
      <c r="D2802" s="95"/>
      <c r="E2802" s="95"/>
      <c r="F2802" s="96"/>
      <c r="G2802" s="97"/>
      <c r="H2802" s="114" t="str">
        <f t="shared" si="33"/>
        <v/>
      </c>
      <c r="I2802" s="17"/>
      <c r="J2802" s="17"/>
      <c r="K2802" s="17"/>
    </row>
    <row r="2803" spans="1:11" x14ac:dyDescent="0.2">
      <c r="A2803" s="115"/>
      <c r="B2803" s="93"/>
      <c r="C2803" s="94"/>
      <c r="D2803" s="95"/>
      <c r="E2803" s="95"/>
      <c r="F2803" s="96"/>
      <c r="G2803" s="97"/>
      <c r="H2803" s="114" t="str">
        <f t="shared" si="33"/>
        <v/>
      </c>
      <c r="I2803" s="17"/>
      <c r="J2803" s="17"/>
      <c r="K2803" s="17"/>
    </row>
    <row r="2804" spans="1:11" x14ac:dyDescent="0.2">
      <c r="A2804" s="115"/>
      <c r="B2804" s="93"/>
      <c r="C2804" s="94"/>
      <c r="D2804" s="95"/>
      <c r="E2804" s="95"/>
      <c r="F2804" s="96"/>
      <c r="G2804" s="97"/>
      <c r="H2804" s="114" t="str">
        <f t="shared" si="33"/>
        <v/>
      </c>
      <c r="I2804" s="17"/>
      <c r="J2804" s="17"/>
      <c r="K2804" s="17"/>
    </row>
    <row r="2805" spans="1:11" x14ac:dyDescent="0.2">
      <c r="A2805" s="115"/>
      <c r="B2805" s="93"/>
      <c r="C2805" s="94"/>
      <c r="D2805" s="95"/>
      <c r="E2805" s="95"/>
      <c r="F2805" s="96"/>
      <c r="G2805" s="97"/>
      <c r="H2805" s="114" t="str">
        <f t="shared" si="33"/>
        <v/>
      </c>
      <c r="I2805" s="17"/>
      <c r="J2805" s="17"/>
      <c r="K2805" s="17"/>
    </row>
    <row r="2806" spans="1:11" x14ac:dyDescent="0.2">
      <c r="A2806" s="115"/>
      <c r="B2806" s="93"/>
      <c r="C2806" s="94"/>
      <c r="D2806" s="95"/>
      <c r="E2806" s="95"/>
      <c r="F2806" s="96"/>
      <c r="G2806" s="97"/>
      <c r="H2806" s="114" t="str">
        <f t="shared" si="33"/>
        <v/>
      </c>
      <c r="I2806" s="17"/>
      <c r="J2806" s="17"/>
      <c r="K2806" s="17"/>
    </row>
    <row r="2807" spans="1:11" x14ac:dyDescent="0.2">
      <c r="A2807" s="115"/>
      <c r="B2807" s="93"/>
      <c r="C2807" s="94"/>
      <c r="D2807" s="95"/>
      <c r="E2807" s="95"/>
      <c r="F2807" s="96"/>
      <c r="G2807" s="97"/>
      <c r="H2807" s="114" t="str">
        <f t="shared" si="33"/>
        <v/>
      </c>
      <c r="I2807" s="17"/>
      <c r="J2807" s="17"/>
      <c r="K2807" s="17"/>
    </row>
    <row r="2808" spans="1:11" x14ac:dyDescent="0.2">
      <c r="A2808" s="115"/>
      <c r="B2808" s="93"/>
      <c r="C2808" s="94"/>
      <c r="D2808" s="95"/>
      <c r="E2808" s="95"/>
      <c r="F2808" s="96"/>
      <c r="G2808" s="97"/>
      <c r="H2808" s="114" t="str">
        <f t="shared" si="33"/>
        <v/>
      </c>
      <c r="I2808" s="17"/>
      <c r="J2808" s="17"/>
      <c r="K2808" s="17"/>
    </row>
    <row r="2809" spans="1:11" x14ac:dyDescent="0.2">
      <c r="A2809" s="115"/>
      <c r="B2809" s="93"/>
      <c r="C2809" s="94"/>
      <c r="D2809" s="95"/>
      <c r="E2809" s="95"/>
      <c r="F2809" s="96"/>
      <c r="G2809" s="97"/>
      <c r="H2809" s="114" t="str">
        <f t="shared" si="33"/>
        <v/>
      </c>
      <c r="I2809" s="17"/>
      <c r="J2809" s="17"/>
      <c r="K2809" s="17"/>
    </row>
    <row r="2810" spans="1:11" x14ac:dyDescent="0.2">
      <c r="A2810" s="115"/>
      <c r="B2810" s="93"/>
      <c r="C2810" s="94"/>
      <c r="D2810" s="95"/>
      <c r="E2810" s="95"/>
      <c r="F2810" s="96"/>
      <c r="G2810" s="97"/>
      <c r="H2810" s="114" t="str">
        <f t="shared" si="33"/>
        <v/>
      </c>
      <c r="I2810" s="17"/>
      <c r="J2810" s="17"/>
      <c r="K2810" s="17"/>
    </row>
    <row r="2811" spans="1:11" x14ac:dyDescent="0.2">
      <c r="A2811" s="115"/>
      <c r="B2811" s="93"/>
      <c r="C2811" s="94"/>
      <c r="D2811" s="95"/>
      <c r="E2811" s="95"/>
      <c r="F2811" s="96"/>
      <c r="G2811" s="97"/>
      <c r="H2811" s="114" t="str">
        <f t="shared" si="33"/>
        <v/>
      </c>
      <c r="I2811" s="17"/>
      <c r="J2811" s="17"/>
      <c r="K2811" s="17"/>
    </row>
    <row r="2812" spans="1:11" x14ac:dyDescent="0.2">
      <c r="A2812" s="115"/>
      <c r="B2812" s="93"/>
      <c r="C2812" s="94"/>
      <c r="D2812" s="95"/>
      <c r="E2812" s="95"/>
      <c r="F2812" s="96"/>
      <c r="G2812" s="97"/>
      <c r="H2812" s="114" t="str">
        <f t="shared" si="33"/>
        <v/>
      </c>
      <c r="I2812" s="17"/>
      <c r="J2812" s="17"/>
      <c r="K2812" s="17"/>
    </row>
    <row r="2813" spans="1:11" x14ac:dyDescent="0.2">
      <c r="A2813" s="115"/>
      <c r="B2813" s="93"/>
      <c r="C2813" s="94"/>
      <c r="D2813" s="95"/>
      <c r="E2813" s="95"/>
      <c r="F2813" s="96"/>
      <c r="G2813" s="97"/>
      <c r="H2813" s="114" t="str">
        <f t="shared" si="33"/>
        <v/>
      </c>
      <c r="I2813" s="17"/>
      <c r="J2813" s="17"/>
      <c r="K2813" s="17"/>
    </row>
    <row r="2814" spans="1:11" x14ac:dyDescent="0.2">
      <c r="A2814" s="115"/>
      <c r="B2814" s="93"/>
      <c r="C2814" s="94"/>
      <c r="D2814" s="95"/>
      <c r="E2814" s="95"/>
      <c r="F2814" s="96"/>
      <c r="G2814" s="97"/>
      <c r="H2814" s="114" t="str">
        <f t="shared" si="33"/>
        <v/>
      </c>
      <c r="I2814" s="17"/>
      <c r="J2814" s="17"/>
      <c r="K2814" s="17"/>
    </row>
    <row r="2815" spans="1:11" x14ac:dyDescent="0.2">
      <c r="A2815" s="115"/>
      <c r="B2815" s="93"/>
      <c r="C2815" s="94"/>
      <c r="D2815" s="95"/>
      <c r="E2815" s="95"/>
      <c r="F2815" s="96"/>
      <c r="G2815" s="97"/>
      <c r="H2815" s="114" t="str">
        <f t="shared" si="33"/>
        <v/>
      </c>
      <c r="I2815" s="17"/>
      <c r="J2815" s="17"/>
      <c r="K2815" s="17"/>
    </row>
    <row r="2816" spans="1:11" x14ac:dyDescent="0.2">
      <c r="A2816" s="115"/>
      <c r="B2816" s="93"/>
      <c r="C2816" s="94"/>
      <c r="D2816" s="95"/>
      <c r="E2816" s="95"/>
      <c r="F2816" s="96"/>
      <c r="G2816" s="97"/>
      <c r="H2816" s="114" t="str">
        <f t="shared" si="33"/>
        <v/>
      </c>
      <c r="I2816" s="17"/>
      <c r="J2816" s="17"/>
      <c r="K2816" s="17"/>
    </row>
    <row r="2817" spans="1:11" x14ac:dyDescent="0.2">
      <c r="A2817" s="115"/>
      <c r="B2817" s="93"/>
      <c r="C2817" s="94"/>
      <c r="D2817" s="95"/>
      <c r="E2817" s="95"/>
      <c r="F2817" s="96"/>
      <c r="G2817" s="97"/>
      <c r="H2817" s="114" t="str">
        <f t="shared" si="33"/>
        <v/>
      </c>
      <c r="I2817" s="17"/>
      <c r="J2817" s="17"/>
      <c r="K2817" s="17"/>
    </row>
    <row r="2818" spans="1:11" x14ac:dyDescent="0.2">
      <c r="A2818" s="115"/>
      <c r="B2818" s="93"/>
      <c r="C2818" s="94"/>
      <c r="D2818" s="95"/>
      <c r="E2818" s="95"/>
      <c r="F2818" s="96"/>
      <c r="G2818" s="97"/>
      <c r="H2818" s="114" t="str">
        <f t="shared" si="33"/>
        <v/>
      </c>
      <c r="I2818" s="17"/>
      <c r="J2818" s="17"/>
      <c r="K2818" s="17"/>
    </row>
    <row r="2819" spans="1:11" x14ac:dyDescent="0.2">
      <c r="A2819" s="115"/>
      <c r="B2819" s="93"/>
      <c r="C2819" s="94"/>
      <c r="D2819" s="95"/>
      <c r="E2819" s="95"/>
      <c r="F2819" s="96"/>
      <c r="G2819" s="97"/>
      <c r="H2819" s="114" t="str">
        <f t="shared" si="33"/>
        <v/>
      </c>
      <c r="I2819" s="17"/>
      <c r="J2819" s="17"/>
      <c r="K2819" s="17"/>
    </row>
    <row r="2820" spans="1:11" x14ac:dyDescent="0.2">
      <c r="A2820" s="115"/>
      <c r="B2820" s="93"/>
      <c r="C2820" s="94"/>
      <c r="D2820" s="95"/>
      <c r="E2820" s="95"/>
      <c r="F2820" s="96"/>
      <c r="G2820" s="97"/>
      <c r="H2820" s="114" t="str">
        <f t="shared" ref="H2820:H2883" si="34">IF(A2820&lt;&gt;"", EOMONTH(A2820, -1) + 1, "")</f>
        <v/>
      </c>
      <c r="I2820" s="17"/>
      <c r="J2820" s="17"/>
      <c r="K2820" s="17"/>
    </row>
    <row r="2821" spans="1:11" x14ac:dyDescent="0.2">
      <c r="A2821" s="115"/>
      <c r="B2821" s="93"/>
      <c r="C2821" s="94"/>
      <c r="D2821" s="95"/>
      <c r="E2821" s="95"/>
      <c r="F2821" s="96"/>
      <c r="G2821" s="97"/>
      <c r="H2821" s="114" t="str">
        <f t="shared" si="34"/>
        <v/>
      </c>
      <c r="I2821" s="17"/>
      <c r="J2821" s="17"/>
      <c r="K2821" s="17"/>
    </row>
    <row r="2822" spans="1:11" x14ac:dyDescent="0.2">
      <c r="A2822" s="115"/>
      <c r="B2822" s="93"/>
      <c r="C2822" s="94"/>
      <c r="D2822" s="95"/>
      <c r="E2822" s="95"/>
      <c r="F2822" s="96"/>
      <c r="G2822" s="97"/>
      <c r="H2822" s="114" t="str">
        <f t="shared" si="34"/>
        <v/>
      </c>
      <c r="I2822" s="17"/>
      <c r="J2822" s="17"/>
      <c r="K2822" s="17"/>
    </row>
    <row r="2823" spans="1:11" x14ac:dyDescent="0.2">
      <c r="A2823" s="115"/>
      <c r="B2823" s="93"/>
      <c r="C2823" s="94"/>
      <c r="D2823" s="95"/>
      <c r="E2823" s="95"/>
      <c r="F2823" s="96"/>
      <c r="G2823" s="97"/>
      <c r="H2823" s="114" t="str">
        <f t="shared" si="34"/>
        <v/>
      </c>
      <c r="I2823" s="17"/>
      <c r="J2823" s="17"/>
      <c r="K2823" s="17"/>
    </row>
    <row r="2824" spans="1:11" x14ac:dyDescent="0.2">
      <c r="A2824" s="115"/>
      <c r="B2824" s="93"/>
      <c r="C2824" s="94"/>
      <c r="D2824" s="95"/>
      <c r="E2824" s="95"/>
      <c r="F2824" s="96"/>
      <c r="G2824" s="97"/>
      <c r="H2824" s="114" t="str">
        <f t="shared" si="34"/>
        <v/>
      </c>
      <c r="I2824" s="17"/>
      <c r="J2824" s="17"/>
      <c r="K2824" s="17"/>
    </row>
    <row r="2825" spans="1:11" x14ac:dyDescent="0.2">
      <c r="A2825" s="115"/>
      <c r="B2825" s="93"/>
      <c r="C2825" s="94"/>
      <c r="D2825" s="95"/>
      <c r="E2825" s="95"/>
      <c r="F2825" s="96"/>
      <c r="G2825" s="97"/>
      <c r="H2825" s="114" t="str">
        <f t="shared" si="34"/>
        <v/>
      </c>
      <c r="I2825" s="17"/>
      <c r="J2825" s="17"/>
      <c r="K2825" s="17"/>
    </row>
    <row r="2826" spans="1:11" x14ac:dyDescent="0.2">
      <c r="A2826" s="115"/>
      <c r="B2826" s="93"/>
      <c r="C2826" s="94"/>
      <c r="D2826" s="95"/>
      <c r="E2826" s="95"/>
      <c r="F2826" s="96"/>
      <c r="G2826" s="97"/>
      <c r="H2826" s="114" t="str">
        <f t="shared" si="34"/>
        <v/>
      </c>
      <c r="I2826" s="17"/>
      <c r="J2826" s="17"/>
      <c r="K2826" s="17"/>
    </row>
    <row r="2827" spans="1:11" x14ac:dyDescent="0.2">
      <c r="A2827" s="115"/>
      <c r="B2827" s="93"/>
      <c r="C2827" s="94"/>
      <c r="D2827" s="95"/>
      <c r="E2827" s="95"/>
      <c r="F2827" s="96"/>
      <c r="G2827" s="97"/>
      <c r="H2827" s="114" t="str">
        <f t="shared" si="34"/>
        <v/>
      </c>
      <c r="I2827" s="17"/>
      <c r="J2827" s="17"/>
      <c r="K2827" s="17"/>
    </row>
    <row r="2828" spans="1:11" x14ac:dyDescent="0.2">
      <c r="A2828" s="115"/>
      <c r="B2828" s="93"/>
      <c r="C2828" s="94"/>
      <c r="D2828" s="95"/>
      <c r="E2828" s="95"/>
      <c r="F2828" s="96"/>
      <c r="G2828" s="97"/>
      <c r="H2828" s="114" t="str">
        <f t="shared" si="34"/>
        <v/>
      </c>
      <c r="I2828" s="17"/>
      <c r="J2828" s="17"/>
      <c r="K2828" s="17"/>
    </row>
    <row r="2829" spans="1:11" x14ac:dyDescent="0.2">
      <c r="A2829" s="115"/>
      <c r="B2829" s="93"/>
      <c r="C2829" s="94"/>
      <c r="D2829" s="95"/>
      <c r="E2829" s="95"/>
      <c r="F2829" s="96"/>
      <c r="G2829" s="97"/>
      <c r="H2829" s="114" t="str">
        <f t="shared" si="34"/>
        <v/>
      </c>
      <c r="I2829" s="17"/>
      <c r="J2829" s="17"/>
      <c r="K2829" s="17"/>
    </row>
    <row r="2830" spans="1:11" x14ac:dyDescent="0.2">
      <c r="A2830" s="115"/>
      <c r="B2830" s="93"/>
      <c r="C2830" s="94"/>
      <c r="D2830" s="95"/>
      <c r="E2830" s="95"/>
      <c r="F2830" s="96"/>
      <c r="G2830" s="97"/>
      <c r="H2830" s="114" t="str">
        <f t="shared" si="34"/>
        <v/>
      </c>
      <c r="I2830" s="17"/>
      <c r="J2830" s="17"/>
      <c r="K2830" s="17"/>
    </row>
    <row r="2831" spans="1:11" x14ac:dyDescent="0.2">
      <c r="A2831" s="115"/>
      <c r="B2831" s="93"/>
      <c r="C2831" s="94"/>
      <c r="D2831" s="95"/>
      <c r="E2831" s="95"/>
      <c r="F2831" s="96"/>
      <c r="G2831" s="97"/>
      <c r="H2831" s="114" t="str">
        <f t="shared" si="34"/>
        <v/>
      </c>
      <c r="I2831" s="17"/>
      <c r="J2831" s="17"/>
      <c r="K2831" s="17"/>
    </row>
    <row r="2832" spans="1:11" x14ac:dyDescent="0.2">
      <c r="A2832" s="115"/>
      <c r="B2832" s="93"/>
      <c r="C2832" s="94"/>
      <c r="D2832" s="95"/>
      <c r="E2832" s="95"/>
      <c r="F2832" s="96"/>
      <c r="G2832" s="97"/>
      <c r="H2832" s="114" t="str">
        <f t="shared" si="34"/>
        <v/>
      </c>
      <c r="I2832" s="17"/>
      <c r="J2832" s="17"/>
      <c r="K2832" s="17"/>
    </row>
    <row r="2833" spans="1:11" x14ac:dyDescent="0.2">
      <c r="A2833" s="115"/>
      <c r="B2833" s="93"/>
      <c r="C2833" s="94"/>
      <c r="D2833" s="95"/>
      <c r="E2833" s="95"/>
      <c r="F2833" s="96"/>
      <c r="G2833" s="97"/>
      <c r="H2833" s="114" t="str">
        <f t="shared" si="34"/>
        <v/>
      </c>
      <c r="I2833" s="17"/>
      <c r="J2833" s="17"/>
      <c r="K2833" s="17"/>
    </row>
    <row r="2834" spans="1:11" x14ac:dyDescent="0.2">
      <c r="A2834" s="115"/>
      <c r="B2834" s="93"/>
      <c r="C2834" s="94"/>
      <c r="D2834" s="95"/>
      <c r="E2834" s="95"/>
      <c r="F2834" s="96"/>
      <c r="G2834" s="97"/>
      <c r="H2834" s="114" t="str">
        <f t="shared" si="34"/>
        <v/>
      </c>
      <c r="I2834" s="17"/>
      <c r="J2834" s="17"/>
      <c r="K2834" s="17"/>
    </row>
    <row r="2835" spans="1:11" x14ac:dyDescent="0.2">
      <c r="A2835" s="115"/>
      <c r="B2835" s="93"/>
      <c r="C2835" s="94"/>
      <c r="D2835" s="95"/>
      <c r="E2835" s="95"/>
      <c r="F2835" s="96"/>
      <c r="G2835" s="97"/>
      <c r="H2835" s="114" t="str">
        <f t="shared" si="34"/>
        <v/>
      </c>
      <c r="I2835" s="17"/>
      <c r="J2835" s="17"/>
      <c r="K2835" s="17"/>
    </row>
    <row r="2836" spans="1:11" x14ac:dyDescent="0.2">
      <c r="A2836" s="115"/>
      <c r="B2836" s="93"/>
      <c r="C2836" s="94"/>
      <c r="D2836" s="95"/>
      <c r="E2836" s="95"/>
      <c r="F2836" s="96"/>
      <c r="G2836" s="97"/>
      <c r="H2836" s="114" t="str">
        <f t="shared" si="34"/>
        <v/>
      </c>
      <c r="I2836" s="17"/>
      <c r="J2836" s="17"/>
      <c r="K2836" s="17"/>
    </row>
    <row r="2837" spans="1:11" x14ac:dyDescent="0.2">
      <c r="A2837" s="115"/>
      <c r="B2837" s="93"/>
      <c r="C2837" s="94"/>
      <c r="D2837" s="95"/>
      <c r="E2837" s="95"/>
      <c r="F2837" s="96"/>
      <c r="G2837" s="97"/>
      <c r="H2837" s="114" t="str">
        <f t="shared" si="34"/>
        <v/>
      </c>
      <c r="I2837" s="17"/>
      <c r="J2837" s="17"/>
      <c r="K2837" s="17"/>
    </row>
    <row r="2838" spans="1:11" x14ac:dyDescent="0.2">
      <c r="A2838" s="115"/>
      <c r="B2838" s="93"/>
      <c r="C2838" s="94"/>
      <c r="D2838" s="95"/>
      <c r="E2838" s="95"/>
      <c r="F2838" s="96"/>
      <c r="G2838" s="97"/>
      <c r="H2838" s="114" t="str">
        <f t="shared" si="34"/>
        <v/>
      </c>
      <c r="I2838" s="17"/>
      <c r="J2838" s="17"/>
      <c r="K2838" s="17"/>
    </row>
    <row r="2839" spans="1:11" x14ac:dyDescent="0.2">
      <c r="A2839" s="115"/>
      <c r="B2839" s="93"/>
      <c r="C2839" s="94"/>
      <c r="D2839" s="95"/>
      <c r="E2839" s="95"/>
      <c r="F2839" s="96"/>
      <c r="G2839" s="97"/>
      <c r="H2839" s="114" t="str">
        <f t="shared" si="34"/>
        <v/>
      </c>
      <c r="I2839" s="17"/>
      <c r="J2839" s="17"/>
      <c r="K2839" s="17"/>
    </row>
    <row r="2840" spans="1:11" x14ac:dyDescent="0.2">
      <c r="A2840" s="115"/>
      <c r="B2840" s="93"/>
      <c r="C2840" s="94"/>
      <c r="D2840" s="95"/>
      <c r="E2840" s="95"/>
      <c r="F2840" s="96"/>
      <c r="G2840" s="97"/>
      <c r="H2840" s="114" t="str">
        <f t="shared" si="34"/>
        <v/>
      </c>
      <c r="I2840" s="17"/>
      <c r="J2840" s="17"/>
      <c r="K2840" s="17"/>
    </row>
    <row r="2841" spans="1:11" x14ac:dyDescent="0.2">
      <c r="A2841" s="115"/>
      <c r="B2841" s="93"/>
      <c r="C2841" s="94"/>
      <c r="D2841" s="95"/>
      <c r="E2841" s="95"/>
      <c r="F2841" s="96"/>
      <c r="G2841" s="97"/>
      <c r="H2841" s="114" t="str">
        <f t="shared" si="34"/>
        <v/>
      </c>
      <c r="I2841" s="17"/>
      <c r="J2841" s="17"/>
      <c r="K2841" s="17"/>
    </row>
    <row r="2842" spans="1:11" x14ac:dyDescent="0.2">
      <c r="A2842" s="115"/>
      <c r="B2842" s="93"/>
      <c r="C2842" s="94"/>
      <c r="D2842" s="95"/>
      <c r="E2842" s="95"/>
      <c r="F2842" s="96"/>
      <c r="G2842" s="97"/>
      <c r="H2842" s="114" t="str">
        <f t="shared" si="34"/>
        <v/>
      </c>
      <c r="I2842" s="17"/>
      <c r="J2842" s="17"/>
      <c r="K2842" s="17"/>
    </row>
    <row r="2843" spans="1:11" x14ac:dyDescent="0.2">
      <c r="A2843" s="115"/>
      <c r="B2843" s="93"/>
      <c r="C2843" s="94"/>
      <c r="D2843" s="95"/>
      <c r="E2843" s="95"/>
      <c r="F2843" s="96"/>
      <c r="G2843" s="97"/>
      <c r="H2843" s="114" t="str">
        <f t="shared" si="34"/>
        <v/>
      </c>
      <c r="I2843" s="17"/>
      <c r="J2843" s="17"/>
      <c r="K2843" s="17"/>
    </row>
    <row r="2844" spans="1:11" x14ac:dyDescent="0.2">
      <c r="A2844" s="115"/>
      <c r="B2844" s="93"/>
      <c r="C2844" s="94"/>
      <c r="D2844" s="95"/>
      <c r="E2844" s="95"/>
      <c r="F2844" s="96"/>
      <c r="G2844" s="97"/>
      <c r="H2844" s="114" t="str">
        <f t="shared" si="34"/>
        <v/>
      </c>
      <c r="I2844" s="17"/>
      <c r="J2844" s="17"/>
      <c r="K2844" s="17"/>
    </row>
    <row r="2845" spans="1:11" x14ac:dyDescent="0.2">
      <c r="A2845" s="115"/>
      <c r="B2845" s="93"/>
      <c r="C2845" s="94"/>
      <c r="D2845" s="95"/>
      <c r="E2845" s="95"/>
      <c r="F2845" s="96"/>
      <c r="G2845" s="97"/>
      <c r="H2845" s="114" t="str">
        <f t="shared" si="34"/>
        <v/>
      </c>
      <c r="I2845" s="17"/>
      <c r="J2845" s="17"/>
      <c r="K2845" s="17"/>
    </row>
    <row r="2846" spans="1:11" x14ac:dyDescent="0.2">
      <c r="A2846" s="115"/>
      <c r="B2846" s="93"/>
      <c r="C2846" s="94"/>
      <c r="D2846" s="95"/>
      <c r="E2846" s="95"/>
      <c r="F2846" s="96"/>
      <c r="G2846" s="97"/>
      <c r="H2846" s="114" t="str">
        <f t="shared" si="34"/>
        <v/>
      </c>
      <c r="I2846" s="17"/>
      <c r="J2846" s="17"/>
      <c r="K2846" s="17"/>
    </row>
    <row r="2847" spans="1:11" x14ac:dyDescent="0.2">
      <c r="A2847" s="115"/>
      <c r="B2847" s="93"/>
      <c r="C2847" s="94"/>
      <c r="D2847" s="95"/>
      <c r="E2847" s="95"/>
      <c r="F2847" s="96"/>
      <c r="G2847" s="97"/>
      <c r="H2847" s="114" t="str">
        <f t="shared" si="34"/>
        <v/>
      </c>
      <c r="I2847" s="17"/>
      <c r="J2847" s="17"/>
      <c r="K2847" s="17"/>
    </row>
    <row r="2848" spans="1:11" x14ac:dyDescent="0.2">
      <c r="A2848" s="115"/>
      <c r="B2848" s="93"/>
      <c r="C2848" s="94"/>
      <c r="D2848" s="95"/>
      <c r="E2848" s="95"/>
      <c r="F2848" s="96"/>
      <c r="G2848" s="97"/>
      <c r="H2848" s="114" t="str">
        <f t="shared" si="34"/>
        <v/>
      </c>
      <c r="I2848" s="17"/>
      <c r="J2848" s="17"/>
      <c r="K2848" s="17"/>
    </row>
    <row r="2849" spans="1:11" x14ac:dyDescent="0.2">
      <c r="A2849" s="115"/>
      <c r="B2849" s="93"/>
      <c r="C2849" s="94"/>
      <c r="D2849" s="95"/>
      <c r="E2849" s="95"/>
      <c r="F2849" s="96"/>
      <c r="G2849" s="97"/>
      <c r="H2849" s="114" t="str">
        <f t="shared" si="34"/>
        <v/>
      </c>
      <c r="I2849" s="17"/>
      <c r="J2849" s="17"/>
      <c r="K2849" s="17"/>
    </row>
    <row r="2850" spans="1:11" x14ac:dyDescent="0.2">
      <c r="A2850" s="115"/>
      <c r="B2850" s="93"/>
      <c r="C2850" s="94"/>
      <c r="D2850" s="95"/>
      <c r="E2850" s="95"/>
      <c r="F2850" s="96"/>
      <c r="G2850" s="97"/>
      <c r="H2850" s="114" t="str">
        <f t="shared" si="34"/>
        <v/>
      </c>
      <c r="I2850" s="17"/>
      <c r="J2850" s="17"/>
      <c r="K2850" s="17"/>
    </row>
    <row r="2851" spans="1:11" x14ac:dyDescent="0.2">
      <c r="A2851" s="115"/>
      <c r="B2851" s="93"/>
      <c r="C2851" s="94"/>
      <c r="D2851" s="95"/>
      <c r="E2851" s="95"/>
      <c r="F2851" s="96"/>
      <c r="G2851" s="97"/>
      <c r="H2851" s="114" t="str">
        <f t="shared" si="34"/>
        <v/>
      </c>
      <c r="I2851" s="17"/>
      <c r="J2851" s="17"/>
      <c r="K2851" s="17"/>
    </row>
    <row r="2852" spans="1:11" x14ac:dyDescent="0.2">
      <c r="A2852" s="115"/>
      <c r="B2852" s="93"/>
      <c r="C2852" s="94"/>
      <c r="D2852" s="95"/>
      <c r="E2852" s="95"/>
      <c r="F2852" s="96"/>
      <c r="G2852" s="97"/>
      <c r="H2852" s="114" t="str">
        <f t="shared" si="34"/>
        <v/>
      </c>
      <c r="I2852" s="17"/>
      <c r="J2852" s="17"/>
      <c r="K2852" s="17"/>
    </row>
    <row r="2853" spans="1:11" x14ac:dyDescent="0.2">
      <c r="A2853" s="115"/>
      <c r="B2853" s="93"/>
      <c r="C2853" s="94"/>
      <c r="D2853" s="95"/>
      <c r="E2853" s="95"/>
      <c r="F2853" s="96"/>
      <c r="G2853" s="97"/>
      <c r="H2853" s="114" t="str">
        <f t="shared" si="34"/>
        <v/>
      </c>
      <c r="I2853" s="17"/>
      <c r="J2853" s="17"/>
      <c r="K2853" s="17"/>
    </row>
    <row r="2854" spans="1:11" x14ac:dyDescent="0.2">
      <c r="A2854" s="115"/>
      <c r="B2854" s="93"/>
      <c r="C2854" s="94"/>
      <c r="D2854" s="95"/>
      <c r="E2854" s="95"/>
      <c r="F2854" s="96"/>
      <c r="G2854" s="97"/>
      <c r="H2854" s="114" t="str">
        <f t="shared" si="34"/>
        <v/>
      </c>
      <c r="I2854" s="17"/>
      <c r="J2854" s="17"/>
      <c r="K2854" s="17"/>
    </row>
    <row r="2855" spans="1:11" x14ac:dyDescent="0.2">
      <c r="A2855" s="115"/>
      <c r="B2855" s="93"/>
      <c r="C2855" s="94"/>
      <c r="D2855" s="95"/>
      <c r="E2855" s="95"/>
      <c r="F2855" s="96"/>
      <c r="G2855" s="97"/>
      <c r="H2855" s="114" t="str">
        <f t="shared" si="34"/>
        <v/>
      </c>
      <c r="I2855" s="17"/>
      <c r="J2855" s="17"/>
      <c r="K2855" s="17"/>
    </row>
    <row r="2856" spans="1:11" x14ac:dyDescent="0.2">
      <c r="A2856" s="115"/>
      <c r="B2856" s="93"/>
      <c r="C2856" s="94"/>
      <c r="D2856" s="95"/>
      <c r="E2856" s="95"/>
      <c r="F2856" s="96"/>
      <c r="G2856" s="97"/>
      <c r="H2856" s="114" t="str">
        <f t="shared" si="34"/>
        <v/>
      </c>
      <c r="I2856" s="17"/>
      <c r="J2856" s="17"/>
      <c r="K2856" s="17"/>
    </row>
    <row r="2857" spans="1:11" x14ac:dyDescent="0.2">
      <c r="A2857" s="115"/>
      <c r="B2857" s="93"/>
      <c r="C2857" s="94"/>
      <c r="D2857" s="95"/>
      <c r="E2857" s="95"/>
      <c r="F2857" s="96"/>
      <c r="G2857" s="97"/>
      <c r="H2857" s="114" t="str">
        <f t="shared" si="34"/>
        <v/>
      </c>
      <c r="I2857" s="17"/>
      <c r="J2857" s="17"/>
      <c r="K2857" s="17"/>
    </row>
    <row r="2858" spans="1:11" x14ac:dyDescent="0.2">
      <c r="A2858" s="115"/>
      <c r="B2858" s="93"/>
      <c r="C2858" s="94"/>
      <c r="D2858" s="95"/>
      <c r="E2858" s="95"/>
      <c r="F2858" s="96"/>
      <c r="G2858" s="97"/>
      <c r="H2858" s="114" t="str">
        <f t="shared" si="34"/>
        <v/>
      </c>
      <c r="I2858" s="17"/>
      <c r="J2858" s="17"/>
      <c r="K2858" s="17"/>
    </row>
    <row r="2859" spans="1:11" x14ac:dyDescent="0.2">
      <c r="A2859" s="115"/>
      <c r="B2859" s="93"/>
      <c r="C2859" s="94"/>
      <c r="D2859" s="95"/>
      <c r="E2859" s="95"/>
      <c r="F2859" s="96"/>
      <c r="G2859" s="97"/>
      <c r="H2859" s="114" t="str">
        <f t="shared" si="34"/>
        <v/>
      </c>
      <c r="I2859" s="17"/>
      <c r="J2859" s="17"/>
      <c r="K2859" s="17"/>
    </row>
    <row r="2860" spans="1:11" x14ac:dyDescent="0.2">
      <c r="A2860" s="115"/>
      <c r="B2860" s="93"/>
      <c r="C2860" s="94"/>
      <c r="D2860" s="95"/>
      <c r="E2860" s="95"/>
      <c r="F2860" s="96"/>
      <c r="G2860" s="97"/>
      <c r="H2860" s="114" t="str">
        <f t="shared" si="34"/>
        <v/>
      </c>
      <c r="I2860" s="17"/>
      <c r="J2860" s="17"/>
      <c r="K2860" s="17"/>
    </row>
    <row r="2861" spans="1:11" x14ac:dyDescent="0.2">
      <c r="A2861" s="115"/>
      <c r="B2861" s="93"/>
      <c r="C2861" s="94"/>
      <c r="D2861" s="95"/>
      <c r="E2861" s="95"/>
      <c r="F2861" s="96"/>
      <c r="G2861" s="97"/>
      <c r="H2861" s="114" t="str">
        <f t="shared" si="34"/>
        <v/>
      </c>
      <c r="I2861" s="17"/>
      <c r="J2861" s="17"/>
      <c r="K2861" s="17"/>
    </row>
    <row r="2862" spans="1:11" x14ac:dyDescent="0.2">
      <c r="A2862" s="115"/>
      <c r="B2862" s="93"/>
      <c r="C2862" s="94"/>
      <c r="D2862" s="95"/>
      <c r="E2862" s="95"/>
      <c r="F2862" s="96"/>
      <c r="G2862" s="97"/>
      <c r="H2862" s="114" t="str">
        <f t="shared" si="34"/>
        <v/>
      </c>
      <c r="I2862" s="17"/>
      <c r="J2862" s="17"/>
      <c r="K2862" s="17"/>
    </row>
    <row r="2863" spans="1:11" x14ac:dyDescent="0.2">
      <c r="A2863" s="115"/>
      <c r="B2863" s="93"/>
      <c r="C2863" s="94"/>
      <c r="D2863" s="95"/>
      <c r="E2863" s="95"/>
      <c r="F2863" s="96"/>
      <c r="G2863" s="97"/>
      <c r="H2863" s="114" t="str">
        <f t="shared" si="34"/>
        <v/>
      </c>
      <c r="I2863" s="17"/>
      <c r="J2863" s="17"/>
      <c r="K2863" s="17"/>
    </row>
    <row r="2864" spans="1:11" x14ac:dyDescent="0.2">
      <c r="A2864" s="115"/>
      <c r="B2864" s="93"/>
      <c r="C2864" s="94"/>
      <c r="D2864" s="95"/>
      <c r="E2864" s="95"/>
      <c r="F2864" s="96"/>
      <c r="G2864" s="97"/>
      <c r="H2864" s="114" t="str">
        <f t="shared" si="34"/>
        <v/>
      </c>
      <c r="I2864" s="17"/>
      <c r="J2864" s="17"/>
      <c r="K2864" s="17"/>
    </row>
    <row r="2865" spans="1:11" x14ac:dyDescent="0.2">
      <c r="A2865" s="115"/>
      <c r="B2865" s="93"/>
      <c r="C2865" s="101"/>
      <c r="D2865" s="95"/>
      <c r="E2865" s="95"/>
      <c r="F2865" s="96"/>
      <c r="G2865" s="97"/>
      <c r="H2865" s="114" t="str">
        <f t="shared" si="34"/>
        <v/>
      </c>
      <c r="I2865" s="17"/>
      <c r="J2865" s="17"/>
      <c r="K2865" s="17"/>
    </row>
    <row r="2866" spans="1:11" x14ac:dyDescent="0.2">
      <c r="A2866" s="115"/>
      <c r="B2866" s="93"/>
      <c r="C2866" s="101"/>
      <c r="D2866" s="95"/>
      <c r="E2866" s="95"/>
      <c r="F2866" s="96"/>
      <c r="G2866" s="97"/>
      <c r="H2866" s="114" t="str">
        <f t="shared" si="34"/>
        <v/>
      </c>
      <c r="I2866" s="17"/>
      <c r="J2866" s="17"/>
      <c r="K2866" s="17"/>
    </row>
    <row r="2867" spans="1:11" x14ac:dyDescent="0.2">
      <c r="A2867" s="115"/>
      <c r="B2867" s="93"/>
      <c r="C2867" s="101"/>
      <c r="D2867" s="95"/>
      <c r="E2867" s="95"/>
      <c r="F2867" s="96"/>
      <c r="G2867" s="97"/>
      <c r="H2867" s="114" t="str">
        <f t="shared" si="34"/>
        <v/>
      </c>
      <c r="I2867" s="17"/>
      <c r="J2867" s="17"/>
      <c r="K2867" s="17"/>
    </row>
    <row r="2868" spans="1:11" x14ac:dyDescent="0.2">
      <c r="A2868" s="115"/>
      <c r="B2868" s="93"/>
      <c r="C2868" s="101"/>
      <c r="D2868" s="95"/>
      <c r="E2868" s="95"/>
      <c r="F2868" s="96"/>
      <c r="G2868" s="97"/>
      <c r="H2868" s="114" t="str">
        <f t="shared" si="34"/>
        <v/>
      </c>
      <c r="I2868" s="17"/>
      <c r="J2868" s="17"/>
      <c r="K2868" s="17"/>
    </row>
    <row r="2869" spans="1:11" x14ac:dyDescent="0.2">
      <c r="A2869" s="115"/>
      <c r="B2869" s="93"/>
      <c r="C2869" s="101"/>
      <c r="D2869" s="95"/>
      <c r="E2869" s="95"/>
      <c r="F2869" s="96"/>
      <c r="G2869" s="97"/>
      <c r="H2869" s="114" t="str">
        <f t="shared" si="34"/>
        <v/>
      </c>
      <c r="I2869" s="17"/>
      <c r="J2869" s="17"/>
      <c r="K2869" s="17"/>
    </row>
    <row r="2870" spans="1:11" x14ac:dyDescent="0.2">
      <c r="A2870" s="115"/>
      <c r="B2870" s="93"/>
      <c r="C2870" s="101"/>
      <c r="D2870" s="95"/>
      <c r="E2870" s="95"/>
      <c r="F2870" s="96"/>
      <c r="G2870" s="97"/>
      <c r="H2870" s="114" t="str">
        <f t="shared" si="34"/>
        <v/>
      </c>
      <c r="I2870" s="17"/>
      <c r="J2870" s="17"/>
      <c r="K2870" s="17"/>
    </row>
    <row r="2871" spans="1:11" x14ac:dyDescent="0.2">
      <c r="A2871" s="115"/>
      <c r="B2871" s="93"/>
      <c r="C2871" s="101"/>
      <c r="D2871" s="95"/>
      <c r="E2871" s="95"/>
      <c r="F2871" s="96"/>
      <c r="G2871" s="97"/>
      <c r="H2871" s="114" t="str">
        <f t="shared" si="34"/>
        <v/>
      </c>
      <c r="I2871" s="17"/>
      <c r="J2871" s="17"/>
      <c r="K2871" s="17"/>
    </row>
    <row r="2872" spans="1:11" x14ac:dyDescent="0.2">
      <c r="A2872" s="115"/>
      <c r="B2872" s="93"/>
      <c r="C2872" s="101"/>
      <c r="D2872" s="95"/>
      <c r="E2872" s="95"/>
      <c r="F2872" s="96"/>
      <c r="G2872" s="97"/>
      <c r="H2872" s="114" t="str">
        <f t="shared" si="34"/>
        <v/>
      </c>
      <c r="I2872" s="17"/>
      <c r="J2872" s="17"/>
      <c r="K2872" s="17"/>
    </row>
    <row r="2873" spans="1:11" x14ac:dyDescent="0.2">
      <c r="A2873" s="115"/>
      <c r="B2873" s="93"/>
      <c r="C2873" s="101"/>
      <c r="D2873" s="95"/>
      <c r="E2873" s="95"/>
      <c r="F2873" s="96"/>
      <c r="G2873" s="97"/>
      <c r="H2873" s="114" t="str">
        <f t="shared" si="34"/>
        <v/>
      </c>
      <c r="I2873" s="17"/>
      <c r="J2873" s="17"/>
      <c r="K2873" s="17"/>
    </row>
    <row r="2874" spans="1:11" x14ac:dyDescent="0.2">
      <c r="A2874" s="115"/>
      <c r="B2874" s="93"/>
      <c r="C2874" s="101"/>
      <c r="D2874" s="95"/>
      <c r="E2874" s="95"/>
      <c r="F2874" s="96"/>
      <c r="G2874" s="97"/>
      <c r="H2874" s="114" t="str">
        <f t="shared" si="34"/>
        <v/>
      </c>
      <c r="I2874" s="17"/>
      <c r="J2874" s="17"/>
      <c r="K2874" s="17"/>
    </row>
    <row r="2875" spans="1:11" x14ac:dyDescent="0.2">
      <c r="A2875" s="115"/>
      <c r="B2875" s="93"/>
      <c r="C2875" s="101"/>
      <c r="D2875" s="95"/>
      <c r="E2875" s="95"/>
      <c r="F2875" s="96"/>
      <c r="G2875" s="97"/>
      <c r="H2875" s="114" t="str">
        <f t="shared" si="34"/>
        <v/>
      </c>
      <c r="I2875" s="17"/>
      <c r="J2875" s="17"/>
      <c r="K2875" s="17"/>
    </row>
    <row r="2876" spans="1:11" x14ac:dyDescent="0.2">
      <c r="A2876" s="115"/>
      <c r="B2876" s="93"/>
      <c r="C2876" s="101"/>
      <c r="D2876" s="95"/>
      <c r="E2876" s="95"/>
      <c r="F2876" s="96"/>
      <c r="G2876" s="97"/>
      <c r="H2876" s="114" t="str">
        <f t="shared" si="34"/>
        <v/>
      </c>
      <c r="I2876" s="17"/>
      <c r="J2876" s="17"/>
      <c r="K2876" s="17"/>
    </row>
    <row r="2877" spans="1:11" x14ac:dyDescent="0.2">
      <c r="A2877" s="115"/>
      <c r="B2877" s="93"/>
      <c r="C2877" s="101"/>
      <c r="D2877" s="95"/>
      <c r="E2877" s="95"/>
      <c r="F2877" s="96"/>
      <c r="G2877" s="97"/>
      <c r="H2877" s="114" t="str">
        <f t="shared" si="34"/>
        <v/>
      </c>
      <c r="I2877" s="17"/>
      <c r="J2877" s="17"/>
      <c r="K2877" s="17"/>
    </row>
    <row r="2878" spans="1:11" x14ac:dyDescent="0.2">
      <c r="A2878" s="115"/>
      <c r="B2878" s="93"/>
      <c r="C2878" s="94"/>
      <c r="D2878" s="95"/>
      <c r="E2878" s="95"/>
      <c r="F2878" s="96"/>
      <c r="G2878" s="97"/>
      <c r="H2878" s="114" t="str">
        <f t="shared" si="34"/>
        <v/>
      </c>
      <c r="I2878" s="17"/>
      <c r="J2878" s="17"/>
      <c r="K2878" s="17"/>
    </row>
    <row r="2879" spans="1:11" x14ac:dyDescent="0.2">
      <c r="A2879" s="115"/>
      <c r="B2879" s="93"/>
      <c r="C2879" s="94"/>
      <c r="D2879" s="95"/>
      <c r="E2879" s="95"/>
      <c r="F2879" s="96"/>
      <c r="G2879" s="97"/>
      <c r="H2879" s="114" t="str">
        <f t="shared" si="34"/>
        <v/>
      </c>
      <c r="I2879" s="17"/>
      <c r="J2879" s="17"/>
      <c r="K2879" s="17"/>
    </row>
    <row r="2880" spans="1:11" x14ac:dyDescent="0.2">
      <c r="A2880" s="115"/>
      <c r="B2880" s="93"/>
      <c r="C2880" s="94"/>
      <c r="D2880" s="95"/>
      <c r="E2880" s="95"/>
      <c r="F2880" s="96"/>
      <c r="G2880" s="97"/>
      <c r="H2880" s="114" t="str">
        <f t="shared" si="34"/>
        <v/>
      </c>
      <c r="I2880" s="17"/>
      <c r="J2880" s="17"/>
      <c r="K2880" s="17"/>
    </row>
    <row r="2881" spans="1:11" x14ac:dyDescent="0.2">
      <c r="A2881" s="115"/>
      <c r="B2881" s="93"/>
      <c r="C2881" s="94"/>
      <c r="D2881" s="95"/>
      <c r="E2881" s="95"/>
      <c r="F2881" s="96"/>
      <c r="G2881" s="97"/>
      <c r="H2881" s="114" t="str">
        <f t="shared" si="34"/>
        <v/>
      </c>
      <c r="I2881" s="17"/>
      <c r="J2881" s="17"/>
      <c r="K2881" s="17"/>
    </row>
    <row r="2882" spans="1:11" x14ac:dyDescent="0.2">
      <c r="A2882" s="115"/>
      <c r="B2882" s="93"/>
      <c r="C2882" s="94"/>
      <c r="D2882" s="95"/>
      <c r="E2882" s="95"/>
      <c r="F2882" s="96"/>
      <c r="G2882" s="97"/>
      <c r="H2882" s="114" t="str">
        <f t="shared" si="34"/>
        <v/>
      </c>
      <c r="I2882" s="17"/>
      <c r="J2882" s="17"/>
      <c r="K2882" s="17"/>
    </row>
    <row r="2883" spans="1:11" x14ac:dyDescent="0.2">
      <c r="A2883" s="115"/>
      <c r="B2883" s="93"/>
      <c r="C2883" s="94"/>
      <c r="D2883" s="95"/>
      <c r="E2883" s="95"/>
      <c r="F2883" s="96"/>
      <c r="G2883" s="97"/>
      <c r="H2883" s="114" t="str">
        <f t="shared" si="34"/>
        <v/>
      </c>
      <c r="I2883" s="17"/>
      <c r="J2883" s="17"/>
      <c r="K2883" s="17"/>
    </row>
    <row r="2884" spans="1:11" x14ac:dyDescent="0.2">
      <c r="A2884" s="115"/>
      <c r="B2884" s="93"/>
      <c r="C2884" s="94"/>
      <c r="D2884" s="95"/>
      <c r="E2884" s="95"/>
      <c r="F2884" s="96"/>
      <c r="G2884" s="97"/>
      <c r="H2884" s="114" t="str">
        <f t="shared" ref="H2884:H2947" si="35">IF(A2884&lt;&gt;"", EOMONTH(A2884, -1) + 1, "")</f>
        <v/>
      </c>
      <c r="I2884" s="17"/>
      <c r="J2884" s="17"/>
      <c r="K2884" s="17"/>
    </row>
    <row r="2885" spans="1:11" x14ac:dyDescent="0.2">
      <c r="A2885" s="115"/>
      <c r="B2885" s="93"/>
      <c r="C2885" s="94"/>
      <c r="D2885" s="95"/>
      <c r="E2885" s="95"/>
      <c r="F2885" s="96"/>
      <c r="G2885" s="97"/>
      <c r="H2885" s="114" t="str">
        <f t="shared" si="35"/>
        <v/>
      </c>
      <c r="I2885" s="17"/>
      <c r="J2885" s="17"/>
      <c r="K2885" s="17"/>
    </row>
    <row r="2886" spans="1:11" x14ac:dyDescent="0.2">
      <c r="A2886" s="115"/>
      <c r="B2886" s="93"/>
      <c r="C2886" s="94"/>
      <c r="D2886" s="95"/>
      <c r="E2886" s="95"/>
      <c r="F2886" s="96"/>
      <c r="G2886" s="97"/>
      <c r="H2886" s="114" t="str">
        <f t="shared" si="35"/>
        <v/>
      </c>
      <c r="I2886" s="17"/>
      <c r="J2886" s="17"/>
      <c r="K2886" s="17"/>
    </row>
    <row r="2887" spans="1:11" x14ac:dyDescent="0.2">
      <c r="A2887" s="115"/>
      <c r="B2887" s="93"/>
      <c r="C2887" s="94"/>
      <c r="D2887" s="95"/>
      <c r="E2887" s="95"/>
      <c r="F2887" s="96"/>
      <c r="G2887" s="97"/>
      <c r="H2887" s="114" t="str">
        <f t="shared" si="35"/>
        <v/>
      </c>
      <c r="I2887" s="17"/>
      <c r="J2887" s="17"/>
      <c r="K2887" s="17"/>
    </row>
    <row r="2888" spans="1:11" x14ac:dyDescent="0.2">
      <c r="A2888" s="115"/>
      <c r="B2888" s="93"/>
      <c r="C2888" s="94"/>
      <c r="D2888" s="95"/>
      <c r="E2888" s="95"/>
      <c r="F2888" s="96"/>
      <c r="G2888" s="97"/>
      <c r="H2888" s="114" t="str">
        <f t="shared" si="35"/>
        <v/>
      </c>
      <c r="I2888" s="17"/>
      <c r="J2888" s="17"/>
      <c r="K2888" s="17"/>
    </row>
    <row r="2889" spans="1:11" x14ac:dyDescent="0.2">
      <c r="A2889" s="115"/>
      <c r="B2889" s="93"/>
      <c r="C2889" s="94"/>
      <c r="D2889" s="95"/>
      <c r="E2889" s="95"/>
      <c r="F2889" s="96"/>
      <c r="G2889" s="97"/>
      <c r="H2889" s="114" t="str">
        <f t="shared" si="35"/>
        <v/>
      </c>
      <c r="I2889" s="17"/>
      <c r="J2889" s="17"/>
      <c r="K2889" s="17"/>
    </row>
    <row r="2890" spans="1:11" x14ac:dyDescent="0.2">
      <c r="A2890" s="115"/>
      <c r="B2890" s="93"/>
      <c r="C2890" s="94"/>
      <c r="D2890" s="95"/>
      <c r="E2890" s="95"/>
      <c r="F2890" s="96"/>
      <c r="G2890" s="97"/>
      <c r="H2890" s="114" t="str">
        <f t="shared" si="35"/>
        <v/>
      </c>
      <c r="I2890" s="17"/>
      <c r="J2890" s="17"/>
      <c r="K2890" s="17"/>
    </row>
    <row r="2891" spans="1:11" x14ac:dyDescent="0.2">
      <c r="A2891" s="115"/>
      <c r="B2891" s="93"/>
      <c r="C2891" s="94"/>
      <c r="D2891" s="95"/>
      <c r="E2891" s="95"/>
      <c r="F2891" s="96"/>
      <c r="G2891" s="97"/>
      <c r="H2891" s="114" t="str">
        <f t="shared" si="35"/>
        <v/>
      </c>
      <c r="I2891" s="17"/>
      <c r="J2891" s="17"/>
      <c r="K2891" s="17"/>
    </row>
    <row r="2892" spans="1:11" x14ac:dyDescent="0.2">
      <c r="A2892" s="115"/>
      <c r="B2892" s="93"/>
      <c r="C2892" s="94"/>
      <c r="D2892" s="95"/>
      <c r="E2892" s="95"/>
      <c r="F2892" s="96"/>
      <c r="G2892" s="97"/>
      <c r="H2892" s="114" t="str">
        <f t="shared" si="35"/>
        <v/>
      </c>
      <c r="I2892" s="17"/>
      <c r="J2892" s="17"/>
      <c r="K2892" s="17"/>
    </row>
    <row r="2893" spans="1:11" x14ac:dyDescent="0.2">
      <c r="A2893" s="115"/>
      <c r="B2893" s="93"/>
      <c r="C2893" s="94"/>
      <c r="D2893" s="95"/>
      <c r="E2893" s="95"/>
      <c r="F2893" s="96"/>
      <c r="G2893" s="97"/>
      <c r="H2893" s="114" t="str">
        <f t="shared" si="35"/>
        <v/>
      </c>
      <c r="I2893" s="17"/>
      <c r="J2893" s="17"/>
      <c r="K2893" s="17"/>
    </row>
    <row r="2894" spans="1:11" x14ac:dyDescent="0.2">
      <c r="A2894" s="115"/>
      <c r="B2894" s="93"/>
      <c r="C2894" s="94"/>
      <c r="D2894" s="95"/>
      <c r="E2894" s="95"/>
      <c r="F2894" s="96"/>
      <c r="G2894" s="97"/>
      <c r="H2894" s="114" t="str">
        <f t="shared" si="35"/>
        <v/>
      </c>
      <c r="I2894" s="17"/>
      <c r="J2894" s="17"/>
      <c r="K2894" s="17"/>
    </row>
    <row r="2895" spans="1:11" x14ac:dyDescent="0.2">
      <c r="A2895" s="115"/>
      <c r="B2895" s="93"/>
      <c r="C2895" s="94"/>
      <c r="D2895" s="95"/>
      <c r="E2895" s="95"/>
      <c r="F2895" s="96"/>
      <c r="G2895" s="97"/>
      <c r="H2895" s="114" t="str">
        <f t="shared" si="35"/>
        <v/>
      </c>
      <c r="I2895" s="17"/>
      <c r="J2895" s="17"/>
      <c r="K2895" s="17"/>
    </row>
    <row r="2896" spans="1:11" x14ac:dyDescent="0.2">
      <c r="A2896" s="115"/>
      <c r="B2896" s="93"/>
      <c r="C2896" s="94"/>
      <c r="D2896" s="95"/>
      <c r="E2896" s="95"/>
      <c r="F2896" s="96"/>
      <c r="G2896" s="97"/>
      <c r="H2896" s="114" t="str">
        <f t="shared" si="35"/>
        <v/>
      </c>
      <c r="I2896" s="17"/>
      <c r="J2896" s="17"/>
      <c r="K2896" s="17"/>
    </row>
    <row r="2897" spans="1:11" x14ac:dyDescent="0.2">
      <c r="A2897" s="115"/>
      <c r="B2897" s="93"/>
      <c r="C2897" s="94"/>
      <c r="D2897" s="95"/>
      <c r="E2897" s="95"/>
      <c r="F2897" s="96"/>
      <c r="G2897" s="97"/>
      <c r="H2897" s="114" t="str">
        <f t="shared" si="35"/>
        <v/>
      </c>
      <c r="I2897" s="17"/>
      <c r="J2897" s="17"/>
      <c r="K2897" s="17"/>
    </row>
    <row r="2898" spans="1:11" x14ac:dyDescent="0.2">
      <c r="A2898" s="115"/>
      <c r="B2898" s="93"/>
      <c r="C2898" s="94"/>
      <c r="D2898" s="95"/>
      <c r="E2898" s="95"/>
      <c r="F2898" s="96"/>
      <c r="G2898" s="97"/>
      <c r="H2898" s="114" t="str">
        <f t="shared" si="35"/>
        <v/>
      </c>
      <c r="I2898" s="17"/>
      <c r="J2898" s="17"/>
      <c r="K2898" s="17"/>
    </row>
    <row r="2899" spans="1:11" x14ac:dyDescent="0.2">
      <c r="A2899" s="115"/>
      <c r="B2899" s="93"/>
      <c r="C2899" s="94"/>
      <c r="D2899" s="95"/>
      <c r="E2899" s="95"/>
      <c r="F2899" s="96"/>
      <c r="G2899" s="97"/>
      <c r="H2899" s="114" t="str">
        <f t="shared" si="35"/>
        <v/>
      </c>
      <c r="I2899" s="17"/>
      <c r="J2899" s="17"/>
      <c r="K2899" s="17"/>
    </row>
    <row r="2900" spans="1:11" x14ac:dyDescent="0.2">
      <c r="A2900" s="115"/>
      <c r="B2900" s="93"/>
      <c r="C2900" s="94"/>
      <c r="D2900" s="95"/>
      <c r="E2900" s="95"/>
      <c r="F2900" s="96"/>
      <c r="G2900" s="97"/>
      <c r="H2900" s="114" t="str">
        <f t="shared" si="35"/>
        <v/>
      </c>
      <c r="I2900" s="17"/>
      <c r="J2900" s="17"/>
      <c r="K2900" s="17"/>
    </row>
    <row r="2901" spans="1:11" x14ac:dyDescent="0.2">
      <c r="A2901" s="115"/>
      <c r="B2901" s="93"/>
      <c r="C2901" s="94"/>
      <c r="D2901" s="95"/>
      <c r="E2901" s="95"/>
      <c r="F2901" s="96"/>
      <c r="G2901" s="97"/>
      <c r="H2901" s="114" t="str">
        <f t="shared" si="35"/>
        <v/>
      </c>
      <c r="I2901" s="17"/>
      <c r="J2901" s="17"/>
      <c r="K2901" s="17"/>
    </row>
    <row r="2902" spans="1:11" x14ac:dyDescent="0.2">
      <c r="A2902" s="115"/>
      <c r="B2902" s="93"/>
      <c r="C2902" s="94"/>
      <c r="D2902" s="95"/>
      <c r="E2902" s="95"/>
      <c r="F2902" s="96"/>
      <c r="G2902" s="97"/>
      <c r="H2902" s="114" t="str">
        <f t="shared" si="35"/>
        <v/>
      </c>
      <c r="I2902" s="17"/>
      <c r="J2902" s="17"/>
      <c r="K2902" s="17"/>
    </row>
    <row r="2903" spans="1:11" x14ac:dyDescent="0.2">
      <c r="A2903" s="115"/>
      <c r="B2903" s="93"/>
      <c r="C2903" s="94"/>
      <c r="D2903" s="95"/>
      <c r="E2903" s="95"/>
      <c r="F2903" s="96"/>
      <c r="G2903" s="97"/>
      <c r="H2903" s="114" t="str">
        <f t="shared" si="35"/>
        <v/>
      </c>
      <c r="I2903" s="17"/>
      <c r="J2903" s="17"/>
      <c r="K2903" s="17"/>
    </row>
    <row r="2904" spans="1:11" x14ac:dyDescent="0.2">
      <c r="A2904" s="115"/>
      <c r="B2904" s="93"/>
      <c r="C2904" s="94"/>
      <c r="D2904" s="95"/>
      <c r="E2904" s="95"/>
      <c r="F2904" s="96"/>
      <c r="G2904" s="97"/>
      <c r="H2904" s="114" t="str">
        <f t="shared" si="35"/>
        <v/>
      </c>
      <c r="I2904" s="17"/>
      <c r="J2904" s="17"/>
      <c r="K2904" s="17"/>
    </row>
    <row r="2905" spans="1:11" x14ac:dyDescent="0.2">
      <c r="A2905" s="115"/>
      <c r="B2905" s="93"/>
      <c r="C2905" s="94"/>
      <c r="D2905" s="95"/>
      <c r="E2905" s="95"/>
      <c r="F2905" s="96"/>
      <c r="G2905" s="97"/>
      <c r="H2905" s="114" t="str">
        <f t="shared" si="35"/>
        <v/>
      </c>
      <c r="I2905" s="17"/>
      <c r="J2905" s="17"/>
      <c r="K2905" s="17"/>
    </row>
    <row r="2906" spans="1:11" x14ac:dyDescent="0.2">
      <c r="A2906" s="115"/>
      <c r="B2906" s="93"/>
      <c r="C2906" s="94"/>
      <c r="D2906" s="95"/>
      <c r="E2906" s="95"/>
      <c r="F2906" s="96"/>
      <c r="G2906" s="97"/>
      <c r="H2906" s="114" t="str">
        <f t="shared" si="35"/>
        <v/>
      </c>
      <c r="I2906" s="17"/>
      <c r="J2906" s="17"/>
      <c r="K2906" s="17"/>
    </row>
    <row r="2907" spans="1:11" x14ac:dyDescent="0.2">
      <c r="A2907" s="115"/>
      <c r="B2907" s="93"/>
      <c r="C2907" s="94"/>
      <c r="D2907" s="95"/>
      <c r="E2907" s="95"/>
      <c r="F2907" s="96"/>
      <c r="G2907" s="97"/>
      <c r="H2907" s="114" t="str">
        <f t="shared" si="35"/>
        <v/>
      </c>
      <c r="I2907" s="17"/>
      <c r="J2907" s="17"/>
      <c r="K2907" s="17"/>
    </row>
    <row r="2908" spans="1:11" x14ac:dyDescent="0.2">
      <c r="A2908" s="115"/>
      <c r="B2908" s="93"/>
      <c r="C2908" s="94"/>
      <c r="D2908" s="95"/>
      <c r="E2908" s="95"/>
      <c r="F2908" s="96"/>
      <c r="G2908" s="97"/>
      <c r="H2908" s="114" t="str">
        <f t="shared" si="35"/>
        <v/>
      </c>
      <c r="I2908" s="17"/>
      <c r="J2908" s="17"/>
      <c r="K2908" s="17"/>
    </row>
    <row r="2909" spans="1:11" x14ac:dyDescent="0.2">
      <c r="A2909" s="115"/>
      <c r="B2909" s="93"/>
      <c r="C2909" s="94"/>
      <c r="D2909" s="95"/>
      <c r="E2909" s="95"/>
      <c r="F2909" s="96"/>
      <c r="G2909" s="97"/>
      <c r="H2909" s="114" t="str">
        <f t="shared" si="35"/>
        <v/>
      </c>
      <c r="I2909" s="17"/>
      <c r="J2909" s="17"/>
      <c r="K2909" s="17"/>
    </row>
    <row r="2910" spans="1:11" x14ac:dyDescent="0.2">
      <c r="A2910" s="115"/>
      <c r="B2910" s="93"/>
      <c r="C2910" s="94"/>
      <c r="D2910" s="95"/>
      <c r="E2910" s="95"/>
      <c r="F2910" s="96"/>
      <c r="G2910" s="97"/>
      <c r="H2910" s="114" t="str">
        <f t="shared" si="35"/>
        <v/>
      </c>
      <c r="I2910" s="17"/>
      <c r="J2910" s="17"/>
      <c r="K2910" s="17"/>
    </row>
    <row r="2911" spans="1:11" x14ac:dyDescent="0.2">
      <c r="A2911" s="115"/>
      <c r="B2911" s="93"/>
      <c r="C2911" s="94"/>
      <c r="D2911" s="95"/>
      <c r="E2911" s="95"/>
      <c r="F2911" s="96"/>
      <c r="G2911" s="97"/>
      <c r="H2911" s="114" t="str">
        <f t="shared" si="35"/>
        <v/>
      </c>
      <c r="I2911" s="17"/>
      <c r="J2911" s="17"/>
      <c r="K2911" s="17"/>
    </row>
    <row r="2912" spans="1:11" x14ac:dyDescent="0.2">
      <c r="A2912" s="115"/>
      <c r="B2912" s="93"/>
      <c r="C2912" s="94"/>
      <c r="D2912" s="95"/>
      <c r="E2912" s="95"/>
      <c r="F2912" s="96"/>
      <c r="G2912" s="97"/>
      <c r="H2912" s="114" t="str">
        <f t="shared" si="35"/>
        <v/>
      </c>
      <c r="I2912" s="17"/>
      <c r="J2912" s="17"/>
      <c r="K2912" s="17"/>
    </row>
    <row r="2913" spans="1:11" x14ac:dyDescent="0.2">
      <c r="A2913" s="115"/>
      <c r="B2913" s="93"/>
      <c r="C2913" s="94"/>
      <c r="D2913" s="95"/>
      <c r="E2913" s="95"/>
      <c r="F2913" s="96"/>
      <c r="G2913" s="97"/>
      <c r="H2913" s="114" t="str">
        <f t="shared" si="35"/>
        <v/>
      </c>
      <c r="I2913" s="17"/>
      <c r="J2913" s="17"/>
      <c r="K2913" s="17"/>
    </row>
    <row r="2914" spans="1:11" x14ac:dyDescent="0.2">
      <c r="A2914" s="115"/>
      <c r="B2914" s="93"/>
      <c r="C2914" s="94"/>
      <c r="D2914" s="95"/>
      <c r="E2914" s="95"/>
      <c r="F2914" s="96"/>
      <c r="G2914" s="97"/>
      <c r="H2914" s="114" t="str">
        <f t="shared" si="35"/>
        <v/>
      </c>
      <c r="I2914" s="17"/>
      <c r="J2914" s="17"/>
      <c r="K2914" s="17"/>
    </row>
    <row r="2915" spans="1:11" x14ac:dyDescent="0.2">
      <c r="A2915" s="115"/>
      <c r="B2915" s="93"/>
      <c r="C2915" s="94"/>
      <c r="D2915" s="95"/>
      <c r="E2915" s="95"/>
      <c r="F2915" s="96"/>
      <c r="G2915" s="97"/>
      <c r="H2915" s="114" t="str">
        <f t="shared" si="35"/>
        <v/>
      </c>
      <c r="I2915" s="17"/>
      <c r="J2915" s="17"/>
      <c r="K2915" s="17"/>
    </row>
    <row r="2916" spans="1:11" x14ac:dyDescent="0.2">
      <c r="A2916" s="115"/>
      <c r="B2916" s="93"/>
      <c r="C2916" s="94"/>
      <c r="D2916" s="95"/>
      <c r="E2916" s="95"/>
      <c r="F2916" s="96"/>
      <c r="G2916" s="97"/>
      <c r="H2916" s="114" t="str">
        <f t="shared" si="35"/>
        <v/>
      </c>
      <c r="I2916" s="17"/>
      <c r="J2916" s="17"/>
      <c r="K2916" s="17"/>
    </row>
    <row r="2917" spans="1:11" x14ac:dyDescent="0.2">
      <c r="A2917" s="115"/>
      <c r="B2917" s="93"/>
      <c r="C2917" s="94"/>
      <c r="D2917" s="95"/>
      <c r="E2917" s="95"/>
      <c r="F2917" s="96"/>
      <c r="G2917" s="97"/>
      <c r="H2917" s="114" t="str">
        <f t="shared" si="35"/>
        <v/>
      </c>
      <c r="I2917" s="17"/>
      <c r="J2917" s="17"/>
      <c r="K2917" s="17"/>
    </row>
    <row r="2918" spans="1:11" x14ac:dyDescent="0.2">
      <c r="A2918" s="115"/>
      <c r="B2918" s="93"/>
      <c r="C2918" s="94"/>
      <c r="D2918" s="95"/>
      <c r="E2918" s="95"/>
      <c r="F2918" s="96"/>
      <c r="G2918" s="97"/>
      <c r="H2918" s="114" t="str">
        <f t="shared" si="35"/>
        <v/>
      </c>
      <c r="I2918" s="17"/>
      <c r="J2918" s="17"/>
      <c r="K2918" s="17"/>
    </row>
    <row r="2919" spans="1:11" x14ac:dyDescent="0.2">
      <c r="A2919" s="115"/>
      <c r="B2919" s="93"/>
      <c r="C2919" s="94"/>
      <c r="D2919" s="95"/>
      <c r="E2919" s="95"/>
      <c r="F2919" s="96"/>
      <c r="G2919" s="97"/>
      <c r="H2919" s="114" t="str">
        <f t="shared" si="35"/>
        <v/>
      </c>
      <c r="I2919" s="17"/>
      <c r="J2919" s="17"/>
      <c r="K2919" s="17"/>
    </row>
    <row r="2920" spans="1:11" x14ac:dyDescent="0.2">
      <c r="A2920" s="115"/>
      <c r="B2920" s="93"/>
      <c r="C2920" s="94"/>
      <c r="D2920" s="95"/>
      <c r="E2920" s="95"/>
      <c r="F2920" s="96"/>
      <c r="G2920" s="97"/>
      <c r="H2920" s="114" t="str">
        <f t="shared" si="35"/>
        <v/>
      </c>
      <c r="I2920" s="17"/>
      <c r="J2920" s="17"/>
      <c r="K2920" s="17"/>
    </row>
    <row r="2921" spans="1:11" x14ac:dyDescent="0.2">
      <c r="A2921" s="115"/>
      <c r="B2921" s="93"/>
      <c r="C2921" s="94"/>
      <c r="D2921" s="95"/>
      <c r="E2921" s="95"/>
      <c r="F2921" s="96"/>
      <c r="G2921" s="97"/>
      <c r="H2921" s="114" t="str">
        <f t="shared" si="35"/>
        <v/>
      </c>
      <c r="I2921" s="17"/>
      <c r="J2921" s="17"/>
      <c r="K2921" s="17"/>
    </row>
    <row r="2922" spans="1:11" x14ac:dyDescent="0.2">
      <c r="A2922" s="115"/>
      <c r="B2922" s="93"/>
      <c r="C2922" s="94"/>
      <c r="D2922" s="95"/>
      <c r="E2922" s="95"/>
      <c r="F2922" s="96"/>
      <c r="G2922" s="97"/>
      <c r="H2922" s="114" t="str">
        <f t="shared" si="35"/>
        <v/>
      </c>
      <c r="I2922" s="17"/>
      <c r="J2922" s="17"/>
      <c r="K2922" s="17"/>
    </row>
    <row r="2923" spans="1:11" x14ac:dyDescent="0.2">
      <c r="A2923" s="115"/>
      <c r="B2923" s="93"/>
      <c r="C2923" s="94"/>
      <c r="D2923" s="95"/>
      <c r="E2923" s="95"/>
      <c r="F2923" s="96"/>
      <c r="G2923" s="97"/>
      <c r="H2923" s="114" t="str">
        <f t="shared" si="35"/>
        <v/>
      </c>
      <c r="I2923" s="17"/>
      <c r="J2923" s="17"/>
      <c r="K2923" s="17"/>
    </row>
    <row r="2924" spans="1:11" x14ac:dyDescent="0.2">
      <c r="A2924" s="115"/>
      <c r="B2924" s="93"/>
      <c r="C2924" s="94"/>
      <c r="D2924" s="95"/>
      <c r="E2924" s="95"/>
      <c r="F2924" s="96"/>
      <c r="G2924" s="97"/>
      <c r="H2924" s="114" t="str">
        <f t="shared" si="35"/>
        <v/>
      </c>
      <c r="I2924" s="17"/>
      <c r="J2924" s="17"/>
      <c r="K2924" s="17"/>
    </row>
    <row r="2925" spans="1:11" x14ac:dyDescent="0.2">
      <c r="A2925" s="115"/>
      <c r="B2925" s="93"/>
      <c r="C2925" s="94"/>
      <c r="D2925" s="95"/>
      <c r="E2925" s="95"/>
      <c r="F2925" s="96"/>
      <c r="G2925" s="97"/>
      <c r="H2925" s="114" t="str">
        <f t="shared" si="35"/>
        <v/>
      </c>
      <c r="I2925" s="17"/>
      <c r="J2925" s="17"/>
      <c r="K2925" s="17"/>
    </row>
    <row r="2926" spans="1:11" x14ac:dyDescent="0.2">
      <c r="A2926" s="115"/>
      <c r="B2926" s="93"/>
      <c r="C2926" s="94"/>
      <c r="D2926" s="95"/>
      <c r="E2926" s="95"/>
      <c r="F2926" s="96"/>
      <c r="G2926" s="97"/>
      <c r="H2926" s="114" t="str">
        <f t="shared" si="35"/>
        <v/>
      </c>
      <c r="I2926" s="17"/>
      <c r="J2926" s="17"/>
      <c r="K2926" s="17"/>
    </row>
    <row r="2927" spans="1:11" x14ac:dyDescent="0.2">
      <c r="A2927" s="115"/>
      <c r="B2927" s="93"/>
      <c r="C2927" s="94"/>
      <c r="D2927" s="95"/>
      <c r="E2927" s="95"/>
      <c r="F2927" s="96"/>
      <c r="G2927" s="97"/>
      <c r="H2927" s="114" t="str">
        <f t="shared" si="35"/>
        <v/>
      </c>
      <c r="I2927" s="17"/>
      <c r="J2927" s="17"/>
      <c r="K2927" s="17"/>
    </row>
    <row r="2928" spans="1:11" x14ac:dyDescent="0.2">
      <c r="A2928" s="115"/>
      <c r="B2928" s="93"/>
      <c r="C2928" s="94"/>
      <c r="D2928" s="95"/>
      <c r="E2928" s="95"/>
      <c r="F2928" s="96"/>
      <c r="G2928" s="97"/>
      <c r="H2928" s="114" t="str">
        <f t="shared" si="35"/>
        <v/>
      </c>
      <c r="I2928" s="17"/>
      <c r="J2928" s="17"/>
      <c r="K2928" s="17"/>
    </row>
    <row r="2929" spans="1:11" x14ac:dyDescent="0.2">
      <c r="A2929" s="115"/>
      <c r="B2929" s="93"/>
      <c r="C2929" s="94"/>
      <c r="D2929" s="95"/>
      <c r="E2929" s="95"/>
      <c r="F2929" s="96"/>
      <c r="G2929" s="97"/>
      <c r="H2929" s="114" t="str">
        <f t="shared" si="35"/>
        <v/>
      </c>
      <c r="I2929" s="17"/>
      <c r="J2929" s="17"/>
      <c r="K2929" s="17"/>
    </row>
    <row r="2930" spans="1:11" x14ac:dyDescent="0.2">
      <c r="A2930" s="115"/>
      <c r="B2930" s="93"/>
      <c r="C2930" s="94"/>
      <c r="D2930" s="95"/>
      <c r="E2930" s="95"/>
      <c r="F2930" s="96"/>
      <c r="G2930" s="97"/>
      <c r="H2930" s="114" t="str">
        <f t="shared" si="35"/>
        <v/>
      </c>
      <c r="I2930" s="17"/>
      <c r="J2930" s="17"/>
      <c r="K2930" s="17"/>
    </row>
    <row r="2931" spans="1:11" x14ac:dyDescent="0.2">
      <c r="A2931" s="115"/>
      <c r="B2931" s="93"/>
      <c r="C2931" s="94"/>
      <c r="D2931" s="95"/>
      <c r="E2931" s="95"/>
      <c r="F2931" s="96"/>
      <c r="G2931" s="97"/>
      <c r="H2931" s="114" t="str">
        <f t="shared" si="35"/>
        <v/>
      </c>
      <c r="I2931" s="17"/>
      <c r="J2931" s="17"/>
      <c r="K2931" s="17"/>
    </row>
    <row r="2932" spans="1:11" x14ac:dyDescent="0.2">
      <c r="A2932" s="115"/>
      <c r="B2932" s="93"/>
      <c r="C2932" s="94"/>
      <c r="D2932" s="95"/>
      <c r="E2932" s="95"/>
      <c r="F2932" s="96"/>
      <c r="G2932" s="97"/>
      <c r="H2932" s="114" t="str">
        <f t="shared" si="35"/>
        <v/>
      </c>
      <c r="I2932" s="17"/>
      <c r="J2932" s="17"/>
      <c r="K2932" s="17"/>
    </row>
    <row r="2933" spans="1:11" x14ac:dyDescent="0.2">
      <c r="A2933" s="115"/>
      <c r="B2933" s="93"/>
      <c r="C2933" s="94"/>
      <c r="D2933" s="95"/>
      <c r="E2933" s="95"/>
      <c r="F2933" s="96"/>
      <c r="G2933" s="97"/>
      <c r="H2933" s="114" t="str">
        <f t="shared" si="35"/>
        <v/>
      </c>
      <c r="I2933" s="17"/>
      <c r="J2933" s="17"/>
      <c r="K2933" s="17"/>
    </row>
    <row r="2934" spans="1:11" x14ac:dyDescent="0.2">
      <c r="A2934" s="115"/>
      <c r="B2934" s="93"/>
      <c r="C2934" s="94"/>
      <c r="D2934" s="95"/>
      <c r="E2934" s="95"/>
      <c r="F2934" s="96"/>
      <c r="G2934" s="97"/>
      <c r="H2934" s="114" t="str">
        <f t="shared" si="35"/>
        <v/>
      </c>
      <c r="I2934" s="17"/>
      <c r="J2934" s="17"/>
      <c r="K2934" s="17"/>
    </row>
    <row r="2935" spans="1:11" x14ac:dyDescent="0.2">
      <c r="A2935" s="115"/>
      <c r="B2935" s="93"/>
      <c r="C2935" s="94"/>
      <c r="D2935" s="95"/>
      <c r="E2935" s="95"/>
      <c r="F2935" s="96"/>
      <c r="G2935" s="97"/>
      <c r="H2935" s="114" t="str">
        <f t="shared" si="35"/>
        <v/>
      </c>
      <c r="I2935" s="17"/>
      <c r="J2935" s="17"/>
      <c r="K2935" s="17"/>
    </row>
    <row r="2936" spans="1:11" x14ac:dyDescent="0.2">
      <c r="A2936" s="115"/>
      <c r="B2936" s="93"/>
      <c r="C2936" s="94"/>
      <c r="D2936" s="95"/>
      <c r="E2936" s="95"/>
      <c r="F2936" s="96"/>
      <c r="G2936" s="97"/>
      <c r="H2936" s="114" t="str">
        <f t="shared" si="35"/>
        <v/>
      </c>
      <c r="I2936" s="17"/>
      <c r="J2936" s="17"/>
      <c r="K2936" s="17"/>
    </row>
    <row r="2937" spans="1:11" x14ac:dyDescent="0.2">
      <c r="A2937" s="115"/>
      <c r="B2937" s="93"/>
      <c r="C2937" s="94"/>
      <c r="D2937" s="95"/>
      <c r="E2937" s="95"/>
      <c r="F2937" s="96"/>
      <c r="G2937" s="97"/>
      <c r="H2937" s="114" t="str">
        <f t="shared" si="35"/>
        <v/>
      </c>
      <c r="I2937" s="17"/>
      <c r="J2937" s="17"/>
      <c r="K2937" s="17"/>
    </row>
    <row r="2938" spans="1:11" x14ac:dyDescent="0.2">
      <c r="A2938" s="115"/>
      <c r="B2938" s="93"/>
      <c r="C2938" s="94"/>
      <c r="D2938" s="95"/>
      <c r="E2938" s="95"/>
      <c r="F2938" s="96"/>
      <c r="G2938" s="97"/>
      <c r="H2938" s="114" t="str">
        <f t="shared" si="35"/>
        <v/>
      </c>
      <c r="I2938" s="17"/>
      <c r="J2938" s="17"/>
      <c r="K2938" s="17"/>
    </row>
    <row r="2939" spans="1:11" x14ac:dyDescent="0.2">
      <c r="A2939" s="115"/>
      <c r="B2939" s="93"/>
      <c r="C2939" s="94"/>
      <c r="D2939" s="95"/>
      <c r="E2939" s="95"/>
      <c r="F2939" s="96"/>
      <c r="G2939" s="97"/>
      <c r="H2939" s="114" t="str">
        <f t="shared" si="35"/>
        <v/>
      </c>
      <c r="I2939" s="17"/>
      <c r="J2939" s="17"/>
      <c r="K2939" s="17"/>
    </row>
    <row r="2940" spans="1:11" x14ac:dyDescent="0.2">
      <c r="A2940" s="115"/>
      <c r="B2940" s="93"/>
      <c r="C2940" s="94"/>
      <c r="D2940" s="95"/>
      <c r="E2940" s="95"/>
      <c r="F2940" s="96"/>
      <c r="G2940" s="97"/>
      <c r="H2940" s="114" t="str">
        <f t="shared" si="35"/>
        <v/>
      </c>
      <c r="I2940" s="17"/>
      <c r="J2940" s="17"/>
      <c r="K2940" s="17"/>
    </row>
    <row r="2941" spans="1:11" x14ac:dyDescent="0.2">
      <c r="A2941" s="115"/>
      <c r="B2941" s="93"/>
      <c r="C2941" s="94"/>
      <c r="D2941" s="95"/>
      <c r="E2941" s="95"/>
      <c r="F2941" s="96"/>
      <c r="G2941" s="97"/>
      <c r="H2941" s="114" t="str">
        <f t="shared" si="35"/>
        <v/>
      </c>
      <c r="I2941" s="17"/>
      <c r="J2941" s="17"/>
      <c r="K2941" s="17"/>
    </row>
    <row r="2942" spans="1:11" x14ac:dyDescent="0.2">
      <c r="A2942" s="115"/>
      <c r="B2942" s="93"/>
      <c r="C2942" s="94"/>
      <c r="D2942" s="95"/>
      <c r="E2942" s="95"/>
      <c r="F2942" s="96"/>
      <c r="G2942" s="97"/>
      <c r="H2942" s="114" t="str">
        <f t="shared" si="35"/>
        <v/>
      </c>
      <c r="I2942" s="17"/>
      <c r="J2942" s="17"/>
      <c r="K2942" s="17"/>
    </row>
    <row r="2943" spans="1:11" x14ac:dyDescent="0.2">
      <c r="A2943" s="115"/>
      <c r="B2943" s="93"/>
      <c r="C2943" s="94"/>
      <c r="D2943" s="95"/>
      <c r="E2943" s="95"/>
      <c r="F2943" s="96"/>
      <c r="G2943" s="97"/>
      <c r="H2943" s="114" t="str">
        <f t="shared" si="35"/>
        <v/>
      </c>
      <c r="I2943" s="17"/>
      <c r="J2943" s="17"/>
      <c r="K2943" s="17"/>
    </row>
    <row r="2944" spans="1:11" x14ac:dyDescent="0.2">
      <c r="A2944" s="115"/>
      <c r="B2944" s="93"/>
      <c r="C2944" s="94"/>
      <c r="D2944" s="95"/>
      <c r="E2944" s="95"/>
      <c r="F2944" s="96"/>
      <c r="G2944" s="97"/>
      <c r="H2944" s="114" t="str">
        <f t="shared" si="35"/>
        <v/>
      </c>
      <c r="I2944" s="17"/>
      <c r="J2944" s="17"/>
      <c r="K2944" s="17"/>
    </row>
    <row r="2945" spans="1:11" x14ac:dyDescent="0.2">
      <c r="A2945" s="115"/>
      <c r="B2945" s="93"/>
      <c r="C2945" s="94"/>
      <c r="D2945" s="95"/>
      <c r="E2945" s="95"/>
      <c r="F2945" s="96"/>
      <c r="G2945" s="97"/>
      <c r="H2945" s="114" t="str">
        <f t="shared" si="35"/>
        <v/>
      </c>
      <c r="I2945" s="17"/>
      <c r="J2945" s="17"/>
      <c r="K2945" s="17"/>
    </row>
    <row r="2946" spans="1:11" x14ac:dyDescent="0.2">
      <c r="A2946" s="115"/>
      <c r="B2946" s="93"/>
      <c r="C2946" s="94"/>
      <c r="D2946" s="95"/>
      <c r="E2946" s="95"/>
      <c r="F2946" s="96"/>
      <c r="G2946" s="97"/>
      <c r="H2946" s="114" t="str">
        <f t="shared" si="35"/>
        <v/>
      </c>
      <c r="I2946" s="17"/>
      <c r="J2946" s="17"/>
      <c r="K2946" s="17"/>
    </row>
    <row r="2947" spans="1:11" x14ac:dyDescent="0.2">
      <c r="A2947" s="115"/>
      <c r="B2947" s="93"/>
      <c r="C2947" s="94"/>
      <c r="D2947" s="95"/>
      <c r="E2947" s="95"/>
      <c r="F2947" s="96"/>
      <c r="G2947" s="97"/>
      <c r="H2947" s="114" t="str">
        <f t="shared" si="35"/>
        <v/>
      </c>
      <c r="I2947" s="17"/>
      <c r="J2947" s="17"/>
      <c r="K2947" s="17"/>
    </row>
    <row r="2948" spans="1:11" x14ac:dyDescent="0.2">
      <c r="A2948" s="115"/>
      <c r="B2948" s="93"/>
      <c r="C2948" s="94"/>
      <c r="D2948" s="95"/>
      <c r="E2948" s="95"/>
      <c r="F2948" s="96"/>
      <c r="G2948" s="97"/>
      <c r="H2948" s="114" t="str">
        <f t="shared" ref="H2948:H3011" si="36">IF(A2948&lt;&gt;"", EOMONTH(A2948, -1) + 1, "")</f>
        <v/>
      </c>
      <c r="I2948" s="17"/>
      <c r="J2948" s="17"/>
      <c r="K2948" s="17"/>
    </row>
    <row r="2949" spans="1:11" x14ac:dyDescent="0.2">
      <c r="A2949" s="115"/>
      <c r="B2949" s="93"/>
      <c r="C2949" s="94"/>
      <c r="D2949" s="95"/>
      <c r="E2949" s="95"/>
      <c r="F2949" s="96"/>
      <c r="G2949" s="97"/>
      <c r="H2949" s="114" t="str">
        <f t="shared" si="36"/>
        <v/>
      </c>
      <c r="I2949" s="17"/>
      <c r="J2949" s="17"/>
      <c r="K2949" s="17"/>
    </row>
    <row r="2950" spans="1:11" x14ac:dyDescent="0.2">
      <c r="A2950" s="115"/>
      <c r="B2950" s="93"/>
      <c r="C2950" s="94"/>
      <c r="D2950" s="95"/>
      <c r="E2950" s="95"/>
      <c r="F2950" s="96"/>
      <c r="G2950" s="97"/>
      <c r="H2950" s="114" t="str">
        <f t="shared" si="36"/>
        <v/>
      </c>
      <c r="I2950" s="17"/>
      <c r="J2950" s="17"/>
      <c r="K2950" s="17"/>
    </row>
    <row r="2951" spans="1:11" x14ac:dyDescent="0.2">
      <c r="A2951" s="115"/>
      <c r="B2951" s="93"/>
      <c r="C2951" s="94"/>
      <c r="D2951" s="95"/>
      <c r="E2951" s="95"/>
      <c r="F2951" s="96"/>
      <c r="G2951" s="97"/>
      <c r="H2951" s="114" t="str">
        <f t="shared" si="36"/>
        <v/>
      </c>
      <c r="I2951" s="17"/>
      <c r="J2951" s="17"/>
      <c r="K2951" s="17"/>
    </row>
    <row r="2952" spans="1:11" x14ac:dyDescent="0.2">
      <c r="A2952" s="115"/>
      <c r="B2952" s="93"/>
      <c r="C2952" s="94"/>
      <c r="D2952" s="95"/>
      <c r="E2952" s="95"/>
      <c r="F2952" s="96"/>
      <c r="G2952" s="97"/>
      <c r="H2952" s="114" t="str">
        <f t="shared" si="36"/>
        <v/>
      </c>
      <c r="I2952" s="17"/>
      <c r="J2952" s="17"/>
      <c r="K2952" s="17"/>
    </row>
    <row r="2953" spans="1:11" x14ac:dyDescent="0.2">
      <c r="A2953" s="115"/>
      <c r="B2953" s="93"/>
      <c r="C2953" s="94"/>
      <c r="D2953" s="95"/>
      <c r="E2953" s="95"/>
      <c r="F2953" s="96"/>
      <c r="G2953" s="97"/>
      <c r="H2953" s="114" t="str">
        <f t="shared" si="36"/>
        <v/>
      </c>
      <c r="I2953" s="17"/>
      <c r="J2953" s="17"/>
      <c r="K2953" s="17"/>
    </row>
    <row r="2954" spans="1:11" x14ac:dyDescent="0.2">
      <c r="A2954" s="115"/>
      <c r="B2954" s="93"/>
      <c r="C2954" s="94"/>
      <c r="D2954" s="95"/>
      <c r="E2954" s="95"/>
      <c r="F2954" s="96"/>
      <c r="G2954" s="97"/>
      <c r="H2954" s="114" t="str">
        <f t="shared" si="36"/>
        <v/>
      </c>
      <c r="I2954" s="17"/>
      <c r="J2954" s="17"/>
      <c r="K2954" s="17"/>
    </row>
    <row r="2955" spans="1:11" x14ac:dyDescent="0.2">
      <c r="A2955" s="115"/>
      <c r="B2955" s="93"/>
      <c r="C2955" s="94"/>
      <c r="D2955" s="95"/>
      <c r="E2955" s="95"/>
      <c r="F2955" s="96"/>
      <c r="G2955" s="97"/>
      <c r="H2955" s="114" t="str">
        <f t="shared" si="36"/>
        <v/>
      </c>
      <c r="I2955" s="17"/>
      <c r="J2955" s="17"/>
      <c r="K2955" s="17"/>
    </row>
    <row r="2956" spans="1:11" x14ac:dyDescent="0.2">
      <c r="A2956" s="115"/>
      <c r="B2956" s="93"/>
      <c r="C2956" s="94"/>
      <c r="D2956" s="95"/>
      <c r="E2956" s="95"/>
      <c r="F2956" s="96"/>
      <c r="G2956" s="97"/>
      <c r="H2956" s="114" t="str">
        <f t="shared" si="36"/>
        <v/>
      </c>
      <c r="I2956" s="17"/>
      <c r="J2956" s="17"/>
      <c r="K2956" s="17"/>
    </row>
    <row r="2957" spans="1:11" x14ac:dyDescent="0.2">
      <c r="A2957" s="115"/>
      <c r="B2957" s="93"/>
      <c r="C2957" s="94"/>
      <c r="D2957" s="95"/>
      <c r="E2957" s="95"/>
      <c r="F2957" s="96"/>
      <c r="G2957" s="97"/>
      <c r="H2957" s="114" t="str">
        <f t="shared" si="36"/>
        <v/>
      </c>
      <c r="I2957" s="17"/>
      <c r="J2957" s="17"/>
      <c r="K2957" s="17"/>
    </row>
    <row r="2958" spans="1:11" x14ac:dyDescent="0.2">
      <c r="A2958" s="115"/>
      <c r="B2958" s="93"/>
      <c r="C2958" s="94"/>
      <c r="D2958" s="95"/>
      <c r="E2958" s="95"/>
      <c r="F2958" s="96"/>
      <c r="G2958" s="97"/>
      <c r="H2958" s="114" t="str">
        <f t="shared" si="36"/>
        <v/>
      </c>
      <c r="I2958" s="17"/>
      <c r="J2958" s="17"/>
      <c r="K2958" s="17"/>
    </row>
    <row r="2959" spans="1:11" x14ac:dyDescent="0.2">
      <c r="A2959" s="115"/>
      <c r="B2959" s="93"/>
      <c r="C2959" s="94"/>
      <c r="D2959" s="95"/>
      <c r="E2959" s="95"/>
      <c r="F2959" s="96"/>
      <c r="G2959" s="97"/>
      <c r="H2959" s="114" t="str">
        <f t="shared" si="36"/>
        <v/>
      </c>
      <c r="I2959" s="17"/>
      <c r="J2959" s="17"/>
      <c r="K2959" s="17"/>
    </row>
    <row r="2960" spans="1:11" x14ac:dyDescent="0.2">
      <c r="A2960" s="115"/>
      <c r="B2960" s="93"/>
      <c r="C2960" s="94"/>
      <c r="D2960" s="95"/>
      <c r="E2960" s="95"/>
      <c r="F2960" s="96"/>
      <c r="G2960" s="97"/>
      <c r="H2960" s="114" t="str">
        <f t="shared" si="36"/>
        <v/>
      </c>
      <c r="I2960" s="17"/>
      <c r="J2960" s="17"/>
      <c r="K2960" s="17"/>
    </row>
    <row r="2961" spans="1:11" x14ac:dyDescent="0.2">
      <c r="A2961" s="115"/>
      <c r="B2961" s="93"/>
      <c r="C2961" s="94"/>
      <c r="D2961" s="95"/>
      <c r="E2961" s="95"/>
      <c r="F2961" s="96"/>
      <c r="G2961" s="97"/>
      <c r="H2961" s="114" t="str">
        <f t="shared" si="36"/>
        <v/>
      </c>
      <c r="I2961" s="17"/>
      <c r="J2961" s="17"/>
      <c r="K2961" s="17"/>
    </row>
    <row r="2962" spans="1:11" x14ac:dyDescent="0.2">
      <c r="A2962" s="115"/>
      <c r="B2962" s="93"/>
      <c r="C2962" s="94"/>
      <c r="D2962" s="95"/>
      <c r="E2962" s="95"/>
      <c r="F2962" s="96"/>
      <c r="G2962" s="97"/>
      <c r="H2962" s="114" t="str">
        <f t="shared" si="36"/>
        <v/>
      </c>
      <c r="I2962" s="17"/>
      <c r="J2962" s="17"/>
      <c r="K2962" s="17"/>
    </row>
    <row r="2963" spans="1:11" x14ac:dyDescent="0.2">
      <c r="A2963" s="115"/>
      <c r="B2963" s="93"/>
      <c r="C2963" s="94"/>
      <c r="D2963" s="95"/>
      <c r="E2963" s="95"/>
      <c r="F2963" s="96"/>
      <c r="G2963" s="97"/>
      <c r="H2963" s="114" t="str">
        <f t="shared" si="36"/>
        <v/>
      </c>
      <c r="I2963" s="17"/>
      <c r="J2963" s="17"/>
      <c r="K2963" s="17"/>
    </row>
    <row r="2964" spans="1:11" x14ac:dyDescent="0.2">
      <c r="A2964" s="115"/>
      <c r="B2964" s="93"/>
      <c r="C2964" s="94"/>
      <c r="D2964" s="95"/>
      <c r="E2964" s="95"/>
      <c r="F2964" s="96"/>
      <c r="G2964" s="97"/>
      <c r="H2964" s="114" t="str">
        <f t="shared" si="36"/>
        <v/>
      </c>
      <c r="I2964" s="17"/>
      <c r="J2964" s="17"/>
      <c r="K2964" s="17"/>
    </row>
    <row r="2965" spans="1:11" x14ac:dyDescent="0.2">
      <c r="A2965" s="115"/>
      <c r="B2965" s="93"/>
      <c r="C2965" s="94"/>
      <c r="D2965" s="95"/>
      <c r="E2965" s="95"/>
      <c r="F2965" s="96"/>
      <c r="G2965" s="97"/>
      <c r="H2965" s="114" t="str">
        <f t="shared" si="36"/>
        <v/>
      </c>
      <c r="I2965" s="17"/>
      <c r="J2965" s="17"/>
      <c r="K2965" s="17"/>
    </row>
    <row r="2966" spans="1:11" x14ac:dyDescent="0.2">
      <c r="A2966" s="115"/>
      <c r="B2966" s="93"/>
      <c r="C2966" s="94"/>
      <c r="D2966" s="95"/>
      <c r="E2966" s="95"/>
      <c r="F2966" s="96"/>
      <c r="G2966" s="97"/>
      <c r="H2966" s="114" t="str">
        <f t="shared" si="36"/>
        <v/>
      </c>
      <c r="I2966" s="17"/>
      <c r="J2966" s="17"/>
      <c r="K2966" s="17"/>
    </row>
    <row r="2967" spans="1:11" x14ac:dyDescent="0.2">
      <c r="A2967" s="115"/>
      <c r="B2967" s="93"/>
      <c r="C2967" s="94"/>
      <c r="D2967" s="95"/>
      <c r="E2967" s="95"/>
      <c r="F2967" s="96"/>
      <c r="G2967" s="97"/>
      <c r="H2967" s="114" t="str">
        <f t="shared" si="36"/>
        <v/>
      </c>
      <c r="I2967" s="17"/>
      <c r="J2967" s="17"/>
      <c r="K2967" s="17"/>
    </row>
    <row r="2968" spans="1:11" x14ac:dyDescent="0.2">
      <c r="A2968" s="115"/>
      <c r="B2968" s="93"/>
      <c r="C2968" s="94"/>
      <c r="D2968" s="95"/>
      <c r="E2968" s="95"/>
      <c r="F2968" s="96"/>
      <c r="G2968" s="97"/>
      <c r="H2968" s="114" t="str">
        <f t="shared" si="36"/>
        <v/>
      </c>
      <c r="I2968" s="17"/>
      <c r="J2968" s="17"/>
      <c r="K2968" s="17"/>
    </row>
    <row r="2969" spans="1:11" x14ac:dyDescent="0.2">
      <c r="A2969" s="115"/>
      <c r="B2969" s="93"/>
      <c r="C2969" s="94"/>
      <c r="D2969" s="95"/>
      <c r="E2969" s="95"/>
      <c r="F2969" s="96"/>
      <c r="G2969" s="97"/>
      <c r="H2969" s="114" t="str">
        <f t="shared" si="36"/>
        <v/>
      </c>
      <c r="I2969" s="17"/>
      <c r="J2969" s="17"/>
      <c r="K2969" s="17"/>
    </row>
    <row r="2970" spans="1:11" x14ac:dyDescent="0.2">
      <c r="A2970" s="115"/>
      <c r="B2970" s="93"/>
      <c r="C2970" s="94"/>
      <c r="D2970" s="95"/>
      <c r="E2970" s="95"/>
      <c r="F2970" s="96"/>
      <c r="G2970" s="97"/>
      <c r="H2970" s="114" t="str">
        <f t="shared" si="36"/>
        <v/>
      </c>
      <c r="I2970" s="17"/>
      <c r="J2970" s="17"/>
      <c r="K2970" s="17"/>
    </row>
    <row r="2971" spans="1:11" x14ac:dyDescent="0.2">
      <c r="A2971" s="115"/>
      <c r="B2971" s="93"/>
      <c r="C2971" s="94"/>
      <c r="D2971" s="95"/>
      <c r="E2971" s="95"/>
      <c r="F2971" s="96"/>
      <c r="G2971" s="97"/>
      <c r="H2971" s="114" t="str">
        <f t="shared" si="36"/>
        <v/>
      </c>
      <c r="I2971" s="17"/>
      <c r="J2971" s="17"/>
      <c r="K2971" s="17"/>
    </row>
    <row r="2972" spans="1:11" x14ac:dyDescent="0.2">
      <c r="A2972" s="115"/>
      <c r="B2972" s="93"/>
      <c r="C2972" s="94"/>
      <c r="D2972" s="95"/>
      <c r="E2972" s="95"/>
      <c r="F2972" s="96"/>
      <c r="G2972" s="97"/>
      <c r="H2972" s="114" t="str">
        <f t="shared" si="36"/>
        <v/>
      </c>
      <c r="I2972" s="17"/>
      <c r="J2972" s="17"/>
      <c r="K2972" s="17"/>
    </row>
    <row r="2973" spans="1:11" x14ac:dyDescent="0.2">
      <c r="A2973" s="115"/>
      <c r="B2973" s="93"/>
      <c r="C2973" s="94"/>
      <c r="D2973" s="95"/>
      <c r="E2973" s="95"/>
      <c r="F2973" s="96"/>
      <c r="G2973" s="97"/>
      <c r="H2973" s="114" t="str">
        <f t="shared" si="36"/>
        <v/>
      </c>
      <c r="I2973" s="17"/>
      <c r="J2973" s="17"/>
      <c r="K2973" s="17"/>
    </row>
    <row r="2974" spans="1:11" x14ac:dyDescent="0.2">
      <c r="A2974" s="115"/>
      <c r="B2974" s="93"/>
      <c r="C2974" s="94"/>
      <c r="D2974" s="95"/>
      <c r="E2974" s="95"/>
      <c r="F2974" s="96"/>
      <c r="G2974" s="97"/>
      <c r="H2974" s="114" t="str">
        <f t="shared" si="36"/>
        <v/>
      </c>
      <c r="I2974" s="17"/>
      <c r="J2974" s="17"/>
      <c r="K2974" s="17"/>
    </row>
    <row r="2975" spans="1:11" x14ac:dyDescent="0.2">
      <c r="A2975" s="115"/>
      <c r="B2975" s="93"/>
      <c r="C2975" s="94"/>
      <c r="D2975" s="95"/>
      <c r="E2975" s="95"/>
      <c r="F2975" s="96"/>
      <c r="G2975" s="97"/>
      <c r="H2975" s="114" t="str">
        <f t="shared" si="36"/>
        <v/>
      </c>
      <c r="I2975" s="17"/>
      <c r="J2975" s="17"/>
      <c r="K2975" s="17"/>
    </row>
    <row r="2976" spans="1:11" x14ac:dyDescent="0.2">
      <c r="A2976" s="115"/>
      <c r="B2976" s="93"/>
      <c r="C2976" s="94"/>
      <c r="D2976" s="95"/>
      <c r="E2976" s="95"/>
      <c r="F2976" s="96"/>
      <c r="G2976" s="97"/>
      <c r="H2976" s="114" t="str">
        <f t="shared" si="36"/>
        <v/>
      </c>
      <c r="I2976" s="17"/>
      <c r="J2976" s="17"/>
      <c r="K2976" s="17"/>
    </row>
    <row r="2977" spans="1:11" x14ac:dyDescent="0.2">
      <c r="A2977" s="115"/>
      <c r="B2977" s="93"/>
      <c r="C2977" s="94"/>
      <c r="D2977" s="95"/>
      <c r="E2977" s="95"/>
      <c r="F2977" s="96"/>
      <c r="G2977" s="97"/>
      <c r="H2977" s="114" t="str">
        <f t="shared" si="36"/>
        <v/>
      </c>
      <c r="I2977" s="17"/>
      <c r="J2977" s="17"/>
      <c r="K2977" s="17"/>
    </row>
    <row r="2978" spans="1:11" x14ac:dyDescent="0.2">
      <c r="A2978" s="115"/>
      <c r="B2978" s="93"/>
      <c r="C2978" s="94"/>
      <c r="D2978" s="95"/>
      <c r="E2978" s="95"/>
      <c r="F2978" s="96"/>
      <c r="G2978" s="97"/>
      <c r="H2978" s="114" t="str">
        <f t="shared" si="36"/>
        <v/>
      </c>
      <c r="I2978" s="17"/>
      <c r="J2978" s="17"/>
      <c r="K2978" s="17"/>
    </row>
    <row r="2979" spans="1:11" x14ac:dyDescent="0.2">
      <c r="A2979" s="115"/>
      <c r="B2979" s="93"/>
      <c r="C2979" s="94"/>
      <c r="D2979" s="95"/>
      <c r="E2979" s="95"/>
      <c r="F2979" s="96"/>
      <c r="G2979" s="97"/>
      <c r="H2979" s="114" t="str">
        <f t="shared" si="36"/>
        <v/>
      </c>
      <c r="I2979" s="17"/>
      <c r="J2979" s="17"/>
      <c r="K2979" s="17"/>
    </row>
    <row r="2980" spans="1:11" x14ac:dyDescent="0.2">
      <c r="A2980" s="115"/>
      <c r="B2980" s="93"/>
      <c r="C2980" s="94"/>
      <c r="D2980" s="95"/>
      <c r="E2980" s="95"/>
      <c r="F2980" s="96"/>
      <c r="G2980" s="97"/>
      <c r="H2980" s="114" t="str">
        <f t="shared" si="36"/>
        <v/>
      </c>
      <c r="I2980" s="17"/>
      <c r="J2980" s="17"/>
      <c r="K2980" s="17"/>
    </row>
    <row r="2981" spans="1:11" x14ac:dyDescent="0.2">
      <c r="A2981" s="115"/>
      <c r="B2981" s="93"/>
      <c r="C2981" s="94"/>
      <c r="D2981" s="95"/>
      <c r="E2981" s="95"/>
      <c r="F2981" s="96"/>
      <c r="G2981" s="97"/>
      <c r="H2981" s="114" t="str">
        <f t="shared" si="36"/>
        <v/>
      </c>
      <c r="I2981" s="17"/>
      <c r="J2981" s="17"/>
      <c r="K2981" s="17"/>
    </row>
    <row r="2982" spans="1:11" x14ac:dyDescent="0.2">
      <c r="A2982" s="115"/>
      <c r="B2982" s="93"/>
      <c r="C2982" s="94"/>
      <c r="D2982" s="95"/>
      <c r="E2982" s="95"/>
      <c r="F2982" s="96"/>
      <c r="G2982" s="97"/>
      <c r="H2982" s="114" t="str">
        <f t="shared" si="36"/>
        <v/>
      </c>
      <c r="I2982" s="17"/>
      <c r="J2982" s="17"/>
      <c r="K2982" s="17"/>
    </row>
    <row r="2983" spans="1:11" x14ac:dyDescent="0.2">
      <c r="A2983" s="115"/>
      <c r="B2983" s="93"/>
      <c r="C2983" s="94"/>
      <c r="D2983" s="95"/>
      <c r="E2983" s="95"/>
      <c r="F2983" s="96"/>
      <c r="G2983" s="97"/>
      <c r="H2983" s="114" t="str">
        <f t="shared" si="36"/>
        <v/>
      </c>
      <c r="I2983" s="17"/>
      <c r="J2983" s="17"/>
      <c r="K2983" s="17"/>
    </row>
    <row r="2984" spans="1:11" x14ac:dyDescent="0.2">
      <c r="A2984" s="115"/>
      <c r="B2984" s="93"/>
      <c r="C2984" s="94"/>
      <c r="D2984" s="95"/>
      <c r="E2984" s="95"/>
      <c r="F2984" s="96"/>
      <c r="G2984" s="97"/>
      <c r="H2984" s="114" t="str">
        <f t="shared" si="36"/>
        <v/>
      </c>
      <c r="I2984" s="17"/>
      <c r="J2984" s="17"/>
      <c r="K2984" s="17"/>
    </row>
    <row r="2985" spans="1:11" x14ac:dyDescent="0.2">
      <c r="A2985" s="115"/>
      <c r="B2985" s="93"/>
      <c r="C2985" s="94"/>
      <c r="D2985" s="95"/>
      <c r="E2985" s="95"/>
      <c r="F2985" s="96"/>
      <c r="G2985" s="97"/>
      <c r="H2985" s="114" t="str">
        <f t="shared" si="36"/>
        <v/>
      </c>
      <c r="I2985" s="17"/>
      <c r="J2985" s="17"/>
      <c r="K2985" s="17"/>
    </row>
    <row r="2986" spans="1:11" x14ac:dyDescent="0.2">
      <c r="A2986" s="115"/>
      <c r="B2986" s="93"/>
      <c r="C2986" s="94"/>
      <c r="D2986" s="95"/>
      <c r="E2986" s="95"/>
      <c r="F2986" s="96"/>
      <c r="G2986" s="97"/>
      <c r="H2986" s="114" t="str">
        <f t="shared" si="36"/>
        <v/>
      </c>
      <c r="I2986" s="17"/>
      <c r="J2986" s="17"/>
      <c r="K2986" s="17"/>
    </row>
    <row r="2987" spans="1:11" x14ac:dyDescent="0.2">
      <c r="A2987" s="115"/>
      <c r="B2987" s="93"/>
      <c r="C2987" s="94"/>
      <c r="D2987" s="95"/>
      <c r="E2987" s="95"/>
      <c r="F2987" s="96"/>
      <c r="G2987" s="97"/>
      <c r="H2987" s="114" t="str">
        <f t="shared" si="36"/>
        <v/>
      </c>
      <c r="I2987" s="17"/>
      <c r="J2987" s="17"/>
      <c r="K2987" s="17"/>
    </row>
    <row r="2988" spans="1:11" x14ac:dyDescent="0.2">
      <c r="A2988" s="115"/>
      <c r="B2988" s="93"/>
      <c r="C2988" s="94"/>
      <c r="D2988" s="95"/>
      <c r="E2988" s="95"/>
      <c r="F2988" s="96"/>
      <c r="G2988" s="97"/>
      <c r="H2988" s="114" t="str">
        <f t="shared" si="36"/>
        <v/>
      </c>
      <c r="I2988" s="17"/>
      <c r="J2988" s="17"/>
      <c r="K2988" s="17"/>
    </row>
    <row r="2989" spans="1:11" x14ac:dyDescent="0.2">
      <c r="A2989" s="115"/>
      <c r="B2989" s="93"/>
      <c r="C2989" s="94"/>
      <c r="D2989" s="95"/>
      <c r="E2989" s="95"/>
      <c r="F2989" s="96"/>
      <c r="G2989" s="97"/>
      <c r="H2989" s="114" t="str">
        <f t="shared" si="36"/>
        <v/>
      </c>
      <c r="I2989" s="17"/>
      <c r="J2989" s="17"/>
      <c r="K2989" s="17"/>
    </row>
    <row r="2990" spans="1:11" x14ac:dyDescent="0.2">
      <c r="A2990" s="115"/>
      <c r="B2990" s="93"/>
      <c r="C2990" s="94"/>
      <c r="D2990" s="95"/>
      <c r="E2990" s="95"/>
      <c r="F2990" s="96"/>
      <c r="G2990" s="97"/>
      <c r="H2990" s="114" t="str">
        <f t="shared" si="36"/>
        <v/>
      </c>
      <c r="I2990" s="17"/>
      <c r="J2990" s="17"/>
      <c r="K2990" s="17"/>
    </row>
    <row r="2991" spans="1:11" x14ac:dyDescent="0.2">
      <c r="A2991" s="115"/>
      <c r="B2991" s="93"/>
      <c r="C2991" s="94"/>
      <c r="D2991" s="95"/>
      <c r="E2991" s="95"/>
      <c r="F2991" s="96"/>
      <c r="G2991" s="97"/>
      <c r="H2991" s="114" t="str">
        <f t="shared" si="36"/>
        <v/>
      </c>
      <c r="I2991" s="17"/>
      <c r="J2991" s="17"/>
      <c r="K2991" s="17"/>
    </row>
    <row r="2992" spans="1:11" x14ac:dyDescent="0.2">
      <c r="A2992" s="115"/>
      <c r="B2992" s="93"/>
      <c r="C2992" s="94"/>
      <c r="D2992" s="95"/>
      <c r="E2992" s="95"/>
      <c r="F2992" s="96"/>
      <c r="G2992" s="97"/>
      <c r="H2992" s="114" t="str">
        <f t="shared" si="36"/>
        <v/>
      </c>
      <c r="I2992" s="17"/>
      <c r="J2992" s="17"/>
      <c r="K2992" s="17"/>
    </row>
    <row r="2993" spans="1:11" x14ac:dyDescent="0.2">
      <c r="A2993" s="115"/>
      <c r="B2993" s="93"/>
      <c r="C2993" s="94"/>
      <c r="D2993" s="95"/>
      <c r="E2993" s="95"/>
      <c r="F2993" s="96"/>
      <c r="G2993" s="97"/>
      <c r="H2993" s="114" t="str">
        <f t="shared" si="36"/>
        <v/>
      </c>
      <c r="I2993" s="17"/>
      <c r="J2993" s="17"/>
      <c r="K2993" s="17"/>
    </row>
    <row r="2994" spans="1:11" x14ac:dyDescent="0.2">
      <c r="A2994" s="115"/>
      <c r="B2994" s="93"/>
      <c r="C2994" s="94"/>
      <c r="D2994" s="95"/>
      <c r="E2994" s="95"/>
      <c r="F2994" s="96"/>
      <c r="G2994" s="97"/>
      <c r="H2994" s="114" t="str">
        <f t="shared" si="36"/>
        <v/>
      </c>
      <c r="I2994" s="17"/>
      <c r="J2994" s="17"/>
      <c r="K2994" s="17"/>
    </row>
    <row r="2995" spans="1:11" x14ac:dyDescent="0.2">
      <c r="A2995" s="115"/>
      <c r="B2995" s="93"/>
      <c r="C2995" s="94"/>
      <c r="D2995" s="95"/>
      <c r="E2995" s="95"/>
      <c r="F2995" s="96"/>
      <c r="G2995" s="97"/>
      <c r="H2995" s="114" t="str">
        <f t="shared" si="36"/>
        <v/>
      </c>
      <c r="I2995" s="17"/>
      <c r="J2995" s="17"/>
      <c r="K2995" s="17"/>
    </row>
    <row r="2996" spans="1:11" x14ac:dyDescent="0.2">
      <c r="A2996" s="115"/>
      <c r="B2996" s="93"/>
      <c r="C2996" s="94"/>
      <c r="D2996" s="95"/>
      <c r="E2996" s="95"/>
      <c r="F2996" s="96"/>
      <c r="G2996" s="97"/>
      <c r="H2996" s="114" t="str">
        <f t="shared" si="36"/>
        <v/>
      </c>
      <c r="I2996" s="17"/>
      <c r="J2996" s="17"/>
      <c r="K2996" s="17"/>
    </row>
    <row r="2997" spans="1:11" x14ac:dyDescent="0.2">
      <c r="A2997" s="115"/>
      <c r="B2997" s="93"/>
      <c r="C2997" s="94"/>
      <c r="D2997" s="95"/>
      <c r="E2997" s="95"/>
      <c r="F2997" s="96"/>
      <c r="G2997" s="97"/>
      <c r="H2997" s="114" t="str">
        <f t="shared" si="36"/>
        <v/>
      </c>
      <c r="I2997" s="17"/>
      <c r="J2997" s="17"/>
      <c r="K2997" s="17"/>
    </row>
    <row r="2998" spans="1:11" x14ac:dyDescent="0.2">
      <c r="A2998" s="115"/>
      <c r="B2998" s="93"/>
      <c r="C2998" s="94"/>
      <c r="D2998" s="95"/>
      <c r="E2998" s="95"/>
      <c r="F2998" s="96"/>
      <c r="G2998" s="97"/>
      <c r="H2998" s="114" t="str">
        <f t="shared" si="36"/>
        <v/>
      </c>
      <c r="I2998" s="17"/>
      <c r="J2998" s="17"/>
      <c r="K2998" s="17"/>
    </row>
    <row r="2999" spans="1:11" x14ac:dyDescent="0.2">
      <c r="A2999" s="115"/>
      <c r="B2999" s="93"/>
      <c r="C2999" s="94"/>
      <c r="D2999" s="95"/>
      <c r="E2999" s="95"/>
      <c r="F2999" s="96"/>
      <c r="G2999" s="97"/>
      <c r="H2999" s="114" t="str">
        <f t="shared" si="36"/>
        <v/>
      </c>
      <c r="I2999" s="17"/>
      <c r="J2999" s="17"/>
      <c r="K2999" s="17"/>
    </row>
    <row r="3000" spans="1:11" x14ac:dyDescent="0.2">
      <c r="A3000" s="115"/>
      <c r="B3000" s="93"/>
      <c r="C3000" s="94"/>
      <c r="D3000" s="95"/>
      <c r="E3000" s="95"/>
      <c r="F3000" s="96"/>
      <c r="G3000" s="97"/>
      <c r="H3000" s="114" t="str">
        <f t="shared" si="36"/>
        <v/>
      </c>
      <c r="I3000" s="17"/>
      <c r="J3000" s="17"/>
      <c r="K3000" s="17"/>
    </row>
    <row r="3001" spans="1:11" x14ac:dyDescent="0.2">
      <c r="A3001" s="115"/>
      <c r="B3001" s="93"/>
      <c r="C3001" s="94"/>
      <c r="D3001" s="95"/>
      <c r="E3001" s="95"/>
      <c r="F3001" s="96"/>
      <c r="G3001" s="97"/>
      <c r="H3001" s="114" t="str">
        <f t="shared" si="36"/>
        <v/>
      </c>
      <c r="I3001" s="17"/>
      <c r="J3001" s="17"/>
      <c r="K3001" s="17"/>
    </row>
    <row r="3002" spans="1:11" x14ac:dyDescent="0.2">
      <c r="A3002" s="115"/>
      <c r="B3002" s="93"/>
      <c r="C3002" s="94"/>
      <c r="D3002" s="95"/>
      <c r="E3002" s="95"/>
      <c r="F3002" s="96"/>
      <c r="G3002" s="97"/>
      <c r="H3002" s="114" t="str">
        <f t="shared" si="36"/>
        <v/>
      </c>
      <c r="I3002" s="17"/>
      <c r="J3002" s="17"/>
      <c r="K3002" s="17"/>
    </row>
    <row r="3003" spans="1:11" x14ac:dyDescent="0.2">
      <c r="A3003" s="115"/>
      <c r="B3003" s="93"/>
      <c r="C3003" s="94"/>
      <c r="D3003" s="95"/>
      <c r="E3003" s="95"/>
      <c r="F3003" s="96"/>
      <c r="G3003" s="97"/>
      <c r="H3003" s="114" t="str">
        <f t="shared" si="36"/>
        <v/>
      </c>
      <c r="I3003" s="17"/>
      <c r="J3003" s="17"/>
      <c r="K3003" s="17"/>
    </row>
    <row r="3004" spans="1:11" x14ac:dyDescent="0.2">
      <c r="A3004" s="115"/>
      <c r="B3004" s="93"/>
      <c r="C3004" s="94"/>
      <c r="D3004" s="95"/>
      <c r="E3004" s="95"/>
      <c r="F3004" s="96"/>
      <c r="G3004" s="97"/>
      <c r="H3004" s="114" t="str">
        <f t="shared" si="36"/>
        <v/>
      </c>
      <c r="I3004" s="17"/>
      <c r="J3004" s="17"/>
      <c r="K3004" s="17"/>
    </row>
    <row r="3005" spans="1:11" x14ac:dyDescent="0.2">
      <c r="A3005" s="115"/>
      <c r="B3005" s="93"/>
      <c r="C3005" s="94"/>
      <c r="D3005" s="95"/>
      <c r="E3005" s="95"/>
      <c r="F3005" s="96"/>
      <c r="G3005" s="97"/>
      <c r="H3005" s="114" t="str">
        <f t="shared" si="36"/>
        <v/>
      </c>
      <c r="I3005" s="17"/>
      <c r="J3005" s="17"/>
      <c r="K3005" s="17"/>
    </row>
    <row r="3006" spans="1:11" x14ac:dyDescent="0.2">
      <c r="A3006" s="115"/>
      <c r="B3006" s="93"/>
      <c r="C3006" s="94"/>
      <c r="D3006" s="95"/>
      <c r="E3006" s="95"/>
      <c r="F3006" s="96"/>
      <c r="G3006" s="97"/>
      <c r="H3006" s="114" t="str">
        <f t="shared" si="36"/>
        <v/>
      </c>
      <c r="I3006" s="17"/>
      <c r="J3006" s="17"/>
      <c r="K3006" s="17"/>
    </row>
    <row r="3007" spans="1:11" x14ac:dyDescent="0.2">
      <c r="A3007" s="115"/>
      <c r="B3007" s="93"/>
      <c r="C3007" s="94"/>
      <c r="D3007" s="95"/>
      <c r="E3007" s="95"/>
      <c r="F3007" s="96"/>
      <c r="G3007" s="97"/>
      <c r="H3007" s="114" t="str">
        <f t="shared" si="36"/>
        <v/>
      </c>
      <c r="I3007" s="17"/>
      <c r="J3007" s="17"/>
      <c r="K3007" s="17"/>
    </row>
    <row r="3008" spans="1:11" x14ac:dyDescent="0.2">
      <c r="A3008" s="115"/>
      <c r="B3008" s="93"/>
      <c r="C3008" s="94"/>
      <c r="D3008" s="95"/>
      <c r="E3008" s="95"/>
      <c r="F3008" s="96"/>
      <c r="G3008" s="97"/>
      <c r="H3008" s="114" t="str">
        <f t="shared" si="36"/>
        <v/>
      </c>
      <c r="I3008" s="17"/>
      <c r="J3008" s="17"/>
      <c r="K3008" s="17"/>
    </row>
    <row r="3009" spans="1:11" x14ac:dyDescent="0.2">
      <c r="A3009" s="115"/>
      <c r="B3009" s="93"/>
      <c r="C3009" s="94"/>
      <c r="D3009" s="95"/>
      <c r="E3009" s="95"/>
      <c r="F3009" s="96"/>
      <c r="G3009" s="97"/>
      <c r="H3009" s="114" t="str">
        <f t="shared" si="36"/>
        <v/>
      </c>
      <c r="I3009" s="17"/>
      <c r="J3009" s="17"/>
      <c r="K3009" s="17"/>
    </row>
    <row r="3010" spans="1:11" x14ac:dyDescent="0.2">
      <c r="A3010" s="115"/>
      <c r="B3010" s="93"/>
      <c r="C3010" s="94"/>
      <c r="D3010" s="95"/>
      <c r="E3010" s="95"/>
      <c r="F3010" s="96"/>
      <c r="G3010" s="97"/>
      <c r="H3010" s="114" t="str">
        <f t="shared" si="36"/>
        <v/>
      </c>
      <c r="I3010" s="17"/>
      <c r="J3010" s="17"/>
      <c r="K3010" s="17"/>
    </row>
    <row r="3011" spans="1:11" x14ac:dyDescent="0.2">
      <c r="A3011" s="115"/>
      <c r="B3011" s="93"/>
      <c r="C3011" s="94"/>
      <c r="D3011" s="95"/>
      <c r="E3011" s="95"/>
      <c r="F3011" s="96"/>
      <c r="G3011" s="97"/>
      <c r="H3011" s="114" t="str">
        <f t="shared" si="36"/>
        <v/>
      </c>
      <c r="I3011" s="17"/>
      <c r="J3011" s="17"/>
      <c r="K3011" s="17"/>
    </row>
    <row r="3012" spans="1:11" x14ac:dyDescent="0.2">
      <c r="A3012" s="115"/>
      <c r="B3012" s="93"/>
      <c r="C3012" s="94"/>
      <c r="D3012" s="95"/>
      <c r="E3012" s="95"/>
      <c r="F3012" s="96"/>
      <c r="G3012" s="97"/>
      <c r="H3012" s="114" t="str">
        <f t="shared" ref="H3012:H3075" si="37">IF(A3012&lt;&gt;"", EOMONTH(A3012, -1) + 1, "")</f>
        <v/>
      </c>
      <c r="I3012" s="17"/>
      <c r="J3012" s="17"/>
      <c r="K3012" s="17"/>
    </row>
    <row r="3013" spans="1:11" x14ac:dyDescent="0.2">
      <c r="A3013" s="115"/>
      <c r="B3013" s="93"/>
      <c r="C3013" s="94"/>
      <c r="D3013" s="95"/>
      <c r="E3013" s="95"/>
      <c r="F3013" s="96"/>
      <c r="G3013" s="97"/>
      <c r="H3013" s="114" t="str">
        <f t="shared" si="37"/>
        <v/>
      </c>
      <c r="I3013" s="17"/>
      <c r="J3013" s="17"/>
      <c r="K3013" s="17"/>
    </row>
    <row r="3014" spans="1:11" x14ac:dyDescent="0.2">
      <c r="A3014" s="115"/>
      <c r="B3014" s="93"/>
      <c r="C3014" s="94"/>
      <c r="D3014" s="95"/>
      <c r="E3014" s="95"/>
      <c r="F3014" s="96"/>
      <c r="G3014" s="97"/>
      <c r="H3014" s="114" t="str">
        <f t="shared" si="37"/>
        <v/>
      </c>
      <c r="I3014" s="17"/>
      <c r="J3014" s="17"/>
      <c r="K3014" s="17"/>
    </row>
    <row r="3015" spans="1:11" x14ac:dyDescent="0.2">
      <c r="A3015" s="115"/>
      <c r="B3015" s="93"/>
      <c r="C3015" s="94"/>
      <c r="D3015" s="95"/>
      <c r="E3015" s="95"/>
      <c r="F3015" s="96"/>
      <c r="G3015" s="97"/>
      <c r="H3015" s="114" t="str">
        <f t="shared" si="37"/>
        <v/>
      </c>
      <c r="I3015" s="17"/>
      <c r="J3015" s="17"/>
      <c r="K3015" s="17"/>
    </row>
    <row r="3016" spans="1:11" x14ac:dyDescent="0.2">
      <c r="A3016" s="115"/>
      <c r="B3016" s="93"/>
      <c r="C3016" s="94"/>
      <c r="D3016" s="95"/>
      <c r="E3016" s="95"/>
      <c r="F3016" s="96"/>
      <c r="G3016" s="97"/>
      <c r="H3016" s="114" t="str">
        <f t="shared" si="37"/>
        <v/>
      </c>
      <c r="I3016" s="17"/>
      <c r="J3016" s="17"/>
      <c r="K3016" s="17"/>
    </row>
    <row r="3017" spans="1:11" x14ac:dyDescent="0.2">
      <c r="A3017" s="115"/>
      <c r="B3017" s="93"/>
      <c r="C3017" s="94"/>
      <c r="D3017" s="95"/>
      <c r="E3017" s="95"/>
      <c r="F3017" s="96"/>
      <c r="G3017" s="97"/>
      <c r="H3017" s="114" t="str">
        <f t="shared" si="37"/>
        <v/>
      </c>
      <c r="I3017" s="17"/>
      <c r="J3017" s="17"/>
      <c r="K3017" s="17"/>
    </row>
    <row r="3018" spans="1:11" x14ac:dyDescent="0.2">
      <c r="A3018" s="115"/>
      <c r="B3018" s="93"/>
      <c r="C3018" s="94"/>
      <c r="D3018" s="95"/>
      <c r="E3018" s="95"/>
      <c r="F3018" s="96"/>
      <c r="G3018" s="97"/>
      <c r="H3018" s="114" t="str">
        <f t="shared" si="37"/>
        <v/>
      </c>
      <c r="I3018" s="17"/>
      <c r="J3018" s="17"/>
      <c r="K3018" s="17"/>
    </row>
    <row r="3019" spans="1:11" x14ac:dyDescent="0.2">
      <c r="A3019" s="115"/>
      <c r="B3019" s="93"/>
      <c r="C3019" s="94"/>
      <c r="D3019" s="95"/>
      <c r="E3019" s="95"/>
      <c r="F3019" s="96"/>
      <c r="G3019" s="97"/>
      <c r="H3019" s="114" t="str">
        <f t="shared" si="37"/>
        <v/>
      </c>
      <c r="I3019" s="17"/>
      <c r="J3019" s="17"/>
      <c r="K3019" s="17"/>
    </row>
    <row r="3020" spans="1:11" x14ac:dyDescent="0.2">
      <c r="A3020" s="115"/>
      <c r="B3020" s="93"/>
      <c r="C3020" s="94"/>
      <c r="D3020" s="95"/>
      <c r="E3020" s="95"/>
      <c r="F3020" s="96"/>
      <c r="G3020" s="97"/>
      <c r="H3020" s="114" t="str">
        <f t="shared" si="37"/>
        <v/>
      </c>
      <c r="I3020" s="17"/>
      <c r="J3020" s="17"/>
      <c r="K3020" s="17"/>
    </row>
    <row r="3021" spans="1:11" x14ac:dyDescent="0.2">
      <c r="A3021" s="115"/>
      <c r="B3021" s="93"/>
      <c r="C3021" s="94"/>
      <c r="D3021" s="95"/>
      <c r="E3021" s="95"/>
      <c r="F3021" s="96"/>
      <c r="G3021" s="97"/>
      <c r="H3021" s="114" t="str">
        <f t="shared" si="37"/>
        <v/>
      </c>
      <c r="I3021" s="17"/>
      <c r="J3021" s="17"/>
      <c r="K3021" s="17"/>
    </row>
    <row r="3022" spans="1:11" x14ac:dyDescent="0.2">
      <c r="A3022" s="115"/>
      <c r="B3022" s="93"/>
      <c r="C3022" s="94"/>
      <c r="D3022" s="95"/>
      <c r="E3022" s="95"/>
      <c r="F3022" s="96"/>
      <c r="G3022" s="97"/>
      <c r="H3022" s="114" t="str">
        <f t="shared" si="37"/>
        <v/>
      </c>
      <c r="I3022" s="17"/>
      <c r="J3022" s="17"/>
      <c r="K3022" s="17"/>
    </row>
    <row r="3023" spans="1:11" x14ac:dyDescent="0.2">
      <c r="A3023" s="115"/>
      <c r="B3023" s="93"/>
      <c r="C3023" s="94"/>
      <c r="D3023" s="95"/>
      <c r="E3023" s="95"/>
      <c r="F3023" s="96"/>
      <c r="G3023" s="97"/>
      <c r="H3023" s="114" t="str">
        <f t="shared" si="37"/>
        <v/>
      </c>
      <c r="I3023" s="17"/>
      <c r="J3023" s="17"/>
      <c r="K3023" s="17"/>
    </row>
    <row r="3024" spans="1:11" x14ac:dyDescent="0.2">
      <c r="A3024" s="115"/>
      <c r="B3024" s="93"/>
      <c r="C3024" s="94"/>
      <c r="D3024" s="95"/>
      <c r="E3024" s="95"/>
      <c r="F3024" s="96"/>
      <c r="G3024" s="97"/>
      <c r="H3024" s="114" t="str">
        <f t="shared" si="37"/>
        <v/>
      </c>
      <c r="I3024" s="17"/>
      <c r="J3024" s="17"/>
      <c r="K3024" s="17"/>
    </row>
    <row r="3025" spans="1:11" x14ac:dyDescent="0.2">
      <c r="A3025" s="115"/>
      <c r="B3025" s="93"/>
      <c r="C3025" s="94"/>
      <c r="D3025" s="95"/>
      <c r="E3025" s="95"/>
      <c r="F3025" s="96"/>
      <c r="G3025" s="97"/>
      <c r="H3025" s="114" t="str">
        <f t="shared" si="37"/>
        <v/>
      </c>
      <c r="I3025" s="17"/>
      <c r="J3025" s="17"/>
      <c r="K3025" s="17"/>
    </row>
    <row r="3026" spans="1:11" x14ac:dyDescent="0.2">
      <c r="A3026" s="115"/>
      <c r="B3026" s="93"/>
      <c r="C3026" s="94"/>
      <c r="D3026" s="95"/>
      <c r="E3026" s="95"/>
      <c r="F3026" s="96"/>
      <c r="G3026" s="97"/>
      <c r="H3026" s="114" t="str">
        <f t="shared" si="37"/>
        <v/>
      </c>
      <c r="I3026" s="17"/>
      <c r="J3026" s="17"/>
      <c r="K3026" s="17"/>
    </row>
    <row r="3027" spans="1:11" x14ac:dyDescent="0.2">
      <c r="A3027" s="115"/>
      <c r="B3027" s="93"/>
      <c r="C3027" s="94"/>
      <c r="D3027" s="95"/>
      <c r="E3027" s="95"/>
      <c r="F3027" s="96"/>
      <c r="G3027" s="97"/>
      <c r="H3027" s="114" t="str">
        <f t="shared" si="37"/>
        <v/>
      </c>
      <c r="I3027" s="17"/>
      <c r="J3027" s="17"/>
      <c r="K3027" s="17"/>
    </row>
    <row r="3028" spans="1:11" x14ac:dyDescent="0.2">
      <c r="A3028" s="115"/>
      <c r="B3028" s="93"/>
      <c r="C3028" s="94"/>
      <c r="D3028" s="95"/>
      <c r="E3028" s="95"/>
      <c r="F3028" s="96"/>
      <c r="G3028" s="97"/>
      <c r="H3028" s="114" t="str">
        <f t="shared" si="37"/>
        <v/>
      </c>
      <c r="I3028" s="17"/>
      <c r="J3028" s="17"/>
      <c r="K3028" s="17"/>
    </row>
    <row r="3029" spans="1:11" x14ac:dyDescent="0.2">
      <c r="A3029" s="115"/>
      <c r="B3029" s="93"/>
      <c r="C3029" s="94"/>
      <c r="D3029" s="95"/>
      <c r="E3029" s="95"/>
      <c r="F3029" s="96"/>
      <c r="G3029" s="97"/>
      <c r="H3029" s="114" t="str">
        <f t="shared" si="37"/>
        <v/>
      </c>
      <c r="I3029" s="17"/>
      <c r="J3029" s="17"/>
      <c r="K3029" s="17"/>
    </row>
    <row r="3030" spans="1:11" x14ac:dyDescent="0.2">
      <c r="A3030" s="115"/>
      <c r="B3030" s="93"/>
      <c r="C3030" s="94"/>
      <c r="D3030" s="95"/>
      <c r="E3030" s="95"/>
      <c r="F3030" s="96"/>
      <c r="G3030" s="97"/>
      <c r="H3030" s="114" t="str">
        <f t="shared" si="37"/>
        <v/>
      </c>
      <c r="I3030" s="17"/>
      <c r="J3030" s="17"/>
      <c r="K3030" s="17"/>
    </row>
    <row r="3031" spans="1:11" x14ac:dyDescent="0.2">
      <c r="A3031" s="115"/>
      <c r="B3031" s="93"/>
      <c r="C3031" s="94"/>
      <c r="D3031" s="95"/>
      <c r="E3031" s="95"/>
      <c r="F3031" s="96"/>
      <c r="G3031" s="97"/>
      <c r="H3031" s="114" t="str">
        <f t="shared" si="37"/>
        <v/>
      </c>
      <c r="I3031" s="17"/>
      <c r="J3031" s="17"/>
      <c r="K3031" s="17"/>
    </row>
    <row r="3032" spans="1:11" x14ac:dyDescent="0.2">
      <c r="A3032" s="115"/>
      <c r="B3032" s="93"/>
      <c r="C3032" s="94"/>
      <c r="D3032" s="95"/>
      <c r="E3032" s="95"/>
      <c r="F3032" s="96"/>
      <c r="G3032" s="97"/>
      <c r="H3032" s="114" t="str">
        <f t="shared" si="37"/>
        <v/>
      </c>
      <c r="I3032" s="17"/>
      <c r="J3032" s="17"/>
      <c r="K3032" s="17"/>
    </row>
    <row r="3033" spans="1:11" x14ac:dyDescent="0.2">
      <c r="A3033" s="115"/>
      <c r="B3033" s="93"/>
      <c r="C3033" s="94"/>
      <c r="D3033" s="95"/>
      <c r="E3033" s="95"/>
      <c r="F3033" s="96"/>
      <c r="G3033" s="97"/>
      <c r="H3033" s="114" t="str">
        <f t="shared" si="37"/>
        <v/>
      </c>
      <c r="I3033" s="17"/>
      <c r="J3033" s="17"/>
      <c r="K3033" s="17"/>
    </row>
    <row r="3034" spans="1:11" x14ac:dyDescent="0.2">
      <c r="A3034" s="115"/>
      <c r="B3034" s="93"/>
      <c r="C3034" s="94"/>
      <c r="D3034" s="95"/>
      <c r="E3034" s="95"/>
      <c r="F3034" s="96"/>
      <c r="G3034" s="97"/>
      <c r="H3034" s="114" t="str">
        <f t="shared" si="37"/>
        <v/>
      </c>
      <c r="I3034" s="17"/>
      <c r="J3034" s="17"/>
      <c r="K3034" s="17"/>
    </row>
    <row r="3035" spans="1:11" x14ac:dyDescent="0.2">
      <c r="A3035" s="115"/>
      <c r="B3035" s="93"/>
      <c r="C3035" s="94"/>
      <c r="D3035" s="95"/>
      <c r="E3035" s="95"/>
      <c r="F3035" s="96"/>
      <c r="G3035" s="97"/>
      <c r="H3035" s="114" t="str">
        <f t="shared" si="37"/>
        <v/>
      </c>
      <c r="I3035" s="17"/>
      <c r="J3035" s="17"/>
      <c r="K3035" s="17"/>
    </row>
    <row r="3036" spans="1:11" x14ac:dyDescent="0.2">
      <c r="A3036" s="115"/>
      <c r="B3036" s="93"/>
      <c r="C3036" s="94"/>
      <c r="D3036" s="95"/>
      <c r="E3036" s="95"/>
      <c r="F3036" s="96"/>
      <c r="G3036" s="97"/>
      <c r="H3036" s="114" t="str">
        <f t="shared" si="37"/>
        <v/>
      </c>
      <c r="I3036" s="17"/>
      <c r="J3036" s="17"/>
      <c r="K3036" s="17"/>
    </row>
    <row r="3037" spans="1:11" x14ac:dyDescent="0.2">
      <c r="A3037" s="115"/>
      <c r="B3037" s="93"/>
      <c r="C3037" s="94"/>
      <c r="D3037" s="95"/>
      <c r="E3037" s="95"/>
      <c r="F3037" s="96"/>
      <c r="G3037" s="97"/>
      <c r="H3037" s="114" t="str">
        <f t="shared" si="37"/>
        <v/>
      </c>
      <c r="I3037" s="17"/>
      <c r="J3037" s="17"/>
      <c r="K3037" s="17"/>
    </row>
    <row r="3038" spans="1:11" x14ac:dyDescent="0.2">
      <c r="A3038" s="115"/>
      <c r="B3038" s="93"/>
      <c r="C3038" s="94"/>
      <c r="D3038" s="95"/>
      <c r="E3038" s="95"/>
      <c r="F3038" s="96"/>
      <c r="G3038" s="97"/>
      <c r="H3038" s="114" t="str">
        <f t="shared" si="37"/>
        <v/>
      </c>
      <c r="I3038" s="17"/>
      <c r="J3038" s="17"/>
      <c r="K3038" s="17"/>
    </row>
    <row r="3039" spans="1:11" x14ac:dyDescent="0.2">
      <c r="A3039" s="115"/>
      <c r="B3039" s="93"/>
      <c r="C3039" s="94"/>
      <c r="D3039" s="95"/>
      <c r="E3039" s="95"/>
      <c r="F3039" s="96"/>
      <c r="G3039" s="97"/>
      <c r="H3039" s="114" t="str">
        <f t="shared" si="37"/>
        <v/>
      </c>
      <c r="I3039" s="17"/>
      <c r="J3039" s="17"/>
      <c r="K3039" s="17"/>
    </row>
    <row r="3040" spans="1:11" x14ac:dyDescent="0.2">
      <c r="A3040" s="115"/>
      <c r="B3040" s="93"/>
      <c r="C3040" s="94"/>
      <c r="D3040" s="95"/>
      <c r="E3040" s="95"/>
      <c r="F3040" s="96"/>
      <c r="G3040" s="97"/>
      <c r="H3040" s="114" t="str">
        <f t="shared" si="37"/>
        <v/>
      </c>
      <c r="I3040" s="17"/>
      <c r="J3040" s="17"/>
      <c r="K3040" s="17"/>
    </row>
    <row r="3041" spans="1:11" x14ac:dyDescent="0.2">
      <c r="A3041" s="115"/>
      <c r="B3041" s="93"/>
      <c r="C3041" s="94"/>
      <c r="D3041" s="95"/>
      <c r="E3041" s="95"/>
      <c r="F3041" s="96"/>
      <c r="G3041" s="97"/>
      <c r="H3041" s="114" t="str">
        <f t="shared" si="37"/>
        <v/>
      </c>
      <c r="I3041" s="17"/>
      <c r="J3041" s="17"/>
      <c r="K3041" s="17"/>
    </row>
    <row r="3042" spans="1:11" x14ac:dyDescent="0.2">
      <c r="A3042" s="115"/>
      <c r="B3042" s="93"/>
      <c r="C3042" s="94"/>
      <c r="D3042" s="95"/>
      <c r="E3042" s="95"/>
      <c r="F3042" s="96"/>
      <c r="G3042" s="97"/>
      <c r="H3042" s="114" t="str">
        <f t="shared" si="37"/>
        <v/>
      </c>
      <c r="I3042" s="17"/>
      <c r="J3042" s="17"/>
      <c r="K3042" s="17"/>
    </row>
    <row r="3043" spans="1:11" x14ac:dyDescent="0.2">
      <c r="A3043" s="115"/>
      <c r="B3043" s="93"/>
      <c r="C3043" s="94"/>
      <c r="D3043" s="95"/>
      <c r="E3043" s="95"/>
      <c r="F3043" s="96"/>
      <c r="G3043" s="97"/>
      <c r="H3043" s="114" t="str">
        <f t="shared" si="37"/>
        <v/>
      </c>
      <c r="I3043" s="17"/>
      <c r="J3043" s="17"/>
      <c r="K3043" s="17"/>
    </row>
    <row r="3044" spans="1:11" x14ac:dyDescent="0.2">
      <c r="A3044" s="115"/>
      <c r="B3044" s="93"/>
      <c r="C3044" s="94"/>
      <c r="D3044" s="95"/>
      <c r="E3044" s="95"/>
      <c r="F3044" s="96"/>
      <c r="G3044" s="97"/>
      <c r="H3044" s="114" t="str">
        <f t="shared" si="37"/>
        <v/>
      </c>
      <c r="I3044" s="17"/>
      <c r="J3044" s="17"/>
      <c r="K3044" s="17"/>
    </row>
    <row r="3045" spans="1:11" x14ac:dyDescent="0.2">
      <c r="A3045" s="115"/>
      <c r="B3045" s="93"/>
      <c r="C3045" s="94"/>
      <c r="D3045" s="95"/>
      <c r="E3045" s="95"/>
      <c r="F3045" s="96"/>
      <c r="G3045" s="97"/>
      <c r="H3045" s="114" t="str">
        <f t="shared" si="37"/>
        <v/>
      </c>
      <c r="I3045" s="17"/>
      <c r="J3045" s="17"/>
      <c r="K3045" s="17"/>
    </row>
    <row r="3046" spans="1:11" x14ac:dyDescent="0.2">
      <c r="A3046" s="115"/>
      <c r="B3046" s="93"/>
      <c r="C3046" s="94"/>
      <c r="D3046" s="95"/>
      <c r="E3046" s="95"/>
      <c r="F3046" s="96"/>
      <c r="G3046" s="97"/>
      <c r="H3046" s="114" t="str">
        <f t="shared" si="37"/>
        <v/>
      </c>
      <c r="I3046" s="17"/>
      <c r="J3046" s="17"/>
      <c r="K3046" s="17"/>
    </row>
    <row r="3047" spans="1:11" x14ac:dyDescent="0.2">
      <c r="A3047" s="115"/>
      <c r="B3047" s="93"/>
      <c r="C3047" s="94"/>
      <c r="D3047" s="95"/>
      <c r="E3047" s="95"/>
      <c r="F3047" s="96"/>
      <c r="G3047" s="97"/>
      <c r="H3047" s="114" t="str">
        <f t="shared" si="37"/>
        <v/>
      </c>
      <c r="I3047" s="17"/>
      <c r="J3047" s="17"/>
      <c r="K3047" s="17"/>
    </row>
    <row r="3048" spans="1:11" x14ac:dyDescent="0.2">
      <c r="A3048" s="115"/>
      <c r="B3048" s="93"/>
      <c r="C3048" s="94"/>
      <c r="D3048" s="95"/>
      <c r="E3048" s="95"/>
      <c r="F3048" s="96"/>
      <c r="G3048" s="97"/>
      <c r="H3048" s="114" t="str">
        <f t="shared" si="37"/>
        <v/>
      </c>
      <c r="I3048" s="17"/>
      <c r="J3048" s="17"/>
      <c r="K3048" s="17"/>
    </row>
    <row r="3049" spans="1:11" x14ac:dyDescent="0.2">
      <c r="A3049" s="115"/>
      <c r="B3049" s="93"/>
      <c r="C3049" s="94"/>
      <c r="D3049" s="95"/>
      <c r="E3049" s="95"/>
      <c r="F3049" s="96"/>
      <c r="G3049" s="97"/>
      <c r="H3049" s="114" t="str">
        <f t="shared" si="37"/>
        <v/>
      </c>
      <c r="I3049" s="17"/>
      <c r="J3049" s="17"/>
      <c r="K3049" s="17"/>
    </row>
    <row r="3050" spans="1:11" x14ac:dyDescent="0.2">
      <c r="A3050" s="115"/>
      <c r="B3050" s="93"/>
      <c r="C3050" s="94"/>
      <c r="D3050" s="95"/>
      <c r="E3050" s="95"/>
      <c r="F3050" s="96"/>
      <c r="G3050" s="97"/>
      <c r="H3050" s="114" t="str">
        <f t="shared" si="37"/>
        <v/>
      </c>
      <c r="I3050" s="17"/>
      <c r="J3050" s="17"/>
      <c r="K3050" s="17"/>
    </row>
    <row r="3051" spans="1:11" x14ac:dyDescent="0.2">
      <c r="A3051" s="115"/>
      <c r="B3051" s="93"/>
      <c r="C3051" s="94"/>
      <c r="D3051" s="95"/>
      <c r="E3051" s="95"/>
      <c r="F3051" s="96"/>
      <c r="G3051" s="97"/>
      <c r="H3051" s="114" t="str">
        <f t="shared" si="37"/>
        <v/>
      </c>
      <c r="I3051" s="17"/>
      <c r="J3051" s="17"/>
      <c r="K3051" s="17"/>
    </row>
    <row r="3052" spans="1:11" x14ac:dyDescent="0.2">
      <c r="A3052" s="115"/>
      <c r="B3052" s="93"/>
      <c r="C3052" s="94"/>
      <c r="D3052" s="95"/>
      <c r="E3052" s="95"/>
      <c r="F3052" s="96"/>
      <c r="G3052" s="97"/>
      <c r="H3052" s="114" t="str">
        <f t="shared" si="37"/>
        <v/>
      </c>
      <c r="I3052" s="17"/>
      <c r="J3052" s="17"/>
      <c r="K3052" s="17"/>
    </row>
    <row r="3053" spans="1:11" x14ac:dyDescent="0.2">
      <c r="A3053" s="115"/>
      <c r="B3053" s="93"/>
      <c r="C3053" s="94"/>
      <c r="D3053" s="95"/>
      <c r="E3053" s="95"/>
      <c r="F3053" s="96"/>
      <c r="G3053" s="97"/>
      <c r="H3053" s="114" t="str">
        <f t="shared" si="37"/>
        <v/>
      </c>
      <c r="I3053" s="17"/>
      <c r="J3053" s="17"/>
      <c r="K3053" s="17"/>
    </row>
    <row r="3054" spans="1:11" x14ac:dyDescent="0.2">
      <c r="A3054" s="115"/>
      <c r="B3054" s="93"/>
      <c r="C3054" s="94"/>
      <c r="D3054" s="95"/>
      <c r="E3054" s="95"/>
      <c r="F3054" s="96"/>
      <c r="G3054" s="97"/>
      <c r="H3054" s="114" t="str">
        <f t="shared" si="37"/>
        <v/>
      </c>
      <c r="I3054" s="17"/>
      <c r="J3054" s="17"/>
      <c r="K3054" s="17"/>
    </row>
    <row r="3055" spans="1:11" x14ac:dyDescent="0.2">
      <c r="A3055" s="115"/>
      <c r="B3055" s="93"/>
      <c r="C3055" s="94"/>
      <c r="D3055" s="95"/>
      <c r="E3055" s="95"/>
      <c r="F3055" s="96"/>
      <c r="G3055" s="97"/>
      <c r="H3055" s="114" t="str">
        <f t="shared" si="37"/>
        <v/>
      </c>
      <c r="I3055" s="17"/>
      <c r="J3055" s="17"/>
      <c r="K3055" s="17"/>
    </row>
    <row r="3056" spans="1:11" x14ac:dyDescent="0.2">
      <c r="A3056" s="115"/>
      <c r="B3056" s="93"/>
      <c r="C3056" s="94"/>
      <c r="D3056" s="95"/>
      <c r="E3056" s="95"/>
      <c r="F3056" s="96"/>
      <c r="G3056" s="97"/>
      <c r="H3056" s="114" t="str">
        <f t="shared" si="37"/>
        <v/>
      </c>
      <c r="I3056" s="17"/>
      <c r="J3056" s="17"/>
      <c r="K3056" s="17"/>
    </row>
    <row r="3057" spans="1:11" x14ac:dyDescent="0.2">
      <c r="A3057" s="115"/>
      <c r="B3057" s="93"/>
      <c r="C3057" s="94"/>
      <c r="D3057" s="95"/>
      <c r="E3057" s="95"/>
      <c r="F3057" s="96"/>
      <c r="G3057" s="97"/>
      <c r="H3057" s="114" t="str">
        <f t="shared" si="37"/>
        <v/>
      </c>
      <c r="I3057" s="17"/>
      <c r="J3057" s="17"/>
      <c r="K3057" s="17"/>
    </row>
    <row r="3058" spans="1:11" x14ac:dyDescent="0.2">
      <c r="A3058" s="115"/>
      <c r="B3058" s="93"/>
      <c r="C3058" s="94"/>
      <c r="D3058" s="95"/>
      <c r="E3058" s="95"/>
      <c r="F3058" s="96"/>
      <c r="G3058" s="97"/>
      <c r="H3058" s="114" t="str">
        <f t="shared" si="37"/>
        <v/>
      </c>
      <c r="I3058" s="17"/>
      <c r="J3058" s="17"/>
      <c r="K3058" s="17"/>
    </row>
    <row r="3059" spans="1:11" x14ac:dyDescent="0.2">
      <c r="A3059" s="115"/>
      <c r="B3059" s="93"/>
      <c r="C3059" s="94"/>
      <c r="D3059" s="95"/>
      <c r="E3059" s="95"/>
      <c r="F3059" s="96"/>
      <c r="G3059" s="97"/>
      <c r="H3059" s="114" t="str">
        <f t="shared" si="37"/>
        <v/>
      </c>
      <c r="I3059" s="17"/>
      <c r="J3059" s="17"/>
      <c r="K3059" s="17"/>
    </row>
    <row r="3060" spans="1:11" x14ac:dyDescent="0.2">
      <c r="A3060" s="115"/>
      <c r="B3060" s="93"/>
      <c r="C3060" s="94"/>
      <c r="D3060" s="95"/>
      <c r="E3060" s="95"/>
      <c r="F3060" s="96"/>
      <c r="G3060" s="97"/>
      <c r="H3060" s="114" t="str">
        <f t="shared" si="37"/>
        <v/>
      </c>
      <c r="I3060" s="17"/>
      <c r="J3060" s="17"/>
      <c r="K3060" s="17"/>
    </row>
    <row r="3061" spans="1:11" x14ac:dyDescent="0.2">
      <c r="A3061" s="115"/>
      <c r="B3061" s="93"/>
      <c r="C3061" s="94"/>
      <c r="D3061" s="95"/>
      <c r="E3061" s="95"/>
      <c r="F3061" s="96"/>
      <c r="G3061" s="97"/>
      <c r="H3061" s="114" t="str">
        <f t="shared" si="37"/>
        <v/>
      </c>
      <c r="I3061" s="17"/>
      <c r="J3061" s="17"/>
      <c r="K3061" s="17"/>
    </row>
    <row r="3062" spans="1:11" x14ac:dyDescent="0.2">
      <c r="A3062" s="115"/>
      <c r="B3062" s="93"/>
      <c r="C3062" s="94"/>
      <c r="D3062" s="95"/>
      <c r="E3062" s="95"/>
      <c r="F3062" s="96"/>
      <c r="G3062" s="97"/>
      <c r="H3062" s="114" t="str">
        <f t="shared" si="37"/>
        <v/>
      </c>
      <c r="I3062" s="17"/>
      <c r="J3062" s="17"/>
      <c r="K3062" s="17"/>
    </row>
    <row r="3063" spans="1:11" x14ac:dyDescent="0.2">
      <c r="A3063" s="115"/>
      <c r="B3063" s="93"/>
      <c r="C3063" s="94"/>
      <c r="D3063" s="95"/>
      <c r="E3063" s="95"/>
      <c r="F3063" s="96"/>
      <c r="G3063" s="97"/>
      <c r="H3063" s="114" t="str">
        <f t="shared" si="37"/>
        <v/>
      </c>
      <c r="I3063" s="17"/>
      <c r="J3063" s="17"/>
      <c r="K3063" s="17"/>
    </row>
    <row r="3064" spans="1:11" x14ac:dyDescent="0.2">
      <c r="A3064" s="115"/>
      <c r="B3064" s="93"/>
      <c r="C3064" s="94"/>
      <c r="D3064" s="95"/>
      <c r="E3064" s="95"/>
      <c r="F3064" s="96"/>
      <c r="G3064" s="97"/>
      <c r="H3064" s="114" t="str">
        <f t="shared" si="37"/>
        <v/>
      </c>
      <c r="I3064" s="17"/>
      <c r="J3064" s="17"/>
      <c r="K3064" s="17"/>
    </row>
    <row r="3065" spans="1:11" x14ac:dyDescent="0.2">
      <c r="A3065" s="115"/>
      <c r="B3065" s="93"/>
      <c r="C3065" s="94"/>
      <c r="D3065" s="95"/>
      <c r="E3065" s="95"/>
      <c r="F3065" s="96"/>
      <c r="G3065" s="97"/>
      <c r="H3065" s="114" t="str">
        <f t="shared" si="37"/>
        <v/>
      </c>
      <c r="I3065" s="17"/>
      <c r="J3065" s="17"/>
      <c r="K3065" s="17"/>
    </row>
    <row r="3066" spans="1:11" x14ac:dyDescent="0.2">
      <c r="A3066" s="115"/>
      <c r="B3066" s="93"/>
      <c r="C3066" s="94"/>
      <c r="D3066" s="95"/>
      <c r="E3066" s="95"/>
      <c r="F3066" s="96"/>
      <c r="G3066" s="97"/>
      <c r="H3066" s="114" t="str">
        <f t="shared" si="37"/>
        <v/>
      </c>
      <c r="I3066" s="17"/>
      <c r="J3066" s="17"/>
      <c r="K3066" s="17"/>
    </row>
    <row r="3067" spans="1:11" x14ac:dyDescent="0.2">
      <c r="A3067" s="115"/>
      <c r="B3067" s="93"/>
      <c r="C3067" s="94"/>
      <c r="D3067" s="95"/>
      <c r="E3067" s="95"/>
      <c r="F3067" s="96"/>
      <c r="G3067" s="97"/>
      <c r="H3067" s="114" t="str">
        <f t="shared" si="37"/>
        <v/>
      </c>
      <c r="I3067" s="17"/>
      <c r="J3067" s="17"/>
      <c r="K3067" s="17"/>
    </row>
    <row r="3068" spans="1:11" x14ac:dyDescent="0.2">
      <c r="A3068" s="115"/>
      <c r="B3068" s="93"/>
      <c r="C3068" s="94"/>
      <c r="D3068" s="95"/>
      <c r="E3068" s="95"/>
      <c r="F3068" s="96"/>
      <c r="G3068" s="97"/>
      <c r="H3068" s="114" t="str">
        <f t="shared" si="37"/>
        <v/>
      </c>
      <c r="I3068" s="17"/>
      <c r="J3068" s="17"/>
      <c r="K3068" s="17"/>
    </row>
    <row r="3069" spans="1:11" x14ac:dyDescent="0.2">
      <c r="A3069" s="115"/>
      <c r="B3069" s="93"/>
      <c r="C3069" s="94"/>
      <c r="D3069" s="95"/>
      <c r="E3069" s="95"/>
      <c r="F3069" s="96"/>
      <c r="G3069" s="97"/>
      <c r="H3069" s="114" t="str">
        <f t="shared" si="37"/>
        <v/>
      </c>
      <c r="I3069" s="17"/>
      <c r="J3069" s="17"/>
      <c r="K3069" s="17"/>
    </row>
    <row r="3070" spans="1:11" x14ac:dyDescent="0.2">
      <c r="A3070" s="115"/>
      <c r="B3070" s="93"/>
      <c r="C3070" s="94"/>
      <c r="D3070" s="95"/>
      <c r="E3070" s="95"/>
      <c r="F3070" s="96"/>
      <c r="G3070" s="97"/>
      <c r="H3070" s="114" t="str">
        <f t="shared" si="37"/>
        <v/>
      </c>
      <c r="I3070" s="17"/>
      <c r="J3070" s="17"/>
      <c r="K3070" s="17"/>
    </row>
    <row r="3071" spans="1:11" x14ac:dyDescent="0.2">
      <c r="A3071" s="115"/>
      <c r="B3071" s="93"/>
      <c r="C3071" s="94"/>
      <c r="D3071" s="95"/>
      <c r="E3071" s="95"/>
      <c r="F3071" s="96"/>
      <c r="G3071" s="97"/>
      <c r="H3071" s="114" t="str">
        <f t="shared" si="37"/>
        <v/>
      </c>
      <c r="I3071" s="17"/>
      <c r="J3071" s="17"/>
      <c r="K3071" s="17"/>
    </row>
    <row r="3072" spans="1:11" x14ac:dyDescent="0.2">
      <c r="A3072" s="115"/>
      <c r="B3072" s="93"/>
      <c r="C3072" s="94"/>
      <c r="D3072" s="95"/>
      <c r="E3072" s="95"/>
      <c r="F3072" s="96"/>
      <c r="G3072" s="97"/>
      <c r="H3072" s="114" t="str">
        <f t="shared" si="37"/>
        <v/>
      </c>
      <c r="I3072" s="17"/>
      <c r="J3072" s="17"/>
      <c r="K3072" s="17"/>
    </row>
    <row r="3073" spans="1:11" x14ac:dyDescent="0.2">
      <c r="A3073" s="115"/>
      <c r="B3073" s="93"/>
      <c r="C3073" s="94"/>
      <c r="D3073" s="95"/>
      <c r="E3073" s="95"/>
      <c r="F3073" s="96"/>
      <c r="G3073" s="97"/>
      <c r="H3073" s="114" t="str">
        <f t="shared" si="37"/>
        <v/>
      </c>
      <c r="I3073" s="17"/>
      <c r="J3073" s="17"/>
      <c r="K3073" s="17"/>
    </row>
    <row r="3074" spans="1:11" x14ac:dyDescent="0.2">
      <c r="A3074" s="115"/>
      <c r="B3074" s="93"/>
      <c r="C3074" s="94"/>
      <c r="D3074" s="95"/>
      <c r="E3074" s="95"/>
      <c r="F3074" s="96"/>
      <c r="G3074" s="97"/>
      <c r="H3074" s="114" t="str">
        <f t="shared" si="37"/>
        <v/>
      </c>
      <c r="I3074" s="17"/>
      <c r="J3074" s="17"/>
      <c r="K3074" s="17"/>
    </row>
    <row r="3075" spans="1:11" x14ac:dyDescent="0.2">
      <c r="A3075" s="115"/>
      <c r="B3075" s="93"/>
      <c r="C3075" s="94"/>
      <c r="D3075" s="95"/>
      <c r="E3075" s="95"/>
      <c r="F3075" s="96"/>
      <c r="G3075" s="97"/>
      <c r="H3075" s="114" t="str">
        <f t="shared" si="37"/>
        <v/>
      </c>
      <c r="I3075" s="17"/>
      <c r="J3075" s="17"/>
      <c r="K3075" s="17"/>
    </row>
    <row r="3076" spans="1:11" x14ac:dyDescent="0.2">
      <c r="A3076" s="115"/>
      <c r="B3076" s="93"/>
      <c r="C3076" s="94"/>
      <c r="D3076" s="95"/>
      <c r="E3076" s="95"/>
      <c r="F3076" s="96"/>
      <c r="G3076" s="97"/>
      <c r="H3076" s="114" t="str">
        <f t="shared" ref="H3076:H3139" si="38">IF(A3076&lt;&gt;"", EOMONTH(A3076, -1) + 1, "")</f>
        <v/>
      </c>
      <c r="I3076" s="17"/>
      <c r="J3076" s="17"/>
      <c r="K3076" s="17"/>
    </row>
    <row r="3077" spans="1:11" x14ac:dyDescent="0.2">
      <c r="A3077" s="115"/>
      <c r="B3077" s="93"/>
      <c r="C3077" s="94"/>
      <c r="D3077" s="95"/>
      <c r="E3077" s="95"/>
      <c r="F3077" s="96"/>
      <c r="G3077" s="97"/>
      <c r="H3077" s="114" t="str">
        <f t="shared" si="38"/>
        <v/>
      </c>
      <c r="I3077" s="17"/>
      <c r="J3077" s="17"/>
      <c r="K3077" s="17"/>
    </row>
    <row r="3078" spans="1:11" x14ac:dyDescent="0.2">
      <c r="A3078" s="115"/>
      <c r="B3078" s="93"/>
      <c r="C3078" s="94"/>
      <c r="D3078" s="95"/>
      <c r="E3078" s="95"/>
      <c r="F3078" s="96"/>
      <c r="G3078" s="97"/>
      <c r="H3078" s="114" t="str">
        <f t="shared" si="38"/>
        <v/>
      </c>
      <c r="I3078" s="17"/>
      <c r="J3078" s="17"/>
      <c r="K3078" s="17"/>
    </row>
    <row r="3079" spans="1:11" x14ac:dyDescent="0.2">
      <c r="A3079" s="115"/>
      <c r="B3079" s="93"/>
      <c r="C3079" s="94"/>
      <c r="D3079" s="95"/>
      <c r="E3079" s="95"/>
      <c r="F3079" s="96"/>
      <c r="G3079" s="97"/>
      <c r="H3079" s="114" t="str">
        <f t="shared" si="38"/>
        <v/>
      </c>
      <c r="I3079" s="17"/>
      <c r="J3079" s="17"/>
      <c r="K3079" s="17"/>
    </row>
    <row r="3080" spans="1:11" x14ac:dyDescent="0.2">
      <c r="A3080" s="115"/>
      <c r="B3080" s="93"/>
      <c r="C3080" s="94"/>
      <c r="D3080" s="95"/>
      <c r="E3080" s="95"/>
      <c r="F3080" s="96"/>
      <c r="G3080" s="97"/>
      <c r="H3080" s="114" t="str">
        <f t="shared" si="38"/>
        <v/>
      </c>
      <c r="I3080" s="17"/>
      <c r="J3080" s="17"/>
      <c r="K3080" s="17"/>
    </row>
    <row r="3081" spans="1:11" x14ac:dyDescent="0.2">
      <c r="A3081" s="115"/>
      <c r="B3081" s="93"/>
      <c r="C3081" s="94"/>
      <c r="D3081" s="95"/>
      <c r="E3081" s="95"/>
      <c r="F3081" s="96"/>
      <c r="G3081" s="97"/>
      <c r="H3081" s="114" t="str">
        <f t="shared" si="38"/>
        <v/>
      </c>
      <c r="I3081" s="17"/>
      <c r="J3081" s="17"/>
      <c r="K3081" s="17"/>
    </row>
    <row r="3082" spans="1:11" x14ac:dyDescent="0.2">
      <c r="A3082" s="115"/>
      <c r="B3082" s="93"/>
      <c r="C3082" s="94"/>
      <c r="D3082" s="95"/>
      <c r="E3082" s="95"/>
      <c r="F3082" s="96"/>
      <c r="G3082" s="97"/>
      <c r="H3082" s="114" t="str">
        <f t="shared" si="38"/>
        <v/>
      </c>
      <c r="I3082" s="17"/>
      <c r="J3082" s="17"/>
      <c r="K3082" s="17"/>
    </row>
    <row r="3083" spans="1:11" x14ac:dyDescent="0.2">
      <c r="A3083" s="115"/>
      <c r="B3083" s="93"/>
      <c r="C3083" s="94"/>
      <c r="D3083" s="95"/>
      <c r="E3083" s="95"/>
      <c r="F3083" s="96"/>
      <c r="G3083" s="97"/>
      <c r="H3083" s="114" t="str">
        <f t="shared" si="38"/>
        <v/>
      </c>
      <c r="I3083" s="17"/>
      <c r="J3083" s="17"/>
      <c r="K3083" s="17"/>
    </row>
    <row r="3084" spans="1:11" x14ac:dyDescent="0.2">
      <c r="A3084" s="115"/>
      <c r="B3084" s="93"/>
      <c r="C3084" s="94"/>
      <c r="D3084" s="95"/>
      <c r="E3084" s="95"/>
      <c r="F3084" s="96"/>
      <c r="G3084" s="97"/>
      <c r="H3084" s="114" t="str">
        <f t="shared" si="38"/>
        <v/>
      </c>
      <c r="I3084" s="17"/>
      <c r="J3084" s="17"/>
      <c r="K3084" s="17"/>
    </row>
    <row r="3085" spans="1:11" x14ac:dyDescent="0.2">
      <c r="A3085" s="115"/>
      <c r="B3085" s="93"/>
      <c r="C3085" s="94"/>
      <c r="D3085" s="95"/>
      <c r="E3085" s="95"/>
      <c r="F3085" s="96"/>
      <c r="G3085" s="97"/>
      <c r="H3085" s="114" t="str">
        <f t="shared" si="38"/>
        <v/>
      </c>
      <c r="I3085" s="17"/>
      <c r="J3085" s="17"/>
      <c r="K3085" s="17"/>
    </row>
    <row r="3086" spans="1:11" x14ac:dyDescent="0.2">
      <c r="A3086" s="115"/>
      <c r="B3086" s="93"/>
      <c r="C3086" s="94"/>
      <c r="D3086" s="95"/>
      <c r="E3086" s="95"/>
      <c r="F3086" s="96"/>
      <c r="G3086" s="97"/>
      <c r="H3086" s="114" t="str">
        <f t="shared" si="38"/>
        <v/>
      </c>
      <c r="I3086" s="17"/>
      <c r="J3086" s="17"/>
      <c r="K3086" s="17"/>
    </row>
    <row r="3087" spans="1:11" x14ac:dyDescent="0.2">
      <c r="A3087" s="115"/>
      <c r="B3087" s="93"/>
      <c r="C3087" s="94"/>
      <c r="D3087" s="95"/>
      <c r="E3087" s="95"/>
      <c r="F3087" s="96"/>
      <c r="G3087" s="97"/>
      <c r="H3087" s="114" t="str">
        <f t="shared" si="38"/>
        <v/>
      </c>
      <c r="I3087" s="17"/>
      <c r="J3087" s="17"/>
      <c r="K3087" s="17"/>
    </row>
    <row r="3088" spans="1:11" x14ac:dyDescent="0.2">
      <c r="A3088" s="115"/>
      <c r="B3088" s="93"/>
      <c r="C3088" s="94"/>
      <c r="D3088" s="95"/>
      <c r="E3088" s="95"/>
      <c r="F3088" s="96"/>
      <c r="G3088" s="97"/>
      <c r="H3088" s="114" t="str">
        <f t="shared" si="38"/>
        <v/>
      </c>
      <c r="I3088" s="17"/>
      <c r="J3088" s="17"/>
      <c r="K3088" s="17"/>
    </row>
    <row r="3089" spans="1:11" x14ac:dyDescent="0.2">
      <c r="A3089" s="115"/>
      <c r="B3089" s="93"/>
      <c r="C3089" s="94"/>
      <c r="D3089" s="95"/>
      <c r="E3089" s="95"/>
      <c r="F3089" s="96"/>
      <c r="G3089" s="97"/>
      <c r="H3089" s="114" t="str">
        <f t="shared" si="38"/>
        <v/>
      </c>
      <c r="I3089" s="17"/>
      <c r="J3089" s="17"/>
      <c r="K3089" s="17"/>
    </row>
    <row r="3090" spans="1:11" x14ac:dyDescent="0.2">
      <c r="A3090" s="115"/>
      <c r="B3090" s="93"/>
      <c r="C3090" s="94"/>
      <c r="D3090" s="95"/>
      <c r="E3090" s="95"/>
      <c r="F3090" s="96"/>
      <c r="G3090" s="97"/>
      <c r="H3090" s="114" t="str">
        <f t="shared" si="38"/>
        <v/>
      </c>
      <c r="I3090" s="17"/>
      <c r="J3090" s="17"/>
      <c r="K3090" s="17"/>
    </row>
    <row r="3091" spans="1:11" x14ac:dyDescent="0.2">
      <c r="A3091" s="115"/>
      <c r="B3091" s="93"/>
      <c r="C3091" s="94"/>
      <c r="D3091" s="95"/>
      <c r="E3091" s="95"/>
      <c r="F3091" s="96"/>
      <c r="G3091" s="97"/>
      <c r="H3091" s="114" t="str">
        <f t="shared" si="38"/>
        <v/>
      </c>
      <c r="I3091" s="17"/>
      <c r="J3091" s="17"/>
      <c r="K3091" s="17"/>
    </row>
    <row r="3092" spans="1:11" x14ac:dyDescent="0.2">
      <c r="A3092" s="115"/>
      <c r="B3092" s="93"/>
      <c r="C3092" s="94"/>
      <c r="D3092" s="95"/>
      <c r="E3092" s="95"/>
      <c r="F3092" s="96"/>
      <c r="G3092" s="97"/>
      <c r="H3092" s="114" t="str">
        <f t="shared" si="38"/>
        <v/>
      </c>
      <c r="I3092" s="17"/>
      <c r="J3092" s="17"/>
      <c r="K3092" s="17"/>
    </row>
    <row r="3093" spans="1:11" x14ac:dyDescent="0.2">
      <c r="A3093" s="115"/>
      <c r="B3093" s="93"/>
      <c r="C3093" s="94"/>
      <c r="D3093" s="95"/>
      <c r="E3093" s="95"/>
      <c r="F3093" s="96"/>
      <c r="G3093" s="97"/>
      <c r="H3093" s="114" t="str">
        <f t="shared" si="38"/>
        <v/>
      </c>
      <c r="I3093" s="17"/>
      <c r="J3093" s="17"/>
      <c r="K3093" s="17"/>
    </row>
    <row r="3094" spans="1:11" x14ac:dyDescent="0.2">
      <c r="A3094" s="115"/>
      <c r="B3094" s="93"/>
      <c r="C3094" s="94"/>
      <c r="D3094" s="95"/>
      <c r="E3094" s="95"/>
      <c r="F3094" s="96"/>
      <c r="G3094" s="97"/>
      <c r="H3094" s="114" t="str">
        <f t="shared" si="38"/>
        <v/>
      </c>
      <c r="I3094" s="17"/>
      <c r="J3094" s="17"/>
      <c r="K3094" s="17"/>
    </row>
    <row r="3095" spans="1:11" x14ac:dyDescent="0.2">
      <c r="A3095" s="115"/>
      <c r="B3095" s="93"/>
      <c r="C3095" s="94"/>
      <c r="D3095" s="95"/>
      <c r="E3095" s="95"/>
      <c r="F3095" s="96"/>
      <c r="G3095" s="97"/>
      <c r="H3095" s="114" t="str">
        <f t="shared" si="38"/>
        <v/>
      </c>
      <c r="I3095" s="17"/>
      <c r="J3095" s="17"/>
      <c r="K3095" s="17"/>
    </row>
    <row r="3096" spans="1:11" x14ac:dyDescent="0.2">
      <c r="A3096" s="115"/>
      <c r="B3096" s="93"/>
      <c r="C3096" s="94"/>
      <c r="D3096" s="95"/>
      <c r="E3096" s="95"/>
      <c r="F3096" s="96"/>
      <c r="G3096" s="97"/>
      <c r="H3096" s="114" t="str">
        <f t="shared" si="38"/>
        <v/>
      </c>
      <c r="I3096" s="17"/>
      <c r="J3096" s="17"/>
      <c r="K3096" s="17"/>
    </row>
    <row r="3097" spans="1:11" x14ac:dyDescent="0.2">
      <c r="A3097" s="115"/>
      <c r="B3097" s="93"/>
      <c r="C3097" s="94"/>
      <c r="D3097" s="95"/>
      <c r="E3097" s="95"/>
      <c r="F3097" s="96"/>
      <c r="G3097" s="97"/>
      <c r="H3097" s="114" t="str">
        <f t="shared" si="38"/>
        <v/>
      </c>
      <c r="I3097" s="17"/>
      <c r="J3097" s="17"/>
      <c r="K3097" s="17"/>
    </row>
    <row r="3098" spans="1:11" x14ac:dyDescent="0.2">
      <c r="A3098" s="115"/>
      <c r="B3098" s="93"/>
      <c r="C3098" s="94"/>
      <c r="D3098" s="95"/>
      <c r="E3098" s="95"/>
      <c r="F3098" s="96"/>
      <c r="G3098" s="97"/>
      <c r="H3098" s="114" t="str">
        <f t="shared" si="38"/>
        <v/>
      </c>
      <c r="I3098" s="17"/>
      <c r="J3098" s="17"/>
      <c r="K3098" s="17"/>
    </row>
    <row r="3099" spans="1:11" x14ac:dyDescent="0.2">
      <c r="A3099" s="115"/>
      <c r="B3099" s="93"/>
      <c r="C3099" s="94"/>
      <c r="D3099" s="95"/>
      <c r="E3099" s="95"/>
      <c r="F3099" s="96"/>
      <c r="G3099" s="97"/>
      <c r="H3099" s="114" t="str">
        <f t="shared" si="38"/>
        <v/>
      </c>
      <c r="I3099" s="17"/>
      <c r="J3099" s="17"/>
      <c r="K3099" s="17"/>
    </row>
    <row r="3100" spans="1:11" x14ac:dyDescent="0.2">
      <c r="A3100" s="115"/>
      <c r="B3100" s="93"/>
      <c r="C3100" s="94"/>
      <c r="D3100" s="95"/>
      <c r="E3100" s="95"/>
      <c r="F3100" s="96"/>
      <c r="G3100" s="97"/>
      <c r="H3100" s="114" t="str">
        <f t="shared" si="38"/>
        <v/>
      </c>
      <c r="I3100" s="17"/>
      <c r="J3100" s="17"/>
      <c r="K3100" s="17"/>
    </row>
    <row r="3101" spans="1:11" x14ac:dyDescent="0.2">
      <c r="A3101" s="115"/>
      <c r="B3101" s="93"/>
      <c r="C3101" s="94"/>
      <c r="D3101" s="95"/>
      <c r="E3101" s="95"/>
      <c r="F3101" s="96"/>
      <c r="G3101" s="97"/>
      <c r="H3101" s="114" t="str">
        <f t="shared" si="38"/>
        <v/>
      </c>
      <c r="I3101" s="17"/>
      <c r="J3101" s="17"/>
      <c r="K3101" s="17"/>
    </row>
    <row r="3102" spans="1:11" x14ac:dyDescent="0.2">
      <c r="A3102" s="115"/>
      <c r="B3102" s="93"/>
      <c r="C3102" s="94"/>
      <c r="D3102" s="95"/>
      <c r="E3102" s="95"/>
      <c r="F3102" s="96"/>
      <c r="G3102" s="97"/>
      <c r="H3102" s="114" t="str">
        <f t="shared" si="38"/>
        <v/>
      </c>
      <c r="I3102" s="17"/>
      <c r="J3102" s="17"/>
      <c r="K3102" s="17"/>
    </row>
    <row r="3103" spans="1:11" x14ac:dyDescent="0.2">
      <c r="A3103" s="115"/>
      <c r="B3103" s="93"/>
      <c r="C3103" s="94"/>
      <c r="D3103" s="95"/>
      <c r="E3103" s="95"/>
      <c r="F3103" s="96"/>
      <c r="G3103" s="97"/>
      <c r="H3103" s="114" t="str">
        <f t="shared" si="38"/>
        <v/>
      </c>
      <c r="I3103" s="17"/>
      <c r="J3103" s="17"/>
      <c r="K3103" s="17"/>
    </row>
    <row r="3104" spans="1:11" x14ac:dyDescent="0.2">
      <c r="A3104" s="115"/>
      <c r="B3104" s="93"/>
      <c r="C3104" s="94"/>
      <c r="D3104" s="95"/>
      <c r="E3104" s="95"/>
      <c r="F3104" s="96"/>
      <c r="G3104" s="97"/>
      <c r="H3104" s="114" t="str">
        <f t="shared" si="38"/>
        <v/>
      </c>
      <c r="I3104" s="17"/>
      <c r="J3104" s="17"/>
      <c r="K3104" s="17"/>
    </row>
    <row r="3105" spans="1:11" x14ac:dyDescent="0.2">
      <c r="A3105" s="115"/>
      <c r="B3105" s="93"/>
      <c r="C3105" s="94"/>
      <c r="D3105" s="95"/>
      <c r="E3105" s="95"/>
      <c r="F3105" s="96"/>
      <c r="G3105" s="97"/>
      <c r="H3105" s="114" t="str">
        <f t="shared" si="38"/>
        <v/>
      </c>
      <c r="I3105" s="17"/>
      <c r="J3105" s="17"/>
      <c r="K3105" s="17"/>
    </row>
    <row r="3106" spans="1:11" x14ac:dyDescent="0.2">
      <c r="A3106" s="115"/>
      <c r="B3106" s="93"/>
      <c r="C3106" s="94"/>
      <c r="D3106" s="95"/>
      <c r="E3106" s="95"/>
      <c r="F3106" s="96"/>
      <c r="G3106" s="97"/>
      <c r="H3106" s="114" t="str">
        <f t="shared" si="38"/>
        <v/>
      </c>
      <c r="I3106" s="17"/>
      <c r="J3106" s="17"/>
      <c r="K3106" s="17"/>
    </row>
    <row r="3107" spans="1:11" x14ac:dyDescent="0.2">
      <c r="A3107" s="115"/>
      <c r="B3107" s="93"/>
      <c r="C3107" s="94"/>
      <c r="D3107" s="95"/>
      <c r="E3107" s="95"/>
      <c r="F3107" s="96"/>
      <c r="G3107" s="97"/>
      <c r="H3107" s="114" t="str">
        <f t="shared" si="38"/>
        <v/>
      </c>
      <c r="I3107" s="17"/>
      <c r="J3107" s="17"/>
      <c r="K3107" s="17"/>
    </row>
    <row r="3108" spans="1:11" x14ac:dyDescent="0.2">
      <c r="A3108" s="115"/>
      <c r="B3108" s="93"/>
      <c r="C3108" s="94"/>
      <c r="D3108" s="95"/>
      <c r="E3108" s="95"/>
      <c r="F3108" s="96"/>
      <c r="G3108" s="97"/>
      <c r="H3108" s="114" t="str">
        <f t="shared" si="38"/>
        <v/>
      </c>
      <c r="I3108" s="17"/>
      <c r="J3108" s="17"/>
      <c r="K3108" s="17"/>
    </row>
    <row r="3109" spans="1:11" x14ac:dyDescent="0.2">
      <c r="A3109" s="115"/>
      <c r="B3109" s="93"/>
      <c r="C3109" s="94"/>
      <c r="D3109" s="95"/>
      <c r="E3109" s="95"/>
      <c r="F3109" s="96"/>
      <c r="G3109" s="97"/>
      <c r="H3109" s="114" t="str">
        <f t="shared" si="38"/>
        <v/>
      </c>
      <c r="I3109" s="17"/>
      <c r="J3109" s="17"/>
      <c r="K3109" s="17"/>
    </row>
    <row r="3110" spans="1:11" x14ac:dyDescent="0.2">
      <c r="A3110" s="115"/>
      <c r="B3110" s="93"/>
      <c r="C3110" s="94"/>
      <c r="D3110" s="95"/>
      <c r="E3110" s="95"/>
      <c r="F3110" s="96"/>
      <c r="G3110" s="97"/>
      <c r="H3110" s="114" t="str">
        <f t="shared" si="38"/>
        <v/>
      </c>
      <c r="I3110" s="17"/>
      <c r="J3110" s="17"/>
      <c r="K3110" s="17"/>
    </row>
    <row r="3111" spans="1:11" x14ac:dyDescent="0.2">
      <c r="A3111" s="115"/>
      <c r="B3111" s="93"/>
      <c r="C3111" s="94"/>
      <c r="D3111" s="95"/>
      <c r="E3111" s="95"/>
      <c r="F3111" s="96"/>
      <c r="G3111" s="97"/>
      <c r="H3111" s="114" t="str">
        <f t="shared" si="38"/>
        <v/>
      </c>
      <c r="I3111" s="17"/>
      <c r="J3111" s="17"/>
      <c r="K3111" s="17"/>
    </row>
    <row r="3112" spans="1:11" x14ac:dyDescent="0.2">
      <c r="A3112" s="115"/>
      <c r="B3112" s="93"/>
      <c r="C3112" s="94"/>
      <c r="D3112" s="95"/>
      <c r="E3112" s="95"/>
      <c r="F3112" s="96"/>
      <c r="G3112" s="97"/>
      <c r="H3112" s="114" t="str">
        <f t="shared" si="38"/>
        <v/>
      </c>
      <c r="I3112" s="17"/>
      <c r="J3112" s="17"/>
      <c r="K3112" s="17"/>
    </row>
    <row r="3113" spans="1:11" x14ac:dyDescent="0.2">
      <c r="A3113" s="115"/>
      <c r="B3113" s="93"/>
      <c r="C3113" s="94"/>
      <c r="D3113" s="95"/>
      <c r="E3113" s="95"/>
      <c r="F3113" s="96"/>
      <c r="G3113" s="97"/>
      <c r="H3113" s="114" t="str">
        <f t="shared" si="38"/>
        <v/>
      </c>
      <c r="I3113" s="17"/>
      <c r="J3113" s="17"/>
      <c r="K3113" s="17"/>
    </row>
    <row r="3114" spans="1:11" x14ac:dyDescent="0.2">
      <c r="A3114" s="115"/>
      <c r="B3114" s="93"/>
      <c r="C3114" s="94"/>
      <c r="D3114" s="95"/>
      <c r="E3114" s="95"/>
      <c r="F3114" s="96"/>
      <c r="G3114" s="97"/>
      <c r="H3114" s="114" t="str">
        <f t="shared" si="38"/>
        <v/>
      </c>
      <c r="I3114" s="17"/>
      <c r="J3114" s="17"/>
      <c r="K3114" s="17"/>
    </row>
    <row r="3115" spans="1:11" x14ac:dyDescent="0.2">
      <c r="A3115" s="115"/>
      <c r="B3115" s="93"/>
      <c r="C3115" s="94"/>
      <c r="D3115" s="95"/>
      <c r="E3115" s="95"/>
      <c r="F3115" s="96"/>
      <c r="G3115" s="97"/>
      <c r="H3115" s="114" t="str">
        <f t="shared" si="38"/>
        <v/>
      </c>
      <c r="I3115" s="17"/>
      <c r="J3115" s="17"/>
      <c r="K3115" s="17"/>
    </row>
    <row r="3116" spans="1:11" x14ac:dyDescent="0.2">
      <c r="A3116" s="115"/>
      <c r="B3116" s="93"/>
      <c r="C3116" s="94"/>
      <c r="D3116" s="95"/>
      <c r="E3116" s="95"/>
      <c r="F3116" s="96"/>
      <c r="G3116" s="97"/>
      <c r="H3116" s="114" t="str">
        <f t="shared" si="38"/>
        <v/>
      </c>
      <c r="I3116" s="17"/>
      <c r="J3116" s="17"/>
      <c r="K3116" s="17"/>
    </row>
    <row r="3117" spans="1:11" x14ac:dyDescent="0.2">
      <c r="A3117" s="115"/>
      <c r="B3117" s="93"/>
      <c r="C3117" s="94"/>
      <c r="D3117" s="95"/>
      <c r="E3117" s="95"/>
      <c r="F3117" s="96"/>
      <c r="G3117" s="97"/>
      <c r="H3117" s="114" t="str">
        <f t="shared" si="38"/>
        <v/>
      </c>
      <c r="I3117" s="17"/>
      <c r="J3117" s="17"/>
      <c r="K3117" s="17"/>
    </row>
    <row r="3118" spans="1:11" x14ac:dyDescent="0.2">
      <c r="A3118" s="115"/>
      <c r="B3118" s="93"/>
      <c r="C3118" s="94"/>
      <c r="D3118" s="95"/>
      <c r="E3118" s="95"/>
      <c r="F3118" s="96"/>
      <c r="G3118" s="97"/>
      <c r="H3118" s="114" t="str">
        <f t="shared" si="38"/>
        <v/>
      </c>
      <c r="I3118" s="17"/>
      <c r="J3118" s="17"/>
      <c r="K3118" s="17"/>
    </row>
    <row r="3119" spans="1:11" x14ac:dyDescent="0.2">
      <c r="A3119" s="115"/>
      <c r="B3119" s="93"/>
      <c r="C3119" s="94"/>
      <c r="D3119" s="95"/>
      <c r="E3119" s="95"/>
      <c r="F3119" s="96"/>
      <c r="G3119" s="97"/>
      <c r="H3119" s="114" t="str">
        <f t="shared" si="38"/>
        <v/>
      </c>
      <c r="I3119" s="17"/>
      <c r="J3119" s="17"/>
      <c r="K3119" s="17"/>
    </row>
    <row r="3120" spans="1:11" x14ac:dyDescent="0.2">
      <c r="A3120" s="115"/>
      <c r="B3120" s="93"/>
      <c r="C3120" s="94"/>
      <c r="D3120" s="95"/>
      <c r="E3120" s="95"/>
      <c r="F3120" s="96"/>
      <c r="G3120" s="97"/>
      <c r="H3120" s="114" t="str">
        <f t="shared" si="38"/>
        <v/>
      </c>
      <c r="I3120" s="17"/>
      <c r="J3120" s="17"/>
      <c r="K3120" s="17"/>
    </row>
    <row r="3121" spans="1:11" x14ac:dyDescent="0.2">
      <c r="A3121" s="115"/>
      <c r="B3121" s="93"/>
      <c r="C3121" s="94"/>
      <c r="D3121" s="95"/>
      <c r="E3121" s="95"/>
      <c r="F3121" s="96"/>
      <c r="G3121" s="97"/>
      <c r="H3121" s="114" t="str">
        <f t="shared" si="38"/>
        <v/>
      </c>
      <c r="I3121" s="17"/>
      <c r="J3121" s="17"/>
      <c r="K3121" s="17"/>
    </row>
    <row r="3122" spans="1:11" x14ac:dyDescent="0.2">
      <c r="A3122" s="115"/>
      <c r="B3122" s="93"/>
      <c r="C3122" s="94"/>
      <c r="D3122" s="95"/>
      <c r="E3122" s="95"/>
      <c r="F3122" s="96"/>
      <c r="G3122" s="97"/>
      <c r="H3122" s="114" t="str">
        <f t="shared" si="38"/>
        <v/>
      </c>
      <c r="I3122" s="17"/>
      <c r="J3122" s="17"/>
      <c r="K3122" s="17"/>
    </row>
    <row r="3123" spans="1:11" x14ac:dyDescent="0.2">
      <c r="A3123" s="115"/>
      <c r="B3123" s="93"/>
      <c r="C3123" s="94"/>
      <c r="D3123" s="95"/>
      <c r="E3123" s="95"/>
      <c r="F3123" s="96"/>
      <c r="G3123" s="97"/>
      <c r="H3123" s="114" t="str">
        <f t="shared" si="38"/>
        <v/>
      </c>
      <c r="I3123" s="17"/>
      <c r="J3123" s="17"/>
      <c r="K3123" s="17"/>
    </row>
    <row r="3124" spans="1:11" x14ac:dyDescent="0.2">
      <c r="A3124" s="115"/>
      <c r="B3124" s="93"/>
      <c r="C3124" s="94"/>
      <c r="D3124" s="95"/>
      <c r="E3124" s="95"/>
      <c r="F3124" s="96"/>
      <c r="G3124" s="97"/>
      <c r="H3124" s="114" t="str">
        <f t="shared" si="38"/>
        <v/>
      </c>
      <c r="I3124" s="17"/>
      <c r="J3124" s="17"/>
      <c r="K3124" s="17"/>
    </row>
    <row r="3125" spans="1:11" x14ac:dyDescent="0.2">
      <c r="A3125" s="115"/>
      <c r="B3125" s="93"/>
      <c r="C3125" s="94"/>
      <c r="D3125" s="95"/>
      <c r="E3125" s="95"/>
      <c r="F3125" s="96"/>
      <c r="G3125" s="97"/>
      <c r="H3125" s="114" t="str">
        <f t="shared" si="38"/>
        <v/>
      </c>
      <c r="I3125" s="17"/>
      <c r="J3125" s="17"/>
      <c r="K3125" s="17"/>
    </row>
    <row r="3126" spans="1:11" x14ac:dyDescent="0.2">
      <c r="A3126" s="115"/>
      <c r="B3126" s="93"/>
      <c r="C3126" s="94"/>
      <c r="D3126" s="95"/>
      <c r="E3126" s="95"/>
      <c r="F3126" s="96"/>
      <c r="G3126" s="97"/>
      <c r="H3126" s="114" t="str">
        <f t="shared" si="38"/>
        <v/>
      </c>
      <c r="I3126" s="17"/>
      <c r="J3126" s="17"/>
      <c r="K3126" s="17"/>
    </row>
    <row r="3127" spans="1:11" x14ac:dyDescent="0.2">
      <c r="A3127" s="115"/>
      <c r="B3127" s="93"/>
      <c r="C3127" s="94"/>
      <c r="D3127" s="95"/>
      <c r="E3127" s="95"/>
      <c r="F3127" s="96"/>
      <c r="G3127" s="97"/>
      <c r="H3127" s="114" t="str">
        <f t="shared" si="38"/>
        <v/>
      </c>
      <c r="I3127" s="17"/>
      <c r="J3127" s="17"/>
      <c r="K3127" s="17"/>
    </row>
    <row r="3128" spans="1:11" x14ac:dyDescent="0.2">
      <c r="A3128" s="115"/>
      <c r="B3128" s="93"/>
      <c r="C3128" s="94"/>
      <c r="D3128" s="95"/>
      <c r="E3128" s="95"/>
      <c r="F3128" s="96"/>
      <c r="G3128" s="97"/>
      <c r="H3128" s="114" t="str">
        <f t="shared" si="38"/>
        <v/>
      </c>
      <c r="I3128" s="17"/>
      <c r="J3128" s="17"/>
      <c r="K3128" s="17"/>
    </row>
    <row r="3129" spans="1:11" x14ac:dyDescent="0.2">
      <c r="A3129" s="115"/>
      <c r="B3129" s="93"/>
      <c r="C3129" s="94"/>
      <c r="D3129" s="95"/>
      <c r="E3129" s="95"/>
      <c r="F3129" s="96"/>
      <c r="G3129" s="97"/>
      <c r="H3129" s="114" t="str">
        <f t="shared" si="38"/>
        <v/>
      </c>
      <c r="I3129" s="17"/>
      <c r="J3129" s="17"/>
      <c r="K3129" s="17"/>
    </row>
    <row r="3130" spans="1:11" x14ac:dyDescent="0.2">
      <c r="A3130" s="115"/>
      <c r="B3130" s="93"/>
      <c r="C3130" s="94"/>
      <c r="D3130" s="95"/>
      <c r="E3130" s="95"/>
      <c r="F3130" s="96"/>
      <c r="G3130" s="97"/>
      <c r="H3130" s="114" t="str">
        <f t="shared" si="38"/>
        <v/>
      </c>
      <c r="I3130" s="17"/>
      <c r="J3130" s="17"/>
      <c r="K3130" s="17"/>
    </row>
    <row r="3131" spans="1:11" x14ac:dyDescent="0.2">
      <c r="A3131" s="115"/>
      <c r="B3131" s="93"/>
      <c r="C3131" s="94"/>
      <c r="D3131" s="95"/>
      <c r="E3131" s="95"/>
      <c r="F3131" s="96"/>
      <c r="G3131" s="97"/>
      <c r="H3131" s="114" t="str">
        <f t="shared" si="38"/>
        <v/>
      </c>
      <c r="I3131" s="17"/>
      <c r="J3131" s="17"/>
      <c r="K3131" s="17"/>
    </row>
    <row r="3132" spans="1:11" x14ac:dyDescent="0.2">
      <c r="A3132" s="115"/>
      <c r="B3132" s="93"/>
      <c r="C3132" s="94"/>
      <c r="D3132" s="95"/>
      <c r="E3132" s="95"/>
      <c r="F3132" s="96"/>
      <c r="G3132" s="97"/>
      <c r="H3132" s="114" t="str">
        <f t="shared" si="38"/>
        <v/>
      </c>
      <c r="I3132" s="17"/>
      <c r="J3132" s="17"/>
      <c r="K3132" s="17"/>
    </row>
    <row r="3133" spans="1:11" x14ac:dyDescent="0.2">
      <c r="A3133" s="115"/>
      <c r="B3133" s="93"/>
      <c r="C3133" s="94"/>
      <c r="D3133" s="95"/>
      <c r="E3133" s="95"/>
      <c r="F3133" s="96"/>
      <c r="G3133" s="97"/>
      <c r="H3133" s="114" t="str">
        <f t="shared" si="38"/>
        <v/>
      </c>
      <c r="I3133" s="17"/>
      <c r="J3133" s="17"/>
      <c r="K3133" s="17"/>
    </row>
    <row r="3134" spans="1:11" x14ac:dyDescent="0.2">
      <c r="A3134" s="115"/>
      <c r="B3134" s="93"/>
      <c r="C3134" s="94"/>
      <c r="D3134" s="95"/>
      <c r="E3134" s="95"/>
      <c r="F3134" s="96"/>
      <c r="G3134" s="97"/>
      <c r="H3134" s="114" t="str">
        <f t="shared" si="38"/>
        <v/>
      </c>
      <c r="I3134" s="17"/>
      <c r="J3134" s="17"/>
      <c r="K3134" s="17"/>
    </row>
    <row r="3135" spans="1:11" x14ac:dyDescent="0.2">
      <c r="A3135" s="115"/>
      <c r="B3135" s="93"/>
      <c r="C3135" s="94"/>
      <c r="D3135" s="95"/>
      <c r="E3135" s="95"/>
      <c r="F3135" s="96"/>
      <c r="G3135" s="97"/>
      <c r="H3135" s="114" t="str">
        <f t="shared" si="38"/>
        <v/>
      </c>
      <c r="I3135" s="17"/>
      <c r="J3135" s="17"/>
      <c r="K3135" s="17"/>
    </row>
    <row r="3136" spans="1:11" x14ac:dyDescent="0.2">
      <c r="A3136" s="115"/>
      <c r="B3136" s="93"/>
      <c r="C3136" s="94"/>
      <c r="D3136" s="95"/>
      <c r="E3136" s="95"/>
      <c r="F3136" s="96"/>
      <c r="G3136" s="97"/>
      <c r="H3136" s="114" t="str">
        <f t="shared" si="38"/>
        <v/>
      </c>
      <c r="I3136" s="17"/>
      <c r="J3136" s="17"/>
      <c r="K3136" s="17"/>
    </row>
    <row r="3137" spans="1:11" x14ac:dyDescent="0.2">
      <c r="A3137" s="115"/>
      <c r="B3137" s="93"/>
      <c r="C3137" s="94"/>
      <c r="D3137" s="95"/>
      <c r="E3137" s="95"/>
      <c r="F3137" s="96"/>
      <c r="G3137" s="97"/>
      <c r="H3137" s="114" t="str">
        <f t="shared" si="38"/>
        <v/>
      </c>
      <c r="I3137" s="17"/>
      <c r="J3137" s="17"/>
      <c r="K3137" s="17"/>
    </row>
    <row r="3138" spans="1:11" x14ac:dyDescent="0.2">
      <c r="A3138" s="115"/>
      <c r="B3138" s="93"/>
      <c r="C3138" s="107"/>
      <c r="D3138" s="108"/>
      <c r="E3138" s="95"/>
      <c r="F3138" s="109"/>
      <c r="G3138" s="110"/>
      <c r="H3138" s="114" t="str">
        <f t="shared" si="38"/>
        <v/>
      </c>
      <c r="I3138" s="17"/>
      <c r="J3138" s="17"/>
      <c r="K3138" s="17"/>
    </row>
    <row r="3139" spans="1:11" x14ac:dyDescent="0.2">
      <c r="A3139" s="115"/>
      <c r="B3139" s="93"/>
      <c r="C3139" s="94"/>
      <c r="D3139" s="95"/>
      <c r="E3139" s="95"/>
      <c r="F3139" s="96"/>
      <c r="G3139" s="110"/>
      <c r="H3139" s="114" t="str">
        <f t="shared" si="38"/>
        <v/>
      </c>
      <c r="I3139" s="17"/>
      <c r="J3139" s="17"/>
      <c r="K3139" s="17"/>
    </row>
    <row r="3140" spans="1:11" x14ac:dyDescent="0.2">
      <c r="A3140" s="115"/>
      <c r="B3140" s="93"/>
      <c r="C3140" s="94"/>
      <c r="D3140" s="95"/>
      <c r="E3140" s="95"/>
      <c r="F3140" s="96"/>
      <c r="G3140" s="110"/>
      <c r="H3140" s="114" t="str">
        <f t="shared" ref="H3140:H3203" si="39">IF(A3140&lt;&gt;"", EOMONTH(A3140, -1) + 1, "")</f>
        <v/>
      </c>
      <c r="I3140" s="17"/>
      <c r="J3140" s="17"/>
      <c r="K3140" s="17"/>
    </row>
    <row r="3141" spans="1:11" x14ac:dyDescent="0.2">
      <c r="A3141" s="115"/>
      <c r="B3141" s="93"/>
      <c r="C3141" s="94"/>
      <c r="D3141" s="95"/>
      <c r="E3141" s="95"/>
      <c r="F3141" s="96"/>
      <c r="G3141" s="110"/>
      <c r="H3141" s="114" t="str">
        <f t="shared" si="39"/>
        <v/>
      </c>
      <c r="I3141" s="17"/>
      <c r="J3141" s="17"/>
      <c r="K3141" s="17"/>
    </row>
    <row r="3142" spans="1:11" x14ac:dyDescent="0.2">
      <c r="A3142" s="115"/>
      <c r="B3142" s="93"/>
      <c r="C3142" s="94"/>
      <c r="D3142" s="95"/>
      <c r="E3142" s="95"/>
      <c r="F3142" s="96"/>
      <c r="G3142" s="110"/>
      <c r="H3142" s="114" t="str">
        <f t="shared" si="39"/>
        <v/>
      </c>
      <c r="I3142" s="17"/>
      <c r="J3142" s="17"/>
      <c r="K3142" s="17"/>
    </row>
    <row r="3143" spans="1:11" x14ac:dyDescent="0.2">
      <c r="A3143" s="115"/>
      <c r="B3143" s="93"/>
      <c r="C3143" s="94"/>
      <c r="D3143" s="95"/>
      <c r="E3143" s="95"/>
      <c r="F3143" s="96"/>
      <c r="G3143" s="110"/>
      <c r="H3143" s="114" t="str">
        <f t="shared" si="39"/>
        <v/>
      </c>
      <c r="I3143" s="17"/>
      <c r="J3143" s="17"/>
      <c r="K3143" s="17"/>
    </row>
    <row r="3144" spans="1:11" x14ac:dyDescent="0.2">
      <c r="A3144" s="115"/>
      <c r="B3144" s="93"/>
      <c r="C3144" s="94"/>
      <c r="D3144" s="95"/>
      <c r="E3144" s="95"/>
      <c r="F3144" s="96"/>
      <c r="G3144" s="110"/>
      <c r="H3144" s="114" t="str">
        <f t="shared" si="39"/>
        <v/>
      </c>
      <c r="I3144" s="17"/>
      <c r="J3144" s="17"/>
      <c r="K3144" s="17"/>
    </row>
    <row r="3145" spans="1:11" x14ac:dyDescent="0.2">
      <c r="A3145" s="115"/>
      <c r="B3145" s="93"/>
      <c r="C3145" s="94"/>
      <c r="D3145" s="95"/>
      <c r="E3145" s="95"/>
      <c r="F3145" s="96"/>
      <c r="G3145" s="110"/>
      <c r="H3145" s="114" t="str">
        <f t="shared" si="39"/>
        <v/>
      </c>
      <c r="I3145" s="17"/>
      <c r="J3145" s="17"/>
      <c r="K3145" s="17"/>
    </row>
    <row r="3146" spans="1:11" x14ac:dyDescent="0.2">
      <c r="A3146" s="115"/>
      <c r="B3146" s="93"/>
      <c r="C3146" s="94"/>
      <c r="D3146" s="95"/>
      <c r="E3146" s="95"/>
      <c r="F3146" s="96"/>
      <c r="G3146" s="110"/>
      <c r="H3146" s="114" t="str">
        <f t="shared" si="39"/>
        <v/>
      </c>
      <c r="I3146" s="17"/>
      <c r="J3146" s="17"/>
      <c r="K3146" s="17"/>
    </row>
    <row r="3147" spans="1:11" x14ac:dyDescent="0.2">
      <c r="A3147" s="115"/>
      <c r="B3147" s="93"/>
      <c r="C3147" s="94"/>
      <c r="D3147" s="95"/>
      <c r="E3147" s="95"/>
      <c r="F3147" s="96"/>
      <c r="G3147" s="110"/>
      <c r="H3147" s="114" t="str">
        <f t="shared" si="39"/>
        <v/>
      </c>
      <c r="I3147" s="17"/>
      <c r="J3147" s="17"/>
      <c r="K3147" s="17"/>
    </row>
    <row r="3148" spans="1:11" x14ac:dyDescent="0.2">
      <c r="A3148" s="115"/>
      <c r="B3148" s="93"/>
      <c r="C3148" s="94"/>
      <c r="D3148" s="95"/>
      <c r="E3148" s="95"/>
      <c r="F3148" s="96"/>
      <c r="G3148" s="110"/>
      <c r="H3148" s="114" t="str">
        <f t="shared" si="39"/>
        <v/>
      </c>
      <c r="I3148" s="17"/>
      <c r="J3148" s="17"/>
      <c r="K3148" s="17"/>
    </row>
    <row r="3149" spans="1:11" x14ac:dyDescent="0.2">
      <c r="A3149" s="115"/>
      <c r="B3149" s="93"/>
      <c r="C3149" s="94"/>
      <c r="D3149" s="95"/>
      <c r="E3149" s="95"/>
      <c r="F3149" s="96"/>
      <c r="G3149" s="110"/>
      <c r="H3149" s="114" t="str">
        <f t="shared" si="39"/>
        <v/>
      </c>
      <c r="I3149" s="17"/>
      <c r="J3149" s="17"/>
      <c r="K3149" s="17"/>
    </row>
    <row r="3150" spans="1:11" x14ac:dyDescent="0.2">
      <c r="A3150" s="115"/>
      <c r="B3150" s="93"/>
      <c r="C3150" s="94"/>
      <c r="D3150" s="95"/>
      <c r="E3150" s="95"/>
      <c r="F3150" s="96"/>
      <c r="G3150" s="110"/>
      <c r="H3150" s="114" t="str">
        <f t="shared" si="39"/>
        <v/>
      </c>
      <c r="I3150" s="17"/>
      <c r="J3150" s="17"/>
      <c r="K3150" s="17"/>
    </row>
    <row r="3151" spans="1:11" x14ac:dyDescent="0.2">
      <c r="A3151" s="115"/>
      <c r="B3151" s="93"/>
      <c r="C3151" s="94"/>
      <c r="D3151" s="95"/>
      <c r="E3151" s="95"/>
      <c r="F3151" s="96"/>
      <c r="G3151" s="110"/>
      <c r="H3151" s="114" t="str">
        <f t="shared" si="39"/>
        <v/>
      </c>
      <c r="I3151" s="17"/>
      <c r="J3151" s="17"/>
      <c r="K3151" s="17"/>
    </row>
    <row r="3152" spans="1:11" x14ac:dyDescent="0.2">
      <c r="A3152" s="115"/>
      <c r="B3152" s="93"/>
      <c r="C3152" s="94"/>
      <c r="D3152" s="95"/>
      <c r="E3152" s="95"/>
      <c r="F3152" s="96"/>
      <c r="G3152" s="110"/>
      <c r="H3152" s="114" t="str">
        <f t="shared" si="39"/>
        <v/>
      </c>
      <c r="I3152" s="17"/>
      <c r="J3152" s="17"/>
      <c r="K3152" s="17"/>
    </row>
    <row r="3153" spans="1:11" x14ac:dyDescent="0.2">
      <c r="A3153" s="115"/>
      <c r="B3153" s="93"/>
      <c r="C3153" s="94"/>
      <c r="D3153" s="95"/>
      <c r="E3153" s="95"/>
      <c r="F3153" s="96"/>
      <c r="G3153" s="110"/>
      <c r="H3153" s="114" t="str">
        <f t="shared" si="39"/>
        <v/>
      </c>
      <c r="I3153" s="17"/>
      <c r="J3153" s="17"/>
      <c r="K3153" s="17"/>
    </row>
    <row r="3154" spans="1:11" x14ac:dyDescent="0.2">
      <c r="A3154" s="115"/>
      <c r="B3154" s="93"/>
      <c r="C3154" s="94"/>
      <c r="D3154" s="95"/>
      <c r="E3154" s="95"/>
      <c r="F3154" s="96"/>
      <c r="G3154" s="110"/>
      <c r="H3154" s="114" t="str">
        <f t="shared" si="39"/>
        <v/>
      </c>
      <c r="I3154" s="17"/>
      <c r="J3154" s="17"/>
      <c r="K3154" s="17"/>
    </row>
    <row r="3155" spans="1:11" x14ac:dyDescent="0.2">
      <c r="A3155" s="115"/>
      <c r="B3155" s="93"/>
      <c r="C3155" s="94"/>
      <c r="D3155" s="95"/>
      <c r="E3155" s="95"/>
      <c r="F3155" s="96"/>
      <c r="G3155" s="110"/>
      <c r="H3155" s="114" t="str">
        <f t="shared" si="39"/>
        <v/>
      </c>
      <c r="I3155" s="17"/>
      <c r="J3155" s="17"/>
      <c r="K3155" s="17"/>
    </row>
    <row r="3156" spans="1:11" x14ac:dyDescent="0.2">
      <c r="A3156" s="115"/>
      <c r="B3156" s="93"/>
      <c r="C3156" s="94"/>
      <c r="D3156" s="95"/>
      <c r="E3156" s="95"/>
      <c r="F3156" s="96"/>
      <c r="G3156" s="110"/>
      <c r="H3156" s="114" t="str">
        <f t="shared" si="39"/>
        <v/>
      </c>
      <c r="I3156" s="17"/>
      <c r="J3156" s="17"/>
      <c r="K3156" s="17"/>
    </row>
    <row r="3157" spans="1:11" x14ac:dyDescent="0.2">
      <c r="A3157" s="115"/>
      <c r="B3157" s="93"/>
      <c r="C3157" s="94"/>
      <c r="D3157" s="95"/>
      <c r="E3157" s="95"/>
      <c r="F3157" s="96"/>
      <c r="G3157" s="110"/>
      <c r="H3157" s="114" t="str">
        <f t="shared" si="39"/>
        <v/>
      </c>
      <c r="I3157" s="17"/>
      <c r="J3157" s="17"/>
      <c r="K3157" s="17"/>
    </row>
    <row r="3158" spans="1:11" x14ac:dyDescent="0.2">
      <c r="A3158" s="115"/>
      <c r="B3158" s="93"/>
      <c r="C3158" s="94"/>
      <c r="D3158" s="95"/>
      <c r="E3158" s="95"/>
      <c r="F3158" s="96"/>
      <c r="G3158" s="97"/>
      <c r="H3158" s="114" t="str">
        <f t="shared" si="39"/>
        <v/>
      </c>
      <c r="I3158" s="17"/>
      <c r="J3158" s="17"/>
      <c r="K3158" s="17"/>
    </row>
    <row r="3159" spans="1:11" x14ac:dyDescent="0.2">
      <c r="A3159" s="115"/>
      <c r="B3159" s="93"/>
      <c r="C3159" s="94"/>
      <c r="D3159" s="95"/>
      <c r="E3159" s="95"/>
      <c r="F3159" s="96"/>
      <c r="G3159" s="97"/>
      <c r="H3159" s="114" t="str">
        <f t="shared" si="39"/>
        <v/>
      </c>
      <c r="I3159" s="17"/>
      <c r="J3159" s="17"/>
      <c r="K3159" s="17"/>
    </row>
    <row r="3160" spans="1:11" x14ac:dyDescent="0.2">
      <c r="A3160" s="115"/>
      <c r="B3160" s="93"/>
      <c r="C3160" s="94"/>
      <c r="D3160" s="95"/>
      <c r="E3160" s="95"/>
      <c r="F3160" s="96"/>
      <c r="G3160" s="97"/>
      <c r="H3160" s="114" t="str">
        <f t="shared" si="39"/>
        <v/>
      </c>
      <c r="I3160" s="17"/>
      <c r="J3160" s="17"/>
      <c r="K3160" s="17"/>
    </row>
    <row r="3161" spans="1:11" x14ac:dyDescent="0.2">
      <c r="A3161" s="115"/>
      <c r="B3161" s="93"/>
      <c r="C3161" s="94"/>
      <c r="D3161" s="95"/>
      <c r="E3161" s="95"/>
      <c r="F3161" s="96"/>
      <c r="G3161" s="97"/>
      <c r="H3161" s="114" t="str">
        <f t="shared" si="39"/>
        <v/>
      </c>
      <c r="I3161" s="17"/>
      <c r="J3161" s="17"/>
      <c r="K3161" s="17"/>
    </row>
    <row r="3162" spans="1:11" x14ac:dyDescent="0.2">
      <c r="A3162" s="115"/>
      <c r="B3162" s="93"/>
      <c r="C3162" s="94"/>
      <c r="D3162" s="95"/>
      <c r="E3162" s="95"/>
      <c r="F3162" s="96"/>
      <c r="G3162" s="97"/>
      <c r="H3162" s="114" t="str">
        <f t="shared" si="39"/>
        <v/>
      </c>
      <c r="I3162" s="17"/>
      <c r="J3162" s="17"/>
      <c r="K3162" s="17"/>
    </row>
    <row r="3163" spans="1:11" x14ac:dyDescent="0.2">
      <c r="A3163" s="115"/>
      <c r="B3163" s="93"/>
      <c r="C3163" s="94"/>
      <c r="D3163" s="95"/>
      <c r="E3163" s="95"/>
      <c r="F3163" s="96"/>
      <c r="G3163" s="97"/>
      <c r="H3163" s="114" t="str">
        <f t="shared" si="39"/>
        <v/>
      </c>
      <c r="I3163" s="17"/>
      <c r="J3163" s="17"/>
      <c r="K3163" s="17"/>
    </row>
    <row r="3164" spans="1:11" x14ac:dyDescent="0.2">
      <c r="A3164" s="115"/>
      <c r="B3164" s="93"/>
      <c r="C3164" s="94"/>
      <c r="D3164" s="95"/>
      <c r="E3164" s="95"/>
      <c r="F3164" s="96"/>
      <c r="G3164" s="97"/>
      <c r="H3164" s="114" t="str">
        <f t="shared" si="39"/>
        <v/>
      </c>
      <c r="I3164" s="17"/>
      <c r="J3164" s="17"/>
      <c r="K3164" s="17"/>
    </row>
    <row r="3165" spans="1:11" x14ac:dyDescent="0.2">
      <c r="A3165" s="115"/>
      <c r="B3165" s="93"/>
      <c r="C3165" s="94"/>
      <c r="D3165" s="95"/>
      <c r="E3165" s="95"/>
      <c r="F3165" s="96"/>
      <c r="G3165" s="97"/>
      <c r="H3165" s="114" t="str">
        <f t="shared" si="39"/>
        <v/>
      </c>
      <c r="I3165" s="17"/>
      <c r="J3165" s="17"/>
      <c r="K3165" s="17"/>
    </row>
    <row r="3166" spans="1:11" x14ac:dyDescent="0.2">
      <c r="A3166" s="115"/>
      <c r="B3166" s="93"/>
      <c r="C3166" s="94"/>
      <c r="D3166" s="95"/>
      <c r="E3166" s="95"/>
      <c r="F3166" s="96"/>
      <c r="G3166" s="97"/>
      <c r="H3166" s="114" t="str">
        <f t="shared" si="39"/>
        <v/>
      </c>
      <c r="I3166" s="17"/>
      <c r="J3166" s="17"/>
      <c r="K3166" s="17"/>
    </row>
    <row r="3167" spans="1:11" x14ac:dyDescent="0.2">
      <c r="A3167" s="115"/>
      <c r="B3167" s="93"/>
      <c r="C3167" s="94"/>
      <c r="D3167" s="95"/>
      <c r="E3167" s="95"/>
      <c r="F3167" s="96"/>
      <c r="G3167" s="97"/>
      <c r="H3167" s="114" t="str">
        <f t="shared" si="39"/>
        <v/>
      </c>
      <c r="I3167" s="17"/>
      <c r="J3167" s="17"/>
      <c r="K3167" s="17"/>
    </row>
    <row r="3168" spans="1:11" x14ac:dyDescent="0.2">
      <c r="A3168" s="115"/>
      <c r="B3168" s="93"/>
      <c r="C3168" s="94"/>
      <c r="D3168" s="95"/>
      <c r="E3168" s="95"/>
      <c r="F3168" s="96"/>
      <c r="G3168" s="97"/>
      <c r="H3168" s="114" t="str">
        <f t="shared" si="39"/>
        <v/>
      </c>
      <c r="I3168" s="17"/>
      <c r="J3168" s="17"/>
      <c r="K3168" s="17"/>
    </row>
    <row r="3169" spans="1:11" x14ac:dyDescent="0.2">
      <c r="A3169" s="115"/>
      <c r="B3169" s="93"/>
      <c r="C3169" s="94"/>
      <c r="D3169" s="95"/>
      <c r="E3169" s="95"/>
      <c r="F3169" s="96"/>
      <c r="G3169" s="97"/>
      <c r="H3169" s="114" t="str">
        <f t="shared" si="39"/>
        <v/>
      </c>
      <c r="I3169" s="17"/>
      <c r="J3169" s="17"/>
      <c r="K3169" s="17"/>
    </row>
    <row r="3170" spans="1:11" x14ac:dyDescent="0.2">
      <c r="A3170" s="115"/>
      <c r="B3170" s="93"/>
      <c r="C3170" s="94"/>
      <c r="D3170" s="95"/>
      <c r="E3170" s="95"/>
      <c r="F3170" s="96"/>
      <c r="G3170" s="97"/>
      <c r="H3170" s="114" t="str">
        <f t="shared" si="39"/>
        <v/>
      </c>
      <c r="I3170" s="17"/>
      <c r="J3170" s="17"/>
      <c r="K3170" s="17"/>
    </row>
    <row r="3171" spans="1:11" x14ac:dyDescent="0.2">
      <c r="A3171" s="115"/>
      <c r="B3171" s="93"/>
      <c r="C3171" s="94"/>
      <c r="D3171" s="95"/>
      <c r="E3171" s="95"/>
      <c r="F3171" s="96"/>
      <c r="G3171" s="97"/>
      <c r="H3171" s="114" t="str">
        <f t="shared" si="39"/>
        <v/>
      </c>
      <c r="I3171" s="17"/>
      <c r="J3171" s="17"/>
      <c r="K3171" s="17"/>
    </row>
    <row r="3172" spans="1:11" x14ac:dyDescent="0.2">
      <c r="A3172" s="115"/>
      <c r="B3172" s="93"/>
      <c r="C3172" s="94"/>
      <c r="D3172" s="95"/>
      <c r="E3172" s="95"/>
      <c r="F3172" s="96"/>
      <c r="G3172" s="97"/>
      <c r="H3172" s="114" t="str">
        <f t="shared" si="39"/>
        <v/>
      </c>
      <c r="I3172" s="17"/>
      <c r="J3172" s="17"/>
      <c r="K3172" s="17"/>
    </row>
    <row r="3173" spans="1:11" x14ac:dyDescent="0.2">
      <c r="A3173" s="115"/>
      <c r="B3173" s="93"/>
      <c r="C3173" s="94"/>
      <c r="D3173" s="95"/>
      <c r="E3173" s="95"/>
      <c r="F3173" s="96"/>
      <c r="G3173" s="97"/>
      <c r="H3173" s="114" t="str">
        <f t="shared" si="39"/>
        <v/>
      </c>
      <c r="I3173" s="17"/>
      <c r="J3173" s="17"/>
      <c r="K3173" s="17"/>
    </row>
    <row r="3174" spans="1:11" x14ac:dyDescent="0.2">
      <c r="A3174" s="115"/>
      <c r="B3174" s="93"/>
      <c r="C3174" s="94"/>
      <c r="D3174" s="95"/>
      <c r="E3174" s="95"/>
      <c r="F3174" s="96"/>
      <c r="G3174" s="97"/>
      <c r="H3174" s="114" t="str">
        <f t="shared" si="39"/>
        <v/>
      </c>
      <c r="I3174" s="17"/>
      <c r="J3174" s="17"/>
      <c r="K3174" s="17"/>
    </row>
    <row r="3175" spans="1:11" x14ac:dyDescent="0.2">
      <c r="A3175" s="115"/>
      <c r="B3175" s="93"/>
      <c r="C3175" s="94"/>
      <c r="D3175" s="95"/>
      <c r="E3175" s="95"/>
      <c r="F3175" s="96"/>
      <c r="G3175" s="97"/>
      <c r="H3175" s="114" t="str">
        <f t="shared" si="39"/>
        <v/>
      </c>
      <c r="I3175" s="17"/>
      <c r="J3175" s="17"/>
      <c r="K3175" s="17"/>
    </row>
    <row r="3176" spans="1:11" x14ac:dyDescent="0.2">
      <c r="A3176" s="115"/>
      <c r="B3176" s="93"/>
      <c r="C3176" s="94"/>
      <c r="D3176" s="95"/>
      <c r="E3176" s="95"/>
      <c r="F3176" s="96"/>
      <c r="G3176" s="97"/>
      <c r="H3176" s="114" t="str">
        <f t="shared" si="39"/>
        <v/>
      </c>
      <c r="I3176" s="17"/>
      <c r="J3176" s="17"/>
      <c r="K3176" s="17"/>
    </row>
    <row r="3177" spans="1:11" x14ac:dyDescent="0.2">
      <c r="A3177" s="115"/>
      <c r="B3177" s="93"/>
      <c r="C3177" s="94"/>
      <c r="D3177" s="95"/>
      <c r="E3177" s="95"/>
      <c r="F3177" s="96"/>
      <c r="G3177" s="97"/>
      <c r="H3177" s="114" t="str">
        <f t="shared" si="39"/>
        <v/>
      </c>
      <c r="I3177" s="17"/>
      <c r="J3177" s="17"/>
      <c r="K3177" s="17"/>
    </row>
    <row r="3178" spans="1:11" x14ac:dyDescent="0.2">
      <c r="A3178" s="115"/>
      <c r="B3178" s="93"/>
      <c r="C3178" s="94"/>
      <c r="D3178" s="95"/>
      <c r="E3178" s="95"/>
      <c r="F3178" s="96"/>
      <c r="G3178" s="97"/>
      <c r="H3178" s="114" t="str">
        <f t="shared" si="39"/>
        <v/>
      </c>
      <c r="I3178" s="17"/>
      <c r="J3178" s="17"/>
      <c r="K3178" s="17"/>
    </row>
    <row r="3179" spans="1:11" x14ac:dyDescent="0.2">
      <c r="A3179" s="115"/>
      <c r="B3179" s="93"/>
      <c r="C3179" s="94"/>
      <c r="D3179" s="95"/>
      <c r="E3179" s="95"/>
      <c r="F3179" s="96"/>
      <c r="G3179" s="97"/>
      <c r="H3179" s="114" t="str">
        <f t="shared" si="39"/>
        <v/>
      </c>
      <c r="I3179" s="17"/>
      <c r="J3179" s="17"/>
      <c r="K3179" s="17"/>
    </row>
    <row r="3180" spans="1:11" x14ac:dyDescent="0.2">
      <c r="A3180" s="115"/>
      <c r="B3180" s="93"/>
      <c r="C3180" s="94"/>
      <c r="D3180" s="95"/>
      <c r="E3180" s="95"/>
      <c r="F3180" s="96"/>
      <c r="G3180" s="97"/>
      <c r="H3180" s="114" t="str">
        <f t="shared" si="39"/>
        <v/>
      </c>
      <c r="I3180" s="17"/>
      <c r="J3180" s="17"/>
      <c r="K3180" s="17"/>
    </row>
    <row r="3181" spans="1:11" x14ac:dyDescent="0.2">
      <c r="A3181" s="115"/>
      <c r="B3181" s="93"/>
      <c r="C3181" s="94"/>
      <c r="D3181" s="95"/>
      <c r="E3181" s="95"/>
      <c r="F3181" s="96"/>
      <c r="G3181" s="97"/>
      <c r="H3181" s="114" t="str">
        <f t="shared" si="39"/>
        <v/>
      </c>
      <c r="I3181" s="17"/>
      <c r="J3181" s="17"/>
      <c r="K3181" s="17"/>
    </row>
    <row r="3182" spans="1:11" x14ac:dyDescent="0.2">
      <c r="A3182" s="115"/>
      <c r="B3182" s="93"/>
      <c r="C3182" s="94"/>
      <c r="D3182" s="95"/>
      <c r="E3182" s="95"/>
      <c r="F3182" s="96"/>
      <c r="G3182" s="97"/>
      <c r="H3182" s="114" t="str">
        <f t="shared" si="39"/>
        <v/>
      </c>
      <c r="I3182" s="17"/>
      <c r="J3182" s="17"/>
      <c r="K3182" s="17"/>
    </row>
    <row r="3183" spans="1:11" x14ac:dyDescent="0.2">
      <c r="A3183" s="115"/>
      <c r="B3183" s="93"/>
      <c r="C3183" s="94"/>
      <c r="D3183" s="95"/>
      <c r="E3183" s="95"/>
      <c r="F3183" s="96"/>
      <c r="G3183" s="97"/>
      <c r="H3183" s="114" t="str">
        <f t="shared" si="39"/>
        <v/>
      </c>
      <c r="I3183" s="17"/>
      <c r="J3183" s="17"/>
      <c r="K3183" s="17"/>
    </row>
    <row r="3184" spans="1:11" x14ac:dyDescent="0.2">
      <c r="A3184" s="115"/>
      <c r="B3184" s="93"/>
      <c r="C3184" s="94"/>
      <c r="D3184" s="95"/>
      <c r="E3184" s="95"/>
      <c r="F3184" s="96"/>
      <c r="G3184" s="97"/>
      <c r="H3184" s="114" t="str">
        <f t="shared" si="39"/>
        <v/>
      </c>
      <c r="I3184" s="17"/>
      <c r="J3184" s="17"/>
      <c r="K3184" s="17"/>
    </row>
    <row r="3185" spans="1:11" x14ac:dyDescent="0.2">
      <c r="A3185" s="115"/>
      <c r="B3185" s="93"/>
      <c r="C3185" s="94"/>
      <c r="D3185" s="95"/>
      <c r="E3185" s="95"/>
      <c r="F3185" s="96"/>
      <c r="G3185" s="97"/>
      <c r="H3185" s="114" t="str">
        <f t="shared" si="39"/>
        <v/>
      </c>
      <c r="I3185" s="17"/>
      <c r="J3185" s="17"/>
      <c r="K3185" s="17"/>
    </row>
    <row r="3186" spans="1:11" x14ac:dyDescent="0.2">
      <c r="A3186" s="115"/>
      <c r="B3186" s="93"/>
      <c r="C3186" s="94"/>
      <c r="D3186" s="95"/>
      <c r="E3186" s="95"/>
      <c r="F3186" s="96"/>
      <c r="G3186" s="97"/>
      <c r="H3186" s="114" t="str">
        <f t="shared" si="39"/>
        <v/>
      </c>
      <c r="I3186" s="17"/>
      <c r="J3186" s="17"/>
      <c r="K3186" s="17"/>
    </row>
    <row r="3187" spans="1:11" x14ac:dyDescent="0.2">
      <c r="A3187" s="115"/>
      <c r="B3187" s="93"/>
      <c r="C3187" s="94"/>
      <c r="D3187" s="95"/>
      <c r="E3187" s="95"/>
      <c r="F3187" s="96"/>
      <c r="G3187" s="97"/>
      <c r="H3187" s="114" t="str">
        <f t="shared" si="39"/>
        <v/>
      </c>
      <c r="I3187" s="17"/>
      <c r="J3187" s="17"/>
      <c r="K3187" s="17"/>
    </row>
    <row r="3188" spans="1:11" x14ac:dyDescent="0.2">
      <c r="A3188" s="115"/>
      <c r="B3188" s="93"/>
      <c r="C3188" s="94"/>
      <c r="D3188" s="95"/>
      <c r="E3188" s="95"/>
      <c r="F3188" s="96"/>
      <c r="G3188" s="97"/>
      <c r="H3188" s="114" t="str">
        <f t="shared" si="39"/>
        <v/>
      </c>
      <c r="I3188" s="17"/>
      <c r="J3188" s="17"/>
      <c r="K3188" s="17"/>
    </row>
    <row r="3189" spans="1:11" x14ac:dyDescent="0.2">
      <c r="A3189" s="115"/>
      <c r="B3189" s="93"/>
      <c r="C3189" s="94"/>
      <c r="D3189" s="95"/>
      <c r="E3189" s="95"/>
      <c r="F3189" s="96"/>
      <c r="G3189" s="97"/>
      <c r="H3189" s="114" t="str">
        <f t="shared" si="39"/>
        <v/>
      </c>
      <c r="I3189" s="17"/>
      <c r="J3189" s="17"/>
      <c r="K3189" s="17"/>
    </row>
    <row r="3190" spans="1:11" x14ac:dyDescent="0.2">
      <c r="A3190" s="115"/>
      <c r="B3190" s="93"/>
      <c r="C3190" s="94"/>
      <c r="D3190" s="95"/>
      <c r="E3190" s="95"/>
      <c r="F3190" s="96"/>
      <c r="G3190" s="97"/>
      <c r="H3190" s="114" t="str">
        <f t="shared" si="39"/>
        <v/>
      </c>
      <c r="I3190" s="17"/>
      <c r="J3190" s="17"/>
      <c r="K3190" s="17"/>
    </row>
    <row r="3191" spans="1:11" x14ac:dyDescent="0.2">
      <c r="A3191" s="115"/>
      <c r="B3191" s="93"/>
      <c r="C3191" s="94"/>
      <c r="D3191" s="95"/>
      <c r="E3191" s="95"/>
      <c r="F3191" s="96"/>
      <c r="G3191" s="97"/>
      <c r="H3191" s="114" t="str">
        <f t="shared" si="39"/>
        <v/>
      </c>
      <c r="I3191" s="17"/>
      <c r="J3191" s="17"/>
      <c r="K3191" s="17"/>
    </row>
    <row r="3192" spans="1:11" x14ac:dyDescent="0.2">
      <c r="A3192" s="115"/>
      <c r="B3192" s="93"/>
      <c r="C3192" s="94"/>
      <c r="D3192" s="95"/>
      <c r="E3192" s="95"/>
      <c r="F3192" s="96"/>
      <c r="G3192" s="97"/>
      <c r="H3192" s="114" t="str">
        <f t="shared" si="39"/>
        <v/>
      </c>
      <c r="I3192" s="17"/>
      <c r="J3192" s="17"/>
      <c r="K3192" s="17"/>
    </row>
    <row r="3193" spans="1:11" x14ac:dyDescent="0.2">
      <c r="A3193" s="115"/>
      <c r="B3193" s="93"/>
      <c r="C3193" s="94"/>
      <c r="D3193" s="95"/>
      <c r="E3193" s="95"/>
      <c r="F3193" s="96"/>
      <c r="G3193" s="97"/>
      <c r="H3193" s="114" t="str">
        <f t="shared" si="39"/>
        <v/>
      </c>
      <c r="I3193" s="17"/>
      <c r="J3193" s="17"/>
      <c r="K3193" s="17"/>
    </row>
    <row r="3194" spans="1:11" x14ac:dyDescent="0.2">
      <c r="A3194" s="115"/>
      <c r="B3194" s="93"/>
      <c r="C3194" s="94"/>
      <c r="D3194" s="95"/>
      <c r="E3194" s="95"/>
      <c r="F3194" s="96"/>
      <c r="G3194" s="97"/>
      <c r="H3194" s="114" t="str">
        <f t="shared" si="39"/>
        <v/>
      </c>
      <c r="I3194" s="17"/>
      <c r="J3194" s="17"/>
      <c r="K3194" s="17"/>
    </row>
    <row r="3195" spans="1:11" x14ac:dyDescent="0.2">
      <c r="A3195" s="115"/>
      <c r="B3195" s="93"/>
      <c r="C3195" s="94"/>
      <c r="D3195" s="95"/>
      <c r="E3195" s="95"/>
      <c r="F3195" s="96"/>
      <c r="G3195" s="97"/>
      <c r="H3195" s="114" t="str">
        <f t="shared" si="39"/>
        <v/>
      </c>
      <c r="I3195" s="17"/>
      <c r="J3195" s="17"/>
      <c r="K3195" s="17"/>
    </row>
    <row r="3196" spans="1:11" x14ac:dyDescent="0.2">
      <c r="A3196" s="115"/>
      <c r="B3196" s="93"/>
      <c r="C3196" s="94"/>
      <c r="D3196" s="95"/>
      <c r="E3196" s="95"/>
      <c r="F3196" s="96"/>
      <c r="G3196" s="97"/>
      <c r="H3196" s="114" t="str">
        <f t="shared" si="39"/>
        <v/>
      </c>
      <c r="I3196" s="17"/>
      <c r="J3196" s="17"/>
      <c r="K3196" s="17"/>
    </row>
    <row r="3197" spans="1:11" x14ac:dyDescent="0.2">
      <c r="A3197" s="115"/>
      <c r="B3197" s="93"/>
      <c r="C3197" s="94"/>
      <c r="D3197" s="95"/>
      <c r="E3197" s="95"/>
      <c r="F3197" s="96"/>
      <c r="G3197" s="97"/>
      <c r="H3197" s="114" t="str">
        <f t="shared" si="39"/>
        <v/>
      </c>
      <c r="I3197" s="17"/>
      <c r="J3197" s="17"/>
      <c r="K3197" s="17"/>
    </row>
    <row r="3198" spans="1:11" x14ac:dyDescent="0.2">
      <c r="A3198" s="115"/>
      <c r="B3198" s="93"/>
      <c r="C3198" s="94"/>
      <c r="D3198" s="95"/>
      <c r="E3198" s="95"/>
      <c r="F3198" s="96"/>
      <c r="G3198" s="97"/>
      <c r="H3198" s="114" t="str">
        <f t="shared" si="39"/>
        <v/>
      </c>
      <c r="I3198" s="17"/>
      <c r="J3198" s="17"/>
      <c r="K3198" s="17"/>
    </row>
    <row r="3199" spans="1:11" x14ac:dyDescent="0.2">
      <c r="A3199" s="115"/>
      <c r="B3199" s="93"/>
      <c r="C3199" s="94"/>
      <c r="D3199" s="95"/>
      <c r="E3199" s="95"/>
      <c r="F3199" s="96"/>
      <c r="G3199" s="97"/>
      <c r="H3199" s="114" t="str">
        <f t="shared" si="39"/>
        <v/>
      </c>
      <c r="I3199" s="17"/>
      <c r="J3199" s="17"/>
      <c r="K3199" s="17"/>
    </row>
    <row r="3200" spans="1:11" x14ac:dyDescent="0.2">
      <c r="A3200" s="115"/>
      <c r="B3200" s="93"/>
      <c r="C3200" s="94"/>
      <c r="D3200" s="95"/>
      <c r="E3200" s="95"/>
      <c r="F3200" s="96"/>
      <c r="G3200" s="97"/>
      <c r="H3200" s="114" t="str">
        <f t="shared" si="39"/>
        <v/>
      </c>
      <c r="I3200" s="17"/>
      <c r="J3200" s="17"/>
      <c r="K3200" s="17"/>
    </row>
    <row r="3201" spans="1:11" x14ac:dyDescent="0.2">
      <c r="A3201" s="115"/>
      <c r="B3201" s="93"/>
      <c r="C3201" s="94"/>
      <c r="D3201" s="95"/>
      <c r="E3201" s="95"/>
      <c r="F3201" s="96"/>
      <c r="G3201" s="97"/>
      <c r="H3201" s="114" t="str">
        <f t="shared" si="39"/>
        <v/>
      </c>
      <c r="I3201" s="17"/>
      <c r="J3201" s="17"/>
      <c r="K3201" s="17"/>
    </row>
    <row r="3202" spans="1:11" x14ac:dyDescent="0.2">
      <c r="A3202" s="115"/>
      <c r="B3202" s="93"/>
      <c r="C3202" s="94"/>
      <c r="D3202" s="95"/>
      <c r="E3202" s="95"/>
      <c r="F3202" s="96"/>
      <c r="G3202" s="97"/>
      <c r="H3202" s="114" t="str">
        <f t="shared" si="39"/>
        <v/>
      </c>
      <c r="I3202" s="17"/>
      <c r="J3202" s="17"/>
      <c r="K3202" s="17"/>
    </row>
    <row r="3203" spans="1:11" x14ac:dyDescent="0.2">
      <c r="A3203" s="115"/>
      <c r="B3203" s="93"/>
      <c r="C3203" s="94"/>
      <c r="D3203" s="95"/>
      <c r="E3203" s="95"/>
      <c r="F3203" s="96"/>
      <c r="G3203" s="97"/>
      <c r="H3203" s="114" t="str">
        <f t="shared" si="39"/>
        <v/>
      </c>
      <c r="I3203" s="17"/>
      <c r="J3203" s="17"/>
      <c r="K3203" s="17"/>
    </row>
    <row r="3204" spans="1:11" x14ac:dyDescent="0.2">
      <c r="A3204" s="115"/>
      <c r="B3204" s="93"/>
      <c r="C3204" s="94"/>
      <c r="D3204" s="95"/>
      <c r="E3204" s="95"/>
      <c r="F3204" s="96"/>
      <c r="G3204" s="97"/>
      <c r="H3204" s="114" t="str">
        <f t="shared" ref="H3204:H3267" si="40">IF(A3204&lt;&gt;"", EOMONTH(A3204, -1) + 1, "")</f>
        <v/>
      </c>
      <c r="I3204" s="17"/>
      <c r="J3204" s="17"/>
      <c r="K3204" s="17"/>
    </row>
    <row r="3205" spans="1:11" x14ac:dyDescent="0.2">
      <c r="A3205" s="115"/>
      <c r="B3205" s="93"/>
      <c r="C3205" s="94"/>
      <c r="D3205" s="95"/>
      <c r="E3205" s="95"/>
      <c r="F3205" s="96"/>
      <c r="G3205" s="97"/>
      <c r="H3205" s="114" t="str">
        <f t="shared" si="40"/>
        <v/>
      </c>
      <c r="I3205" s="17"/>
      <c r="J3205" s="17"/>
      <c r="K3205" s="17"/>
    </row>
    <row r="3206" spans="1:11" x14ac:dyDescent="0.2">
      <c r="A3206" s="115"/>
      <c r="B3206" s="93"/>
      <c r="C3206" s="94"/>
      <c r="D3206" s="95"/>
      <c r="E3206" s="95"/>
      <c r="F3206" s="96"/>
      <c r="G3206" s="97"/>
      <c r="H3206" s="114" t="str">
        <f t="shared" si="40"/>
        <v/>
      </c>
      <c r="I3206" s="17"/>
      <c r="J3206" s="17"/>
      <c r="K3206" s="17"/>
    </row>
    <row r="3207" spans="1:11" x14ac:dyDescent="0.2">
      <c r="A3207" s="115"/>
      <c r="B3207" s="93"/>
      <c r="C3207" s="94"/>
      <c r="D3207" s="95"/>
      <c r="E3207" s="95"/>
      <c r="F3207" s="96"/>
      <c r="G3207" s="97"/>
      <c r="H3207" s="114" t="str">
        <f t="shared" si="40"/>
        <v/>
      </c>
      <c r="I3207" s="17"/>
      <c r="J3207" s="17"/>
      <c r="K3207" s="17"/>
    </row>
    <row r="3208" spans="1:11" x14ac:dyDescent="0.2">
      <c r="A3208" s="115"/>
      <c r="B3208" s="93"/>
      <c r="C3208" s="94"/>
      <c r="D3208" s="95"/>
      <c r="E3208" s="95"/>
      <c r="F3208" s="96"/>
      <c r="G3208" s="97"/>
      <c r="H3208" s="114" t="str">
        <f t="shared" si="40"/>
        <v/>
      </c>
      <c r="I3208" s="17"/>
      <c r="J3208" s="17"/>
      <c r="K3208" s="17"/>
    </row>
    <row r="3209" spans="1:11" x14ac:dyDescent="0.2">
      <c r="A3209" s="115"/>
      <c r="B3209" s="93"/>
      <c r="C3209" s="94"/>
      <c r="D3209" s="95"/>
      <c r="E3209" s="95"/>
      <c r="F3209" s="96"/>
      <c r="G3209" s="97"/>
      <c r="H3209" s="114" t="str">
        <f t="shared" si="40"/>
        <v/>
      </c>
      <c r="I3209" s="17"/>
      <c r="J3209" s="17"/>
      <c r="K3209" s="17"/>
    </row>
    <row r="3210" spans="1:11" x14ac:dyDescent="0.2">
      <c r="A3210" s="115"/>
      <c r="B3210" s="93"/>
      <c r="C3210" s="94"/>
      <c r="D3210" s="95"/>
      <c r="E3210" s="95"/>
      <c r="F3210" s="96"/>
      <c r="G3210" s="97"/>
      <c r="H3210" s="114" t="str">
        <f t="shared" si="40"/>
        <v/>
      </c>
      <c r="I3210" s="17"/>
      <c r="J3210" s="17"/>
      <c r="K3210" s="17"/>
    </row>
    <row r="3211" spans="1:11" x14ac:dyDescent="0.2">
      <c r="A3211" s="115"/>
      <c r="B3211" s="93"/>
      <c r="C3211" s="94"/>
      <c r="D3211" s="95"/>
      <c r="E3211" s="95"/>
      <c r="F3211" s="96"/>
      <c r="G3211" s="97"/>
      <c r="H3211" s="114" t="str">
        <f t="shared" si="40"/>
        <v/>
      </c>
      <c r="I3211" s="17"/>
      <c r="J3211" s="17"/>
      <c r="K3211" s="17"/>
    </row>
    <row r="3212" spans="1:11" x14ac:dyDescent="0.2">
      <c r="A3212" s="115"/>
      <c r="B3212" s="93"/>
      <c r="C3212" s="94"/>
      <c r="D3212" s="95"/>
      <c r="E3212" s="95"/>
      <c r="F3212" s="96"/>
      <c r="G3212" s="97"/>
      <c r="H3212" s="114" t="str">
        <f t="shared" si="40"/>
        <v/>
      </c>
      <c r="I3212" s="17"/>
      <c r="J3212" s="17"/>
      <c r="K3212" s="17"/>
    </row>
    <row r="3213" spans="1:11" x14ac:dyDescent="0.2">
      <c r="A3213" s="115"/>
      <c r="B3213" s="93"/>
      <c r="C3213" s="101"/>
      <c r="D3213" s="95"/>
      <c r="E3213" s="95"/>
      <c r="F3213" s="96"/>
      <c r="G3213" s="97"/>
      <c r="H3213" s="114" t="str">
        <f t="shared" si="40"/>
        <v/>
      </c>
      <c r="I3213" s="17"/>
      <c r="J3213" s="17"/>
      <c r="K3213" s="17"/>
    </row>
    <row r="3214" spans="1:11" x14ac:dyDescent="0.2">
      <c r="A3214" s="115"/>
      <c r="B3214" s="93"/>
      <c r="C3214" s="101"/>
      <c r="D3214" s="95"/>
      <c r="E3214" s="95"/>
      <c r="F3214" s="96"/>
      <c r="G3214" s="97"/>
      <c r="H3214" s="114" t="str">
        <f t="shared" si="40"/>
        <v/>
      </c>
      <c r="I3214" s="17"/>
      <c r="J3214" s="17"/>
      <c r="K3214" s="17"/>
    </row>
    <row r="3215" spans="1:11" x14ac:dyDescent="0.2">
      <c r="A3215" s="115"/>
      <c r="B3215" s="93"/>
      <c r="C3215" s="101"/>
      <c r="D3215" s="95"/>
      <c r="E3215" s="95"/>
      <c r="F3215" s="96"/>
      <c r="G3215" s="97"/>
      <c r="H3215" s="114" t="str">
        <f t="shared" si="40"/>
        <v/>
      </c>
      <c r="I3215" s="17"/>
      <c r="J3215" s="17"/>
      <c r="K3215" s="17"/>
    </row>
    <row r="3216" spans="1:11" x14ac:dyDescent="0.2">
      <c r="A3216" s="115"/>
      <c r="B3216" s="93"/>
      <c r="C3216" s="101"/>
      <c r="D3216" s="95"/>
      <c r="E3216" s="95"/>
      <c r="F3216" s="96"/>
      <c r="G3216" s="97"/>
      <c r="H3216" s="114" t="str">
        <f t="shared" si="40"/>
        <v/>
      </c>
      <c r="I3216" s="17"/>
      <c r="J3216" s="17"/>
      <c r="K3216" s="17"/>
    </row>
    <row r="3217" spans="1:11" x14ac:dyDescent="0.2">
      <c r="A3217" s="115"/>
      <c r="B3217" s="93"/>
      <c r="C3217" s="101"/>
      <c r="D3217" s="95"/>
      <c r="E3217" s="95"/>
      <c r="F3217" s="96"/>
      <c r="G3217" s="97"/>
      <c r="H3217" s="114" t="str">
        <f t="shared" si="40"/>
        <v/>
      </c>
      <c r="I3217" s="17"/>
      <c r="J3217" s="17"/>
      <c r="K3217" s="17"/>
    </row>
    <row r="3218" spans="1:11" x14ac:dyDescent="0.2">
      <c r="A3218" s="115"/>
      <c r="B3218" s="93"/>
      <c r="C3218" s="101"/>
      <c r="D3218" s="95"/>
      <c r="E3218" s="95"/>
      <c r="F3218" s="96"/>
      <c r="G3218" s="97"/>
      <c r="H3218" s="114" t="str">
        <f t="shared" si="40"/>
        <v/>
      </c>
      <c r="I3218" s="17"/>
      <c r="J3218" s="17"/>
      <c r="K3218" s="17"/>
    </row>
    <row r="3219" spans="1:11" x14ac:dyDescent="0.2">
      <c r="A3219" s="115"/>
      <c r="B3219" s="93"/>
      <c r="C3219" s="101"/>
      <c r="D3219" s="95"/>
      <c r="E3219" s="95"/>
      <c r="F3219" s="96"/>
      <c r="G3219" s="97"/>
      <c r="H3219" s="114" t="str">
        <f t="shared" si="40"/>
        <v/>
      </c>
      <c r="I3219" s="17"/>
      <c r="J3219" s="17"/>
      <c r="K3219" s="17"/>
    </row>
    <row r="3220" spans="1:11" x14ac:dyDescent="0.2">
      <c r="A3220" s="115"/>
      <c r="B3220" s="93"/>
      <c r="C3220" s="101"/>
      <c r="D3220" s="95"/>
      <c r="E3220" s="95"/>
      <c r="F3220" s="96"/>
      <c r="G3220" s="97"/>
      <c r="H3220" s="114" t="str">
        <f t="shared" si="40"/>
        <v/>
      </c>
      <c r="I3220" s="17"/>
      <c r="J3220" s="17"/>
      <c r="K3220" s="17"/>
    </row>
    <row r="3221" spans="1:11" x14ac:dyDescent="0.2">
      <c r="A3221" s="115"/>
      <c r="B3221" s="93"/>
      <c r="C3221" s="101"/>
      <c r="D3221" s="95"/>
      <c r="E3221" s="95"/>
      <c r="F3221" s="96"/>
      <c r="G3221" s="97"/>
      <c r="H3221" s="114" t="str">
        <f t="shared" si="40"/>
        <v/>
      </c>
      <c r="I3221" s="17"/>
      <c r="J3221" s="17"/>
      <c r="K3221" s="17"/>
    </row>
    <row r="3222" spans="1:11" x14ac:dyDescent="0.2">
      <c r="A3222" s="115"/>
      <c r="B3222" s="93"/>
      <c r="C3222" s="101"/>
      <c r="D3222" s="95"/>
      <c r="E3222" s="95"/>
      <c r="F3222" s="96"/>
      <c r="G3222" s="97"/>
      <c r="H3222" s="114" t="str">
        <f t="shared" si="40"/>
        <v/>
      </c>
      <c r="I3222" s="17"/>
      <c r="J3222" s="17"/>
      <c r="K3222" s="17"/>
    </row>
    <row r="3223" spans="1:11" x14ac:dyDescent="0.2">
      <c r="A3223" s="115"/>
      <c r="B3223" s="93"/>
      <c r="C3223" s="101"/>
      <c r="D3223" s="95"/>
      <c r="E3223" s="95"/>
      <c r="F3223" s="96"/>
      <c r="G3223" s="97"/>
      <c r="H3223" s="114" t="str">
        <f t="shared" si="40"/>
        <v/>
      </c>
      <c r="I3223" s="17"/>
      <c r="J3223" s="17"/>
      <c r="K3223" s="17"/>
    </row>
    <row r="3224" spans="1:11" x14ac:dyDescent="0.2">
      <c r="A3224" s="115"/>
      <c r="B3224" s="93"/>
      <c r="C3224" s="94"/>
      <c r="D3224" s="95"/>
      <c r="E3224" s="95"/>
      <c r="F3224" s="96"/>
      <c r="G3224" s="97"/>
      <c r="H3224" s="114" t="str">
        <f t="shared" si="40"/>
        <v/>
      </c>
      <c r="I3224" s="17"/>
      <c r="J3224" s="17"/>
      <c r="K3224" s="17"/>
    </row>
    <row r="3225" spans="1:11" x14ac:dyDescent="0.2">
      <c r="A3225" s="115"/>
      <c r="B3225" s="93"/>
      <c r="C3225" s="94"/>
      <c r="D3225" s="95"/>
      <c r="E3225" s="95"/>
      <c r="F3225" s="96"/>
      <c r="G3225" s="97"/>
      <c r="H3225" s="114" t="str">
        <f t="shared" si="40"/>
        <v/>
      </c>
      <c r="I3225" s="17"/>
      <c r="J3225" s="17"/>
      <c r="K3225" s="17"/>
    </row>
    <row r="3226" spans="1:11" x14ac:dyDescent="0.2">
      <c r="A3226" s="115"/>
      <c r="B3226" s="93"/>
      <c r="C3226" s="94"/>
      <c r="D3226" s="95"/>
      <c r="E3226" s="95"/>
      <c r="F3226" s="96"/>
      <c r="G3226" s="97"/>
      <c r="H3226" s="114" t="str">
        <f t="shared" si="40"/>
        <v/>
      </c>
      <c r="I3226" s="17"/>
      <c r="J3226" s="17"/>
      <c r="K3226" s="17"/>
    </row>
    <row r="3227" spans="1:11" x14ac:dyDescent="0.2">
      <c r="A3227" s="115"/>
      <c r="B3227" s="93"/>
      <c r="C3227" s="94"/>
      <c r="D3227" s="95"/>
      <c r="E3227" s="95"/>
      <c r="F3227" s="96"/>
      <c r="G3227" s="97"/>
      <c r="H3227" s="114" t="str">
        <f t="shared" si="40"/>
        <v/>
      </c>
      <c r="I3227" s="17"/>
      <c r="J3227" s="17"/>
      <c r="K3227" s="17"/>
    </row>
    <row r="3228" spans="1:11" x14ac:dyDescent="0.2">
      <c r="A3228" s="115"/>
      <c r="B3228" s="93"/>
      <c r="C3228" s="94"/>
      <c r="D3228" s="95"/>
      <c r="E3228" s="95"/>
      <c r="F3228" s="96"/>
      <c r="G3228" s="97"/>
      <c r="H3228" s="114" t="str">
        <f t="shared" si="40"/>
        <v/>
      </c>
      <c r="I3228" s="17"/>
      <c r="J3228" s="17"/>
      <c r="K3228" s="17"/>
    </row>
    <row r="3229" spans="1:11" x14ac:dyDescent="0.2">
      <c r="A3229" s="115"/>
      <c r="B3229" s="93"/>
      <c r="C3229" s="94"/>
      <c r="D3229" s="95"/>
      <c r="E3229" s="95"/>
      <c r="F3229" s="96"/>
      <c r="G3229" s="97"/>
      <c r="H3229" s="114" t="str">
        <f t="shared" si="40"/>
        <v/>
      </c>
      <c r="I3229" s="17"/>
      <c r="J3229" s="17"/>
      <c r="K3229" s="17"/>
    </row>
    <row r="3230" spans="1:11" x14ac:dyDescent="0.2">
      <c r="A3230" s="115"/>
      <c r="B3230" s="93"/>
      <c r="C3230" s="94"/>
      <c r="D3230" s="95"/>
      <c r="E3230" s="95"/>
      <c r="F3230" s="96"/>
      <c r="G3230" s="97"/>
      <c r="H3230" s="114" t="str">
        <f t="shared" si="40"/>
        <v/>
      </c>
      <c r="I3230" s="17"/>
      <c r="J3230" s="17"/>
      <c r="K3230" s="17"/>
    </row>
    <row r="3231" spans="1:11" x14ac:dyDescent="0.2">
      <c r="A3231" s="115"/>
      <c r="B3231" s="93"/>
      <c r="C3231" s="94"/>
      <c r="D3231" s="95"/>
      <c r="E3231" s="95"/>
      <c r="F3231" s="96"/>
      <c r="G3231" s="97"/>
      <c r="H3231" s="114" t="str">
        <f t="shared" si="40"/>
        <v/>
      </c>
      <c r="I3231" s="17"/>
      <c r="J3231" s="17"/>
      <c r="K3231" s="17"/>
    </row>
    <row r="3232" spans="1:11" x14ac:dyDescent="0.2">
      <c r="A3232" s="115"/>
      <c r="B3232" s="93"/>
      <c r="C3232" s="94"/>
      <c r="D3232" s="95"/>
      <c r="E3232" s="95"/>
      <c r="F3232" s="96"/>
      <c r="G3232" s="97"/>
      <c r="H3232" s="114" t="str">
        <f t="shared" si="40"/>
        <v/>
      </c>
      <c r="I3232" s="17"/>
      <c r="J3232" s="17"/>
      <c r="K3232" s="17"/>
    </row>
    <row r="3233" spans="1:11" x14ac:dyDescent="0.2">
      <c r="A3233" s="115"/>
      <c r="B3233" s="93"/>
      <c r="C3233" s="94"/>
      <c r="D3233" s="95"/>
      <c r="E3233" s="95"/>
      <c r="F3233" s="96"/>
      <c r="G3233" s="97"/>
      <c r="H3233" s="114" t="str">
        <f t="shared" si="40"/>
        <v/>
      </c>
      <c r="I3233" s="17"/>
      <c r="J3233" s="17"/>
      <c r="K3233" s="17"/>
    </row>
    <row r="3234" spans="1:11" x14ac:dyDescent="0.2">
      <c r="A3234" s="115"/>
      <c r="B3234" s="93"/>
      <c r="C3234" s="94"/>
      <c r="D3234" s="95"/>
      <c r="E3234" s="95"/>
      <c r="F3234" s="96"/>
      <c r="G3234" s="97"/>
      <c r="H3234" s="114" t="str">
        <f t="shared" si="40"/>
        <v/>
      </c>
      <c r="I3234" s="17"/>
      <c r="J3234" s="17"/>
      <c r="K3234" s="17"/>
    </row>
    <row r="3235" spans="1:11" x14ac:dyDescent="0.2">
      <c r="A3235" s="115"/>
      <c r="B3235" s="93"/>
      <c r="C3235" s="94"/>
      <c r="D3235" s="95"/>
      <c r="E3235" s="95"/>
      <c r="F3235" s="96"/>
      <c r="G3235" s="97"/>
      <c r="H3235" s="114" t="str">
        <f t="shared" si="40"/>
        <v/>
      </c>
      <c r="I3235" s="17"/>
      <c r="J3235" s="17"/>
      <c r="K3235" s="17"/>
    </row>
    <row r="3236" spans="1:11" x14ac:dyDescent="0.2">
      <c r="A3236" s="115"/>
      <c r="B3236" s="93"/>
      <c r="C3236" s="94"/>
      <c r="D3236" s="95"/>
      <c r="E3236" s="95"/>
      <c r="F3236" s="96"/>
      <c r="G3236" s="97"/>
      <c r="H3236" s="114" t="str">
        <f t="shared" si="40"/>
        <v/>
      </c>
      <c r="I3236" s="17"/>
      <c r="J3236" s="17"/>
      <c r="K3236" s="17"/>
    </row>
    <row r="3237" spans="1:11" x14ac:dyDescent="0.2">
      <c r="A3237" s="115"/>
      <c r="B3237" s="93"/>
      <c r="C3237" s="94"/>
      <c r="D3237" s="95"/>
      <c r="E3237" s="95"/>
      <c r="F3237" s="96"/>
      <c r="G3237" s="97"/>
      <c r="H3237" s="114" t="str">
        <f t="shared" si="40"/>
        <v/>
      </c>
      <c r="I3237" s="17"/>
      <c r="J3237" s="17"/>
      <c r="K3237" s="17"/>
    </row>
    <row r="3238" spans="1:11" x14ac:dyDescent="0.2">
      <c r="A3238" s="115"/>
      <c r="B3238" s="93"/>
      <c r="C3238" s="94"/>
      <c r="D3238" s="95"/>
      <c r="E3238" s="95"/>
      <c r="F3238" s="96"/>
      <c r="G3238" s="97"/>
      <c r="H3238" s="114" t="str">
        <f t="shared" si="40"/>
        <v/>
      </c>
      <c r="I3238" s="17"/>
      <c r="J3238" s="17"/>
      <c r="K3238" s="17"/>
    </row>
    <row r="3239" spans="1:11" x14ac:dyDescent="0.2">
      <c r="A3239" s="115"/>
      <c r="B3239" s="93"/>
      <c r="C3239" s="94"/>
      <c r="D3239" s="95"/>
      <c r="E3239" s="95"/>
      <c r="F3239" s="96"/>
      <c r="G3239" s="97"/>
      <c r="H3239" s="114" t="str">
        <f t="shared" si="40"/>
        <v/>
      </c>
      <c r="I3239" s="17"/>
      <c r="J3239" s="17"/>
      <c r="K3239" s="17"/>
    </row>
    <row r="3240" spans="1:11" x14ac:dyDescent="0.2">
      <c r="A3240" s="115"/>
      <c r="B3240" s="93"/>
      <c r="C3240" s="94"/>
      <c r="D3240" s="95"/>
      <c r="E3240" s="95"/>
      <c r="F3240" s="96"/>
      <c r="G3240" s="97"/>
      <c r="H3240" s="114" t="str">
        <f t="shared" si="40"/>
        <v/>
      </c>
      <c r="I3240" s="17"/>
      <c r="J3240" s="17"/>
      <c r="K3240" s="17"/>
    </row>
    <row r="3241" spans="1:11" x14ac:dyDescent="0.2">
      <c r="A3241" s="115"/>
      <c r="B3241" s="93"/>
      <c r="C3241" s="94"/>
      <c r="D3241" s="95"/>
      <c r="E3241" s="95"/>
      <c r="F3241" s="96"/>
      <c r="G3241" s="97"/>
      <c r="H3241" s="114" t="str">
        <f t="shared" si="40"/>
        <v/>
      </c>
      <c r="I3241" s="17"/>
      <c r="J3241" s="17"/>
      <c r="K3241" s="17"/>
    </row>
    <row r="3242" spans="1:11" x14ac:dyDescent="0.2">
      <c r="A3242" s="115"/>
      <c r="B3242" s="93"/>
      <c r="C3242" s="94"/>
      <c r="D3242" s="95"/>
      <c r="E3242" s="95"/>
      <c r="F3242" s="96"/>
      <c r="G3242" s="97"/>
      <c r="H3242" s="114" t="str">
        <f t="shared" si="40"/>
        <v/>
      </c>
      <c r="I3242" s="17"/>
      <c r="J3242" s="17"/>
      <c r="K3242" s="17"/>
    </row>
    <row r="3243" spans="1:11" x14ac:dyDescent="0.2">
      <c r="A3243" s="115"/>
      <c r="B3243" s="93"/>
      <c r="C3243" s="94"/>
      <c r="D3243" s="95"/>
      <c r="E3243" s="95"/>
      <c r="F3243" s="96"/>
      <c r="G3243" s="97"/>
      <c r="H3243" s="114" t="str">
        <f t="shared" si="40"/>
        <v/>
      </c>
      <c r="I3243" s="17"/>
      <c r="J3243" s="17"/>
      <c r="K3243" s="17"/>
    </row>
    <row r="3244" spans="1:11" x14ac:dyDescent="0.2">
      <c r="A3244" s="115"/>
      <c r="B3244" s="93"/>
      <c r="C3244" s="94"/>
      <c r="D3244" s="95"/>
      <c r="E3244" s="95"/>
      <c r="F3244" s="96"/>
      <c r="G3244" s="97"/>
      <c r="H3244" s="114" t="str">
        <f t="shared" si="40"/>
        <v/>
      </c>
      <c r="I3244" s="17"/>
      <c r="J3244" s="17"/>
      <c r="K3244" s="17"/>
    </row>
    <row r="3245" spans="1:11" x14ac:dyDescent="0.2">
      <c r="A3245" s="115"/>
      <c r="B3245" s="93"/>
      <c r="C3245" s="94"/>
      <c r="D3245" s="95"/>
      <c r="E3245" s="95"/>
      <c r="F3245" s="96"/>
      <c r="G3245" s="97"/>
      <c r="H3245" s="114" t="str">
        <f t="shared" si="40"/>
        <v/>
      </c>
      <c r="I3245" s="17"/>
      <c r="J3245" s="17"/>
      <c r="K3245" s="17"/>
    </row>
    <row r="3246" spans="1:11" x14ac:dyDescent="0.2">
      <c r="A3246" s="115"/>
      <c r="B3246" s="93"/>
      <c r="C3246" s="94"/>
      <c r="D3246" s="95"/>
      <c r="E3246" s="95"/>
      <c r="F3246" s="96"/>
      <c r="G3246" s="97"/>
      <c r="H3246" s="114" t="str">
        <f t="shared" si="40"/>
        <v/>
      </c>
      <c r="I3246" s="17"/>
      <c r="J3246" s="17"/>
      <c r="K3246" s="17"/>
    </row>
    <row r="3247" spans="1:11" x14ac:dyDescent="0.2">
      <c r="A3247" s="115"/>
      <c r="B3247" s="93"/>
      <c r="C3247" s="94"/>
      <c r="D3247" s="95"/>
      <c r="E3247" s="95"/>
      <c r="F3247" s="96"/>
      <c r="G3247" s="97"/>
      <c r="H3247" s="114" t="str">
        <f t="shared" si="40"/>
        <v/>
      </c>
      <c r="I3247" s="17"/>
      <c r="J3247" s="17"/>
      <c r="K3247" s="17"/>
    </row>
    <row r="3248" spans="1:11" x14ac:dyDescent="0.2">
      <c r="A3248" s="115"/>
      <c r="B3248" s="93"/>
      <c r="C3248" s="94"/>
      <c r="D3248" s="95"/>
      <c r="E3248" s="95"/>
      <c r="F3248" s="96"/>
      <c r="G3248" s="97"/>
      <c r="H3248" s="114" t="str">
        <f t="shared" si="40"/>
        <v/>
      </c>
      <c r="I3248" s="17"/>
      <c r="J3248" s="17"/>
      <c r="K3248" s="17"/>
    </row>
    <row r="3249" spans="1:11" x14ac:dyDescent="0.2">
      <c r="A3249" s="115"/>
      <c r="B3249" s="93"/>
      <c r="C3249" s="94"/>
      <c r="D3249" s="95"/>
      <c r="E3249" s="95"/>
      <c r="F3249" s="96"/>
      <c r="G3249" s="97"/>
      <c r="H3249" s="114" t="str">
        <f t="shared" si="40"/>
        <v/>
      </c>
      <c r="I3249" s="17"/>
      <c r="J3249" s="17"/>
      <c r="K3249" s="17"/>
    </row>
    <row r="3250" spans="1:11" x14ac:dyDescent="0.2">
      <c r="A3250" s="115"/>
      <c r="B3250" s="93"/>
      <c r="C3250" s="94"/>
      <c r="D3250" s="95"/>
      <c r="E3250" s="95"/>
      <c r="F3250" s="96"/>
      <c r="G3250" s="97"/>
      <c r="H3250" s="114" t="str">
        <f t="shared" si="40"/>
        <v/>
      </c>
      <c r="I3250" s="17"/>
      <c r="J3250" s="17"/>
      <c r="K3250" s="17"/>
    </row>
    <row r="3251" spans="1:11" x14ac:dyDescent="0.2">
      <c r="A3251" s="115"/>
      <c r="B3251" s="93"/>
      <c r="C3251" s="94"/>
      <c r="D3251" s="95"/>
      <c r="E3251" s="95"/>
      <c r="F3251" s="96"/>
      <c r="G3251" s="97"/>
      <c r="H3251" s="114" t="str">
        <f t="shared" si="40"/>
        <v/>
      </c>
      <c r="I3251" s="17"/>
      <c r="J3251" s="17"/>
      <c r="K3251" s="17"/>
    </row>
    <row r="3252" spans="1:11" x14ac:dyDescent="0.2">
      <c r="A3252" s="115"/>
      <c r="B3252" s="93"/>
      <c r="C3252" s="94"/>
      <c r="D3252" s="95"/>
      <c r="E3252" s="95"/>
      <c r="F3252" s="96"/>
      <c r="G3252" s="97"/>
      <c r="H3252" s="114" t="str">
        <f t="shared" si="40"/>
        <v/>
      </c>
      <c r="I3252" s="17"/>
      <c r="J3252" s="17"/>
      <c r="K3252" s="17"/>
    </row>
    <row r="3253" spans="1:11" x14ac:dyDescent="0.2">
      <c r="A3253" s="115"/>
      <c r="B3253" s="93"/>
      <c r="C3253" s="94"/>
      <c r="D3253" s="95"/>
      <c r="E3253" s="95"/>
      <c r="F3253" s="96"/>
      <c r="G3253" s="97"/>
      <c r="H3253" s="114" t="str">
        <f t="shared" si="40"/>
        <v/>
      </c>
      <c r="I3253" s="17"/>
      <c r="J3253" s="17"/>
      <c r="K3253" s="17"/>
    </row>
    <row r="3254" spans="1:11" x14ac:dyDescent="0.2">
      <c r="A3254" s="115"/>
      <c r="B3254" s="93"/>
      <c r="C3254" s="94"/>
      <c r="D3254" s="95"/>
      <c r="E3254" s="95"/>
      <c r="F3254" s="96"/>
      <c r="G3254" s="97"/>
      <c r="H3254" s="114" t="str">
        <f t="shared" si="40"/>
        <v/>
      </c>
      <c r="I3254" s="17"/>
      <c r="J3254" s="17"/>
      <c r="K3254" s="17"/>
    </row>
    <row r="3255" spans="1:11" x14ac:dyDescent="0.2">
      <c r="A3255" s="115"/>
      <c r="B3255" s="93"/>
      <c r="C3255" s="94"/>
      <c r="D3255" s="95"/>
      <c r="E3255" s="95"/>
      <c r="F3255" s="96"/>
      <c r="G3255" s="97"/>
      <c r="H3255" s="114" t="str">
        <f t="shared" si="40"/>
        <v/>
      </c>
      <c r="I3255" s="17"/>
      <c r="J3255" s="17"/>
      <c r="K3255" s="17"/>
    </row>
    <row r="3256" spans="1:11" x14ac:dyDescent="0.2">
      <c r="A3256" s="115"/>
      <c r="B3256" s="93"/>
      <c r="C3256" s="94"/>
      <c r="D3256" s="95"/>
      <c r="E3256" s="95"/>
      <c r="F3256" s="96"/>
      <c r="G3256" s="97"/>
      <c r="H3256" s="114" t="str">
        <f t="shared" si="40"/>
        <v/>
      </c>
      <c r="I3256" s="17"/>
      <c r="J3256" s="17"/>
      <c r="K3256" s="17"/>
    </row>
    <row r="3257" spans="1:11" x14ac:dyDescent="0.2">
      <c r="A3257" s="115"/>
      <c r="B3257" s="93"/>
      <c r="C3257" s="94"/>
      <c r="D3257" s="95"/>
      <c r="E3257" s="95"/>
      <c r="F3257" s="96"/>
      <c r="G3257" s="97"/>
      <c r="H3257" s="114" t="str">
        <f t="shared" si="40"/>
        <v/>
      </c>
      <c r="I3257" s="17"/>
      <c r="J3257" s="17"/>
      <c r="K3257" s="17"/>
    </row>
    <row r="3258" spans="1:11" x14ac:dyDescent="0.2">
      <c r="A3258" s="115"/>
      <c r="B3258" s="93"/>
      <c r="C3258" s="94"/>
      <c r="D3258" s="95"/>
      <c r="E3258" s="95"/>
      <c r="F3258" s="96"/>
      <c r="G3258" s="97"/>
      <c r="H3258" s="114" t="str">
        <f t="shared" si="40"/>
        <v/>
      </c>
      <c r="I3258" s="17"/>
      <c r="J3258" s="17"/>
      <c r="K3258" s="17"/>
    </row>
    <row r="3259" spans="1:11" x14ac:dyDescent="0.2">
      <c r="A3259" s="115"/>
      <c r="B3259" s="93"/>
      <c r="C3259" s="94"/>
      <c r="D3259" s="95"/>
      <c r="E3259" s="95"/>
      <c r="F3259" s="96"/>
      <c r="G3259" s="97"/>
      <c r="H3259" s="114" t="str">
        <f t="shared" si="40"/>
        <v/>
      </c>
      <c r="I3259" s="17"/>
      <c r="J3259" s="17"/>
      <c r="K3259" s="17"/>
    </row>
    <row r="3260" spans="1:11" x14ac:dyDescent="0.2">
      <c r="A3260" s="115"/>
      <c r="B3260" s="93"/>
      <c r="C3260" s="94"/>
      <c r="D3260" s="95"/>
      <c r="E3260" s="95"/>
      <c r="F3260" s="96"/>
      <c r="G3260" s="97"/>
      <c r="H3260" s="114" t="str">
        <f t="shared" si="40"/>
        <v/>
      </c>
      <c r="I3260" s="17"/>
      <c r="J3260" s="17"/>
      <c r="K3260" s="17"/>
    </row>
    <row r="3261" spans="1:11" x14ac:dyDescent="0.2">
      <c r="A3261" s="115"/>
      <c r="B3261" s="93"/>
      <c r="C3261" s="94"/>
      <c r="D3261" s="95"/>
      <c r="E3261" s="95"/>
      <c r="F3261" s="96"/>
      <c r="G3261" s="97"/>
      <c r="H3261" s="114" t="str">
        <f t="shared" si="40"/>
        <v/>
      </c>
      <c r="I3261" s="17"/>
      <c r="J3261" s="17"/>
      <c r="K3261" s="17"/>
    </row>
    <row r="3262" spans="1:11" x14ac:dyDescent="0.2">
      <c r="A3262" s="115"/>
      <c r="B3262" s="93"/>
      <c r="C3262" s="94"/>
      <c r="D3262" s="95"/>
      <c r="E3262" s="95"/>
      <c r="F3262" s="96"/>
      <c r="G3262" s="97"/>
      <c r="H3262" s="114" t="str">
        <f t="shared" si="40"/>
        <v/>
      </c>
      <c r="I3262" s="17"/>
      <c r="J3262" s="17"/>
      <c r="K3262" s="17"/>
    </row>
    <row r="3263" spans="1:11" x14ac:dyDescent="0.2">
      <c r="A3263" s="115"/>
      <c r="B3263" s="93"/>
      <c r="C3263" s="94"/>
      <c r="D3263" s="95"/>
      <c r="E3263" s="95"/>
      <c r="F3263" s="96"/>
      <c r="G3263" s="97"/>
      <c r="H3263" s="114" t="str">
        <f t="shared" si="40"/>
        <v/>
      </c>
      <c r="I3263" s="17"/>
      <c r="J3263" s="17"/>
      <c r="K3263" s="17"/>
    </row>
    <row r="3264" spans="1:11" x14ac:dyDescent="0.2">
      <c r="A3264" s="115"/>
      <c r="B3264" s="93"/>
      <c r="C3264" s="94"/>
      <c r="D3264" s="95"/>
      <c r="E3264" s="95"/>
      <c r="F3264" s="96"/>
      <c r="G3264" s="97"/>
      <c r="H3264" s="114" t="str">
        <f t="shared" si="40"/>
        <v/>
      </c>
      <c r="I3264" s="17"/>
      <c r="J3264" s="17"/>
      <c r="K3264" s="17"/>
    </row>
    <row r="3265" spans="1:11" x14ac:dyDescent="0.2">
      <c r="A3265" s="115"/>
      <c r="B3265" s="93"/>
      <c r="C3265" s="94"/>
      <c r="D3265" s="95"/>
      <c r="E3265" s="95"/>
      <c r="F3265" s="96"/>
      <c r="G3265" s="97"/>
      <c r="H3265" s="114" t="str">
        <f t="shared" si="40"/>
        <v/>
      </c>
      <c r="I3265" s="17"/>
      <c r="J3265" s="17"/>
      <c r="K3265" s="17"/>
    </row>
    <row r="3266" spans="1:11" x14ac:dyDescent="0.2">
      <c r="A3266" s="115"/>
      <c r="B3266" s="93"/>
      <c r="C3266" s="94"/>
      <c r="D3266" s="95"/>
      <c r="E3266" s="95"/>
      <c r="F3266" s="96"/>
      <c r="G3266" s="97"/>
      <c r="H3266" s="114" t="str">
        <f t="shared" si="40"/>
        <v/>
      </c>
      <c r="I3266" s="17"/>
      <c r="J3266" s="17"/>
      <c r="K3266" s="17"/>
    </row>
    <row r="3267" spans="1:11" x14ac:dyDescent="0.2">
      <c r="A3267" s="115"/>
      <c r="B3267" s="93"/>
      <c r="C3267" s="94"/>
      <c r="D3267" s="95"/>
      <c r="E3267" s="95"/>
      <c r="F3267" s="96"/>
      <c r="G3267" s="97"/>
      <c r="H3267" s="114" t="str">
        <f t="shared" si="40"/>
        <v/>
      </c>
      <c r="I3267" s="17"/>
      <c r="J3267" s="17"/>
      <c r="K3267" s="17"/>
    </row>
    <row r="3268" spans="1:11" x14ac:dyDescent="0.2">
      <c r="A3268" s="115"/>
      <c r="B3268" s="93"/>
      <c r="C3268" s="94"/>
      <c r="D3268" s="95"/>
      <c r="E3268" s="95"/>
      <c r="F3268" s="96"/>
      <c r="G3268" s="97"/>
      <c r="H3268" s="114" t="str">
        <f t="shared" ref="H3268:H3331" si="41">IF(A3268&lt;&gt;"", EOMONTH(A3268, -1) + 1, "")</f>
        <v/>
      </c>
      <c r="I3268" s="17"/>
      <c r="J3268" s="17"/>
      <c r="K3268" s="17"/>
    </row>
    <row r="3269" spans="1:11" x14ac:dyDescent="0.2">
      <c r="A3269" s="115"/>
      <c r="B3269" s="93"/>
      <c r="C3269" s="94"/>
      <c r="D3269" s="95"/>
      <c r="E3269" s="95"/>
      <c r="F3269" s="96"/>
      <c r="G3269" s="97"/>
      <c r="H3269" s="114" t="str">
        <f t="shared" si="41"/>
        <v/>
      </c>
      <c r="I3269" s="17"/>
      <c r="J3269" s="17"/>
      <c r="K3269" s="17"/>
    </row>
    <row r="3270" spans="1:11" x14ac:dyDescent="0.2">
      <c r="A3270" s="115"/>
      <c r="B3270" s="93"/>
      <c r="C3270" s="94"/>
      <c r="D3270" s="95"/>
      <c r="E3270" s="95"/>
      <c r="F3270" s="96"/>
      <c r="G3270" s="97"/>
      <c r="H3270" s="114" t="str">
        <f t="shared" si="41"/>
        <v/>
      </c>
      <c r="I3270" s="17"/>
      <c r="J3270" s="17"/>
      <c r="K3270" s="17"/>
    </row>
    <row r="3271" spans="1:11" x14ac:dyDescent="0.2">
      <c r="A3271" s="115"/>
      <c r="B3271" s="93"/>
      <c r="C3271" s="94"/>
      <c r="D3271" s="95"/>
      <c r="E3271" s="95"/>
      <c r="F3271" s="96"/>
      <c r="G3271" s="97"/>
      <c r="H3271" s="114" t="str">
        <f t="shared" si="41"/>
        <v/>
      </c>
      <c r="I3271" s="17"/>
      <c r="J3271" s="17"/>
      <c r="K3271" s="17"/>
    </row>
    <row r="3272" spans="1:11" x14ac:dyDescent="0.2">
      <c r="A3272" s="115"/>
      <c r="B3272" s="93"/>
      <c r="C3272" s="94"/>
      <c r="D3272" s="95"/>
      <c r="E3272" s="95"/>
      <c r="F3272" s="96"/>
      <c r="G3272" s="97"/>
      <c r="H3272" s="114" t="str">
        <f t="shared" si="41"/>
        <v/>
      </c>
      <c r="I3272" s="17"/>
      <c r="J3272" s="17"/>
      <c r="K3272" s="17"/>
    </row>
    <row r="3273" spans="1:11" x14ac:dyDescent="0.2">
      <c r="A3273" s="115"/>
      <c r="B3273" s="93"/>
      <c r="C3273" s="94"/>
      <c r="D3273" s="95"/>
      <c r="E3273" s="95"/>
      <c r="F3273" s="96"/>
      <c r="G3273" s="97"/>
      <c r="H3273" s="114" t="str">
        <f t="shared" si="41"/>
        <v/>
      </c>
      <c r="I3273" s="17"/>
      <c r="J3273" s="17"/>
      <c r="K3273" s="17"/>
    </row>
    <row r="3274" spans="1:11" x14ac:dyDescent="0.2">
      <c r="A3274" s="115"/>
      <c r="B3274" s="93"/>
      <c r="C3274" s="94"/>
      <c r="D3274" s="95"/>
      <c r="E3274" s="95"/>
      <c r="F3274" s="96"/>
      <c r="G3274" s="97"/>
      <c r="H3274" s="114" t="str">
        <f t="shared" si="41"/>
        <v/>
      </c>
      <c r="I3274" s="17"/>
      <c r="J3274" s="17"/>
      <c r="K3274" s="17"/>
    </row>
    <row r="3275" spans="1:11" x14ac:dyDescent="0.2">
      <c r="A3275" s="115"/>
      <c r="B3275" s="93"/>
      <c r="C3275" s="94"/>
      <c r="D3275" s="95"/>
      <c r="E3275" s="95"/>
      <c r="F3275" s="96"/>
      <c r="G3275" s="97"/>
      <c r="H3275" s="114" t="str">
        <f t="shared" si="41"/>
        <v/>
      </c>
      <c r="I3275" s="17"/>
      <c r="J3275" s="17"/>
      <c r="K3275" s="17"/>
    </row>
    <row r="3276" spans="1:11" x14ac:dyDescent="0.2">
      <c r="A3276" s="115"/>
      <c r="B3276" s="93"/>
      <c r="C3276" s="94"/>
      <c r="D3276" s="95"/>
      <c r="E3276" s="95"/>
      <c r="F3276" s="96"/>
      <c r="G3276" s="97"/>
      <c r="H3276" s="114" t="str">
        <f t="shared" si="41"/>
        <v/>
      </c>
      <c r="I3276" s="17"/>
      <c r="J3276" s="17"/>
      <c r="K3276" s="17"/>
    </row>
    <row r="3277" spans="1:11" x14ac:dyDescent="0.2">
      <c r="A3277" s="115"/>
      <c r="B3277" s="93"/>
      <c r="C3277" s="94"/>
      <c r="D3277" s="95"/>
      <c r="E3277" s="95"/>
      <c r="F3277" s="96"/>
      <c r="G3277" s="97"/>
      <c r="H3277" s="114" t="str">
        <f t="shared" si="41"/>
        <v/>
      </c>
      <c r="I3277" s="17"/>
      <c r="J3277" s="17"/>
      <c r="K3277" s="17"/>
    </row>
    <row r="3278" spans="1:11" x14ac:dyDescent="0.2">
      <c r="A3278" s="115"/>
      <c r="B3278" s="93"/>
      <c r="C3278" s="94"/>
      <c r="D3278" s="95"/>
      <c r="E3278" s="95"/>
      <c r="F3278" s="96"/>
      <c r="G3278" s="97"/>
      <c r="H3278" s="114" t="str">
        <f t="shared" si="41"/>
        <v/>
      </c>
      <c r="I3278" s="17"/>
      <c r="J3278" s="17"/>
      <c r="K3278" s="17"/>
    </row>
    <row r="3279" spans="1:11" x14ac:dyDescent="0.2">
      <c r="A3279" s="115"/>
      <c r="B3279" s="93"/>
      <c r="C3279" s="94"/>
      <c r="D3279" s="95"/>
      <c r="E3279" s="95"/>
      <c r="F3279" s="96"/>
      <c r="G3279" s="97"/>
      <c r="H3279" s="114" t="str">
        <f t="shared" si="41"/>
        <v/>
      </c>
      <c r="I3279" s="17"/>
      <c r="J3279" s="17"/>
      <c r="K3279" s="17"/>
    </row>
    <row r="3280" spans="1:11" x14ac:dyDescent="0.2">
      <c r="A3280" s="115"/>
      <c r="B3280" s="93"/>
      <c r="C3280" s="94"/>
      <c r="D3280" s="95"/>
      <c r="E3280" s="95"/>
      <c r="F3280" s="96"/>
      <c r="G3280" s="97"/>
      <c r="H3280" s="114" t="str">
        <f t="shared" si="41"/>
        <v/>
      </c>
      <c r="I3280" s="17"/>
      <c r="J3280" s="17"/>
      <c r="K3280" s="17"/>
    </row>
    <row r="3281" spans="1:11" x14ac:dyDescent="0.2">
      <c r="A3281" s="115"/>
      <c r="B3281" s="93"/>
      <c r="C3281" s="94"/>
      <c r="D3281" s="95"/>
      <c r="E3281" s="95"/>
      <c r="F3281" s="96"/>
      <c r="G3281" s="97"/>
      <c r="H3281" s="114" t="str">
        <f t="shared" si="41"/>
        <v/>
      </c>
      <c r="I3281" s="17"/>
      <c r="J3281" s="17"/>
      <c r="K3281" s="17"/>
    </row>
    <row r="3282" spans="1:11" x14ac:dyDescent="0.2">
      <c r="A3282" s="115"/>
      <c r="B3282" s="93"/>
      <c r="C3282" s="94"/>
      <c r="D3282" s="95"/>
      <c r="E3282" s="95"/>
      <c r="F3282" s="96"/>
      <c r="G3282" s="97"/>
      <c r="H3282" s="114" t="str">
        <f t="shared" si="41"/>
        <v/>
      </c>
      <c r="I3282" s="17"/>
      <c r="J3282" s="17"/>
      <c r="K3282" s="17"/>
    </row>
    <row r="3283" spans="1:11" x14ac:dyDescent="0.2">
      <c r="A3283" s="115"/>
      <c r="B3283" s="93"/>
      <c r="C3283" s="94"/>
      <c r="D3283" s="95"/>
      <c r="E3283" s="95"/>
      <c r="F3283" s="96"/>
      <c r="G3283" s="97"/>
      <c r="H3283" s="114" t="str">
        <f t="shared" si="41"/>
        <v/>
      </c>
      <c r="I3283" s="17"/>
      <c r="J3283" s="17"/>
      <c r="K3283" s="17"/>
    </row>
    <row r="3284" spans="1:11" x14ac:dyDescent="0.2">
      <c r="A3284" s="115"/>
      <c r="B3284" s="93"/>
      <c r="C3284" s="94"/>
      <c r="D3284" s="95"/>
      <c r="E3284" s="95"/>
      <c r="F3284" s="96"/>
      <c r="G3284" s="97"/>
      <c r="H3284" s="114" t="str">
        <f t="shared" si="41"/>
        <v/>
      </c>
      <c r="I3284" s="17"/>
      <c r="J3284" s="17"/>
      <c r="K3284" s="17"/>
    </row>
    <row r="3285" spans="1:11" x14ac:dyDescent="0.2">
      <c r="A3285" s="115"/>
      <c r="B3285" s="93"/>
      <c r="C3285" s="94"/>
      <c r="D3285" s="95"/>
      <c r="E3285" s="95"/>
      <c r="F3285" s="96"/>
      <c r="G3285" s="97"/>
      <c r="H3285" s="114" t="str">
        <f t="shared" si="41"/>
        <v/>
      </c>
      <c r="I3285" s="17"/>
      <c r="J3285" s="17"/>
      <c r="K3285" s="17"/>
    </row>
    <row r="3286" spans="1:11" x14ac:dyDescent="0.2">
      <c r="A3286" s="115"/>
      <c r="B3286" s="93"/>
      <c r="C3286" s="94"/>
      <c r="D3286" s="95"/>
      <c r="E3286" s="95"/>
      <c r="F3286" s="96"/>
      <c r="G3286" s="97"/>
      <c r="H3286" s="114" t="str">
        <f t="shared" si="41"/>
        <v/>
      </c>
      <c r="I3286" s="17"/>
      <c r="J3286" s="17"/>
      <c r="K3286" s="17"/>
    </row>
    <row r="3287" spans="1:11" x14ac:dyDescent="0.2">
      <c r="A3287" s="115"/>
      <c r="B3287" s="93"/>
      <c r="C3287" s="94"/>
      <c r="D3287" s="95"/>
      <c r="E3287" s="95"/>
      <c r="F3287" s="96"/>
      <c r="G3287" s="97"/>
      <c r="H3287" s="114" t="str">
        <f t="shared" si="41"/>
        <v/>
      </c>
      <c r="I3287" s="17"/>
      <c r="J3287" s="17"/>
      <c r="K3287" s="17"/>
    </row>
    <row r="3288" spans="1:11" x14ac:dyDescent="0.2">
      <c r="A3288" s="115"/>
      <c r="B3288" s="93"/>
      <c r="C3288" s="94"/>
      <c r="D3288" s="95"/>
      <c r="E3288" s="95"/>
      <c r="F3288" s="96"/>
      <c r="G3288" s="97"/>
      <c r="H3288" s="114" t="str">
        <f t="shared" si="41"/>
        <v/>
      </c>
      <c r="I3288" s="17"/>
      <c r="J3288" s="17"/>
      <c r="K3288" s="17"/>
    </row>
    <row r="3289" spans="1:11" x14ac:dyDescent="0.2">
      <c r="A3289" s="115"/>
      <c r="B3289" s="93"/>
      <c r="C3289" s="94"/>
      <c r="D3289" s="95"/>
      <c r="E3289" s="95"/>
      <c r="F3289" s="96"/>
      <c r="G3289" s="97"/>
      <c r="H3289" s="114" t="str">
        <f t="shared" si="41"/>
        <v/>
      </c>
      <c r="I3289" s="17"/>
      <c r="J3289" s="17"/>
      <c r="K3289" s="17"/>
    </row>
    <row r="3290" spans="1:11" x14ac:dyDescent="0.2">
      <c r="A3290" s="115"/>
      <c r="B3290" s="93"/>
      <c r="C3290" s="94"/>
      <c r="D3290" s="95"/>
      <c r="E3290" s="95"/>
      <c r="F3290" s="96"/>
      <c r="G3290" s="97"/>
      <c r="H3290" s="114" t="str">
        <f t="shared" si="41"/>
        <v/>
      </c>
      <c r="I3290" s="17"/>
      <c r="J3290" s="17"/>
      <c r="K3290" s="17"/>
    </row>
    <row r="3291" spans="1:11" x14ac:dyDescent="0.2">
      <c r="A3291" s="115"/>
      <c r="B3291" s="93"/>
      <c r="C3291" s="94"/>
      <c r="D3291" s="95"/>
      <c r="E3291" s="95"/>
      <c r="F3291" s="96"/>
      <c r="G3291" s="97"/>
      <c r="H3291" s="114" t="str">
        <f t="shared" si="41"/>
        <v/>
      </c>
      <c r="I3291" s="17"/>
      <c r="J3291" s="17"/>
      <c r="K3291" s="17"/>
    </row>
    <row r="3292" spans="1:11" x14ac:dyDescent="0.2">
      <c r="A3292" s="115"/>
      <c r="B3292" s="93"/>
      <c r="C3292" s="94"/>
      <c r="D3292" s="95"/>
      <c r="E3292" s="95"/>
      <c r="F3292" s="96"/>
      <c r="G3292" s="97"/>
      <c r="H3292" s="114" t="str">
        <f t="shared" si="41"/>
        <v/>
      </c>
      <c r="I3292" s="17"/>
      <c r="J3292" s="17"/>
      <c r="K3292" s="17"/>
    </row>
    <row r="3293" spans="1:11" x14ac:dyDescent="0.2">
      <c r="A3293" s="115"/>
      <c r="B3293" s="93"/>
      <c r="C3293" s="94"/>
      <c r="D3293" s="95"/>
      <c r="E3293" s="95"/>
      <c r="F3293" s="96"/>
      <c r="G3293" s="97"/>
      <c r="H3293" s="114" t="str">
        <f t="shared" si="41"/>
        <v/>
      </c>
      <c r="I3293" s="17"/>
      <c r="J3293" s="17"/>
      <c r="K3293" s="17"/>
    </row>
    <row r="3294" spans="1:11" x14ac:dyDescent="0.2">
      <c r="A3294" s="115"/>
      <c r="B3294" s="93"/>
      <c r="C3294" s="94"/>
      <c r="D3294" s="95"/>
      <c r="E3294" s="95"/>
      <c r="F3294" s="96"/>
      <c r="G3294" s="97"/>
      <c r="H3294" s="114" t="str">
        <f t="shared" si="41"/>
        <v/>
      </c>
      <c r="I3294" s="17"/>
      <c r="J3294" s="17"/>
      <c r="K3294" s="17"/>
    </row>
    <row r="3295" spans="1:11" x14ac:dyDescent="0.2">
      <c r="A3295" s="115"/>
      <c r="B3295" s="93"/>
      <c r="C3295" s="94"/>
      <c r="D3295" s="95"/>
      <c r="E3295" s="95"/>
      <c r="F3295" s="96"/>
      <c r="G3295" s="97"/>
      <c r="H3295" s="114" t="str">
        <f t="shared" si="41"/>
        <v/>
      </c>
      <c r="I3295" s="17"/>
      <c r="J3295" s="17"/>
      <c r="K3295" s="17"/>
    </row>
    <row r="3296" spans="1:11" x14ac:dyDescent="0.2">
      <c r="A3296" s="115"/>
      <c r="B3296" s="93"/>
      <c r="C3296" s="94"/>
      <c r="D3296" s="95"/>
      <c r="E3296" s="95"/>
      <c r="F3296" s="96"/>
      <c r="G3296" s="97"/>
      <c r="H3296" s="114" t="str">
        <f t="shared" si="41"/>
        <v/>
      </c>
      <c r="I3296" s="17"/>
      <c r="J3296" s="17"/>
      <c r="K3296" s="17"/>
    </row>
    <row r="3297" spans="1:11" x14ac:dyDescent="0.2">
      <c r="A3297" s="115"/>
      <c r="B3297" s="93"/>
      <c r="C3297" s="94"/>
      <c r="D3297" s="95"/>
      <c r="E3297" s="95"/>
      <c r="F3297" s="96"/>
      <c r="G3297" s="97"/>
      <c r="H3297" s="114" t="str">
        <f t="shared" si="41"/>
        <v/>
      </c>
      <c r="I3297" s="17"/>
      <c r="J3297" s="17"/>
      <c r="K3297" s="17"/>
    </row>
    <row r="3298" spans="1:11" x14ac:dyDescent="0.2">
      <c r="A3298" s="115"/>
      <c r="B3298" s="93"/>
      <c r="C3298" s="94"/>
      <c r="D3298" s="95"/>
      <c r="E3298" s="95"/>
      <c r="F3298" s="96"/>
      <c r="G3298" s="97"/>
      <c r="H3298" s="114" t="str">
        <f t="shared" si="41"/>
        <v/>
      </c>
      <c r="I3298" s="17"/>
      <c r="J3298" s="17"/>
      <c r="K3298" s="17"/>
    </row>
    <row r="3299" spans="1:11" x14ac:dyDescent="0.2">
      <c r="A3299" s="115"/>
      <c r="B3299" s="93"/>
      <c r="C3299" s="94"/>
      <c r="D3299" s="95"/>
      <c r="E3299" s="95"/>
      <c r="F3299" s="96"/>
      <c r="G3299" s="97"/>
      <c r="H3299" s="114" t="str">
        <f t="shared" si="41"/>
        <v/>
      </c>
      <c r="I3299" s="17"/>
      <c r="J3299" s="17"/>
      <c r="K3299" s="17"/>
    </row>
    <row r="3300" spans="1:11" x14ac:dyDescent="0.2">
      <c r="A3300" s="115"/>
      <c r="B3300" s="93"/>
      <c r="C3300" s="94"/>
      <c r="D3300" s="95"/>
      <c r="E3300" s="95"/>
      <c r="F3300" s="96"/>
      <c r="G3300" s="97"/>
      <c r="H3300" s="114" t="str">
        <f t="shared" si="41"/>
        <v/>
      </c>
      <c r="I3300" s="17"/>
      <c r="J3300" s="17"/>
      <c r="K3300" s="17"/>
    </row>
    <row r="3301" spans="1:11" x14ac:dyDescent="0.2">
      <c r="A3301" s="115"/>
      <c r="B3301" s="93"/>
      <c r="C3301" s="94"/>
      <c r="D3301" s="95"/>
      <c r="E3301" s="95"/>
      <c r="F3301" s="96"/>
      <c r="G3301" s="97"/>
      <c r="H3301" s="114" t="str">
        <f t="shared" si="41"/>
        <v/>
      </c>
      <c r="I3301" s="17"/>
      <c r="J3301" s="17"/>
      <c r="K3301" s="17"/>
    </row>
    <row r="3302" spans="1:11" x14ac:dyDescent="0.2">
      <c r="A3302" s="115"/>
      <c r="B3302" s="93"/>
      <c r="C3302" s="94"/>
      <c r="D3302" s="95"/>
      <c r="E3302" s="95"/>
      <c r="F3302" s="96"/>
      <c r="G3302" s="97"/>
      <c r="H3302" s="114" t="str">
        <f t="shared" si="41"/>
        <v/>
      </c>
      <c r="I3302" s="17"/>
      <c r="J3302" s="17"/>
      <c r="K3302" s="17"/>
    </row>
    <row r="3303" spans="1:11" x14ac:dyDescent="0.2">
      <c r="A3303" s="115"/>
      <c r="B3303" s="93"/>
      <c r="C3303" s="94"/>
      <c r="D3303" s="95"/>
      <c r="E3303" s="95"/>
      <c r="F3303" s="96"/>
      <c r="G3303" s="97"/>
      <c r="H3303" s="114" t="str">
        <f t="shared" si="41"/>
        <v/>
      </c>
      <c r="I3303" s="17"/>
      <c r="J3303" s="17"/>
      <c r="K3303" s="17"/>
    </row>
    <row r="3304" spans="1:11" x14ac:dyDescent="0.2">
      <c r="A3304" s="115"/>
      <c r="B3304" s="93"/>
      <c r="C3304" s="94"/>
      <c r="D3304" s="95"/>
      <c r="E3304" s="95"/>
      <c r="F3304" s="96"/>
      <c r="G3304" s="97"/>
      <c r="H3304" s="114" t="str">
        <f t="shared" si="41"/>
        <v/>
      </c>
      <c r="I3304" s="17"/>
      <c r="J3304" s="17"/>
      <c r="K3304" s="17"/>
    </row>
    <row r="3305" spans="1:11" x14ac:dyDescent="0.2">
      <c r="A3305" s="115"/>
      <c r="B3305" s="93"/>
      <c r="C3305" s="94"/>
      <c r="D3305" s="95"/>
      <c r="E3305" s="95"/>
      <c r="F3305" s="96"/>
      <c r="G3305" s="97"/>
      <c r="H3305" s="114" t="str">
        <f t="shared" si="41"/>
        <v/>
      </c>
      <c r="I3305" s="17"/>
      <c r="J3305" s="17"/>
      <c r="K3305" s="17"/>
    </row>
    <row r="3306" spans="1:11" x14ac:dyDescent="0.2">
      <c r="A3306" s="115"/>
      <c r="B3306" s="93"/>
      <c r="C3306" s="94"/>
      <c r="D3306" s="95"/>
      <c r="E3306" s="95"/>
      <c r="F3306" s="96"/>
      <c r="G3306" s="97"/>
      <c r="H3306" s="114" t="str">
        <f t="shared" si="41"/>
        <v/>
      </c>
      <c r="I3306" s="17"/>
      <c r="J3306" s="17"/>
      <c r="K3306" s="17"/>
    </row>
    <row r="3307" spans="1:11" x14ac:dyDescent="0.2">
      <c r="A3307" s="115"/>
      <c r="B3307" s="93"/>
      <c r="C3307" s="94"/>
      <c r="D3307" s="95"/>
      <c r="E3307" s="95"/>
      <c r="F3307" s="96"/>
      <c r="G3307" s="97"/>
      <c r="H3307" s="114" t="str">
        <f t="shared" si="41"/>
        <v/>
      </c>
      <c r="I3307" s="17"/>
      <c r="J3307" s="17"/>
      <c r="K3307" s="17"/>
    </row>
    <row r="3308" spans="1:11" x14ac:dyDescent="0.2">
      <c r="A3308" s="115"/>
      <c r="B3308" s="93"/>
      <c r="C3308" s="94"/>
      <c r="D3308" s="95"/>
      <c r="E3308" s="95"/>
      <c r="F3308" s="96"/>
      <c r="G3308" s="97"/>
      <c r="H3308" s="114" t="str">
        <f t="shared" si="41"/>
        <v/>
      </c>
      <c r="I3308" s="17"/>
      <c r="J3308" s="17"/>
      <c r="K3308" s="17"/>
    </row>
    <row r="3309" spans="1:11" x14ac:dyDescent="0.2">
      <c r="A3309" s="115"/>
      <c r="B3309" s="93"/>
      <c r="C3309" s="94"/>
      <c r="D3309" s="95"/>
      <c r="E3309" s="95"/>
      <c r="F3309" s="96"/>
      <c r="G3309" s="97"/>
      <c r="H3309" s="114" t="str">
        <f t="shared" si="41"/>
        <v/>
      </c>
      <c r="I3309" s="17"/>
      <c r="J3309" s="17"/>
      <c r="K3309" s="17"/>
    </row>
    <row r="3310" spans="1:11" x14ac:dyDescent="0.2">
      <c r="A3310" s="115"/>
      <c r="B3310" s="93"/>
      <c r="C3310" s="94"/>
      <c r="D3310" s="95"/>
      <c r="E3310" s="95"/>
      <c r="F3310" s="96"/>
      <c r="G3310" s="97"/>
      <c r="H3310" s="114" t="str">
        <f t="shared" si="41"/>
        <v/>
      </c>
      <c r="I3310" s="17"/>
      <c r="J3310" s="17"/>
      <c r="K3310" s="17"/>
    </row>
    <row r="3311" spans="1:11" x14ac:dyDescent="0.2">
      <c r="A3311" s="115"/>
      <c r="B3311" s="93"/>
      <c r="C3311" s="94"/>
      <c r="D3311" s="95"/>
      <c r="E3311" s="95"/>
      <c r="F3311" s="96"/>
      <c r="G3311" s="97"/>
      <c r="H3311" s="114" t="str">
        <f t="shared" si="41"/>
        <v/>
      </c>
      <c r="I3311" s="17"/>
      <c r="J3311" s="17"/>
      <c r="K3311" s="17"/>
    </row>
    <row r="3312" spans="1:11" x14ac:dyDescent="0.2">
      <c r="A3312" s="115"/>
      <c r="B3312" s="93"/>
      <c r="C3312" s="94"/>
      <c r="D3312" s="95"/>
      <c r="E3312" s="95"/>
      <c r="F3312" s="96"/>
      <c r="G3312" s="97"/>
      <c r="H3312" s="114" t="str">
        <f t="shared" si="41"/>
        <v/>
      </c>
      <c r="I3312" s="17"/>
      <c r="J3312" s="17"/>
      <c r="K3312" s="17"/>
    </row>
    <row r="3313" spans="1:11" x14ac:dyDescent="0.2">
      <c r="A3313" s="115"/>
      <c r="B3313" s="93"/>
      <c r="C3313" s="94"/>
      <c r="D3313" s="95"/>
      <c r="E3313" s="95"/>
      <c r="F3313" s="96"/>
      <c r="G3313" s="97"/>
      <c r="H3313" s="114" t="str">
        <f t="shared" si="41"/>
        <v/>
      </c>
      <c r="I3313" s="17"/>
      <c r="J3313" s="17"/>
      <c r="K3313" s="17"/>
    </row>
    <row r="3314" spans="1:11" x14ac:dyDescent="0.2">
      <c r="A3314" s="115"/>
      <c r="B3314" s="93"/>
      <c r="C3314" s="94"/>
      <c r="D3314" s="95"/>
      <c r="E3314" s="95"/>
      <c r="F3314" s="96"/>
      <c r="G3314" s="97"/>
      <c r="H3314" s="114" t="str">
        <f t="shared" si="41"/>
        <v/>
      </c>
      <c r="I3314" s="17"/>
      <c r="J3314" s="17"/>
      <c r="K3314" s="17"/>
    </row>
    <row r="3315" spans="1:11" x14ac:dyDescent="0.2">
      <c r="A3315" s="115"/>
      <c r="B3315" s="93"/>
      <c r="C3315" s="94"/>
      <c r="D3315" s="95"/>
      <c r="E3315" s="95"/>
      <c r="F3315" s="96"/>
      <c r="G3315" s="97"/>
      <c r="H3315" s="114" t="str">
        <f t="shared" si="41"/>
        <v/>
      </c>
      <c r="I3315" s="17"/>
      <c r="J3315" s="17"/>
      <c r="K3315" s="17"/>
    </row>
    <row r="3316" spans="1:11" x14ac:dyDescent="0.2">
      <c r="A3316" s="115"/>
      <c r="B3316" s="93"/>
      <c r="C3316" s="94"/>
      <c r="D3316" s="95"/>
      <c r="E3316" s="95"/>
      <c r="F3316" s="96"/>
      <c r="G3316" s="97"/>
      <c r="H3316" s="114" t="str">
        <f t="shared" si="41"/>
        <v/>
      </c>
      <c r="I3316" s="17"/>
      <c r="J3316" s="17"/>
      <c r="K3316" s="17"/>
    </row>
    <row r="3317" spans="1:11" x14ac:dyDescent="0.2">
      <c r="A3317" s="115"/>
      <c r="B3317" s="93"/>
      <c r="C3317" s="94"/>
      <c r="D3317" s="95"/>
      <c r="E3317" s="95"/>
      <c r="F3317" s="96"/>
      <c r="G3317" s="97"/>
      <c r="H3317" s="114" t="str">
        <f t="shared" si="41"/>
        <v/>
      </c>
      <c r="I3317" s="17"/>
      <c r="J3317" s="17"/>
      <c r="K3317" s="17"/>
    </row>
    <row r="3318" spans="1:11" x14ac:dyDescent="0.2">
      <c r="A3318" s="115"/>
      <c r="B3318" s="93"/>
      <c r="C3318" s="94"/>
      <c r="D3318" s="95"/>
      <c r="E3318" s="95"/>
      <c r="F3318" s="96"/>
      <c r="G3318" s="97"/>
      <c r="H3318" s="114" t="str">
        <f t="shared" si="41"/>
        <v/>
      </c>
      <c r="I3318" s="17"/>
      <c r="J3318" s="17"/>
      <c r="K3318" s="17"/>
    </row>
    <row r="3319" spans="1:11" x14ac:dyDescent="0.2">
      <c r="A3319" s="115"/>
      <c r="B3319" s="93"/>
      <c r="C3319" s="94"/>
      <c r="D3319" s="95"/>
      <c r="E3319" s="95"/>
      <c r="F3319" s="96"/>
      <c r="G3319" s="97"/>
      <c r="H3319" s="114" t="str">
        <f t="shared" si="41"/>
        <v/>
      </c>
      <c r="I3319" s="17"/>
      <c r="J3319" s="17"/>
      <c r="K3319" s="17"/>
    </row>
    <row r="3320" spans="1:11" x14ac:dyDescent="0.2">
      <c r="A3320" s="115"/>
      <c r="B3320" s="93"/>
      <c r="C3320" s="94"/>
      <c r="D3320" s="95"/>
      <c r="E3320" s="95"/>
      <c r="F3320" s="96"/>
      <c r="G3320" s="97"/>
      <c r="H3320" s="114" t="str">
        <f t="shared" si="41"/>
        <v/>
      </c>
      <c r="I3320" s="17"/>
      <c r="J3320" s="17"/>
      <c r="K3320" s="17"/>
    </row>
    <row r="3321" spans="1:11" x14ac:dyDescent="0.2">
      <c r="A3321" s="115"/>
      <c r="B3321" s="93"/>
      <c r="C3321" s="94"/>
      <c r="D3321" s="95"/>
      <c r="E3321" s="95"/>
      <c r="F3321" s="96"/>
      <c r="G3321" s="97"/>
      <c r="H3321" s="114" t="str">
        <f t="shared" si="41"/>
        <v/>
      </c>
      <c r="I3321" s="17"/>
      <c r="J3321" s="17"/>
      <c r="K3321" s="17"/>
    </row>
    <row r="3322" spans="1:11" x14ac:dyDescent="0.2">
      <c r="A3322" s="115"/>
      <c r="B3322" s="93"/>
      <c r="C3322" s="94"/>
      <c r="D3322" s="95"/>
      <c r="E3322" s="95"/>
      <c r="F3322" s="96"/>
      <c r="G3322" s="97"/>
      <c r="H3322" s="114" t="str">
        <f t="shared" si="41"/>
        <v/>
      </c>
      <c r="I3322" s="17"/>
      <c r="J3322" s="17"/>
      <c r="K3322" s="17"/>
    </row>
    <row r="3323" spans="1:11" x14ac:dyDescent="0.2">
      <c r="A3323" s="115"/>
      <c r="B3323" s="93"/>
      <c r="C3323" s="94"/>
      <c r="D3323" s="95"/>
      <c r="E3323" s="95"/>
      <c r="F3323" s="96"/>
      <c r="G3323" s="97"/>
      <c r="H3323" s="114" t="str">
        <f t="shared" si="41"/>
        <v/>
      </c>
      <c r="I3323" s="17"/>
      <c r="J3323" s="17"/>
      <c r="K3323" s="17"/>
    </row>
    <row r="3324" spans="1:11" x14ac:dyDescent="0.2">
      <c r="A3324" s="115"/>
      <c r="B3324" s="93"/>
      <c r="C3324" s="94"/>
      <c r="D3324" s="95"/>
      <c r="E3324" s="95"/>
      <c r="F3324" s="96"/>
      <c r="G3324" s="97"/>
      <c r="H3324" s="114" t="str">
        <f t="shared" si="41"/>
        <v/>
      </c>
      <c r="I3324" s="17"/>
      <c r="J3324" s="17"/>
      <c r="K3324" s="17"/>
    </row>
    <row r="3325" spans="1:11" x14ac:dyDescent="0.2">
      <c r="A3325" s="115"/>
      <c r="B3325" s="93"/>
      <c r="C3325" s="94"/>
      <c r="D3325" s="95"/>
      <c r="E3325" s="95"/>
      <c r="F3325" s="96"/>
      <c r="G3325" s="97"/>
      <c r="H3325" s="114" t="str">
        <f t="shared" si="41"/>
        <v/>
      </c>
      <c r="I3325" s="17"/>
      <c r="J3325" s="17"/>
      <c r="K3325" s="17"/>
    </row>
    <row r="3326" spans="1:11" x14ac:dyDescent="0.2">
      <c r="A3326" s="115"/>
      <c r="B3326" s="93"/>
      <c r="C3326" s="94"/>
      <c r="D3326" s="95"/>
      <c r="E3326" s="95"/>
      <c r="F3326" s="96"/>
      <c r="G3326" s="97"/>
      <c r="H3326" s="114" t="str">
        <f t="shared" si="41"/>
        <v/>
      </c>
      <c r="I3326" s="17"/>
      <c r="J3326" s="17"/>
      <c r="K3326" s="17"/>
    </row>
    <row r="3327" spans="1:11" x14ac:dyDescent="0.2">
      <c r="A3327" s="115"/>
      <c r="B3327" s="93"/>
      <c r="C3327" s="94"/>
      <c r="D3327" s="95"/>
      <c r="E3327" s="95"/>
      <c r="F3327" s="96"/>
      <c r="G3327" s="97"/>
      <c r="H3327" s="114" t="str">
        <f t="shared" si="41"/>
        <v/>
      </c>
      <c r="I3327" s="17"/>
      <c r="J3327" s="17"/>
      <c r="K3327" s="17"/>
    </row>
    <row r="3328" spans="1:11" x14ac:dyDescent="0.2">
      <c r="A3328" s="115"/>
      <c r="B3328" s="93"/>
      <c r="C3328" s="94"/>
      <c r="D3328" s="95"/>
      <c r="E3328" s="95"/>
      <c r="F3328" s="96"/>
      <c r="G3328" s="97"/>
      <c r="H3328" s="114" t="str">
        <f t="shared" si="41"/>
        <v/>
      </c>
      <c r="I3328" s="17"/>
      <c r="J3328" s="17"/>
      <c r="K3328" s="17"/>
    </row>
    <row r="3329" spans="1:11" x14ac:dyDescent="0.2">
      <c r="A3329" s="115"/>
      <c r="B3329" s="93"/>
      <c r="C3329" s="94"/>
      <c r="D3329" s="95"/>
      <c r="E3329" s="95"/>
      <c r="F3329" s="96"/>
      <c r="G3329" s="97"/>
      <c r="H3329" s="114" t="str">
        <f t="shared" si="41"/>
        <v/>
      </c>
      <c r="I3329" s="17"/>
      <c r="J3329" s="17"/>
      <c r="K3329" s="17"/>
    </row>
    <row r="3330" spans="1:11" x14ac:dyDescent="0.2">
      <c r="A3330" s="115"/>
      <c r="B3330" s="93"/>
      <c r="C3330" s="94"/>
      <c r="D3330" s="95"/>
      <c r="E3330" s="95"/>
      <c r="F3330" s="96"/>
      <c r="G3330" s="97"/>
      <c r="H3330" s="114" t="str">
        <f t="shared" si="41"/>
        <v/>
      </c>
      <c r="I3330" s="17"/>
      <c r="J3330" s="17"/>
      <c r="K3330" s="17"/>
    </row>
    <row r="3331" spans="1:11" x14ac:dyDescent="0.2">
      <c r="A3331" s="115"/>
      <c r="B3331" s="93"/>
      <c r="C3331" s="94"/>
      <c r="D3331" s="95"/>
      <c r="E3331" s="95"/>
      <c r="F3331" s="96"/>
      <c r="G3331" s="97"/>
      <c r="H3331" s="114" t="str">
        <f t="shared" si="41"/>
        <v/>
      </c>
      <c r="I3331" s="17"/>
      <c r="J3331" s="17"/>
      <c r="K3331" s="17"/>
    </row>
    <row r="3332" spans="1:11" x14ac:dyDescent="0.2">
      <c r="A3332" s="115"/>
      <c r="B3332" s="93"/>
      <c r="C3332" s="94"/>
      <c r="D3332" s="95"/>
      <c r="E3332" s="95"/>
      <c r="F3332" s="96"/>
      <c r="G3332" s="97"/>
      <c r="H3332" s="114" t="str">
        <f t="shared" ref="H3332:H3395" si="42">IF(A3332&lt;&gt;"", EOMONTH(A3332, -1) + 1, "")</f>
        <v/>
      </c>
      <c r="I3332" s="17"/>
      <c r="J3332" s="17"/>
      <c r="K3332" s="17"/>
    </row>
    <row r="3333" spans="1:11" x14ac:dyDescent="0.2">
      <c r="A3333" s="115"/>
      <c r="B3333" s="93"/>
      <c r="C3333" s="94"/>
      <c r="D3333" s="95"/>
      <c r="E3333" s="95"/>
      <c r="F3333" s="96"/>
      <c r="G3333" s="97"/>
      <c r="H3333" s="114" t="str">
        <f t="shared" si="42"/>
        <v/>
      </c>
      <c r="I3333" s="17"/>
      <c r="J3333" s="17"/>
      <c r="K3333" s="17"/>
    </row>
    <row r="3334" spans="1:11" x14ac:dyDescent="0.2">
      <c r="A3334" s="115"/>
      <c r="B3334" s="93"/>
      <c r="C3334" s="94"/>
      <c r="D3334" s="95"/>
      <c r="E3334" s="95"/>
      <c r="F3334" s="96"/>
      <c r="G3334" s="97"/>
      <c r="H3334" s="114" t="str">
        <f t="shared" si="42"/>
        <v/>
      </c>
      <c r="I3334" s="17"/>
      <c r="J3334" s="17"/>
      <c r="K3334" s="17"/>
    </row>
    <row r="3335" spans="1:11" x14ac:dyDescent="0.2">
      <c r="A3335" s="115"/>
      <c r="B3335" s="93"/>
      <c r="C3335" s="94"/>
      <c r="D3335" s="95"/>
      <c r="E3335" s="95"/>
      <c r="F3335" s="96"/>
      <c r="G3335" s="97"/>
      <c r="H3335" s="114" t="str">
        <f t="shared" si="42"/>
        <v/>
      </c>
      <c r="I3335" s="17"/>
      <c r="J3335" s="17"/>
      <c r="K3335" s="17"/>
    </row>
    <row r="3336" spans="1:11" x14ac:dyDescent="0.2">
      <c r="A3336" s="115"/>
      <c r="B3336" s="93"/>
      <c r="C3336" s="94"/>
      <c r="D3336" s="95"/>
      <c r="E3336" s="95"/>
      <c r="F3336" s="96"/>
      <c r="G3336" s="97"/>
      <c r="H3336" s="114" t="str">
        <f t="shared" si="42"/>
        <v/>
      </c>
      <c r="I3336" s="17"/>
      <c r="J3336" s="17"/>
      <c r="K3336" s="17"/>
    </row>
    <row r="3337" spans="1:11" x14ac:dyDescent="0.2">
      <c r="A3337" s="115"/>
      <c r="B3337" s="93"/>
      <c r="C3337" s="94"/>
      <c r="D3337" s="95"/>
      <c r="E3337" s="95"/>
      <c r="F3337" s="96"/>
      <c r="G3337" s="97"/>
      <c r="H3337" s="114" t="str">
        <f t="shared" si="42"/>
        <v/>
      </c>
      <c r="I3337" s="17"/>
      <c r="J3337" s="17"/>
      <c r="K3337" s="17"/>
    </row>
    <row r="3338" spans="1:11" x14ac:dyDescent="0.2">
      <c r="A3338" s="115"/>
      <c r="B3338" s="93"/>
      <c r="C3338" s="94"/>
      <c r="D3338" s="95"/>
      <c r="E3338" s="95"/>
      <c r="F3338" s="96"/>
      <c r="G3338" s="97"/>
      <c r="H3338" s="114" t="str">
        <f t="shared" si="42"/>
        <v/>
      </c>
      <c r="I3338" s="17"/>
      <c r="J3338" s="17"/>
      <c r="K3338" s="17"/>
    </row>
    <row r="3339" spans="1:11" x14ac:dyDescent="0.2">
      <c r="A3339" s="115"/>
      <c r="B3339" s="93"/>
      <c r="C3339" s="94"/>
      <c r="D3339" s="95"/>
      <c r="E3339" s="95"/>
      <c r="F3339" s="96"/>
      <c r="G3339" s="97"/>
      <c r="H3339" s="114" t="str">
        <f t="shared" si="42"/>
        <v/>
      </c>
      <c r="I3339" s="17"/>
      <c r="J3339" s="17"/>
      <c r="K3339" s="17"/>
    </row>
    <row r="3340" spans="1:11" x14ac:dyDescent="0.2">
      <c r="A3340" s="115"/>
      <c r="B3340" s="93"/>
      <c r="C3340" s="94"/>
      <c r="D3340" s="95"/>
      <c r="E3340" s="95"/>
      <c r="F3340" s="96"/>
      <c r="G3340" s="97"/>
      <c r="H3340" s="114" t="str">
        <f t="shared" si="42"/>
        <v/>
      </c>
      <c r="I3340" s="17"/>
      <c r="J3340" s="17"/>
      <c r="K3340" s="17"/>
    </row>
    <row r="3341" spans="1:11" x14ac:dyDescent="0.2">
      <c r="A3341" s="115"/>
      <c r="B3341" s="93"/>
      <c r="C3341" s="94"/>
      <c r="D3341" s="95"/>
      <c r="E3341" s="95"/>
      <c r="F3341" s="96"/>
      <c r="G3341" s="97"/>
      <c r="H3341" s="114" t="str">
        <f t="shared" si="42"/>
        <v/>
      </c>
      <c r="I3341" s="17"/>
      <c r="J3341" s="17"/>
      <c r="K3341" s="17"/>
    </row>
    <row r="3342" spans="1:11" x14ac:dyDescent="0.2">
      <c r="A3342" s="115"/>
      <c r="B3342" s="93"/>
      <c r="C3342" s="94"/>
      <c r="D3342" s="95"/>
      <c r="E3342" s="95"/>
      <c r="F3342" s="96"/>
      <c r="G3342" s="97"/>
      <c r="H3342" s="114" t="str">
        <f t="shared" si="42"/>
        <v/>
      </c>
      <c r="I3342" s="17"/>
      <c r="J3342" s="17"/>
      <c r="K3342" s="17"/>
    </row>
    <row r="3343" spans="1:11" x14ac:dyDescent="0.2">
      <c r="A3343" s="115"/>
      <c r="B3343" s="93"/>
      <c r="C3343" s="94"/>
      <c r="D3343" s="95"/>
      <c r="E3343" s="95"/>
      <c r="F3343" s="96"/>
      <c r="G3343" s="97"/>
      <c r="H3343" s="114" t="str">
        <f t="shared" si="42"/>
        <v/>
      </c>
      <c r="I3343" s="17"/>
      <c r="J3343" s="17"/>
      <c r="K3343" s="17"/>
    </row>
    <row r="3344" spans="1:11" x14ac:dyDescent="0.2">
      <c r="A3344" s="115"/>
      <c r="B3344" s="93"/>
      <c r="C3344" s="94"/>
      <c r="D3344" s="95"/>
      <c r="E3344" s="95"/>
      <c r="F3344" s="96"/>
      <c r="G3344" s="97"/>
      <c r="H3344" s="114" t="str">
        <f t="shared" si="42"/>
        <v/>
      </c>
      <c r="I3344" s="17"/>
      <c r="J3344" s="17"/>
      <c r="K3344" s="17"/>
    </row>
    <row r="3345" spans="1:11" x14ac:dyDescent="0.2">
      <c r="A3345" s="115"/>
      <c r="B3345" s="93"/>
      <c r="C3345" s="94"/>
      <c r="D3345" s="95"/>
      <c r="E3345" s="95"/>
      <c r="F3345" s="96"/>
      <c r="G3345" s="97"/>
      <c r="H3345" s="114" t="str">
        <f t="shared" si="42"/>
        <v/>
      </c>
      <c r="I3345" s="17"/>
      <c r="J3345" s="17"/>
      <c r="K3345" s="17"/>
    </row>
    <row r="3346" spans="1:11" x14ac:dyDescent="0.2">
      <c r="A3346" s="115"/>
      <c r="B3346" s="93"/>
      <c r="C3346" s="94"/>
      <c r="D3346" s="95"/>
      <c r="E3346" s="95"/>
      <c r="F3346" s="96"/>
      <c r="G3346" s="97"/>
      <c r="H3346" s="114" t="str">
        <f t="shared" si="42"/>
        <v/>
      </c>
      <c r="I3346" s="17"/>
      <c r="J3346" s="17"/>
      <c r="K3346" s="17"/>
    </row>
    <row r="3347" spans="1:11" x14ac:dyDescent="0.2">
      <c r="A3347" s="115"/>
      <c r="B3347" s="93"/>
      <c r="C3347" s="94"/>
      <c r="D3347" s="95"/>
      <c r="E3347" s="95"/>
      <c r="F3347" s="96"/>
      <c r="G3347" s="97"/>
      <c r="H3347" s="114" t="str">
        <f t="shared" si="42"/>
        <v/>
      </c>
      <c r="I3347" s="17"/>
      <c r="J3347" s="17"/>
      <c r="K3347" s="17"/>
    </row>
    <row r="3348" spans="1:11" x14ac:dyDescent="0.2">
      <c r="A3348" s="115"/>
      <c r="B3348" s="93"/>
      <c r="C3348" s="94"/>
      <c r="D3348" s="95"/>
      <c r="E3348" s="95"/>
      <c r="F3348" s="96"/>
      <c r="G3348" s="97"/>
      <c r="H3348" s="114" t="str">
        <f t="shared" si="42"/>
        <v/>
      </c>
      <c r="I3348" s="17"/>
      <c r="J3348" s="17"/>
      <c r="K3348" s="17"/>
    </row>
    <row r="3349" spans="1:11" x14ac:dyDescent="0.2">
      <c r="A3349" s="115"/>
      <c r="B3349" s="93"/>
      <c r="C3349" s="94"/>
      <c r="D3349" s="95"/>
      <c r="E3349" s="95"/>
      <c r="F3349" s="96"/>
      <c r="G3349" s="97"/>
      <c r="H3349" s="114" t="str">
        <f t="shared" si="42"/>
        <v/>
      </c>
      <c r="I3349" s="17"/>
      <c r="J3349" s="17"/>
      <c r="K3349" s="17"/>
    </row>
    <row r="3350" spans="1:11" x14ac:dyDescent="0.2">
      <c r="A3350" s="115"/>
      <c r="B3350" s="93"/>
      <c r="C3350" s="94"/>
      <c r="D3350" s="95"/>
      <c r="E3350" s="95"/>
      <c r="F3350" s="96"/>
      <c r="G3350" s="97"/>
      <c r="H3350" s="114" t="str">
        <f t="shared" si="42"/>
        <v/>
      </c>
      <c r="I3350" s="17"/>
      <c r="J3350" s="17"/>
      <c r="K3350" s="17"/>
    </row>
    <row r="3351" spans="1:11" x14ac:dyDescent="0.2">
      <c r="A3351" s="115"/>
      <c r="B3351" s="93"/>
      <c r="C3351" s="94"/>
      <c r="D3351" s="95"/>
      <c r="E3351" s="95"/>
      <c r="F3351" s="96"/>
      <c r="G3351" s="97"/>
      <c r="H3351" s="114" t="str">
        <f t="shared" si="42"/>
        <v/>
      </c>
      <c r="I3351" s="17"/>
      <c r="J3351" s="17"/>
      <c r="K3351" s="17"/>
    </row>
    <row r="3352" spans="1:11" x14ac:dyDescent="0.2">
      <c r="A3352" s="115"/>
      <c r="B3352" s="93"/>
      <c r="C3352" s="94"/>
      <c r="D3352" s="95"/>
      <c r="E3352" s="95"/>
      <c r="F3352" s="96"/>
      <c r="G3352" s="97"/>
      <c r="H3352" s="114" t="str">
        <f t="shared" si="42"/>
        <v/>
      </c>
      <c r="I3352" s="17"/>
      <c r="J3352" s="17"/>
      <c r="K3352" s="17"/>
    </row>
    <row r="3353" spans="1:11" x14ac:dyDescent="0.2">
      <c r="A3353" s="115"/>
      <c r="B3353" s="93"/>
      <c r="C3353" s="94"/>
      <c r="D3353" s="95"/>
      <c r="E3353" s="95"/>
      <c r="F3353" s="96"/>
      <c r="G3353" s="97"/>
      <c r="H3353" s="114" t="str">
        <f t="shared" si="42"/>
        <v/>
      </c>
      <c r="I3353" s="17"/>
      <c r="J3353" s="17"/>
      <c r="K3353" s="17"/>
    </row>
    <row r="3354" spans="1:11" x14ac:dyDescent="0.2">
      <c r="A3354" s="115"/>
      <c r="B3354" s="93"/>
      <c r="C3354" s="94"/>
      <c r="D3354" s="95"/>
      <c r="E3354" s="95"/>
      <c r="F3354" s="96"/>
      <c r="G3354" s="97"/>
      <c r="H3354" s="114" t="str">
        <f t="shared" si="42"/>
        <v/>
      </c>
      <c r="I3354" s="17"/>
      <c r="J3354" s="17"/>
      <c r="K3354" s="17"/>
    </row>
    <row r="3355" spans="1:11" x14ac:dyDescent="0.2">
      <c r="A3355" s="115"/>
      <c r="B3355" s="93"/>
      <c r="C3355" s="94"/>
      <c r="D3355" s="95"/>
      <c r="E3355" s="95"/>
      <c r="F3355" s="96"/>
      <c r="G3355" s="97"/>
      <c r="H3355" s="114" t="str">
        <f t="shared" si="42"/>
        <v/>
      </c>
      <c r="I3355" s="17"/>
      <c r="J3355" s="17"/>
      <c r="K3355" s="17"/>
    </row>
    <row r="3356" spans="1:11" x14ac:dyDescent="0.2">
      <c r="A3356" s="115"/>
      <c r="B3356" s="93"/>
      <c r="C3356" s="94"/>
      <c r="D3356" s="95"/>
      <c r="E3356" s="95"/>
      <c r="F3356" s="96"/>
      <c r="G3356" s="97"/>
      <c r="H3356" s="114" t="str">
        <f t="shared" si="42"/>
        <v/>
      </c>
      <c r="I3356" s="17"/>
      <c r="J3356" s="17"/>
      <c r="K3356" s="17"/>
    </row>
    <row r="3357" spans="1:11" x14ac:dyDescent="0.2">
      <c r="A3357" s="115"/>
      <c r="B3357" s="93"/>
      <c r="C3357" s="94"/>
      <c r="D3357" s="95"/>
      <c r="E3357" s="95"/>
      <c r="F3357" s="96"/>
      <c r="G3357" s="97"/>
      <c r="H3357" s="114" t="str">
        <f t="shared" si="42"/>
        <v/>
      </c>
      <c r="I3357" s="17"/>
      <c r="J3357" s="17"/>
      <c r="K3357" s="17"/>
    </row>
    <row r="3358" spans="1:11" x14ac:dyDescent="0.2">
      <c r="A3358" s="115"/>
      <c r="B3358" s="93"/>
      <c r="C3358" s="94"/>
      <c r="D3358" s="95"/>
      <c r="E3358" s="95"/>
      <c r="F3358" s="96"/>
      <c r="G3358" s="97"/>
      <c r="H3358" s="114" t="str">
        <f t="shared" si="42"/>
        <v/>
      </c>
      <c r="I3358" s="17"/>
      <c r="J3358" s="17"/>
      <c r="K3358" s="17"/>
    </row>
    <row r="3359" spans="1:11" x14ac:dyDescent="0.2">
      <c r="A3359" s="115"/>
      <c r="B3359" s="93"/>
      <c r="C3359" s="94"/>
      <c r="D3359" s="95"/>
      <c r="E3359" s="95"/>
      <c r="F3359" s="96"/>
      <c r="G3359" s="97"/>
      <c r="H3359" s="114" t="str">
        <f t="shared" si="42"/>
        <v/>
      </c>
      <c r="I3359" s="17"/>
      <c r="J3359" s="17"/>
      <c r="K3359" s="17"/>
    </row>
    <row r="3360" spans="1:11" x14ac:dyDescent="0.2">
      <c r="A3360" s="115"/>
      <c r="B3360" s="93"/>
      <c r="C3360" s="94"/>
      <c r="D3360" s="95"/>
      <c r="E3360" s="95"/>
      <c r="F3360" s="96"/>
      <c r="G3360" s="97"/>
      <c r="H3360" s="114" t="str">
        <f t="shared" si="42"/>
        <v/>
      </c>
      <c r="I3360" s="17"/>
      <c r="J3360" s="17"/>
      <c r="K3360" s="17"/>
    </row>
    <row r="3361" spans="1:11" x14ac:dyDescent="0.2">
      <c r="A3361" s="115"/>
      <c r="B3361" s="93"/>
      <c r="C3361" s="94"/>
      <c r="D3361" s="95"/>
      <c r="E3361" s="95"/>
      <c r="F3361" s="96"/>
      <c r="G3361" s="97"/>
      <c r="H3361" s="114" t="str">
        <f t="shared" si="42"/>
        <v/>
      </c>
      <c r="I3361" s="17"/>
      <c r="J3361" s="17"/>
      <c r="K3361" s="17"/>
    </row>
    <row r="3362" spans="1:11" x14ac:dyDescent="0.2">
      <c r="A3362" s="115"/>
      <c r="B3362" s="93"/>
      <c r="C3362" s="94"/>
      <c r="D3362" s="95"/>
      <c r="E3362" s="95"/>
      <c r="F3362" s="96"/>
      <c r="G3362" s="97"/>
      <c r="H3362" s="114" t="str">
        <f t="shared" si="42"/>
        <v/>
      </c>
      <c r="I3362" s="17"/>
      <c r="J3362" s="17"/>
      <c r="K3362" s="17"/>
    </row>
    <row r="3363" spans="1:11" x14ac:dyDescent="0.2">
      <c r="A3363" s="115"/>
      <c r="B3363" s="93"/>
      <c r="C3363" s="94"/>
      <c r="D3363" s="95"/>
      <c r="E3363" s="95"/>
      <c r="F3363" s="96"/>
      <c r="G3363" s="97"/>
      <c r="H3363" s="114" t="str">
        <f t="shared" si="42"/>
        <v/>
      </c>
      <c r="I3363" s="17"/>
      <c r="J3363" s="17"/>
      <c r="K3363" s="17"/>
    </row>
    <row r="3364" spans="1:11" x14ac:dyDescent="0.2">
      <c r="A3364" s="115"/>
      <c r="B3364" s="93"/>
      <c r="C3364" s="94"/>
      <c r="D3364" s="95"/>
      <c r="E3364" s="95"/>
      <c r="F3364" s="96"/>
      <c r="G3364" s="97"/>
      <c r="H3364" s="114" t="str">
        <f t="shared" si="42"/>
        <v/>
      </c>
      <c r="I3364" s="17"/>
      <c r="J3364" s="17"/>
      <c r="K3364" s="17"/>
    </row>
    <row r="3365" spans="1:11" x14ac:dyDescent="0.2">
      <c r="A3365" s="115"/>
      <c r="B3365" s="93"/>
      <c r="C3365" s="94"/>
      <c r="D3365" s="95"/>
      <c r="E3365" s="95"/>
      <c r="F3365" s="96"/>
      <c r="G3365" s="97"/>
      <c r="H3365" s="114" t="str">
        <f t="shared" si="42"/>
        <v/>
      </c>
      <c r="I3365" s="17"/>
      <c r="J3365" s="17"/>
      <c r="K3365" s="17"/>
    </row>
    <row r="3366" spans="1:11" x14ac:dyDescent="0.2">
      <c r="A3366" s="115"/>
      <c r="B3366" s="93"/>
      <c r="C3366" s="94"/>
      <c r="D3366" s="95"/>
      <c r="E3366" s="95"/>
      <c r="F3366" s="96"/>
      <c r="G3366" s="97"/>
      <c r="H3366" s="114" t="str">
        <f t="shared" si="42"/>
        <v/>
      </c>
      <c r="I3366" s="17"/>
      <c r="J3366" s="17"/>
      <c r="K3366" s="17"/>
    </row>
    <row r="3367" spans="1:11" x14ac:dyDescent="0.2">
      <c r="A3367" s="115"/>
      <c r="B3367" s="93"/>
      <c r="C3367" s="94"/>
      <c r="D3367" s="95"/>
      <c r="E3367" s="95"/>
      <c r="F3367" s="96"/>
      <c r="G3367" s="97"/>
      <c r="H3367" s="114" t="str">
        <f t="shared" si="42"/>
        <v/>
      </c>
      <c r="I3367" s="17"/>
      <c r="J3367" s="17"/>
      <c r="K3367" s="17"/>
    </row>
    <row r="3368" spans="1:11" x14ac:dyDescent="0.2">
      <c r="A3368" s="115"/>
      <c r="B3368" s="93"/>
      <c r="C3368" s="94"/>
      <c r="D3368" s="95"/>
      <c r="E3368" s="95"/>
      <c r="F3368" s="96"/>
      <c r="G3368" s="97"/>
      <c r="H3368" s="114" t="str">
        <f t="shared" si="42"/>
        <v/>
      </c>
      <c r="I3368" s="17"/>
      <c r="J3368" s="17"/>
      <c r="K3368" s="17"/>
    </row>
    <row r="3369" spans="1:11" x14ac:dyDescent="0.2">
      <c r="A3369" s="115"/>
      <c r="B3369" s="93"/>
      <c r="C3369" s="94"/>
      <c r="D3369" s="95"/>
      <c r="E3369" s="95"/>
      <c r="F3369" s="96"/>
      <c r="G3369" s="97"/>
      <c r="H3369" s="114" t="str">
        <f t="shared" si="42"/>
        <v/>
      </c>
      <c r="I3369" s="17"/>
      <c r="J3369" s="17"/>
      <c r="K3369" s="17"/>
    </row>
    <row r="3370" spans="1:11" x14ac:dyDescent="0.2">
      <c r="A3370" s="115"/>
      <c r="B3370" s="93"/>
      <c r="C3370" s="94"/>
      <c r="D3370" s="95"/>
      <c r="E3370" s="95"/>
      <c r="F3370" s="96"/>
      <c r="G3370" s="97"/>
      <c r="H3370" s="114" t="str">
        <f t="shared" si="42"/>
        <v/>
      </c>
      <c r="I3370" s="17"/>
      <c r="J3370" s="17"/>
      <c r="K3370" s="17"/>
    </row>
    <row r="3371" spans="1:11" x14ac:dyDescent="0.2">
      <c r="A3371" s="115"/>
      <c r="B3371" s="93"/>
      <c r="C3371" s="94"/>
      <c r="D3371" s="95"/>
      <c r="E3371" s="95"/>
      <c r="F3371" s="96"/>
      <c r="G3371" s="97"/>
      <c r="H3371" s="114" t="str">
        <f t="shared" si="42"/>
        <v/>
      </c>
      <c r="I3371" s="17"/>
      <c r="J3371" s="17"/>
      <c r="K3371" s="17"/>
    </row>
    <row r="3372" spans="1:11" x14ac:dyDescent="0.2">
      <c r="A3372" s="115"/>
      <c r="B3372" s="93"/>
      <c r="C3372" s="94"/>
      <c r="D3372" s="95"/>
      <c r="E3372" s="95"/>
      <c r="F3372" s="96"/>
      <c r="G3372" s="97"/>
      <c r="H3372" s="114" t="str">
        <f t="shared" si="42"/>
        <v/>
      </c>
      <c r="I3372" s="17"/>
      <c r="J3372" s="17"/>
      <c r="K3372" s="17"/>
    </row>
    <row r="3373" spans="1:11" x14ac:dyDescent="0.2">
      <c r="A3373" s="115"/>
      <c r="B3373" s="93"/>
      <c r="C3373" s="94"/>
      <c r="D3373" s="95"/>
      <c r="E3373" s="95"/>
      <c r="F3373" s="96"/>
      <c r="G3373" s="97"/>
      <c r="H3373" s="114" t="str">
        <f t="shared" si="42"/>
        <v/>
      </c>
      <c r="I3373" s="17"/>
      <c r="J3373" s="17"/>
      <c r="K3373" s="17"/>
    </row>
    <row r="3374" spans="1:11" x14ac:dyDescent="0.2">
      <c r="A3374" s="115"/>
      <c r="B3374" s="93"/>
      <c r="C3374" s="94"/>
      <c r="D3374" s="95"/>
      <c r="E3374" s="95"/>
      <c r="F3374" s="96"/>
      <c r="G3374" s="97"/>
      <c r="H3374" s="114" t="str">
        <f t="shared" si="42"/>
        <v/>
      </c>
      <c r="I3374" s="17"/>
      <c r="J3374" s="17"/>
      <c r="K3374" s="17"/>
    </row>
    <row r="3375" spans="1:11" x14ac:dyDescent="0.2">
      <c r="A3375" s="115"/>
      <c r="B3375" s="93"/>
      <c r="C3375" s="94"/>
      <c r="D3375" s="95"/>
      <c r="E3375" s="95"/>
      <c r="F3375" s="96"/>
      <c r="G3375" s="97"/>
      <c r="H3375" s="114" t="str">
        <f t="shared" si="42"/>
        <v/>
      </c>
      <c r="I3375" s="17"/>
      <c r="J3375" s="17"/>
      <c r="K3375" s="17"/>
    </row>
    <row r="3376" spans="1:11" x14ac:dyDescent="0.2">
      <c r="A3376" s="115"/>
      <c r="B3376" s="93"/>
      <c r="C3376" s="94"/>
      <c r="D3376" s="95"/>
      <c r="E3376" s="95"/>
      <c r="F3376" s="96"/>
      <c r="G3376" s="97"/>
      <c r="H3376" s="114" t="str">
        <f t="shared" si="42"/>
        <v/>
      </c>
      <c r="I3376" s="17"/>
      <c r="J3376" s="17"/>
      <c r="K3376" s="17"/>
    </row>
    <row r="3377" spans="1:11" x14ac:dyDescent="0.2">
      <c r="A3377" s="115"/>
      <c r="B3377" s="93"/>
      <c r="C3377" s="94"/>
      <c r="D3377" s="95"/>
      <c r="E3377" s="95"/>
      <c r="F3377" s="96"/>
      <c r="G3377" s="97"/>
      <c r="H3377" s="114" t="str">
        <f t="shared" si="42"/>
        <v/>
      </c>
      <c r="I3377" s="17"/>
      <c r="J3377" s="17"/>
      <c r="K3377" s="17"/>
    </row>
    <row r="3378" spans="1:11" x14ac:dyDescent="0.2">
      <c r="A3378" s="115"/>
      <c r="B3378" s="93"/>
      <c r="C3378" s="94"/>
      <c r="D3378" s="95"/>
      <c r="E3378" s="95"/>
      <c r="F3378" s="96"/>
      <c r="G3378" s="97"/>
      <c r="H3378" s="114" t="str">
        <f t="shared" si="42"/>
        <v/>
      </c>
      <c r="I3378" s="17"/>
      <c r="J3378" s="17"/>
      <c r="K3378" s="17"/>
    </row>
    <row r="3379" spans="1:11" x14ac:dyDescent="0.2">
      <c r="A3379" s="115"/>
      <c r="B3379" s="93"/>
      <c r="C3379" s="94"/>
      <c r="D3379" s="95"/>
      <c r="E3379" s="95"/>
      <c r="F3379" s="96"/>
      <c r="G3379" s="97"/>
      <c r="H3379" s="114" t="str">
        <f t="shared" si="42"/>
        <v/>
      </c>
      <c r="I3379" s="17"/>
      <c r="J3379" s="17"/>
      <c r="K3379" s="17"/>
    </row>
    <row r="3380" spans="1:11" x14ac:dyDescent="0.2">
      <c r="A3380" s="115"/>
      <c r="B3380" s="93"/>
      <c r="C3380" s="94"/>
      <c r="D3380" s="95"/>
      <c r="E3380" s="95"/>
      <c r="F3380" s="96"/>
      <c r="G3380" s="97"/>
      <c r="H3380" s="114" t="str">
        <f t="shared" si="42"/>
        <v/>
      </c>
      <c r="I3380" s="17"/>
      <c r="J3380" s="17"/>
      <c r="K3380" s="17"/>
    </row>
    <row r="3381" spans="1:11" x14ac:dyDescent="0.2">
      <c r="A3381" s="115"/>
      <c r="B3381" s="93"/>
      <c r="C3381" s="94"/>
      <c r="D3381" s="95"/>
      <c r="E3381" s="95"/>
      <c r="F3381" s="96"/>
      <c r="G3381" s="97"/>
      <c r="H3381" s="114" t="str">
        <f t="shared" si="42"/>
        <v/>
      </c>
      <c r="I3381" s="17"/>
      <c r="J3381" s="17"/>
      <c r="K3381" s="17"/>
    </row>
    <row r="3382" spans="1:11" x14ac:dyDescent="0.2">
      <c r="A3382" s="115"/>
      <c r="B3382" s="93"/>
      <c r="C3382" s="94"/>
      <c r="D3382" s="95"/>
      <c r="E3382" s="95"/>
      <c r="F3382" s="96"/>
      <c r="G3382" s="97"/>
      <c r="H3382" s="114" t="str">
        <f t="shared" si="42"/>
        <v/>
      </c>
      <c r="I3382" s="17"/>
      <c r="J3382" s="17"/>
      <c r="K3382" s="17"/>
    </row>
    <row r="3383" spans="1:11" x14ac:dyDescent="0.2">
      <c r="A3383" s="115"/>
      <c r="B3383" s="93"/>
      <c r="C3383" s="94"/>
      <c r="D3383" s="95"/>
      <c r="E3383" s="95"/>
      <c r="F3383" s="96"/>
      <c r="G3383" s="97"/>
      <c r="H3383" s="114" t="str">
        <f t="shared" si="42"/>
        <v/>
      </c>
      <c r="I3383" s="17"/>
      <c r="J3383" s="17"/>
      <c r="K3383" s="17"/>
    </row>
    <row r="3384" spans="1:11" x14ac:dyDescent="0.2">
      <c r="A3384" s="115"/>
      <c r="B3384" s="93"/>
      <c r="C3384" s="94"/>
      <c r="D3384" s="95"/>
      <c r="E3384" s="95"/>
      <c r="F3384" s="96"/>
      <c r="G3384" s="97"/>
      <c r="H3384" s="114" t="str">
        <f t="shared" si="42"/>
        <v/>
      </c>
      <c r="I3384" s="17"/>
      <c r="J3384" s="17"/>
      <c r="K3384" s="17"/>
    </row>
    <row r="3385" spans="1:11" x14ac:dyDescent="0.2">
      <c r="A3385" s="115"/>
      <c r="B3385" s="93"/>
      <c r="C3385" s="94"/>
      <c r="D3385" s="95"/>
      <c r="E3385" s="95"/>
      <c r="F3385" s="96"/>
      <c r="G3385" s="97"/>
      <c r="H3385" s="114" t="str">
        <f t="shared" si="42"/>
        <v/>
      </c>
      <c r="I3385" s="17"/>
      <c r="J3385" s="17"/>
      <c r="K3385" s="17"/>
    </row>
    <row r="3386" spans="1:11" x14ac:dyDescent="0.2">
      <c r="A3386" s="115"/>
      <c r="B3386" s="93"/>
      <c r="C3386" s="94"/>
      <c r="D3386" s="95"/>
      <c r="E3386" s="95"/>
      <c r="F3386" s="96"/>
      <c r="G3386" s="97"/>
      <c r="H3386" s="114" t="str">
        <f t="shared" si="42"/>
        <v/>
      </c>
      <c r="I3386" s="17"/>
      <c r="J3386" s="17"/>
      <c r="K3386" s="17"/>
    </row>
    <row r="3387" spans="1:11" x14ac:dyDescent="0.2">
      <c r="A3387" s="115"/>
      <c r="B3387" s="93"/>
      <c r="C3387" s="94"/>
      <c r="D3387" s="95"/>
      <c r="E3387" s="95"/>
      <c r="F3387" s="96"/>
      <c r="G3387" s="97"/>
      <c r="H3387" s="114" t="str">
        <f t="shared" si="42"/>
        <v/>
      </c>
      <c r="I3387" s="17"/>
      <c r="J3387" s="17"/>
      <c r="K3387" s="17"/>
    </row>
    <row r="3388" spans="1:11" x14ac:dyDescent="0.2">
      <c r="A3388" s="115"/>
      <c r="B3388" s="93"/>
      <c r="C3388" s="94"/>
      <c r="D3388" s="95"/>
      <c r="E3388" s="95"/>
      <c r="F3388" s="96"/>
      <c r="G3388" s="97"/>
      <c r="H3388" s="114" t="str">
        <f t="shared" si="42"/>
        <v/>
      </c>
      <c r="I3388" s="17"/>
      <c r="J3388" s="17"/>
      <c r="K3388" s="17"/>
    </row>
    <row r="3389" spans="1:11" x14ac:dyDescent="0.2">
      <c r="A3389" s="115"/>
      <c r="B3389" s="93"/>
      <c r="C3389" s="94"/>
      <c r="D3389" s="95"/>
      <c r="E3389" s="95"/>
      <c r="F3389" s="96"/>
      <c r="G3389" s="97"/>
      <c r="H3389" s="114" t="str">
        <f t="shared" si="42"/>
        <v/>
      </c>
      <c r="I3389" s="17"/>
      <c r="J3389" s="17"/>
      <c r="K3389" s="17"/>
    </row>
    <row r="3390" spans="1:11" x14ac:dyDescent="0.2">
      <c r="A3390" s="115"/>
      <c r="B3390" s="93"/>
      <c r="C3390" s="94"/>
      <c r="D3390" s="95"/>
      <c r="E3390" s="95"/>
      <c r="F3390" s="96"/>
      <c r="G3390" s="97"/>
      <c r="H3390" s="114" t="str">
        <f t="shared" si="42"/>
        <v/>
      </c>
      <c r="I3390" s="17"/>
      <c r="J3390" s="17"/>
      <c r="K3390" s="17"/>
    </row>
    <row r="3391" spans="1:11" x14ac:dyDescent="0.2">
      <c r="A3391" s="115"/>
      <c r="B3391" s="93"/>
      <c r="C3391" s="94"/>
      <c r="D3391" s="95"/>
      <c r="E3391" s="95"/>
      <c r="F3391" s="96"/>
      <c r="G3391" s="97"/>
      <c r="H3391" s="114" t="str">
        <f t="shared" si="42"/>
        <v/>
      </c>
      <c r="I3391" s="17"/>
      <c r="J3391" s="17"/>
      <c r="K3391" s="17"/>
    </row>
    <row r="3392" spans="1:11" x14ac:dyDescent="0.2">
      <c r="A3392" s="115"/>
      <c r="B3392" s="93"/>
      <c r="C3392" s="94"/>
      <c r="D3392" s="95"/>
      <c r="E3392" s="95"/>
      <c r="F3392" s="96"/>
      <c r="G3392" s="97"/>
      <c r="H3392" s="114" t="str">
        <f t="shared" si="42"/>
        <v/>
      </c>
      <c r="I3392" s="17"/>
      <c r="J3392" s="17"/>
      <c r="K3392" s="17"/>
    </row>
    <row r="3393" spans="1:11" x14ac:dyDescent="0.2">
      <c r="A3393" s="115"/>
      <c r="B3393" s="93"/>
      <c r="C3393" s="94"/>
      <c r="D3393" s="95"/>
      <c r="E3393" s="95"/>
      <c r="F3393" s="96"/>
      <c r="G3393" s="97"/>
      <c r="H3393" s="114" t="str">
        <f t="shared" si="42"/>
        <v/>
      </c>
      <c r="I3393" s="17"/>
      <c r="J3393" s="17"/>
      <c r="K3393" s="17"/>
    </row>
    <row r="3394" spans="1:11" x14ac:dyDescent="0.2">
      <c r="A3394" s="115"/>
      <c r="B3394" s="93"/>
      <c r="C3394" s="94"/>
      <c r="D3394" s="95"/>
      <c r="E3394" s="95"/>
      <c r="F3394" s="96"/>
      <c r="G3394" s="97"/>
      <c r="H3394" s="114" t="str">
        <f t="shared" si="42"/>
        <v/>
      </c>
      <c r="I3394" s="17"/>
      <c r="J3394" s="17"/>
      <c r="K3394" s="17"/>
    </row>
    <row r="3395" spans="1:11" x14ac:dyDescent="0.2">
      <c r="A3395" s="115"/>
      <c r="B3395" s="93"/>
      <c r="C3395" s="94"/>
      <c r="D3395" s="95"/>
      <c r="E3395" s="95"/>
      <c r="F3395" s="96"/>
      <c r="G3395" s="97"/>
      <c r="H3395" s="114" t="str">
        <f t="shared" si="42"/>
        <v/>
      </c>
      <c r="I3395" s="17"/>
      <c r="J3395" s="17"/>
      <c r="K3395" s="17"/>
    </row>
    <row r="3396" spans="1:11" x14ac:dyDescent="0.2">
      <c r="A3396" s="115"/>
      <c r="B3396" s="93"/>
      <c r="C3396" s="94"/>
      <c r="D3396" s="95"/>
      <c r="E3396" s="95"/>
      <c r="F3396" s="96"/>
      <c r="G3396" s="97"/>
      <c r="H3396" s="114" t="str">
        <f t="shared" ref="H3396:H3459" si="43">IF(A3396&lt;&gt;"", EOMONTH(A3396, -1) + 1, "")</f>
        <v/>
      </c>
      <c r="I3396" s="17"/>
      <c r="J3396" s="17"/>
      <c r="K3396" s="17"/>
    </row>
    <row r="3397" spans="1:11" x14ac:dyDescent="0.2">
      <c r="A3397" s="115"/>
      <c r="B3397" s="93"/>
      <c r="C3397" s="94"/>
      <c r="D3397" s="95"/>
      <c r="E3397" s="95"/>
      <c r="F3397" s="96"/>
      <c r="G3397" s="97"/>
      <c r="H3397" s="114" t="str">
        <f t="shared" si="43"/>
        <v/>
      </c>
      <c r="I3397" s="17"/>
      <c r="J3397" s="17"/>
      <c r="K3397" s="17"/>
    </row>
    <row r="3398" spans="1:11" x14ac:dyDescent="0.2">
      <c r="A3398" s="115"/>
      <c r="B3398" s="93"/>
      <c r="C3398" s="94"/>
      <c r="D3398" s="95"/>
      <c r="E3398" s="95"/>
      <c r="F3398" s="96"/>
      <c r="G3398" s="97"/>
      <c r="H3398" s="114" t="str">
        <f t="shared" si="43"/>
        <v/>
      </c>
      <c r="I3398" s="17"/>
      <c r="J3398" s="17"/>
      <c r="K3398" s="17"/>
    </row>
    <row r="3399" spans="1:11" x14ac:dyDescent="0.2">
      <c r="A3399" s="115"/>
      <c r="B3399" s="93"/>
      <c r="C3399" s="94"/>
      <c r="D3399" s="95"/>
      <c r="E3399" s="95"/>
      <c r="F3399" s="96"/>
      <c r="G3399" s="97"/>
      <c r="H3399" s="114" t="str">
        <f t="shared" si="43"/>
        <v/>
      </c>
      <c r="I3399" s="17"/>
      <c r="J3399" s="17"/>
      <c r="K3399" s="17"/>
    </row>
    <row r="3400" spans="1:11" x14ac:dyDescent="0.2">
      <c r="A3400" s="115"/>
      <c r="B3400" s="93"/>
      <c r="C3400" s="94"/>
      <c r="D3400" s="95"/>
      <c r="E3400" s="95"/>
      <c r="F3400" s="96"/>
      <c r="G3400" s="97"/>
      <c r="H3400" s="114" t="str">
        <f t="shared" si="43"/>
        <v/>
      </c>
      <c r="I3400" s="17"/>
      <c r="J3400" s="17"/>
      <c r="K3400" s="17"/>
    </row>
    <row r="3401" spans="1:11" x14ac:dyDescent="0.2">
      <c r="A3401" s="115"/>
      <c r="B3401" s="93"/>
      <c r="C3401" s="94"/>
      <c r="D3401" s="95"/>
      <c r="E3401" s="95"/>
      <c r="F3401" s="96"/>
      <c r="G3401" s="97"/>
      <c r="H3401" s="114" t="str">
        <f t="shared" si="43"/>
        <v/>
      </c>
      <c r="I3401" s="17"/>
      <c r="J3401" s="17"/>
      <c r="K3401" s="17"/>
    </row>
    <row r="3402" spans="1:11" x14ac:dyDescent="0.2">
      <c r="A3402" s="115"/>
      <c r="B3402" s="93"/>
      <c r="C3402" s="94"/>
      <c r="D3402" s="95"/>
      <c r="E3402" s="95"/>
      <c r="F3402" s="96"/>
      <c r="G3402" s="97"/>
      <c r="H3402" s="114" t="str">
        <f t="shared" si="43"/>
        <v/>
      </c>
      <c r="I3402" s="17"/>
      <c r="J3402" s="17"/>
      <c r="K3402" s="17"/>
    </row>
    <row r="3403" spans="1:11" x14ac:dyDescent="0.2">
      <c r="A3403" s="115"/>
      <c r="B3403" s="93"/>
      <c r="C3403" s="94"/>
      <c r="D3403" s="95"/>
      <c r="E3403" s="95"/>
      <c r="F3403" s="96"/>
      <c r="G3403" s="97"/>
      <c r="H3403" s="114" t="str">
        <f t="shared" si="43"/>
        <v/>
      </c>
      <c r="I3403" s="17"/>
      <c r="J3403" s="17"/>
      <c r="K3403" s="17"/>
    </row>
    <row r="3404" spans="1:11" x14ac:dyDescent="0.2">
      <c r="A3404" s="115"/>
      <c r="B3404" s="93"/>
      <c r="C3404" s="94"/>
      <c r="D3404" s="95"/>
      <c r="E3404" s="95"/>
      <c r="F3404" s="96"/>
      <c r="G3404" s="97"/>
      <c r="H3404" s="114" t="str">
        <f t="shared" si="43"/>
        <v/>
      </c>
      <c r="I3404" s="17"/>
      <c r="J3404" s="17"/>
      <c r="K3404" s="17"/>
    </row>
    <row r="3405" spans="1:11" x14ac:dyDescent="0.2">
      <c r="A3405" s="115"/>
      <c r="B3405" s="93"/>
      <c r="C3405" s="94"/>
      <c r="D3405" s="95"/>
      <c r="E3405" s="95"/>
      <c r="F3405" s="96"/>
      <c r="G3405" s="97"/>
      <c r="H3405" s="114" t="str">
        <f t="shared" si="43"/>
        <v/>
      </c>
      <c r="I3405" s="17"/>
      <c r="J3405" s="17"/>
      <c r="K3405" s="17"/>
    </row>
    <row r="3406" spans="1:11" x14ac:dyDescent="0.2">
      <c r="A3406" s="115"/>
      <c r="B3406" s="93"/>
      <c r="C3406" s="94"/>
      <c r="D3406" s="95"/>
      <c r="E3406" s="95"/>
      <c r="F3406" s="96"/>
      <c r="G3406" s="97"/>
      <c r="H3406" s="114" t="str">
        <f t="shared" si="43"/>
        <v/>
      </c>
      <c r="I3406" s="17"/>
      <c r="J3406" s="17"/>
      <c r="K3406" s="17"/>
    </row>
    <row r="3407" spans="1:11" x14ac:dyDescent="0.2">
      <c r="A3407" s="115"/>
      <c r="B3407" s="93"/>
      <c r="C3407" s="94"/>
      <c r="D3407" s="95"/>
      <c r="E3407" s="95"/>
      <c r="F3407" s="96"/>
      <c r="G3407" s="97"/>
      <c r="H3407" s="114" t="str">
        <f t="shared" si="43"/>
        <v/>
      </c>
      <c r="I3407" s="17"/>
      <c r="J3407" s="17"/>
      <c r="K3407" s="17"/>
    </row>
    <row r="3408" spans="1:11" x14ac:dyDescent="0.2">
      <c r="A3408" s="115"/>
      <c r="B3408" s="93"/>
      <c r="C3408" s="94"/>
      <c r="D3408" s="95"/>
      <c r="E3408" s="95"/>
      <c r="F3408" s="96"/>
      <c r="G3408" s="97"/>
      <c r="H3408" s="114" t="str">
        <f t="shared" si="43"/>
        <v/>
      </c>
      <c r="I3408" s="17"/>
      <c r="J3408" s="17"/>
      <c r="K3408" s="17"/>
    </row>
    <row r="3409" spans="1:11" x14ac:dyDescent="0.2">
      <c r="A3409" s="115"/>
      <c r="B3409" s="93"/>
      <c r="C3409" s="94"/>
      <c r="D3409" s="95"/>
      <c r="E3409" s="95"/>
      <c r="F3409" s="96"/>
      <c r="G3409" s="97"/>
      <c r="H3409" s="114" t="str">
        <f t="shared" si="43"/>
        <v/>
      </c>
      <c r="I3409" s="17"/>
      <c r="J3409" s="17"/>
      <c r="K3409" s="17"/>
    </row>
    <row r="3410" spans="1:11" x14ac:dyDescent="0.2">
      <c r="A3410" s="115"/>
      <c r="B3410" s="93"/>
      <c r="C3410" s="94"/>
      <c r="D3410" s="95"/>
      <c r="E3410" s="95"/>
      <c r="F3410" s="96"/>
      <c r="G3410" s="97"/>
      <c r="H3410" s="114" t="str">
        <f t="shared" si="43"/>
        <v/>
      </c>
      <c r="I3410" s="17"/>
      <c r="J3410" s="17"/>
      <c r="K3410" s="17"/>
    </row>
    <row r="3411" spans="1:11" x14ac:dyDescent="0.2">
      <c r="A3411" s="115"/>
      <c r="B3411" s="93"/>
      <c r="C3411" s="94"/>
      <c r="D3411" s="95"/>
      <c r="E3411" s="95"/>
      <c r="F3411" s="96"/>
      <c r="G3411" s="97"/>
      <c r="H3411" s="114" t="str">
        <f t="shared" si="43"/>
        <v/>
      </c>
      <c r="I3411" s="17"/>
      <c r="J3411" s="17"/>
      <c r="K3411" s="17"/>
    </row>
    <row r="3412" spans="1:11" x14ac:dyDescent="0.2">
      <c r="A3412" s="115"/>
      <c r="B3412" s="93"/>
      <c r="C3412" s="94"/>
      <c r="D3412" s="95"/>
      <c r="E3412" s="95"/>
      <c r="F3412" s="96"/>
      <c r="G3412" s="97"/>
      <c r="H3412" s="114" t="str">
        <f t="shared" si="43"/>
        <v/>
      </c>
      <c r="I3412" s="17"/>
      <c r="J3412" s="17"/>
      <c r="K3412" s="17"/>
    </row>
    <row r="3413" spans="1:11" x14ac:dyDescent="0.2">
      <c r="A3413" s="115"/>
      <c r="B3413" s="93"/>
      <c r="C3413" s="94"/>
      <c r="D3413" s="95"/>
      <c r="E3413" s="95"/>
      <c r="F3413" s="96"/>
      <c r="G3413" s="97"/>
      <c r="H3413" s="114" t="str">
        <f t="shared" si="43"/>
        <v/>
      </c>
      <c r="I3413" s="17"/>
      <c r="J3413" s="17"/>
      <c r="K3413" s="17"/>
    </row>
    <row r="3414" spans="1:11" x14ac:dyDescent="0.2">
      <c r="A3414" s="115"/>
      <c r="B3414" s="93"/>
      <c r="C3414" s="94"/>
      <c r="D3414" s="95"/>
      <c r="E3414" s="95"/>
      <c r="F3414" s="96"/>
      <c r="G3414" s="97"/>
      <c r="H3414" s="114" t="str">
        <f t="shared" si="43"/>
        <v/>
      </c>
      <c r="I3414" s="17"/>
      <c r="J3414" s="17"/>
      <c r="K3414" s="17"/>
    </row>
    <row r="3415" spans="1:11" x14ac:dyDescent="0.2">
      <c r="A3415" s="115"/>
      <c r="B3415" s="93"/>
      <c r="C3415" s="94"/>
      <c r="D3415" s="95"/>
      <c r="E3415" s="95"/>
      <c r="F3415" s="96"/>
      <c r="G3415" s="97"/>
      <c r="H3415" s="114" t="str">
        <f t="shared" si="43"/>
        <v/>
      </c>
      <c r="I3415" s="17"/>
      <c r="J3415" s="17"/>
      <c r="K3415" s="17"/>
    </row>
    <row r="3416" spans="1:11" x14ac:dyDescent="0.2">
      <c r="A3416" s="115"/>
      <c r="B3416" s="93"/>
      <c r="C3416" s="94"/>
      <c r="D3416" s="95"/>
      <c r="E3416" s="95"/>
      <c r="F3416" s="96"/>
      <c r="G3416" s="97"/>
      <c r="H3416" s="114" t="str">
        <f t="shared" si="43"/>
        <v/>
      </c>
      <c r="I3416" s="17"/>
      <c r="J3416" s="17"/>
      <c r="K3416" s="17"/>
    </row>
    <row r="3417" spans="1:11" x14ac:dyDescent="0.2">
      <c r="A3417" s="115"/>
      <c r="B3417" s="93"/>
      <c r="C3417" s="94"/>
      <c r="D3417" s="95"/>
      <c r="E3417" s="95"/>
      <c r="F3417" s="96"/>
      <c r="G3417" s="97"/>
      <c r="H3417" s="114" t="str">
        <f t="shared" si="43"/>
        <v/>
      </c>
      <c r="I3417" s="17"/>
      <c r="J3417" s="17"/>
      <c r="K3417" s="17"/>
    </row>
    <row r="3418" spans="1:11" x14ac:dyDescent="0.2">
      <c r="A3418" s="115"/>
      <c r="B3418" s="93"/>
      <c r="C3418" s="94"/>
      <c r="D3418" s="95"/>
      <c r="E3418" s="95"/>
      <c r="F3418" s="96"/>
      <c r="G3418" s="97"/>
      <c r="H3418" s="114" t="str">
        <f t="shared" si="43"/>
        <v/>
      </c>
      <c r="I3418" s="17"/>
      <c r="J3418" s="17"/>
      <c r="K3418" s="17"/>
    </row>
    <row r="3419" spans="1:11" x14ac:dyDescent="0.2">
      <c r="A3419" s="115"/>
      <c r="B3419" s="93"/>
      <c r="C3419" s="94"/>
      <c r="D3419" s="95"/>
      <c r="E3419" s="95"/>
      <c r="F3419" s="96"/>
      <c r="G3419" s="97"/>
      <c r="H3419" s="114" t="str">
        <f t="shared" si="43"/>
        <v/>
      </c>
      <c r="I3419" s="17"/>
      <c r="J3419" s="17"/>
      <c r="K3419" s="17"/>
    </row>
    <row r="3420" spans="1:11" x14ac:dyDescent="0.2">
      <c r="A3420" s="115"/>
      <c r="B3420" s="93"/>
      <c r="C3420" s="94"/>
      <c r="D3420" s="95"/>
      <c r="E3420" s="95"/>
      <c r="F3420" s="96"/>
      <c r="G3420" s="97"/>
      <c r="H3420" s="114" t="str">
        <f t="shared" si="43"/>
        <v/>
      </c>
      <c r="I3420" s="17"/>
      <c r="J3420" s="17"/>
      <c r="K3420" s="17"/>
    </row>
    <row r="3421" spans="1:11" x14ac:dyDescent="0.2">
      <c r="A3421" s="115"/>
      <c r="B3421" s="93"/>
      <c r="C3421" s="94"/>
      <c r="D3421" s="95"/>
      <c r="E3421" s="95"/>
      <c r="F3421" s="96"/>
      <c r="G3421" s="97"/>
      <c r="H3421" s="114" t="str">
        <f t="shared" si="43"/>
        <v/>
      </c>
      <c r="I3421" s="17"/>
      <c r="J3421" s="17"/>
      <c r="K3421" s="17"/>
    </row>
    <row r="3422" spans="1:11" x14ac:dyDescent="0.2">
      <c r="A3422" s="115"/>
      <c r="B3422" s="93"/>
      <c r="C3422" s="94"/>
      <c r="D3422" s="95"/>
      <c r="E3422" s="95"/>
      <c r="F3422" s="96"/>
      <c r="G3422" s="97"/>
      <c r="H3422" s="114" t="str">
        <f t="shared" si="43"/>
        <v/>
      </c>
      <c r="I3422" s="17"/>
      <c r="J3422" s="17"/>
      <c r="K3422" s="17"/>
    </row>
    <row r="3423" spans="1:11" x14ac:dyDescent="0.2">
      <c r="A3423" s="115"/>
      <c r="B3423" s="93"/>
      <c r="C3423" s="94"/>
      <c r="D3423" s="95"/>
      <c r="E3423" s="95"/>
      <c r="F3423" s="96"/>
      <c r="G3423" s="97"/>
      <c r="H3423" s="114" t="str">
        <f t="shared" si="43"/>
        <v/>
      </c>
      <c r="I3423" s="17"/>
      <c r="J3423" s="17"/>
      <c r="K3423" s="17"/>
    </row>
    <row r="3424" spans="1:11" x14ac:dyDescent="0.2">
      <c r="A3424" s="115"/>
      <c r="B3424" s="93"/>
      <c r="C3424" s="94"/>
      <c r="D3424" s="95"/>
      <c r="E3424" s="95"/>
      <c r="F3424" s="96"/>
      <c r="G3424" s="97"/>
      <c r="H3424" s="114" t="str">
        <f t="shared" si="43"/>
        <v/>
      </c>
      <c r="I3424" s="17"/>
      <c r="J3424" s="17"/>
      <c r="K3424" s="17"/>
    </row>
    <row r="3425" spans="1:11" x14ac:dyDescent="0.2">
      <c r="A3425" s="115"/>
      <c r="B3425" s="93"/>
      <c r="C3425" s="94"/>
      <c r="D3425" s="95"/>
      <c r="E3425" s="95"/>
      <c r="F3425" s="96"/>
      <c r="G3425" s="97"/>
      <c r="H3425" s="114" t="str">
        <f t="shared" si="43"/>
        <v/>
      </c>
      <c r="I3425" s="17"/>
      <c r="J3425" s="17"/>
      <c r="K3425" s="17"/>
    </row>
    <row r="3426" spans="1:11" x14ac:dyDescent="0.2">
      <c r="A3426" s="115"/>
      <c r="B3426" s="93"/>
      <c r="C3426" s="94"/>
      <c r="D3426" s="95"/>
      <c r="E3426" s="95"/>
      <c r="F3426" s="96"/>
      <c r="G3426" s="97"/>
      <c r="H3426" s="114" t="str">
        <f t="shared" si="43"/>
        <v/>
      </c>
      <c r="I3426" s="17"/>
      <c r="J3426" s="17"/>
      <c r="K3426" s="17"/>
    </row>
    <row r="3427" spans="1:11" x14ac:dyDescent="0.2">
      <c r="A3427" s="115"/>
      <c r="B3427" s="93"/>
      <c r="C3427" s="94"/>
      <c r="D3427" s="95"/>
      <c r="E3427" s="95"/>
      <c r="F3427" s="96"/>
      <c r="G3427" s="97"/>
      <c r="H3427" s="114" t="str">
        <f t="shared" si="43"/>
        <v/>
      </c>
      <c r="I3427" s="17"/>
      <c r="J3427" s="17"/>
      <c r="K3427" s="17"/>
    </row>
    <row r="3428" spans="1:11" x14ac:dyDescent="0.2">
      <c r="A3428" s="115"/>
      <c r="B3428" s="93"/>
      <c r="C3428" s="94"/>
      <c r="D3428" s="95"/>
      <c r="E3428" s="95"/>
      <c r="F3428" s="96"/>
      <c r="G3428" s="97"/>
      <c r="H3428" s="114" t="str">
        <f t="shared" si="43"/>
        <v/>
      </c>
      <c r="I3428" s="17"/>
      <c r="J3428" s="17"/>
      <c r="K3428" s="17"/>
    </row>
    <row r="3429" spans="1:11" x14ac:dyDescent="0.2">
      <c r="A3429" s="115"/>
      <c r="B3429" s="93"/>
      <c r="C3429" s="94"/>
      <c r="D3429" s="95"/>
      <c r="E3429" s="95"/>
      <c r="F3429" s="96"/>
      <c r="G3429" s="97"/>
      <c r="H3429" s="114" t="str">
        <f t="shared" si="43"/>
        <v/>
      </c>
      <c r="I3429" s="17"/>
      <c r="J3429" s="17"/>
      <c r="K3429" s="17"/>
    </row>
    <row r="3430" spans="1:11" x14ac:dyDescent="0.2">
      <c r="A3430" s="115"/>
      <c r="B3430" s="93"/>
      <c r="C3430" s="94"/>
      <c r="D3430" s="95"/>
      <c r="E3430" s="95"/>
      <c r="F3430" s="96"/>
      <c r="G3430" s="97"/>
      <c r="H3430" s="114" t="str">
        <f t="shared" si="43"/>
        <v/>
      </c>
      <c r="I3430" s="17"/>
      <c r="J3430" s="17"/>
      <c r="K3430" s="17"/>
    </row>
    <row r="3431" spans="1:11" x14ac:dyDescent="0.2">
      <c r="A3431" s="115"/>
      <c r="B3431" s="93"/>
      <c r="C3431" s="94"/>
      <c r="D3431" s="95"/>
      <c r="E3431" s="95"/>
      <c r="F3431" s="96"/>
      <c r="G3431" s="97"/>
      <c r="H3431" s="114" t="str">
        <f t="shared" si="43"/>
        <v/>
      </c>
      <c r="I3431" s="17"/>
      <c r="J3431" s="17"/>
      <c r="K3431" s="17"/>
    </row>
    <row r="3432" spans="1:11" x14ac:dyDescent="0.2">
      <c r="A3432" s="115"/>
      <c r="B3432" s="93"/>
      <c r="C3432" s="94"/>
      <c r="D3432" s="95"/>
      <c r="E3432" s="95"/>
      <c r="F3432" s="96"/>
      <c r="G3432" s="97"/>
      <c r="H3432" s="114" t="str">
        <f t="shared" si="43"/>
        <v/>
      </c>
      <c r="I3432" s="17"/>
      <c r="J3432" s="17"/>
      <c r="K3432" s="17"/>
    </row>
    <row r="3433" spans="1:11" x14ac:dyDescent="0.2">
      <c r="A3433" s="115"/>
      <c r="B3433" s="93"/>
      <c r="C3433" s="94"/>
      <c r="D3433" s="95"/>
      <c r="E3433" s="95"/>
      <c r="F3433" s="96"/>
      <c r="G3433" s="97"/>
      <c r="H3433" s="114" t="str">
        <f t="shared" si="43"/>
        <v/>
      </c>
      <c r="I3433" s="17"/>
      <c r="J3433" s="17"/>
      <c r="K3433" s="17"/>
    </row>
    <row r="3434" spans="1:11" x14ac:dyDescent="0.2">
      <c r="A3434" s="115"/>
      <c r="B3434" s="93"/>
      <c r="C3434" s="94"/>
      <c r="D3434" s="95"/>
      <c r="E3434" s="95"/>
      <c r="F3434" s="96"/>
      <c r="G3434" s="97"/>
      <c r="H3434" s="114" t="str">
        <f t="shared" si="43"/>
        <v/>
      </c>
      <c r="I3434" s="17"/>
      <c r="J3434" s="17"/>
      <c r="K3434" s="17"/>
    </row>
    <row r="3435" spans="1:11" x14ac:dyDescent="0.2">
      <c r="A3435" s="115"/>
      <c r="B3435" s="93"/>
      <c r="C3435" s="94"/>
      <c r="D3435" s="95"/>
      <c r="E3435" s="95"/>
      <c r="F3435" s="96"/>
      <c r="G3435" s="97"/>
      <c r="H3435" s="114" t="str">
        <f t="shared" si="43"/>
        <v/>
      </c>
      <c r="I3435" s="17"/>
      <c r="J3435" s="17"/>
      <c r="K3435" s="17"/>
    </row>
    <row r="3436" spans="1:11" x14ac:dyDescent="0.2">
      <c r="A3436" s="115"/>
      <c r="B3436" s="93"/>
      <c r="C3436" s="94"/>
      <c r="D3436" s="95"/>
      <c r="E3436" s="95"/>
      <c r="F3436" s="96"/>
      <c r="G3436" s="97"/>
      <c r="H3436" s="114" t="str">
        <f t="shared" si="43"/>
        <v/>
      </c>
      <c r="I3436" s="17"/>
      <c r="J3436" s="17"/>
      <c r="K3436" s="17"/>
    </row>
    <row r="3437" spans="1:11" x14ac:dyDescent="0.2">
      <c r="A3437" s="115"/>
      <c r="B3437" s="93"/>
      <c r="C3437" s="94"/>
      <c r="D3437" s="95"/>
      <c r="E3437" s="95"/>
      <c r="F3437" s="96"/>
      <c r="G3437" s="97"/>
      <c r="H3437" s="114" t="str">
        <f t="shared" si="43"/>
        <v/>
      </c>
      <c r="I3437" s="17"/>
      <c r="J3437" s="17"/>
      <c r="K3437" s="17"/>
    </row>
    <row r="3438" spans="1:11" x14ac:dyDescent="0.2">
      <c r="A3438" s="115"/>
      <c r="B3438" s="93"/>
      <c r="C3438" s="94"/>
      <c r="D3438" s="95"/>
      <c r="E3438" s="95"/>
      <c r="F3438" s="96"/>
      <c r="G3438" s="97"/>
      <c r="H3438" s="114" t="str">
        <f t="shared" si="43"/>
        <v/>
      </c>
      <c r="I3438" s="17"/>
      <c r="J3438" s="17"/>
      <c r="K3438" s="17"/>
    </row>
    <row r="3439" spans="1:11" x14ac:dyDescent="0.2">
      <c r="A3439" s="115"/>
      <c r="B3439" s="93"/>
      <c r="C3439" s="94"/>
      <c r="D3439" s="95"/>
      <c r="E3439" s="95"/>
      <c r="F3439" s="96"/>
      <c r="G3439" s="97"/>
      <c r="H3439" s="114" t="str">
        <f t="shared" si="43"/>
        <v/>
      </c>
      <c r="I3439" s="17"/>
      <c r="J3439" s="17"/>
      <c r="K3439" s="17"/>
    </row>
    <row r="3440" spans="1:11" x14ac:dyDescent="0.2">
      <c r="A3440" s="115"/>
      <c r="B3440" s="93"/>
      <c r="C3440" s="94"/>
      <c r="D3440" s="95"/>
      <c r="E3440" s="95"/>
      <c r="F3440" s="96"/>
      <c r="G3440" s="97"/>
      <c r="H3440" s="114" t="str">
        <f t="shared" si="43"/>
        <v/>
      </c>
      <c r="I3440" s="17"/>
      <c r="J3440" s="17"/>
      <c r="K3440" s="17"/>
    </row>
    <row r="3441" spans="1:11" x14ac:dyDescent="0.2">
      <c r="A3441" s="115"/>
      <c r="B3441" s="93"/>
      <c r="C3441" s="94"/>
      <c r="D3441" s="95"/>
      <c r="E3441" s="95"/>
      <c r="F3441" s="96"/>
      <c r="G3441" s="97"/>
      <c r="H3441" s="114" t="str">
        <f t="shared" si="43"/>
        <v/>
      </c>
      <c r="I3441" s="17"/>
      <c r="J3441" s="17"/>
      <c r="K3441" s="17"/>
    </row>
    <row r="3442" spans="1:11" x14ac:dyDescent="0.2">
      <c r="A3442" s="115"/>
      <c r="B3442" s="93"/>
      <c r="C3442" s="94"/>
      <c r="D3442" s="95"/>
      <c r="E3442" s="95"/>
      <c r="F3442" s="96"/>
      <c r="G3442" s="97"/>
      <c r="H3442" s="114" t="str">
        <f t="shared" si="43"/>
        <v/>
      </c>
      <c r="I3442" s="17"/>
      <c r="J3442" s="17"/>
      <c r="K3442" s="17"/>
    </row>
    <row r="3443" spans="1:11" x14ac:dyDescent="0.2">
      <c r="A3443" s="115"/>
      <c r="B3443" s="93"/>
      <c r="C3443" s="94"/>
      <c r="D3443" s="95"/>
      <c r="E3443" s="95"/>
      <c r="F3443" s="96"/>
      <c r="G3443" s="97"/>
      <c r="H3443" s="114" t="str">
        <f t="shared" si="43"/>
        <v/>
      </c>
      <c r="I3443" s="17"/>
      <c r="J3443" s="17"/>
      <c r="K3443" s="17"/>
    </row>
    <row r="3444" spans="1:11" x14ac:dyDescent="0.2">
      <c r="A3444" s="115"/>
      <c r="B3444" s="93"/>
      <c r="C3444" s="94"/>
      <c r="D3444" s="95"/>
      <c r="E3444" s="95"/>
      <c r="F3444" s="96"/>
      <c r="G3444" s="97"/>
      <c r="H3444" s="114" t="str">
        <f t="shared" si="43"/>
        <v/>
      </c>
      <c r="I3444" s="17"/>
      <c r="J3444" s="17"/>
      <c r="K3444" s="17"/>
    </row>
    <row r="3445" spans="1:11" x14ac:dyDescent="0.2">
      <c r="A3445" s="115"/>
      <c r="B3445" s="93"/>
      <c r="C3445" s="94"/>
      <c r="D3445" s="95"/>
      <c r="E3445" s="95"/>
      <c r="F3445" s="96"/>
      <c r="G3445" s="97"/>
      <c r="H3445" s="114" t="str">
        <f t="shared" si="43"/>
        <v/>
      </c>
      <c r="I3445" s="17"/>
      <c r="J3445" s="17"/>
      <c r="K3445" s="17"/>
    </row>
    <row r="3446" spans="1:11" x14ac:dyDescent="0.2">
      <c r="A3446" s="115"/>
      <c r="B3446" s="93"/>
      <c r="C3446" s="94"/>
      <c r="D3446" s="95"/>
      <c r="E3446" s="95"/>
      <c r="F3446" s="96"/>
      <c r="G3446" s="97"/>
      <c r="H3446" s="114" t="str">
        <f t="shared" si="43"/>
        <v/>
      </c>
      <c r="I3446" s="17"/>
      <c r="J3446" s="17"/>
      <c r="K3446" s="17"/>
    </row>
    <row r="3447" spans="1:11" x14ac:dyDescent="0.2">
      <c r="A3447" s="115"/>
      <c r="B3447" s="93"/>
      <c r="C3447" s="94"/>
      <c r="D3447" s="95"/>
      <c r="E3447" s="95"/>
      <c r="F3447" s="96"/>
      <c r="G3447" s="97"/>
      <c r="H3447" s="114" t="str">
        <f t="shared" si="43"/>
        <v/>
      </c>
      <c r="I3447" s="17"/>
      <c r="J3447" s="17"/>
      <c r="K3447" s="17"/>
    </row>
    <row r="3448" spans="1:11" x14ac:dyDescent="0.2">
      <c r="A3448" s="115"/>
      <c r="B3448" s="93"/>
      <c r="C3448" s="94"/>
      <c r="D3448" s="95"/>
      <c r="E3448" s="95"/>
      <c r="F3448" s="96"/>
      <c r="G3448" s="97"/>
      <c r="H3448" s="114" t="str">
        <f t="shared" si="43"/>
        <v/>
      </c>
      <c r="I3448" s="17"/>
      <c r="J3448" s="17"/>
      <c r="K3448" s="17"/>
    </row>
    <row r="3449" spans="1:11" x14ac:dyDescent="0.2">
      <c r="A3449" s="115"/>
      <c r="B3449" s="93"/>
      <c r="C3449" s="94"/>
      <c r="D3449" s="95"/>
      <c r="E3449" s="95"/>
      <c r="F3449" s="96"/>
      <c r="G3449" s="97"/>
      <c r="H3449" s="114" t="str">
        <f t="shared" si="43"/>
        <v/>
      </c>
      <c r="I3449" s="17"/>
      <c r="J3449" s="17"/>
      <c r="K3449" s="17"/>
    </row>
    <row r="3450" spans="1:11" x14ac:dyDescent="0.2">
      <c r="A3450" s="115"/>
      <c r="B3450" s="93"/>
      <c r="C3450" s="94"/>
      <c r="D3450" s="95"/>
      <c r="E3450" s="95"/>
      <c r="F3450" s="96"/>
      <c r="G3450" s="97"/>
      <c r="H3450" s="114" t="str">
        <f t="shared" si="43"/>
        <v/>
      </c>
      <c r="I3450" s="17"/>
      <c r="J3450" s="17"/>
      <c r="K3450" s="17"/>
    </row>
    <row r="3451" spans="1:11" x14ac:dyDescent="0.2">
      <c r="A3451" s="115"/>
      <c r="B3451" s="93"/>
      <c r="C3451" s="94"/>
      <c r="D3451" s="95"/>
      <c r="E3451" s="95"/>
      <c r="F3451" s="96"/>
      <c r="G3451" s="97"/>
      <c r="H3451" s="114" t="str">
        <f t="shared" si="43"/>
        <v/>
      </c>
      <c r="I3451" s="17"/>
      <c r="J3451" s="17"/>
      <c r="K3451" s="17"/>
    </row>
    <row r="3452" spans="1:11" x14ac:dyDescent="0.2">
      <c r="A3452" s="115"/>
      <c r="B3452" s="93"/>
      <c r="C3452" s="94"/>
      <c r="D3452" s="95"/>
      <c r="E3452" s="95"/>
      <c r="F3452" s="96"/>
      <c r="G3452" s="97"/>
      <c r="H3452" s="114" t="str">
        <f t="shared" si="43"/>
        <v/>
      </c>
      <c r="I3452" s="17"/>
      <c r="J3452" s="17"/>
      <c r="K3452" s="17"/>
    </row>
    <row r="3453" spans="1:11" x14ac:dyDescent="0.2">
      <c r="A3453" s="115"/>
      <c r="B3453" s="93"/>
      <c r="C3453" s="94"/>
      <c r="D3453" s="95"/>
      <c r="E3453" s="95"/>
      <c r="F3453" s="96"/>
      <c r="G3453" s="97"/>
      <c r="H3453" s="114" t="str">
        <f t="shared" si="43"/>
        <v/>
      </c>
      <c r="I3453" s="17"/>
      <c r="J3453" s="17"/>
      <c r="K3453" s="17"/>
    </row>
    <row r="3454" spans="1:11" x14ac:dyDescent="0.2">
      <c r="A3454" s="115"/>
      <c r="B3454" s="93"/>
      <c r="C3454" s="94"/>
      <c r="D3454" s="95"/>
      <c r="E3454" s="95"/>
      <c r="F3454" s="96"/>
      <c r="G3454" s="97"/>
      <c r="H3454" s="114" t="str">
        <f t="shared" si="43"/>
        <v/>
      </c>
      <c r="I3454" s="17"/>
      <c r="J3454" s="17"/>
      <c r="K3454" s="17"/>
    </row>
    <row r="3455" spans="1:11" x14ac:dyDescent="0.2">
      <c r="A3455" s="115"/>
      <c r="B3455" s="93"/>
      <c r="C3455" s="94"/>
      <c r="D3455" s="95"/>
      <c r="E3455" s="95"/>
      <c r="F3455" s="96"/>
      <c r="G3455" s="97"/>
      <c r="H3455" s="114" t="str">
        <f t="shared" si="43"/>
        <v/>
      </c>
      <c r="I3455" s="17"/>
      <c r="J3455" s="17"/>
      <c r="K3455" s="17"/>
    </row>
    <row r="3456" spans="1:11" x14ac:dyDescent="0.2">
      <c r="A3456" s="115"/>
      <c r="B3456" s="93"/>
      <c r="C3456" s="94"/>
      <c r="D3456" s="95"/>
      <c r="E3456" s="95"/>
      <c r="F3456" s="96"/>
      <c r="G3456" s="97"/>
      <c r="H3456" s="114" t="str">
        <f t="shared" si="43"/>
        <v/>
      </c>
      <c r="I3456" s="17"/>
      <c r="J3456" s="17"/>
      <c r="K3456" s="17"/>
    </row>
    <row r="3457" spans="1:11" x14ac:dyDescent="0.2">
      <c r="A3457" s="115"/>
      <c r="B3457" s="93"/>
      <c r="C3457" s="94"/>
      <c r="D3457" s="95"/>
      <c r="E3457" s="95"/>
      <c r="F3457" s="96"/>
      <c r="G3457" s="97"/>
      <c r="H3457" s="114" t="str">
        <f t="shared" si="43"/>
        <v/>
      </c>
      <c r="I3457" s="17"/>
      <c r="J3457" s="17"/>
      <c r="K3457" s="17"/>
    </row>
    <row r="3458" spans="1:11" x14ac:dyDescent="0.2">
      <c r="A3458" s="115"/>
      <c r="B3458" s="93"/>
      <c r="C3458" s="94"/>
      <c r="D3458" s="95"/>
      <c r="E3458" s="95"/>
      <c r="F3458" s="96"/>
      <c r="G3458" s="97"/>
      <c r="H3458" s="114" t="str">
        <f t="shared" si="43"/>
        <v/>
      </c>
      <c r="I3458" s="17"/>
      <c r="J3458" s="17"/>
      <c r="K3458" s="17"/>
    </row>
    <row r="3459" spans="1:11" x14ac:dyDescent="0.2">
      <c r="A3459" s="115"/>
      <c r="B3459" s="93"/>
      <c r="C3459" s="94"/>
      <c r="D3459" s="95"/>
      <c r="E3459" s="95"/>
      <c r="F3459" s="96"/>
      <c r="G3459" s="97"/>
      <c r="H3459" s="114" t="str">
        <f t="shared" si="43"/>
        <v/>
      </c>
      <c r="I3459" s="17"/>
      <c r="J3459" s="17"/>
      <c r="K3459" s="17"/>
    </row>
    <row r="3460" spans="1:11" x14ac:dyDescent="0.2">
      <c r="A3460" s="115"/>
      <c r="B3460" s="93"/>
      <c r="C3460" s="94"/>
      <c r="D3460" s="95"/>
      <c r="E3460" s="95"/>
      <c r="F3460" s="96"/>
      <c r="G3460" s="97"/>
      <c r="H3460" s="114" t="str">
        <f t="shared" ref="H3460:H3523" si="44">IF(A3460&lt;&gt;"", EOMONTH(A3460, -1) + 1, "")</f>
        <v/>
      </c>
      <c r="I3460" s="17"/>
      <c r="J3460" s="17"/>
      <c r="K3460" s="17"/>
    </row>
    <row r="3461" spans="1:11" x14ac:dyDescent="0.2">
      <c r="A3461" s="115"/>
      <c r="B3461" s="93"/>
      <c r="C3461" s="94"/>
      <c r="D3461" s="95"/>
      <c r="E3461" s="95"/>
      <c r="F3461" s="96"/>
      <c r="G3461" s="97"/>
      <c r="H3461" s="114" t="str">
        <f t="shared" si="44"/>
        <v/>
      </c>
      <c r="I3461" s="17"/>
      <c r="J3461" s="17"/>
      <c r="K3461" s="17"/>
    </row>
    <row r="3462" spans="1:11" x14ac:dyDescent="0.2">
      <c r="A3462" s="115"/>
      <c r="B3462" s="93"/>
      <c r="C3462" s="94"/>
      <c r="D3462" s="95"/>
      <c r="E3462" s="95"/>
      <c r="F3462" s="96"/>
      <c r="G3462" s="97"/>
      <c r="H3462" s="114" t="str">
        <f t="shared" si="44"/>
        <v/>
      </c>
      <c r="I3462" s="17"/>
      <c r="J3462" s="17"/>
      <c r="K3462" s="17"/>
    </row>
    <row r="3463" spans="1:11" x14ac:dyDescent="0.2">
      <c r="A3463" s="115"/>
      <c r="B3463" s="93"/>
      <c r="C3463" s="94"/>
      <c r="D3463" s="95"/>
      <c r="E3463" s="95"/>
      <c r="F3463" s="96"/>
      <c r="G3463" s="97"/>
      <c r="H3463" s="114" t="str">
        <f t="shared" si="44"/>
        <v/>
      </c>
      <c r="I3463" s="17"/>
      <c r="J3463" s="17"/>
      <c r="K3463" s="17"/>
    </row>
    <row r="3464" spans="1:11" x14ac:dyDescent="0.2">
      <c r="A3464" s="115"/>
      <c r="B3464" s="93"/>
      <c r="C3464" s="94"/>
      <c r="D3464" s="95"/>
      <c r="E3464" s="95"/>
      <c r="F3464" s="96"/>
      <c r="G3464" s="97"/>
      <c r="H3464" s="114" t="str">
        <f t="shared" si="44"/>
        <v/>
      </c>
      <c r="I3464" s="17"/>
      <c r="J3464" s="17"/>
      <c r="K3464" s="17"/>
    </row>
    <row r="3465" spans="1:11" x14ac:dyDescent="0.2">
      <c r="A3465" s="115"/>
      <c r="B3465" s="93"/>
      <c r="C3465" s="94"/>
      <c r="D3465" s="95"/>
      <c r="E3465" s="95"/>
      <c r="F3465" s="96"/>
      <c r="G3465" s="97"/>
      <c r="H3465" s="114" t="str">
        <f t="shared" si="44"/>
        <v/>
      </c>
      <c r="I3465" s="17"/>
      <c r="J3465" s="17"/>
      <c r="K3465" s="17"/>
    </row>
    <row r="3466" spans="1:11" x14ac:dyDescent="0.2">
      <c r="A3466" s="115"/>
      <c r="B3466" s="93"/>
      <c r="C3466" s="94"/>
      <c r="D3466" s="95"/>
      <c r="E3466" s="95"/>
      <c r="F3466" s="96"/>
      <c r="G3466" s="97"/>
      <c r="H3466" s="114" t="str">
        <f t="shared" si="44"/>
        <v/>
      </c>
      <c r="I3466" s="17"/>
      <c r="J3466" s="17"/>
      <c r="K3466" s="17"/>
    </row>
    <row r="3467" spans="1:11" x14ac:dyDescent="0.2">
      <c r="A3467" s="115"/>
      <c r="B3467" s="93"/>
      <c r="C3467" s="94"/>
      <c r="D3467" s="95"/>
      <c r="E3467" s="95"/>
      <c r="F3467" s="96"/>
      <c r="G3467" s="97"/>
      <c r="H3467" s="114" t="str">
        <f t="shared" si="44"/>
        <v/>
      </c>
      <c r="I3467" s="17"/>
      <c r="J3467" s="17"/>
      <c r="K3467" s="17"/>
    </row>
    <row r="3468" spans="1:11" x14ac:dyDescent="0.2">
      <c r="A3468" s="115"/>
      <c r="B3468" s="93"/>
      <c r="C3468" s="94"/>
      <c r="D3468" s="95"/>
      <c r="E3468" s="95"/>
      <c r="F3468" s="96"/>
      <c r="G3468" s="97"/>
      <c r="H3468" s="114" t="str">
        <f t="shared" si="44"/>
        <v/>
      </c>
      <c r="I3468" s="17"/>
      <c r="J3468" s="17"/>
      <c r="K3468" s="17"/>
    </row>
    <row r="3469" spans="1:11" x14ac:dyDescent="0.2">
      <c r="A3469" s="115"/>
      <c r="B3469" s="93"/>
      <c r="C3469" s="94"/>
      <c r="D3469" s="95"/>
      <c r="E3469" s="95"/>
      <c r="F3469" s="96"/>
      <c r="G3469" s="97"/>
      <c r="H3469" s="114" t="str">
        <f t="shared" si="44"/>
        <v/>
      </c>
      <c r="I3469" s="17"/>
      <c r="J3469" s="17"/>
      <c r="K3469" s="17"/>
    </row>
    <row r="3470" spans="1:11" x14ac:dyDescent="0.2">
      <c r="A3470" s="115"/>
      <c r="B3470" s="93"/>
      <c r="C3470" s="94"/>
      <c r="D3470" s="95"/>
      <c r="E3470" s="95"/>
      <c r="F3470" s="96"/>
      <c r="G3470" s="97"/>
      <c r="H3470" s="114" t="str">
        <f t="shared" si="44"/>
        <v/>
      </c>
      <c r="I3470" s="17"/>
      <c r="J3470" s="17"/>
      <c r="K3470" s="17"/>
    </row>
    <row r="3471" spans="1:11" x14ac:dyDescent="0.2">
      <c r="A3471" s="115"/>
      <c r="B3471" s="93"/>
      <c r="C3471" s="94"/>
      <c r="D3471" s="95"/>
      <c r="E3471" s="95"/>
      <c r="F3471" s="96"/>
      <c r="G3471" s="97"/>
      <c r="H3471" s="114" t="str">
        <f t="shared" si="44"/>
        <v/>
      </c>
      <c r="I3471" s="17"/>
      <c r="J3471" s="17"/>
      <c r="K3471" s="17"/>
    </row>
    <row r="3472" spans="1:11" x14ac:dyDescent="0.2">
      <c r="A3472" s="115"/>
      <c r="B3472" s="93"/>
      <c r="C3472" s="94"/>
      <c r="D3472" s="95"/>
      <c r="E3472" s="95"/>
      <c r="F3472" s="96"/>
      <c r="G3472" s="97"/>
      <c r="H3472" s="114" t="str">
        <f t="shared" si="44"/>
        <v/>
      </c>
      <c r="I3472" s="17"/>
      <c r="J3472" s="17"/>
      <c r="K3472" s="17"/>
    </row>
    <row r="3473" spans="1:11" x14ac:dyDescent="0.2">
      <c r="A3473" s="115"/>
      <c r="B3473" s="93"/>
      <c r="C3473" s="94"/>
      <c r="D3473" s="95"/>
      <c r="E3473" s="95"/>
      <c r="F3473" s="96"/>
      <c r="G3473" s="97"/>
      <c r="H3473" s="114" t="str">
        <f t="shared" si="44"/>
        <v/>
      </c>
      <c r="I3473" s="17"/>
      <c r="J3473" s="17"/>
      <c r="K3473" s="17"/>
    </row>
    <row r="3474" spans="1:11" x14ac:dyDescent="0.2">
      <c r="A3474" s="115"/>
      <c r="B3474" s="93"/>
      <c r="C3474" s="94"/>
      <c r="D3474" s="95"/>
      <c r="E3474" s="95"/>
      <c r="F3474" s="96"/>
      <c r="G3474" s="97"/>
      <c r="H3474" s="114" t="str">
        <f t="shared" si="44"/>
        <v/>
      </c>
      <c r="I3474" s="17"/>
      <c r="J3474" s="17"/>
      <c r="K3474" s="17"/>
    </row>
    <row r="3475" spans="1:11" x14ac:dyDescent="0.2">
      <c r="A3475" s="115"/>
      <c r="B3475" s="93"/>
      <c r="C3475" s="94"/>
      <c r="D3475" s="95"/>
      <c r="E3475" s="95"/>
      <c r="F3475" s="96"/>
      <c r="G3475" s="97"/>
      <c r="H3475" s="114" t="str">
        <f t="shared" si="44"/>
        <v/>
      </c>
      <c r="I3475" s="17"/>
      <c r="J3475" s="17"/>
      <c r="K3475" s="17"/>
    </row>
    <row r="3476" spans="1:11" x14ac:dyDescent="0.2">
      <c r="A3476" s="115"/>
      <c r="B3476" s="93"/>
      <c r="C3476" s="94"/>
      <c r="D3476" s="95"/>
      <c r="E3476" s="95"/>
      <c r="F3476" s="96"/>
      <c r="G3476" s="97"/>
      <c r="H3476" s="114" t="str">
        <f t="shared" si="44"/>
        <v/>
      </c>
      <c r="I3476" s="17"/>
      <c r="J3476" s="17"/>
      <c r="K3476" s="17"/>
    </row>
    <row r="3477" spans="1:11" x14ac:dyDescent="0.2">
      <c r="A3477" s="115"/>
      <c r="B3477" s="93"/>
      <c r="C3477" s="94"/>
      <c r="D3477" s="95"/>
      <c r="E3477" s="95"/>
      <c r="F3477" s="96"/>
      <c r="G3477" s="97"/>
      <c r="H3477" s="114" t="str">
        <f t="shared" si="44"/>
        <v/>
      </c>
      <c r="I3477" s="17"/>
      <c r="J3477" s="17"/>
      <c r="K3477" s="17"/>
    </row>
    <row r="3478" spans="1:11" x14ac:dyDescent="0.2">
      <c r="A3478" s="115"/>
      <c r="B3478" s="93"/>
      <c r="C3478" s="94"/>
      <c r="D3478" s="95"/>
      <c r="E3478" s="95"/>
      <c r="F3478" s="96"/>
      <c r="G3478" s="97"/>
      <c r="H3478" s="114" t="str">
        <f t="shared" si="44"/>
        <v/>
      </c>
      <c r="I3478" s="17"/>
      <c r="J3478" s="17"/>
      <c r="K3478" s="17"/>
    </row>
    <row r="3479" spans="1:11" x14ac:dyDescent="0.2">
      <c r="A3479" s="115"/>
      <c r="B3479" s="93"/>
      <c r="C3479" s="94"/>
      <c r="D3479" s="95"/>
      <c r="E3479" s="95"/>
      <c r="F3479" s="96"/>
      <c r="G3479" s="97"/>
      <c r="H3479" s="114" t="str">
        <f t="shared" si="44"/>
        <v/>
      </c>
      <c r="I3479" s="17"/>
      <c r="J3479" s="17"/>
      <c r="K3479" s="17"/>
    </row>
    <row r="3480" spans="1:11" x14ac:dyDescent="0.2">
      <c r="A3480" s="115"/>
      <c r="B3480" s="93"/>
      <c r="C3480" s="94"/>
      <c r="D3480" s="95"/>
      <c r="E3480" s="95"/>
      <c r="F3480" s="96"/>
      <c r="G3480" s="97"/>
      <c r="H3480" s="114" t="str">
        <f t="shared" si="44"/>
        <v/>
      </c>
      <c r="I3480" s="17"/>
      <c r="J3480" s="17"/>
      <c r="K3480" s="17"/>
    </row>
    <row r="3481" spans="1:11" x14ac:dyDescent="0.2">
      <c r="A3481" s="115"/>
      <c r="B3481" s="93"/>
      <c r="C3481" s="94"/>
      <c r="D3481" s="95"/>
      <c r="E3481" s="95"/>
      <c r="F3481" s="96"/>
      <c r="G3481" s="97"/>
      <c r="H3481" s="114" t="str">
        <f t="shared" si="44"/>
        <v/>
      </c>
      <c r="I3481" s="17"/>
      <c r="J3481" s="17"/>
      <c r="K3481" s="17"/>
    </row>
    <row r="3482" spans="1:11" x14ac:dyDescent="0.2">
      <c r="A3482" s="115"/>
      <c r="B3482" s="93"/>
      <c r="C3482" s="94"/>
      <c r="D3482" s="95"/>
      <c r="E3482" s="95"/>
      <c r="F3482" s="96"/>
      <c r="G3482" s="97"/>
      <c r="H3482" s="114" t="str">
        <f t="shared" si="44"/>
        <v/>
      </c>
      <c r="I3482" s="17"/>
      <c r="J3482" s="17"/>
      <c r="K3482" s="17"/>
    </row>
    <row r="3483" spans="1:11" x14ac:dyDescent="0.2">
      <c r="A3483" s="115"/>
      <c r="B3483" s="93"/>
      <c r="C3483" s="94"/>
      <c r="D3483" s="95"/>
      <c r="E3483" s="95"/>
      <c r="F3483" s="96"/>
      <c r="G3483" s="97"/>
      <c r="H3483" s="114" t="str">
        <f t="shared" si="44"/>
        <v/>
      </c>
      <c r="I3483" s="17"/>
      <c r="J3483" s="17"/>
      <c r="K3483" s="17"/>
    </row>
    <row r="3484" spans="1:11" x14ac:dyDescent="0.2">
      <c r="A3484" s="115"/>
      <c r="B3484" s="93"/>
      <c r="C3484" s="94"/>
      <c r="D3484" s="95"/>
      <c r="E3484" s="95"/>
      <c r="F3484" s="96"/>
      <c r="G3484" s="97"/>
      <c r="H3484" s="114" t="str">
        <f t="shared" si="44"/>
        <v/>
      </c>
      <c r="I3484" s="17"/>
      <c r="J3484" s="17"/>
      <c r="K3484" s="17"/>
    </row>
    <row r="3485" spans="1:11" x14ac:dyDescent="0.2">
      <c r="A3485" s="115"/>
      <c r="B3485" s="93"/>
      <c r="C3485" s="94"/>
      <c r="D3485" s="95"/>
      <c r="E3485" s="95"/>
      <c r="F3485" s="96"/>
      <c r="G3485" s="97"/>
      <c r="H3485" s="114" t="str">
        <f t="shared" si="44"/>
        <v/>
      </c>
      <c r="I3485" s="17"/>
      <c r="J3485" s="17"/>
      <c r="K3485" s="17"/>
    </row>
    <row r="3486" spans="1:11" x14ac:dyDescent="0.2">
      <c r="A3486" s="115"/>
      <c r="B3486" s="93"/>
      <c r="C3486" s="94"/>
      <c r="D3486" s="95"/>
      <c r="E3486" s="95"/>
      <c r="F3486" s="96"/>
      <c r="G3486" s="97"/>
      <c r="H3486" s="114" t="str">
        <f t="shared" si="44"/>
        <v/>
      </c>
      <c r="I3486" s="17"/>
      <c r="J3486" s="17"/>
      <c r="K3486" s="17"/>
    </row>
    <row r="3487" spans="1:11" x14ac:dyDescent="0.2">
      <c r="A3487" s="115"/>
      <c r="B3487" s="93"/>
      <c r="C3487" s="94"/>
      <c r="D3487" s="95"/>
      <c r="E3487" s="95"/>
      <c r="F3487" s="96"/>
      <c r="G3487" s="97"/>
      <c r="H3487" s="114" t="str">
        <f t="shared" si="44"/>
        <v/>
      </c>
      <c r="I3487" s="17"/>
      <c r="J3487" s="17"/>
      <c r="K3487" s="17"/>
    </row>
    <row r="3488" spans="1:11" x14ac:dyDescent="0.2">
      <c r="A3488" s="115"/>
      <c r="B3488" s="93"/>
      <c r="C3488" s="94"/>
      <c r="D3488" s="95"/>
      <c r="E3488" s="95"/>
      <c r="F3488" s="96"/>
      <c r="G3488" s="97"/>
      <c r="H3488" s="114" t="str">
        <f t="shared" si="44"/>
        <v/>
      </c>
      <c r="I3488" s="17"/>
      <c r="J3488" s="17"/>
      <c r="K3488" s="17"/>
    </row>
    <row r="3489" spans="1:11" x14ac:dyDescent="0.2">
      <c r="A3489" s="115"/>
      <c r="B3489" s="93"/>
      <c r="C3489" s="94"/>
      <c r="D3489" s="95"/>
      <c r="E3489" s="95"/>
      <c r="F3489" s="96"/>
      <c r="G3489" s="97"/>
      <c r="H3489" s="114" t="str">
        <f t="shared" si="44"/>
        <v/>
      </c>
      <c r="I3489" s="17"/>
      <c r="J3489" s="17"/>
      <c r="K3489" s="17"/>
    </row>
    <row r="3490" spans="1:11" x14ac:dyDescent="0.2">
      <c r="A3490" s="115"/>
      <c r="B3490" s="93"/>
      <c r="C3490" s="94"/>
      <c r="D3490" s="95"/>
      <c r="E3490" s="95"/>
      <c r="F3490" s="96"/>
      <c r="G3490" s="97"/>
      <c r="H3490" s="114" t="str">
        <f t="shared" si="44"/>
        <v/>
      </c>
      <c r="I3490" s="17"/>
      <c r="J3490" s="17"/>
      <c r="K3490" s="17"/>
    </row>
    <row r="3491" spans="1:11" x14ac:dyDescent="0.2">
      <c r="A3491" s="115"/>
      <c r="B3491" s="93"/>
      <c r="C3491" s="94"/>
      <c r="D3491" s="95"/>
      <c r="E3491" s="95"/>
      <c r="F3491" s="96"/>
      <c r="G3491" s="97"/>
      <c r="H3491" s="114" t="str">
        <f t="shared" si="44"/>
        <v/>
      </c>
      <c r="I3491" s="17"/>
      <c r="J3491" s="17"/>
      <c r="K3491" s="17"/>
    </row>
    <row r="3492" spans="1:11" x14ac:dyDescent="0.2">
      <c r="A3492" s="115"/>
      <c r="B3492" s="93"/>
      <c r="C3492" s="94"/>
      <c r="D3492" s="95"/>
      <c r="E3492" s="95"/>
      <c r="F3492" s="96"/>
      <c r="G3492" s="97"/>
      <c r="H3492" s="114" t="str">
        <f t="shared" si="44"/>
        <v/>
      </c>
      <c r="I3492" s="17"/>
      <c r="J3492" s="17"/>
      <c r="K3492" s="17"/>
    </row>
    <row r="3493" spans="1:11" x14ac:dyDescent="0.2">
      <c r="A3493" s="115"/>
      <c r="B3493" s="93"/>
      <c r="C3493" s="94"/>
      <c r="D3493" s="95"/>
      <c r="E3493" s="95"/>
      <c r="F3493" s="96"/>
      <c r="G3493" s="97"/>
      <c r="H3493" s="114" t="str">
        <f t="shared" si="44"/>
        <v/>
      </c>
      <c r="I3493" s="17"/>
      <c r="J3493" s="17"/>
      <c r="K3493" s="17"/>
    </row>
    <row r="3494" spans="1:11" x14ac:dyDescent="0.2">
      <c r="A3494" s="115"/>
      <c r="B3494" s="93"/>
      <c r="C3494" s="94"/>
      <c r="D3494" s="95"/>
      <c r="E3494" s="95"/>
      <c r="F3494" s="96"/>
      <c r="G3494" s="97"/>
      <c r="H3494" s="114" t="str">
        <f t="shared" si="44"/>
        <v/>
      </c>
      <c r="I3494" s="17"/>
      <c r="J3494" s="17"/>
      <c r="K3494" s="17"/>
    </row>
    <row r="3495" spans="1:11" x14ac:dyDescent="0.2">
      <c r="A3495" s="115"/>
      <c r="B3495" s="93"/>
      <c r="C3495" s="94"/>
      <c r="D3495" s="95"/>
      <c r="E3495" s="95"/>
      <c r="F3495" s="96"/>
      <c r="G3495" s="97"/>
      <c r="H3495" s="114" t="str">
        <f t="shared" si="44"/>
        <v/>
      </c>
      <c r="I3495" s="17"/>
      <c r="J3495" s="17"/>
      <c r="K3495" s="17"/>
    </row>
    <row r="3496" spans="1:11" x14ac:dyDescent="0.2">
      <c r="A3496" s="115"/>
      <c r="B3496" s="93"/>
      <c r="C3496" s="94"/>
      <c r="D3496" s="95"/>
      <c r="E3496" s="95"/>
      <c r="F3496" s="96"/>
      <c r="G3496" s="97"/>
      <c r="H3496" s="114" t="str">
        <f t="shared" si="44"/>
        <v/>
      </c>
      <c r="I3496" s="17"/>
      <c r="J3496" s="17"/>
      <c r="K3496" s="17"/>
    </row>
    <row r="3497" spans="1:11" x14ac:dyDescent="0.2">
      <c r="A3497" s="115"/>
      <c r="B3497" s="93"/>
      <c r="C3497" s="94"/>
      <c r="D3497" s="95"/>
      <c r="E3497" s="95"/>
      <c r="F3497" s="96"/>
      <c r="G3497" s="97"/>
      <c r="H3497" s="114" t="str">
        <f t="shared" si="44"/>
        <v/>
      </c>
      <c r="I3497" s="17"/>
      <c r="J3497" s="17"/>
      <c r="K3497" s="17"/>
    </row>
    <row r="3498" spans="1:11" x14ac:dyDescent="0.2">
      <c r="A3498" s="115"/>
      <c r="B3498" s="93"/>
      <c r="C3498" s="94"/>
      <c r="D3498" s="95"/>
      <c r="E3498" s="95"/>
      <c r="F3498" s="96"/>
      <c r="G3498" s="97"/>
      <c r="H3498" s="114" t="str">
        <f t="shared" si="44"/>
        <v/>
      </c>
      <c r="I3498" s="17"/>
      <c r="J3498" s="17"/>
      <c r="K3498" s="17"/>
    </row>
    <row r="3499" spans="1:11" x14ac:dyDescent="0.2">
      <c r="A3499" s="115"/>
      <c r="B3499" s="93"/>
      <c r="C3499" s="94"/>
      <c r="D3499" s="95"/>
      <c r="E3499" s="95"/>
      <c r="F3499" s="96"/>
      <c r="G3499" s="97"/>
      <c r="H3499" s="114" t="str">
        <f t="shared" si="44"/>
        <v/>
      </c>
      <c r="I3499" s="17"/>
      <c r="J3499" s="17"/>
      <c r="K3499" s="17"/>
    </row>
    <row r="3500" spans="1:11" x14ac:dyDescent="0.2">
      <c r="A3500" s="115"/>
      <c r="B3500" s="93"/>
      <c r="C3500" s="94"/>
      <c r="D3500" s="95"/>
      <c r="E3500" s="95"/>
      <c r="F3500" s="96"/>
      <c r="G3500" s="97"/>
      <c r="H3500" s="114" t="str">
        <f t="shared" si="44"/>
        <v/>
      </c>
      <c r="I3500" s="17"/>
      <c r="J3500" s="17"/>
      <c r="K3500" s="17"/>
    </row>
    <row r="3501" spans="1:11" x14ac:dyDescent="0.2">
      <c r="A3501" s="115"/>
      <c r="B3501" s="93"/>
      <c r="C3501" s="94"/>
      <c r="D3501" s="95"/>
      <c r="E3501" s="95"/>
      <c r="F3501" s="96"/>
      <c r="G3501" s="97"/>
      <c r="H3501" s="114" t="str">
        <f t="shared" si="44"/>
        <v/>
      </c>
      <c r="I3501" s="17"/>
      <c r="J3501" s="17"/>
      <c r="K3501" s="17"/>
    </row>
    <row r="3502" spans="1:11" x14ac:dyDescent="0.2">
      <c r="A3502" s="115"/>
      <c r="B3502" s="93"/>
      <c r="C3502" s="94"/>
      <c r="D3502" s="95"/>
      <c r="E3502" s="95"/>
      <c r="F3502" s="96"/>
      <c r="G3502" s="97"/>
      <c r="H3502" s="114" t="str">
        <f t="shared" si="44"/>
        <v/>
      </c>
      <c r="I3502" s="17"/>
      <c r="J3502" s="17"/>
      <c r="K3502" s="17"/>
    </row>
    <row r="3503" spans="1:11" x14ac:dyDescent="0.2">
      <c r="A3503" s="115"/>
      <c r="B3503" s="93"/>
      <c r="C3503" s="94"/>
      <c r="D3503" s="95"/>
      <c r="E3503" s="95"/>
      <c r="F3503" s="96"/>
      <c r="G3503" s="97"/>
      <c r="H3503" s="114" t="str">
        <f t="shared" si="44"/>
        <v/>
      </c>
      <c r="I3503" s="17"/>
      <c r="J3503" s="17"/>
      <c r="K3503" s="17"/>
    </row>
    <row r="3504" spans="1:11" x14ac:dyDescent="0.2">
      <c r="A3504" s="115"/>
      <c r="B3504" s="93"/>
      <c r="C3504" s="94"/>
      <c r="D3504" s="95"/>
      <c r="E3504" s="95"/>
      <c r="F3504" s="96"/>
      <c r="G3504" s="97"/>
      <c r="H3504" s="114" t="str">
        <f t="shared" si="44"/>
        <v/>
      </c>
      <c r="I3504" s="17"/>
      <c r="J3504" s="17"/>
      <c r="K3504" s="17"/>
    </row>
    <row r="3505" spans="1:11" x14ac:dyDescent="0.2">
      <c r="A3505" s="115"/>
      <c r="B3505" s="93"/>
      <c r="C3505" s="94"/>
      <c r="D3505" s="95"/>
      <c r="E3505" s="95"/>
      <c r="F3505" s="96"/>
      <c r="G3505" s="97"/>
      <c r="H3505" s="114" t="str">
        <f t="shared" si="44"/>
        <v/>
      </c>
      <c r="I3505" s="17"/>
      <c r="J3505" s="17"/>
      <c r="K3505" s="17"/>
    </row>
    <row r="3506" spans="1:11" x14ac:dyDescent="0.2">
      <c r="A3506" s="115"/>
      <c r="B3506" s="93"/>
      <c r="C3506" s="94"/>
      <c r="D3506" s="95"/>
      <c r="E3506" s="95"/>
      <c r="F3506" s="96"/>
      <c r="G3506" s="97"/>
      <c r="H3506" s="114" t="str">
        <f t="shared" si="44"/>
        <v/>
      </c>
      <c r="I3506" s="17"/>
      <c r="J3506" s="17"/>
      <c r="K3506" s="17"/>
    </row>
    <row r="3507" spans="1:11" x14ac:dyDescent="0.2">
      <c r="A3507" s="115"/>
      <c r="B3507" s="93"/>
      <c r="C3507" s="94"/>
      <c r="D3507" s="95"/>
      <c r="E3507" s="95"/>
      <c r="F3507" s="96"/>
      <c r="G3507" s="97"/>
      <c r="H3507" s="114" t="str">
        <f t="shared" si="44"/>
        <v/>
      </c>
      <c r="I3507" s="17"/>
      <c r="J3507" s="17"/>
      <c r="K3507" s="17"/>
    </row>
    <row r="3508" spans="1:11" x14ac:dyDescent="0.2">
      <c r="A3508" s="115"/>
      <c r="B3508" s="93"/>
      <c r="C3508" s="94"/>
      <c r="D3508" s="95"/>
      <c r="E3508" s="95"/>
      <c r="F3508" s="96"/>
      <c r="G3508" s="97"/>
      <c r="H3508" s="114" t="str">
        <f t="shared" si="44"/>
        <v/>
      </c>
      <c r="I3508" s="17"/>
      <c r="J3508" s="17"/>
      <c r="K3508" s="17"/>
    </row>
    <row r="3509" spans="1:11" x14ac:dyDescent="0.2">
      <c r="A3509" s="115"/>
      <c r="B3509" s="93"/>
      <c r="C3509" s="94"/>
      <c r="D3509" s="95"/>
      <c r="E3509" s="95"/>
      <c r="F3509" s="96"/>
      <c r="G3509" s="97"/>
      <c r="H3509" s="114" t="str">
        <f t="shared" si="44"/>
        <v/>
      </c>
      <c r="I3509" s="17"/>
      <c r="J3509" s="17"/>
      <c r="K3509" s="17"/>
    </row>
    <row r="3510" spans="1:11" x14ac:dyDescent="0.2">
      <c r="A3510" s="115"/>
      <c r="B3510" s="93"/>
      <c r="C3510" s="94"/>
      <c r="D3510" s="95"/>
      <c r="E3510" s="95"/>
      <c r="F3510" s="96"/>
      <c r="G3510" s="97"/>
      <c r="H3510" s="114" t="str">
        <f t="shared" si="44"/>
        <v/>
      </c>
      <c r="I3510" s="17"/>
      <c r="J3510" s="17"/>
      <c r="K3510" s="17"/>
    </row>
    <row r="3511" spans="1:11" x14ac:dyDescent="0.2">
      <c r="A3511" s="115"/>
      <c r="B3511" s="93"/>
      <c r="C3511" s="94"/>
      <c r="D3511" s="95"/>
      <c r="E3511" s="95"/>
      <c r="F3511" s="96"/>
      <c r="G3511" s="97"/>
      <c r="H3511" s="114" t="str">
        <f t="shared" si="44"/>
        <v/>
      </c>
      <c r="I3511" s="17"/>
      <c r="J3511" s="17"/>
      <c r="K3511" s="17"/>
    </row>
    <row r="3512" spans="1:11" x14ac:dyDescent="0.2">
      <c r="A3512" s="115"/>
      <c r="B3512" s="93"/>
      <c r="C3512" s="94"/>
      <c r="D3512" s="95"/>
      <c r="E3512" s="95"/>
      <c r="F3512" s="96"/>
      <c r="G3512" s="97"/>
      <c r="H3512" s="114" t="str">
        <f t="shared" si="44"/>
        <v/>
      </c>
      <c r="I3512" s="17"/>
      <c r="J3512" s="17"/>
      <c r="K3512" s="17"/>
    </row>
    <row r="3513" spans="1:11" x14ac:dyDescent="0.2">
      <c r="A3513" s="115"/>
      <c r="B3513" s="93"/>
      <c r="C3513" s="94"/>
      <c r="D3513" s="95"/>
      <c r="E3513" s="95"/>
      <c r="F3513" s="96"/>
      <c r="G3513" s="97"/>
      <c r="H3513" s="114" t="str">
        <f t="shared" si="44"/>
        <v/>
      </c>
      <c r="I3513" s="17"/>
      <c r="J3513" s="17"/>
      <c r="K3513" s="17"/>
    </row>
    <row r="3514" spans="1:11" x14ac:dyDescent="0.2">
      <c r="A3514" s="115"/>
      <c r="B3514" s="93"/>
      <c r="C3514" s="94"/>
      <c r="D3514" s="95"/>
      <c r="E3514" s="95"/>
      <c r="F3514" s="96"/>
      <c r="G3514" s="97"/>
      <c r="H3514" s="114" t="str">
        <f t="shared" si="44"/>
        <v/>
      </c>
      <c r="I3514" s="17"/>
      <c r="J3514" s="17"/>
      <c r="K3514" s="17"/>
    </row>
    <row r="3515" spans="1:11" x14ac:dyDescent="0.2">
      <c r="A3515" s="115"/>
      <c r="B3515" s="93"/>
      <c r="C3515" s="94"/>
      <c r="D3515" s="95"/>
      <c r="E3515" s="95"/>
      <c r="F3515" s="96"/>
      <c r="G3515" s="97"/>
      <c r="H3515" s="114" t="str">
        <f t="shared" si="44"/>
        <v/>
      </c>
      <c r="I3515" s="17"/>
      <c r="J3515" s="17"/>
      <c r="K3515" s="17"/>
    </row>
    <row r="3516" spans="1:11" x14ac:dyDescent="0.2">
      <c r="A3516" s="115"/>
      <c r="B3516" s="93"/>
      <c r="C3516" s="94"/>
      <c r="D3516" s="95"/>
      <c r="E3516" s="95"/>
      <c r="F3516" s="96"/>
      <c r="G3516" s="97"/>
      <c r="H3516" s="114" t="str">
        <f t="shared" si="44"/>
        <v/>
      </c>
      <c r="I3516" s="17"/>
      <c r="J3516" s="17"/>
      <c r="K3516" s="17"/>
    </row>
    <row r="3517" spans="1:11" x14ac:dyDescent="0.2">
      <c r="A3517" s="115"/>
      <c r="B3517" s="93"/>
      <c r="C3517" s="94"/>
      <c r="D3517" s="95"/>
      <c r="E3517" s="95"/>
      <c r="F3517" s="96"/>
      <c r="G3517" s="97"/>
      <c r="H3517" s="114" t="str">
        <f t="shared" si="44"/>
        <v/>
      </c>
      <c r="I3517" s="17"/>
      <c r="J3517" s="17"/>
      <c r="K3517" s="17"/>
    </row>
    <row r="3518" spans="1:11" x14ac:dyDescent="0.2">
      <c r="A3518" s="115"/>
      <c r="B3518" s="93"/>
      <c r="C3518" s="94"/>
      <c r="D3518" s="95"/>
      <c r="E3518" s="95"/>
      <c r="F3518" s="96"/>
      <c r="G3518" s="97"/>
      <c r="H3518" s="114" t="str">
        <f t="shared" si="44"/>
        <v/>
      </c>
      <c r="I3518" s="17"/>
      <c r="J3518" s="17"/>
      <c r="K3518" s="17"/>
    </row>
    <row r="3519" spans="1:11" x14ac:dyDescent="0.2">
      <c r="A3519" s="115"/>
      <c r="B3519" s="93"/>
      <c r="C3519" s="94"/>
      <c r="D3519" s="95"/>
      <c r="E3519" s="95"/>
      <c r="F3519" s="96"/>
      <c r="G3519" s="97"/>
      <c r="H3519" s="114" t="str">
        <f t="shared" si="44"/>
        <v/>
      </c>
      <c r="I3519" s="17"/>
      <c r="J3519" s="17"/>
      <c r="K3519" s="17"/>
    </row>
    <row r="3520" spans="1:11" x14ac:dyDescent="0.2">
      <c r="A3520" s="115"/>
      <c r="B3520" s="93"/>
      <c r="C3520" s="94"/>
      <c r="D3520" s="95"/>
      <c r="E3520" s="95"/>
      <c r="F3520" s="96"/>
      <c r="G3520" s="97"/>
      <c r="H3520" s="114" t="str">
        <f t="shared" si="44"/>
        <v/>
      </c>
      <c r="I3520" s="17"/>
      <c r="J3520" s="17"/>
      <c r="K3520" s="17"/>
    </row>
    <row r="3521" spans="1:11" x14ac:dyDescent="0.2">
      <c r="A3521" s="115"/>
      <c r="B3521" s="93"/>
      <c r="C3521" s="94"/>
      <c r="D3521" s="95"/>
      <c r="E3521" s="95"/>
      <c r="F3521" s="96"/>
      <c r="G3521" s="97"/>
      <c r="H3521" s="114" t="str">
        <f t="shared" si="44"/>
        <v/>
      </c>
      <c r="I3521" s="17"/>
      <c r="J3521" s="17"/>
      <c r="K3521" s="17"/>
    </row>
    <row r="3522" spans="1:11" x14ac:dyDescent="0.2">
      <c r="A3522" s="115"/>
      <c r="B3522" s="93"/>
      <c r="C3522" s="94"/>
      <c r="D3522" s="95"/>
      <c r="E3522" s="95"/>
      <c r="F3522" s="96"/>
      <c r="G3522" s="97"/>
      <c r="H3522" s="114" t="str">
        <f t="shared" si="44"/>
        <v/>
      </c>
      <c r="I3522" s="17"/>
      <c r="J3522" s="17"/>
      <c r="K3522" s="17"/>
    </row>
    <row r="3523" spans="1:11" x14ac:dyDescent="0.2">
      <c r="A3523" s="115"/>
      <c r="B3523" s="93"/>
      <c r="C3523" s="94"/>
      <c r="D3523" s="95"/>
      <c r="E3523" s="95"/>
      <c r="F3523" s="96"/>
      <c r="G3523" s="97"/>
      <c r="H3523" s="114" t="str">
        <f t="shared" si="44"/>
        <v/>
      </c>
      <c r="I3523" s="17"/>
      <c r="J3523" s="17"/>
      <c r="K3523" s="17"/>
    </row>
    <row r="3524" spans="1:11" x14ac:dyDescent="0.2">
      <c r="A3524" s="115"/>
      <c r="B3524" s="93"/>
      <c r="C3524" s="94"/>
      <c r="D3524" s="95"/>
      <c r="E3524" s="95"/>
      <c r="F3524" s="96"/>
      <c r="G3524" s="97"/>
      <c r="H3524" s="114" t="str">
        <f t="shared" ref="H3524:H3587" si="45">IF(A3524&lt;&gt;"", EOMONTH(A3524, -1) + 1, "")</f>
        <v/>
      </c>
      <c r="I3524" s="17"/>
      <c r="J3524" s="17"/>
      <c r="K3524" s="17"/>
    </row>
    <row r="3525" spans="1:11" x14ac:dyDescent="0.2">
      <c r="A3525" s="115"/>
      <c r="B3525" s="93"/>
      <c r="C3525" s="94"/>
      <c r="D3525" s="95"/>
      <c r="E3525" s="95"/>
      <c r="F3525" s="96"/>
      <c r="G3525" s="97"/>
      <c r="H3525" s="114" t="str">
        <f t="shared" si="45"/>
        <v/>
      </c>
      <c r="I3525" s="17"/>
      <c r="J3525" s="17"/>
      <c r="K3525" s="17"/>
    </row>
    <row r="3526" spans="1:11" x14ac:dyDescent="0.2">
      <c r="A3526" s="115"/>
      <c r="B3526" s="93"/>
      <c r="C3526" s="94"/>
      <c r="D3526" s="95"/>
      <c r="E3526" s="95"/>
      <c r="F3526" s="96"/>
      <c r="G3526" s="97"/>
      <c r="H3526" s="114" t="str">
        <f t="shared" si="45"/>
        <v/>
      </c>
      <c r="I3526" s="17"/>
      <c r="J3526" s="17"/>
      <c r="K3526" s="17"/>
    </row>
    <row r="3527" spans="1:11" x14ac:dyDescent="0.2">
      <c r="A3527" s="115"/>
      <c r="B3527" s="93"/>
      <c r="C3527" s="94"/>
      <c r="D3527" s="95"/>
      <c r="E3527" s="95"/>
      <c r="F3527" s="96"/>
      <c r="G3527" s="97"/>
      <c r="H3527" s="114" t="str">
        <f t="shared" si="45"/>
        <v/>
      </c>
      <c r="I3527" s="17"/>
      <c r="J3527" s="17"/>
      <c r="K3527" s="17"/>
    </row>
    <row r="3528" spans="1:11" x14ac:dyDescent="0.2">
      <c r="A3528" s="115"/>
      <c r="B3528" s="93"/>
      <c r="C3528" s="94"/>
      <c r="D3528" s="95"/>
      <c r="E3528" s="95"/>
      <c r="F3528" s="96"/>
      <c r="G3528" s="97"/>
      <c r="H3528" s="114" t="str">
        <f t="shared" si="45"/>
        <v/>
      </c>
      <c r="I3528" s="17"/>
      <c r="J3528" s="17"/>
      <c r="K3528" s="17"/>
    </row>
    <row r="3529" spans="1:11" x14ac:dyDescent="0.2">
      <c r="A3529" s="115"/>
      <c r="B3529" s="93"/>
      <c r="C3529" s="94"/>
      <c r="D3529" s="95"/>
      <c r="E3529" s="95"/>
      <c r="F3529" s="96"/>
      <c r="G3529" s="97"/>
      <c r="H3529" s="114" t="str">
        <f t="shared" si="45"/>
        <v/>
      </c>
      <c r="I3529" s="17"/>
      <c r="J3529" s="17"/>
      <c r="K3529" s="17"/>
    </row>
    <row r="3530" spans="1:11" x14ac:dyDescent="0.2">
      <c r="A3530" s="115"/>
      <c r="B3530" s="93"/>
      <c r="C3530" s="94"/>
      <c r="D3530" s="95"/>
      <c r="E3530" s="95"/>
      <c r="F3530" s="96"/>
      <c r="G3530" s="97"/>
      <c r="H3530" s="114" t="str">
        <f t="shared" si="45"/>
        <v/>
      </c>
      <c r="I3530" s="17"/>
      <c r="J3530" s="17"/>
      <c r="K3530" s="17"/>
    </row>
    <row r="3531" spans="1:11" x14ac:dyDescent="0.2">
      <c r="A3531" s="115"/>
      <c r="B3531" s="93"/>
      <c r="C3531" s="94"/>
      <c r="D3531" s="95"/>
      <c r="E3531" s="95"/>
      <c r="F3531" s="96"/>
      <c r="G3531" s="97"/>
      <c r="H3531" s="114" t="str">
        <f t="shared" si="45"/>
        <v/>
      </c>
      <c r="I3531" s="17"/>
      <c r="J3531" s="17"/>
      <c r="K3531" s="17"/>
    </row>
    <row r="3532" spans="1:11" x14ac:dyDescent="0.2">
      <c r="A3532" s="115"/>
      <c r="B3532" s="93"/>
      <c r="C3532" s="94"/>
      <c r="D3532" s="95"/>
      <c r="E3532" s="95"/>
      <c r="F3532" s="96"/>
      <c r="G3532" s="97"/>
      <c r="H3532" s="114" t="str">
        <f t="shared" si="45"/>
        <v/>
      </c>
      <c r="I3532" s="17"/>
      <c r="J3532" s="17"/>
      <c r="K3532" s="17"/>
    </row>
    <row r="3533" spans="1:11" x14ac:dyDescent="0.2">
      <c r="A3533" s="115"/>
      <c r="B3533" s="93"/>
      <c r="C3533" s="94"/>
      <c r="D3533" s="95"/>
      <c r="E3533" s="95"/>
      <c r="F3533" s="96"/>
      <c r="G3533" s="97"/>
      <c r="H3533" s="114" t="str">
        <f t="shared" si="45"/>
        <v/>
      </c>
      <c r="I3533" s="17"/>
      <c r="J3533" s="17"/>
      <c r="K3533" s="17"/>
    </row>
    <row r="3534" spans="1:11" x14ac:dyDescent="0.2">
      <c r="A3534" s="115"/>
      <c r="B3534" s="93"/>
      <c r="C3534" s="94"/>
      <c r="D3534" s="95"/>
      <c r="E3534" s="95"/>
      <c r="F3534" s="96"/>
      <c r="G3534" s="97"/>
      <c r="H3534" s="114" t="str">
        <f t="shared" si="45"/>
        <v/>
      </c>
      <c r="I3534" s="17"/>
      <c r="J3534" s="17"/>
      <c r="K3534" s="17"/>
    </row>
    <row r="3535" spans="1:11" x14ac:dyDescent="0.2">
      <c r="A3535" s="115"/>
      <c r="B3535" s="93"/>
      <c r="C3535" s="94"/>
      <c r="D3535" s="95"/>
      <c r="E3535" s="95"/>
      <c r="F3535" s="96"/>
      <c r="G3535" s="97"/>
      <c r="H3535" s="114" t="str">
        <f t="shared" si="45"/>
        <v/>
      </c>
      <c r="I3535" s="17"/>
      <c r="J3535" s="17"/>
      <c r="K3535" s="17"/>
    </row>
    <row r="3536" spans="1:11" x14ac:dyDescent="0.2">
      <c r="A3536" s="115"/>
      <c r="B3536" s="93"/>
      <c r="C3536" s="94"/>
      <c r="D3536" s="95"/>
      <c r="E3536" s="95"/>
      <c r="F3536" s="96"/>
      <c r="G3536" s="97"/>
      <c r="H3536" s="114" t="str">
        <f t="shared" si="45"/>
        <v/>
      </c>
      <c r="I3536" s="17"/>
      <c r="J3536" s="17"/>
      <c r="K3536" s="17"/>
    </row>
    <row r="3537" spans="1:11" x14ac:dyDescent="0.2">
      <c r="A3537" s="115"/>
      <c r="B3537" s="93"/>
      <c r="C3537" s="94"/>
      <c r="D3537" s="95"/>
      <c r="E3537" s="95"/>
      <c r="F3537" s="96"/>
      <c r="G3537" s="97"/>
      <c r="H3537" s="114" t="str">
        <f t="shared" si="45"/>
        <v/>
      </c>
      <c r="I3537" s="17"/>
      <c r="J3537" s="17"/>
      <c r="K3537" s="17"/>
    </row>
    <row r="3538" spans="1:11" x14ac:dyDescent="0.2">
      <c r="A3538" s="115"/>
      <c r="B3538" s="93"/>
      <c r="C3538" s="94"/>
      <c r="D3538" s="95"/>
      <c r="E3538" s="95"/>
      <c r="F3538" s="96"/>
      <c r="G3538" s="97"/>
      <c r="H3538" s="114" t="str">
        <f t="shared" si="45"/>
        <v/>
      </c>
      <c r="I3538" s="17"/>
      <c r="J3538" s="17"/>
      <c r="K3538" s="17"/>
    </row>
    <row r="3539" spans="1:11" x14ac:dyDescent="0.2">
      <c r="A3539" s="115"/>
      <c r="B3539" s="93"/>
      <c r="C3539" s="94"/>
      <c r="D3539" s="95"/>
      <c r="E3539" s="95"/>
      <c r="F3539" s="96"/>
      <c r="G3539" s="97"/>
      <c r="H3539" s="114" t="str">
        <f t="shared" si="45"/>
        <v/>
      </c>
      <c r="I3539" s="17"/>
      <c r="J3539" s="17"/>
      <c r="K3539" s="17"/>
    </row>
    <row r="3540" spans="1:11" x14ac:dyDescent="0.2">
      <c r="A3540" s="115"/>
      <c r="B3540" s="93"/>
      <c r="C3540" s="94"/>
      <c r="D3540" s="95"/>
      <c r="E3540" s="95"/>
      <c r="F3540" s="96"/>
      <c r="G3540" s="97"/>
      <c r="H3540" s="114" t="str">
        <f t="shared" si="45"/>
        <v/>
      </c>
      <c r="I3540" s="17"/>
      <c r="J3540" s="17"/>
      <c r="K3540" s="17"/>
    </row>
    <row r="3541" spans="1:11" x14ac:dyDescent="0.2">
      <c r="A3541" s="115"/>
      <c r="B3541" s="93"/>
      <c r="C3541" s="94"/>
      <c r="D3541" s="95"/>
      <c r="E3541" s="95"/>
      <c r="F3541" s="96"/>
      <c r="G3541" s="97"/>
      <c r="H3541" s="114" t="str">
        <f t="shared" si="45"/>
        <v/>
      </c>
      <c r="I3541" s="17"/>
      <c r="J3541" s="17"/>
      <c r="K3541" s="17"/>
    </row>
    <row r="3542" spans="1:11" x14ac:dyDescent="0.2">
      <c r="A3542" s="115"/>
      <c r="B3542" s="93"/>
      <c r="C3542" s="94"/>
      <c r="D3542" s="95"/>
      <c r="E3542" s="95"/>
      <c r="F3542" s="96"/>
      <c r="G3542" s="97"/>
      <c r="H3542" s="114" t="str">
        <f t="shared" si="45"/>
        <v/>
      </c>
      <c r="I3542" s="17"/>
      <c r="J3542" s="17"/>
      <c r="K3542" s="17"/>
    </row>
    <row r="3543" spans="1:11" x14ac:dyDescent="0.2">
      <c r="A3543" s="115"/>
      <c r="B3543" s="93"/>
      <c r="C3543" s="94"/>
      <c r="D3543" s="95"/>
      <c r="E3543" s="95"/>
      <c r="F3543" s="96"/>
      <c r="G3543" s="97"/>
      <c r="H3543" s="114" t="str">
        <f t="shared" si="45"/>
        <v/>
      </c>
      <c r="I3543" s="17"/>
      <c r="J3543" s="17"/>
      <c r="K3543" s="17"/>
    </row>
    <row r="3544" spans="1:11" x14ac:dyDescent="0.2">
      <c r="A3544" s="115"/>
      <c r="B3544" s="93"/>
      <c r="C3544" s="94"/>
      <c r="D3544" s="95"/>
      <c r="E3544" s="95"/>
      <c r="F3544" s="96"/>
      <c r="G3544" s="97"/>
      <c r="H3544" s="114" t="str">
        <f t="shared" si="45"/>
        <v/>
      </c>
      <c r="I3544" s="17"/>
      <c r="J3544" s="17"/>
      <c r="K3544" s="17"/>
    </row>
    <row r="3545" spans="1:11" x14ac:dyDescent="0.2">
      <c r="A3545" s="115"/>
      <c r="B3545" s="93"/>
      <c r="C3545" s="94"/>
      <c r="D3545" s="95"/>
      <c r="E3545" s="95"/>
      <c r="F3545" s="96"/>
      <c r="G3545" s="97"/>
      <c r="H3545" s="114" t="str">
        <f t="shared" si="45"/>
        <v/>
      </c>
      <c r="I3545" s="17"/>
      <c r="J3545" s="17"/>
      <c r="K3545" s="17"/>
    </row>
    <row r="3546" spans="1:11" x14ac:dyDescent="0.2">
      <c r="A3546" s="115"/>
      <c r="B3546" s="93"/>
      <c r="C3546" s="94"/>
      <c r="D3546" s="95"/>
      <c r="E3546" s="95"/>
      <c r="F3546" s="96"/>
      <c r="G3546" s="97"/>
      <c r="H3546" s="114" t="str">
        <f t="shared" si="45"/>
        <v/>
      </c>
      <c r="I3546" s="17"/>
      <c r="J3546" s="17"/>
      <c r="K3546" s="17"/>
    </row>
    <row r="3547" spans="1:11" x14ac:dyDescent="0.2">
      <c r="A3547" s="115"/>
      <c r="B3547" s="93"/>
      <c r="C3547" s="94"/>
      <c r="D3547" s="95"/>
      <c r="E3547" s="95"/>
      <c r="F3547" s="96"/>
      <c r="G3547" s="97"/>
      <c r="H3547" s="114" t="str">
        <f t="shared" si="45"/>
        <v/>
      </c>
      <c r="I3547" s="17"/>
      <c r="J3547" s="17"/>
      <c r="K3547" s="17"/>
    </row>
    <row r="3548" spans="1:11" x14ac:dyDescent="0.2">
      <c r="A3548" s="115"/>
      <c r="B3548" s="93"/>
      <c r="C3548" s="94"/>
      <c r="D3548" s="95"/>
      <c r="E3548" s="95"/>
      <c r="F3548" s="96"/>
      <c r="G3548" s="97"/>
      <c r="H3548" s="114" t="str">
        <f t="shared" si="45"/>
        <v/>
      </c>
      <c r="I3548" s="17"/>
      <c r="J3548" s="17"/>
      <c r="K3548" s="17"/>
    </row>
    <row r="3549" spans="1:11" x14ac:dyDescent="0.2">
      <c r="A3549" s="115"/>
      <c r="B3549" s="93"/>
      <c r="C3549" s="94"/>
      <c r="D3549" s="95"/>
      <c r="E3549" s="95"/>
      <c r="F3549" s="96"/>
      <c r="G3549" s="97"/>
      <c r="H3549" s="114" t="str">
        <f t="shared" si="45"/>
        <v/>
      </c>
      <c r="I3549" s="17"/>
      <c r="J3549" s="17"/>
      <c r="K3549" s="17"/>
    </row>
    <row r="3550" spans="1:11" x14ac:dyDescent="0.2">
      <c r="A3550" s="115"/>
      <c r="B3550" s="93"/>
      <c r="C3550" s="94"/>
      <c r="D3550" s="95"/>
      <c r="E3550" s="95"/>
      <c r="F3550" s="96"/>
      <c r="G3550" s="97"/>
      <c r="H3550" s="114" t="str">
        <f t="shared" si="45"/>
        <v/>
      </c>
      <c r="I3550" s="17"/>
      <c r="J3550" s="17"/>
      <c r="K3550" s="17"/>
    </row>
    <row r="3551" spans="1:11" x14ac:dyDescent="0.2">
      <c r="A3551" s="115"/>
      <c r="B3551" s="93"/>
      <c r="C3551" s="94"/>
      <c r="D3551" s="95"/>
      <c r="E3551" s="95"/>
      <c r="F3551" s="96"/>
      <c r="G3551" s="97"/>
      <c r="H3551" s="114" t="str">
        <f t="shared" si="45"/>
        <v/>
      </c>
      <c r="I3551" s="17"/>
      <c r="J3551" s="17"/>
      <c r="K3551" s="17"/>
    </row>
    <row r="3552" spans="1:11" x14ac:dyDescent="0.2">
      <c r="A3552" s="115"/>
      <c r="B3552" s="93"/>
      <c r="C3552" s="94"/>
      <c r="D3552" s="95"/>
      <c r="E3552" s="95"/>
      <c r="F3552" s="96"/>
      <c r="G3552" s="97"/>
      <c r="H3552" s="114" t="str">
        <f t="shared" si="45"/>
        <v/>
      </c>
      <c r="I3552" s="17"/>
      <c r="J3552" s="17"/>
      <c r="K3552" s="17"/>
    </row>
    <row r="3553" spans="1:11" x14ac:dyDescent="0.2">
      <c r="A3553" s="115"/>
      <c r="B3553" s="93"/>
      <c r="C3553" s="94"/>
      <c r="D3553" s="95"/>
      <c r="E3553" s="95"/>
      <c r="F3553" s="96"/>
      <c r="G3553" s="97"/>
      <c r="H3553" s="114" t="str">
        <f t="shared" si="45"/>
        <v/>
      </c>
      <c r="I3553" s="17"/>
      <c r="J3553" s="17"/>
      <c r="K3553" s="17"/>
    </row>
    <row r="3554" spans="1:11" x14ac:dyDescent="0.2">
      <c r="A3554" s="115"/>
      <c r="B3554" s="93"/>
      <c r="C3554" s="94"/>
      <c r="D3554" s="95"/>
      <c r="E3554" s="95"/>
      <c r="F3554" s="96"/>
      <c r="G3554" s="97"/>
      <c r="H3554" s="114" t="str">
        <f t="shared" si="45"/>
        <v/>
      </c>
      <c r="I3554" s="17"/>
      <c r="J3554" s="17"/>
      <c r="K3554" s="17"/>
    </row>
    <row r="3555" spans="1:11" x14ac:dyDescent="0.2">
      <c r="A3555" s="115"/>
      <c r="B3555" s="93"/>
      <c r="C3555" s="94"/>
      <c r="D3555" s="95"/>
      <c r="E3555" s="95"/>
      <c r="F3555" s="96"/>
      <c r="G3555" s="97"/>
      <c r="H3555" s="114" t="str">
        <f t="shared" si="45"/>
        <v/>
      </c>
      <c r="I3555" s="17"/>
      <c r="J3555" s="17"/>
      <c r="K3555" s="17"/>
    </row>
    <row r="3556" spans="1:11" x14ac:dyDescent="0.2">
      <c r="A3556" s="115"/>
      <c r="B3556" s="93"/>
      <c r="C3556" s="94"/>
      <c r="D3556" s="95"/>
      <c r="E3556" s="95"/>
      <c r="F3556" s="96"/>
      <c r="G3556" s="97"/>
      <c r="H3556" s="114" t="str">
        <f t="shared" si="45"/>
        <v/>
      </c>
      <c r="I3556" s="17"/>
      <c r="J3556" s="17"/>
      <c r="K3556" s="17"/>
    </row>
    <row r="3557" spans="1:11" x14ac:dyDescent="0.2">
      <c r="A3557" s="115"/>
      <c r="B3557" s="93"/>
      <c r="C3557" s="94"/>
      <c r="D3557" s="95"/>
      <c r="E3557" s="95"/>
      <c r="F3557" s="96"/>
      <c r="G3557" s="97"/>
      <c r="H3557" s="114" t="str">
        <f t="shared" si="45"/>
        <v/>
      </c>
      <c r="I3557" s="17"/>
      <c r="J3557" s="17"/>
      <c r="K3557" s="17"/>
    </row>
    <row r="3558" spans="1:11" x14ac:dyDescent="0.2">
      <c r="A3558" s="115"/>
      <c r="B3558" s="93"/>
      <c r="C3558" s="94"/>
      <c r="D3558" s="95"/>
      <c r="E3558" s="95"/>
      <c r="F3558" s="96"/>
      <c r="G3558" s="97"/>
      <c r="H3558" s="114" t="str">
        <f t="shared" si="45"/>
        <v/>
      </c>
      <c r="I3558" s="17"/>
      <c r="J3558" s="17"/>
      <c r="K3558" s="17"/>
    </row>
    <row r="3559" spans="1:11" x14ac:dyDescent="0.2">
      <c r="A3559" s="115"/>
      <c r="B3559" s="93"/>
      <c r="C3559" s="94"/>
      <c r="D3559" s="95"/>
      <c r="E3559" s="95"/>
      <c r="F3559" s="96"/>
      <c r="G3559" s="97"/>
      <c r="H3559" s="114" t="str">
        <f t="shared" si="45"/>
        <v/>
      </c>
      <c r="I3559" s="17"/>
      <c r="J3559" s="17"/>
      <c r="K3559" s="17"/>
    </row>
    <row r="3560" spans="1:11" x14ac:dyDescent="0.2">
      <c r="A3560" s="115"/>
      <c r="B3560" s="93"/>
      <c r="C3560" s="94"/>
      <c r="D3560" s="95"/>
      <c r="E3560" s="95"/>
      <c r="F3560" s="96"/>
      <c r="G3560" s="97"/>
      <c r="H3560" s="114" t="str">
        <f t="shared" si="45"/>
        <v/>
      </c>
      <c r="I3560" s="17"/>
      <c r="J3560" s="17"/>
      <c r="K3560" s="17"/>
    </row>
    <row r="3561" spans="1:11" x14ac:dyDescent="0.2">
      <c r="A3561" s="115"/>
      <c r="B3561" s="93"/>
      <c r="C3561" s="94"/>
      <c r="D3561" s="95"/>
      <c r="E3561" s="95"/>
      <c r="F3561" s="96"/>
      <c r="G3561" s="97"/>
      <c r="H3561" s="114" t="str">
        <f t="shared" si="45"/>
        <v/>
      </c>
      <c r="I3561" s="17"/>
      <c r="J3561" s="17"/>
      <c r="K3561" s="17"/>
    </row>
    <row r="3562" spans="1:11" x14ac:dyDescent="0.2">
      <c r="A3562" s="115"/>
      <c r="B3562" s="93"/>
      <c r="C3562" s="94"/>
      <c r="D3562" s="95"/>
      <c r="E3562" s="95"/>
      <c r="F3562" s="96"/>
      <c r="G3562" s="97"/>
      <c r="H3562" s="114" t="str">
        <f t="shared" si="45"/>
        <v/>
      </c>
      <c r="I3562" s="17"/>
      <c r="J3562" s="17"/>
      <c r="K3562" s="17"/>
    </row>
    <row r="3563" spans="1:11" x14ac:dyDescent="0.2">
      <c r="A3563" s="115"/>
      <c r="B3563" s="93"/>
      <c r="C3563" s="94"/>
      <c r="D3563" s="95"/>
      <c r="E3563" s="95"/>
      <c r="F3563" s="96"/>
      <c r="G3563" s="97"/>
      <c r="H3563" s="114" t="str">
        <f t="shared" si="45"/>
        <v/>
      </c>
      <c r="I3563" s="17"/>
      <c r="J3563" s="17"/>
      <c r="K3563" s="17"/>
    </row>
    <row r="3564" spans="1:11" x14ac:dyDescent="0.2">
      <c r="A3564" s="115"/>
      <c r="B3564" s="93"/>
      <c r="C3564" s="94"/>
      <c r="D3564" s="95"/>
      <c r="E3564" s="95"/>
      <c r="F3564" s="96"/>
      <c r="G3564" s="97"/>
      <c r="H3564" s="114" t="str">
        <f t="shared" si="45"/>
        <v/>
      </c>
      <c r="I3564" s="17"/>
      <c r="J3564" s="17"/>
      <c r="K3564" s="17"/>
    </row>
    <row r="3565" spans="1:11" x14ac:dyDescent="0.2">
      <c r="A3565" s="115"/>
      <c r="B3565" s="93"/>
      <c r="C3565" s="94"/>
      <c r="D3565" s="95"/>
      <c r="E3565" s="95"/>
      <c r="F3565" s="96"/>
      <c r="G3565" s="97"/>
      <c r="H3565" s="114" t="str">
        <f t="shared" si="45"/>
        <v/>
      </c>
      <c r="I3565" s="17"/>
      <c r="J3565" s="17"/>
      <c r="K3565" s="17"/>
    </row>
    <row r="3566" spans="1:11" x14ac:dyDescent="0.2">
      <c r="A3566" s="115"/>
      <c r="B3566" s="93"/>
      <c r="C3566" s="94"/>
      <c r="D3566" s="95"/>
      <c r="E3566" s="95"/>
      <c r="F3566" s="96"/>
      <c r="G3566" s="97"/>
      <c r="H3566" s="114" t="str">
        <f t="shared" si="45"/>
        <v/>
      </c>
      <c r="I3566" s="17"/>
      <c r="J3566" s="17"/>
      <c r="K3566" s="17"/>
    </row>
    <row r="3567" spans="1:11" x14ac:dyDescent="0.2">
      <c r="A3567" s="115"/>
      <c r="B3567" s="93"/>
      <c r="C3567" s="94"/>
      <c r="D3567" s="95"/>
      <c r="E3567" s="95"/>
      <c r="F3567" s="96"/>
      <c r="G3567" s="97"/>
      <c r="H3567" s="114" t="str">
        <f t="shared" si="45"/>
        <v/>
      </c>
      <c r="I3567" s="17"/>
      <c r="J3567" s="17"/>
      <c r="K3567" s="17"/>
    </row>
    <row r="3568" spans="1:11" x14ac:dyDescent="0.2">
      <c r="A3568" s="115"/>
      <c r="B3568" s="93"/>
      <c r="C3568" s="94"/>
      <c r="D3568" s="95"/>
      <c r="E3568" s="95"/>
      <c r="F3568" s="96"/>
      <c r="G3568" s="97"/>
      <c r="H3568" s="114" t="str">
        <f t="shared" si="45"/>
        <v/>
      </c>
      <c r="I3568" s="17"/>
      <c r="J3568" s="17"/>
      <c r="K3568" s="17"/>
    </row>
    <row r="3569" spans="1:11" x14ac:dyDescent="0.2">
      <c r="A3569" s="115"/>
      <c r="B3569" s="93"/>
      <c r="C3569" s="94"/>
      <c r="D3569" s="95"/>
      <c r="E3569" s="95"/>
      <c r="F3569" s="96"/>
      <c r="G3569" s="97"/>
      <c r="H3569" s="114" t="str">
        <f t="shared" si="45"/>
        <v/>
      </c>
      <c r="I3569" s="17"/>
      <c r="J3569" s="17"/>
      <c r="K3569" s="17"/>
    </row>
    <row r="3570" spans="1:11" x14ac:dyDescent="0.2">
      <c r="A3570" s="115"/>
      <c r="B3570" s="93"/>
      <c r="C3570" s="94"/>
      <c r="D3570" s="95"/>
      <c r="E3570" s="95"/>
      <c r="F3570" s="96"/>
      <c r="G3570" s="97"/>
      <c r="H3570" s="114" t="str">
        <f t="shared" si="45"/>
        <v/>
      </c>
      <c r="I3570" s="17"/>
      <c r="J3570" s="17"/>
      <c r="K3570" s="17"/>
    </row>
    <row r="3571" spans="1:11" x14ac:dyDescent="0.2">
      <c r="A3571" s="115"/>
      <c r="B3571" s="93"/>
      <c r="C3571" s="94"/>
      <c r="D3571" s="95"/>
      <c r="E3571" s="95"/>
      <c r="F3571" s="96"/>
      <c r="G3571" s="97"/>
      <c r="H3571" s="114" t="str">
        <f t="shared" si="45"/>
        <v/>
      </c>
      <c r="I3571" s="17"/>
      <c r="J3571" s="17"/>
      <c r="K3571" s="17"/>
    </row>
    <row r="3572" spans="1:11" x14ac:dyDescent="0.2">
      <c r="A3572" s="115"/>
      <c r="B3572" s="93"/>
      <c r="C3572" s="94"/>
      <c r="D3572" s="95"/>
      <c r="E3572" s="95"/>
      <c r="F3572" s="96"/>
      <c r="G3572" s="97"/>
      <c r="H3572" s="114" t="str">
        <f t="shared" si="45"/>
        <v/>
      </c>
      <c r="I3572" s="17"/>
      <c r="J3572" s="17"/>
      <c r="K3572" s="17"/>
    </row>
    <row r="3573" spans="1:11" x14ac:dyDescent="0.2">
      <c r="A3573" s="115"/>
      <c r="B3573" s="93"/>
      <c r="C3573" s="94"/>
      <c r="D3573" s="95"/>
      <c r="E3573" s="95"/>
      <c r="F3573" s="96"/>
      <c r="G3573" s="97"/>
      <c r="H3573" s="114" t="str">
        <f t="shared" si="45"/>
        <v/>
      </c>
      <c r="I3573" s="17"/>
      <c r="J3573" s="17"/>
      <c r="K3573" s="17"/>
    </row>
    <row r="3574" spans="1:11" x14ac:dyDescent="0.2">
      <c r="A3574" s="115"/>
      <c r="B3574" s="93"/>
      <c r="C3574" s="94"/>
      <c r="D3574" s="95"/>
      <c r="E3574" s="95"/>
      <c r="F3574" s="96"/>
      <c r="G3574" s="97"/>
      <c r="H3574" s="114" t="str">
        <f t="shared" si="45"/>
        <v/>
      </c>
      <c r="I3574" s="17"/>
      <c r="J3574" s="17"/>
      <c r="K3574" s="17"/>
    </row>
    <row r="3575" spans="1:11" x14ac:dyDescent="0.2">
      <c r="A3575" s="115"/>
      <c r="B3575" s="93"/>
      <c r="C3575" s="94"/>
      <c r="D3575" s="95"/>
      <c r="E3575" s="95"/>
      <c r="F3575" s="96"/>
      <c r="G3575" s="97"/>
      <c r="H3575" s="114" t="str">
        <f t="shared" si="45"/>
        <v/>
      </c>
      <c r="I3575" s="17"/>
      <c r="J3575" s="17"/>
      <c r="K3575" s="17"/>
    </row>
    <row r="3576" spans="1:11" x14ac:dyDescent="0.2">
      <c r="A3576" s="115"/>
      <c r="B3576" s="93"/>
      <c r="C3576" s="94"/>
      <c r="D3576" s="95"/>
      <c r="E3576" s="95"/>
      <c r="F3576" s="96"/>
      <c r="G3576" s="97"/>
      <c r="H3576" s="114" t="str">
        <f t="shared" si="45"/>
        <v/>
      </c>
      <c r="I3576" s="17"/>
      <c r="J3576" s="17"/>
      <c r="K3576" s="17"/>
    </row>
    <row r="3577" spans="1:11" x14ac:dyDescent="0.2">
      <c r="A3577" s="115"/>
      <c r="B3577" s="93"/>
      <c r="C3577" s="94"/>
      <c r="D3577" s="95"/>
      <c r="E3577" s="95"/>
      <c r="F3577" s="96"/>
      <c r="G3577" s="97"/>
      <c r="H3577" s="114" t="str">
        <f t="shared" si="45"/>
        <v/>
      </c>
      <c r="I3577" s="17"/>
      <c r="J3577" s="17"/>
      <c r="K3577" s="17"/>
    </row>
    <row r="3578" spans="1:11" x14ac:dyDescent="0.2">
      <c r="A3578" s="115"/>
      <c r="B3578" s="93"/>
      <c r="C3578" s="94"/>
      <c r="D3578" s="95"/>
      <c r="E3578" s="95"/>
      <c r="F3578" s="96"/>
      <c r="G3578" s="97"/>
      <c r="H3578" s="114" t="str">
        <f t="shared" si="45"/>
        <v/>
      </c>
      <c r="I3578" s="17"/>
      <c r="J3578" s="17"/>
      <c r="K3578" s="17"/>
    </row>
    <row r="3579" spans="1:11" x14ac:dyDescent="0.2">
      <c r="A3579" s="115"/>
      <c r="B3579" s="93"/>
      <c r="C3579" s="94"/>
      <c r="D3579" s="95"/>
      <c r="E3579" s="95"/>
      <c r="F3579" s="96"/>
      <c r="G3579" s="97"/>
      <c r="H3579" s="114" t="str">
        <f t="shared" si="45"/>
        <v/>
      </c>
      <c r="I3579" s="17"/>
      <c r="J3579" s="17"/>
      <c r="K3579" s="17"/>
    </row>
    <row r="3580" spans="1:11" x14ac:dyDescent="0.2">
      <c r="A3580" s="115"/>
      <c r="B3580" s="93"/>
      <c r="C3580" s="94"/>
      <c r="D3580" s="95"/>
      <c r="E3580" s="95"/>
      <c r="F3580" s="96"/>
      <c r="G3580" s="97"/>
      <c r="H3580" s="114" t="str">
        <f t="shared" si="45"/>
        <v/>
      </c>
      <c r="I3580" s="17"/>
      <c r="J3580" s="17"/>
      <c r="K3580" s="17"/>
    </row>
    <row r="3581" spans="1:11" x14ac:dyDescent="0.2">
      <c r="A3581" s="115"/>
      <c r="B3581" s="93"/>
      <c r="C3581" s="94"/>
      <c r="D3581" s="95"/>
      <c r="E3581" s="95"/>
      <c r="F3581" s="96"/>
      <c r="G3581" s="97"/>
      <c r="H3581" s="114" t="str">
        <f t="shared" si="45"/>
        <v/>
      </c>
      <c r="I3581" s="17"/>
      <c r="J3581" s="17"/>
      <c r="K3581" s="17"/>
    </row>
    <row r="3582" spans="1:11" x14ac:dyDescent="0.2">
      <c r="A3582" s="115"/>
      <c r="B3582" s="93"/>
      <c r="C3582" s="94"/>
      <c r="D3582" s="95"/>
      <c r="E3582" s="95"/>
      <c r="F3582" s="96"/>
      <c r="G3582" s="97"/>
      <c r="H3582" s="114" t="str">
        <f t="shared" si="45"/>
        <v/>
      </c>
      <c r="I3582" s="17"/>
      <c r="J3582" s="17"/>
      <c r="K3582" s="17"/>
    </row>
    <row r="3583" spans="1:11" x14ac:dyDescent="0.2">
      <c r="A3583" s="115"/>
      <c r="B3583" s="93"/>
      <c r="C3583" s="94"/>
      <c r="D3583" s="95"/>
      <c r="E3583" s="95"/>
      <c r="F3583" s="96"/>
      <c r="G3583" s="97"/>
      <c r="H3583" s="114" t="str">
        <f t="shared" si="45"/>
        <v/>
      </c>
      <c r="I3583" s="17"/>
      <c r="J3583" s="17"/>
      <c r="K3583" s="17"/>
    </row>
    <row r="3584" spans="1:11" x14ac:dyDescent="0.2">
      <c r="A3584" s="115"/>
      <c r="B3584" s="93"/>
      <c r="C3584" s="94"/>
      <c r="D3584" s="95"/>
      <c r="E3584" s="95"/>
      <c r="F3584" s="96"/>
      <c r="G3584" s="97"/>
      <c r="H3584" s="114" t="str">
        <f t="shared" si="45"/>
        <v/>
      </c>
      <c r="I3584" s="17"/>
      <c r="J3584" s="17"/>
      <c r="K3584" s="17"/>
    </row>
    <row r="3585" spans="1:11" x14ac:dyDescent="0.2">
      <c r="A3585" s="115"/>
      <c r="B3585" s="93"/>
      <c r="C3585" s="94"/>
      <c r="D3585" s="95"/>
      <c r="E3585" s="95"/>
      <c r="F3585" s="96"/>
      <c r="G3585" s="97"/>
      <c r="H3585" s="114" t="str">
        <f t="shared" si="45"/>
        <v/>
      </c>
      <c r="I3585" s="17"/>
      <c r="J3585" s="17"/>
      <c r="K3585" s="17"/>
    </row>
    <row r="3586" spans="1:11" x14ac:dyDescent="0.2">
      <c r="A3586" s="115"/>
      <c r="B3586" s="93"/>
      <c r="C3586" s="94"/>
      <c r="D3586" s="95"/>
      <c r="E3586" s="95"/>
      <c r="F3586" s="96"/>
      <c r="G3586" s="97"/>
      <c r="H3586" s="114" t="str">
        <f t="shared" si="45"/>
        <v/>
      </c>
      <c r="I3586" s="17"/>
      <c r="J3586" s="17"/>
      <c r="K3586" s="17"/>
    </row>
    <row r="3587" spans="1:11" x14ac:dyDescent="0.2">
      <c r="A3587" s="115"/>
      <c r="B3587" s="93"/>
      <c r="C3587" s="94"/>
      <c r="D3587" s="95"/>
      <c r="E3587" s="95"/>
      <c r="F3587" s="96"/>
      <c r="G3587" s="97"/>
      <c r="H3587" s="114" t="str">
        <f t="shared" si="45"/>
        <v/>
      </c>
      <c r="I3587" s="17"/>
      <c r="J3587" s="17"/>
      <c r="K3587" s="17"/>
    </row>
    <row r="3588" spans="1:11" x14ac:dyDescent="0.2">
      <c r="A3588" s="115"/>
      <c r="B3588" s="93"/>
      <c r="C3588" s="94"/>
      <c r="D3588" s="95"/>
      <c r="E3588" s="95"/>
      <c r="F3588" s="96"/>
      <c r="G3588" s="97"/>
      <c r="H3588" s="114" t="str">
        <f t="shared" ref="H3588:H3651" si="46">IF(A3588&lt;&gt;"", EOMONTH(A3588, -1) + 1, "")</f>
        <v/>
      </c>
      <c r="I3588" s="17"/>
      <c r="J3588" s="17"/>
      <c r="K3588" s="17"/>
    </row>
    <row r="3589" spans="1:11" x14ac:dyDescent="0.2">
      <c r="A3589" s="115"/>
      <c r="B3589" s="93"/>
      <c r="C3589" s="94"/>
      <c r="D3589" s="95"/>
      <c r="E3589" s="95"/>
      <c r="F3589" s="96"/>
      <c r="G3589" s="97"/>
      <c r="H3589" s="114" t="str">
        <f t="shared" si="46"/>
        <v/>
      </c>
      <c r="I3589" s="17"/>
      <c r="J3589" s="17"/>
      <c r="K3589" s="17"/>
    </row>
    <row r="3590" spans="1:11" x14ac:dyDescent="0.2">
      <c r="A3590" s="115"/>
      <c r="B3590" s="93"/>
      <c r="C3590" s="94"/>
      <c r="D3590" s="95"/>
      <c r="E3590" s="95"/>
      <c r="F3590" s="96"/>
      <c r="G3590" s="97"/>
      <c r="H3590" s="114" t="str">
        <f t="shared" si="46"/>
        <v/>
      </c>
      <c r="I3590" s="17"/>
      <c r="J3590" s="17"/>
      <c r="K3590" s="17"/>
    </row>
    <row r="3591" spans="1:11" x14ac:dyDescent="0.2">
      <c r="A3591" s="115"/>
      <c r="B3591" s="93"/>
      <c r="C3591" s="94"/>
      <c r="D3591" s="95"/>
      <c r="E3591" s="95"/>
      <c r="F3591" s="96"/>
      <c r="G3591" s="97"/>
      <c r="H3591" s="114" t="str">
        <f t="shared" si="46"/>
        <v/>
      </c>
      <c r="I3591" s="17"/>
      <c r="J3591" s="17"/>
      <c r="K3591" s="17"/>
    </row>
    <row r="3592" spans="1:11" x14ac:dyDescent="0.2">
      <c r="A3592" s="115"/>
      <c r="B3592" s="93"/>
      <c r="C3592" s="94"/>
      <c r="D3592" s="95"/>
      <c r="E3592" s="95"/>
      <c r="F3592" s="96"/>
      <c r="G3592" s="97"/>
      <c r="H3592" s="114" t="str">
        <f t="shared" si="46"/>
        <v/>
      </c>
      <c r="I3592" s="17"/>
      <c r="J3592" s="17"/>
      <c r="K3592" s="17"/>
    </row>
    <row r="3593" spans="1:11" x14ac:dyDescent="0.2">
      <c r="A3593" s="115"/>
      <c r="B3593" s="93"/>
      <c r="C3593" s="94"/>
      <c r="D3593" s="95"/>
      <c r="E3593" s="95"/>
      <c r="F3593" s="96"/>
      <c r="G3593" s="97"/>
      <c r="H3593" s="114" t="str">
        <f t="shared" si="46"/>
        <v/>
      </c>
      <c r="I3593" s="17"/>
      <c r="J3593" s="17"/>
      <c r="K3593" s="17"/>
    </row>
    <row r="3594" spans="1:11" x14ac:dyDescent="0.2">
      <c r="A3594" s="115"/>
      <c r="B3594" s="93"/>
      <c r="C3594" s="94"/>
      <c r="D3594" s="95"/>
      <c r="E3594" s="95"/>
      <c r="F3594" s="96"/>
      <c r="G3594" s="97"/>
      <c r="H3594" s="114" t="str">
        <f t="shared" si="46"/>
        <v/>
      </c>
      <c r="I3594" s="17"/>
      <c r="J3594" s="17"/>
      <c r="K3594" s="17"/>
    </row>
    <row r="3595" spans="1:11" x14ac:dyDescent="0.2">
      <c r="A3595" s="115"/>
      <c r="B3595" s="93"/>
      <c r="C3595" s="94"/>
      <c r="D3595" s="95"/>
      <c r="E3595" s="95"/>
      <c r="F3595" s="96"/>
      <c r="G3595" s="97"/>
      <c r="H3595" s="114" t="str">
        <f t="shared" si="46"/>
        <v/>
      </c>
      <c r="I3595" s="17"/>
      <c r="J3595" s="17"/>
      <c r="K3595" s="17"/>
    </row>
    <row r="3596" spans="1:11" x14ac:dyDescent="0.2">
      <c r="A3596" s="115"/>
      <c r="B3596" s="93"/>
      <c r="C3596" s="94"/>
      <c r="D3596" s="95"/>
      <c r="E3596" s="95"/>
      <c r="F3596" s="96"/>
      <c r="G3596" s="97"/>
      <c r="H3596" s="114" t="str">
        <f t="shared" si="46"/>
        <v/>
      </c>
      <c r="I3596" s="17"/>
      <c r="J3596" s="17"/>
      <c r="K3596" s="17"/>
    </row>
    <row r="3597" spans="1:11" x14ac:dyDescent="0.2">
      <c r="A3597" s="115"/>
      <c r="B3597" s="93"/>
      <c r="C3597" s="94"/>
      <c r="D3597" s="95"/>
      <c r="E3597" s="95"/>
      <c r="F3597" s="96"/>
      <c r="G3597" s="97"/>
      <c r="H3597" s="114" t="str">
        <f t="shared" si="46"/>
        <v/>
      </c>
      <c r="I3597" s="17"/>
      <c r="J3597" s="17"/>
      <c r="K3597" s="17"/>
    </row>
    <row r="3598" spans="1:11" x14ac:dyDescent="0.2">
      <c r="A3598" s="115"/>
      <c r="B3598" s="93"/>
      <c r="C3598" s="94"/>
      <c r="D3598" s="95"/>
      <c r="E3598" s="95"/>
      <c r="F3598" s="96"/>
      <c r="G3598" s="97"/>
      <c r="H3598" s="114" t="str">
        <f t="shared" si="46"/>
        <v/>
      </c>
      <c r="I3598" s="17"/>
      <c r="J3598" s="17"/>
      <c r="K3598" s="17"/>
    </row>
    <row r="3599" spans="1:11" x14ac:dyDescent="0.2">
      <c r="A3599" s="115"/>
      <c r="B3599" s="93"/>
      <c r="C3599" s="94"/>
      <c r="D3599" s="95"/>
      <c r="E3599" s="95"/>
      <c r="F3599" s="96"/>
      <c r="G3599" s="97"/>
      <c r="H3599" s="114" t="str">
        <f t="shared" si="46"/>
        <v/>
      </c>
      <c r="I3599" s="17"/>
      <c r="J3599" s="17"/>
      <c r="K3599" s="17"/>
    </row>
    <row r="3600" spans="1:11" x14ac:dyDescent="0.2">
      <c r="A3600" s="115"/>
      <c r="B3600" s="93"/>
      <c r="C3600" s="94"/>
      <c r="D3600" s="95"/>
      <c r="E3600" s="95"/>
      <c r="F3600" s="96"/>
      <c r="G3600" s="97"/>
      <c r="H3600" s="114" t="str">
        <f t="shared" si="46"/>
        <v/>
      </c>
      <c r="I3600" s="17"/>
      <c r="J3600" s="17"/>
      <c r="K3600" s="17"/>
    </row>
    <row r="3601" spans="1:11" x14ac:dyDescent="0.2">
      <c r="A3601" s="115"/>
      <c r="B3601" s="93"/>
      <c r="C3601" s="94"/>
      <c r="D3601" s="95"/>
      <c r="E3601" s="95"/>
      <c r="F3601" s="96"/>
      <c r="G3601" s="97"/>
      <c r="H3601" s="114" t="str">
        <f t="shared" si="46"/>
        <v/>
      </c>
      <c r="I3601" s="17"/>
      <c r="J3601" s="17"/>
      <c r="K3601" s="17"/>
    </row>
    <row r="3602" spans="1:11" x14ac:dyDescent="0.2">
      <c r="A3602" s="115"/>
      <c r="B3602" s="93"/>
      <c r="C3602" s="94"/>
      <c r="D3602" s="95"/>
      <c r="E3602" s="95"/>
      <c r="F3602" s="96"/>
      <c r="G3602" s="97"/>
      <c r="H3602" s="114" t="str">
        <f t="shared" si="46"/>
        <v/>
      </c>
      <c r="I3602" s="17"/>
      <c r="J3602" s="17"/>
      <c r="K3602" s="17"/>
    </row>
    <row r="3603" spans="1:11" x14ac:dyDescent="0.2">
      <c r="A3603" s="115"/>
      <c r="B3603" s="93"/>
      <c r="C3603" s="94"/>
      <c r="D3603" s="95"/>
      <c r="E3603" s="95"/>
      <c r="F3603" s="96"/>
      <c r="G3603" s="97"/>
      <c r="H3603" s="114" t="str">
        <f t="shared" si="46"/>
        <v/>
      </c>
      <c r="I3603" s="17"/>
      <c r="J3603" s="17"/>
      <c r="K3603" s="17"/>
    </row>
    <row r="3604" spans="1:11" x14ac:dyDescent="0.2">
      <c r="A3604" s="115"/>
      <c r="B3604" s="93"/>
      <c r="C3604" s="94"/>
      <c r="D3604" s="95"/>
      <c r="E3604" s="95"/>
      <c r="F3604" s="96"/>
      <c r="G3604" s="97"/>
      <c r="H3604" s="114" t="str">
        <f t="shared" si="46"/>
        <v/>
      </c>
      <c r="I3604" s="17"/>
      <c r="J3604" s="17"/>
      <c r="K3604" s="17"/>
    </row>
    <row r="3605" spans="1:11" x14ac:dyDescent="0.2">
      <c r="A3605" s="115"/>
      <c r="B3605" s="93"/>
      <c r="C3605" s="94"/>
      <c r="D3605" s="95"/>
      <c r="E3605" s="95"/>
      <c r="F3605" s="96"/>
      <c r="G3605" s="97"/>
      <c r="H3605" s="114" t="str">
        <f t="shared" si="46"/>
        <v/>
      </c>
      <c r="I3605" s="17"/>
      <c r="J3605" s="17"/>
      <c r="K3605" s="17"/>
    </row>
    <row r="3606" spans="1:11" x14ac:dyDescent="0.2">
      <c r="A3606" s="115"/>
      <c r="B3606" s="93"/>
      <c r="C3606" s="94"/>
      <c r="D3606" s="95"/>
      <c r="E3606" s="95"/>
      <c r="F3606" s="96"/>
      <c r="G3606" s="97"/>
      <c r="H3606" s="114" t="str">
        <f t="shared" si="46"/>
        <v/>
      </c>
      <c r="I3606" s="17"/>
      <c r="J3606" s="17"/>
      <c r="K3606" s="17"/>
    </row>
    <row r="3607" spans="1:11" x14ac:dyDescent="0.2">
      <c r="A3607" s="115"/>
      <c r="B3607" s="93"/>
      <c r="C3607" s="94"/>
      <c r="D3607" s="95"/>
      <c r="E3607" s="95"/>
      <c r="F3607" s="96"/>
      <c r="G3607" s="97"/>
      <c r="H3607" s="114" t="str">
        <f t="shared" si="46"/>
        <v/>
      </c>
      <c r="I3607" s="17"/>
      <c r="J3607" s="17"/>
      <c r="K3607" s="17"/>
    </row>
    <row r="3608" spans="1:11" x14ac:dyDescent="0.2">
      <c r="A3608" s="115"/>
      <c r="B3608" s="93"/>
      <c r="C3608" s="94"/>
      <c r="D3608" s="95"/>
      <c r="E3608" s="95"/>
      <c r="F3608" s="96"/>
      <c r="G3608" s="97"/>
      <c r="H3608" s="114" t="str">
        <f t="shared" si="46"/>
        <v/>
      </c>
      <c r="I3608" s="17"/>
      <c r="J3608" s="17"/>
      <c r="K3608" s="17"/>
    </row>
    <row r="3609" spans="1:11" x14ac:dyDescent="0.2">
      <c r="A3609" s="115"/>
      <c r="B3609" s="93"/>
      <c r="C3609" s="94"/>
      <c r="D3609" s="95"/>
      <c r="E3609" s="95"/>
      <c r="F3609" s="96"/>
      <c r="G3609" s="97"/>
      <c r="H3609" s="114" t="str">
        <f t="shared" si="46"/>
        <v/>
      </c>
      <c r="I3609" s="17"/>
      <c r="J3609" s="17"/>
      <c r="K3609" s="17"/>
    </row>
    <row r="3610" spans="1:11" x14ac:dyDescent="0.2">
      <c r="A3610" s="115"/>
      <c r="B3610" s="93"/>
      <c r="C3610" s="94"/>
      <c r="D3610" s="95"/>
      <c r="E3610" s="95"/>
      <c r="F3610" s="96"/>
      <c r="G3610" s="97"/>
      <c r="H3610" s="114" t="str">
        <f t="shared" si="46"/>
        <v/>
      </c>
      <c r="I3610" s="17"/>
      <c r="J3610" s="17"/>
      <c r="K3610" s="17"/>
    </row>
    <row r="3611" spans="1:11" x14ac:dyDescent="0.2">
      <c r="A3611" s="115"/>
      <c r="B3611" s="93"/>
      <c r="C3611" s="94"/>
      <c r="D3611" s="95"/>
      <c r="E3611" s="95"/>
      <c r="F3611" s="96"/>
      <c r="G3611" s="97"/>
      <c r="H3611" s="114" t="str">
        <f t="shared" si="46"/>
        <v/>
      </c>
      <c r="I3611" s="17"/>
      <c r="J3611" s="17"/>
      <c r="K3611" s="17"/>
    </row>
    <row r="3612" spans="1:11" x14ac:dyDescent="0.2">
      <c r="A3612" s="115"/>
      <c r="B3612" s="93"/>
      <c r="C3612" s="94"/>
      <c r="D3612" s="95"/>
      <c r="E3612" s="95"/>
      <c r="F3612" s="96"/>
      <c r="G3612" s="97"/>
      <c r="H3612" s="114" t="str">
        <f t="shared" si="46"/>
        <v/>
      </c>
      <c r="I3612" s="17"/>
      <c r="J3612" s="17"/>
      <c r="K3612" s="17"/>
    </row>
    <row r="3613" spans="1:11" x14ac:dyDescent="0.2">
      <c r="A3613" s="115"/>
      <c r="B3613" s="93"/>
      <c r="C3613" s="94"/>
      <c r="D3613" s="95"/>
      <c r="E3613" s="95"/>
      <c r="F3613" s="96"/>
      <c r="G3613" s="97"/>
      <c r="H3613" s="114" t="str">
        <f t="shared" si="46"/>
        <v/>
      </c>
      <c r="I3613" s="17"/>
      <c r="J3613" s="17"/>
      <c r="K3613" s="17"/>
    </row>
    <row r="3614" spans="1:11" x14ac:dyDescent="0.2">
      <c r="A3614" s="115"/>
      <c r="B3614" s="93"/>
      <c r="C3614" s="94"/>
      <c r="D3614" s="95"/>
      <c r="E3614" s="95"/>
      <c r="F3614" s="96"/>
      <c r="G3614" s="97"/>
      <c r="H3614" s="114" t="str">
        <f t="shared" si="46"/>
        <v/>
      </c>
      <c r="I3614" s="17"/>
      <c r="J3614" s="17"/>
      <c r="K3614" s="17"/>
    </row>
    <row r="3615" spans="1:11" x14ac:dyDescent="0.2">
      <c r="A3615" s="115"/>
      <c r="B3615" s="93"/>
      <c r="C3615" s="94"/>
      <c r="D3615" s="95"/>
      <c r="E3615" s="95"/>
      <c r="F3615" s="96"/>
      <c r="G3615" s="97"/>
      <c r="H3615" s="114" t="str">
        <f t="shared" si="46"/>
        <v/>
      </c>
      <c r="I3615" s="17"/>
      <c r="J3615" s="17"/>
      <c r="K3615" s="17"/>
    </row>
    <row r="3616" spans="1:11" x14ac:dyDescent="0.2">
      <c r="A3616" s="115"/>
      <c r="B3616" s="93"/>
      <c r="C3616" s="94"/>
      <c r="D3616" s="95"/>
      <c r="E3616" s="95"/>
      <c r="F3616" s="96"/>
      <c r="G3616" s="97"/>
      <c r="H3616" s="114" t="str">
        <f t="shared" si="46"/>
        <v/>
      </c>
      <c r="I3616" s="17"/>
      <c r="J3616" s="17"/>
      <c r="K3616" s="17"/>
    </row>
    <row r="3617" spans="1:11" x14ac:dyDescent="0.2">
      <c r="A3617" s="115"/>
      <c r="B3617" s="93"/>
      <c r="C3617" s="94"/>
      <c r="D3617" s="95"/>
      <c r="E3617" s="95"/>
      <c r="F3617" s="96"/>
      <c r="G3617" s="97"/>
      <c r="H3617" s="114" t="str">
        <f t="shared" si="46"/>
        <v/>
      </c>
      <c r="I3617" s="17"/>
      <c r="J3617" s="17"/>
      <c r="K3617" s="17"/>
    </row>
    <row r="3618" spans="1:11" x14ac:dyDescent="0.2">
      <c r="A3618" s="115"/>
      <c r="B3618" s="93"/>
      <c r="C3618" s="94"/>
      <c r="D3618" s="95"/>
      <c r="E3618" s="95"/>
      <c r="F3618" s="96"/>
      <c r="G3618" s="100"/>
      <c r="H3618" s="114" t="str">
        <f t="shared" si="46"/>
        <v/>
      </c>
      <c r="I3618" s="17"/>
      <c r="J3618" s="17"/>
      <c r="K3618" s="17"/>
    </row>
    <row r="3619" spans="1:11" x14ac:dyDescent="0.2">
      <c r="A3619" s="115"/>
      <c r="B3619" s="93"/>
      <c r="C3619" s="94"/>
      <c r="D3619" s="95"/>
      <c r="E3619" s="95"/>
      <c r="F3619" s="96"/>
      <c r="G3619" s="100"/>
      <c r="H3619" s="114" t="str">
        <f t="shared" si="46"/>
        <v/>
      </c>
      <c r="I3619" s="17"/>
      <c r="J3619" s="17"/>
      <c r="K3619" s="17"/>
    </row>
    <row r="3620" spans="1:11" x14ac:dyDescent="0.2">
      <c r="A3620" s="115"/>
      <c r="B3620" s="93"/>
      <c r="C3620" s="94"/>
      <c r="D3620" s="95"/>
      <c r="E3620" s="95"/>
      <c r="F3620" s="96"/>
      <c r="G3620" s="100"/>
      <c r="H3620" s="114" t="str">
        <f t="shared" si="46"/>
        <v/>
      </c>
      <c r="I3620" s="17"/>
      <c r="J3620" s="17"/>
      <c r="K3620" s="17"/>
    </row>
    <row r="3621" spans="1:11" x14ac:dyDescent="0.2">
      <c r="A3621" s="115"/>
      <c r="B3621" s="93"/>
      <c r="C3621" s="94"/>
      <c r="D3621" s="95"/>
      <c r="E3621" s="95"/>
      <c r="F3621" s="96"/>
      <c r="G3621" s="100"/>
      <c r="H3621" s="114" t="str">
        <f t="shared" si="46"/>
        <v/>
      </c>
      <c r="I3621" s="17"/>
      <c r="J3621" s="17"/>
      <c r="K3621" s="17"/>
    </row>
    <row r="3622" spans="1:11" x14ac:dyDescent="0.2">
      <c r="A3622" s="115"/>
      <c r="B3622" s="93"/>
      <c r="C3622" s="94"/>
      <c r="D3622" s="95"/>
      <c r="E3622" s="95"/>
      <c r="F3622" s="96"/>
      <c r="G3622" s="100"/>
      <c r="H3622" s="114" t="str">
        <f t="shared" si="46"/>
        <v/>
      </c>
      <c r="I3622" s="17"/>
      <c r="J3622" s="17"/>
      <c r="K3622" s="17"/>
    </row>
    <row r="3623" spans="1:11" x14ac:dyDescent="0.2">
      <c r="A3623" s="115"/>
      <c r="B3623" s="93"/>
      <c r="C3623" s="94"/>
      <c r="D3623" s="95"/>
      <c r="E3623" s="95"/>
      <c r="F3623" s="96"/>
      <c r="G3623" s="100"/>
      <c r="H3623" s="114" t="str">
        <f t="shared" si="46"/>
        <v/>
      </c>
      <c r="I3623" s="17"/>
      <c r="J3623" s="17"/>
      <c r="K3623" s="17"/>
    </row>
    <row r="3624" spans="1:11" x14ac:dyDescent="0.2">
      <c r="A3624" s="115"/>
      <c r="B3624" s="93"/>
      <c r="C3624" s="94"/>
      <c r="D3624" s="95"/>
      <c r="E3624" s="95"/>
      <c r="F3624" s="96"/>
      <c r="G3624" s="100"/>
      <c r="H3624" s="114" t="str">
        <f t="shared" si="46"/>
        <v/>
      </c>
      <c r="I3624" s="17"/>
      <c r="J3624" s="17"/>
      <c r="K3624" s="17"/>
    </row>
    <row r="3625" spans="1:11" x14ac:dyDescent="0.2">
      <c r="A3625" s="115"/>
      <c r="B3625" s="93"/>
      <c r="C3625" s="94"/>
      <c r="D3625" s="95"/>
      <c r="E3625" s="95"/>
      <c r="F3625" s="96"/>
      <c r="G3625" s="100"/>
      <c r="H3625" s="114" t="str">
        <f t="shared" si="46"/>
        <v/>
      </c>
      <c r="I3625" s="17"/>
      <c r="J3625" s="17"/>
      <c r="K3625" s="17"/>
    </row>
    <row r="3626" spans="1:11" x14ac:dyDescent="0.2">
      <c r="A3626" s="115"/>
      <c r="B3626" s="93"/>
      <c r="C3626" s="94"/>
      <c r="D3626" s="95"/>
      <c r="E3626" s="95"/>
      <c r="F3626" s="96"/>
      <c r="G3626" s="100"/>
      <c r="H3626" s="114" t="str">
        <f t="shared" si="46"/>
        <v/>
      </c>
      <c r="I3626" s="17"/>
      <c r="J3626" s="17"/>
      <c r="K3626" s="17"/>
    </row>
    <row r="3627" spans="1:11" x14ac:dyDescent="0.2">
      <c r="A3627" s="115"/>
      <c r="B3627" s="93"/>
      <c r="C3627" s="94"/>
      <c r="D3627" s="95"/>
      <c r="E3627" s="95"/>
      <c r="F3627" s="96"/>
      <c r="G3627" s="100"/>
      <c r="H3627" s="114" t="str">
        <f t="shared" si="46"/>
        <v/>
      </c>
      <c r="I3627" s="17"/>
      <c r="J3627" s="17"/>
      <c r="K3627" s="17"/>
    </row>
    <row r="3628" spans="1:11" x14ac:dyDescent="0.2">
      <c r="A3628" s="115"/>
      <c r="B3628" s="93"/>
      <c r="C3628" s="94"/>
      <c r="D3628" s="95"/>
      <c r="E3628" s="95"/>
      <c r="F3628" s="96"/>
      <c r="G3628" s="100"/>
      <c r="H3628" s="114" t="str">
        <f t="shared" si="46"/>
        <v/>
      </c>
      <c r="I3628" s="17"/>
      <c r="J3628" s="17"/>
      <c r="K3628" s="17"/>
    </row>
    <row r="3629" spans="1:11" x14ac:dyDescent="0.2">
      <c r="A3629" s="115"/>
      <c r="B3629" s="93"/>
      <c r="C3629" s="94"/>
      <c r="D3629" s="95"/>
      <c r="E3629" s="95"/>
      <c r="F3629" s="96"/>
      <c r="G3629" s="100"/>
      <c r="H3629" s="114" t="str">
        <f t="shared" si="46"/>
        <v/>
      </c>
      <c r="I3629" s="17"/>
      <c r="J3629" s="17"/>
      <c r="K3629" s="17"/>
    </row>
    <row r="3630" spans="1:11" x14ac:dyDescent="0.2">
      <c r="A3630" s="115"/>
      <c r="B3630" s="93"/>
      <c r="C3630" s="94"/>
      <c r="D3630" s="95"/>
      <c r="E3630" s="95"/>
      <c r="F3630" s="96"/>
      <c r="G3630" s="100"/>
      <c r="H3630" s="114" t="str">
        <f t="shared" si="46"/>
        <v/>
      </c>
      <c r="I3630" s="17"/>
      <c r="J3630" s="17"/>
      <c r="K3630" s="17"/>
    </row>
    <row r="3631" spans="1:11" x14ac:dyDescent="0.2">
      <c r="A3631" s="115"/>
      <c r="B3631" s="93"/>
      <c r="C3631" s="94"/>
      <c r="D3631" s="95"/>
      <c r="E3631" s="95"/>
      <c r="F3631" s="96"/>
      <c r="G3631" s="100"/>
      <c r="H3631" s="114" t="str">
        <f t="shared" si="46"/>
        <v/>
      </c>
      <c r="I3631" s="17"/>
      <c r="J3631" s="17"/>
      <c r="K3631" s="17"/>
    </row>
    <row r="3632" spans="1:11" x14ac:dyDescent="0.2">
      <c r="A3632" s="115"/>
      <c r="B3632" s="93"/>
      <c r="C3632" s="94"/>
      <c r="D3632" s="95"/>
      <c r="E3632" s="95"/>
      <c r="F3632" s="96"/>
      <c r="G3632" s="100"/>
      <c r="H3632" s="114" t="str">
        <f t="shared" si="46"/>
        <v/>
      </c>
      <c r="I3632" s="17"/>
      <c r="J3632" s="17"/>
      <c r="K3632" s="17"/>
    </row>
    <row r="3633" spans="1:11" x14ac:dyDescent="0.2">
      <c r="A3633" s="115"/>
      <c r="B3633" s="93"/>
      <c r="C3633" s="94"/>
      <c r="D3633" s="95"/>
      <c r="E3633" s="95"/>
      <c r="F3633" s="96"/>
      <c r="G3633" s="100"/>
      <c r="H3633" s="114" t="str">
        <f t="shared" si="46"/>
        <v/>
      </c>
      <c r="I3633" s="17"/>
      <c r="J3633" s="17"/>
      <c r="K3633" s="17"/>
    </row>
    <row r="3634" spans="1:11" x14ac:dyDescent="0.2">
      <c r="A3634" s="115"/>
      <c r="B3634" s="93"/>
      <c r="C3634" s="94"/>
      <c r="D3634" s="95"/>
      <c r="E3634" s="95"/>
      <c r="F3634" s="96"/>
      <c r="G3634" s="100"/>
      <c r="H3634" s="114" t="str">
        <f t="shared" si="46"/>
        <v/>
      </c>
      <c r="I3634" s="17"/>
      <c r="J3634" s="17"/>
      <c r="K3634" s="17"/>
    </row>
    <row r="3635" spans="1:11" x14ac:dyDescent="0.2">
      <c r="A3635" s="115"/>
      <c r="B3635" s="93"/>
      <c r="C3635" s="94"/>
      <c r="D3635" s="95"/>
      <c r="E3635" s="95"/>
      <c r="F3635" s="96"/>
      <c r="G3635" s="100"/>
      <c r="H3635" s="114" t="str">
        <f t="shared" si="46"/>
        <v/>
      </c>
      <c r="I3635" s="17"/>
      <c r="J3635" s="17"/>
      <c r="K3635" s="17"/>
    </row>
    <row r="3636" spans="1:11" x14ac:dyDescent="0.2">
      <c r="A3636" s="115"/>
      <c r="B3636" s="93"/>
      <c r="C3636" s="94"/>
      <c r="D3636" s="95"/>
      <c r="E3636" s="95"/>
      <c r="F3636" s="96"/>
      <c r="G3636" s="100"/>
      <c r="H3636" s="114" t="str">
        <f t="shared" si="46"/>
        <v/>
      </c>
      <c r="I3636" s="17"/>
      <c r="J3636" s="17"/>
      <c r="K3636" s="17"/>
    </row>
    <row r="3637" spans="1:11" x14ac:dyDescent="0.2">
      <c r="A3637" s="115"/>
      <c r="B3637" s="93"/>
      <c r="C3637" s="94"/>
      <c r="D3637" s="95"/>
      <c r="E3637" s="95"/>
      <c r="F3637" s="96"/>
      <c r="G3637" s="100"/>
      <c r="H3637" s="114" t="str">
        <f t="shared" si="46"/>
        <v/>
      </c>
      <c r="I3637" s="17"/>
      <c r="J3637" s="17"/>
      <c r="K3637" s="17"/>
    </row>
    <row r="3638" spans="1:11" x14ac:dyDescent="0.2">
      <c r="A3638" s="115"/>
      <c r="B3638" s="93"/>
      <c r="C3638" s="94"/>
      <c r="D3638" s="95"/>
      <c r="E3638" s="95"/>
      <c r="F3638" s="96"/>
      <c r="G3638" s="100"/>
      <c r="H3638" s="114" t="str">
        <f t="shared" si="46"/>
        <v/>
      </c>
      <c r="I3638" s="17"/>
      <c r="J3638" s="17"/>
      <c r="K3638" s="17"/>
    </row>
    <row r="3639" spans="1:11" x14ac:dyDescent="0.2">
      <c r="A3639" s="115"/>
      <c r="B3639" s="93"/>
      <c r="C3639" s="94"/>
      <c r="D3639" s="95"/>
      <c r="E3639" s="95"/>
      <c r="F3639" s="96"/>
      <c r="G3639" s="100"/>
      <c r="H3639" s="114" t="str">
        <f t="shared" si="46"/>
        <v/>
      </c>
      <c r="I3639" s="17"/>
      <c r="J3639" s="17"/>
      <c r="K3639" s="17"/>
    </row>
    <row r="3640" spans="1:11" x14ac:dyDescent="0.2">
      <c r="A3640" s="115"/>
      <c r="B3640" s="93"/>
      <c r="C3640" s="94"/>
      <c r="D3640" s="95"/>
      <c r="E3640" s="95"/>
      <c r="F3640" s="96"/>
      <c r="G3640" s="100"/>
      <c r="H3640" s="114" t="str">
        <f t="shared" si="46"/>
        <v/>
      </c>
      <c r="I3640" s="17"/>
      <c r="J3640" s="17"/>
      <c r="K3640" s="17"/>
    </row>
    <row r="3641" spans="1:11" x14ac:dyDescent="0.2">
      <c r="A3641" s="115"/>
      <c r="B3641" s="93"/>
      <c r="C3641" s="94"/>
      <c r="D3641" s="95"/>
      <c r="E3641" s="95"/>
      <c r="F3641" s="96"/>
      <c r="G3641" s="100"/>
      <c r="H3641" s="114" t="str">
        <f t="shared" si="46"/>
        <v/>
      </c>
      <c r="I3641" s="17"/>
      <c r="J3641" s="17"/>
      <c r="K3641" s="17"/>
    </row>
    <row r="3642" spans="1:11" x14ac:dyDescent="0.2">
      <c r="A3642" s="115"/>
      <c r="B3642" s="93"/>
      <c r="C3642" s="94"/>
      <c r="D3642" s="95"/>
      <c r="E3642" s="95"/>
      <c r="F3642" s="96"/>
      <c r="G3642" s="97"/>
      <c r="H3642" s="114" t="str">
        <f t="shared" si="46"/>
        <v/>
      </c>
      <c r="I3642" s="17"/>
      <c r="J3642" s="17"/>
      <c r="K3642" s="17"/>
    </row>
    <row r="3643" spans="1:11" x14ac:dyDescent="0.2">
      <c r="A3643" s="115"/>
      <c r="B3643" s="93"/>
      <c r="C3643" s="94"/>
      <c r="D3643" s="95"/>
      <c r="E3643" s="95"/>
      <c r="F3643" s="96"/>
      <c r="G3643" s="97"/>
      <c r="H3643" s="114" t="str">
        <f t="shared" si="46"/>
        <v/>
      </c>
      <c r="I3643" s="17"/>
      <c r="J3643" s="17"/>
      <c r="K3643" s="17"/>
    </row>
    <row r="3644" spans="1:11" x14ac:dyDescent="0.2">
      <c r="A3644" s="115"/>
      <c r="B3644" s="93"/>
      <c r="C3644" s="94"/>
      <c r="D3644" s="95"/>
      <c r="E3644" s="95"/>
      <c r="F3644" s="96"/>
      <c r="G3644" s="97"/>
      <c r="H3644" s="114" t="str">
        <f t="shared" si="46"/>
        <v/>
      </c>
      <c r="I3644" s="17"/>
      <c r="J3644" s="17"/>
      <c r="K3644" s="17"/>
    </row>
    <row r="3645" spans="1:11" x14ac:dyDescent="0.2">
      <c r="A3645" s="115"/>
      <c r="B3645" s="93"/>
      <c r="C3645" s="94"/>
      <c r="D3645" s="95"/>
      <c r="E3645" s="95"/>
      <c r="F3645" s="96"/>
      <c r="G3645" s="97"/>
      <c r="H3645" s="114" t="str">
        <f t="shared" si="46"/>
        <v/>
      </c>
      <c r="I3645" s="17"/>
      <c r="J3645" s="17"/>
      <c r="K3645" s="17"/>
    </row>
    <row r="3646" spans="1:11" x14ac:dyDescent="0.2">
      <c r="A3646" s="115"/>
      <c r="B3646" s="93"/>
      <c r="C3646" s="94"/>
      <c r="D3646" s="95"/>
      <c r="E3646" s="95"/>
      <c r="F3646" s="96"/>
      <c r="G3646" s="97"/>
      <c r="H3646" s="114" t="str">
        <f t="shared" si="46"/>
        <v/>
      </c>
      <c r="I3646" s="17"/>
      <c r="J3646" s="17"/>
      <c r="K3646" s="17"/>
    </row>
    <row r="3647" spans="1:11" x14ac:dyDescent="0.2">
      <c r="A3647" s="115"/>
      <c r="B3647" s="93"/>
      <c r="C3647" s="94"/>
      <c r="D3647" s="95"/>
      <c r="E3647" s="95"/>
      <c r="F3647" s="96"/>
      <c r="G3647" s="97"/>
      <c r="H3647" s="114" t="str">
        <f t="shared" si="46"/>
        <v/>
      </c>
      <c r="I3647" s="17"/>
      <c r="J3647" s="17"/>
      <c r="K3647" s="17"/>
    </row>
    <row r="3648" spans="1:11" x14ac:dyDescent="0.2">
      <c r="A3648" s="115"/>
      <c r="B3648" s="93"/>
      <c r="C3648" s="94"/>
      <c r="D3648" s="95"/>
      <c r="E3648" s="95"/>
      <c r="F3648" s="96"/>
      <c r="G3648" s="97"/>
      <c r="H3648" s="114" t="str">
        <f t="shared" si="46"/>
        <v/>
      </c>
      <c r="I3648" s="17"/>
      <c r="J3648" s="17"/>
      <c r="K3648" s="17"/>
    </row>
    <row r="3649" spans="1:11" x14ac:dyDescent="0.2">
      <c r="A3649" s="115"/>
      <c r="B3649" s="93"/>
      <c r="C3649" s="94"/>
      <c r="D3649" s="95"/>
      <c r="E3649" s="95"/>
      <c r="F3649" s="96"/>
      <c r="G3649" s="97"/>
      <c r="H3649" s="114" t="str">
        <f t="shared" si="46"/>
        <v/>
      </c>
      <c r="I3649" s="17"/>
      <c r="J3649" s="17"/>
      <c r="K3649" s="17"/>
    </row>
    <row r="3650" spans="1:11" x14ac:dyDescent="0.2">
      <c r="A3650" s="115"/>
      <c r="B3650" s="93"/>
      <c r="C3650" s="94"/>
      <c r="D3650" s="95"/>
      <c r="E3650" s="95"/>
      <c r="F3650" s="96"/>
      <c r="G3650" s="97"/>
      <c r="H3650" s="114" t="str">
        <f t="shared" si="46"/>
        <v/>
      </c>
      <c r="I3650" s="17"/>
      <c r="J3650" s="17"/>
      <c r="K3650" s="17"/>
    </row>
    <row r="3651" spans="1:11" x14ac:dyDescent="0.2">
      <c r="A3651" s="115"/>
      <c r="B3651" s="93"/>
      <c r="C3651" s="94"/>
      <c r="D3651" s="95"/>
      <c r="E3651" s="95"/>
      <c r="F3651" s="96"/>
      <c r="G3651" s="97"/>
      <c r="H3651" s="114" t="str">
        <f t="shared" si="46"/>
        <v/>
      </c>
      <c r="I3651" s="17"/>
      <c r="J3651" s="17"/>
      <c r="K3651" s="17"/>
    </row>
    <row r="3652" spans="1:11" x14ac:dyDescent="0.2">
      <c r="A3652" s="115"/>
      <c r="B3652" s="93"/>
      <c r="C3652" s="94"/>
      <c r="D3652" s="95"/>
      <c r="E3652" s="95"/>
      <c r="F3652" s="96"/>
      <c r="G3652" s="97"/>
      <c r="H3652" s="114" t="str">
        <f t="shared" ref="H3652:H3715" si="47">IF(A3652&lt;&gt;"", EOMONTH(A3652, -1) + 1, "")</f>
        <v/>
      </c>
      <c r="I3652" s="17"/>
      <c r="J3652" s="17"/>
      <c r="K3652" s="17"/>
    </row>
    <row r="3653" spans="1:11" x14ac:dyDescent="0.2">
      <c r="A3653" s="115"/>
      <c r="B3653" s="93"/>
      <c r="C3653" s="94"/>
      <c r="D3653" s="95"/>
      <c r="E3653" s="95"/>
      <c r="F3653" s="96"/>
      <c r="G3653" s="97"/>
      <c r="H3653" s="114" t="str">
        <f t="shared" si="47"/>
        <v/>
      </c>
      <c r="I3653" s="17"/>
      <c r="J3653" s="17"/>
      <c r="K3653" s="17"/>
    </row>
    <row r="3654" spans="1:11" x14ac:dyDescent="0.2">
      <c r="A3654" s="115"/>
      <c r="B3654" s="93"/>
      <c r="C3654" s="94"/>
      <c r="D3654" s="95"/>
      <c r="E3654" s="95"/>
      <c r="F3654" s="96"/>
      <c r="G3654" s="97"/>
      <c r="H3654" s="114" t="str">
        <f t="shared" si="47"/>
        <v/>
      </c>
      <c r="I3654" s="17"/>
      <c r="J3654" s="17"/>
      <c r="K3654" s="17"/>
    </row>
    <row r="3655" spans="1:11" x14ac:dyDescent="0.2">
      <c r="A3655" s="115"/>
      <c r="B3655" s="93"/>
      <c r="C3655" s="94"/>
      <c r="D3655" s="95"/>
      <c r="E3655" s="95"/>
      <c r="F3655" s="96"/>
      <c r="G3655" s="97"/>
      <c r="H3655" s="114" t="str">
        <f t="shared" si="47"/>
        <v/>
      </c>
      <c r="I3655" s="17"/>
      <c r="J3655" s="17"/>
      <c r="K3655" s="17"/>
    </row>
    <row r="3656" spans="1:11" x14ac:dyDescent="0.2">
      <c r="A3656" s="115"/>
      <c r="B3656" s="93"/>
      <c r="C3656" s="94"/>
      <c r="D3656" s="95"/>
      <c r="E3656" s="95"/>
      <c r="F3656" s="96"/>
      <c r="G3656" s="97"/>
      <c r="H3656" s="114" t="str">
        <f t="shared" si="47"/>
        <v/>
      </c>
      <c r="I3656" s="17"/>
      <c r="J3656" s="17"/>
      <c r="K3656" s="17"/>
    </row>
    <row r="3657" spans="1:11" x14ac:dyDescent="0.2">
      <c r="A3657" s="115"/>
      <c r="B3657" s="93"/>
      <c r="C3657" s="94"/>
      <c r="D3657" s="95"/>
      <c r="E3657" s="95"/>
      <c r="F3657" s="96"/>
      <c r="G3657" s="97"/>
      <c r="H3657" s="114" t="str">
        <f t="shared" si="47"/>
        <v/>
      </c>
      <c r="I3657" s="17"/>
      <c r="J3657" s="17"/>
      <c r="K3657" s="17"/>
    </row>
    <row r="3658" spans="1:11" x14ac:dyDescent="0.2">
      <c r="A3658" s="115"/>
      <c r="B3658" s="93"/>
      <c r="C3658" s="94"/>
      <c r="D3658" s="95"/>
      <c r="E3658" s="95"/>
      <c r="F3658" s="96"/>
      <c r="G3658" s="97"/>
      <c r="H3658" s="114" t="str">
        <f t="shared" si="47"/>
        <v/>
      </c>
      <c r="I3658" s="17"/>
      <c r="J3658" s="17"/>
      <c r="K3658" s="17"/>
    </row>
    <row r="3659" spans="1:11" x14ac:dyDescent="0.2">
      <c r="A3659" s="115"/>
      <c r="B3659" s="93"/>
      <c r="C3659" s="94"/>
      <c r="D3659" s="95"/>
      <c r="E3659" s="95"/>
      <c r="F3659" s="96"/>
      <c r="G3659" s="97"/>
      <c r="H3659" s="114" t="str">
        <f t="shared" si="47"/>
        <v/>
      </c>
      <c r="I3659" s="17"/>
      <c r="J3659" s="17"/>
      <c r="K3659" s="17"/>
    </row>
    <row r="3660" spans="1:11" x14ac:dyDescent="0.2">
      <c r="A3660" s="115"/>
      <c r="B3660" s="93"/>
      <c r="C3660" s="94"/>
      <c r="D3660" s="95"/>
      <c r="E3660" s="95"/>
      <c r="F3660" s="96"/>
      <c r="G3660" s="97"/>
      <c r="H3660" s="114" t="str">
        <f t="shared" si="47"/>
        <v/>
      </c>
      <c r="I3660" s="17"/>
      <c r="J3660" s="17"/>
      <c r="K3660" s="17"/>
    </row>
    <row r="3661" spans="1:11" x14ac:dyDescent="0.2">
      <c r="A3661" s="115"/>
      <c r="B3661" s="93"/>
      <c r="C3661" s="94"/>
      <c r="D3661" s="95"/>
      <c r="E3661" s="95"/>
      <c r="F3661" s="96"/>
      <c r="G3661" s="97"/>
      <c r="H3661" s="114" t="str">
        <f t="shared" si="47"/>
        <v/>
      </c>
      <c r="I3661" s="17"/>
      <c r="J3661" s="17"/>
      <c r="K3661" s="17"/>
    </row>
    <row r="3662" spans="1:11" x14ac:dyDescent="0.2">
      <c r="A3662" s="115"/>
      <c r="B3662" s="93"/>
      <c r="C3662" s="94"/>
      <c r="D3662" s="95"/>
      <c r="E3662" s="95"/>
      <c r="F3662" s="96"/>
      <c r="G3662" s="97"/>
      <c r="H3662" s="114" t="str">
        <f t="shared" si="47"/>
        <v/>
      </c>
      <c r="I3662" s="17"/>
      <c r="J3662" s="17"/>
      <c r="K3662" s="17"/>
    </row>
    <row r="3663" spans="1:11" x14ac:dyDescent="0.2">
      <c r="A3663" s="115"/>
      <c r="B3663" s="93"/>
      <c r="C3663" s="94"/>
      <c r="D3663" s="95"/>
      <c r="E3663" s="95"/>
      <c r="F3663" s="96"/>
      <c r="G3663" s="97"/>
      <c r="H3663" s="114" t="str">
        <f t="shared" si="47"/>
        <v/>
      </c>
      <c r="I3663" s="17"/>
      <c r="J3663" s="17"/>
      <c r="K3663" s="17"/>
    </row>
    <row r="3664" spans="1:11" x14ac:dyDescent="0.2">
      <c r="A3664" s="115"/>
      <c r="B3664" s="93"/>
      <c r="C3664" s="94"/>
      <c r="D3664" s="95"/>
      <c r="E3664" s="95"/>
      <c r="F3664" s="96"/>
      <c r="G3664" s="97"/>
      <c r="H3664" s="114" t="str">
        <f t="shared" si="47"/>
        <v/>
      </c>
      <c r="I3664" s="17"/>
      <c r="J3664" s="17"/>
      <c r="K3664" s="17"/>
    </row>
    <row r="3665" spans="1:11" x14ac:dyDescent="0.2">
      <c r="A3665" s="115"/>
      <c r="B3665" s="93"/>
      <c r="C3665" s="94"/>
      <c r="D3665" s="95"/>
      <c r="E3665" s="95"/>
      <c r="F3665" s="96"/>
      <c r="G3665" s="97"/>
      <c r="H3665" s="114" t="str">
        <f t="shared" si="47"/>
        <v/>
      </c>
      <c r="I3665" s="17"/>
      <c r="J3665" s="17"/>
      <c r="K3665" s="17"/>
    </row>
    <row r="3666" spans="1:11" x14ac:dyDescent="0.2">
      <c r="A3666" s="115"/>
      <c r="B3666" s="93"/>
      <c r="C3666" s="94"/>
      <c r="D3666" s="95"/>
      <c r="E3666" s="95"/>
      <c r="F3666" s="96"/>
      <c r="G3666" s="97"/>
      <c r="H3666" s="114" t="str">
        <f t="shared" si="47"/>
        <v/>
      </c>
      <c r="I3666" s="17"/>
      <c r="J3666" s="17"/>
      <c r="K3666" s="17"/>
    </row>
    <row r="3667" spans="1:11" x14ac:dyDescent="0.2">
      <c r="A3667" s="115"/>
      <c r="B3667" s="93"/>
      <c r="C3667" s="94"/>
      <c r="D3667" s="95"/>
      <c r="E3667" s="95"/>
      <c r="F3667" s="96"/>
      <c r="G3667" s="97"/>
      <c r="H3667" s="114" t="str">
        <f t="shared" si="47"/>
        <v/>
      </c>
      <c r="I3667" s="17"/>
      <c r="J3667" s="17"/>
      <c r="K3667" s="17"/>
    </row>
    <row r="3668" spans="1:11" x14ac:dyDescent="0.2">
      <c r="A3668" s="115"/>
      <c r="B3668" s="93"/>
      <c r="C3668" s="94"/>
      <c r="D3668" s="95"/>
      <c r="E3668" s="95"/>
      <c r="F3668" s="96"/>
      <c r="G3668" s="97"/>
      <c r="H3668" s="114" t="str">
        <f t="shared" si="47"/>
        <v/>
      </c>
      <c r="I3668" s="17"/>
      <c r="J3668" s="17"/>
      <c r="K3668" s="17"/>
    </row>
    <row r="3669" spans="1:11" x14ac:dyDescent="0.2">
      <c r="A3669" s="115"/>
      <c r="B3669" s="93"/>
      <c r="C3669" s="94"/>
      <c r="D3669" s="95"/>
      <c r="E3669" s="95"/>
      <c r="F3669" s="96"/>
      <c r="G3669" s="97"/>
      <c r="H3669" s="114" t="str">
        <f t="shared" si="47"/>
        <v/>
      </c>
      <c r="I3669" s="17"/>
      <c r="J3669" s="17"/>
      <c r="K3669" s="17"/>
    </row>
    <row r="3670" spans="1:11" x14ac:dyDescent="0.2">
      <c r="A3670" s="115"/>
      <c r="B3670" s="93"/>
      <c r="C3670" s="94"/>
      <c r="D3670" s="95"/>
      <c r="E3670" s="95"/>
      <c r="F3670" s="96"/>
      <c r="G3670" s="97"/>
      <c r="H3670" s="114" t="str">
        <f t="shared" si="47"/>
        <v/>
      </c>
      <c r="I3670" s="17"/>
      <c r="J3670" s="17"/>
      <c r="K3670" s="17"/>
    </row>
    <row r="3671" spans="1:11" x14ac:dyDescent="0.2">
      <c r="A3671" s="115"/>
      <c r="B3671" s="93"/>
      <c r="C3671" s="94"/>
      <c r="D3671" s="95"/>
      <c r="E3671" s="95"/>
      <c r="F3671" s="96"/>
      <c r="G3671" s="97"/>
      <c r="H3671" s="114" t="str">
        <f t="shared" si="47"/>
        <v/>
      </c>
      <c r="I3671" s="17"/>
      <c r="J3671" s="17"/>
      <c r="K3671" s="17"/>
    </row>
    <row r="3672" spans="1:11" x14ac:dyDescent="0.2">
      <c r="A3672" s="115"/>
      <c r="B3672" s="93"/>
      <c r="C3672" s="94"/>
      <c r="D3672" s="95"/>
      <c r="E3672" s="95"/>
      <c r="F3672" s="96"/>
      <c r="G3672" s="97"/>
      <c r="H3672" s="114" t="str">
        <f t="shared" si="47"/>
        <v/>
      </c>
      <c r="I3672" s="17"/>
      <c r="J3672" s="17"/>
      <c r="K3672" s="17"/>
    </row>
    <row r="3673" spans="1:11" x14ac:dyDescent="0.2">
      <c r="A3673" s="115"/>
      <c r="B3673" s="93"/>
      <c r="C3673" s="94"/>
      <c r="D3673" s="95"/>
      <c r="E3673" s="95"/>
      <c r="F3673" s="96"/>
      <c r="G3673" s="97"/>
      <c r="H3673" s="114" t="str">
        <f t="shared" si="47"/>
        <v/>
      </c>
      <c r="I3673" s="17"/>
      <c r="J3673" s="17"/>
      <c r="K3673" s="17"/>
    </row>
    <row r="3674" spans="1:11" x14ac:dyDescent="0.2">
      <c r="A3674" s="115"/>
      <c r="B3674" s="93"/>
      <c r="C3674" s="94"/>
      <c r="D3674" s="95"/>
      <c r="E3674" s="95"/>
      <c r="F3674" s="96"/>
      <c r="G3674" s="97"/>
      <c r="H3674" s="114" t="str">
        <f t="shared" si="47"/>
        <v/>
      </c>
      <c r="I3674" s="17"/>
      <c r="J3674" s="17"/>
      <c r="K3674" s="17"/>
    </row>
    <row r="3675" spans="1:11" x14ac:dyDescent="0.2">
      <c r="A3675" s="115"/>
      <c r="B3675" s="93"/>
      <c r="C3675" s="94"/>
      <c r="D3675" s="95"/>
      <c r="E3675" s="95"/>
      <c r="F3675" s="96"/>
      <c r="G3675" s="97"/>
      <c r="H3675" s="114" t="str">
        <f t="shared" si="47"/>
        <v/>
      </c>
      <c r="I3675" s="17"/>
      <c r="J3675" s="17"/>
      <c r="K3675" s="17"/>
    </row>
    <row r="3676" spans="1:11" x14ac:dyDescent="0.2">
      <c r="A3676" s="115"/>
      <c r="B3676" s="93"/>
      <c r="C3676" s="94"/>
      <c r="D3676" s="95"/>
      <c r="E3676" s="95"/>
      <c r="F3676" s="96"/>
      <c r="G3676" s="97"/>
      <c r="H3676" s="114" t="str">
        <f t="shared" si="47"/>
        <v/>
      </c>
      <c r="I3676" s="17"/>
      <c r="J3676" s="17"/>
      <c r="K3676" s="17"/>
    </row>
    <row r="3677" spans="1:11" x14ac:dyDescent="0.2">
      <c r="A3677" s="115"/>
      <c r="B3677" s="93"/>
      <c r="C3677" s="94"/>
      <c r="D3677" s="95"/>
      <c r="E3677" s="95"/>
      <c r="F3677" s="96"/>
      <c r="G3677" s="97"/>
      <c r="H3677" s="114" t="str">
        <f t="shared" si="47"/>
        <v/>
      </c>
      <c r="I3677" s="17"/>
      <c r="J3677" s="17"/>
      <c r="K3677" s="17"/>
    </row>
    <row r="3678" spans="1:11" x14ac:dyDescent="0.2">
      <c r="A3678" s="115"/>
      <c r="B3678" s="93"/>
      <c r="C3678" s="94"/>
      <c r="D3678" s="95"/>
      <c r="E3678" s="95"/>
      <c r="F3678" s="96"/>
      <c r="G3678" s="97"/>
      <c r="H3678" s="114" t="str">
        <f t="shared" si="47"/>
        <v/>
      </c>
      <c r="I3678" s="17"/>
      <c r="J3678" s="17"/>
      <c r="K3678" s="17"/>
    </row>
    <row r="3679" spans="1:11" x14ac:dyDescent="0.2">
      <c r="A3679" s="115"/>
      <c r="B3679" s="93"/>
      <c r="C3679" s="94"/>
      <c r="D3679" s="95"/>
      <c r="E3679" s="95"/>
      <c r="F3679" s="96"/>
      <c r="G3679" s="97"/>
      <c r="H3679" s="114" t="str">
        <f t="shared" si="47"/>
        <v/>
      </c>
      <c r="I3679" s="17"/>
      <c r="J3679" s="17"/>
      <c r="K3679" s="17"/>
    </row>
    <row r="3680" spans="1:11" x14ac:dyDescent="0.2">
      <c r="A3680" s="115"/>
      <c r="B3680" s="93"/>
      <c r="C3680" s="94"/>
      <c r="D3680" s="95"/>
      <c r="E3680" s="95"/>
      <c r="F3680" s="96"/>
      <c r="G3680" s="97"/>
      <c r="H3680" s="114" t="str">
        <f t="shared" si="47"/>
        <v/>
      </c>
      <c r="I3680" s="17"/>
      <c r="J3680" s="17"/>
      <c r="K3680" s="17"/>
    </row>
    <row r="3681" spans="1:11" x14ac:dyDescent="0.2">
      <c r="A3681" s="115"/>
      <c r="B3681" s="93"/>
      <c r="C3681" s="94"/>
      <c r="D3681" s="95"/>
      <c r="E3681" s="95"/>
      <c r="F3681" s="96"/>
      <c r="G3681" s="97"/>
      <c r="H3681" s="114" t="str">
        <f t="shared" si="47"/>
        <v/>
      </c>
      <c r="I3681" s="17"/>
      <c r="J3681" s="17"/>
      <c r="K3681" s="17"/>
    </row>
    <row r="3682" spans="1:11" x14ac:dyDescent="0.2">
      <c r="A3682" s="115"/>
      <c r="B3682" s="93"/>
      <c r="C3682" s="94"/>
      <c r="D3682" s="95"/>
      <c r="E3682" s="95"/>
      <c r="F3682" s="96"/>
      <c r="G3682" s="97"/>
      <c r="H3682" s="114" t="str">
        <f t="shared" si="47"/>
        <v/>
      </c>
      <c r="I3682" s="17"/>
      <c r="J3682" s="17"/>
      <c r="K3682" s="17"/>
    </row>
    <row r="3683" spans="1:11" x14ac:dyDescent="0.2">
      <c r="A3683" s="115"/>
      <c r="B3683" s="93"/>
      <c r="C3683" s="94"/>
      <c r="D3683" s="95"/>
      <c r="E3683" s="95"/>
      <c r="F3683" s="96"/>
      <c r="G3683" s="97"/>
      <c r="H3683" s="114" t="str">
        <f t="shared" si="47"/>
        <v/>
      </c>
      <c r="I3683" s="17"/>
      <c r="J3683" s="17"/>
      <c r="K3683" s="17"/>
    </row>
    <row r="3684" spans="1:11" x14ac:dyDescent="0.2">
      <c r="A3684" s="115"/>
      <c r="B3684" s="93"/>
      <c r="C3684" s="94"/>
      <c r="D3684" s="95"/>
      <c r="E3684" s="95"/>
      <c r="F3684" s="96"/>
      <c r="G3684" s="97"/>
      <c r="H3684" s="114" t="str">
        <f t="shared" si="47"/>
        <v/>
      </c>
      <c r="I3684" s="17"/>
      <c r="J3684" s="17"/>
      <c r="K3684" s="17"/>
    </row>
    <row r="3685" spans="1:11" x14ac:dyDescent="0.2">
      <c r="A3685" s="115"/>
      <c r="B3685" s="93"/>
      <c r="C3685" s="94"/>
      <c r="D3685" s="95"/>
      <c r="E3685" s="95"/>
      <c r="F3685" s="96"/>
      <c r="G3685" s="97"/>
      <c r="H3685" s="114" t="str">
        <f t="shared" si="47"/>
        <v/>
      </c>
      <c r="I3685" s="17"/>
      <c r="J3685" s="17"/>
      <c r="K3685" s="17"/>
    </row>
    <row r="3686" spans="1:11" x14ac:dyDescent="0.2">
      <c r="A3686" s="115"/>
      <c r="B3686" s="93"/>
      <c r="C3686" s="94"/>
      <c r="D3686" s="95"/>
      <c r="E3686" s="95"/>
      <c r="F3686" s="96"/>
      <c r="G3686" s="97"/>
      <c r="H3686" s="114" t="str">
        <f t="shared" si="47"/>
        <v/>
      </c>
      <c r="I3686" s="17"/>
      <c r="J3686" s="17"/>
      <c r="K3686" s="17"/>
    </row>
    <row r="3687" spans="1:11" x14ac:dyDescent="0.2">
      <c r="A3687" s="115"/>
      <c r="B3687" s="93"/>
      <c r="C3687" s="94"/>
      <c r="D3687" s="95"/>
      <c r="E3687" s="95"/>
      <c r="F3687" s="96"/>
      <c r="G3687" s="97"/>
      <c r="H3687" s="114" t="str">
        <f t="shared" si="47"/>
        <v/>
      </c>
      <c r="I3687" s="17"/>
      <c r="J3687" s="17"/>
      <c r="K3687" s="17"/>
    </row>
    <row r="3688" spans="1:11" x14ac:dyDescent="0.2">
      <c r="A3688" s="115"/>
      <c r="B3688" s="93"/>
      <c r="C3688" s="94"/>
      <c r="D3688" s="95"/>
      <c r="E3688" s="95"/>
      <c r="F3688" s="96"/>
      <c r="G3688" s="97"/>
      <c r="H3688" s="114" t="str">
        <f t="shared" si="47"/>
        <v/>
      </c>
      <c r="I3688" s="17"/>
      <c r="J3688" s="17"/>
      <c r="K3688" s="17"/>
    </row>
    <row r="3689" spans="1:11" x14ac:dyDescent="0.2">
      <c r="A3689" s="115"/>
      <c r="B3689" s="93"/>
      <c r="C3689" s="94"/>
      <c r="D3689" s="95"/>
      <c r="E3689" s="95"/>
      <c r="F3689" s="96"/>
      <c r="G3689" s="97"/>
      <c r="H3689" s="114" t="str">
        <f t="shared" si="47"/>
        <v/>
      </c>
      <c r="I3689" s="17"/>
      <c r="J3689" s="17"/>
      <c r="K3689" s="17"/>
    </row>
    <row r="3690" spans="1:11" x14ac:dyDescent="0.2">
      <c r="A3690" s="115"/>
      <c r="B3690" s="93"/>
      <c r="C3690" s="94"/>
      <c r="D3690" s="95"/>
      <c r="E3690" s="95"/>
      <c r="F3690" s="96"/>
      <c r="G3690" s="97"/>
      <c r="H3690" s="114" t="str">
        <f t="shared" si="47"/>
        <v/>
      </c>
      <c r="I3690" s="17"/>
      <c r="J3690" s="17"/>
      <c r="K3690" s="17"/>
    </row>
    <row r="3691" spans="1:11" x14ac:dyDescent="0.2">
      <c r="A3691" s="115"/>
      <c r="B3691" s="93"/>
      <c r="C3691" s="94"/>
      <c r="D3691" s="95"/>
      <c r="E3691" s="95"/>
      <c r="F3691" s="96"/>
      <c r="G3691" s="97"/>
      <c r="H3691" s="114" t="str">
        <f t="shared" si="47"/>
        <v/>
      </c>
      <c r="I3691" s="17"/>
      <c r="J3691" s="17"/>
      <c r="K3691" s="17"/>
    </row>
    <row r="3692" spans="1:11" x14ac:dyDescent="0.2">
      <c r="A3692" s="115"/>
      <c r="B3692" s="93"/>
      <c r="C3692" s="94"/>
      <c r="D3692" s="95"/>
      <c r="E3692" s="95"/>
      <c r="F3692" s="96"/>
      <c r="G3692" s="97"/>
      <c r="H3692" s="114" t="str">
        <f t="shared" si="47"/>
        <v/>
      </c>
      <c r="I3692" s="17"/>
      <c r="J3692" s="17"/>
      <c r="K3692" s="17"/>
    </row>
    <row r="3693" spans="1:11" x14ac:dyDescent="0.2">
      <c r="A3693" s="115"/>
      <c r="B3693" s="93"/>
      <c r="C3693" s="94"/>
      <c r="D3693" s="95"/>
      <c r="E3693" s="95"/>
      <c r="F3693" s="96"/>
      <c r="G3693" s="97"/>
      <c r="H3693" s="114" t="str">
        <f t="shared" si="47"/>
        <v/>
      </c>
      <c r="I3693" s="17"/>
      <c r="J3693" s="17"/>
      <c r="K3693" s="17"/>
    </row>
    <row r="3694" spans="1:11" x14ac:dyDescent="0.2">
      <c r="A3694" s="115"/>
      <c r="B3694" s="93"/>
      <c r="C3694" s="94"/>
      <c r="D3694" s="95"/>
      <c r="E3694" s="95"/>
      <c r="F3694" s="96"/>
      <c r="G3694" s="97"/>
      <c r="H3694" s="114" t="str">
        <f t="shared" si="47"/>
        <v/>
      </c>
      <c r="I3694" s="17"/>
      <c r="J3694" s="17"/>
      <c r="K3694" s="17"/>
    </row>
    <row r="3695" spans="1:11" x14ac:dyDescent="0.2">
      <c r="A3695" s="115"/>
      <c r="B3695" s="93"/>
      <c r="C3695" s="94"/>
      <c r="D3695" s="95"/>
      <c r="E3695" s="95"/>
      <c r="F3695" s="96"/>
      <c r="G3695" s="97"/>
      <c r="H3695" s="114" t="str">
        <f t="shared" si="47"/>
        <v/>
      </c>
      <c r="I3695" s="17"/>
      <c r="J3695" s="17"/>
      <c r="K3695" s="17"/>
    </row>
    <row r="3696" spans="1:11" x14ac:dyDescent="0.2">
      <c r="A3696" s="115"/>
      <c r="B3696" s="93"/>
      <c r="C3696" s="94"/>
      <c r="D3696" s="95"/>
      <c r="E3696" s="95"/>
      <c r="F3696" s="96"/>
      <c r="G3696" s="97"/>
      <c r="H3696" s="114" t="str">
        <f t="shared" si="47"/>
        <v/>
      </c>
      <c r="I3696" s="17"/>
      <c r="J3696" s="17"/>
      <c r="K3696" s="17"/>
    </row>
    <row r="3697" spans="1:11" x14ac:dyDescent="0.2">
      <c r="A3697" s="115"/>
      <c r="B3697" s="93"/>
      <c r="C3697" s="94"/>
      <c r="D3697" s="95"/>
      <c r="E3697" s="95"/>
      <c r="F3697" s="96"/>
      <c r="G3697" s="97"/>
      <c r="H3697" s="114" t="str">
        <f t="shared" si="47"/>
        <v/>
      </c>
      <c r="I3697" s="17"/>
      <c r="J3697" s="17"/>
      <c r="K3697" s="17"/>
    </row>
    <row r="3698" spans="1:11" x14ac:dyDescent="0.2">
      <c r="A3698" s="115"/>
      <c r="B3698" s="93"/>
      <c r="C3698" s="94"/>
      <c r="D3698" s="95"/>
      <c r="E3698" s="95"/>
      <c r="F3698" s="96"/>
      <c r="G3698" s="97"/>
      <c r="H3698" s="114" t="str">
        <f t="shared" si="47"/>
        <v/>
      </c>
      <c r="I3698" s="17"/>
      <c r="J3698" s="17"/>
      <c r="K3698" s="17"/>
    </row>
    <row r="3699" spans="1:11" x14ac:dyDescent="0.2">
      <c r="A3699" s="115"/>
      <c r="B3699" s="93"/>
      <c r="C3699" s="94"/>
      <c r="D3699" s="95"/>
      <c r="E3699" s="95"/>
      <c r="F3699" s="96"/>
      <c r="G3699" s="97"/>
      <c r="H3699" s="114" t="str">
        <f t="shared" si="47"/>
        <v/>
      </c>
      <c r="I3699" s="17"/>
      <c r="J3699" s="17"/>
      <c r="K3699" s="17"/>
    </row>
    <row r="3700" spans="1:11" x14ac:dyDescent="0.2">
      <c r="A3700" s="115"/>
      <c r="B3700" s="93"/>
      <c r="C3700" s="94"/>
      <c r="D3700" s="95"/>
      <c r="E3700" s="95"/>
      <c r="F3700" s="96"/>
      <c r="G3700" s="97"/>
      <c r="H3700" s="114" t="str">
        <f t="shared" si="47"/>
        <v/>
      </c>
      <c r="I3700" s="17"/>
      <c r="J3700" s="17"/>
      <c r="K3700" s="17"/>
    </row>
    <row r="3701" spans="1:11" x14ac:dyDescent="0.2">
      <c r="A3701" s="115"/>
      <c r="B3701" s="93"/>
      <c r="C3701" s="94"/>
      <c r="D3701" s="95"/>
      <c r="E3701" s="95"/>
      <c r="F3701" s="96"/>
      <c r="G3701" s="97"/>
      <c r="H3701" s="114" t="str">
        <f t="shared" si="47"/>
        <v/>
      </c>
      <c r="I3701" s="17"/>
      <c r="J3701" s="17"/>
      <c r="K3701" s="17"/>
    </row>
    <row r="3702" spans="1:11" x14ac:dyDescent="0.2">
      <c r="A3702" s="115"/>
      <c r="B3702" s="93"/>
      <c r="C3702" s="94"/>
      <c r="D3702" s="95"/>
      <c r="E3702" s="95"/>
      <c r="F3702" s="96"/>
      <c r="G3702" s="97"/>
      <c r="H3702" s="114" t="str">
        <f t="shared" si="47"/>
        <v/>
      </c>
      <c r="I3702" s="17"/>
      <c r="J3702" s="17"/>
      <c r="K3702" s="17"/>
    </row>
    <row r="3703" spans="1:11" x14ac:dyDescent="0.2">
      <c r="A3703" s="115"/>
      <c r="B3703" s="93"/>
      <c r="C3703" s="94"/>
      <c r="D3703" s="95"/>
      <c r="E3703" s="95"/>
      <c r="F3703" s="96"/>
      <c r="G3703" s="97"/>
      <c r="H3703" s="114" t="str">
        <f t="shared" si="47"/>
        <v/>
      </c>
      <c r="I3703" s="17"/>
      <c r="J3703" s="17"/>
      <c r="K3703" s="17"/>
    </row>
    <row r="3704" spans="1:11" x14ac:dyDescent="0.2">
      <c r="A3704" s="115"/>
      <c r="B3704" s="93"/>
      <c r="C3704" s="94"/>
      <c r="D3704" s="95"/>
      <c r="E3704" s="95"/>
      <c r="F3704" s="96"/>
      <c r="G3704" s="97"/>
      <c r="H3704" s="114" t="str">
        <f t="shared" si="47"/>
        <v/>
      </c>
      <c r="I3704" s="17"/>
      <c r="J3704" s="17"/>
      <c r="K3704" s="17"/>
    </row>
    <row r="3705" spans="1:11" x14ac:dyDescent="0.2">
      <c r="A3705" s="115"/>
      <c r="B3705" s="93"/>
      <c r="C3705" s="94"/>
      <c r="D3705" s="95"/>
      <c r="E3705" s="95"/>
      <c r="F3705" s="96"/>
      <c r="G3705" s="97"/>
      <c r="H3705" s="114" t="str">
        <f t="shared" si="47"/>
        <v/>
      </c>
      <c r="I3705" s="17"/>
      <c r="J3705" s="17"/>
      <c r="K3705" s="17"/>
    </row>
    <row r="3706" spans="1:11" x14ac:dyDescent="0.2">
      <c r="A3706" s="115"/>
      <c r="B3706" s="93"/>
      <c r="C3706" s="94"/>
      <c r="D3706" s="95"/>
      <c r="E3706" s="95"/>
      <c r="F3706" s="96"/>
      <c r="G3706" s="97"/>
      <c r="H3706" s="114" t="str">
        <f t="shared" si="47"/>
        <v/>
      </c>
      <c r="I3706" s="17"/>
      <c r="J3706" s="17"/>
      <c r="K3706" s="17"/>
    </row>
    <row r="3707" spans="1:11" x14ac:dyDescent="0.2">
      <c r="A3707" s="115"/>
      <c r="B3707" s="93"/>
      <c r="C3707" s="94"/>
      <c r="D3707" s="95"/>
      <c r="E3707" s="95"/>
      <c r="F3707" s="96"/>
      <c r="G3707" s="97"/>
      <c r="H3707" s="114" t="str">
        <f t="shared" si="47"/>
        <v/>
      </c>
      <c r="I3707" s="17"/>
      <c r="J3707" s="17"/>
      <c r="K3707" s="17"/>
    </row>
    <row r="3708" spans="1:11" x14ac:dyDescent="0.2">
      <c r="A3708" s="115"/>
      <c r="B3708" s="93"/>
      <c r="C3708" s="94"/>
      <c r="D3708" s="95"/>
      <c r="E3708" s="95"/>
      <c r="F3708" s="96"/>
      <c r="G3708" s="97"/>
      <c r="H3708" s="114" t="str">
        <f t="shared" si="47"/>
        <v/>
      </c>
      <c r="I3708" s="17"/>
      <c r="J3708" s="17"/>
      <c r="K3708" s="17"/>
    </row>
    <row r="3709" spans="1:11" x14ac:dyDescent="0.2">
      <c r="A3709" s="115"/>
      <c r="B3709" s="93"/>
      <c r="C3709" s="94"/>
      <c r="D3709" s="95"/>
      <c r="E3709" s="95"/>
      <c r="F3709" s="96"/>
      <c r="G3709" s="97"/>
      <c r="H3709" s="114" t="str">
        <f t="shared" si="47"/>
        <v/>
      </c>
      <c r="I3709" s="17"/>
      <c r="J3709" s="17"/>
      <c r="K3709" s="17"/>
    </row>
    <row r="3710" spans="1:11" x14ac:dyDescent="0.2">
      <c r="A3710" s="115"/>
      <c r="B3710" s="93"/>
      <c r="C3710" s="94"/>
      <c r="D3710" s="95"/>
      <c r="E3710" s="95"/>
      <c r="F3710" s="96"/>
      <c r="G3710" s="97"/>
      <c r="H3710" s="114" t="str">
        <f t="shared" si="47"/>
        <v/>
      </c>
      <c r="I3710" s="17"/>
      <c r="J3710" s="17"/>
      <c r="K3710" s="17"/>
    </row>
    <row r="3711" spans="1:11" x14ac:dyDescent="0.2">
      <c r="A3711" s="115"/>
      <c r="B3711" s="93"/>
      <c r="C3711" s="94"/>
      <c r="D3711" s="95"/>
      <c r="E3711" s="95"/>
      <c r="F3711" s="96"/>
      <c r="G3711" s="97"/>
      <c r="H3711" s="114" t="str">
        <f t="shared" si="47"/>
        <v/>
      </c>
      <c r="I3711" s="17"/>
      <c r="J3711" s="17"/>
      <c r="K3711" s="17"/>
    </row>
    <row r="3712" spans="1:11" x14ac:dyDescent="0.2">
      <c r="A3712" s="115"/>
      <c r="B3712" s="93"/>
      <c r="C3712" s="94"/>
      <c r="D3712" s="95"/>
      <c r="E3712" s="95"/>
      <c r="F3712" s="96"/>
      <c r="G3712" s="97"/>
      <c r="H3712" s="114" t="str">
        <f t="shared" si="47"/>
        <v/>
      </c>
      <c r="I3712" s="17"/>
      <c r="J3712" s="17"/>
      <c r="K3712" s="17"/>
    </row>
    <row r="3713" spans="1:11" x14ac:dyDescent="0.2">
      <c r="A3713" s="115"/>
      <c r="B3713" s="93"/>
      <c r="C3713" s="94"/>
      <c r="D3713" s="95"/>
      <c r="E3713" s="95"/>
      <c r="F3713" s="96"/>
      <c r="G3713" s="97"/>
      <c r="H3713" s="114" t="str">
        <f t="shared" si="47"/>
        <v/>
      </c>
      <c r="I3713" s="17"/>
      <c r="J3713" s="17"/>
      <c r="K3713" s="17"/>
    </row>
    <row r="3714" spans="1:11" x14ac:dyDescent="0.2">
      <c r="A3714" s="115"/>
      <c r="B3714" s="93"/>
      <c r="C3714" s="94"/>
      <c r="D3714" s="95"/>
      <c r="E3714" s="95"/>
      <c r="F3714" s="96"/>
      <c r="G3714" s="97"/>
      <c r="H3714" s="114" t="str">
        <f t="shared" si="47"/>
        <v/>
      </c>
      <c r="I3714" s="17"/>
      <c r="J3714" s="17"/>
      <c r="K3714" s="17"/>
    </row>
    <row r="3715" spans="1:11" x14ac:dyDescent="0.2">
      <c r="A3715" s="115"/>
      <c r="B3715" s="93"/>
      <c r="C3715" s="94"/>
      <c r="D3715" s="95"/>
      <c r="E3715" s="95"/>
      <c r="F3715" s="96"/>
      <c r="G3715" s="97"/>
      <c r="H3715" s="114" t="str">
        <f t="shared" si="47"/>
        <v/>
      </c>
      <c r="I3715" s="17"/>
      <c r="J3715" s="17"/>
      <c r="K3715" s="17"/>
    </row>
    <row r="3716" spans="1:11" x14ac:dyDescent="0.2">
      <c r="A3716" s="115"/>
      <c r="B3716" s="93"/>
      <c r="C3716" s="94"/>
      <c r="D3716" s="95"/>
      <c r="E3716" s="95"/>
      <c r="F3716" s="96"/>
      <c r="G3716" s="97"/>
      <c r="H3716" s="114" t="str">
        <f t="shared" ref="H3716:H3779" si="48">IF(A3716&lt;&gt;"", EOMONTH(A3716, -1) + 1, "")</f>
        <v/>
      </c>
      <c r="I3716" s="17"/>
      <c r="J3716" s="17"/>
      <c r="K3716" s="17"/>
    </row>
    <row r="3717" spans="1:11" x14ac:dyDescent="0.2">
      <c r="A3717" s="115"/>
      <c r="B3717" s="93"/>
      <c r="C3717" s="94"/>
      <c r="D3717" s="95"/>
      <c r="E3717" s="95"/>
      <c r="F3717" s="96"/>
      <c r="G3717" s="97"/>
      <c r="H3717" s="114" t="str">
        <f t="shared" si="48"/>
        <v/>
      </c>
      <c r="I3717" s="17"/>
      <c r="J3717" s="17"/>
      <c r="K3717" s="17"/>
    </row>
    <row r="3718" spans="1:11" x14ac:dyDescent="0.2">
      <c r="A3718" s="115"/>
      <c r="B3718" s="93"/>
      <c r="C3718" s="94"/>
      <c r="D3718" s="95"/>
      <c r="E3718" s="95"/>
      <c r="F3718" s="96"/>
      <c r="G3718" s="97"/>
      <c r="H3718" s="114" t="str">
        <f t="shared" si="48"/>
        <v/>
      </c>
      <c r="I3718" s="17"/>
      <c r="J3718" s="17"/>
      <c r="K3718" s="17"/>
    </row>
    <row r="3719" spans="1:11" x14ac:dyDescent="0.2">
      <c r="A3719" s="115"/>
      <c r="B3719" s="93"/>
      <c r="C3719" s="94"/>
      <c r="D3719" s="95"/>
      <c r="E3719" s="95"/>
      <c r="F3719" s="96"/>
      <c r="G3719" s="97"/>
      <c r="H3719" s="114" t="str">
        <f t="shared" si="48"/>
        <v/>
      </c>
      <c r="I3719" s="17"/>
      <c r="J3719" s="17"/>
      <c r="K3719" s="17"/>
    </row>
    <row r="3720" spans="1:11" x14ac:dyDescent="0.2">
      <c r="A3720" s="115"/>
      <c r="B3720" s="93"/>
      <c r="C3720" s="94"/>
      <c r="D3720" s="95"/>
      <c r="E3720" s="95"/>
      <c r="F3720" s="96"/>
      <c r="G3720" s="97"/>
      <c r="H3720" s="114" t="str">
        <f t="shared" si="48"/>
        <v/>
      </c>
      <c r="I3720" s="17"/>
      <c r="J3720" s="17"/>
      <c r="K3720" s="17"/>
    </row>
    <row r="3721" spans="1:11" x14ac:dyDescent="0.2">
      <c r="A3721" s="115"/>
      <c r="B3721" s="93"/>
      <c r="C3721" s="94"/>
      <c r="D3721" s="95"/>
      <c r="E3721" s="95"/>
      <c r="F3721" s="96"/>
      <c r="G3721" s="97"/>
      <c r="H3721" s="114" t="str">
        <f t="shared" si="48"/>
        <v/>
      </c>
      <c r="I3721" s="17"/>
      <c r="J3721" s="17"/>
      <c r="K3721" s="17"/>
    </row>
    <row r="3722" spans="1:11" x14ac:dyDescent="0.2">
      <c r="A3722" s="115"/>
      <c r="B3722" s="93"/>
      <c r="C3722" s="94"/>
      <c r="D3722" s="95"/>
      <c r="E3722" s="95"/>
      <c r="F3722" s="96"/>
      <c r="G3722" s="97"/>
      <c r="H3722" s="114" t="str">
        <f t="shared" si="48"/>
        <v/>
      </c>
      <c r="I3722" s="17"/>
      <c r="J3722" s="17"/>
      <c r="K3722" s="17"/>
    </row>
    <row r="3723" spans="1:11" x14ac:dyDescent="0.2">
      <c r="A3723" s="115"/>
      <c r="B3723" s="93"/>
      <c r="C3723" s="94"/>
      <c r="D3723" s="95"/>
      <c r="E3723" s="95"/>
      <c r="F3723" s="96"/>
      <c r="G3723" s="97"/>
      <c r="H3723" s="114" t="str">
        <f t="shared" si="48"/>
        <v/>
      </c>
      <c r="I3723" s="17"/>
      <c r="J3723" s="17"/>
      <c r="K3723" s="17"/>
    </row>
    <row r="3724" spans="1:11" x14ac:dyDescent="0.2">
      <c r="A3724" s="115"/>
      <c r="B3724" s="93"/>
      <c r="C3724" s="94"/>
      <c r="D3724" s="95"/>
      <c r="E3724" s="95"/>
      <c r="F3724" s="96"/>
      <c r="G3724" s="97"/>
      <c r="H3724" s="114" t="str">
        <f t="shared" si="48"/>
        <v/>
      </c>
      <c r="I3724" s="17"/>
      <c r="J3724" s="17"/>
      <c r="K3724" s="17"/>
    </row>
    <row r="3725" spans="1:11" x14ac:dyDescent="0.2">
      <c r="A3725" s="115"/>
      <c r="B3725" s="93"/>
      <c r="C3725" s="94"/>
      <c r="D3725" s="95"/>
      <c r="E3725" s="95"/>
      <c r="F3725" s="96"/>
      <c r="G3725" s="97"/>
      <c r="H3725" s="114" t="str">
        <f t="shared" si="48"/>
        <v/>
      </c>
      <c r="I3725" s="17"/>
      <c r="J3725" s="17"/>
      <c r="K3725" s="17"/>
    </row>
    <row r="3726" spans="1:11" x14ac:dyDescent="0.2">
      <c r="A3726" s="115"/>
      <c r="B3726" s="93"/>
      <c r="C3726" s="94"/>
      <c r="D3726" s="95"/>
      <c r="E3726" s="95"/>
      <c r="F3726" s="96"/>
      <c r="G3726" s="97"/>
      <c r="H3726" s="114" t="str">
        <f t="shared" si="48"/>
        <v/>
      </c>
      <c r="I3726" s="17"/>
      <c r="J3726" s="17"/>
      <c r="K3726" s="17"/>
    </row>
    <row r="3727" spans="1:11" x14ac:dyDescent="0.2">
      <c r="A3727" s="115"/>
      <c r="B3727" s="93"/>
      <c r="C3727" s="94"/>
      <c r="D3727" s="95"/>
      <c r="E3727" s="95"/>
      <c r="F3727" s="96"/>
      <c r="G3727" s="97"/>
      <c r="H3727" s="114" t="str">
        <f t="shared" si="48"/>
        <v/>
      </c>
      <c r="I3727" s="17"/>
      <c r="J3727" s="17"/>
      <c r="K3727" s="17"/>
    </row>
    <row r="3728" spans="1:11" x14ac:dyDescent="0.2">
      <c r="A3728" s="115"/>
      <c r="B3728" s="93"/>
      <c r="C3728" s="94"/>
      <c r="D3728" s="95"/>
      <c r="E3728" s="95"/>
      <c r="F3728" s="96"/>
      <c r="G3728" s="97"/>
      <c r="H3728" s="114" t="str">
        <f t="shared" si="48"/>
        <v/>
      </c>
      <c r="I3728" s="17"/>
      <c r="J3728" s="17"/>
      <c r="K3728" s="17"/>
    </row>
    <row r="3729" spans="1:11" x14ac:dyDescent="0.2">
      <c r="A3729" s="115"/>
      <c r="B3729" s="93"/>
      <c r="C3729" s="94"/>
      <c r="D3729" s="95"/>
      <c r="E3729" s="95"/>
      <c r="F3729" s="96"/>
      <c r="G3729" s="97"/>
      <c r="H3729" s="114" t="str">
        <f t="shared" si="48"/>
        <v/>
      </c>
      <c r="I3729" s="17"/>
      <c r="J3729" s="17"/>
      <c r="K3729" s="17"/>
    </row>
    <row r="3730" spans="1:11" x14ac:dyDescent="0.2">
      <c r="A3730" s="115"/>
      <c r="B3730" s="93"/>
      <c r="C3730" s="94"/>
      <c r="D3730" s="95"/>
      <c r="E3730" s="95"/>
      <c r="F3730" s="96"/>
      <c r="G3730" s="97"/>
      <c r="H3730" s="114" t="str">
        <f t="shared" si="48"/>
        <v/>
      </c>
      <c r="I3730" s="17"/>
      <c r="J3730" s="17"/>
      <c r="K3730" s="17"/>
    </row>
    <row r="3731" spans="1:11" x14ac:dyDescent="0.2">
      <c r="A3731" s="115"/>
      <c r="B3731" s="93"/>
      <c r="C3731" s="94"/>
      <c r="D3731" s="95"/>
      <c r="E3731" s="95"/>
      <c r="F3731" s="96"/>
      <c r="G3731" s="97"/>
      <c r="H3731" s="114" t="str">
        <f t="shared" si="48"/>
        <v/>
      </c>
      <c r="I3731" s="17"/>
      <c r="J3731" s="17"/>
      <c r="K3731" s="17"/>
    </row>
    <row r="3732" spans="1:11" x14ac:dyDescent="0.2">
      <c r="A3732" s="115"/>
      <c r="B3732" s="93"/>
      <c r="C3732" s="94"/>
      <c r="D3732" s="95"/>
      <c r="E3732" s="95"/>
      <c r="F3732" s="96"/>
      <c r="G3732" s="97"/>
      <c r="H3732" s="114" t="str">
        <f t="shared" si="48"/>
        <v/>
      </c>
      <c r="I3732" s="17"/>
      <c r="J3732" s="17"/>
      <c r="K3732" s="17"/>
    </row>
    <row r="3733" spans="1:11" x14ac:dyDescent="0.2">
      <c r="A3733" s="115"/>
      <c r="B3733" s="93"/>
      <c r="C3733" s="94"/>
      <c r="D3733" s="95"/>
      <c r="E3733" s="95"/>
      <c r="F3733" s="96"/>
      <c r="G3733" s="97"/>
      <c r="H3733" s="114" t="str">
        <f t="shared" si="48"/>
        <v/>
      </c>
      <c r="I3733" s="17"/>
      <c r="J3733" s="17"/>
      <c r="K3733" s="17"/>
    </row>
    <row r="3734" spans="1:11" x14ac:dyDescent="0.2">
      <c r="A3734" s="115"/>
      <c r="B3734" s="93"/>
      <c r="C3734" s="94"/>
      <c r="D3734" s="95"/>
      <c r="E3734" s="95"/>
      <c r="F3734" s="96"/>
      <c r="G3734" s="97"/>
      <c r="H3734" s="114" t="str">
        <f t="shared" si="48"/>
        <v/>
      </c>
      <c r="I3734" s="17"/>
      <c r="J3734" s="17"/>
      <c r="K3734" s="17"/>
    </row>
    <row r="3735" spans="1:11" x14ac:dyDescent="0.2">
      <c r="A3735" s="115"/>
      <c r="B3735" s="93"/>
      <c r="C3735" s="94"/>
      <c r="D3735" s="95"/>
      <c r="E3735" s="95"/>
      <c r="F3735" s="96"/>
      <c r="G3735" s="97"/>
      <c r="H3735" s="114" t="str">
        <f t="shared" si="48"/>
        <v/>
      </c>
      <c r="I3735" s="17"/>
      <c r="J3735" s="17"/>
      <c r="K3735" s="17"/>
    </row>
    <row r="3736" spans="1:11" x14ac:dyDescent="0.2">
      <c r="A3736" s="115"/>
      <c r="B3736" s="93"/>
      <c r="C3736" s="94"/>
      <c r="D3736" s="95"/>
      <c r="E3736" s="95"/>
      <c r="F3736" s="96"/>
      <c r="G3736" s="97"/>
      <c r="H3736" s="114" t="str">
        <f t="shared" si="48"/>
        <v/>
      </c>
      <c r="I3736" s="17"/>
      <c r="J3736" s="17"/>
      <c r="K3736" s="17"/>
    </row>
    <row r="3737" spans="1:11" x14ac:dyDescent="0.2">
      <c r="A3737" s="115"/>
      <c r="B3737" s="93"/>
      <c r="C3737" s="94"/>
      <c r="D3737" s="95"/>
      <c r="E3737" s="95"/>
      <c r="F3737" s="96"/>
      <c r="G3737" s="97"/>
      <c r="H3737" s="114" t="str">
        <f t="shared" si="48"/>
        <v/>
      </c>
      <c r="I3737" s="17"/>
      <c r="J3737" s="17"/>
      <c r="K3737" s="17"/>
    </row>
    <row r="3738" spans="1:11" x14ac:dyDescent="0.2">
      <c r="A3738" s="115"/>
      <c r="B3738" s="93"/>
      <c r="C3738" s="94"/>
      <c r="D3738" s="95"/>
      <c r="E3738" s="95"/>
      <c r="F3738" s="96"/>
      <c r="G3738" s="97"/>
      <c r="H3738" s="114" t="str">
        <f t="shared" si="48"/>
        <v/>
      </c>
      <c r="I3738" s="17"/>
      <c r="J3738" s="17"/>
      <c r="K3738" s="17"/>
    </row>
    <row r="3739" spans="1:11" x14ac:dyDescent="0.2">
      <c r="A3739" s="115"/>
      <c r="B3739" s="93"/>
      <c r="C3739" s="94"/>
      <c r="D3739" s="95"/>
      <c r="E3739" s="95"/>
      <c r="F3739" s="96"/>
      <c r="G3739" s="97"/>
      <c r="H3739" s="114" t="str">
        <f t="shared" si="48"/>
        <v/>
      </c>
      <c r="I3739" s="17"/>
      <c r="J3739" s="17"/>
      <c r="K3739" s="17"/>
    </row>
    <row r="3740" spans="1:11" x14ac:dyDescent="0.2">
      <c r="A3740" s="115"/>
      <c r="B3740" s="93"/>
      <c r="C3740" s="94"/>
      <c r="D3740" s="95"/>
      <c r="E3740" s="95"/>
      <c r="F3740" s="96"/>
      <c r="G3740" s="97"/>
      <c r="H3740" s="114" t="str">
        <f t="shared" si="48"/>
        <v/>
      </c>
      <c r="I3740" s="17"/>
      <c r="J3740" s="17"/>
      <c r="K3740" s="17"/>
    </row>
    <row r="3741" spans="1:11" x14ac:dyDescent="0.2">
      <c r="A3741" s="115"/>
      <c r="B3741" s="93"/>
      <c r="C3741" s="94"/>
      <c r="D3741" s="95"/>
      <c r="E3741" s="95"/>
      <c r="F3741" s="96"/>
      <c r="G3741" s="97"/>
      <c r="H3741" s="114" t="str">
        <f t="shared" si="48"/>
        <v/>
      </c>
      <c r="I3741" s="17"/>
      <c r="J3741" s="17"/>
      <c r="K3741" s="17"/>
    </row>
    <row r="3742" spans="1:11" x14ac:dyDescent="0.2">
      <c r="A3742" s="115"/>
      <c r="B3742" s="93"/>
      <c r="C3742" s="94"/>
      <c r="D3742" s="95"/>
      <c r="E3742" s="95"/>
      <c r="F3742" s="96"/>
      <c r="G3742" s="97"/>
      <c r="H3742" s="114" t="str">
        <f t="shared" si="48"/>
        <v/>
      </c>
      <c r="I3742" s="17"/>
      <c r="J3742" s="17"/>
      <c r="K3742" s="17"/>
    </row>
    <row r="3743" spans="1:11" x14ac:dyDescent="0.2">
      <c r="A3743" s="115"/>
      <c r="B3743" s="93"/>
      <c r="C3743" s="94"/>
      <c r="D3743" s="95"/>
      <c r="E3743" s="95"/>
      <c r="F3743" s="96"/>
      <c r="G3743" s="97"/>
      <c r="H3743" s="114" t="str">
        <f t="shared" si="48"/>
        <v/>
      </c>
      <c r="I3743" s="17"/>
      <c r="J3743" s="17"/>
      <c r="K3743" s="17"/>
    </row>
    <row r="3744" spans="1:11" x14ac:dyDescent="0.2">
      <c r="A3744" s="115"/>
      <c r="B3744" s="93"/>
      <c r="C3744" s="94"/>
      <c r="D3744" s="95"/>
      <c r="E3744" s="95"/>
      <c r="F3744" s="96"/>
      <c r="G3744" s="97"/>
      <c r="H3744" s="114" t="str">
        <f t="shared" si="48"/>
        <v/>
      </c>
      <c r="I3744" s="17"/>
      <c r="J3744" s="17"/>
      <c r="K3744" s="17"/>
    </row>
    <row r="3745" spans="1:11" x14ac:dyDescent="0.2">
      <c r="A3745" s="115"/>
      <c r="B3745" s="93"/>
      <c r="C3745" s="94"/>
      <c r="D3745" s="95"/>
      <c r="E3745" s="95"/>
      <c r="F3745" s="96"/>
      <c r="G3745" s="97"/>
      <c r="H3745" s="114" t="str">
        <f t="shared" si="48"/>
        <v/>
      </c>
      <c r="I3745" s="17"/>
      <c r="J3745" s="17"/>
      <c r="K3745" s="17"/>
    </row>
    <row r="3746" spans="1:11" x14ac:dyDescent="0.2">
      <c r="A3746" s="115"/>
      <c r="B3746" s="93"/>
      <c r="C3746" s="94"/>
      <c r="D3746" s="95"/>
      <c r="E3746" s="95"/>
      <c r="F3746" s="96"/>
      <c r="G3746" s="97"/>
      <c r="H3746" s="114" t="str">
        <f t="shared" si="48"/>
        <v/>
      </c>
      <c r="I3746" s="17"/>
      <c r="J3746" s="17"/>
      <c r="K3746" s="17"/>
    </row>
    <row r="3747" spans="1:11" x14ac:dyDescent="0.2">
      <c r="A3747" s="115"/>
      <c r="B3747" s="93"/>
      <c r="C3747" s="94"/>
      <c r="D3747" s="95"/>
      <c r="E3747" s="95"/>
      <c r="F3747" s="96"/>
      <c r="G3747" s="97"/>
      <c r="H3747" s="114" t="str">
        <f t="shared" si="48"/>
        <v/>
      </c>
      <c r="I3747" s="17"/>
      <c r="J3747" s="17"/>
      <c r="K3747" s="17"/>
    </row>
    <row r="3748" spans="1:11" x14ac:dyDescent="0.2">
      <c r="A3748" s="115"/>
      <c r="B3748" s="93"/>
      <c r="C3748" s="94"/>
      <c r="D3748" s="95"/>
      <c r="E3748" s="95"/>
      <c r="F3748" s="96"/>
      <c r="G3748" s="97"/>
      <c r="H3748" s="114" t="str">
        <f t="shared" si="48"/>
        <v/>
      </c>
      <c r="I3748" s="17"/>
      <c r="J3748" s="17"/>
      <c r="K3748" s="17"/>
    </row>
    <row r="3749" spans="1:11" x14ac:dyDescent="0.2">
      <c r="A3749" s="115"/>
      <c r="B3749" s="93"/>
      <c r="C3749" s="94"/>
      <c r="D3749" s="95"/>
      <c r="E3749" s="95"/>
      <c r="F3749" s="96"/>
      <c r="G3749" s="97"/>
      <c r="H3749" s="114" t="str">
        <f t="shared" si="48"/>
        <v/>
      </c>
      <c r="I3749" s="17"/>
      <c r="J3749" s="17"/>
      <c r="K3749" s="17"/>
    </row>
    <row r="3750" spans="1:11" x14ac:dyDescent="0.2">
      <c r="A3750" s="115"/>
      <c r="B3750" s="93"/>
      <c r="C3750" s="94"/>
      <c r="D3750" s="95"/>
      <c r="E3750" s="95"/>
      <c r="F3750" s="96"/>
      <c r="G3750" s="97"/>
      <c r="H3750" s="114" t="str">
        <f t="shared" si="48"/>
        <v/>
      </c>
      <c r="I3750" s="17"/>
      <c r="J3750" s="17"/>
      <c r="K3750" s="17"/>
    </row>
    <row r="3751" spans="1:11" x14ac:dyDescent="0.2">
      <c r="A3751" s="115"/>
      <c r="B3751" s="93"/>
      <c r="C3751" s="94"/>
      <c r="D3751" s="95"/>
      <c r="E3751" s="95"/>
      <c r="F3751" s="96"/>
      <c r="G3751" s="97"/>
      <c r="H3751" s="114" t="str">
        <f t="shared" si="48"/>
        <v/>
      </c>
      <c r="I3751" s="17"/>
      <c r="J3751" s="17"/>
      <c r="K3751" s="17"/>
    </row>
    <row r="3752" spans="1:11" x14ac:dyDescent="0.2">
      <c r="A3752" s="115"/>
      <c r="B3752" s="93"/>
      <c r="C3752" s="94"/>
      <c r="D3752" s="95"/>
      <c r="E3752" s="95"/>
      <c r="F3752" s="96"/>
      <c r="G3752" s="97"/>
      <c r="H3752" s="114" t="str">
        <f t="shared" si="48"/>
        <v/>
      </c>
      <c r="I3752" s="17"/>
      <c r="J3752" s="17"/>
      <c r="K3752" s="17"/>
    </row>
    <row r="3753" spans="1:11" x14ac:dyDescent="0.2">
      <c r="A3753" s="115"/>
      <c r="B3753" s="93"/>
      <c r="C3753" s="94"/>
      <c r="D3753" s="95"/>
      <c r="E3753" s="95"/>
      <c r="F3753" s="96"/>
      <c r="G3753" s="97"/>
      <c r="H3753" s="114" t="str">
        <f t="shared" si="48"/>
        <v/>
      </c>
      <c r="I3753" s="17"/>
      <c r="J3753" s="17"/>
      <c r="K3753" s="17"/>
    </row>
    <row r="3754" spans="1:11" x14ac:dyDescent="0.2">
      <c r="A3754" s="115"/>
      <c r="B3754" s="93"/>
      <c r="C3754" s="94"/>
      <c r="D3754" s="95"/>
      <c r="E3754" s="95"/>
      <c r="F3754" s="96"/>
      <c r="G3754" s="97"/>
      <c r="H3754" s="114" t="str">
        <f t="shared" si="48"/>
        <v/>
      </c>
      <c r="I3754" s="17"/>
      <c r="J3754" s="17"/>
      <c r="K3754" s="17"/>
    </row>
    <row r="3755" spans="1:11" x14ac:dyDescent="0.2">
      <c r="A3755" s="115"/>
      <c r="B3755" s="93"/>
      <c r="C3755" s="94"/>
      <c r="D3755" s="95"/>
      <c r="E3755" s="95"/>
      <c r="F3755" s="96"/>
      <c r="G3755" s="97"/>
      <c r="H3755" s="114" t="str">
        <f t="shared" si="48"/>
        <v/>
      </c>
      <c r="I3755" s="17"/>
      <c r="J3755" s="17"/>
      <c r="K3755" s="17"/>
    </row>
    <row r="3756" spans="1:11" x14ac:dyDescent="0.2">
      <c r="A3756" s="115"/>
      <c r="B3756" s="93"/>
      <c r="C3756" s="94"/>
      <c r="D3756" s="95"/>
      <c r="E3756" s="95"/>
      <c r="F3756" s="96"/>
      <c r="G3756" s="97"/>
      <c r="H3756" s="114" t="str">
        <f t="shared" si="48"/>
        <v/>
      </c>
      <c r="I3756" s="17"/>
      <c r="J3756" s="17"/>
      <c r="K3756" s="17"/>
    </row>
    <row r="3757" spans="1:11" x14ac:dyDescent="0.2">
      <c r="A3757" s="115"/>
      <c r="B3757" s="93"/>
      <c r="C3757" s="94"/>
      <c r="D3757" s="95"/>
      <c r="E3757" s="95"/>
      <c r="F3757" s="96"/>
      <c r="G3757" s="97"/>
      <c r="H3757" s="114" t="str">
        <f t="shared" si="48"/>
        <v/>
      </c>
      <c r="I3757" s="17"/>
      <c r="J3757" s="17"/>
      <c r="K3757" s="17"/>
    </row>
    <row r="3758" spans="1:11" x14ac:dyDescent="0.2">
      <c r="A3758" s="115"/>
      <c r="B3758" s="93"/>
      <c r="C3758" s="94"/>
      <c r="D3758" s="95"/>
      <c r="E3758" s="95"/>
      <c r="F3758" s="96"/>
      <c r="G3758" s="97"/>
      <c r="H3758" s="114" t="str">
        <f t="shared" si="48"/>
        <v/>
      </c>
      <c r="I3758" s="17"/>
      <c r="J3758" s="17"/>
      <c r="K3758" s="17"/>
    </row>
    <row r="3759" spans="1:11" x14ac:dyDescent="0.2">
      <c r="A3759" s="115"/>
      <c r="B3759" s="93"/>
      <c r="C3759" s="94"/>
      <c r="D3759" s="95"/>
      <c r="E3759" s="95"/>
      <c r="F3759" s="96"/>
      <c r="G3759" s="97"/>
      <c r="H3759" s="114" t="str">
        <f t="shared" si="48"/>
        <v/>
      </c>
      <c r="I3759" s="17"/>
      <c r="J3759" s="17"/>
      <c r="K3759" s="17"/>
    </row>
    <row r="3760" spans="1:11" x14ac:dyDescent="0.2">
      <c r="A3760" s="115"/>
      <c r="B3760" s="93"/>
      <c r="C3760" s="94"/>
      <c r="D3760" s="95"/>
      <c r="E3760" s="95"/>
      <c r="F3760" s="96"/>
      <c r="G3760" s="97"/>
      <c r="H3760" s="114" t="str">
        <f t="shared" si="48"/>
        <v/>
      </c>
      <c r="I3760" s="17"/>
      <c r="J3760" s="17"/>
      <c r="K3760" s="17"/>
    </row>
    <row r="3761" spans="1:11" x14ac:dyDescent="0.2">
      <c r="A3761" s="115"/>
      <c r="B3761" s="93"/>
      <c r="C3761" s="94"/>
      <c r="D3761" s="95"/>
      <c r="E3761" s="95"/>
      <c r="F3761" s="96"/>
      <c r="G3761" s="97"/>
      <c r="H3761" s="114" t="str">
        <f t="shared" si="48"/>
        <v/>
      </c>
      <c r="I3761" s="17"/>
      <c r="J3761" s="17"/>
      <c r="K3761" s="17"/>
    </row>
    <row r="3762" spans="1:11" x14ac:dyDescent="0.2">
      <c r="A3762" s="115"/>
      <c r="B3762" s="93"/>
      <c r="C3762" s="94"/>
      <c r="D3762" s="95"/>
      <c r="E3762" s="95"/>
      <c r="F3762" s="96"/>
      <c r="G3762" s="97"/>
      <c r="H3762" s="114" t="str">
        <f t="shared" si="48"/>
        <v/>
      </c>
      <c r="I3762" s="17"/>
      <c r="J3762" s="17"/>
      <c r="K3762" s="17"/>
    </row>
    <row r="3763" spans="1:11" x14ac:dyDescent="0.2">
      <c r="A3763" s="115"/>
      <c r="B3763" s="93"/>
      <c r="C3763" s="94"/>
      <c r="D3763" s="95"/>
      <c r="E3763" s="95"/>
      <c r="F3763" s="96"/>
      <c r="G3763" s="97"/>
      <c r="H3763" s="114" t="str">
        <f t="shared" si="48"/>
        <v/>
      </c>
      <c r="I3763" s="17"/>
      <c r="J3763" s="17"/>
      <c r="K3763" s="17"/>
    </row>
    <row r="3764" spans="1:11" x14ac:dyDescent="0.2">
      <c r="A3764" s="115"/>
      <c r="B3764" s="93"/>
      <c r="C3764" s="94"/>
      <c r="D3764" s="95"/>
      <c r="E3764" s="95"/>
      <c r="F3764" s="96"/>
      <c r="G3764" s="97"/>
      <c r="H3764" s="114" t="str">
        <f t="shared" si="48"/>
        <v/>
      </c>
      <c r="I3764" s="17"/>
      <c r="J3764" s="17"/>
      <c r="K3764" s="17"/>
    </row>
    <row r="3765" spans="1:11" x14ac:dyDescent="0.2">
      <c r="A3765" s="115"/>
      <c r="B3765" s="93"/>
      <c r="C3765" s="94"/>
      <c r="D3765" s="95"/>
      <c r="E3765" s="95"/>
      <c r="F3765" s="96"/>
      <c r="G3765" s="97"/>
      <c r="H3765" s="114" t="str">
        <f t="shared" si="48"/>
        <v/>
      </c>
      <c r="I3765" s="17"/>
      <c r="J3765" s="17"/>
      <c r="K3765" s="17"/>
    </row>
    <row r="3766" spans="1:11" x14ac:dyDescent="0.2">
      <c r="A3766" s="115"/>
      <c r="B3766" s="93"/>
      <c r="C3766" s="94"/>
      <c r="D3766" s="95"/>
      <c r="E3766" s="95"/>
      <c r="F3766" s="96"/>
      <c r="G3766" s="97"/>
      <c r="H3766" s="114" t="str">
        <f t="shared" si="48"/>
        <v/>
      </c>
      <c r="I3766" s="17"/>
      <c r="J3766" s="17"/>
      <c r="K3766" s="17"/>
    </row>
    <row r="3767" spans="1:11" x14ac:dyDescent="0.2">
      <c r="A3767" s="115"/>
      <c r="B3767" s="93"/>
      <c r="C3767" s="94"/>
      <c r="D3767" s="95"/>
      <c r="E3767" s="95"/>
      <c r="F3767" s="96"/>
      <c r="G3767" s="97"/>
      <c r="H3767" s="114" t="str">
        <f t="shared" si="48"/>
        <v/>
      </c>
      <c r="I3767" s="17"/>
      <c r="J3767" s="17"/>
      <c r="K3767" s="17"/>
    </row>
    <row r="3768" spans="1:11" x14ac:dyDescent="0.2">
      <c r="A3768" s="115"/>
      <c r="B3768" s="93"/>
      <c r="C3768" s="94"/>
      <c r="D3768" s="95"/>
      <c r="E3768" s="95"/>
      <c r="F3768" s="96"/>
      <c r="G3768" s="97"/>
      <c r="H3768" s="114" t="str">
        <f t="shared" si="48"/>
        <v/>
      </c>
      <c r="I3768" s="17"/>
      <c r="J3768" s="17"/>
      <c r="K3768" s="17"/>
    </row>
    <row r="3769" spans="1:11" x14ac:dyDescent="0.2">
      <c r="A3769" s="115"/>
      <c r="B3769" s="93"/>
      <c r="C3769" s="94"/>
      <c r="D3769" s="95"/>
      <c r="E3769" s="95"/>
      <c r="F3769" s="96"/>
      <c r="G3769" s="97"/>
      <c r="H3769" s="114" t="str">
        <f t="shared" si="48"/>
        <v/>
      </c>
      <c r="I3769" s="17"/>
      <c r="J3769" s="17"/>
      <c r="K3769" s="17"/>
    </row>
    <row r="3770" spans="1:11" x14ac:dyDescent="0.2">
      <c r="A3770" s="115"/>
      <c r="B3770" s="93"/>
      <c r="C3770" s="94"/>
      <c r="D3770" s="95"/>
      <c r="E3770" s="95"/>
      <c r="F3770" s="96"/>
      <c r="G3770" s="97"/>
      <c r="H3770" s="114" t="str">
        <f t="shared" si="48"/>
        <v/>
      </c>
      <c r="I3770" s="17"/>
      <c r="J3770" s="17"/>
      <c r="K3770" s="17"/>
    </row>
    <row r="3771" spans="1:11" x14ac:dyDescent="0.2">
      <c r="A3771" s="115"/>
      <c r="B3771" s="93"/>
      <c r="C3771" s="94"/>
      <c r="D3771" s="95"/>
      <c r="E3771" s="95"/>
      <c r="F3771" s="96"/>
      <c r="G3771" s="97"/>
      <c r="H3771" s="114" t="str">
        <f t="shared" si="48"/>
        <v/>
      </c>
      <c r="I3771" s="17"/>
      <c r="J3771" s="17"/>
      <c r="K3771" s="17"/>
    </row>
    <row r="3772" spans="1:11" x14ac:dyDescent="0.2">
      <c r="A3772" s="115"/>
      <c r="B3772" s="93"/>
      <c r="C3772" s="94"/>
      <c r="D3772" s="95"/>
      <c r="E3772" s="95"/>
      <c r="F3772" s="96"/>
      <c r="G3772" s="97"/>
      <c r="H3772" s="114" t="str">
        <f t="shared" si="48"/>
        <v/>
      </c>
      <c r="I3772" s="17"/>
      <c r="J3772" s="17"/>
      <c r="K3772" s="17"/>
    </row>
    <row r="3773" spans="1:11" x14ac:dyDescent="0.2">
      <c r="A3773" s="115"/>
      <c r="B3773" s="93"/>
      <c r="C3773" s="94"/>
      <c r="D3773" s="95"/>
      <c r="E3773" s="95"/>
      <c r="F3773" s="96"/>
      <c r="G3773" s="97"/>
      <c r="H3773" s="114" t="str">
        <f t="shared" si="48"/>
        <v/>
      </c>
      <c r="I3773" s="17"/>
      <c r="J3773" s="17"/>
      <c r="K3773" s="17"/>
    </row>
    <row r="3774" spans="1:11" x14ac:dyDescent="0.2">
      <c r="A3774" s="115"/>
      <c r="B3774" s="93"/>
      <c r="C3774" s="94"/>
      <c r="D3774" s="95"/>
      <c r="E3774" s="95"/>
      <c r="F3774" s="96"/>
      <c r="G3774" s="97"/>
      <c r="H3774" s="114" t="str">
        <f t="shared" si="48"/>
        <v/>
      </c>
      <c r="I3774" s="17"/>
      <c r="J3774" s="17"/>
      <c r="K3774" s="17"/>
    </row>
    <row r="3775" spans="1:11" x14ac:dyDescent="0.2">
      <c r="A3775" s="115"/>
      <c r="B3775" s="93"/>
      <c r="C3775" s="94"/>
      <c r="D3775" s="95"/>
      <c r="E3775" s="95"/>
      <c r="F3775" s="96"/>
      <c r="G3775" s="97"/>
      <c r="H3775" s="114" t="str">
        <f t="shared" si="48"/>
        <v/>
      </c>
      <c r="I3775" s="17"/>
      <c r="J3775" s="17"/>
      <c r="K3775" s="17"/>
    </row>
    <row r="3776" spans="1:11" x14ac:dyDescent="0.2">
      <c r="A3776" s="115"/>
      <c r="B3776" s="93"/>
      <c r="C3776" s="94"/>
      <c r="D3776" s="95"/>
      <c r="E3776" s="95"/>
      <c r="F3776" s="96"/>
      <c r="G3776" s="97"/>
      <c r="H3776" s="114" t="str">
        <f t="shared" si="48"/>
        <v/>
      </c>
      <c r="I3776" s="17"/>
      <c r="J3776" s="17"/>
      <c r="K3776" s="17"/>
    </row>
    <row r="3777" spans="1:11" x14ac:dyDescent="0.2">
      <c r="A3777" s="115"/>
      <c r="B3777" s="93"/>
      <c r="C3777" s="94"/>
      <c r="D3777" s="95"/>
      <c r="E3777" s="95"/>
      <c r="F3777" s="96"/>
      <c r="G3777" s="97"/>
      <c r="H3777" s="114" t="str">
        <f t="shared" si="48"/>
        <v/>
      </c>
      <c r="I3777" s="17"/>
      <c r="J3777" s="17"/>
      <c r="K3777" s="17"/>
    </row>
    <row r="3778" spans="1:11" x14ac:dyDescent="0.2">
      <c r="A3778" s="115"/>
      <c r="B3778" s="93"/>
      <c r="C3778" s="94"/>
      <c r="D3778" s="95"/>
      <c r="E3778" s="95"/>
      <c r="F3778" s="96"/>
      <c r="G3778" s="97"/>
      <c r="H3778" s="114" t="str">
        <f t="shared" si="48"/>
        <v/>
      </c>
      <c r="I3778" s="17"/>
      <c r="J3778" s="17"/>
      <c r="K3778" s="17"/>
    </row>
    <row r="3779" spans="1:11" x14ac:dyDescent="0.2">
      <c r="A3779" s="115"/>
      <c r="B3779" s="93"/>
      <c r="C3779" s="94"/>
      <c r="D3779" s="95"/>
      <c r="E3779" s="95"/>
      <c r="F3779" s="96"/>
      <c r="G3779" s="97"/>
      <c r="H3779" s="114" t="str">
        <f t="shared" si="48"/>
        <v/>
      </c>
      <c r="I3779" s="17"/>
      <c r="J3779" s="17"/>
      <c r="K3779" s="17"/>
    </row>
    <row r="3780" spans="1:11" x14ac:dyDescent="0.2">
      <c r="A3780" s="115"/>
      <c r="B3780" s="93"/>
      <c r="C3780" s="94"/>
      <c r="D3780" s="95"/>
      <c r="E3780" s="95"/>
      <c r="F3780" s="96"/>
      <c r="G3780" s="97"/>
      <c r="H3780" s="114" t="str">
        <f t="shared" ref="H3780:H3843" si="49">IF(A3780&lt;&gt;"", EOMONTH(A3780, -1) + 1, "")</f>
        <v/>
      </c>
      <c r="I3780" s="17"/>
      <c r="J3780" s="17"/>
      <c r="K3780" s="17"/>
    </row>
    <row r="3781" spans="1:11" x14ac:dyDescent="0.2">
      <c r="A3781" s="115"/>
      <c r="B3781" s="93"/>
      <c r="C3781" s="94"/>
      <c r="D3781" s="95"/>
      <c r="E3781" s="95"/>
      <c r="F3781" s="96"/>
      <c r="G3781" s="97"/>
      <c r="H3781" s="114" t="str">
        <f t="shared" si="49"/>
        <v/>
      </c>
      <c r="I3781" s="17"/>
      <c r="J3781" s="17"/>
      <c r="K3781" s="17"/>
    </row>
    <row r="3782" spans="1:11" x14ac:dyDescent="0.2">
      <c r="A3782" s="115"/>
      <c r="B3782" s="93"/>
      <c r="C3782" s="94"/>
      <c r="D3782" s="95"/>
      <c r="E3782" s="95"/>
      <c r="F3782" s="96"/>
      <c r="G3782" s="97"/>
      <c r="H3782" s="114" t="str">
        <f t="shared" si="49"/>
        <v/>
      </c>
      <c r="I3782" s="17"/>
      <c r="J3782" s="17"/>
      <c r="K3782" s="17"/>
    </row>
    <row r="3783" spans="1:11" x14ac:dyDescent="0.2">
      <c r="A3783" s="115"/>
      <c r="B3783" s="93"/>
      <c r="C3783" s="94"/>
      <c r="D3783" s="95"/>
      <c r="E3783" s="95"/>
      <c r="F3783" s="96"/>
      <c r="G3783" s="97"/>
      <c r="H3783" s="114" t="str">
        <f t="shared" si="49"/>
        <v/>
      </c>
      <c r="I3783" s="17"/>
      <c r="J3783" s="17"/>
      <c r="K3783" s="17"/>
    </row>
    <row r="3784" spans="1:11" x14ac:dyDescent="0.2">
      <c r="A3784" s="115"/>
      <c r="B3784" s="93"/>
      <c r="C3784" s="94"/>
      <c r="D3784" s="95"/>
      <c r="E3784" s="95"/>
      <c r="F3784" s="96"/>
      <c r="G3784" s="97"/>
      <c r="H3784" s="114" t="str">
        <f t="shared" si="49"/>
        <v/>
      </c>
      <c r="I3784" s="17"/>
      <c r="J3784" s="17"/>
      <c r="K3784" s="17"/>
    </row>
    <row r="3785" spans="1:11" x14ac:dyDescent="0.2">
      <c r="A3785" s="115"/>
      <c r="B3785" s="93"/>
      <c r="C3785" s="94"/>
      <c r="D3785" s="95"/>
      <c r="E3785" s="95"/>
      <c r="F3785" s="96"/>
      <c r="G3785" s="97"/>
      <c r="H3785" s="114" t="str">
        <f t="shared" si="49"/>
        <v/>
      </c>
      <c r="I3785" s="17"/>
      <c r="J3785" s="17"/>
      <c r="K3785" s="17"/>
    </row>
    <row r="3786" spans="1:11" x14ac:dyDescent="0.2">
      <c r="A3786" s="115"/>
      <c r="B3786" s="93"/>
      <c r="C3786" s="94"/>
      <c r="D3786" s="95"/>
      <c r="E3786" s="95"/>
      <c r="F3786" s="96"/>
      <c r="G3786" s="97"/>
      <c r="H3786" s="114" t="str">
        <f t="shared" si="49"/>
        <v/>
      </c>
      <c r="I3786" s="17"/>
      <c r="J3786" s="17"/>
      <c r="K3786" s="17"/>
    </row>
    <row r="3787" spans="1:11" x14ac:dyDescent="0.2">
      <c r="A3787" s="115"/>
      <c r="B3787" s="93"/>
      <c r="C3787" s="94"/>
      <c r="D3787" s="95"/>
      <c r="E3787" s="95"/>
      <c r="F3787" s="96"/>
      <c r="G3787" s="97"/>
      <c r="H3787" s="114" t="str">
        <f t="shared" si="49"/>
        <v/>
      </c>
      <c r="I3787" s="17"/>
      <c r="J3787" s="17"/>
      <c r="K3787" s="17"/>
    </row>
    <row r="3788" spans="1:11" x14ac:dyDescent="0.2">
      <c r="A3788" s="115"/>
      <c r="B3788" s="93"/>
      <c r="C3788" s="94"/>
      <c r="D3788" s="95"/>
      <c r="E3788" s="95"/>
      <c r="F3788" s="96"/>
      <c r="G3788" s="97"/>
      <c r="H3788" s="114" t="str">
        <f t="shared" si="49"/>
        <v/>
      </c>
      <c r="I3788" s="17"/>
      <c r="J3788" s="17"/>
      <c r="K3788" s="17"/>
    </row>
    <row r="3789" spans="1:11" x14ac:dyDescent="0.2">
      <c r="A3789" s="115"/>
      <c r="B3789" s="93"/>
      <c r="C3789" s="94"/>
      <c r="D3789" s="95"/>
      <c r="E3789" s="95"/>
      <c r="F3789" s="96"/>
      <c r="G3789" s="97"/>
      <c r="H3789" s="114" t="str">
        <f t="shared" si="49"/>
        <v/>
      </c>
      <c r="I3789" s="17"/>
      <c r="J3789" s="17"/>
      <c r="K3789" s="17"/>
    </row>
    <row r="3790" spans="1:11" x14ac:dyDescent="0.2">
      <c r="A3790" s="115"/>
      <c r="B3790" s="93"/>
      <c r="C3790" s="94"/>
      <c r="D3790" s="95"/>
      <c r="E3790" s="95"/>
      <c r="F3790" s="96"/>
      <c r="G3790" s="97"/>
      <c r="H3790" s="114" t="str">
        <f t="shared" si="49"/>
        <v/>
      </c>
      <c r="I3790" s="17"/>
      <c r="J3790" s="17"/>
      <c r="K3790" s="17"/>
    </row>
    <row r="3791" spans="1:11" x14ac:dyDescent="0.2">
      <c r="A3791" s="115"/>
      <c r="B3791" s="93"/>
      <c r="C3791" s="94"/>
      <c r="D3791" s="95"/>
      <c r="E3791" s="95"/>
      <c r="F3791" s="96"/>
      <c r="G3791" s="97"/>
      <c r="H3791" s="114" t="str">
        <f t="shared" si="49"/>
        <v/>
      </c>
      <c r="I3791" s="17"/>
      <c r="J3791" s="17"/>
      <c r="K3791" s="17"/>
    </row>
    <row r="3792" spans="1:11" x14ac:dyDescent="0.2">
      <c r="A3792" s="115"/>
      <c r="B3792" s="93"/>
      <c r="C3792" s="94"/>
      <c r="D3792" s="95"/>
      <c r="E3792" s="95"/>
      <c r="F3792" s="96"/>
      <c r="G3792" s="97"/>
      <c r="H3792" s="114" t="str">
        <f t="shared" si="49"/>
        <v/>
      </c>
      <c r="I3792" s="17"/>
      <c r="J3792" s="17"/>
      <c r="K3792" s="17"/>
    </row>
    <row r="3793" spans="1:11" x14ac:dyDescent="0.2">
      <c r="A3793" s="115"/>
      <c r="B3793" s="93"/>
      <c r="C3793" s="94"/>
      <c r="D3793" s="95"/>
      <c r="E3793" s="95"/>
      <c r="F3793" s="96"/>
      <c r="G3793" s="97"/>
      <c r="H3793" s="114" t="str">
        <f t="shared" si="49"/>
        <v/>
      </c>
      <c r="I3793" s="17"/>
      <c r="J3793" s="17"/>
      <c r="K3793" s="17"/>
    </row>
    <row r="3794" spans="1:11" x14ac:dyDescent="0.2">
      <c r="A3794" s="115"/>
      <c r="B3794" s="93"/>
      <c r="C3794" s="94"/>
      <c r="D3794" s="95"/>
      <c r="E3794" s="95"/>
      <c r="F3794" s="96"/>
      <c r="G3794" s="97"/>
      <c r="H3794" s="114" t="str">
        <f t="shared" si="49"/>
        <v/>
      </c>
      <c r="I3794" s="17"/>
      <c r="J3794" s="17"/>
      <c r="K3794" s="17"/>
    </row>
    <row r="3795" spans="1:11" x14ac:dyDescent="0.2">
      <c r="A3795" s="115"/>
      <c r="B3795" s="93"/>
      <c r="C3795" s="94"/>
      <c r="D3795" s="95"/>
      <c r="E3795" s="95"/>
      <c r="F3795" s="96"/>
      <c r="G3795" s="97"/>
      <c r="H3795" s="114" t="str">
        <f t="shared" si="49"/>
        <v/>
      </c>
      <c r="I3795" s="17"/>
      <c r="J3795" s="17"/>
      <c r="K3795" s="17"/>
    </row>
    <row r="3796" spans="1:11" x14ac:dyDescent="0.2">
      <c r="A3796" s="115"/>
      <c r="B3796" s="93"/>
      <c r="C3796" s="94"/>
      <c r="D3796" s="95"/>
      <c r="E3796" s="95"/>
      <c r="F3796" s="96"/>
      <c r="G3796" s="97"/>
      <c r="H3796" s="114" t="str">
        <f t="shared" si="49"/>
        <v/>
      </c>
      <c r="I3796" s="17"/>
      <c r="J3796" s="17"/>
      <c r="K3796" s="17"/>
    </row>
    <row r="3797" spans="1:11" x14ac:dyDescent="0.2">
      <c r="A3797" s="115"/>
      <c r="B3797" s="93"/>
      <c r="C3797" s="94"/>
      <c r="D3797" s="95"/>
      <c r="E3797" s="95"/>
      <c r="F3797" s="96"/>
      <c r="G3797" s="97"/>
      <c r="H3797" s="114" t="str">
        <f t="shared" si="49"/>
        <v/>
      </c>
      <c r="I3797" s="17"/>
      <c r="J3797" s="17"/>
      <c r="K3797" s="17"/>
    </row>
    <row r="3798" spans="1:11" x14ac:dyDescent="0.2">
      <c r="A3798" s="115"/>
      <c r="B3798" s="93"/>
      <c r="C3798" s="94"/>
      <c r="D3798" s="95"/>
      <c r="E3798" s="95"/>
      <c r="F3798" s="96"/>
      <c r="G3798" s="97"/>
      <c r="H3798" s="114" t="str">
        <f t="shared" si="49"/>
        <v/>
      </c>
      <c r="I3798" s="17"/>
      <c r="J3798" s="17"/>
      <c r="K3798" s="17"/>
    </row>
    <row r="3799" spans="1:11" x14ac:dyDescent="0.2">
      <c r="A3799" s="115"/>
      <c r="B3799" s="93"/>
      <c r="C3799" s="94"/>
      <c r="D3799" s="95"/>
      <c r="E3799" s="95"/>
      <c r="F3799" s="96"/>
      <c r="G3799" s="97"/>
      <c r="H3799" s="114" t="str">
        <f t="shared" si="49"/>
        <v/>
      </c>
      <c r="I3799" s="17"/>
      <c r="J3799" s="17"/>
      <c r="K3799" s="17"/>
    </row>
    <row r="3800" spans="1:11" x14ac:dyDescent="0.2">
      <c r="A3800" s="115"/>
      <c r="B3800" s="93"/>
      <c r="C3800" s="94"/>
      <c r="D3800" s="95"/>
      <c r="E3800" s="95"/>
      <c r="F3800" s="96"/>
      <c r="G3800" s="97"/>
      <c r="H3800" s="114" t="str">
        <f t="shared" si="49"/>
        <v/>
      </c>
      <c r="I3800" s="17"/>
      <c r="J3800" s="17"/>
      <c r="K3800" s="17"/>
    </row>
    <row r="3801" spans="1:11" x14ac:dyDescent="0.2">
      <c r="A3801" s="115"/>
      <c r="B3801" s="93"/>
      <c r="C3801" s="94"/>
      <c r="D3801" s="95"/>
      <c r="E3801" s="95"/>
      <c r="F3801" s="96"/>
      <c r="G3801" s="97"/>
      <c r="H3801" s="114" t="str">
        <f t="shared" si="49"/>
        <v/>
      </c>
      <c r="I3801" s="17"/>
      <c r="J3801" s="17"/>
      <c r="K3801" s="17"/>
    </row>
    <row r="3802" spans="1:11" x14ac:dyDescent="0.2">
      <c r="A3802" s="115"/>
      <c r="B3802" s="93"/>
      <c r="C3802" s="94"/>
      <c r="D3802" s="95"/>
      <c r="E3802" s="95"/>
      <c r="F3802" s="96"/>
      <c r="G3802" s="97"/>
      <c r="H3802" s="114" t="str">
        <f t="shared" si="49"/>
        <v/>
      </c>
      <c r="I3802" s="17"/>
      <c r="J3802" s="17"/>
      <c r="K3802" s="17"/>
    </row>
    <row r="3803" spans="1:11" x14ac:dyDescent="0.2">
      <c r="A3803" s="115"/>
      <c r="B3803" s="93"/>
      <c r="C3803" s="94"/>
      <c r="D3803" s="95"/>
      <c r="E3803" s="95"/>
      <c r="F3803" s="96"/>
      <c r="G3803" s="97"/>
      <c r="H3803" s="114" t="str">
        <f t="shared" si="49"/>
        <v/>
      </c>
      <c r="I3803" s="17"/>
      <c r="J3803" s="17"/>
      <c r="K3803" s="17"/>
    </row>
    <row r="3804" spans="1:11" x14ac:dyDescent="0.2">
      <c r="A3804" s="115"/>
      <c r="B3804" s="93"/>
      <c r="C3804" s="94"/>
      <c r="D3804" s="95"/>
      <c r="E3804" s="95"/>
      <c r="F3804" s="96"/>
      <c r="G3804" s="97"/>
      <c r="H3804" s="114" t="str">
        <f t="shared" si="49"/>
        <v/>
      </c>
      <c r="I3804" s="17"/>
      <c r="J3804" s="17"/>
      <c r="K3804" s="17"/>
    </row>
    <row r="3805" spans="1:11" x14ac:dyDescent="0.2">
      <c r="A3805" s="115"/>
      <c r="B3805" s="93"/>
      <c r="C3805" s="94"/>
      <c r="D3805" s="95"/>
      <c r="E3805" s="95"/>
      <c r="F3805" s="96"/>
      <c r="G3805" s="97"/>
      <c r="H3805" s="114" t="str">
        <f t="shared" si="49"/>
        <v/>
      </c>
      <c r="I3805" s="17"/>
      <c r="J3805" s="17"/>
      <c r="K3805" s="17"/>
    </row>
    <row r="3806" spans="1:11" x14ac:dyDescent="0.2">
      <c r="A3806" s="115"/>
      <c r="B3806" s="93"/>
      <c r="C3806" s="94"/>
      <c r="D3806" s="95"/>
      <c r="E3806" s="95"/>
      <c r="F3806" s="96"/>
      <c r="G3806" s="97"/>
      <c r="H3806" s="114" t="str">
        <f t="shared" si="49"/>
        <v/>
      </c>
      <c r="I3806" s="17"/>
      <c r="J3806" s="17"/>
      <c r="K3806" s="17"/>
    </row>
    <row r="3807" spans="1:11" x14ac:dyDescent="0.2">
      <c r="A3807" s="115"/>
      <c r="B3807" s="93"/>
      <c r="C3807" s="94"/>
      <c r="D3807" s="95"/>
      <c r="E3807" s="95"/>
      <c r="F3807" s="96"/>
      <c r="G3807" s="97"/>
      <c r="H3807" s="114" t="str">
        <f t="shared" si="49"/>
        <v/>
      </c>
      <c r="I3807" s="17"/>
      <c r="J3807" s="17"/>
      <c r="K3807" s="17"/>
    </row>
    <row r="3808" spans="1:11" x14ac:dyDescent="0.2">
      <c r="A3808" s="115"/>
      <c r="B3808" s="93"/>
      <c r="C3808" s="94"/>
      <c r="D3808" s="95"/>
      <c r="E3808" s="95"/>
      <c r="F3808" s="96"/>
      <c r="G3808" s="97"/>
      <c r="H3808" s="114" t="str">
        <f t="shared" si="49"/>
        <v/>
      </c>
      <c r="I3808" s="17"/>
      <c r="J3808" s="17"/>
      <c r="K3808" s="17"/>
    </row>
    <row r="3809" spans="1:11" x14ac:dyDescent="0.2">
      <c r="A3809" s="115"/>
      <c r="B3809" s="93"/>
      <c r="C3809" s="94"/>
      <c r="D3809" s="95"/>
      <c r="E3809" s="95"/>
      <c r="F3809" s="96"/>
      <c r="G3809" s="97"/>
      <c r="H3809" s="114" t="str">
        <f t="shared" si="49"/>
        <v/>
      </c>
      <c r="I3809" s="17"/>
      <c r="J3809" s="17"/>
      <c r="K3809" s="17"/>
    </row>
    <row r="3810" spans="1:11" x14ac:dyDescent="0.2">
      <c r="A3810" s="115"/>
      <c r="B3810" s="93"/>
      <c r="C3810" s="94"/>
      <c r="D3810" s="95"/>
      <c r="E3810" s="95"/>
      <c r="F3810" s="96"/>
      <c r="G3810" s="97"/>
      <c r="H3810" s="114" t="str">
        <f t="shared" si="49"/>
        <v/>
      </c>
      <c r="I3810" s="17"/>
      <c r="J3810" s="17"/>
      <c r="K3810" s="17"/>
    </row>
    <row r="3811" spans="1:11" x14ac:dyDescent="0.2">
      <c r="A3811" s="115"/>
      <c r="B3811" s="93"/>
      <c r="C3811" s="94"/>
      <c r="D3811" s="95"/>
      <c r="E3811" s="95"/>
      <c r="F3811" s="96"/>
      <c r="G3811" s="97"/>
      <c r="H3811" s="114" t="str">
        <f t="shared" si="49"/>
        <v/>
      </c>
      <c r="I3811" s="17"/>
      <c r="J3811" s="17"/>
      <c r="K3811" s="17"/>
    </row>
    <row r="3812" spans="1:11" x14ac:dyDescent="0.2">
      <c r="A3812" s="115"/>
      <c r="B3812" s="93"/>
      <c r="C3812" s="94"/>
      <c r="D3812" s="95"/>
      <c r="E3812" s="95"/>
      <c r="F3812" s="96"/>
      <c r="G3812" s="97"/>
      <c r="H3812" s="114" t="str">
        <f t="shared" si="49"/>
        <v/>
      </c>
      <c r="I3812" s="17"/>
      <c r="J3812" s="17"/>
      <c r="K3812" s="17"/>
    </row>
    <row r="3813" spans="1:11" x14ac:dyDescent="0.2">
      <c r="A3813" s="115"/>
      <c r="B3813" s="93"/>
      <c r="C3813" s="94"/>
      <c r="D3813" s="95"/>
      <c r="E3813" s="95"/>
      <c r="F3813" s="96"/>
      <c r="G3813" s="97"/>
      <c r="H3813" s="114" t="str">
        <f t="shared" si="49"/>
        <v/>
      </c>
      <c r="I3813" s="17"/>
      <c r="J3813" s="17"/>
      <c r="K3813" s="17"/>
    </row>
    <row r="3814" spans="1:11" x14ac:dyDescent="0.2">
      <c r="A3814" s="115"/>
      <c r="B3814" s="93"/>
      <c r="C3814" s="94"/>
      <c r="D3814" s="95"/>
      <c r="E3814" s="95"/>
      <c r="F3814" s="96"/>
      <c r="G3814" s="97"/>
      <c r="H3814" s="114" t="str">
        <f t="shared" si="49"/>
        <v/>
      </c>
      <c r="I3814" s="17"/>
      <c r="J3814" s="17"/>
      <c r="K3814" s="17"/>
    </row>
    <row r="3815" spans="1:11" x14ac:dyDescent="0.2">
      <c r="A3815" s="115"/>
      <c r="B3815" s="93"/>
      <c r="C3815" s="94"/>
      <c r="D3815" s="95"/>
      <c r="E3815" s="95"/>
      <c r="F3815" s="96"/>
      <c r="G3815" s="97"/>
      <c r="H3815" s="114" t="str">
        <f t="shared" si="49"/>
        <v/>
      </c>
      <c r="I3815" s="17"/>
      <c r="J3815" s="17"/>
      <c r="K3815" s="17"/>
    </row>
    <row r="3816" spans="1:11" x14ac:dyDescent="0.2">
      <c r="A3816" s="115"/>
      <c r="B3816" s="93"/>
      <c r="C3816" s="94"/>
      <c r="D3816" s="95"/>
      <c r="E3816" s="95"/>
      <c r="F3816" s="96"/>
      <c r="G3816" s="97"/>
      <c r="H3816" s="114" t="str">
        <f t="shared" si="49"/>
        <v/>
      </c>
      <c r="I3816" s="17"/>
      <c r="J3816" s="17"/>
      <c r="K3816" s="17"/>
    </row>
    <row r="3817" spans="1:11" x14ac:dyDescent="0.2">
      <c r="A3817" s="115"/>
      <c r="B3817" s="93"/>
      <c r="C3817" s="94"/>
      <c r="D3817" s="95"/>
      <c r="E3817" s="95"/>
      <c r="F3817" s="96"/>
      <c r="G3817" s="97"/>
      <c r="H3817" s="114" t="str">
        <f t="shared" si="49"/>
        <v/>
      </c>
      <c r="I3817" s="17"/>
      <c r="J3817" s="17"/>
      <c r="K3817" s="17"/>
    </row>
    <row r="3818" spans="1:11" x14ac:dyDescent="0.2">
      <c r="A3818" s="115"/>
      <c r="B3818" s="93"/>
      <c r="C3818" s="94"/>
      <c r="D3818" s="95"/>
      <c r="E3818" s="95"/>
      <c r="F3818" s="96"/>
      <c r="G3818" s="97"/>
      <c r="H3818" s="114" t="str">
        <f t="shared" si="49"/>
        <v/>
      </c>
      <c r="I3818" s="17"/>
      <c r="J3818" s="17"/>
      <c r="K3818" s="17"/>
    </row>
    <row r="3819" spans="1:11" x14ac:dyDescent="0.2">
      <c r="A3819" s="115"/>
      <c r="B3819" s="93"/>
      <c r="C3819" s="94"/>
      <c r="D3819" s="95"/>
      <c r="E3819" s="95"/>
      <c r="F3819" s="96"/>
      <c r="G3819" s="97"/>
      <c r="H3819" s="114" t="str">
        <f t="shared" si="49"/>
        <v/>
      </c>
      <c r="I3819" s="17"/>
      <c r="J3819" s="17"/>
      <c r="K3819" s="17"/>
    </row>
    <row r="3820" spans="1:11" x14ac:dyDescent="0.2">
      <c r="A3820" s="115"/>
      <c r="B3820" s="93"/>
      <c r="C3820" s="94"/>
      <c r="D3820" s="95"/>
      <c r="E3820" s="95"/>
      <c r="F3820" s="96"/>
      <c r="G3820" s="97"/>
      <c r="H3820" s="114" t="str">
        <f t="shared" si="49"/>
        <v/>
      </c>
      <c r="I3820" s="17"/>
      <c r="J3820" s="17"/>
      <c r="K3820" s="17"/>
    </row>
    <row r="3821" spans="1:11" x14ac:dyDescent="0.2">
      <c r="A3821" s="115"/>
      <c r="B3821" s="93"/>
      <c r="C3821" s="94"/>
      <c r="D3821" s="95"/>
      <c r="E3821" s="95"/>
      <c r="F3821" s="96"/>
      <c r="G3821" s="97"/>
      <c r="H3821" s="114" t="str">
        <f t="shared" si="49"/>
        <v/>
      </c>
      <c r="I3821" s="17"/>
      <c r="J3821" s="17"/>
      <c r="K3821" s="17"/>
    </row>
    <row r="3822" spans="1:11" x14ac:dyDescent="0.2">
      <c r="A3822" s="115"/>
      <c r="B3822" s="93"/>
      <c r="C3822" s="94"/>
      <c r="D3822" s="95"/>
      <c r="E3822" s="95"/>
      <c r="F3822" s="96"/>
      <c r="G3822" s="97"/>
      <c r="H3822" s="114" t="str">
        <f t="shared" si="49"/>
        <v/>
      </c>
      <c r="I3822" s="17"/>
      <c r="J3822" s="17"/>
      <c r="K3822" s="17"/>
    </row>
    <row r="3823" spans="1:11" x14ac:dyDescent="0.2">
      <c r="A3823" s="115"/>
      <c r="B3823" s="93"/>
      <c r="C3823" s="94"/>
      <c r="D3823" s="95"/>
      <c r="E3823" s="95"/>
      <c r="F3823" s="96"/>
      <c r="G3823" s="97"/>
      <c r="H3823" s="114" t="str">
        <f t="shared" si="49"/>
        <v/>
      </c>
      <c r="I3823" s="17"/>
      <c r="J3823" s="17"/>
      <c r="K3823" s="17"/>
    </row>
    <row r="3824" spans="1:11" x14ac:dyDescent="0.2">
      <c r="A3824" s="115"/>
      <c r="B3824" s="93"/>
      <c r="C3824" s="94"/>
      <c r="D3824" s="95"/>
      <c r="E3824" s="95"/>
      <c r="F3824" s="96"/>
      <c r="G3824" s="97"/>
      <c r="H3824" s="114" t="str">
        <f t="shared" si="49"/>
        <v/>
      </c>
      <c r="I3824" s="17"/>
      <c r="J3824" s="17"/>
      <c r="K3824" s="17"/>
    </row>
    <row r="3825" spans="1:11" x14ac:dyDescent="0.2">
      <c r="A3825" s="115"/>
      <c r="B3825" s="93"/>
      <c r="C3825" s="94"/>
      <c r="D3825" s="95"/>
      <c r="E3825" s="95"/>
      <c r="F3825" s="96"/>
      <c r="G3825" s="97"/>
      <c r="H3825" s="114" t="str">
        <f t="shared" si="49"/>
        <v/>
      </c>
      <c r="I3825" s="17"/>
      <c r="J3825" s="17"/>
      <c r="K3825" s="17"/>
    </row>
    <row r="3826" spans="1:11" x14ac:dyDescent="0.2">
      <c r="A3826" s="115"/>
      <c r="B3826" s="93"/>
      <c r="C3826" s="94"/>
      <c r="D3826" s="95"/>
      <c r="E3826" s="95"/>
      <c r="F3826" s="96"/>
      <c r="G3826" s="97"/>
      <c r="H3826" s="114" t="str">
        <f t="shared" si="49"/>
        <v/>
      </c>
      <c r="I3826" s="17"/>
      <c r="J3826" s="17"/>
      <c r="K3826" s="17"/>
    </row>
    <row r="3827" spans="1:11" x14ac:dyDescent="0.2">
      <c r="A3827" s="115"/>
      <c r="B3827" s="93"/>
      <c r="C3827" s="94"/>
      <c r="D3827" s="95"/>
      <c r="E3827" s="95"/>
      <c r="F3827" s="96"/>
      <c r="G3827" s="97"/>
      <c r="H3827" s="114" t="str">
        <f t="shared" si="49"/>
        <v/>
      </c>
      <c r="I3827" s="17"/>
      <c r="J3827" s="17"/>
      <c r="K3827" s="17"/>
    </row>
    <row r="3828" spans="1:11" x14ac:dyDescent="0.2">
      <c r="A3828" s="115"/>
      <c r="B3828" s="93"/>
      <c r="C3828" s="94"/>
      <c r="D3828" s="95"/>
      <c r="E3828" s="95"/>
      <c r="F3828" s="96"/>
      <c r="G3828" s="97"/>
      <c r="H3828" s="114" t="str">
        <f t="shared" si="49"/>
        <v/>
      </c>
      <c r="I3828" s="17"/>
      <c r="J3828" s="17"/>
      <c r="K3828" s="17"/>
    </row>
    <row r="3829" spans="1:11" x14ac:dyDescent="0.2">
      <c r="A3829" s="115"/>
      <c r="B3829" s="93"/>
      <c r="C3829" s="94"/>
      <c r="D3829" s="95"/>
      <c r="E3829" s="95"/>
      <c r="F3829" s="96"/>
      <c r="G3829" s="97"/>
      <c r="H3829" s="114" t="str">
        <f t="shared" si="49"/>
        <v/>
      </c>
      <c r="I3829" s="17"/>
      <c r="J3829" s="17"/>
      <c r="K3829" s="17"/>
    </row>
    <row r="3830" spans="1:11" x14ac:dyDescent="0.2">
      <c r="A3830" s="115"/>
      <c r="B3830" s="93"/>
      <c r="C3830" s="94"/>
      <c r="D3830" s="95"/>
      <c r="E3830" s="95"/>
      <c r="F3830" s="96"/>
      <c r="G3830" s="97"/>
      <c r="H3830" s="114" t="str">
        <f t="shared" si="49"/>
        <v/>
      </c>
      <c r="I3830" s="17"/>
      <c r="J3830" s="17"/>
      <c r="K3830" s="17"/>
    </row>
    <row r="3831" spans="1:11" x14ac:dyDescent="0.2">
      <c r="A3831" s="115"/>
      <c r="B3831" s="93"/>
      <c r="C3831" s="94"/>
      <c r="D3831" s="95"/>
      <c r="E3831" s="95"/>
      <c r="F3831" s="96"/>
      <c r="G3831" s="97"/>
      <c r="H3831" s="114" t="str">
        <f t="shared" si="49"/>
        <v/>
      </c>
      <c r="I3831" s="17"/>
      <c r="J3831" s="17"/>
      <c r="K3831" s="17"/>
    </row>
    <row r="3832" spans="1:11" x14ac:dyDescent="0.2">
      <c r="A3832" s="115"/>
      <c r="B3832" s="93"/>
      <c r="C3832" s="94"/>
      <c r="D3832" s="95"/>
      <c r="E3832" s="95"/>
      <c r="F3832" s="96"/>
      <c r="G3832" s="97"/>
      <c r="H3832" s="114" t="str">
        <f t="shared" si="49"/>
        <v/>
      </c>
      <c r="I3832" s="17"/>
      <c r="J3832" s="17"/>
      <c r="K3832" s="17"/>
    </row>
    <row r="3833" spans="1:11" x14ac:dyDescent="0.2">
      <c r="A3833" s="115"/>
      <c r="B3833" s="93"/>
      <c r="C3833" s="94"/>
      <c r="D3833" s="95"/>
      <c r="E3833" s="95"/>
      <c r="F3833" s="96"/>
      <c r="G3833" s="97"/>
      <c r="H3833" s="114" t="str">
        <f t="shared" si="49"/>
        <v/>
      </c>
      <c r="I3833" s="17"/>
      <c r="J3833" s="17"/>
      <c r="K3833" s="17"/>
    </row>
    <row r="3834" spans="1:11" x14ac:dyDescent="0.2">
      <c r="A3834" s="115"/>
      <c r="B3834" s="93"/>
      <c r="C3834" s="94"/>
      <c r="D3834" s="95"/>
      <c r="E3834" s="95"/>
      <c r="F3834" s="96"/>
      <c r="G3834" s="97"/>
      <c r="H3834" s="114" t="str">
        <f t="shared" si="49"/>
        <v/>
      </c>
      <c r="I3834" s="17"/>
      <c r="J3834" s="17"/>
      <c r="K3834" s="17"/>
    </row>
    <row r="3835" spans="1:11" x14ac:dyDescent="0.2">
      <c r="A3835" s="115"/>
      <c r="B3835" s="93"/>
      <c r="C3835" s="94"/>
      <c r="D3835" s="95"/>
      <c r="E3835" s="95"/>
      <c r="F3835" s="96"/>
      <c r="G3835" s="97"/>
      <c r="H3835" s="114" t="str">
        <f t="shared" si="49"/>
        <v/>
      </c>
      <c r="I3835" s="17"/>
      <c r="J3835" s="17"/>
      <c r="K3835" s="17"/>
    </row>
    <row r="3836" spans="1:11" x14ac:dyDescent="0.2">
      <c r="A3836" s="115"/>
      <c r="B3836" s="93"/>
      <c r="C3836" s="94"/>
      <c r="D3836" s="95"/>
      <c r="E3836" s="95"/>
      <c r="F3836" s="96"/>
      <c r="G3836" s="97"/>
      <c r="H3836" s="114" t="str">
        <f t="shared" si="49"/>
        <v/>
      </c>
      <c r="I3836" s="17"/>
      <c r="J3836" s="17"/>
      <c r="K3836" s="17"/>
    </row>
    <row r="3837" spans="1:11" x14ac:dyDescent="0.2">
      <c r="A3837" s="115"/>
      <c r="B3837" s="93"/>
      <c r="C3837" s="94"/>
      <c r="D3837" s="95"/>
      <c r="E3837" s="95"/>
      <c r="F3837" s="96"/>
      <c r="G3837" s="97"/>
      <c r="H3837" s="114" t="str">
        <f t="shared" si="49"/>
        <v/>
      </c>
      <c r="I3837" s="17"/>
      <c r="J3837" s="17"/>
      <c r="K3837" s="17"/>
    </row>
    <row r="3838" spans="1:11" x14ac:dyDescent="0.2">
      <c r="A3838" s="115"/>
      <c r="B3838" s="93"/>
      <c r="C3838" s="94"/>
      <c r="D3838" s="95"/>
      <c r="E3838" s="95"/>
      <c r="F3838" s="96"/>
      <c r="G3838" s="97"/>
      <c r="H3838" s="114" t="str">
        <f t="shared" si="49"/>
        <v/>
      </c>
      <c r="I3838" s="17"/>
      <c r="J3838" s="17"/>
      <c r="K3838" s="17"/>
    </row>
    <row r="3839" spans="1:11" x14ac:dyDescent="0.2">
      <c r="A3839" s="115"/>
      <c r="B3839" s="93"/>
      <c r="C3839" s="94"/>
      <c r="D3839" s="95"/>
      <c r="E3839" s="95"/>
      <c r="F3839" s="96"/>
      <c r="G3839" s="97"/>
      <c r="H3839" s="114" t="str">
        <f t="shared" si="49"/>
        <v/>
      </c>
      <c r="I3839" s="17"/>
      <c r="J3839" s="17"/>
      <c r="K3839" s="17"/>
    </row>
    <row r="3840" spans="1:11" x14ac:dyDescent="0.2">
      <c r="A3840" s="115"/>
      <c r="B3840" s="93"/>
      <c r="C3840" s="94"/>
      <c r="D3840" s="95"/>
      <c r="E3840" s="95"/>
      <c r="F3840" s="96"/>
      <c r="G3840" s="97"/>
      <c r="H3840" s="114" t="str">
        <f t="shared" si="49"/>
        <v/>
      </c>
      <c r="I3840" s="17"/>
      <c r="J3840" s="17"/>
      <c r="K3840" s="17"/>
    </row>
    <row r="3841" spans="1:11" x14ac:dyDescent="0.2">
      <c r="A3841" s="115"/>
      <c r="B3841" s="93"/>
      <c r="C3841" s="94"/>
      <c r="D3841" s="95"/>
      <c r="E3841" s="95"/>
      <c r="F3841" s="96"/>
      <c r="G3841" s="97"/>
      <c r="H3841" s="114" t="str">
        <f t="shared" si="49"/>
        <v/>
      </c>
      <c r="I3841" s="17"/>
      <c r="J3841" s="17"/>
      <c r="K3841" s="17"/>
    </row>
    <row r="3842" spans="1:11" x14ac:dyDescent="0.2">
      <c r="A3842" s="115"/>
      <c r="B3842" s="93"/>
      <c r="C3842" s="94"/>
      <c r="D3842" s="95"/>
      <c r="E3842" s="95"/>
      <c r="F3842" s="96"/>
      <c r="G3842" s="97"/>
      <c r="H3842" s="114" t="str">
        <f t="shared" si="49"/>
        <v/>
      </c>
      <c r="I3842" s="17"/>
      <c r="J3842" s="17"/>
      <c r="K3842" s="17"/>
    </row>
    <row r="3843" spans="1:11" x14ac:dyDescent="0.2">
      <c r="A3843" s="115"/>
      <c r="B3843" s="93"/>
      <c r="C3843" s="94"/>
      <c r="D3843" s="95"/>
      <c r="E3843" s="95"/>
      <c r="F3843" s="96"/>
      <c r="G3843" s="97"/>
      <c r="H3843" s="114" t="str">
        <f t="shared" si="49"/>
        <v/>
      </c>
      <c r="I3843" s="17"/>
      <c r="J3843" s="17"/>
      <c r="K3843" s="17"/>
    </row>
    <row r="3844" spans="1:11" x14ac:dyDescent="0.2">
      <c r="A3844" s="115"/>
      <c r="B3844" s="93"/>
      <c r="C3844" s="94"/>
      <c r="D3844" s="95"/>
      <c r="E3844" s="95"/>
      <c r="F3844" s="96"/>
      <c r="G3844" s="97"/>
      <c r="H3844" s="114" t="str">
        <f t="shared" ref="H3844:H3907" si="50">IF(A3844&lt;&gt;"", EOMONTH(A3844, -1) + 1, "")</f>
        <v/>
      </c>
      <c r="I3844" s="17"/>
      <c r="J3844" s="17"/>
      <c r="K3844" s="17"/>
    </row>
    <row r="3845" spans="1:11" x14ac:dyDescent="0.2">
      <c r="A3845" s="115"/>
      <c r="B3845" s="93"/>
      <c r="C3845" s="94"/>
      <c r="D3845" s="95"/>
      <c r="E3845" s="95"/>
      <c r="F3845" s="96"/>
      <c r="G3845" s="97"/>
      <c r="H3845" s="114" t="str">
        <f t="shared" si="50"/>
        <v/>
      </c>
      <c r="I3845" s="17"/>
      <c r="J3845" s="17"/>
      <c r="K3845" s="17"/>
    </row>
    <row r="3846" spans="1:11" x14ac:dyDescent="0.2">
      <c r="A3846" s="115"/>
      <c r="B3846" s="93"/>
      <c r="C3846" s="94"/>
      <c r="D3846" s="95"/>
      <c r="E3846" s="95"/>
      <c r="F3846" s="96"/>
      <c r="G3846" s="97"/>
      <c r="H3846" s="114" t="str">
        <f t="shared" si="50"/>
        <v/>
      </c>
      <c r="I3846" s="17"/>
      <c r="J3846" s="17"/>
      <c r="K3846" s="17"/>
    </row>
    <row r="3847" spans="1:11" x14ac:dyDescent="0.2">
      <c r="A3847" s="115"/>
      <c r="B3847" s="93"/>
      <c r="C3847" s="94"/>
      <c r="D3847" s="95"/>
      <c r="E3847" s="95"/>
      <c r="F3847" s="96"/>
      <c r="G3847" s="97"/>
      <c r="H3847" s="114" t="str">
        <f t="shared" si="50"/>
        <v/>
      </c>
      <c r="I3847" s="17"/>
      <c r="J3847" s="17"/>
      <c r="K3847" s="17"/>
    </row>
    <row r="3848" spans="1:11" x14ac:dyDescent="0.2">
      <c r="A3848" s="115"/>
      <c r="B3848" s="93"/>
      <c r="C3848" s="94"/>
      <c r="D3848" s="95"/>
      <c r="E3848" s="95"/>
      <c r="F3848" s="96"/>
      <c r="G3848" s="97"/>
      <c r="H3848" s="114" t="str">
        <f t="shared" si="50"/>
        <v/>
      </c>
      <c r="I3848" s="17"/>
      <c r="J3848" s="17"/>
      <c r="K3848" s="17"/>
    </row>
    <row r="3849" spans="1:11" x14ac:dyDescent="0.2">
      <c r="A3849" s="115"/>
      <c r="B3849" s="93"/>
      <c r="C3849" s="94"/>
      <c r="D3849" s="95"/>
      <c r="E3849" s="95"/>
      <c r="F3849" s="96"/>
      <c r="G3849" s="97"/>
      <c r="H3849" s="114" t="str">
        <f t="shared" si="50"/>
        <v/>
      </c>
      <c r="I3849" s="17"/>
      <c r="J3849" s="17"/>
      <c r="K3849" s="17"/>
    </row>
    <row r="3850" spans="1:11" x14ac:dyDescent="0.2">
      <c r="A3850" s="115"/>
      <c r="B3850" s="93"/>
      <c r="C3850" s="94"/>
      <c r="D3850" s="95"/>
      <c r="E3850" s="95"/>
      <c r="F3850" s="96"/>
      <c r="G3850" s="97"/>
      <c r="H3850" s="114" t="str">
        <f t="shared" si="50"/>
        <v/>
      </c>
      <c r="I3850" s="17"/>
      <c r="J3850" s="17"/>
      <c r="K3850" s="17"/>
    </row>
    <row r="3851" spans="1:11" x14ac:dyDescent="0.2">
      <c r="A3851" s="115"/>
      <c r="B3851" s="93"/>
      <c r="C3851" s="94"/>
      <c r="D3851" s="95"/>
      <c r="E3851" s="95"/>
      <c r="F3851" s="96"/>
      <c r="G3851" s="97"/>
      <c r="H3851" s="114" t="str">
        <f t="shared" si="50"/>
        <v/>
      </c>
      <c r="I3851" s="17"/>
      <c r="J3851" s="17"/>
      <c r="K3851" s="17"/>
    </row>
    <row r="3852" spans="1:11" x14ac:dyDescent="0.2">
      <c r="A3852" s="115"/>
      <c r="B3852" s="93"/>
      <c r="C3852" s="94"/>
      <c r="D3852" s="95"/>
      <c r="E3852" s="95"/>
      <c r="F3852" s="96"/>
      <c r="G3852" s="97"/>
      <c r="H3852" s="114" t="str">
        <f t="shared" si="50"/>
        <v/>
      </c>
      <c r="I3852" s="17"/>
      <c r="J3852" s="17"/>
      <c r="K3852" s="17"/>
    </row>
    <row r="3853" spans="1:11" x14ac:dyDescent="0.2">
      <c r="A3853" s="115"/>
      <c r="B3853" s="93"/>
      <c r="C3853" s="94"/>
      <c r="D3853" s="95"/>
      <c r="E3853" s="95"/>
      <c r="F3853" s="96"/>
      <c r="G3853" s="97"/>
      <c r="H3853" s="114" t="str">
        <f t="shared" si="50"/>
        <v/>
      </c>
      <c r="I3853" s="17"/>
      <c r="J3853" s="17"/>
      <c r="K3853" s="17"/>
    </row>
    <row r="3854" spans="1:11" x14ac:dyDescent="0.2">
      <c r="A3854" s="115"/>
      <c r="B3854" s="93"/>
      <c r="C3854" s="94"/>
      <c r="D3854" s="95"/>
      <c r="E3854" s="95"/>
      <c r="F3854" s="96"/>
      <c r="G3854" s="97"/>
      <c r="H3854" s="114" t="str">
        <f t="shared" si="50"/>
        <v/>
      </c>
      <c r="I3854" s="17"/>
      <c r="J3854" s="17"/>
      <c r="K3854" s="17"/>
    </row>
    <row r="3855" spans="1:11" x14ac:dyDescent="0.2">
      <c r="A3855" s="115"/>
      <c r="B3855" s="93"/>
      <c r="C3855" s="94"/>
      <c r="D3855" s="95"/>
      <c r="E3855" s="95"/>
      <c r="F3855" s="96"/>
      <c r="G3855" s="97"/>
      <c r="H3855" s="114" t="str">
        <f t="shared" si="50"/>
        <v/>
      </c>
      <c r="I3855" s="17"/>
      <c r="J3855" s="17"/>
      <c r="K3855" s="17"/>
    </row>
    <row r="3856" spans="1:11" x14ac:dyDescent="0.2">
      <c r="A3856" s="115"/>
      <c r="B3856" s="93"/>
      <c r="C3856" s="94"/>
      <c r="D3856" s="95"/>
      <c r="E3856" s="95"/>
      <c r="F3856" s="96"/>
      <c r="G3856" s="97"/>
      <c r="H3856" s="114" t="str">
        <f t="shared" si="50"/>
        <v/>
      </c>
      <c r="I3856" s="17"/>
      <c r="J3856" s="17"/>
      <c r="K3856" s="17"/>
    </row>
    <row r="3857" spans="1:11" x14ac:dyDescent="0.2">
      <c r="A3857" s="115"/>
      <c r="B3857" s="93"/>
      <c r="C3857" s="94"/>
      <c r="D3857" s="95"/>
      <c r="E3857" s="95"/>
      <c r="F3857" s="96"/>
      <c r="G3857" s="97"/>
      <c r="H3857" s="114" t="str">
        <f t="shared" si="50"/>
        <v/>
      </c>
      <c r="I3857" s="17"/>
      <c r="J3857" s="17"/>
      <c r="K3857" s="17"/>
    </row>
    <row r="3858" spans="1:11" x14ac:dyDescent="0.2">
      <c r="A3858" s="115"/>
      <c r="B3858" s="93"/>
      <c r="C3858" s="94"/>
      <c r="D3858" s="95"/>
      <c r="E3858" s="95"/>
      <c r="F3858" s="96"/>
      <c r="G3858" s="97"/>
      <c r="H3858" s="114" t="str">
        <f t="shared" si="50"/>
        <v/>
      </c>
      <c r="I3858" s="17"/>
      <c r="J3858" s="17"/>
      <c r="K3858" s="17"/>
    </row>
    <row r="3859" spans="1:11" x14ac:dyDescent="0.2">
      <c r="A3859" s="115"/>
      <c r="B3859" s="93"/>
      <c r="C3859" s="94"/>
      <c r="D3859" s="95"/>
      <c r="E3859" s="95"/>
      <c r="F3859" s="96"/>
      <c r="G3859" s="97"/>
      <c r="H3859" s="114" t="str">
        <f t="shared" si="50"/>
        <v/>
      </c>
      <c r="I3859" s="17"/>
      <c r="J3859" s="17"/>
      <c r="K3859" s="17"/>
    </row>
    <row r="3860" spans="1:11" x14ac:dyDescent="0.2">
      <c r="A3860" s="115"/>
      <c r="B3860" s="93"/>
      <c r="C3860" s="94"/>
      <c r="D3860" s="95"/>
      <c r="E3860" s="95"/>
      <c r="F3860" s="96"/>
      <c r="G3860" s="97"/>
      <c r="H3860" s="114" t="str">
        <f t="shared" si="50"/>
        <v/>
      </c>
      <c r="I3860" s="17"/>
      <c r="J3860" s="17"/>
      <c r="K3860" s="17"/>
    </row>
    <row r="3861" spans="1:11" x14ac:dyDescent="0.2">
      <c r="A3861" s="115"/>
      <c r="B3861" s="93"/>
      <c r="C3861" s="94"/>
      <c r="D3861" s="95"/>
      <c r="E3861" s="95"/>
      <c r="F3861" s="96"/>
      <c r="G3861" s="97"/>
      <c r="H3861" s="114" t="str">
        <f t="shared" si="50"/>
        <v/>
      </c>
      <c r="I3861" s="17"/>
      <c r="J3861" s="17"/>
      <c r="K3861" s="17"/>
    </row>
    <row r="3862" spans="1:11" x14ac:dyDescent="0.2">
      <c r="A3862" s="115"/>
      <c r="B3862" s="93"/>
      <c r="C3862" s="94"/>
      <c r="D3862" s="95"/>
      <c r="E3862" s="95"/>
      <c r="F3862" s="96"/>
      <c r="G3862" s="97"/>
      <c r="H3862" s="114" t="str">
        <f t="shared" si="50"/>
        <v/>
      </c>
      <c r="I3862" s="17"/>
      <c r="J3862" s="17"/>
      <c r="K3862" s="17"/>
    </row>
    <row r="3863" spans="1:11" x14ac:dyDescent="0.2">
      <c r="A3863" s="115"/>
      <c r="B3863" s="93"/>
      <c r="C3863" s="94"/>
      <c r="D3863" s="95"/>
      <c r="E3863" s="95"/>
      <c r="F3863" s="96"/>
      <c r="G3863" s="97"/>
      <c r="H3863" s="114" t="str">
        <f t="shared" si="50"/>
        <v/>
      </c>
      <c r="I3863" s="17"/>
      <c r="J3863" s="17"/>
      <c r="K3863" s="17"/>
    </row>
    <row r="3864" spans="1:11" x14ac:dyDescent="0.2">
      <c r="A3864" s="115"/>
      <c r="B3864" s="93"/>
      <c r="C3864" s="94"/>
      <c r="D3864" s="95"/>
      <c r="E3864" s="95"/>
      <c r="F3864" s="96"/>
      <c r="G3864" s="97"/>
      <c r="H3864" s="114" t="str">
        <f t="shared" si="50"/>
        <v/>
      </c>
      <c r="I3864" s="17"/>
      <c r="J3864" s="17"/>
      <c r="K3864" s="17"/>
    </row>
    <row r="3865" spans="1:11" x14ac:dyDescent="0.2">
      <c r="A3865" s="115"/>
      <c r="B3865" s="93"/>
      <c r="C3865" s="94"/>
      <c r="D3865" s="95"/>
      <c r="E3865" s="95"/>
      <c r="F3865" s="96"/>
      <c r="G3865" s="97"/>
      <c r="H3865" s="114" t="str">
        <f t="shared" si="50"/>
        <v/>
      </c>
      <c r="I3865" s="17"/>
      <c r="J3865" s="17"/>
      <c r="K3865" s="17"/>
    </row>
    <row r="3866" spans="1:11" x14ac:dyDescent="0.2">
      <c r="A3866" s="115"/>
      <c r="B3866" s="93"/>
      <c r="C3866" s="94"/>
      <c r="D3866" s="95"/>
      <c r="E3866" s="95"/>
      <c r="F3866" s="96"/>
      <c r="G3866" s="97"/>
      <c r="H3866" s="114" t="str">
        <f t="shared" si="50"/>
        <v/>
      </c>
      <c r="I3866" s="17"/>
      <c r="J3866" s="17"/>
      <c r="K3866" s="17"/>
    </row>
    <row r="3867" spans="1:11" x14ac:dyDescent="0.2">
      <c r="A3867" s="115"/>
      <c r="B3867" s="93"/>
      <c r="C3867" s="94"/>
      <c r="D3867" s="95"/>
      <c r="E3867" s="95"/>
      <c r="F3867" s="96"/>
      <c r="G3867" s="97"/>
      <c r="H3867" s="114" t="str">
        <f t="shared" si="50"/>
        <v/>
      </c>
      <c r="I3867" s="17"/>
      <c r="J3867" s="17"/>
      <c r="K3867" s="17"/>
    </row>
    <row r="3868" spans="1:11" x14ac:dyDescent="0.2">
      <c r="A3868" s="115"/>
      <c r="B3868" s="93"/>
      <c r="C3868" s="94"/>
      <c r="D3868" s="95"/>
      <c r="E3868" s="95"/>
      <c r="F3868" s="96"/>
      <c r="G3868" s="97"/>
      <c r="H3868" s="114" t="str">
        <f t="shared" si="50"/>
        <v/>
      </c>
      <c r="I3868" s="17"/>
      <c r="J3868" s="17"/>
      <c r="K3868" s="17"/>
    </row>
    <row r="3869" spans="1:11" x14ac:dyDescent="0.2">
      <c r="A3869" s="115"/>
      <c r="B3869" s="93"/>
      <c r="C3869" s="94"/>
      <c r="D3869" s="95"/>
      <c r="E3869" s="95"/>
      <c r="F3869" s="96"/>
      <c r="G3869" s="97"/>
      <c r="H3869" s="114" t="str">
        <f t="shared" si="50"/>
        <v/>
      </c>
      <c r="I3869" s="17"/>
      <c r="J3869" s="17"/>
      <c r="K3869" s="17"/>
    </row>
    <row r="3870" spans="1:11" x14ac:dyDescent="0.2">
      <c r="A3870" s="115"/>
      <c r="B3870" s="93"/>
      <c r="C3870" s="94"/>
      <c r="D3870" s="95"/>
      <c r="E3870" s="95"/>
      <c r="F3870" s="96"/>
      <c r="G3870" s="97"/>
      <c r="H3870" s="114" t="str">
        <f t="shared" si="50"/>
        <v/>
      </c>
      <c r="I3870" s="17"/>
      <c r="J3870" s="17"/>
      <c r="K3870" s="17"/>
    </row>
    <row r="3871" spans="1:11" x14ac:dyDescent="0.2">
      <c r="A3871" s="115"/>
      <c r="B3871" s="93"/>
      <c r="C3871" s="94"/>
      <c r="D3871" s="95"/>
      <c r="E3871" s="95"/>
      <c r="F3871" s="96"/>
      <c r="G3871" s="97"/>
      <c r="H3871" s="114" t="str">
        <f t="shared" si="50"/>
        <v/>
      </c>
      <c r="I3871" s="17"/>
      <c r="J3871" s="17"/>
      <c r="K3871" s="17"/>
    </row>
    <row r="3872" spans="1:11" x14ac:dyDescent="0.2">
      <c r="A3872" s="115"/>
      <c r="B3872" s="93"/>
      <c r="C3872" s="94"/>
      <c r="D3872" s="95"/>
      <c r="E3872" s="95"/>
      <c r="F3872" s="96"/>
      <c r="G3872" s="97"/>
      <c r="H3872" s="114" t="str">
        <f t="shared" si="50"/>
        <v/>
      </c>
      <c r="I3872" s="17"/>
      <c r="J3872" s="17"/>
      <c r="K3872" s="17"/>
    </row>
    <row r="3873" spans="1:11" x14ac:dyDescent="0.2">
      <c r="A3873" s="115"/>
      <c r="B3873" s="93"/>
      <c r="C3873" s="94"/>
      <c r="D3873" s="95"/>
      <c r="E3873" s="95"/>
      <c r="F3873" s="96"/>
      <c r="G3873" s="97"/>
      <c r="H3873" s="114" t="str">
        <f t="shared" si="50"/>
        <v/>
      </c>
      <c r="I3873" s="17"/>
      <c r="J3873" s="17"/>
      <c r="K3873" s="17"/>
    </row>
    <row r="3874" spans="1:11" x14ac:dyDescent="0.2">
      <c r="A3874" s="115"/>
      <c r="B3874" s="93"/>
      <c r="C3874" s="94"/>
      <c r="D3874" s="95"/>
      <c r="E3874" s="95"/>
      <c r="F3874" s="96"/>
      <c r="G3874" s="97"/>
      <c r="H3874" s="114" t="str">
        <f t="shared" si="50"/>
        <v/>
      </c>
      <c r="I3874" s="17"/>
      <c r="J3874" s="17"/>
      <c r="K3874" s="17"/>
    </row>
    <row r="3875" spans="1:11" x14ac:dyDescent="0.2">
      <c r="A3875" s="115"/>
      <c r="B3875" s="93"/>
      <c r="C3875" s="94"/>
      <c r="D3875" s="95"/>
      <c r="E3875" s="95"/>
      <c r="F3875" s="96"/>
      <c r="G3875" s="97"/>
      <c r="H3875" s="114" t="str">
        <f t="shared" si="50"/>
        <v/>
      </c>
      <c r="I3875" s="17"/>
      <c r="J3875" s="17"/>
      <c r="K3875" s="17"/>
    </row>
    <row r="3876" spans="1:11" x14ac:dyDescent="0.2">
      <c r="A3876" s="115"/>
      <c r="B3876" s="93"/>
      <c r="C3876" s="94"/>
      <c r="D3876" s="95"/>
      <c r="E3876" s="95"/>
      <c r="F3876" s="96"/>
      <c r="G3876" s="97"/>
      <c r="H3876" s="114" t="str">
        <f t="shared" si="50"/>
        <v/>
      </c>
      <c r="I3876" s="17"/>
      <c r="J3876" s="17"/>
      <c r="K3876" s="17"/>
    </row>
    <row r="3877" spans="1:11" x14ac:dyDescent="0.2">
      <c r="A3877" s="115"/>
      <c r="B3877" s="93"/>
      <c r="C3877" s="94"/>
      <c r="D3877" s="95"/>
      <c r="E3877" s="95"/>
      <c r="F3877" s="96"/>
      <c r="G3877" s="97"/>
      <c r="H3877" s="114" t="str">
        <f t="shared" si="50"/>
        <v/>
      </c>
      <c r="I3877" s="17"/>
      <c r="J3877" s="17"/>
      <c r="K3877" s="17"/>
    </row>
    <row r="3878" spans="1:11" x14ac:dyDescent="0.2">
      <c r="A3878" s="115"/>
      <c r="B3878" s="93"/>
      <c r="C3878" s="94"/>
      <c r="D3878" s="95"/>
      <c r="E3878" s="95"/>
      <c r="F3878" s="96"/>
      <c r="G3878" s="97"/>
      <c r="H3878" s="114" t="str">
        <f t="shared" si="50"/>
        <v/>
      </c>
      <c r="I3878" s="17"/>
      <c r="J3878" s="17"/>
      <c r="K3878" s="17"/>
    </row>
    <row r="3879" spans="1:11" x14ac:dyDescent="0.2">
      <c r="A3879" s="115"/>
      <c r="B3879" s="93"/>
      <c r="C3879" s="94"/>
      <c r="D3879" s="95"/>
      <c r="E3879" s="95"/>
      <c r="F3879" s="96"/>
      <c r="G3879" s="97"/>
      <c r="H3879" s="114" t="str">
        <f t="shared" si="50"/>
        <v/>
      </c>
      <c r="I3879" s="17"/>
      <c r="J3879" s="17"/>
      <c r="K3879" s="17"/>
    </row>
    <row r="3880" spans="1:11" x14ac:dyDescent="0.2">
      <c r="A3880" s="115"/>
      <c r="B3880" s="93"/>
      <c r="C3880" s="94"/>
      <c r="D3880" s="95"/>
      <c r="E3880" s="95"/>
      <c r="F3880" s="96"/>
      <c r="G3880" s="97"/>
      <c r="H3880" s="114" t="str">
        <f t="shared" si="50"/>
        <v/>
      </c>
      <c r="I3880" s="17"/>
      <c r="J3880" s="17"/>
      <c r="K3880" s="17"/>
    </row>
    <row r="3881" spans="1:11" x14ac:dyDescent="0.2">
      <c r="A3881" s="115"/>
      <c r="B3881" s="93"/>
      <c r="C3881" s="94"/>
      <c r="D3881" s="95"/>
      <c r="E3881" s="95"/>
      <c r="F3881" s="96"/>
      <c r="G3881" s="97"/>
      <c r="H3881" s="114" t="str">
        <f t="shared" si="50"/>
        <v/>
      </c>
      <c r="I3881" s="17"/>
      <c r="J3881" s="17"/>
      <c r="K3881" s="17"/>
    </row>
    <row r="3882" spans="1:11" x14ac:dyDescent="0.2">
      <c r="A3882" s="115"/>
      <c r="B3882" s="93"/>
      <c r="C3882" s="94"/>
      <c r="D3882" s="95"/>
      <c r="E3882" s="95"/>
      <c r="F3882" s="96"/>
      <c r="G3882" s="97"/>
      <c r="H3882" s="114" t="str">
        <f t="shared" si="50"/>
        <v/>
      </c>
      <c r="I3882" s="17"/>
      <c r="J3882" s="17"/>
      <c r="K3882" s="17"/>
    </row>
    <row r="3883" spans="1:11" x14ac:dyDescent="0.2">
      <c r="A3883" s="115"/>
      <c r="B3883" s="93"/>
      <c r="C3883" s="94"/>
      <c r="D3883" s="95"/>
      <c r="E3883" s="95"/>
      <c r="F3883" s="96"/>
      <c r="G3883" s="97"/>
      <c r="H3883" s="114" t="str">
        <f t="shared" si="50"/>
        <v/>
      </c>
      <c r="I3883" s="17"/>
      <c r="J3883" s="17"/>
      <c r="K3883" s="17"/>
    </row>
    <row r="3884" spans="1:11" x14ac:dyDescent="0.2">
      <c r="A3884" s="115"/>
      <c r="B3884" s="93"/>
      <c r="C3884" s="94"/>
      <c r="D3884" s="95"/>
      <c r="E3884" s="95"/>
      <c r="F3884" s="96"/>
      <c r="G3884" s="97"/>
      <c r="H3884" s="114" t="str">
        <f t="shared" si="50"/>
        <v/>
      </c>
      <c r="I3884" s="17"/>
      <c r="J3884" s="17"/>
      <c r="K3884" s="17"/>
    </row>
    <row r="3885" spans="1:11" x14ac:dyDescent="0.2">
      <c r="A3885" s="115"/>
      <c r="B3885" s="93"/>
      <c r="C3885" s="94"/>
      <c r="D3885" s="95"/>
      <c r="E3885" s="95"/>
      <c r="F3885" s="96"/>
      <c r="G3885" s="97"/>
      <c r="H3885" s="114" t="str">
        <f t="shared" si="50"/>
        <v/>
      </c>
      <c r="I3885" s="17"/>
      <c r="J3885" s="17"/>
      <c r="K3885" s="17"/>
    </row>
    <row r="3886" spans="1:11" x14ac:dyDescent="0.2">
      <c r="A3886" s="115"/>
      <c r="B3886" s="93"/>
      <c r="C3886" s="94"/>
      <c r="D3886" s="95"/>
      <c r="E3886" s="95"/>
      <c r="F3886" s="96"/>
      <c r="G3886" s="97"/>
      <c r="H3886" s="114" t="str">
        <f t="shared" si="50"/>
        <v/>
      </c>
      <c r="I3886" s="17"/>
      <c r="J3886" s="17"/>
      <c r="K3886" s="17"/>
    </row>
    <row r="3887" spans="1:11" x14ac:dyDescent="0.2">
      <c r="A3887" s="115"/>
      <c r="B3887" s="93"/>
      <c r="C3887" s="94"/>
      <c r="D3887" s="95"/>
      <c r="E3887" s="95"/>
      <c r="F3887" s="96"/>
      <c r="G3887" s="97"/>
      <c r="H3887" s="114" t="str">
        <f t="shared" si="50"/>
        <v/>
      </c>
      <c r="I3887" s="17"/>
      <c r="J3887" s="17"/>
      <c r="K3887" s="17"/>
    </row>
    <row r="3888" spans="1:11" x14ac:dyDescent="0.2">
      <c r="A3888" s="115"/>
      <c r="B3888" s="93"/>
      <c r="C3888" s="94"/>
      <c r="D3888" s="95"/>
      <c r="E3888" s="95"/>
      <c r="F3888" s="96"/>
      <c r="G3888" s="97"/>
      <c r="H3888" s="114" t="str">
        <f t="shared" si="50"/>
        <v/>
      </c>
      <c r="I3888" s="17"/>
      <c r="J3888" s="17"/>
      <c r="K3888" s="17"/>
    </row>
    <row r="3889" spans="1:11" x14ac:dyDescent="0.2">
      <c r="A3889" s="115"/>
      <c r="B3889" s="93"/>
      <c r="C3889" s="94"/>
      <c r="D3889" s="95"/>
      <c r="E3889" s="95"/>
      <c r="F3889" s="96"/>
      <c r="G3889" s="97"/>
      <c r="H3889" s="114" t="str">
        <f t="shared" si="50"/>
        <v/>
      </c>
      <c r="I3889" s="17"/>
      <c r="J3889" s="17"/>
      <c r="K3889" s="17"/>
    </row>
    <row r="3890" spans="1:11" x14ac:dyDescent="0.2">
      <c r="A3890" s="115"/>
      <c r="B3890" s="93"/>
      <c r="C3890" s="94"/>
      <c r="D3890" s="95"/>
      <c r="E3890" s="95"/>
      <c r="F3890" s="96"/>
      <c r="G3890" s="97"/>
      <c r="H3890" s="114" t="str">
        <f t="shared" si="50"/>
        <v/>
      </c>
      <c r="I3890" s="17"/>
      <c r="J3890" s="17"/>
      <c r="K3890" s="17"/>
    </row>
    <row r="3891" spans="1:11" x14ac:dyDescent="0.2">
      <c r="A3891" s="115"/>
      <c r="B3891" s="93"/>
      <c r="C3891" s="94"/>
      <c r="D3891" s="95"/>
      <c r="E3891" s="95"/>
      <c r="F3891" s="96"/>
      <c r="G3891" s="97"/>
      <c r="H3891" s="114" t="str">
        <f t="shared" si="50"/>
        <v/>
      </c>
      <c r="I3891" s="17"/>
      <c r="J3891" s="17"/>
      <c r="K3891" s="17"/>
    </row>
    <row r="3892" spans="1:11" x14ac:dyDescent="0.2">
      <c r="A3892" s="115"/>
      <c r="B3892" s="93"/>
      <c r="C3892" s="94"/>
      <c r="D3892" s="95"/>
      <c r="E3892" s="95"/>
      <c r="F3892" s="96"/>
      <c r="G3892" s="97"/>
      <c r="H3892" s="114" t="str">
        <f t="shared" si="50"/>
        <v/>
      </c>
      <c r="I3892" s="17"/>
      <c r="J3892" s="17"/>
      <c r="K3892" s="17"/>
    </row>
    <row r="3893" spans="1:11" x14ac:dyDescent="0.2">
      <c r="A3893" s="115"/>
      <c r="B3893" s="93"/>
      <c r="C3893" s="94"/>
      <c r="D3893" s="95"/>
      <c r="E3893" s="95"/>
      <c r="F3893" s="96"/>
      <c r="G3893" s="97"/>
      <c r="H3893" s="114" t="str">
        <f t="shared" si="50"/>
        <v/>
      </c>
      <c r="I3893" s="17"/>
      <c r="J3893" s="17"/>
      <c r="K3893" s="17"/>
    </row>
    <row r="3894" spans="1:11" x14ac:dyDescent="0.2">
      <c r="A3894" s="115"/>
      <c r="B3894" s="93"/>
      <c r="C3894" s="94"/>
      <c r="D3894" s="95"/>
      <c r="E3894" s="95"/>
      <c r="F3894" s="96"/>
      <c r="G3894" s="97"/>
      <c r="H3894" s="114" t="str">
        <f t="shared" si="50"/>
        <v/>
      </c>
      <c r="I3894" s="17"/>
      <c r="J3894" s="17"/>
      <c r="K3894" s="17"/>
    </row>
    <row r="3895" spans="1:11" x14ac:dyDescent="0.2">
      <c r="A3895" s="115"/>
      <c r="B3895" s="93"/>
      <c r="C3895" s="94"/>
      <c r="D3895" s="95"/>
      <c r="E3895" s="95"/>
      <c r="F3895" s="96"/>
      <c r="G3895" s="97"/>
      <c r="H3895" s="114" t="str">
        <f t="shared" si="50"/>
        <v/>
      </c>
      <c r="I3895" s="17"/>
      <c r="J3895" s="17"/>
      <c r="K3895" s="17"/>
    </row>
    <row r="3896" spans="1:11" x14ac:dyDescent="0.2">
      <c r="A3896" s="115"/>
      <c r="B3896" s="93"/>
      <c r="C3896" s="94"/>
      <c r="D3896" s="95"/>
      <c r="E3896" s="95"/>
      <c r="F3896" s="96"/>
      <c r="G3896" s="97"/>
      <c r="H3896" s="114" t="str">
        <f t="shared" si="50"/>
        <v/>
      </c>
      <c r="I3896" s="17"/>
      <c r="J3896" s="17"/>
      <c r="K3896" s="17"/>
    </row>
    <row r="3897" spans="1:11" x14ac:dyDescent="0.2">
      <c r="A3897" s="115"/>
      <c r="B3897" s="93"/>
      <c r="C3897" s="94"/>
      <c r="D3897" s="95"/>
      <c r="E3897" s="95"/>
      <c r="F3897" s="96"/>
      <c r="G3897" s="97"/>
      <c r="H3897" s="114" t="str">
        <f t="shared" si="50"/>
        <v/>
      </c>
      <c r="I3897" s="17"/>
      <c r="J3897" s="17"/>
      <c r="K3897" s="17"/>
    </row>
    <row r="3898" spans="1:11" x14ac:dyDescent="0.2">
      <c r="A3898" s="115"/>
      <c r="B3898" s="93"/>
      <c r="C3898" s="94"/>
      <c r="D3898" s="95"/>
      <c r="E3898" s="95"/>
      <c r="F3898" s="96"/>
      <c r="G3898" s="97"/>
      <c r="H3898" s="114" t="str">
        <f t="shared" si="50"/>
        <v/>
      </c>
      <c r="I3898" s="17"/>
      <c r="J3898" s="17"/>
      <c r="K3898" s="17"/>
    </row>
    <row r="3899" spans="1:11" x14ac:dyDescent="0.2">
      <c r="A3899" s="115"/>
      <c r="B3899" s="93"/>
      <c r="C3899" s="94"/>
      <c r="D3899" s="95"/>
      <c r="E3899" s="95"/>
      <c r="F3899" s="96"/>
      <c r="G3899" s="97"/>
      <c r="H3899" s="114" t="str">
        <f t="shared" si="50"/>
        <v/>
      </c>
      <c r="I3899" s="17"/>
      <c r="J3899" s="17"/>
      <c r="K3899" s="17"/>
    </row>
    <row r="3900" spans="1:11" x14ac:dyDescent="0.2">
      <c r="A3900" s="115"/>
      <c r="B3900" s="93"/>
      <c r="C3900" s="94"/>
      <c r="D3900" s="95"/>
      <c r="E3900" s="95"/>
      <c r="F3900" s="96"/>
      <c r="G3900" s="97"/>
      <c r="H3900" s="114" t="str">
        <f t="shared" si="50"/>
        <v/>
      </c>
      <c r="I3900" s="17"/>
      <c r="J3900" s="17"/>
      <c r="K3900" s="17"/>
    </row>
    <row r="3901" spans="1:11" x14ac:dyDescent="0.2">
      <c r="A3901" s="115"/>
      <c r="B3901" s="93"/>
      <c r="C3901" s="94"/>
      <c r="D3901" s="95"/>
      <c r="E3901" s="95"/>
      <c r="F3901" s="96"/>
      <c r="G3901" s="97"/>
      <c r="H3901" s="114" t="str">
        <f t="shared" si="50"/>
        <v/>
      </c>
      <c r="I3901" s="17"/>
      <c r="J3901" s="17"/>
      <c r="K3901" s="17"/>
    </row>
    <row r="3902" spans="1:11" x14ac:dyDescent="0.2">
      <c r="A3902" s="115"/>
      <c r="B3902" s="93"/>
      <c r="C3902" s="94"/>
      <c r="D3902" s="95"/>
      <c r="E3902" s="95"/>
      <c r="F3902" s="96"/>
      <c r="G3902" s="97"/>
      <c r="H3902" s="114" t="str">
        <f t="shared" si="50"/>
        <v/>
      </c>
      <c r="I3902" s="17"/>
      <c r="J3902" s="17"/>
      <c r="K3902" s="17"/>
    </row>
    <row r="3903" spans="1:11" x14ac:dyDescent="0.2">
      <c r="A3903" s="115"/>
      <c r="B3903" s="93"/>
      <c r="C3903" s="94"/>
      <c r="D3903" s="95"/>
      <c r="E3903" s="95"/>
      <c r="F3903" s="96"/>
      <c r="G3903" s="97"/>
      <c r="H3903" s="114" t="str">
        <f t="shared" si="50"/>
        <v/>
      </c>
      <c r="I3903" s="17"/>
      <c r="J3903" s="17"/>
      <c r="K3903" s="17"/>
    </row>
    <row r="3904" spans="1:11" x14ac:dyDescent="0.2">
      <c r="A3904" s="115"/>
      <c r="B3904" s="93"/>
      <c r="C3904" s="94"/>
      <c r="D3904" s="95"/>
      <c r="E3904" s="95"/>
      <c r="F3904" s="96"/>
      <c r="G3904" s="97"/>
      <c r="H3904" s="114" t="str">
        <f t="shared" si="50"/>
        <v/>
      </c>
      <c r="I3904" s="17"/>
      <c r="J3904" s="17"/>
      <c r="K3904" s="17"/>
    </row>
    <row r="3905" spans="1:11" x14ac:dyDescent="0.2">
      <c r="A3905" s="115"/>
      <c r="B3905" s="93"/>
      <c r="C3905" s="94"/>
      <c r="D3905" s="95"/>
      <c r="E3905" s="95"/>
      <c r="F3905" s="96"/>
      <c r="G3905" s="97"/>
      <c r="H3905" s="114" t="str">
        <f t="shared" si="50"/>
        <v/>
      </c>
      <c r="I3905" s="17"/>
      <c r="J3905" s="17"/>
      <c r="K3905" s="17"/>
    </row>
    <row r="3906" spans="1:11" x14ac:dyDescent="0.2">
      <c r="A3906" s="115"/>
      <c r="B3906" s="93"/>
      <c r="C3906" s="94"/>
      <c r="D3906" s="95"/>
      <c r="E3906" s="95"/>
      <c r="F3906" s="96"/>
      <c r="G3906" s="97"/>
      <c r="H3906" s="114" t="str">
        <f t="shared" si="50"/>
        <v/>
      </c>
      <c r="I3906" s="17"/>
      <c r="J3906" s="17"/>
      <c r="K3906" s="17"/>
    </row>
    <row r="3907" spans="1:11" x14ac:dyDescent="0.2">
      <c r="A3907" s="115"/>
      <c r="B3907" s="93"/>
      <c r="C3907" s="94"/>
      <c r="D3907" s="95"/>
      <c r="E3907" s="95"/>
      <c r="F3907" s="96"/>
      <c r="G3907" s="97"/>
      <c r="H3907" s="114" t="str">
        <f t="shared" si="50"/>
        <v/>
      </c>
      <c r="I3907" s="17"/>
      <c r="J3907" s="17"/>
      <c r="K3907" s="17"/>
    </row>
    <row r="3908" spans="1:11" x14ac:dyDescent="0.2">
      <c r="A3908" s="115"/>
      <c r="B3908" s="93"/>
      <c r="C3908" s="94"/>
      <c r="D3908" s="95"/>
      <c r="E3908" s="95"/>
      <c r="F3908" s="96"/>
      <c r="G3908" s="97"/>
      <c r="H3908" s="114" t="str">
        <f t="shared" ref="H3908:H3971" si="51">IF(A3908&lt;&gt;"", EOMONTH(A3908, -1) + 1, "")</f>
        <v/>
      </c>
      <c r="I3908" s="17"/>
      <c r="J3908" s="17"/>
      <c r="K3908" s="17"/>
    </row>
    <row r="3909" spans="1:11" x14ac:dyDescent="0.2">
      <c r="A3909" s="115"/>
      <c r="B3909" s="93"/>
      <c r="C3909" s="94"/>
      <c r="D3909" s="95"/>
      <c r="E3909" s="95"/>
      <c r="F3909" s="96"/>
      <c r="G3909" s="97"/>
      <c r="H3909" s="114" t="str">
        <f t="shared" si="51"/>
        <v/>
      </c>
      <c r="I3909" s="17"/>
      <c r="J3909" s="17"/>
      <c r="K3909" s="17"/>
    </row>
    <row r="3910" spans="1:11" x14ac:dyDescent="0.2">
      <c r="A3910" s="115"/>
      <c r="B3910" s="93"/>
      <c r="C3910" s="94"/>
      <c r="D3910" s="95"/>
      <c r="E3910" s="95"/>
      <c r="F3910" s="96"/>
      <c r="G3910" s="97"/>
      <c r="H3910" s="114" t="str">
        <f t="shared" si="51"/>
        <v/>
      </c>
      <c r="I3910" s="17"/>
      <c r="J3910" s="17"/>
      <c r="K3910" s="17"/>
    </row>
    <row r="3911" spans="1:11" x14ac:dyDescent="0.2">
      <c r="A3911" s="115"/>
      <c r="B3911" s="93"/>
      <c r="C3911" s="94"/>
      <c r="D3911" s="95"/>
      <c r="E3911" s="95"/>
      <c r="F3911" s="96"/>
      <c r="G3911" s="97"/>
      <c r="H3911" s="114" t="str">
        <f t="shared" si="51"/>
        <v/>
      </c>
      <c r="I3911" s="17"/>
      <c r="J3911" s="17"/>
      <c r="K3911" s="17"/>
    </row>
    <row r="3912" spans="1:11" x14ac:dyDescent="0.2">
      <c r="A3912" s="115"/>
      <c r="B3912" s="93"/>
      <c r="C3912" s="94"/>
      <c r="D3912" s="95"/>
      <c r="E3912" s="95"/>
      <c r="F3912" s="96"/>
      <c r="G3912" s="97"/>
      <c r="H3912" s="114" t="str">
        <f t="shared" si="51"/>
        <v/>
      </c>
      <c r="I3912" s="17"/>
      <c r="J3912" s="17"/>
      <c r="K3912" s="17"/>
    </row>
    <row r="3913" spans="1:11" x14ac:dyDescent="0.2">
      <c r="A3913" s="115"/>
      <c r="B3913" s="93"/>
      <c r="C3913" s="94"/>
      <c r="D3913" s="95"/>
      <c r="E3913" s="95"/>
      <c r="F3913" s="96"/>
      <c r="G3913" s="97"/>
      <c r="H3913" s="114" t="str">
        <f t="shared" si="51"/>
        <v/>
      </c>
      <c r="I3913" s="17"/>
      <c r="J3913" s="17"/>
      <c r="K3913" s="17"/>
    </row>
    <row r="3914" spans="1:11" x14ac:dyDescent="0.2">
      <c r="A3914" s="115"/>
      <c r="B3914" s="93"/>
      <c r="C3914" s="94"/>
      <c r="D3914" s="95"/>
      <c r="E3914" s="95"/>
      <c r="F3914" s="96"/>
      <c r="G3914" s="97"/>
      <c r="H3914" s="114" t="str">
        <f t="shared" si="51"/>
        <v/>
      </c>
      <c r="I3914" s="17"/>
      <c r="J3914" s="17"/>
      <c r="K3914" s="17"/>
    </row>
    <row r="3915" spans="1:11" x14ac:dyDescent="0.2">
      <c r="A3915" s="115"/>
      <c r="B3915" s="93"/>
      <c r="C3915" s="94"/>
      <c r="D3915" s="95"/>
      <c r="E3915" s="95"/>
      <c r="F3915" s="96"/>
      <c r="G3915" s="97"/>
      <c r="H3915" s="114" t="str">
        <f t="shared" si="51"/>
        <v/>
      </c>
      <c r="I3915" s="17"/>
      <c r="J3915" s="17"/>
      <c r="K3915" s="17"/>
    </row>
    <row r="3916" spans="1:11" x14ac:dyDescent="0.2">
      <c r="A3916" s="115"/>
      <c r="B3916" s="93"/>
      <c r="C3916" s="94"/>
      <c r="D3916" s="95"/>
      <c r="E3916" s="95"/>
      <c r="F3916" s="96"/>
      <c r="G3916" s="97"/>
      <c r="H3916" s="114" t="str">
        <f t="shared" si="51"/>
        <v/>
      </c>
      <c r="I3916" s="17"/>
      <c r="J3916" s="17"/>
      <c r="K3916" s="17"/>
    </row>
    <row r="3917" spans="1:11" x14ac:dyDescent="0.2">
      <c r="A3917" s="115"/>
      <c r="B3917" s="93"/>
      <c r="C3917" s="94"/>
      <c r="D3917" s="95"/>
      <c r="E3917" s="95"/>
      <c r="F3917" s="96"/>
      <c r="G3917" s="97"/>
      <c r="H3917" s="114" t="str">
        <f t="shared" si="51"/>
        <v/>
      </c>
      <c r="I3917" s="17"/>
      <c r="J3917" s="17"/>
      <c r="K3917" s="17"/>
    </row>
    <row r="3918" spans="1:11" x14ac:dyDescent="0.2">
      <c r="A3918" s="115"/>
      <c r="B3918" s="93"/>
      <c r="C3918" s="94"/>
      <c r="D3918" s="95"/>
      <c r="E3918" s="95"/>
      <c r="F3918" s="96"/>
      <c r="G3918" s="97"/>
      <c r="H3918" s="114" t="str">
        <f t="shared" si="51"/>
        <v/>
      </c>
      <c r="I3918" s="17"/>
      <c r="J3918" s="17"/>
      <c r="K3918" s="17"/>
    </row>
    <row r="3919" spans="1:11" x14ac:dyDescent="0.2">
      <c r="A3919" s="115"/>
      <c r="B3919" s="93"/>
      <c r="C3919" s="94"/>
      <c r="D3919" s="95"/>
      <c r="E3919" s="95"/>
      <c r="F3919" s="96"/>
      <c r="G3919" s="97"/>
      <c r="H3919" s="114" t="str">
        <f t="shared" si="51"/>
        <v/>
      </c>
      <c r="I3919" s="17"/>
      <c r="J3919" s="17"/>
      <c r="K3919" s="17"/>
    </row>
    <row r="3920" spans="1:11" x14ac:dyDescent="0.2">
      <c r="A3920" s="115"/>
      <c r="B3920" s="93"/>
      <c r="C3920" s="94"/>
      <c r="D3920" s="95"/>
      <c r="E3920" s="95"/>
      <c r="F3920" s="96"/>
      <c r="G3920" s="97"/>
      <c r="H3920" s="114" t="str">
        <f t="shared" si="51"/>
        <v/>
      </c>
      <c r="I3920" s="17"/>
      <c r="J3920" s="17"/>
      <c r="K3920" s="17"/>
    </row>
    <row r="3921" spans="1:11" x14ac:dyDescent="0.2">
      <c r="A3921" s="115"/>
      <c r="B3921" s="93"/>
      <c r="C3921" s="94"/>
      <c r="D3921" s="95"/>
      <c r="E3921" s="95"/>
      <c r="F3921" s="96"/>
      <c r="G3921" s="97"/>
      <c r="H3921" s="114" t="str">
        <f t="shared" si="51"/>
        <v/>
      </c>
      <c r="I3921" s="17"/>
      <c r="J3921" s="17"/>
      <c r="K3921" s="17"/>
    </row>
    <row r="3922" spans="1:11" x14ac:dyDescent="0.2">
      <c r="A3922" s="115"/>
      <c r="B3922" s="93"/>
      <c r="C3922" s="94"/>
      <c r="D3922" s="95"/>
      <c r="E3922" s="95"/>
      <c r="F3922" s="96"/>
      <c r="G3922" s="97"/>
      <c r="H3922" s="114" t="str">
        <f t="shared" si="51"/>
        <v/>
      </c>
      <c r="I3922" s="17"/>
      <c r="J3922" s="17"/>
      <c r="K3922" s="17"/>
    </row>
    <row r="3923" spans="1:11" x14ac:dyDescent="0.2">
      <c r="A3923" s="115"/>
      <c r="B3923" s="93"/>
      <c r="C3923" s="94"/>
      <c r="D3923" s="95"/>
      <c r="E3923" s="95"/>
      <c r="F3923" s="96"/>
      <c r="G3923" s="97"/>
      <c r="H3923" s="114" t="str">
        <f t="shared" si="51"/>
        <v/>
      </c>
      <c r="I3923" s="17"/>
      <c r="J3923" s="17"/>
      <c r="K3923" s="17"/>
    </row>
    <row r="3924" spans="1:11" x14ac:dyDescent="0.2">
      <c r="A3924" s="115"/>
      <c r="B3924" s="93"/>
      <c r="C3924" s="94"/>
      <c r="D3924" s="95"/>
      <c r="E3924" s="95"/>
      <c r="F3924" s="96"/>
      <c r="G3924" s="97"/>
      <c r="H3924" s="114" t="str">
        <f t="shared" si="51"/>
        <v/>
      </c>
      <c r="I3924" s="17"/>
      <c r="J3924" s="17"/>
      <c r="K3924" s="17"/>
    </row>
    <row r="3925" spans="1:11" x14ac:dyDescent="0.2">
      <c r="A3925" s="115"/>
      <c r="B3925" s="93"/>
      <c r="C3925" s="94"/>
      <c r="D3925" s="95"/>
      <c r="E3925" s="95"/>
      <c r="F3925" s="96"/>
      <c r="G3925" s="97"/>
      <c r="H3925" s="114" t="str">
        <f t="shared" si="51"/>
        <v/>
      </c>
      <c r="I3925" s="17"/>
      <c r="J3925" s="17"/>
      <c r="K3925" s="17"/>
    </row>
    <row r="3926" spans="1:11" x14ac:dyDescent="0.2">
      <c r="A3926" s="115"/>
      <c r="B3926" s="93"/>
      <c r="C3926" s="94"/>
      <c r="D3926" s="95"/>
      <c r="E3926" s="95"/>
      <c r="F3926" s="96"/>
      <c r="G3926" s="97"/>
      <c r="H3926" s="114" t="str">
        <f t="shared" si="51"/>
        <v/>
      </c>
      <c r="I3926" s="17"/>
      <c r="J3926" s="17"/>
      <c r="K3926" s="17"/>
    </row>
    <row r="3927" spans="1:11" x14ac:dyDescent="0.2">
      <c r="A3927" s="115"/>
      <c r="B3927" s="93"/>
      <c r="C3927" s="94"/>
      <c r="D3927" s="95"/>
      <c r="E3927" s="95"/>
      <c r="F3927" s="96"/>
      <c r="G3927" s="97"/>
      <c r="H3927" s="114" t="str">
        <f t="shared" si="51"/>
        <v/>
      </c>
      <c r="I3927" s="17"/>
      <c r="J3927" s="17"/>
      <c r="K3927" s="17"/>
    </row>
    <row r="3928" spans="1:11" x14ac:dyDescent="0.2">
      <c r="A3928" s="115"/>
      <c r="B3928" s="93"/>
      <c r="C3928" s="94"/>
      <c r="D3928" s="95"/>
      <c r="E3928" s="95"/>
      <c r="F3928" s="96"/>
      <c r="G3928" s="97"/>
      <c r="H3928" s="114" t="str">
        <f t="shared" si="51"/>
        <v/>
      </c>
      <c r="I3928" s="17"/>
      <c r="J3928" s="17"/>
      <c r="K3928" s="17"/>
    </row>
    <row r="3929" spans="1:11" x14ac:dyDescent="0.2">
      <c r="A3929" s="115"/>
      <c r="B3929" s="93"/>
      <c r="C3929" s="94"/>
      <c r="D3929" s="95"/>
      <c r="E3929" s="95"/>
      <c r="F3929" s="96"/>
      <c r="G3929" s="97"/>
      <c r="H3929" s="114" t="str">
        <f t="shared" si="51"/>
        <v/>
      </c>
      <c r="I3929" s="17"/>
      <c r="J3929" s="17"/>
      <c r="K3929" s="17"/>
    </row>
    <row r="3930" spans="1:11" x14ac:dyDescent="0.2">
      <c r="A3930" s="115"/>
      <c r="B3930" s="93"/>
      <c r="C3930" s="94"/>
      <c r="D3930" s="95"/>
      <c r="E3930" s="95"/>
      <c r="F3930" s="96"/>
      <c r="G3930" s="97"/>
      <c r="H3930" s="114" t="str">
        <f t="shared" si="51"/>
        <v/>
      </c>
      <c r="I3930" s="17"/>
      <c r="J3930" s="17"/>
      <c r="K3930" s="17"/>
    </row>
    <row r="3931" spans="1:11" x14ac:dyDescent="0.2">
      <c r="A3931" s="115"/>
      <c r="B3931" s="93"/>
      <c r="C3931" s="94"/>
      <c r="D3931" s="95"/>
      <c r="E3931" s="95"/>
      <c r="F3931" s="96"/>
      <c r="G3931" s="97"/>
      <c r="H3931" s="114" t="str">
        <f t="shared" si="51"/>
        <v/>
      </c>
      <c r="I3931" s="17"/>
      <c r="J3931" s="17"/>
      <c r="K3931" s="17"/>
    </row>
    <row r="3932" spans="1:11" x14ac:dyDescent="0.2">
      <c r="A3932" s="115"/>
      <c r="B3932" s="93"/>
      <c r="C3932" s="94"/>
      <c r="D3932" s="95"/>
      <c r="E3932" s="95"/>
      <c r="F3932" s="96"/>
      <c r="G3932" s="97"/>
      <c r="H3932" s="114" t="str">
        <f t="shared" si="51"/>
        <v/>
      </c>
      <c r="I3932" s="17"/>
      <c r="J3932" s="17"/>
      <c r="K3932" s="17"/>
    </row>
    <row r="3933" spans="1:11" x14ac:dyDescent="0.2">
      <c r="A3933" s="115"/>
      <c r="B3933" s="93"/>
      <c r="C3933" s="94"/>
      <c r="D3933" s="95"/>
      <c r="E3933" s="95"/>
      <c r="F3933" s="96"/>
      <c r="G3933" s="97"/>
      <c r="H3933" s="114" t="str">
        <f t="shared" si="51"/>
        <v/>
      </c>
      <c r="I3933" s="17"/>
      <c r="J3933" s="17"/>
      <c r="K3933" s="17"/>
    </row>
    <row r="3934" spans="1:11" x14ac:dyDescent="0.2">
      <c r="A3934" s="115"/>
      <c r="B3934" s="93"/>
      <c r="C3934" s="94"/>
      <c r="D3934" s="95"/>
      <c r="E3934" s="95"/>
      <c r="F3934" s="96"/>
      <c r="G3934" s="97"/>
      <c r="H3934" s="114" t="str">
        <f t="shared" si="51"/>
        <v/>
      </c>
      <c r="I3934" s="17"/>
      <c r="J3934" s="17"/>
      <c r="K3934" s="17"/>
    </row>
    <row r="3935" spans="1:11" x14ac:dyDescent="0.2">
      <c r="A3935" s="115"/>
      <c r="B3935" s="93"/>
      <c r="C3935" s="94"/>
      <c r="D3935" s="95"/>
      <c r="E3935" s="95"/>
      <c r="F3935" s="96"/>
      <c r="G3935" s="97"/>
      <c r="H3935" s="114" t="str">
        <f t="shared" si="51"/>
        <v/>
      </c>
      <c r="I3935" s="17"/>
      <c r="J3935" s="17"/>
      <c r="K3935" s="17"/>
    </row>
    <row r="3936" spans="1:11" x14ac:dyDescent="0.2">
      <c r="A3936" s="115"/>
      <c r="B3936" s="93"/>
      <c r="C3936" s="94"/>
      <c r="D3936" s="95"/>
      <c r="E3936" s="95"/>
      <c r="F3936" s="96"/>
      <c r="G3936" s="97"/>
      <c r="H3936" s="114" t="str">
        <f t="shared" si="51"/>
        <v/>
      </c>
      <c r="I3936" s="17"/>
      <c r="J3936" s="17"/>
      <c r="K3936" s="17"/>
    </row>
    <row r="3937" spans="1:11" x14ac:dyDescent="0.2">
      <c r="A3937" s="115"/>
      <c r="B3937" s="93"/>
      <c r="C3937" s="94"/>
      <c r="D3937" s="95"/>
      <c r="E3937" s="95"/>
      <c r="F3937" s="96"/>
      <c r="G3937" s="97"/>
      <c r="H3937" s="114" t="str">
        <f t="shared" si="51"/>
        <v/>
      </c>
      <c r="I3937" s="17"/>
      <c r="J3937" s="17"/>
      <c r="K3937" s="17"/>
    </row>
    <row r="3938" spans="1:11" x14ac:dyDescent="0.2">
      <c r="A3938" s="115"/>
      <c r="B3938" s="93"/>
      <c r="C3938" s="94"/>
      <c r="D3938" s="95"/>
      <c r="E3938" s="95"/>
      <c r="F3938" s="96"/>
      <c r="G3938" s="97"/>
      <c r="H3938" s="114" t="str">
        <f t="shared" si="51"/>
        <v/>
      </c>
      <c r="I3938" s="17"/>
      <c r="J3938" s="17"/>
      <c r="K3938" s="17"/>
    </row>
    <row r="3939" spans="1:11" x14ac:dyDescent="0.2">
      <c r="A3939" s="115"/>
      <c r="B3939" s="93"/>
      <c r="C3939" s="94"/>
      <c r="D3939" s="95"/>
      <c r="E3939" s="95"/>
      <c r="F3939" s="96"/>
      <c r="G3939" s="97"/>
      <c r="H3939" s="114" t="str">
        <f t="shared" si="51"/>
        <v/>
      </c>
      <c r="I3939" s="17"/>
      <c r="J3939" s="17"/>
      <c r="K3939" s="17"/>
    </row>
    <row r="3940" spans="1:11" x14ac:dyDescent="0.2">
      <c r="A3940" s="115"/>
      <c r="B3940" s="93"/>
      <c r="C3940" s="94"/>
      <c r="D3940" s="95"/>
      <c r="E3940" s="95"/>
      <c r="F3940" s="96"/>
      <c r="G3940" s="97"/>
      <c r="H3940" s="114" t="str">
        <f t="shared" si="51"/>
        <v/>
      </c>
      <c r="I3940" s="17"/>
      <c r="J3940" s="17"/>
      <c r="K3940" s="17"/>
    </row>
    <row r="3941" spans="1:11" x14ac:dyDescent="0.2">
      <c r="A3941" s="115"/>
      <c r="B3941" s="93"/>
      <c r="C3941" s="94"/>
      <c r="D3941" s="95"/>
      <c r="E3941" s="95"/>
      <c r="F3941" s="96"/>
      <c r="G3941" s="97"/>
      <c r="H3941" s="114" t="str">
        <f t="shared" si="51"/>
        <v/>
      </c>
      <c r="I3941" s="17"/>
      <c r="J3941" s="17"/>
      <c r="K3941" s="17"/>
    </row>
    <row r="3942" spans="1:11" x14ac:dyDescent="0.2">
      <c r="A3942" s="115"/>
      <c r="B3942" s="93"/>
      <c r="C3942" s="94"/>
      <c r="D3942" s="95"/>
      <c r="E3942" s="95"/>
      <c r="F3942" s="96"/>
      <c r="G3942" s="97"/>
      <c r="H3942" s="114" t="str">
        <f t="shared" si="51"/>
        <v/>
      </c>
      <c r="I3942" s="17"/>
      <c r="J3942" s="17"/>
      <c r="K3942" s="17"/>
    </row>
    <row r="3943" spans="1:11" x14ac:dyDescent="0.2">
      <c r="A3943" s="115"/>
      <c r="B3943" s="93"/>
      <c r="C3943" s="94"/>
      <c r="D3943" s="95"/>
      <c r="E3943" s="95"/>
      <c r="F3943" s="96"/>
      <c r="G3943" s="97"/>
      <c r="H3943" s="114" t="str">
        <f t="shared" si="51"/>
        <v/>
      </c>
      <c r="I3943" s="17"/>
      <c r="J3943" s="17"/>
      <c r="K3943" s="17"/>
    </row>
    <row r="3944" spans="1:11" x14ac:dyDescent="0.2">
      <c r="A3944" s="115"/>
      <c r="B3944" s="93"/>
      <c r="C3944" s="94"/>
      <c r="D3944" s="95"/>
      <c r="E3944" s="95"/>
      <c r="F3944" s="96"/>
      <c r="G3944" s="97"/>
      <c r="H3944" s="114" t="str">
        <f t="shared" si="51"/>
        <v/>
      </c>
      <c r="I3944" s="17"/>
      <c r="J3944" s="17"/>
      <c r="K3944" s="17"/>
    </row>
    <row r="3945" spans="1:11" x14ac:dyDescent="0.2">
      <c r="A3945" s="115"/>
      <c r="B3945" s="93"/>
      <c r="C3945" s="94"/>
      <c r="D3945" s="95"/>
      <c r="E3945" s="95"/>
      <c r="F3945" s="96"/>
      <c r="G3945" s="97"/>
      <c r="H3945" s="114" t="str">
        <f t="shared" si="51"/>
        <v/>
      </c>
      <c r="I3945" s="17"/>
      <c r="J3945" s="17"/>
      <c r="K3945" s="17"/>
    </row>
    <row r="3946" spans="1:11" x14ac:dyDescent="0.2">
      <c r="A3946" s="115"/>
      <c r="B3946" s="93"/>
      <c r="C3946" s="94"/>
      <c r="D3946" s="95"/>
      <c r="E3946" s="95"/>
      <c r="F3946" s="96"/>
      <c r="G3946" s="97"/>
      <c r="H3946" s="114" t="str">
        <f t="shared" si="51"/>
        <v/>
      </c>
      <c r="I3946" s="17"/>
      <c r="J3946" s="17"/>
      <c r="K3946" s="17"/>
    </row>
    <row r="3947" spans="1:11" x14ac:dyDescent="0.2">
      <c r="A3947" s="115"/>
      <c r="B3947" s="93"/>
      <c r="C3947" s="94"/>
      <c r="D3947" s="95"/>
      <c r="E3947" s="95"/>
      <c r="F3947" s="96"/>
      <c r="G3947" s="97"/>
      <c r="H3947" s="114" t="str">
        <f t="shared" si="51"/>
        <v/>
      </c>
      <c r="I3947" s="17"/>
      <c r="J3947" s="17"/>
      <c r="K3947" s="17"/>
    </row>
    <row r="3948" spans="1:11" x14ac:dyDescent="0.2">
      <c r="A3948" s="115"/>
      <c r="B3948" s="93"/>
      <c r="C3948" s="94"/>
      <c r="D3948" s="95"/>
      <c r="E3948" s="95"/>
      <c r="F3948" s="96"/>
      <c r="G3948" s="97"/>
      <c r="H3948" s="114" t="str">
        <f t="shared" si="51"/>
        <v/>
      </c>
      <c r="I3948" s="17"/>
      <c r="J3948" s="17"/>
      <c r="K3948" s="17"/>
    </row>
    <row r="3949" spans="1:11" x14ac:dyDescent="0.2">
      <c r="A3949" s="115"/>
      <c r="B3949" s="93"/>
      <c r="C3949" s="94"/>
      <c r="D3949" s="95"/>
      <c r="E3949" s="95"/>
      <c r="F3949" s="96"/>
      <c r="G3949" s="97"/>
      <c r="H3949" s="114" t="str">
        <f t="shared" si="51"/>
        <v/>
      </c>
      <c r="I3949" s="17"/>
      <c r="J3949" s="17"/>
      <c r="K3949" s="17"/>
    </row>
    <row r="3950" spans="1:11" x14ac:dyDescent="0.2">
      <c r="A3950" s="115"/>
      <c r="B3950" s="93"/>
      <c r="C3950" s="94"/>
      <c r="D3950" s="95"/>
      <c r="E3950" s="95"/>
      <c r="F3950" s="96"/>
      <c r="G3950" s="97"/>
      <c r="H3950" s="114" t="str">
        <f t="shared" si="51"/>
        <v/>
      </c>
      <c r="I3950" s="17"/>
      <c r="J3950" s="17"/>
      <c r="K3950" s="17"/>
    </row>
    <row r="3951" spans="1:11" x14ac:dyDescent="0.2">
      <c r="A3951" s="115"/>
      <c r="B3951" s="93"/>
      <c r="C3951" s="94"/>
      <c r="D3951" s="95"/>
      <c r="E3951" s="95"/>
      <c r="F3951" s="96"/>
      <c r="G3951" s="97"/>
      <c r="H3951" s="114" t="str">
        <f t="shared" si="51"/>
        <v/>
      </c>
      <c r="I3951" s="17"/>
      <c r="J3951" s="17"/>
      <c r="K3951" s="17"/>
    </row>
    <row r="3952" spans="1:11" x14ac:dyDescent="0.2">
      <c r="A3952" s="115"/>
      <c r="B3952" s="93"/>
      <c r="C3952" s="94"/>
      <c r="D3952" s="95"/>
      <c r="E3952" s="95"/>
      <c r="F3952" s="96"/>
      <c r="G3952" s="97"/>
      <c r="H3952" s="114" t="str">
        <f t="shared" si="51"/>
        <v/>
      </c>
      <c r="I3952" s="17"/>
      <c r="J3952" s="17"/>
      <c r="K3952" s="17"/>
    </row>
    <row r="3953" spans="1:11" x14ac:dyDescent="0.2">
      <c r="A3953" s="115"/>
      <c r="B3953" s="93"/>
      <c r="C3953" s="94"/>
      <c r="D3953" s="95"/>
      <c r="E3953" s="95"/>
      <c r="F3953" s="96"/>
      <c r="G3953" s="97"/>
      <c r="H3953" s="114" t="str">
        <f t="shared" si="51"/>
        <v/>
      </c>
      <c r="I3953" s="17"/>
      <c r="J3953" s="17"/>
      <c r="K3953" s="17"/>
    </row>
    <row r="3954" spans="1:11" x14ac:dyDescent="0.2">
      <c r="A3954" s="115"/>
      <c r="B3954" s="93"/>
      <c r="C3954" s="94"/>
      <c r="D3954" s="95"/>
      <c r="E3954" s="95"/>
      <c r="F3954" s="96"/>
      <c r="G3954" s="97"/>
      <c r="H3954" s="114" t="str">
        <f t="shared" si="51"/>
        <v/>
      </c>
      <c r="I3954" s="17"/>
      <c r="J3954" s="17"/>
      <c r="K3954" s="17"/>
    </row>
    <row r="3955" spans="1:11" x14ac:dyDescent="0.2">
      <c r="A3955" s="115"/>
      <c r="B3955" s="93"/>
      <c r="C3955" s="94"/>
      <c r="D3955" s="95"/>
      <c r="E3955" s="95"/>
      <c r="F3955" s="96"/>
      <c r="G3955" s="97"/>
      <c r="H3955" s="114" t="str">
        <f t="shared" si="51"/>
        <v/>
      </c>
      <c r="I3955" s="17"/>
      <c r="J3955" s="17"/>
      <c r="K3955" s="17"/>
    </row>
    <row r="3956" spans="1:11" x14ac:dyDescent="0.2">
      <c r="A3956" s="115"/>
      <c r="B3956" s="93"/>
      <c r="C3956" s="94"/>
      <c r="D3956" s="95"/>
      <c r="E3956" s="95"/>
      <c r="F3956" s="96"/>
      <c r="G3956" s="97"/>
      <c r="H3956" s="114" t="str">
        <f t="shared" si="51"/>
        <v/>
      </c>
      <c r="I3956" s="17"/>
      <c r="J3956" s="17"/>
      <c r="K3956" s="17"/>
    </row>
    <row r="3957" spans="1:11" x14ac:dyDescent="0.2">
      <c r="A3957" s="115"/>
      <c r="B3957" s="93"/>
      <c r="C3957" s="94"/>
      <c r="D3957" s="95"/>
      <c r="E3957" s="95"/>
      <c r="F3957" s="96"/>
      <c r="G3957" s="97"/>
      <c r="H3957" s="114" t="str">
        <f t="shared" si="51"/>
        <v/>
      </c>
      <c r="I3957" s="17"/>
      <c r="J3957" s="17"/>
      <c r="K3957" s="17"/>
    </row>
    <row r="3958" spans="1:11" x14ac:dyDescent="0.2">
      <c r="A3958" s="115"/>
      <c r="B3958" s="93"/>
      <c r="C3958" s="94"/>
      <c r="D3958" s="95"/>
      <c r="E3958" s="95"/>
      <c r="F3958" s="96"/>
      <c r="G3958" s="97"/>
      <c r="H3958" s="114" t="str">
        <f t="shared" si="51"/>
        <v/>
      </c>
      <c r="I3958" s="17"/>
      <c r="J3958" s="17"/>
      <c r="K3958" s="17"/>
    </row>
    <row r="3959" spans="1:11" x14ac:dyDescent="0.2">
      <c r="A3959" s="115"/>
      <c r="B3959" s="93"/>
      <c r="C3959" s="94"/>
      <c r="D3959" s="95"/>
      <c r="E3959" s="95"/>
      <c r="F3959" s="96"/>
      <c r="G3959" s="97"/>
      <c r="H3959" s="114" t="str">
        <f t="shared" si="51"/>
        <v/>
      </c>
      <c r="I3959" s="17"/>
      <c r="J3959" s="17"/>
      <c r="K3959" s="17"/>
    </row>
    <row r="3960" spans="1:11" x14ac:dyDescent="0.2">
      <c r="A3960" s="115"/>
      <c r="B3960" s="93"/>
      <c r="C3960" s="94"/>
      <c r="D3960" s="95"/>
      <c r="E3960" s="95"/>
      <c r="F3960" s="96"/>
      <c r="G3960" s="97"/>
      <c r="H3960" s="114" t="str">
        <f t="shared" si="51"/>
        <v/>
      </c>
      <c r="I3960" s="17"/>
      <c r="J3960" s="17"/>
      <c r="K3960" s="17"/>
    </row>
    <row r="3961" spans="1:11" x14ac:dyDescent="0.2">
      <c r="A3961" s="115"/>
      <c r="B3961" s="93"/>
      <c r="C3961" s="94"/>
      <c r="D3961" s="95"/>
      <c r="E3961" s="95"/>
      <c r="F3961" s="96"/>
      <c r="G3961" s="97"/>
      <c r="H3961" s="114" t="str">
        <f t="shared" si="51"/>
        <v/>
      </c>
      <c r="I3961" s="17"/>
      <c r="J3961" s="17"/>
      <c r="K3961" s="17"/>
    </row>
    <row r="3962" spans="1:11" x14ac:dyDescent="0.2">
      <c r="A3962" s="115"/>
      <c r="B3962" s="93"/>
      <c r="C3962" s="94"/>
      <c r="D3962" s="95"/>
      <c r="E3962" s="95"/>
      <c r="F3962" s="96"/>
      <c r="G3962" s="97"/>
      <c r="H3962" s="114" t="str">
        <f t="shared" si="51"/>
        <v/>
      </c>
      <c r="I3962" s="17"/>
      <c r="J3962" s="17"/>
      <c r="K3962" s="17"/>
    </row>
    <row r="3963" spans="1:11" x14ac:dyDescent="0.2">
      <c r="A3963" s="115"/>
      <c r="B3963" s="93"/>
      <c r="C3963" s="94"/>
      <c r="D3963" s="95"/>
      <c r="E3963" s="95"/>
      <c r="F3963" s="96"/>
      <c r="G3963" s="97"/>
      <c r="H3963" s="114" t="str">
        <f t="shared" si="51"/>
        <v/>
      </c>
      <c r="I3963" s="17"/>
      <c r="J3963" s="17"/>
      <c r="K3963" s="17"/>
    </row>
    <row r="3964" spans="1:11" x14ac:dyDescent="0.2">
      <c r="A3964" s="115"/>
      <c r="B3964" s="93"/>
      <c r="C3964" s="94"/>
      <c r="D3964" s="95"/>
      <c r="E3964" s="95"/>
      <c r="F3964" s="96"/>
      <c r="G3964" s="97"/>
      <c r="H3964" s="114" t="str">
        <f t="shared" si="51"/>
        <v/>
      </c>
      <c r="I3964" s="17"/>
      <c r="J3964" s="17"/>
      <c r="K3964" s="17"/>
    </row>
    <row r="3965" spans="1:11" x14ac:dyDescent="0.2">
      <c r="A3965" s="115"/>
      <c r="B3965" s="93"/>
      <c r="C3965" s="94"/>
      <c r="D3965" s="95"/>
      <c r="E3965" s="95"/>
      <c r="F3965" s="96"/>
      <c r="G3965" s="97"/>
      <c r="H3965" s="114" t="str">
        <f t="shared" si="51"/>
        <v/>
      </c>
      <c r="I3965" s="17"/>
      <c r="J3965" s="17"/>
      <c r="K3965" s="17"/>
    </row>
    <row r="3966" spans="1:11" x14ac:dyDescent="0.2">
      <c r="A3966" s="115"/>
      <c r="B3966" s="93"/>
      <c r="C3966" s="94"/>
      <c r="D3966" s="95"/>
      <c r="E3966" s="95"/>
      <c r="F3966" s="96"/>
      <c r="G3966" s="97"/>
      <c r="H3966" s="114" t="str">
        <f t="shared" si="51"/>
        <v/>
      </c>
      <c r="I3966" s="17"/>
      <c r="J3966" s="17"/>
      <c r="K3966" s="17"/>
    </row>
    <row r="3967" spans="1:11" x14ac:dyDescent="0.2">
      <c r="A3967" s="115"/>
      <c r="B3967" s="93"/>
      <c r="C3967" s="94"/>
      <c r="D3967" s="95"/>
      <c r="E3967" s="95"/>
      <c r="F3967" s="96"/>
      <c r="G3967" s="97"/>
      <c r="H3967" s="114" t="str">
        <f t="shared" si="51"/>
        <v/>
      </c>
      <c r="I3967" s="17"/>
      <c r="J3967" s="17"/>
      <c r="K3967" s="17"/>
    </row>
    <row r="3968" spans="1:11" x14ac:dyDescent="0.2">
      <c r="A3968" s="115"/>
      <c r="B3968" s="93"/>
      <c r="C3968" s="94"/>
      <c r="D3968" s="95"/>
      <c r="E3968" s="95"/>
      <c r="F3968" s="96"/>
      <c r="G3968" s="97"/>
      <c r="H3968" s="114" t="str">
        <f t="shared" si="51"/>
        <v/>
      </c>
      <c r="I3968" s="17"/>
      <c r="J3968" s="17"/>
      <c r="K3968" s="17"/>
    </row>
    <row r="3969" spans="1:11" x14ac:dyDescent="0.2">
      <c r="A3969" s="115"/>
      <c r="B3969" s="93"/>
      <c r="C3969" s="94"/>
      <c r="D3969" s="95"/>
      <c r="E3969" s="95"/>
      <c r="F3969" s="96"/>
      <c r="G3969" s="97"/>
      <c r="H3969" s="114" t="str">
        <f t="shared" si="51"/>
        <v/>
      </c>
      <c r="I3969" s="17"/>
      <c r="J3969" s="17"/>
      <c r="K3969" s="17"/>
    </row>
    <row r="3970" spans="1:11" x14ac:dyDescent="0.2">
      <c r="A3970" s="115"/>
      <c r="B3970" s="93"/>
      <c r="C3970" s="94"/>
      <c r="D3970" s="95"/>
      <c r="E3970" s="95"/>
      <c r="F3970" s="96"/>
      <c r="G3970" s="97"/>
      <c r="H3970" s="114" t="str">
        <f t="shared" si="51"/>
        <v/>
      </c>
      <c r="I3970" s="17"/>
      <c r="J3970" s="17"/>
      <c r="K3970" s="17"/>
    </row>
    <row r="3971" spans="1:11" x14ac:dyDescent="0.2">
      <c r="A3971" s="115"/>
      <c r="B3971" s="93"/>
      <c r="C3971" s="94"/>
      <c r="D3971" s="95"/>
      <c r="E3971" s="95"/>
      <c r="F3971" s="96"/>
      <c r="G3971" s="97"/>
      <c r="H3971" s="114" t="str">
        <f t="shared" si="51"/>
        <v/>
      </c>
      <c r="I3971" s="17"/>
      <c r="J3971" s="17"/>
      <c r="K3971" s="17"/>
    </row>
    <row r="3972" spans="1:11" x14ac:dyDescent="0.2">
      <c r="A3972" s="115"/>
      <c r="B3972" s="93"/>
      <c r="C3972" s="94"/>
      <c r="D3972" s="95"/>
      <c r="E3972" s="95"/>
      <c r="F3972" s="96"/>
      <c r="G3972" s="97"/>
      <c r="H3972" s="114" t="str">
        <f t="shared" ref="H3972:H4035" si="52">IF(A3972&lt;&gt;"", EOMONTH(A3972, -1) + 1, "")</f>
        <v/>
      </c>
      <c r="I3972" s="17"/>
      <c r="J3972" s="17"/>
      <c r="K3972" s="17"/>
    </row>
    <row r="3973" spans="1:11" x14ac:dyDescent="0.2">
      <c r="A3973" s="115"/>
      <c r="B3973" s="93"/>
      <c r="C3973" s="94"/>
      <c r="D3973" s="95"/>
      <c r="E3973" s="95"/>
      <c r="F3973" s="96"/>
      <c r="G3973" s="97"/>
      <c r="H3973" s="114" t="str">
        <f t="shared" si="52"/>
        <v/>
      </c>
      <c r="I3973" s="17"/>
      <c r="J3973" s="17"/>
      <c r="K3973" s="17"/>
    </row>
    <row r="3974" spans="1:11" x14ac:dyDescent="0.2">
      <c r="A3974" s="115"/>
      <c r="B3974" s="93"/>
      <c r="C3974" s="94"/>
      <c r="D3974" s="95"/>
      <c r="E3974" s="95"/>
      <c r="F3974" s="96"/>
      <c r="G3974" s="97"/>
      <c r="H3974" s="114" t="str">
        <f t="shared" si="52"/>
        <v/>
      </c>
      <c r="I3974" s="17"/>
      <c r="J3974" s="17"/>
      <c r="K3974" s="17"/>
    </row>
    <row r="3975" spans="1:11" x14ac:dyDescent="0.2">
      <c r="A3975" s="115"/>
      <c r="B3975" s="93"/>
      <c r="C3975" s="94"/>
      <c r="D3975" s="95"/>
      <c r="E3975" s="95"/>
      <c r="F3975" s="96"/>
      <c r="G3975" s="97"/>
      <c r="H3975" s="114" t="str">
        <f t="shared" si="52"/>
        <v/>
      </c>
      <c r="I3975" s="17"/>
      <c r="J3975" s="17"/>
      <c r="K3975" s="17"/>
    </row>
    <row r="3976" spans="1:11" x14ac:dyDescent="0.2">
      <c r="A3976" s="115"/>
      <c r="B3976" s="93"/>
      <c r="C3976" s="94"/>
      <c r="D3976" s="95"/>
      <c r="E3976" s="95"/>
      <c r="F3976" s="96"/>
      <c r="G3976" s="97"/>
      <c r="H3976" s="114" t="str">
        <f t="shared" si="52"/>
        <v/>
      </c>
      <c r="I3976" s="17"/>
      <c r="J3976" s="17"/>
      <c r="K3976" s="17"/>
    </row>
    <row r="3977" spans="1:11" x14ac:dyDescent="0.2">
      <c r="A3977" s="115"/>
      <c r="B3977" s="93"/>
      <c r="C3977" s="94"/>
      <c r="D3977" s="95"/>
      <c r="E3977" s="95"/>
      <c r="F3977" s="96"/>
      <c r="G3977" s="97"/>
      <c r="H3977" s="114" t="str">
        <f t="shared" si="52"/>
        <v/>
      </c>
      <c r="I3977" s="17"/>
      <c r="J3977" s="17"/>
      <c r="K3977" s="17"/>
    </row>
    <row r="3978" spans="1:11" x14ac:dyDescent="0.2">
      <c r="A3978" s="115"/>
      <c r="B3978" s="93"/>
      <c r="C3978" s="94"/>
      <c r="D3978" s="95"/>
      <c r="E3978" s="95"/>
      <c r="F3978" s="96"/>
      <c r="G3978" s="97"/>
      <c r="H3978" s="114" t="str">
        <f t="shared" si="52"/>
        <v/>
      </c>
      <c r="I3978" s="17"/>
      <c r="J3978" s="17"/>
      <c r="K3978" s="17"/>
    </row>
    <row r="3979" spans="1:11" x14ac:dyDescent="0.2">
      <c r="A3979" s="115"/>
      <c r="B3979" s="93"/>
      <c r="C3979" s="94"/>
      <c r="D3979" s="95"/>
      <c r="E3979" s="95"/>
      <c r="F3979" s="96"/>
      <c r="G3979" s="97"/>
      <c r="H3979" s="114" t="str">
        <f t="shared" si="52"/>
        <v/>
      </c>
      <c r="I3979" s="17"/>
      <c r="J3979" s="17"/>
      <c r="K3979" s="17"/>
    </row>
    <row r="3980" spans="1:11" x14ac:dyDescent="0.2">
      <c r="A3980" s="115"/>
      <c r="B3980" s="93"/>
      <c r="C3980" s="94"/>
      <c r="D3980" s="95"/>
      <c r="E3980" s="95"/>
      <c r="F3980" s="96"/>
      <c r="G3980" s="97"/>
      <c r="H3980" s="114" t="str">
        <f t="shared" si="52"/>
        <v/>
      </c>
      <c r="I3980" s="17"/>
      <c r="J3980" s="17"/>
      <c r="K3980" s="17"/>
    </row>
    <row r="3981" spans="1:11" x14ac:dyDescent="0.2">
      <c r="A3981" s="115"/>
      <c r="B3981" s="93"/>
      <c r="C3981" s="94"/>
      <c r="D3981" s="95"/>
      <c r="E3981" s="95"/>
      <c r="F3981" s="96"/>
      <c r="G3981" s="97"/>
      <c r="H3981" s="114" t="str">
        <f t="shared" si="52"/>
        <v/>
      </c>
      <c r="I3981" s="17"/>
      <c r="J3981" s="17"/>
      <c r="K3981" s="17"/>
    </row>
    <row r="3982" spans="1:11" x14ac:dyDescent="0.2">
      <c r="A3982" s="115"/>
      <c r="B3982" s="93"/>
      <c r="C3982" s="94"/>
      <c r="D3982" s="95"/>
      <c r="E3982" s="95"/>
      <c r="F3982" s="96"/>
      <c r="G3982" s="97"/>
      <c r="H3982" s="114" t="str">
        <f t="shared" si="52"/>
        <v/>
      </c>
      <c r="I3982" s="17"/>
      <c r="J3982" s="17"/>
      <c r="K3982" s="17"/>
    </row>
    <row r="3983" spans="1:11" x14ac:dyDescent="0.2">
      <c r="A3983" s="115"/>
      <c r="B3983" s="93"/>
      <c r="C3983" s="94"/>
      <c r="D3983" s="95"/>
      <c r="E3983" s="95"/>
      <c r="F3983" s="96"/>
      <c r="G3983" s="97"/>
      <c r="H3983" s="114" t="str">
        <f t="shared" si="52"/>
        <v/>
      </c>
      <c r="I3983" s="17"/>
      <c r="J3983" s="17"/>
      <c r="K3983" s="17"/>
    </row>
    <row r="3984" spans="1:11" x14ac:dyDescent="0.2">
      <c r="A3984" s="115"/>
      <c r="B3984" s="93"/>
      <c r="C3984" s="94"/>
      <c r="D3984" s="95"/>
      <c r="E3984" s="95"/>
      <c r="F3984" s="96"/>
      <c r="G3984" s="97"/>
      <c r="H3984" s="114" t="str">
        <f t="shared" si="52"/>
        <v/>
      </c>
      <c r="I3984" s="17"/>
      <c r="J3984" s="17"/>
      <c r="K3984" s="17"/>
    </row>
    <row r="3985" spans="1:11" x14ac:dyDescent="0.2">
      <c r="A3985" s="115"/>
      <c r="B3985" s="93"/>
      <c r="C3985" s="94"/>
      <c r="D3985" s="95"/>
      <c r="E3985" s="95"/>
      <c r="F3985" s="96"/>
      <c r="G3985" s="97"/>
      <c r="H3985" s="114" t="str">
        <f t="shared" si="52"/>
        <v/>
      </c>
      <c r="I3985" s="17"/>
      <c r="J3985" s="17"/>
      <c r="K3985" s="17"/>
    </row>
    <row r="3986" spans="1:11" x14ac:dyDescent="0.2">
      <c r="A3986" s="115"/>
      <c r="B3986" s="93"/>
      <c r="C3986" s="94"/>
      <c r="D3986" s="95"/>
      <c r="E3986" s="95"/>
      <c r="F3986" s="96"/>
      <c r="G3986" s="97"/>
      <c r="H3986" s="114" t="str">
        <f t="shared" si="52"/>
        <v/>
      </c>
      <c r="I3986" s="17"/>
      <c r="J3986" s="17"/>
      <c r="K3986" s="17"/>
    </row>
    <row r="3987" spans="1:11" x14ac:dyDescent="0.2">
      <c r="A3987" s="115"/>
      <c r="B3987" s="93"/>
      <c r="C3987" s="94"/>
      <c r="D3987" s="95"/>
      <c r="E3987" s="95"/>
      <c r="F3987" s="96"/>
      <c r="G3987" s="97"/>
      <c r="H3987" s="114" t="str">
        <f t="shared" si="52"/>
        <v/>
      </c>
      <c r="I3987" s="17"/>
      <c r="J3987" s="17"/>
      <c r="K3987" s="17"/>
    </row>
    <row r="3988" spans="1:11" x14ac:dyDescent="0.2">
      <c r="A3988" s="115"/>
      <c r="B3988" s="93"/>
      <c r="C3988" s="94"/>
      <c r="D3988" s="95"/>
      <c r="E3988" s="95"/>
      <c r="F3988" s="96"/>
      <c r="G3988" s="97"/>
      <c r="H3988" s="114" t="str">
        <f t="shared" si="52"/>
        <v/>
      </c>
      <c r="I3988" s="17"/>
      <c r="J3988" s="17"/>
      <c r="K3988" s="17"/>
    </row>
    <row r="3989" spans="1:11" x14ac:dyDescent="0.2">
      <c r="A3989" s="115"/>
      <c r="B3989" s="93"/>
      <c r="C3989" s="94"/>
      <c r="D3989" s="95"/>
      <c r="E3989" s="95"/>
      <c r="F3989" s="96"/>
      <c r="G3989" s="97"/>
      <c r="H3989" s="114" t="str">
        <f t="shared" si="52"/>
        <v/>
      </c>
      <c r="I3989" s="17"/>
      <c r="J3989" s="17"/>
      <c r="K3989" s="17"/>
    </row>
    <row r="3990" spans="1:11" x14ac:dyDescent="0.2">
      <c r="A3990" s="115"/>
      <c r="B3990" s="93"/>
      <c r="C3990" s="94"/>
      <c r="D3990" s="95"/>
      <c r="E3990" s="95"/>
      <c r="F3990" s="96"/>
      <c r="G3990" s="97"/>
      <c r="H3990" s="114" t="str">
        <f t="shared" si="52"/>
        <v/>
      </c>
      <c r="I3990" s="17"/>
      <c r="J3990" s="17"/>
      <c r="K3990" s="17"/>
    </row>
    <row r="3991" spans="1:11" x14ac:dyDescent="0.2">
      <c r="A3991" s="115"/>
      <c r="B3991" s="93"/>
      <c r="C3991" s="94"/>
      <c r="D3991" s="95"/>
      <c r="E3991" s="95"/>
      <c r="F3991" s="96"/>
      <c r="G3991" s="97"/>
      <c r="H3991" s="114" t="str">
        <f t="shared" si="52"/>
        <v/>
      </c>
      <c r="I3991" s="17"/>
      <c r="J3991" s="17"/>
      <c r="K3991" s="17"/>
    </row>
    <row r="3992" spans="1:11" x14ac:dyDescent="0.2">
      <c r="A3992" s="115"/>
      <c r="B3992" s="93"/>
      <c r="C3992" s="94"/>
      <c r="D3992" s="95"/>
      <c r="E3992" s="95"/>
      <c r="F3992" s="96"/>
      <c r="G3992" s="97"/>
      <c r="H3992" s="114" t="str">
        <f t="shared" si="52"/>
        <v/>
      </c>
      <c r="I3992" s="17"/>
      <c r="J3992" s="17"/>
      <c r="K3992" s="17"/>
    </row>
    <row r="3993" spans="1:11" x14ac:dyDescent="0.2">
      <c r="A3993" s="115"/>
      <c r="B3993" s="93"/>
      <c r="C3993" s="94"/>
      <c r="D3993" s="95"/>
      <c r="E3993" s="95"/>
      <c r="F3993" s="96"/>
      <c r="G3993" s="97"/>
      <c r="H3993" s="114" t="str">
        <f t="shared" si="52"/>
        <v/>
      </c>
      <c r="I3993" s="17"/>
      <c r="J3993" s="17"/>
      <c r="K3993" s="17"/>
    </row>
    <row r="3994" spans="1:11" x14ac:dyDescent="0.2">
      <c r="A3994" s="115"/>
      <c r="B3994" s="93"/>
      <c r="C3994" s="94"/>
      <c r="D3994" s="95"/>
      <c r="E3994" s="95"/>
      <c r="F3994" s="96"/>
      <c r="G3994" s="97"/>
      <c r="H3994" s="114" t="str">
        <f t="shared" si="52"/>
        <v/>
      </c>
      <c r="I3994" s="17"/>
      <c r="J3994" s="17"/>
      <c r="K3994" s="17"/>
    </row>
    <row r="3995" spans="1:11" x14ac:dyDescent="0.2">
      <c r="A3995" s="115"/>
      <c r="B3995" s="93"/>
      <c r="C3995" s="94"/>
      <c r="D3995" s="95"/>
      <c r="E3995" s="95"/>
      <c r="F3995" s="96"/>
      <c r="G3995" s="97"/>
      <c r="H3995" s="114" t="str">
        <f t="shared" si="52"/>
        <v/>
      </c>
      <c r="I3995" s="17"/>
      <c r="J3995" s="17"/>
      <c r="K3995" s="17"/>
    </row>
    <row r="3996" spans="1:11" x14ac:dyDescent="0.2">
      <c r="A3996" s="115"/>
      <c r="B3996" s="93"/>
      <c r="C3996" s="94"/>
      <c r="D3996" s="95"/>
      <c r="E3996" s="95"/>
      <c r="F3996" s="96"/>
      <c r="G3996" s="97"/>
      <c r="H3996" s="114" t="str">
        <f t="shared" si="52"/>
        <v/>
      </c>
      <c r="I3996" s="17"/>
      <c r="J3996" s="17"/>
      <c r="K3996" s="17"/>
    </row>
    <row r="3997" spans="1:11" x14ac:dyDescent="0.2">
      <c r="A3997" s="115"/>
      <c r="B3997" s="93"/>
      <c r="C3997" s="94"/>
      <c r="D3997" s="95"/>
      <c r="E3997" s="95"/>
      <c r="F3997" s="96"/>
      <c r="G3997" s="97"/>
      <c r="H3997" s="114" t="str">
        <f t="shared" si="52"/>
        <v/>
      </c>
      <c r="I3997" s="17"/>
      <c r="J3997" s="17"/>
      <c r="K3997" s="17"/>
    </row>
    <row r="3998" spans="1:11" x14ac:dyDescent="0.2">
      <c r="A3998" s="115"/>
      <c r="B3998" s="93"/>
      <c r="C3998" s="94"/>
      <c r="D3998" s="95"/>
      <c r="E3998" s="95"/>
      <c r="F3998" s="96"/>
      <c r="G3998" s="97"/>
      <c r="H3998" s="114" t="str">
        <f t="shared" si="52"/>
        <v/>
      </c>
      <c r="I3998" s="17"/>
      <c r="J3998" s="17"/>
      <c r="K3998" s="17"/>
    </row>
    <row r="3999" spans="1:11" x14ac:dyDescent="0.2">
      <c r="A3999" s="115"/>
      <c r="B3999" s="93"/>
      <c r="C3999" s="94"/>
      <c r="D3999" s="95"/>
      <c r="E3999" s="95"/>
      <c r="F3999" s="96"/>
      <c r="G3999" s="97"/>
      <c r="H3999" s="114" t="str">
        <f t="shared" si="52"/>
        <v/>
      </c>
      <c r="I3999" s="17"/>
      <c r="J3999" s="17"/>
      <c r="K3999" s="17"/>
    </row>
    <row r="4000" spans="1:11" x14ac:dyDescent="0.2">
      <c r="A4000" s="115"/>
      <c r="B4000" s="93"/>
      <c r="C4000" s="94"/>
      <c r="D4000" s="95"/>
      <c r="E4000" s="95"/>
      <c r="F4000" s="96"/>
      <c r="G4000" s="97"/>
      <c r="H4000" s="114" t="str">
        <f t="shared" si="52"/>
        <v/>
      </c>
      <c r="I4000" s="17"/>
      <c r="J4000" s="17"/>
      <c r="K4000" s="17"/>
    </row>
    <row r="4001" spans="1:11" x14ac:dyDescent="0.2">
      <c r="A4001" s="115"/>
      <c r="B4001" s="93"/>
      <c r="C4001" s="94"/>
      <c r="D4001" s="95"/>
      <c r="E4001" s="95"/>
      <c r="F4001" s="96"/>
      <c r="G4001" s="97"/>
      <c r="H4001" s="114" t="str">
        <f t="shared" si="52"/>
        <v/>
      </c>
      <c r="I4001" s="17"/>
      <c r="J4001" s="17"/>
      <c r="K4001" s="17"/>
    </row>
    <row r="4002" spans="1:11" x14ac:dyDescent="0.2">
      <c r="A4002" s="115"/>
      <c r="B4002" s="93"/>
      <c r="C4002" s="94"/>
      <c r="D4002" s="95"/>
      <c r="E4002" s="95"/>
      <c r="F4002" s="96"/>
      <c r="G4002" s="97"/>
      <c r="H4002" s="114" t="str">
        <f t="shared" si="52"/>
        <v/>
      </c>
      <c r="I4002" s="17"/>
      <c r="J4002" s="17"/>
      <c r="K4002" s="17"/>
    </row>
    <row r="4003" spans="1:11" x14ac:dyDescent="0.2">
      <c r="A4003" s="115"/>
      <c r="B4003" s="93"/>
      <c r="C4003" s="94"/>
      <c r="D4003" s="95"/>
      <c r="E4003" s="95"/>
      <c r="F4003" s="96"/>
      <c r="G4003" s="97"/>
      <c r="H4003" s="114" t="str">
        <f t="shared" si="52"/>
        <v/>
      </c>
      <c r="I4003" s="17"/>
      <c r="J4003" s="17"/>
      <c r="K4003" s="17"/>
    </row>
    <row r="4004" spans="1:11" x14ac:dyDescent="0.2">
      <c r="A4004" s="115"/>
      <c r="B4004" s="93"/>
      <c r="C4004" s="94"/>
      <c r="D4004" s="95"/>
      <c r="E4004" s="95"/>
      <c r="F4004" s="96"/>
      <c r="G4004" s="97"/>
      <c r="H4004" s="114" t="str">
        <f t="shared" si="52"/>
        <v/>
      </c>
      <c r="I4004" s="17"/>
      <c r="J4004" s="17"/>
      <c r="K4004" s="17"/>
    </row>
    <row r="4005" spans="1:11" x14ac:dyDescent="0.2">
      <c r="A4005" s="115"/>
      <c r="B4005" s="93"/>
      <c r="C4005" s="94"/>
      <c r="D4005" s="95"/>
      <c r="E4005" s="95"/>
      <c r="F4005" s="96"/>
      <c r="G4005" s="97"/>
      <c r="H4005" s="114" t="str">
        <f t="shared" si="52"/>
        <v/>
      </c>
      <c r="I4005" s="17"/>
      <c r="J4005" s="17"/>
      <c r="K4005" s="17"/>
    </row>
    <row r="4006" spans="1:11" x14ac:dyDescent="0.2">
      <c r="A4006" s="115"/>
      <c r="B4006" s="93"/>
      <c r="C4006" s="94"/>
      <c r="D4006" s="95"/>
      <c r="E4006" s="95"/>
      <c r="F4006" s="96"/>
      <c r="G4006" s="97"/>
      <c r="H4006" s="114" t="str">
        <f t="shared" si="52"/>
        <v/>
      </c>
      <c r="I4006" s="17"/>
      <c r="J4006" s="17"/>
      <c r="K4006" s="17"/>
    </row>
    <row r="4007" spans="1:11" x14ac:dyDescent="0.2">
      <c r="A4007" s="115"/>
      <c r="B4007" s="93"/>
      <c r="C4007" s="94"/>
      <c r="D4007" s="95"/>
      <c r="E4007" s="95"/>
      <c r="F4007" s="96"/>
      <c r="G4007" s="97"/>
      <c r="H4007" s="114" t="str">
        <f t="shared" si="52"/>
        <v/>
      </c>
      <c r="I4007" s="17"/>
      <c r="J4007" s="17"/>
      <c r="K4007" s="17"/>
    </row>
    <row r="4008" spans="1:11" x14ac:dyDescent="0.2">
      <c r="A4008" s="115"/>
      <c r="B4008" s="93"/>
      <c r="C4008" s="94"/>
      <c r="D4008" s="95"/>
      <c r="E4008" s="95"/>
      <c r="F4008" s="96"/>
      <c r="G4008" s="97"/>
      <c r="H4008" s="114" t="str">
        <f t="shared" si="52"/>
        <v/>
      </c>
      <c r="I4008" s="17"/>
      <c r="J4008" s="17"/>
      <c r="K4008" s="17"/>
    </row>
    <row r="4009" spans="1:11" x14ac:dyDescent="0.2">
      <c r="A4009" s="115"/>
      <c r="B4009" s="93"/>
      <c r="C4009" s="94"/>
      <c r="D4009" s="95"/>
      <c r="E4009" s="95"/>
      <c r="F4009" s="96"/>
      <c r="G4009" s="97"/>
      <c r="H4009" s="114" t="str">
        <f t="shared" si="52"/>
        <v/>
      </c>
      <c r="I4009" s="17"/>
      <c r="J4009" s="17"/>
      <c r="K4009" s="17"/>
    </row>
    <row r="4010" spans="1:11" x14ac:dyDescent="0.2">
      <c r="A4010" s="115"/>
      <c r="B4010" s="93"/>
      <c r="C4010" s="94"/>
      <c r="D4010" s="95"/>
      <c r="E4010" s="95"/>
      <c r="F4010" s="96"/>
      <c r="G4010" s="97"/>
      <c r="H4010" s="114" t="str">
        <f t="shared" si="52"/>
        <v/>
      </c>
      <c r="I4010" s="17"/>
      <c r="J4010" s="17"/>
      <c r="K4010" s="17"/>
    </row>
    <row r="4011" spans="1:11" x14ac:dyDescent="0.2">
      <c r="A4011" s="115"/>
      <c r="B4011" s="93"/>
      <c r="C4011" s="94"/>
      <c r="D4011" s="95"/>
      <c r="E4011" s="95"/>
      <c r="F4011" s="96"/>
      <c r="G4011" s="97"/>
      <c r="H4011" s="114" t="str">
        <f t="shared" si="52"/>
        <v/>
      </c>
      <c r="I4011" s="17"/>
      <c r="J4011" s="17"/>
      <c r="K4011" s="17"/>
    </row>
    <row r="4012" spans="1:11" x14ac:dyDescent="0.2">
      <c r="A4012" s="115"/>
      <c r="B4012" s="93"/>
      <c r="C4012" s="94"/>
      <c r="D4012" s="95"/>
      <c r="E4012" s="95"/>
      <c r="F4012" s="96"/>
      <c r="G4012" s="97"/>
      <c r="H4012" s="114" t="str">
        <f t="shared" si="52"/>
        <v/>
      </c>
      <c r="I4012" s="17"/>
      <c r="J4012" s="17"/>
      <c r="K4012" s="17"/>
    </row>
    <row r="4013" spans="1:11" x14ac:dyDescent="0.2">
      <c r="A4013" s="115"/>
      <c r="B4013" s="93"/>
      <c r="C4013" s="94"/>
      <c r="D4013" s="95"/>
      <c r="E4013" s="95"/>
      <c r="F4013" s="96"/>
      <c r="G4013" s="97"/>
      <c r="H4013" s="114" t="str">
        <f t="shared" si="52"/>
        <v/>
      </c>
      <c r="I4013" s="17"/>
      <c r="J4013" s="17"/>
      <c r="K4013" s="17"/>
    </row>
    <row r="4014" spans="1:11" x14ac:dyDescent="0.2">
      <c r="A4014" s="115"/>
      <c r="B4014" s="93"/>
      <c r="C4014" s="94"/>
      <c r="D4014" s="95"/>
      <c r="E4014" s="95"/>
      <c r="F4014" s="96"/>
      <c r="G4014" s="97"/>
      <c r="H4014" s="114" t="str">
        <f t="shared" si="52"/>
        <v/>
      </c>
      <c r="I4014" s="17"/>
      <c r="J4014" s="17"/>
      <c r="K4014" s="17"/>
    </row>
    <row r="4015" spans="1:11" x14ac:dyDescent="0.2">
      <c r="A4015" s="115"/>
      <c r="B4015" s="93"/>
      <c r="C4015" s="94"/>
      <c r="D4015" s="95"/>
      <c r="E4015" s="95"/>
      <c r="F4015" s="96"/>
      <c r="G4015" s="97"/>
      <c r="H4015" s="114" t="str">
        <f t="shared" si="52"/>
        <v/>
      </c>
      <c r="I4015" s="17"/>
      <c r="J4015" s="17"/>
      <c r="K4015" s="17"/>
    </row>
    <row r="4016" spans="1:11" x14ac:dyDescent="0.2">
      <c r="A4016" s="115"/>
      <c r="B4016" s="93"/>
      <c r="C4016" s="94"/>
      <c r="D4016" s="95"/>
      <c r="E4016" s="95"/>
      <c r="F4016" s="96"/>
      <c r="G4016" s="97"/>
      <c r="H4016" s="114" t="str">
        <f t="shared" si="52"/>
        <v/>
      </c>
      <c r="I4016" s="17"/>
      <c r="J4016" s="17"/>
      <c r="K4016" s="17"/>
    </row>
    <row r="4017" spans="1:11" x14ac:dyDescent="0.2">
      <c r="A4017" s="115"/>
      <c r="B4017" s="93"/>
      <c r="C4017" s="94"/>
      <c r="D4017" s="95"/>
      <c r="E4017" s="95"/>
      <c r="F4017" s="96"/>
      <c r="G4017" s="97"/>
      <c r="H4017" s="114" t="str">
        <f t="shared" si="52"/>
        <v/>
      </c>
      <c r="I4017" s="17"/>
      <c r="J4017" s="17"/>
      <c r="K4017" s="17"/>
    </row>
    <row r="4018" spans="1:11" x14ac:dyDescent="0.2">
      <c r="A4018" s="115"/>
      <c r="B4018" s="93"/>
      <c r="C4018" s="94"/>
      <c r="D4018" s="95"/>
      <c r="E4018" s="95"/>
      <c r="F4018" s="96"/>
      <c r="G4018" s="97"/>
      <c r="H4018" s="114" t="str">
        <f t="shared" si="52"/>
        <v/>
      </c>
      <c r="I4018" s="17"/>
      <c r="J4018" s="17"/>
      <c r="K4018" s="17"/>
    </row>
    <row r="4019" spans="1:11" x14ac:dyDescent="0.2">
      <c r="A4019" s="115"/>
      <c r="B4019" s="93"/>
      <c r="C4019" s="94"/>
      <c r="D4019" s="95"/>
      <c r="E4019" s="95"/>
      <c r="F4019" s="96"/>
      <c r="G4019" s="97"/>
      <c r="H4019" s="114" t="str">
        <f t="shared" si="52"/>
        <v/>
      </c>
      <c r="I4019" s="17"/>
      <c r="J4019" s="17"/>
      <c r="K4019" s="17"/>
    </row>
    <row r="4020" spans="1:11" x14ac:dyDescent="0.2">
      <c r="A4020" s="115"/>
      <c r="B4020" s="93"/>
      <c r="C4020" s="94"/>
      <c r="D4020" s="95"/>
      <c r="E4020" s="95"/>
      <c r="F4020" s="96"/>
      <c r="G4020" s="97"/>
      <c r="H4020" s="114" t="str">
        <f t="shared" si="52"/>
        <v/>
      </c>
      <c r="I4020" s="17"/>
      <c r="J4020" s="17"/>
      <c r="K4020" s="17"/>
    </row>
    <row r="4021" spans="1:11" x14ac:dyDescent="0.2">
      <c r="A4021" s="115"/>
      <c r="B4021" s="93"/>
      <c r="C4021" s="94"/>
      <c r="D4021" s="95"/>
      <c r="E4021" s="95"/>
      <c r="F4021" s="96"/>
      <c r="G4021" s="97"/>
      <c r="H4021" s="114" t="str">
        <f t="shared" si="52"/>
        <v/>
      </c>
      <c r="I4021" s="17"/>
      <c r="J4021" s="17"/>
      <c r="K4021" s="17"/>
    </row>
    <row r="4022" spans="1:11" x14ac:dyDescent="0.2">
      <c r="A4022" s="115"/>
      <c r="B4022" s="93"/>
      <c r="C4022" s="94"/>
      <c r="D4022" s="95"/>
      <c r="E4022" s="95"/>
      <c r="F4022" s="96"/>
      <c r="G4022" s="97"/>
      <c r="H4022" s="114" t="str">
        <f t="shared" si="52"/>
        <v/>
      </c>
      <c r="I4022" s="17"/>
      <c r="J4022" s="17"/>
      <c r="K4022" s="17"/>
    </row>
    <row r="4023" spans="1:11" x14ac:dyDescent="0.2">
      <c r="A4023" s="115"/>
      <c r="B4023" s="93"/>
      <c r="C4023" s="94"/>
      <c r="D4023" s="95"/>
      <c r="E4023" s="95"/>
      <c r="F4023" s="96"/>
      <c r="G4023" s="97"/>
      <c r="H4023" s="114" t="str">
        <f t="shared" si="52"/>
        <v/>
      </c>
      <c r="I4023" s="17"/>
      <c r="J4023" s="17"/>
      <c r="K4023" s="17"/>
    </row>
    <row r="4024" spans="1:11" x14ac:dyDescent="0.2">
      <c r="A4024" s="115"/>
      <c r="B4024" s="93"/>
      <c r="C4024" s="94"/>
      <c r="D4024" s="95"/>
      <c r="E4024" s="95"/>
      <c r="F4024" s="96"/>
      <c r="G4024" s="97"/>
      <c r="H4024" s="114" t="str">
        <f t="shared" si="52"/>
        <v/>
      </c>
      <c r="I4024" s="17"/>
      <c r="J4024" s="17"/>
      <c r="K4024" s="17"/>
    </row>
    <row r="4025" spans="1:11" x14ac:dyDescent="0.2">
      <c r="A4025" s="115"/>
      <c r="B4025" s="93"/>
      <c r="C4025" s="94"/>
      <c r="D4025" s="95"/>
      <c r="E4025" s="95"/>
      <c r="F4025" s="96"/>
      <c r="G4025" s="97"/>
      <c r="H4025" s="114" t="str">
        <f t="shared" si="52"/>
        <v/>
      </c>
      <c r="I4025" s="17"/>
      <c r="J4025" s="17"/>
      <c r="K4025" s="17"/>
    </row>
    <row r="4026" spans="1:11" x14ac:dyDescent="0.2">
      <c r="A4026" s="115"/>
      <c r="B4026" s="93"/>
      <c r="C4026" s="94"/>
      <c r="D4026" s="95"/>
      <c r="E4026" s="95"/>
      <c r="F4026" s="96"/>
      <c r="G4026" s="97"/>
      <c r="H4026" s="114" t="str">
        <f t="shared" si="52"/>
        <v/>
      </c>
      <c r="I4026" s="17"/>
      <c r="J4026" s="17"/>
      <c r="K4026" s="17"/>
    </row>
    <row r="4027" spans="1:11" x14ac:dyDescent="0.2">
      <c r="A4027" s="115"/>
      <c r="B4027" s="93"/>
      <c r="C4027" s="94"/>
      <c r="D4027" s="95"/>
      <c r="E4027" s="95"/>
      <c r="F4027" s="96"/>
      <c r="G4027" s="97"/>
      <c r="H4027" s="114" t="str">
        <f t="shared" si="52"/>
        <v/>
      </c>
      <c r="I4027" s="17"/>
      <c r="J4027" s="17"/>
      <c r="K4027" s="17"/>
    </row>
    <row r="4028" spans="1:11" x14ac:dyDescent="0.2">
      <c r="A4028" s="115"/>
      <c r="B4028" s="93"/>
      <c r="C4028" s="94"/>
      <c r="D4028" s="95"/>
      <c r="E4028" s="95"/>
      <c r="F4028" s="96"/>
      <c r="G4028" s="97"/>
      <c r="H4028" s="114" t="str">
        <f t="shared" si="52"/>
        <v/>
      </c>
      <c r="I4028" s="17"/>
      <c r="J4028" s="17"/>
      <c r="K4028" s="17"/>
    </row>
    <row r="4029" spans="1:11" x14ac:dyDescent="0.2">
      <c r="A4029" s="115"/>
      <c r="B4029" s="93"/>
      <c r="C4029" s="94"/>
      <c r="D4029" s="95"/>
      <c r="E4029" s="95"/>
      <c r="F4029" s="96"/>
      <c r="G4029" s="97"/>
      <c r="H4029" s="114" t="str">
        <f t="shared" si="52"/>
        <v/>
      </c>
      <c r="I4029" s="17"/>
      <c r="J4029" s="17"/>
      <c r="K4029" s="17"/>
    </row>
    <row r="4030" spans="1:11" x14ac:dyDescent="0.2">
      <c r="A4030" s="115"/>
      <c r="B4030" s="93"/>
      <c r="C4030" s="94"/>
      <c r="D4030" s="95"/>
      <c r="E4030" s="95"/>
      <c r="F4030" s="96"/>
      <c r="G4030" s="97"/>
      <c r="H4030" s="114" t="str">
        <f t="shared" si="52"/>
        <v/>
      </c>
      <c r="I4030" s="17"/>
      <c r="J4030" s="17"/>
      <c r="K4030" s="17"/>
    </row>
    <row r="4031" spans="1:11" x14ac:dyDescent="0.2">
      <c r="A4031" s="115"/>
      <c r="B4031" s="93"/>
      <c r="C4031" s="94"/>
      <c r="D4031" s="95"/>
      <c r="E4031" s="95"/>
      <c r="F4031" s="96"/>
      <c r="G4031" s="97"/>
      <c r="H4031" s="114" t="str">
        <f t="shared" si="52"/>
        <v/>
      </c>
      <c r="I4031" s="17"/>
      <c r="J4031" s="17"/>
      <c r="K4031" s="17"/>
    </row>
    <row r="4032" spans="1:11" x14ac:dyDescent="0.2">
      <c r="A4032" s="115"/>
      <c r="B4032" s="93"/>
      <c r="C4032" s="94"/>
      <c r="D4032" s="95"/>
      <c r="E4032" s="95"/>
      <c r="F4032" s="96"/>
      <c r="G4032" s="97"/>
      <c r="H4032" s="114" t="str">
        <f t="shared" si="52"/>
        <v/>
      </c>
      <c r="I4032" s="17"/>
      <c r="J4032" s="17"/>
      <c r="K4032" s="17"/>
    </row>
    <row r="4033" spans="1:11" x14ac:dyDescent="0.2">
      <c r="A4033" s="115"/>
      <c r="B4033" s="93"/>
      <c r="C4033" s="94"/>
      <c r="D4033" s="95"/>
      <c r="E4033" s="95"/>
      <c r="F4033" s="96"/>
      <c r="G4033" s="97"/>
      <c r="H4033" s="114" t="str">
        <f t="shared" si="52"/>
        <v/>
      </c>
      <c r="I4033" s="17"/>
      <c r="J4033" s="17"/>
      <c r="K4033" s="17"/>
    </row>
    <row r="4034" spans="1:11" x14ac:dyDescent="0.2">
      <c r="A4034" s="115"/>
      <c r="B4034" s="93"/>
      <c r="C4034" s="94"/>
      <c r="D4034" s="95"/>
      <c r="E4034" s="95"/>
      <c r="F4034" s="96"/>
      <c r="G4034" s="97"/>
      <c r="H4034" s="114" t="str">
        <f t="shared" si="52"/>
        <v/>
      </c>
      <c r="I4034" s="17"/>
      <c r="J4034" s="17"/>
      <c r="K4034" s="17"/>
    </row>
    <row r="4035" spans="1:11" x14ac:dyDescent="0.2">
      <c r="A4035" s="115"/>
      <c r="B4035" s="93"/>
      <c r="C4035" s="94"/>
      <c r="D4035" s="95"/>
      <c r="E4035" s="95"/>
      <c r="F4035" s="96"/>
      <c r="G4035" s="97"/>
      <c r="H4035" s="114" t="str">
        <f t="shared" si="52"/>
        <v/>
      </c>
      <c r="I4035" s="17"/>
      <c r="J4035" s="17"/>
      <c r="K4035" s="17"/>
    </row>
    <row r="4036" spans="1:11" x14ac:dyDescent="0.2">
      <c r="A4036" s="115"/>
      <c r="B4036" s="93"/>
      <c r="C4036" s="94"/>
      <c r="D4036" s="95"/>
      <c r="E4036" s="95"/>
      <c r="F4036" s="96"/>
      <c r="G4036" s="97"/>
      <c r="H4036" s="114" t="str">
        <f t="shared" ref="H4036:H4099" si="53">IF(A4036&lt;&gt;"", EOMONTH(A4036, -1) + 1, "")</f>
        <v/>
      </c>
      <c r="I4036" s="17"/>
      <c r="J4036" s="17"/>
      <c r="K4036" s="17"/>
    </row>
    <row r="4037" spans="1:11" x14ac:dyDescent="0.2">
      <c r="A4037" s="115"/>
      <c r="B4037" s="93"/>
      <c r="C4037" s="94"/>
      <c r="D4037" s="95"/>
      <c r="E4037" s="95"/>
      <c r="F4037" s="96"/>
      <c r="G4037" s="97"/>
      <c r="H4037" s="114" t="str">
        <f t="shared" si="53"/>
        <v/>
      </c>
      <c r="I4037" s="17"/>
      <c r="J4037" s="17"/>
      <c r="K4037" s="17"/>
    </row>
    <row r="4038" spans="1:11" x14ac:dyDescent="0.2">
      <c r="A4038" s="115"/>
      <c r="B4038" s="93"/>
      <c r="C4038" s="94"/>
      <c r="D4038" s="95"/>
      <c r="E4038" s="95"/>
      <c r="F4038" s="96"/>
      <c r="G4038" s="97"/>
      <c r="H4038" s="114" t="str">
        <f t="shared" si="53"/>
        <v/>
      </c>
      <c r="I4038" s="17"/>
      <c r="J4038" s="17"/>
      <c r="K4038" s="17"/>
    </row>
    <row r="4039" spans="1:11" x14ac:dyDescent="0.2">
      <c r="A4039" s="115"/>
      <c r="B4039" s="93"/>
      <c r="C4039" s="94"/>
      <c r="D4039" s="95"/>
      <c r="E4039" s="95"/>
      <c r="F4039" s="96"/>
      <c r="G4039" s="97"/>
      <c r="H4039" s="114" t="str">
        <f t="shared" si="53"/>
        <v/>
      </c>
      <c r="I4039" s="17"/>
      <c r="J4039" s="17"/>
      <c r="K4039" s="17"/>
    </row>
    <row r="4040" spans="1:11" x14ac:dyDescent="0.2">
      <c r="A4040" s="115"/>
      <c r="B4040" s="93"/>
      <c r="C4040" s="94"/>
      <c r="D4040" s="95"/>
      <c r="E4040" s="95"/>
      <c r="F4040" s="96"/>
      <c r="G4040" s="97"/>
      <c r="H4040" s="114" t="str">
        <f t="shared" si="53"/>
        <v/>
      </c>
      <c r="I4040" s="17"/>
      <c r="J4040" s="17"/>
      <c r="K4040" s="17"/>
    </row>
    <row r="4041" spans="1:11" x14ac:dyDescent="0.2">
      <c r="A4041" s="115"/>
      <c r="B4041" s="93"/>
      <c r="C4041" s="94"/>
      <c r="D4041" s="95"/>
      <c r="E4041" s="95"/>
      <c r="F4041" s="96"/>
      <c r="G4041" s="97"/>
      <c r="H4041" s="114" t="str">
        <f t="shared" si="53"/>
        <v/>
      </c>
      <c r="I4041" s="17"/>
      <c r="J4041" s="17"/>
      <c r="K4041" s="17"/>
    </row>
    <row r="4042" spans="1:11" x14ac:dyDescent="0.2">
      <c r="A4042" s="115"/>
      <c r="B4042" s="93"/>
      <c r="C4042" s="94"/>
      <c r="D4042" s="95"/>
      <c r="E4042" s="95"/>
      <c r="F4042" s="96"/>
      <c r="G4042" s="97"/>
      <c r="H4042" s="114" t="str">
        <f t="shared" si="53"/>
        <v/>
      </c>
      <c r="I4042" s="17"/>
      <c r="J4042" s="17"/>
      <c r="K4042" s="17"/>
    </row>
    <row r="4043" spans="1:11" x14ac:dyDescent="0.2">
      <c r="A4043" s="115"/>
      <c r="B4043" s="93"/>
      <c r="C4043" s="94"/>
      <c r="D4043" s="95"/>
      <c r="E4043" s="95"/>
      <c r="F4043" s="96"/>
      <c r="G4043" s="97"/>
      <c r="H4043" s="114" t="str">
        <f t="shared" si="53"/>
        <v/>
      </c>
      <c r="I4043" s="17"/>
      <c r="J4043" s="17"/>
      <c r="K4043" s="17"/>
    </row>
    <row r="4044" spans="1:11" x14ac:dyDescent="0.2">
      <c r="A4044" s="115"/>
      <c r="B4044" s="93"/>
      <c r="C4044" s="94"/>
      <c r="D4044" s="95"/>
      <c r="E4044" s="95"/>
      <c r="F4044" s="96"/>
      <c r="G4044" s="97"/>
      <c r="H4044" s="114" t="str">
        <f t="shared" si="53"/>
        <v/>
      </c>
      <c r="I4044" s="17"/>
      <c r="J4044" s="17"/>
      <c r="K4044" s="17"/>
    </row>
    <row r="4045" spans="1:11" x14ac:dyDescent="0.2">
      <c r="A4045" s="115"/>
      <c r="B4045" s="93"/>
      <c r="C4045" s="94"/>
      <c r="D4045" s="95"/>
      <c r="E4045" s="95"/>
      <c r="F4045" s="96"/>
      <c r="G4045" s="97"/>
      <c r="H4045" s="114" t="str">
        <f t="shared" si="53"/>
        <v/>
      </c>
      <c r="I4045" s="17"/>
      <c r="J4045" s="17"/>
      <c r="K4045" s="17"/>
    </row>
    <row r="4046" spans="1:11" x14ac:dyDescent="0.2">
      <c r="A4046" s="115"/>
      <c r="B4046" s="93"/>
      <c r="C4046" s="94"/>
      <c r="D4046" s="95"/>
      <c r="E4046" s="95"/>
      <c r="F4046" s="96"/>
      <c r="G4046" s="97"/>
      <c r="H4046" s="114" t="str">
        <f t="shared" si="53"/>
        <v/>
      </c>
      <c r="I4046" s="17"/>
      <c r="J4046" s="17"/>
      <c r="K4046" s="17"/>
    </row>
    <row r="4047" spans="1:11" x14ac:dyDescent="0.2">
      <c r="A4047" s="115"/>
      <c r="B4047" s="93"/>
      <c r="C4047" s="94"/>
      <c r="D4047" s="95"/>
      <c r="E4047" s="95"/>
      <c r="F4047" s="96"/>
      <c r="G4047" s="97"/>
      <c r="H4047" s="114" t="str">
        <f t="shared" si="53"/>
        <v/>
      </c>
      <c r="I4047" s="17"/>
      <c r="J4047" s="17"/>
      <c r="K4047" s="17"/>
    </row>
    <row r="4048" spans="1:11" x14ac:dyDescent="0.2">
      <c r="A4048" s="115"/>
      <c r="B4048" s="93"/>
      <c r="C4048" s="94"/>
      <c r="D4048" s="95"/>
      <c r="E4048" s="95"/>
      <c r="F4048" s="96"/>
      <c r="G4048" s="97"/>
      <c r="H4048" s="114" t="str">
        <f t="shared" si="53"/>
        <v/>
      </c>
      <c r="I4048" s="17"/>
      <c r="J4048" s="17"/>
      <c r="K4048" s="17"/>
    </row>
    <row r="4049" spans="1:11" x14ac:dyDescent="0.2">
      <c r="A4049" s="115"/>
      <c r="B4049" s="93"/>
      <c r="C4049" s="94"/>
      <c r="D4049" s="95"/>
      <c r="E4049" s="95"/>
      <c r="F4049" s="96"/>
      <c r="G4049" s="97"/>
      <c r="H4049" s="114" t="str">
        <f t="shared" si="53"/>
        <v/>
      </c>
      <c r="I4049" s="17"/>
      <c r="J4049" s="17"/>
      <c r="K4049" s="17"/>
    </row>
    <row r="4050" spans="1:11" x14ac:dyDescent="0.2">
      <c r="A4050" s="115"/>
      <c r="B4050" s="93"/>
      <c r="C4050" s="94"/>
      <c r="D4050" s="95"/>
      <c r="E4050" s="95"/>
      <c r="F4050" s="96"/>
      <c r="G4050" s="97"/>
      <c r="H4050" s="114" t="str">
        <f t="shared" si="53"/>
        <v/>
      </c>
      <c r="I4050" s="17"/>
      <c r="J4050" s="17"/>
      <c r="K4050" s="17"/>
    </row>
    <row r="4051" spans="1:11" x14ac:dyDescent="0.2">
      <c r="A4051" s="115"/>
      <c r="B4051" s="93"/>
      <c r="C4051" s="94"/>
      <c r="D4051" s="95"/>
      <c r="E4051" s="95"/>
      <c r="F4051" s="96"/>
      <c r="G4051" s="97"/>
      <c r="H4051" s="114" t="str">
        <f t="shared" si="53"/>
        <v/>
      </c>
      <c r="I4051" s="17"/>
      <c r="J4051" s="17"/>
      <c r="K4051" s="17"/>
    </row>
    <row r="4052" spans="1:11" x14ac:dyDescent="0.2">
      <c r="A4052" s="115"/>
      <c r="B4052" s="93"/>
      <c r="C4052" s="94"/>
      <c r="D4052" s="95"/>
      <c r="E4052" s="95"/>
      <c r="F4052" s="96"/>
      <c r="G4052" s="97"/>
      <c r="H4052" s="114" t="str">
        <f t="shared" si="53"/>
        <v/>
      </c>
      <c r="I4052" s="17"/>
      <c r="J4052" s="17"/>
      <c r="K4052" s="17"/>
    </row>
    <row r="4053" spans="1:11" x14ac:dyDescent="0.2">
      <c r="A4053" s="115"/>
      <c r="B4053" s="93"/>
      <c r="C4053" s="94"/>
      <c r="D4053" s="95"/>
      <c r="E4053" s="95"/>
      <c r="F4053" s="96"/>
      <c r="G4053" s="97"/>
      <c r="H4053" s="114" t="str">
        <f t="shared" si="53"/>
        <v/>
      </c>
      <c r="I4053" s="17"/>
      <c r="J4053" s="17"/>
      <c r="K4053" s="17"/>
    </row>
    <row r="4054" spans="1:11" x14ac:dyDescent="0.2">
      <c r="A4054" s="115"/>
      <c r="B4054" s="93"/>
      <c r="C4054" s="94"/>
      <c r="D4054" s="95"/>
      <c r="E4054" s="95"/>
      <c r="F4054" s="96"/>
      <c r="G4054" s="97"/>
      <c r="H4054" s="114" t="str">
        <f t="shared" si="53"/>
        <v/>
      </c>
      <c r="I4054" s="17"/>
      <c r="J4054" s="17"/>
      <c r="K4054" s="17"/>
    </row>
    <row r="4055" spans="1:11" x14ac:dyDescent="0.2">
      <c r="A4055" s="115"/>
      <c r="B4055" s="93"/>
      <c r="C4055" s="94"/>
      <c r="D4055" s="95"/>
      <c r="E4055" s="95"/>
      <c r="F4055" s="96"/>
      <c r="G4055" s="97"/>
      <c r="H4055" s="114" t="str">
        <f t="shared" si="53"/>
        <v/>
      </c>
      <c r="I4055" s="17"/>
      <c r="J4055" s="17"/>
      <c r="K4055" s="17"/>
    </row>
    <row r="4056" spans="1:11" x14ac:dyDescent="0.2">
      <c r="A4056" s="115"/>
      <c r="B4056" s="93"/>
      <c r="C4056" s="94"/>
      <c r="D4056" s="95"/>
      <c r="E4056" s="95"/>
      <c r="F4056" s="96"/>
      <c r="G4056" s="97"/>
      <c r="H4056" s="114" t="str">
        <f t="shared" si="53"/>
        <v/>
      </c>
      <c r="I4056" s="17"/>
      <c r="J4056" s="17"/>
      <c r="K4056" s="17"/>
    </row>
    <row r="4057" spans="1:11" x14ac:dyDescent="0.2">
      <c r="A4057" s="115"/>
      <c r="B4057" s="93"/>
      <c r="C4057" s="94"/>
      <c r="D4057" s="95"/>
      <c r="E4057" s="95"/>
      <c r="F4057" s="96"/>
      <c r="G4057" s="97"/>
      <c r="H4057" s="114" t="str">
        <f t="shared" si="53"/>
        <v/>
      </c>
      <c r="I4057" s="17"/>
      <c r="J4057" s="17"/>
      <c r="K4057" s="17"/>
    </row>
    <row r="4058" spans="1:11" x14ac:dyDescent="0.2">
      <c r="A4058" s="115"/>
      <c r="B4058" s="93"/>
      <c r="C4058" s="94"/>
      <c r="D4058" s="95"/>
      <c r="E4058" s="95"/>
      <c r="F4058" s="96"/>
      <c r="G4058" s="97"/>
      <c r="H4058" s="114" t="str">
        <f t="shared" si="53"/>
        <v/>
      </c>
      <c r="I4058" s="17"/>
      <c r="J4058" s="17"/>
      <c r="K4058" s="17"/>
    </row>
    <row r="4059" spans="1:11" x14ac:dyDescent="0.2">
      <c r="A4059" s="115"/>
      <c r="B4059" s="93"/>
      <c r="C4059" s="94"/>
      <c r="D4059" s="95"/>
      <c r="E4059" s="95"/>
      <c r="F4059" s="96"/>
      <c r="G4059" s="97"/>
      <c r="H4059" s="114" t="str">
        <f t="shared" si="53"/>
        <v/>
      </c>
      <c r="I4059" s="17"/>
      <c r="J4059" s="17"/>
      <c r="K4059" s="17"/>
    </row>
    <row r="4060" spans="1:11" x14ac:dyDescent="0.2">
      <c r="A4060" s="115"/>
      <c r="B4060" s="93"/>
      <c r="C4060" s="94"/>
      <c r="D4060" s="95"/>
      <c r="E4060" s="95"/>
      <c r="F4060" s="96"/>
      <c r="G4060" s="97"/>
      <c r="H4060" s="114" t="str">
        <f t="shared" si="53"/>
        <v/>
      </c>
      <c r="I4060" s="17"/>
      <c r="J4060" s="17"/>
      <c r="K4060" s="17"/>
    </row>
    <row r="4061" spans="1:11" x14ac:dyDescent="0.2">
      <c r="A4061" s="115"/>
      <c r="B4061" s="93"/>
      <c r="C4061" s="94"/>
      <c r="D4061" s="95"/>
      <c r="E4061" s="95"/>
      <c r="F4061" s="96"/>
      <c r="G4061" s="97"/>
      <c r="H4061" s="114" t="str">
        <f t="shared" si="53"/>
        <v/>
      </c>
      <c r="I4061" s="17"/>
      <c r="J4061" s="17"/>
      <c r="K4061" s="17"/>
    </row>
    <row r="4062" spans="1:11" x14ac:dyDescent="0.2">
      <c r="A4062" s="115"/>
      <c r="B4062" s="93"/>
      <c r="C4062" s="94"/>
      <c r="D4062" s="95"/>
      <c r="E4062" s="95"/>
      <c r="F4062" s="96"/>
      <c r="G4062" s="97"/>
      <c r="H4062" s="114" t="str">
        <f t="shared" si="53"/>
        <v/>
      </c>
      <c r="I4062" s="17"/>
      <c r="J4062" s="17"/>
      <c r="K4062" s="17"/>
    </row>
    <row r="4063" spans="1:11" x14ac:dyDescent="0.2">
      <c r="A4063" s="115"/>
      <c r="B4063" s="93"/>
      <c r="C4063" s="94"/>
      <c r="D4063" s="95"/>
      <c r="E4063" s="95"/>
      <c r="F4063" s="96"/>
      <c r="G4063" s="97"/>
      <c r="H4063" s="114" t="str">
        <f t="shared" si="53"/>
        <v/>
      </c>
      <c r="I4063" s="17"/>
      <c r="J4063" s="17"/>
      <c r="K4063" s="17"/>
    </row>
    <row r="4064" spans="1:11" x14ac:dyDescent="0.2">
      <c r="A4064" s="115"/>
      <c r="B4064" s="93"/>
      <c r="C4064" s="94"/>
      <c r="D4064" s="95"/>
      <c r="E4064" s="95"/>
      <c r="F4064" s="96"/>
      <c r="G4064" s="97"/>
      <c r="H4064" s="114" t="str">
        <f t="shared" si="53"/>
        <v/>
      </c>
      <c r="I4064" s="17"/>
      <c r="J4064" s="17"/>
      <c r="K4064" s="17"/>
    </row>
    <row r="4065" spans="1:11" x14ac:dyDescent="0.2">
      <c r="A4065" s="115"/>
      <c r="B4065" s="93"/>
      <c r="C4065" s="94"/>
      <c r="D4065" s="95"/>
      <c r="E4065" s="95"/>
      <c r="F4065" s="96"/>
      <c r="G4065" s="97"/>
      <c r="H4065" s="114" t="str">
        <f t="shared" si="53"/>
        <v/>
      </c>
      <c r="I4065" s="17"/>
      <c r="J4065" s="17"/>
      <c r="K4065" s="17"/>
    </row>
    <row r="4066" spans="1:11" x14ac:dyDescent="0.2">
      <c r="A4066" s="115"/>
      <c r="B4066" s="93"/>
      <c r="C4066" s="94"/>
      <c r="D4066" s="95"/>
      <c r="E4066" s="95"/>
      <c r="F4066" s="96"/>
      <c r="G4066" s="97"/>
      <c r="H4066" s="114" t="str">
        <f t="shared" si="53"/>
        <v/>
      </c>
      <c r="I4066" s="17"/>
      <c r="J4066" s="17"/>
      <c r="K4066" s="17"/>
    </row>
    <row r="4067" spans="1:11" x14ac:dyDescent="0.2">
      <c r="A4067" s="115"/>
      <c r="B4067" s="93"/>
      <c r="C4067" s="94"/>
      <c r="D4067" s="95"/>
      <c r="E4067" s="95"/>
      <c r="F4067" s="96"/>
      <c r="G4067" s="97"/>
      <c r="H4067" s="114" t="str">
        <f t="shared" si="53"/>
        <v/>
      </c>
      <c r="I4067" s="17"/>
      <c r="J4067" s="17"/>
      <c r="K4067" s="17"/>
    </row>
    <row r="4068" spans="1:11" x14ac:dyDescent="0.2">
      <c r="A4068" s="115"/>
      <c r="B4068" s="93"/>
      <c r="C4068" s="94"/>
      <c r="D4068" s="95"/>
      <c r="E4068" s="95"/>
      <c r="F4068" s="96"/>
      <c r="G4068" s="97"/>
      <c r="H4068" s="114" t="str">
        <f t="shared" si="53"/>
        <v/>
      </c>
      <c r="I4068" s="17"/>
      <c r="J4068" s="17"/>
      <c r="K4068" s="17"/>
    </row>
    <row r="4069" spans="1:11" x14ac:dyDescent="0.2">
      <c r="A4069" s="115"/>
      <c r="B4069" s="93"/>
      <c r="C4069" s="94"/>
      <c r="D4069" s="95"/>
      <c r="E4069" s="95"/>
      <c r="F4069" s="96"/>
      <c r="G4069" s="97"/>
      <c r="H4069" s="114" t="str">
        <f t="shared" si="53"/>
        <v/>
      </c>
      <c r="I4069" s="17"/>
      <c r="J4069" s="17"/>
      <c r="K4069" s="17"/>
    </row>
    <row r="4070" spans="1:11" x14ac:dyDescent="0.2">
      <c r="A4070" s="115"/>
      <c r="B4070" s="93"/>
      <c r="C4070" s="94"/>
      <c r="D4070" s="95"/>
      <c r="E4070" s="95"/>
      <c r="F4070" s="96"/>
      <c r="G4070" s="97"/>
      <c r="H4070" s="114" t="str">
        <f t="shared" si="53"/>
        <v/>
      </c>
      <c r="I4070" s="17"/>
      <c r="J4070" s="17"/>
      <c r="K4070" s="17"/>
    </row>
    <row r="4071" spans="1:11" x14ac:dyDescent="0.2">
      <c r="A4071" s="115"/>
      <c r="B4071" s="93"/>
      <c r="C4071" s="94"/>
      <c r="D4071" s="95"/>
      <c r="E4071" s="95"/>
      <c r="F4071" s="96"/>
      <c r="G4071" s="97"/>
      <c r="H4071" s="114" t="str">
        <f t="shared" si="53"/>
        <v/>
      </c>
      <c r="I4071" s="17"/>
      <c r="J4071" s="17"/>
      <c r="K4071" s="17"/>
    </row>
    <row r="4072" spans="1:11" x14ac:dyDescent="0.2">
      <c r="A4072" s="115"/>
      <c r="B4072" s="93"/>
      <c r="C4072" s="94"/>
      <c r="D4072" s="95"/>
      <c r="E4072" s="95"/>
      <c r="F4072" s="96"/>
      <c r="G4072" s="97"/>
      <c r="H4072" s="114" t="str">
        <f t="shared" si="53"/>
        <v/>
      </c>
      <c r="I4072" s="17"/>
      <c r="J4072" s="17"/>
      <c r="K4072" s="17"/>
    </row>
    <row r="4073" spans="1:11" x14ac:dyDescent="0.2">
      <c r="A4073" s="115"/>
      <c r="B4073" s="93"/>
      <c r="C4073" s="94"/>
      <c r="D4073" s="95"/>
      <c r="E4073" s="95"/>
      <c r="F4073" s="96"/>
      <c r="G4073" s="97"/>
      <c r="H4073" s="114" t="str">
        <f t="shared" si="53"/>
        <v/>
      </c>
      <c r="I4073" s="17"/>
      <c r="J4073" s="17"/>
      <c r="K4073" s="17"/>
    </row>
    <row r="4074" spans="1:11" x14ac:dyDescent="0.2">
      <c r="A4074" s="115"/>
      <c r="B4074" s="93"/>
      <c r="C4074" s="94"/>
      <c r="D4074" s="95"/>
      <c r="E4074" s="95"/>
      <c r="F4074" s="96"/>
      <c r="G4074" s="97"/>
      <c r="H4074" s="114" t="str">
        <f t="shared" si="53"/>
        <v/>
      </c>
      <c r="I4074" s="17"/>
      <c r="J4074" s="17"/>
      <c r="K4074" s="17"/>
    </row>
    <row r="4075" spans="1:11" x14ac:dyDescent="0.2">
      <c r="A4075" s="115"/>
      <c r="B4075" s="93"/>
      <c r="C4075" s="94"/>
      <c r="D4075" s="95"/>
      <c r="E4075" s="95"/>
      <c r="F4075" s="96"/>
      <c r="G4075" s="97"/>
      <c r="H4075" s="114" t="str">
        <f t="shared" si="53"/>
        <v/>
      </c>
      <c r="I4075" s="17"/>
      <c r="J4075" s="17"/>
      <c r="K4075" s="17"/>
    </row>
    <row r="4076" spans="1:11" x14ac:dyDescent="0.2">
      <c r="A4076" s="115"/>
      <c r="B4076" s="93"/>
      <c r="C4076" s="94"/>
      <c r="D4076" s="95"/>
      <c r="E4076" s="95"/>
      <c r="F4076" s="96"/>
      <c r="G4076" s="97"/>
      <c r="H4076" s="114" t="str">
        <f t="shared" si="53"/>
        <v/>
      </c>
      <c r="I4076" s="17"/>
      <c r="J4076" s="17"/>
      <c r="K4076" s="17"/>
    </row>
    <row r="4077" spans="1:11" x14ac:dyDescent="0.2">
      <c r="A4077" s="115"/>
      <c r="B4077" s="93"/>
      <c r="C4077" s="94"/>
      <c r="D4077" s="95"/>
      <c r="E4077" s="95"/>
      <c r="F4077" s="96"/>
      <c r="G4077" s="97"/>
      <c r="H4077" s="114" t="str">
        <f t="shared" si="53"/>
        <v/>
      </c>
      <c r="I4077" s="17"/>
      <c r="J4077" s="17"/>
      <c r="K4077" s="17"/>
    </row>
    <row r="4078" spans="1:11" x14ac:dyDescent="0.2">
      <c r="A4078" s="115"/>
      <c r="B4078" s="93"/>
      <c r="C4078" s="94"/>
      <c r="D4078" s="95"/>
      <c r="E4078" s="95"/>
      <c r="F4078" s="96"/>
      <c r="G4078" s="97"/>
      <c r="H4078" s="114" t="str">
        <f t="shared" si="53"/>
        <v/>
      </c>
      <c r="I4078" s="17"/>
      <c r="J4078" s="17"/>
      <c r="K4078" s="17"/>
    </row>
    <row r="4079" spans="1:11" x14ac:dyDescent="0.2">
      <c r="A4079" s="115"/>
      <c r="B4079" s="93"/>
      <c r="C4079" s="94"/>
      <c r="D4079" s="95"/>
      <c r="E4079" s="95"/>
      <c r="F4079" s="96"/>
      <c r="G4079" s="97"/>
      <c r="H4079" s="114" t="str">
        <f t="shared" si="53"/>
        <v/>
      </c>
      <c r="I4079" s="17"/>
      <c r="J4079" s="17"/>
      <c r="K4079" s="17"/>
    </row>
    <row r="4080" spans="1:11" x14ac:dyDescent="0.2">
      <c r="A4080" s="115"/>
      <c r="B4080" s="93"/>
      <c r="C4080" s="94"/>
      <c r="D4080" s="95"/>
      <c r="E4080" s="95"/>
      <c r="F4080" s="96"/>
      <c r="G4080" s="97"/>
      <c r="H4080" s="114" t="str">
        <f t="shared" si="53"/>
        <v/>
      </c>
      <c r="I4080" s="17"/>
      <c r="J4080" s="17"/>
      <c r="K4080" s="17"/>
    </row>
    <row r="4081" spans="1:11" x14ac:dyDescent="0.2">
      <c r="A4081" s="115"/>
      <c r="B4081" s="93"/>
      <c r="C4081" s="94"/>
      <c r="D4081" s="95"/>
      <c r="E4081" s="95"/>
      <c r="F4081" s="96"/>
      <c r="G4081" s="97"/>
      <c r="H4081" s="114" t="str">
        <f t="shared" si="53"/>
        <v/>
      </c>
      <c r="I4081" s="17"/>
      <c r="J4081" s="17"/>
      <c r="K4081" s="17"/>
    </row>
    <row r="4082" spans="1:11" x14ac:dyDescent="0.2">
      <c r="A4082" s="115"/>
      <c r="B4082" s="93"/>
      <c r="C4082" s="94"/>
      <c r="D4082" s="95"/>
      <c r="E4082" s="95"/>
      <c r="F4082" s="96"/>
      <c r="G4082" s="97"/>
      <c r="H4082" s="114" t="str">
        <f t="shared" si="53"/>
        <v/>
      </c>
      <c r="I4082" s="17"/>
      <c r="J4082" s="17"/>
      <c r="K4082" s="17"/>
    </row>
    <row r="4083" spans="1:11" x14ac:dyDescent="0.2">
      <c r="A4083" s="115"/>
      <c r="B4083" s="93"/>
      <c r="C4083" s="94"/>
      <c r="D4083" s="95"/>
      <c r="E4083" s="95"/>
      <c r="F4083" s="96"/>
      <c r="G4083" s="97"/>
      <c r="H4083" s="114" t="str">
        <f t="shared" si="53"/>
        <v/>
      </c>
      <c r="I4083" s="17"/>
      <c r="J4083" s="17"/>
      <c r="K4083" s="17"/>
    </row>
    <row r="4084" spans="1:11" x14ac:dyDescent="0.2">
      <c r="A4084" s="115"/>
      <c r="B4084" s="93"/>
      <c r="C4084" s="94"/>
      <c r="D4084" s="95"/>
      <c r="E4084" s="95"/>
      <c r="F4084" s="96"/>
      <c r="G4084" s="97"/>
      <c r="H4084" s="114" t="str">
        <f t="shared" si="53"/>
        <v/>
      </c>
      <c r="I4084" s="17"/>
      <c r="J4084" s="17"/>
      <c r="K4084" s="17"/>
    </row>
    <row r="4085" spans="1:11" x14ac:dyDescent="0.2">
      <c r="A4085" s="115"/>
      <c r="B4085" s="93"/>
      <c r="C4085" s="94"/>
      <c r="D4085" s="95"/>
      <c r="E4085" s="95"/>
      <c r="F4085" s="96"/>
      <c r="G4085" s="97"/>
      <c r="H4085" s="114" t="str">
        <f t="shared" si="53"/>
        <v/>
      </c>
      <c r="I4085" s="17"/>
      <c r="J4085" s="17"/>
      <c r="K4085" s="17"/>
    </row>
    <row r="4086" spans="1:11" x14ac:dyDescent="0.2">
      <c r="A4086" s="115"/>
      <c r="B4086" s="93"/>
      <c r="C4086" s="94"/>
      <c r="D4086" s="95"/>
      <c r="E4086" s="95"/>
      <c r="F4086" s="96"/>
      <c r="G4086" s="97"/>
      <c r="H4086" s="114" t="str">
        <f t="shared" si="53"/>
        <v/>
      </c>
      <c r="I4086" s="17"/>
      <c r="J4086" s="17"/>
      <c r="K4086" s="17"/>
    </row>
    <row r="4087" spans="1:11" x14ac:dyDescent="0.2">
      <c r="A4087" s="115"/>
      <c r="B4087" s="93"/>
      <c r="C4087" s="94"/>
      <c r="D4087" s="95"/>
      <c r="E4087" s="95"/>
      <c r="F4087" s="96"/>
      <c r="G4087" s="97"/>
      <c r="H4087" s="114" t="str">
        <f t="shared" si="53"/>
        <v/>
      </c>
      <c r="I4087" s="17"/>
      <c r="J4087" s="17"/>
      <c r="K4087" s="17"/>
    </row>
    <row r="4088" spans="1:11" x14ac:dyDescent="0.2">
      <c r="A4088" s="115"/>
      <c r="B4088" s="93"/>
      <c r="C4088" s="94"/>
      <c r="D4088" s="95"/>
      <c r="E4088" s="95"/>
      <c r="F4088" s="96"/>
      <c r="G4088" s="97"/>
      <c r="H4088" s="114" t="str">
        <f t="shared" si="53"/>
        <v/>
      </c>
      <c r="I4088" s="17"/>
      <c r="J4088" s="17"/>
      <c r="K4088" s="17"/>
    </row>
    <row r="4089" spans="1:11" x14ac:dyDescent="0.2">
      <c r="A4089" s="115"/>
      <c r="B4089" s="93"/>
      <c r="C4089" s="94"/>
      <c r="D4089" s="95"/>
      <c r="E4089" s="95"/>
      <c r="F4089" s="96"/>
      <c r="G4089" s="97"/>
      <c r="H4089" s="114" t="str">
        <f t="shared" si="53"/>
        <v/>
      </c>
      <c r="I4089" s="17"/>
      <c r="J4089" s="17"/>
      <c r="K4089" s="17"/>
    </row>
    <row r="4090" spans="1:11" x14ac:dyDescent="0.2">
      <c r="A4090" s="115"/>
      <c r="B4090" s="93"/>
      <c r="C4090" s="94"/>
      <c r="D4090" s="95"/>
      <c r="E4090" s="95"/>
      <c r="F4090" s="96"/>
      <c r="G4090" s="97"/>
      <c r="H4090" s="114" t="str">
        <f t="shared" si="53"/>
        <v/>
      </c>
      <c r="I4090" s="17"/>
      <c r="J4090" s="17"/>
      <c r="K4090" s="17"/>
    </row>
    <row r="4091" spans="1:11" x14ac:dyDescent="0.2">
      <c r="A4091" s="115"/>
      <c r="B4091" s="93"/>
      <c r="C4091" s="94"/>
      <c r="D4091" s="95"/>
      <c r="E4091" s="95"/>
      <c r="F4091" s="96"/>
      <c r="G4091" s="97"/>
      <c r="H4091" s="114" t="str">
        <f t="shared" si="53"/>
        <v/>
      </c>
      <c r="I4091" s="17"/>
      <c r="J4091" s="17"/>
      <c r="K4091" s="17"/>
    </row>
    <row r="4092" spans="1:11" x14ac:dyDescent="0.2">
      <c r="A4092" s="115"/>
      <c r="B4092" s="93"/>
      <c r="C4092" s="94"/>
      <c r="D4092" s="95"/>
      <c r="E4092" s="95"/>
      <c r="F4092" s="96"/>
      <c r="G4092" s="97"/>
      <c r="H4092" s="114" t="str">
        <f t="shared" si="53"/>
        <v/>
      </c>
      <c r="I4092" s="17"/>
      <c r="J4092" s="17"/>
      <c r="K4092" s="17"/>
    </row>
    <row r="4093" spans="1:11" x14ac:dyDescent="0.2">
      <c r="A4093" s="115"/>
      <c r="B4093" s="93"/>
      <c r="C4093" s="94"/>
      <c r="D4093" s="95"/>
      <c r="E4093" s="95"/>
      <c r="F4093" s="96"/>
      <c r="G4093" s="97"/>
      <c r="H4093" s="114" t="str">
        <f t="shared" si="53"/>
        <v/>
      </c>
      <c r="I4093" s="17"/>
      <c r="J4093" s="17"/>
      <c r="K4093" s="17"/>
    </row>
    <row r="4094" spans="1:11" x14ac:dyDescent="0.2">
      <c r="A4094" s="115"/>
      <c r="B4094" s="93"/>
      <c r="C4094" s="94"/>
      <c r="D4094" s="95"/>
      <c r="E4094" s="95"/>
      <c r="F4094" s="96"/>
      <c r="G4094" s="97"/>
      <c r="H4094" s="114" t="str">
        <f t="shared" si="53"/>
        <v/>
      </c>
      <c r="I4094" s="17"/>
      <c r="J4094" s="17"/>
      <c r="K4094" s="17"/>
    </row>
    <row r="4095" spans="1:11" x14ac:dyDescent="0.2">
      <c r="A4095" s="115"/>
      <c r="B4095" s="93"/>
      <c r="C4095" s="94"/>
      <c r="D4095" s="95"/>
      <c r="E4095" s="95"/>
      <c r="F4095" s="96"/>
      <c r="G4095" s="97"/>
      <c r="H4095" s="114" t="str">
        <f t="shared" si="53"/>
        <v/>
      </c>
      <c r="I4095" s="17"/>
      <c r="J4095" s="17"/>
      <c r="K4095" s="17"/>
    </row>
    <row r="4096" spans="1:11" x14ac:dyDescent="0.2">
      <c r="A4096" s="115"/>
      <c r="B4096" s="93"/>
      <c r="C4096" s="94"/>
      <c r="D4096" s="95"/>
      <c r="E4096" s="95"/>
      <c r="F4096" s="96"/>
      <c r="G4096" s="97"/>
      <c r="H4096" s="114" t="str">
        <f t="shared" si="53"/>
        <v/>
      </c>
      <c r="I4096" s="17"/>
      <c r="J4096" s="17"/>
      <c r="K4096" s="17"/>
    </row>
    <row r="4097" spans="1:11" x14ac:dyDescent="0.2">
      <c r="A4097" s="115"/>
      <c r="B4097" s="93"/>
      <c r="C4097" s="94"/>
      <c r="D4097" s="95"/>
      <c r="E4097" s="95"/>
      <c r="F4097" s="96"/>
      <c r="G4097" s="97"/>
      <c r="H4097" s="114" t="str">
        <f t="shared" si="53"/>
        <v/>
      </c>
      <c r="I4097" s="17"/>
      <c r="J4097" s="17"/>
      <c r="K4097" s="17"/>
    </row>
    <row r="4098" spans="1:11" x14ac:dyDescent="0.2">
      <c r="A4098" s="115"/>
      <c r="B4098" s="93"/>
      <c r="C4098" s="94"/>
      <c r="D4098" s="95"/>
      <c r="E4098" s="95"/>
      <c r="F4098" s="96"/>
      <c r="G4098" s="97"/>
      <c r="H4098" s="114" t="str">
        <f t="shared" si="53"/>
        <v/>
      </c>
      <c r="I4098" s="17"/>
      <c r="J4098" s="17"/>
      <c r="K4098" s="17"/>
    </row>
    <row r="4099" spans="1:11" x14ac:dyDescent="0.2">
      <c r="A4099" s="115"/>
      <c r="B4099" s="93"/>
      <c r="C4099" s="94"/>
      <c r="D4099" s="95"/>
      <c r="E4099" s="95"/>
      <c r="F4099" s="96"/>
      <c r="G4099" s="97"/>
      <c r="H4099" s="114" t="str">
        <f t="shared" si="53"/>
        <v/>
      </c>
      <c r="I4099" s="17"/>
      <c r="J4099" s="17"/>
      <c r="K4099" s="17"/>
    </row>
    <row r="4100" spans="1:11" x14ac:dyDescent="0.2">
      <c r="A4100" s="115"/>
      <c r="B4100" s="93"/>
      <c r="C4100" s="94"/>
      <c r="D4100" s="95"/>
      <c r="E4100" s="95"/>
      <c r="F4100" s="96"/>
      <c r="G4100" s="97"/>
      <c r="H4100" s="114" t="str">
        <f t="shared" ref="H4100:H4163" si="54">IF(A4100&lt;&gt;"", EOMONTH(A4100, -1) + 1, "")</f>
        <v/>
      </c>
      <c r="I4100" s="17"/>
      <c r="J4100" s="17"/>
      <c r="K4100" s="17"/>
    </row>
    <row r="4101" spans="1:11" x14ac:dyDescent="0.2">
      <c r="A4101" s="115"/>
      <c r="B4101" s="93"/>
      <c r="C4101" s="94"/>
      <c r="D4101" s="95"/>
      <c r="E4101" s="95"/>
      <c r="F4101" s="96"/>
      <c r="G4101" s="97"/>
      <c r="H4101" s="114" t="str">
        <f t="shared" si="54"/>
        <v/>
      </c>
      <c r="I4101" s="17"/>
      <c r="J4101" s="17"/>
      <c r="K4101" s="17"/>
    </row>
    <row r="4102" spans="1:11" x14ac:dyDescent="0.2">
      <c r="A4102" s="115"/>
      <c r="B4102" s="93"/>
      <c r="C4102" s="94"/>
      <c r="D4102" s="95"/>
      <c r="E4102" s="95"/>
      <c r="F4102" s="96"/>
      <c r="G4102" s="97"/>
      <c r="H4102" s="114" t="str">
        <f t="shared" si="54"/>
        <v/>
      </c>
      <c r="I4102" s="17"/>
      <c r="J4102" s="17"/>
      <c r="K4102" s="17"/>
    </row>
    <row r="4103" spans="1:11" x14ac:dyDescent="0.2">
      <c r="A4103" s="115"/>
      <c r="B4103" s="93"/>
      <c r="C4103" s="94"/>
      <c r="D4103" s="95"/>
      <c r="E4103" s="95"/>
      <c r="F4103" s="96"/>
      <c r="G4103" s="97"/>
      <c r="H4103" s="114" t="str">
        <f t="shared" si="54"/>
        <v/>
      </c>
      <c r="I4103" s="17"/>
      <c r="J4103" s="17"/>
      <c r="K4103" s="17"/>
    </row>
    <row r="4104" spans="1:11" x14ac:dyDescent="0.2">
      <c r="A4104" s="115"/>
      <c r="B4104" s="93"/>
      <c r="C4104" s="94"/>
      <c r="D4104" s="95"/>
      <c r="E4104" s="95"/>
      <c r="F4104" s="96"/>
      <c r="G4104" s="97"/>
      <c r="H4104" s="114" t="str">
        <f t="shared" si="54"/>
        <v/>
      </c>
      <c r="I4104" s="17"/>
      <c r="J4104" s="17"/>
      <c r="K4104" s="17"/>
    </row>
    <row r="4105" spans="1:11" x14ac:dyDescent="0.2">
      <c r="A4105" s="115"/>
      <c r="B4105" s="93"/>
      <c r="C4105" s="94"/>
      <c r="D4105" s="95"/>
      <c r="E4105" s="95"/>
      <c r="F4105" s="96"/>
      <c r="G4105" s="97"/>
      <c r="H4105" s="114" t="str">
        <f t="shared" si="54"/>
        <v/>
      </c>
      <c r="I4105" s="17"/>
      <c r="J4105" s="17"/>
      <c r="K4105" s="17"/>
    </row>
    <row r="4106" spans="1:11" x14ac:dyDescent="0.2">
      <c r="A4106" s="115"/>
      <c r="B4106" s="93"/>
      <c r="C4106" s="94"/>
      <c r="D4106" s="95"/>
      <c r="E4106" s="95"/>
      <c r="F4106" s="96"/>
      <c r="G4106" s="97"/>
      <c r="H4106" s="114" t="str">
        <f t="shared" si="54"/>
        <v/>
      </c>
      <c r="I4106" s="17"/>
      <c r="J4106" s="17"/>
      <c r="K4106" s="17"/>
    </row>
    <row r="4107" spans="1:11" x14ac:dyDescent="0.2">
      <c r="A4107" s="115"/>
      <c r="B4107" s="93"/>
      <c r="C4107" s="94"/>
      <c r="D4107" s="95"/>
      <c r="E4107" s="95"/>
      <c r="F4107" s="96"/>
      <c r="G4107" s="97"/>
      <c r="H4107" s="114" t="str">
        <f t="shared" si="54"/>
        <v/>
      </c>
      <c r="I4107" s="17"/>
      <c r="J4107" s="17"/>
      <c r="K4107" s="17"/>
    </row>
    <row r="4108" spans="1:11" x14ac:dyDescent="0.2">
      <c r="A4108" s="115"/>
      <c r="B4108" s="93"/>
      <c r="C4108" s="94"/>
      <c r="D4108" s="95"/>
      <c r="E4108" s="95"/>
      <c r="F4108" s="96"/>
      <c r="G4108" s="97"/>
      <c r="H4108" s="114" t="str">
        <f t="shared" si="54"/>
        <v/>
      </c>
      <c r="I4108" s="17"/>
      <c r="J4108" s="17"/>
      <c r="K4108" s="17"/>
    </row>
    <row r="4109" spans="1:11" x14ac:dyDescent="0.2">
      <c r="A4109" s="115"/>
      <c r="B4109" s="93"/>
      <c r="C4109" s="94"/>
      <c r="D4109" s="95"/>
      <c r="E4109" s="95"/>
      <c r="F4109" s="96"/>
      <c r="G4109" s="97"/>
      <c r="H4109" s="114" t="str">
        <f t="shared" si="54"/>
        <v/>
      </c>
      <c r="I4109" s="17"/>
      <c r="J4109" s="17"/>
      <c r="K4109" s="17"/>
    </row>
    <row r="4110" spans="1:11" x14ac:dyDescent="0.2">
      <c r="A4110" s="115"/>
      <c r="B4110" s="93"/>
      <c r="C4110" s="94"/>
      <c r="D4110" s="95"/>
      <c r="E4110" s="95"/>
      <c r="F4110" s="96"/>
      <c r="G4110" s="97"/>
      <c r="H4110" s="114" t="str">
        <f t="shared" si="54"/>
        <v/>
      </c>
      <c r="I4110" s="17"/>
      <c r="J4110" s="17"/>
      <c r="K4110" s="17"/>
    </row>
    <row r="4111" spans="1:11" x14ac:dyDescent="0.2">
      <c r="A4111" s="115"/>
      <c r="B4111" s="93"/>
      <c r="C4111" s="94"/>
      <c r="D4111" s="95"/>
      <c r="E4111" s="95"/>
      <c r="F4111" s="96"/>
      <c r="G4111" s="97"/>
      <c r="H4111" s="114" t="str">
        <f t="shared" si="54"/>
        <v/>
      </c>
      <c r="I4111" s="17"/>
      <c r="J4111" s="17"/>
      <c r="K4111" s="17"/>
    </row>
    <row r="4112" spans="1:11" x14ac:dyDescent="0.2">
      <c r="A4112" s="115"/>
      <c r="B4112" s="93"/>
      <c r="C4112" s="94"/>
      <c r="D4112" s="95"/>
      <c r="E4112" s="95"/>
      <c r="F4112" s="96"/>
      <c r="G4112" s="97"/>
      <c r="H4112" s="114" t="str">
        <f t="shared" si="54"/>
        <v/>
      </c>
      <c r="I4112" s="17"/>
      <c r="J4112" s="17"/>
      <c r="K4112" s="17"/>
    </row>
    <row r="4113" spans="1:11" x14ac:dyDescent="0.2">
      <c r="A4113" s="115"/>
      <c r="B4113" s="93"/>
      <c r="C4113" s="94"/>
      <c r="D4113" s="95"/>
      <c r="E4113" s="95"/>
      <c r="F4113" s="96"/>
      <c r="G4113" s="97"/>
      <c r="H4113" s="114" t="str">
        <f t="shared" si="54"/>
        <v/>
      </c>
      <c r="I4113" s="17"/>
      <c r="J4113" s="17"/>
      <c r="K4113" s="17"/>
    </row>
    <row r="4114" spans="1:11" x14ac:dyDescent="0.2">
      <c r="A4114" s="115"/>
      <c r="B4114" s="93"/>
      <c r="C4114" s="94"/>
      <c r="D4114" s="95"/>
      <c r="E4114" s="95"/>
      <c r="F4114" s="96"/>
      <c r="G4114" s="97"/>
      <c r="H4114" s="114" t="str">
        <f t="shared" si="54"/>
        <v/>
      </c>
      <c r="I4114" s="17"/>
      <c r="J4114" s="17"/>
      <c r="K4114" s="17"/>
    </row>
    <row r="4115" spans="1:11" x14ac:dyDescent="0.2">
      <c r="A4115" s="115"/>
      <c r="B4115" s="93"/>
      <c r="C4115" s="94"/>
      <c r="D4115" s="95"/>
      <c r="E4115" s="95"/>
      <c r="F4115" s="96"/>
      <c r="G4115" s="97"/>
      <c r="H4115" s="114" t="str">
        <f t="shared" si="54"/>
        <v/>
      </c>
      <c r="I4115" s="17"/>
      <c r="J4115" s="17"/>
      <c r="K4115" s="17"/>
    </row>
    <row r="4116" spans="1:11" x14ac:dyDescent="0.2">
      <c r="A4116" s="115"/>
      <c r="B4116" s="93"/>
      <c r="C4116" s="94"/>
      <c r="D4116" s="95"/>
      <c r="E4116" s="95"/>
      <c r="F4116" s="96"/>
      <c r="G4116" s="97"/>
      <c r="H4116" s="114" t="str">
        <f t="shared" si="54"/>
        <v/>
      </c>
      <c r="I4116" s="17"/>
      <c r="J4116" s="17"/>
      <c r="K4116" s="17"/>
    </row>
    <row r="4117" spans="1:11" x14ac:dyDescent="0.2">
      <c r="A4117" s="115"/>
      <c r="B4117" s="93"/>
      <c r="C4117" s="94"/>
      <c r="D4117" s="95"/>
      <c r="E4117" s="95"/>
      <c r="F4117" s="96"/>
      <c r="G4117" s="97"/>
      <c r="H4117" s="114" t="str">
        <f t="shared" si="54"/>
        <v/>
      </c>
      <c r="I4117" s="17"/>
      <c r="J4117" s="17"/>
      <c r="K4117" s="17"/>
    </row>
    <row r="4118" spans="1:11" x14ac:dyDescent="0.2">
      <c r="A4118" s="115"/>
      <c r="B4118" s="93"/>
      <c r="C4118" s="94"/>
      <c r="D4118" s="95"/>
      <c r="E4118" s="95"/>
      <c r="F4118" s="96"/>
      <c r="G4118" s="97"/>
      <c r="H4118" s="114" t="str">
        <f t="shared" si="54"/>
        <v/>
      </c>
      <c r="I4118" s="17"/>
      <c r="J4118" s="17"/>
      <c r="K4118" s="17"/>
    </row>
    <row r="4119" spans="1:11" x14ac:dyDescent="0.2">
      <c r="A4119" s="115"/>
      <c r="B4119" s="93"/>
      <c r="C4119" s="94"/>
      <c r="D4119" s="95"/>
      <c r="E4119" s="95"/>
      <c r="F4119" s="96"/>
      <c r="G4119" s="97"/>
      <c r="H4119" s="114" t="str">
        <f t="shared" si="54"/>
        <v/>
      </c>
      <c r="I4119" s="17"/>
      <c r="J4119" s="17"/>
      <c r="K4119" s="17"/>
    </row>
    <row r="4120" spans="1:11" x14ac:dyDescent="0.2">
      <c r="A4120" s="115"/>
      <c r="B4120" s="93"/>
      <c r="C4120" s="94"/>
      <c r="D4120" s="95"/>
      <c r="E4120" s="95"/>
      <c r="F4120" s="96"/>
      <c r="G4120" s="97"/>
      <c r="H4120" s="114" t="str">
        <f t="shared" si="54"/>
        <v/>
      </c>
      <c r="I4120" s="17"/>
      <c r="J4120" s="17"/>
      <c r="K4120" s="17"/>
    </row>
    <row r="4121" spans="1:11" x14ac:dyDescent="0.2">
      <c r="A4121" s="115"/>
      <c r="B4121" s="93"/>
      <c r="C4121" s="94"/>
      <c r="D4121" s="95"/>
      <c r="E4121" s="95"/>
      <c r="F4121" s="96"/>
      <c r="G4121" s="97"/>
      <c r="H4121" s="114" t="str">
        <f t="shared" si="54"/>
        <v/>
      </c>
      <c r="I4121" s="17"/>
      <c r="J4121" s="17"/>
      <c r="K4121" s="17"/>
    </row>
    <row r="4122" spans="1:11" x14ac:dyDescent="0.2">
      <c r="A4122" s="115"/>
      <c r="B4122" s="93"/>
      <c r="C4122" s="94"/>
      <c r="D4122" s="95"/>
      <c r="E4122" s="95"/>
      <c r="F4122" s="96"/>
      <c r="G4122" s="97"/>
      <c r="H4122" s="114" t="str">
        <f t="shared" si="54"/>
        <v/>
      </c>
      <c r="I4122" s="17"/>
      <c r="J4122" s="17"/>
      <c r="K4122" s="17"/>
    </row>
    <row r="4123" spans="1:11" x14ac:dyDescent="0.2">
      <c r="A4123" s="115"/>
      <c r="B4123" s="93"/>
      <c r="C4123" s="94"/>
      <c r="D4123" s="95"/>
      <c r="E4123" s="95"/>
      <c r="F4123" s="96"/>
      <c r="G4123" s="97"/>
      <c r="H4123" s="114" t="str">
        <f t="shared" si="54"/>
        <v/>
      </c>
      <c r="I4123" s="17"/>
      <c r="J4123" s="17"/>
      <c r="K4123" s="17"/>
    </row>
    <row r="4124" spans="1:11" x14ac:dyDescent="0.2">
      <c r="A4124" s="115"/>
      <c r="B4124" s="93"/>
      <c r="C4124" s="94"/>
      <c r="D4124" s="95"/>
      <c r="E4124" s="95"/>
      <c r="F4124" s="96"/>
      <c r="G4124" s="97"/>
      <c r="H4124" s="114" t="str">
        <f t="shared" si="54"/>
        <v/>
      </c>
      <c r="I4124" s="17"/>
      <c r="J4124" s="17"/>
      <c r="K4124" s="17"/>
    </row>
    <row r="4125" spans="1:11" x14ac:dyDescent="0.2">
      <c r="A4125" s="115"/>
      <c r="B4125" s="93"/>
      <c r="C4125" s="94"/>
      <c r="D4125" s="95"/>
      <c r="E4125" s="95"/>
      <c r="F4125" s="96"/>
      <c r="G4125" s="97"/>
      <c r="H4125" s="114" t="str">
        <f t="shared" si="54"/>
        <v/>
      </c>
      <c r="I4125" s="17"/>
      <c r="J4125" s="17"/>
      <c r="K4125" s="17"/>
    </row>
    <row r="4126" spans="1:11" x14ac:dyDescent="0.2">
      <c r="A4126" s="115"/>
      <c r="B4126" s="93"/>
      <c r="C4126" s="94"/>
      <c r="D4126" s="95"/>
      <c r="E4126" s="95"/>
      <c r="F4126" s="96"/>
      <c r="G4126" s="97"/>
      <c r="H4126" s="114" t="str">
        <f t="shared" si="54"/>
        <v/>
      </c>
      <c r="I4126" s="17"/>
      <c r="J4126" s="17"/>
      <c r="K4126" s="17"/>
    </row>
    <row r="4127" spans="1:11" x14ac:dyDescent="0.2">
      <c r="A4127" s="115"/>
      <c r="B4127" s="93"/>
      <c r="C4127" s="94"/>
      <c r="D4127" s="95"/>
      <c r="E4127" s="95"/>
      <c r="F4127" s="96"/>
      <c r="G4127" s="97"/>
      <c r="H4127" s="114" t="str">
        <f t="shared" si="54"/>
        <v/>
      </c>
      <c r="I4127" s="17"/>
      <c r="J4127" s="17"/>
      <c r="K4127" s="17"/>
    </row>
    <row r="4128" spans="1:11" x14ac:dyDescent="0.2">
      <c r="A4128" s="115"/>
      <c r="B4128" s="93"/>
      <c r="C4128" s="94"/>
      <c r="D4128" s="95"/>
      <c r="E4128" s="95"/>
      <c r="F4128" s="96"/>
      <c r="G4128" s="97"/>
      <c r="H4128" s="114" t="str">
        <f t="shared" si="54"/>
        <v/>
      </c>
      <c r="I4128" s="17"/>
      <c r="J4128" s="17"/>
      <c r="K4128" s="17"/>
    </row>
    <row r="4129" spans="1:11" x14ac:dyDescent="0.2">
      <c r="A4129" s="115"/>
      <c r="B4129" s="93"/>
      <c r="C4129" s="94"/>
      <c r="D4129" s="95"/>
      <c r="E4129" s="95"/>
      <c r="F4129" s="96"/>
      <c r="G4129" s="97"/>
      <c r="H4129" s="114" t="str">
        <f t="shared" si="54"/>
        <v/>
      </c>
      <c r="I4129" s="17"/>
      <c r="J4129" s="17"/>
      <c r="K4129" s="17"/>
    </row>
    <row r="4130" spans="1:11" x14ac:dyDescent="0.2">
      <c r="A4130" s="115"/>
      <c r="B4130" s="93"/>
      <c r="C4130" s="94"/>
      <c r="D4130" s="95"/>
      <c r="E4130" s="95"/>
      <c r="F4130" s="96"/>
      <c r="G4130" s="97"/>
      <c r="H4130" s="114" t="str">
        <f t="shared" si="54"/>
        <v/>
      </c>
      <c r="I4130" s="17"/>
      <c r="J4130" s="17"/>
      <c r="K4130" s="17"/>
    </row>
    <row r="4131" spans="1:11" x14ac:dyDescent="0.2">
      <c r="A4131" s="115"/>
      <c r="B4131" s="93"/>
      <c r="C4131" s="94"/>
      <c r="D4131" s="95"/>
      <c r="E4131" s="95"/>
      <c r="F4131" s="96"/>
      <c r="G4131" s="97"/>
      <c r="H4131" s="114" t="str">
        <f t="shared" si="54"/>
        <v/>
      </c>
      <c r="I4131" s="17"/>
      <c r="J4131" s="17"/>
      <c r="K4131" s="17"/>
    </row>
    <row r="4132" spans="1:11" x14ac:dyDescent="0.2">
      <c r="A4132" s="115"/>
      <c r="B4132" s="93"/>
      <c r="C4132" s="94"/>
      <c r="D4132" s="95"/>
      <c r="E4132" s="95"/>
      <c r="F4132" s="96"/>
      <c r="G4132" s="97"/>
      <c r="H4132" s="114" t="str">
        <f t="shared" si="54"/>
        <v/>
      </c>
      <c r="I4132" s="17"/>
      <c r="J4132" s="17"/>
      <c r="K4132" s="17"/>
    </row>
    <row r="4133" spans="1:11" x14ac:dyDescent="0.2">
      <c r="A4133" s="115"/>
      <c r="B4133" s="93"/>
      <c r="C4133" s="94"/>
      <c r="D4133" s="95"/>
      <c r="E4133" s="95"/>
      <c r="F4133" s="96"/>
      <c r="G4133" s="97"/>
      <c r="H4133" s="114" t="str">
        <f t="shared" si="54"/>
        <v/>
      </c>
      <c r="I4133" s="17"/>
      <c r="J4133" s="17"/>
      <c r="K4133" s="17"/>
    </row>
    <row r="4134" spans="1:11" x14ac:dyDescent="0.2">
      <c r="A4134" s="115"/>
      <c r="B4134" s="93"/>
      <c r="C4134" s="94"/>
      <c r="D4134" s="95"/>
      <c r="E4134" s="95"/>
      <c r="F4134" s="96"/>
      <c r="G4134" s="97"/>
      <c r="H4134" s="114" t="str">
        <f t="shared" si="54"/>
        <v/>
      </c>
      <c r="I4134" s="17"/>
      <c r="J4134" s="17"/>
      <c r="K4134" s="17"/>
    </row>
    <row r="4135" spans="1:11" x14ac:dyDescent="0.2">
      <c r="A4135" s="115"/>
      <c r="B4135" s="93"/>
      <c r="C4135" s="94"/>
      <c r="D4135" s="95"/>
      <c r="E4135" s="95"/>
      <c r="F4135" s="96"/>
      <c r="G4135" s="97"/>
      <c r="H4135" s="114" t="str">
        <f t="shared" si="54"/>
        <v/>
      </c>
      <c r="I4135" s="17"/>
      <c r="J4135" s="17"/>
      <c r="K4135" s="17"/>
    </row>
    <row r="4136" spans="1:11" x14ac:dyDescent="0.2">
      <c r="A4136" s="115"/>
      <c r="B4136" s="93"/>
      <c r="C4136" s="94"/>
      <c r="D4136" s="95"/>
      <c r="E4136" s="95"/>
      <c r="F4136" s="96"/>
      <c r="G4136" s="97"/>
      <c r="H4136" s="114" t="str">
        <f t="shared" si="54"/>
        <v/>
      </c>
      <c r="I4136" s="17"/>
      <c r="J4136" s="17"/>
      <c r="K4136" s="17"/>
    </row>
    <row r="4137" spans="1:11" x14ac:dyDescent="0.2">
      <c r="A4137" s="115"/>
      <c r="B4137" s="93"/>
      <c r="C4137" s="94"/>
      <c r="D4137" s="95"/>
      <c r="E4137" s="95"/>
      <c r="F4137" s="96"/>
      <c r="G4137" s="97"/>
      <c r="H4137" s="114" t="str">
        <f t="shared" si="54"/>
        <v/>
      </c>
      <c r="I4137" s="17"/>
      <c r="J4137" s="17"/>
      <c r="K4137" s="17"/>
    </row>
    <row r="4138" spans="1:11" x14ac:dyDescent="0.2">
      <c r="A4138" s="115"/>
      <c r="B4138" s="93"/>
      <c r="C4138" s="94"/>
      <c r="D4138" s="95"/>
      <c r="E4138" s="95"/>
      <c r="F4138" s="96"/>
      <c r="G4138" s="97"/>
      <c r="H4138" s="114" t="str">
        <f t="shared" si="54"/>
        <v/>
      </c>
      <c r="I4138" s="17"/>
      <c r="J4138" s="17"/>
      <c r="K4138" s="17"/>
    </row>
    <row r="4139" spans="1:11" x14ac:dyDescent="0.2">
      <c r="A4139" s="115"/>
      <c r="B4139" s="93"/>
      <c r="C4139" s="94"/>
      <c r="D4139" s="95"/>
      <c r="E4139" s="95"/>
      <c r="F4139" s="96"/>
      <c r="G4139" s="97"/>
      <c r="H4139" s="114" t="str">
        <f t="shared" si="54"/>
        <v/>
      </c>
      <c r="I4139" s="17"/>
      <c r="J4139" s="17"/>
      <c r="K4139" s="17"/>
    </row>
    <row r="4140" spans="1:11" x14ac:dyDescent="0.2">
      <c r="A4140" s="115"/>
      <c r="B4140" s="93"/>
      <c r="C4140" s="94"/>
      <c r="D4140" s="95"/>
      <c r="E4140" s="95"/>
      <c r="F4140" s="96"/>
      <c r="G4140" s="97"/>
      <c r="H4140" s="114" t="str">
        <f t="shared" si="54"/>
        <v/>
      </c>
      <c r="I4140" s="17"/>
      <c r="J4140" s="17"/>
      <c r="K4140" s="17"/>
    </row>
    <row r="4141" spans="1:11" x14ac:dyDescent="0.2">
      <c r="A4141" s="115"/>
      <c r="B4141" s="93"/>
      <c r="C4141" s="94"/>
      <c r="D4141" s="95"/>
      <c r="E4141" s="95"/>
      <c r="F4141" s="96"/>
      <c r="G4141" s="97"/>
      <c r="H4141" s="114" t="str">
        <f t="shared" si="54"/>
        <v/>
      </c>
      <c r="I4141" s="17"/>
      <c r="J4141" s="17"/>
      <c r="K4141" s="17"/>
    </row>
    <row r="4142" spans="1:11" x14ac:dyDescent="0.2">
      <c r="A4142" s="115"/>
      <c r="B4142" s="93"/>
      <c r="C4142" s="94"/>
      <c r="D4142" s="95"/>
      <c r="E4142" s="95"/>
      <c r="F4142" s="96"/>
      <c r="G4142" s="97"/>
      <c r="H4142" s="114" t="str">
        <f t="shared" si="54"/>
        <v/>
      </c>
      <c r="I4142" s="17"/>
      <c r="J4142" s="17"/>
      <c r="K4142" s="17"/>
    </row>
    <row r="4143" spans="1:11" x14ac:dyDescent="0.2">
      <c r="A4143" s="115"/>
      <c r="B4143" s="93"/>
      <c r="C4143" s="94"/>
      <c r="D4143" s="95"/>
      <c r="E4143" s="95"/>
      <c r="F4143" s="96"/>
      <c r="G4143" s="97"/>
      <c r="H4143" s="114" t="str">
        <f t="shared" si="54"/>
        <v/>
      </c>
      <c r="I4143" s="17"/>
      <c r="J4143" s="17"/>
      <c r="K4143" s="17"/>
    </row>
    <row r="4144" spans="1:11" x14ac:dyDescent="0.2">
      <c r="A4144" s="115"/>
      <c r="B4144" s="93"/>
      <c r="C4144" s="94"/>
      <c r="D4144" s="95"/>
      <c r="E4144" s="95"/>
      <c r="F4144" s="96"/>
      <c r="G4144" s="97"/>
      <c r="H4144" s="114" t="str">
        <f t="shared" si="54"/>
        <v/>
      </c>
      <c r="I4144" s="17"/>
      <c r="J4144" s="17"/>
      <c r="K4144" s="17"/>
    </row>
    <row r="4145" spans="1:11" x14ac:dyDescent="0.2">
      <c r="A4145" s="115"/>
      <c r="B4145" s="93"/>
      <c r="C4145" s="94"/>
      <c r="D4145" s="95"/>
      <c r="E4145" s="95"/>
      <c r="F4145" s="96"/>
      <c r="G4145" s="97"/>
      <c r="H4145" s="114" t="str">
        <f t="shared" si="54"/>
        <v/>
      </c>
      <c r="I4145" s="17"/>
      <c r="J4145" s="17"/>
      <c r="K4145" s="17"/>
    </row>
    <row r="4146" spans="1:11" x14ac:dyDescent="0.2">
      <c r="A4146" s="115"/>
      <c r="B4146" s="93"/>
      <c r="C4146" s="94"/>
      <c r="D4146" s="95"/>
      <c r="E4146" s="95"/>
      <c r="F4146" s="96"/>
      <c r="G4146" s="97"/>
      <c r="H4146" s="114" t="str">
        <f t="shared" si="54"/>
        <v/>
      </c>
      <c r="I4146" s="17"/>
      <c r="J4146" s="17"/>
      <c r="K4146" s="17"/>
    </row>
    <row r="4147" spans="1:11" x14ac:dyDescent="0.2">
      <c r="A4147" s="115"/>
      <c r="B4147" s="93"/>
      <c r="C4147" s="94"/>
      <c r="D4147" s="95"/>
      <c r="E4147" s="95"/>
      <c r="F4147" s="96"/>
      <c r="G4147" s="97"/>
      <c r="H4147" s="114" t="str">
        <f t="shared" si="54"/>
        <v/>
      </c>
      <c r="I4147" s="17"/>
      <c r="J4147" s="17"/>
      <c r="K4147" s="17"/>
    </row>
    <row r="4148" spans="1:11" x14ac:dyDescent="0.2">
      <c r="A4148" s="115"/>
      <c r="B4148" s="93"/>
      <c r="C4148" s="94"/>
      <c r="D4148" s="95"/>
      <c r="E4148" s="95"/>
      <c r="F4148" s="96"/>
      <c r="G4148" s="97"/>
      <c r="H4148" s="114" t="str">
        <f t="shared" si="54"/>
        <v/>
      </c>
      <c r="I4148" s="17"/>
      <c r="J4148" s="17"/>
      <c r="K4148" s="17"/>
    </row>
    <row r="4149" spans="1:11" x14ac:dyDescent="0.2">
      <c r="A4149" s="115"/>
      <c r="B4149" s="93"/>
      <c r="C4149" s="94"/>
      <c r="D4149" s="95"/>
      <c r="E4149" s="95"/>
      <c r="F4149" s="96"/>
      <c r="G4149" s="97"/>
      <c r="H4149" s="114" t="str">
        <f t="shared" si="54"/>
        <v/>
      </c>
      <c r="I4149" s="17"/>
      <c r="J4149" s="17"/>
      <c r="K4149" s="17"/>
    </row>
    <row r="4150" spans="1:11" x14ac:dyDescent="0.2">
      <c r="A4150" s="115"/>
      <c r="B4150" s="93"/>
      <c r="C4150" s="94"/>
      <c r="D4150" s="95"/>
      <c r="E4150" s="95"/>
      <c r="F4150" s="96"/>
      <c r="G4150" s="97"/>
      <c r="H4150" s="114" t="str">
        <f t="shared" si="54"/>
        <v/>
      </c>
      <c r="I4150" s="17"/>
      <c r="J4150" s="17"/>
      <c r="K4150" s="17"/>
    </row>
    <row r="4151" spans="1:11" x14ac:dyDescent="0.2">
      <c r="A4151" s="115"/>
      <c r="B4151" s="93"/>
      <c r="C4151" s="94"/>
      <c r="D4151" s="95"/>
      <c r="E4151" s="95"/>
      <c r="F4151" s="96"/>
      <c r="G4151" s="97"/>
      <c r="H4151" s="114" t="str">
        <f t="shared" si="54"/>
        <v/>
      </c>
      <c r="I4151" s="17"/>
      <c r="J4151" s="17"/>
      <c r="K4151" s="17"/>
    </row>
    <row r="4152" spans="1:11" x14ac:dyDescent="0.2">
      <c r="A4152" s="115"/>
      <c r="B4152" s="93"/>
      <c r="C4152" s="94"/>
      <c r="D4152" s="95"/>
      <c r="E4152" s="95"/>
      <c r="F4152" s="96"/>
      <c r="G4152" s="97"/>
      <c r="H4152" s="114" t="str">
        <f t="shared" si="54"/>
        <v/>
      </c>
      <c r="I4152" s="17"/>
      <c r="J4152" s="17"/>
      <c r="K4152" s="17"/>
    </row>
    <row r="4153" spans="1:11" x14ac:dyDescent="0.2">
      <c r="A4153" s="115"/>
      <c r="B4153" s="93"/>
      <c r="C4153" s="94"/>
      <c r="D4153" s="95"/>
      <c r="E4153" s="95"/>
      <c r="F4153" s="96"/>
      <c r="G4153" s="97"/>
      <c r="H4153" s="114" t="str">
        <f t="shared" si="54"/>
        <v/>
      </c>
      <c r="I4153" s="17"/>
      <c r="J4153" s="17"/>
      <c r="K4153" s="17"/>
    </row>
    <row r="4154" spans="1:11" x14ac:dyDescent="0.2">
      <c r="A4154" s="115"/>
      <c r="B4154" s="93"/>
      <c r="C4154" s="94"/>
      <c r="D4154" s="95"/>
      <c r="E4154" s="95"/>
      <c r="F4154" s="96"/>
      <c r="G4154" s="97"/>
      <c r="H4154" s="114" t="str">
        <f t="shared" si="54"/>
        <v/>
      </c>
      <c r="I4154" s="17"/>
      <c r="J4154" s="17"/>
      <c r="K4154" s="17"/>
    </row>
    <row r="4155" spans="1:11" x14ac:dyDescent="0.2">
      <c r="A4155" s="115"/>
      <c r="B4155" s="93"/>
      <c r="C4155" s="94"/>
      <c r="D4155" s="95"/>
      <c r="E4155" s="95"/>
      <c r="F4155" s="96"/>
      <c r="G4155" s="97"/>
      <c r="H4155" s="114" t="str">
        <f t="shared" si="54"/>
        <v/>
      </c>
      <c r="I4155" s="17"/>
      <c r="J4155" s="17"/>
      <c r="K4155" s="17"/>
    </row>
    <row r="4156" spans="1:11" x14ac:dyDescent="0.2">
      <c r="A4156" s="115"/>
      <c r="B4156" s="93"/>
      <c r="C4156" s="94"/>
      <c r="D4156" s="95"/>
      <c r="E4156" s="95"/>
      <c r="F4156" s="96"/>
      <c r="G4156" s="97"/>
      <c r="H4156" s="114" t="str">
        <f t="shared" si="54"/>
        <v/>
      </c>
      <c r="I4156" s="17"/>
      <c r="J4156" s="17"/>
      <c r="K4156" s="17"/>
    </row>
    <row r="4157" spans="1:11" x14ac:dyDescent="0.2">
      <c r="A4157" s="115"/>
      <c r="B4157" s="93"/>
      <c r="C4157" s="94"/>
      <c r="D4157" s="95"/>
      <c r="E4157" s="95"/>
      <c r="F4157" s="96"/>
      <c r="G4157" s="97"/>
      <c r="H4157" s="114" t="str">
        <f t="shared" si="54"/>
        <v/>
      </c>
      <c r="I4157" s="17"/>
      <c r="J4157" s="17"/>
      <c r="K4157" s="17"/>
    </row>
    <row r="4158" spans="1:11" x14ac:dyDescent="0.2">
      <c r="A4158" s="115"/>
      <c r="B4158" s="93"/>
      <c r="C4158" s="94"/>
      <c r="D4158" s="95"/>
      <c r="E4158" s="95"/>
      <c r="F4158" s="96"/>
      <c r="G4158" s="97"/>
      <c r="H4158" s="114" t="str">
        <f t="shared" si="54"/>
        <v/>
      </c>
      <c r="I4158" s="17"/>
      <c r="J4158" s="17"/>
      <c r="K4158" s="17"/>
    </row>
    <row r="4159" spans="1:11" x14ac:dyDescent="0.2">
      <c r="A4159" s="115"/>
      <c r="B4159" s="93"/>
      <c r="C4159" s="94"/>
      <c r="D4159" s="95"/>
      <c r="E4159" s="95"/>
      <c r="F4159" s="96"/>
      <c r="G4159" s="97"/>
      <c r="H4159" s="114" t="str">
        <f t="shared" si="54"/>
        <v/>
      </c>
      <c r="I4159" s="17"/>
      <c r="J4159" s="17"/>
      <c r="K4159" s="17"/>
    </row>
    <row r="4160" spans="1:11" x14ac:dyDescent="0.2">
      <c r="A4160" s="115"/>
      <c r="B4160" s="93"/>
      <c r="C4160" s="94"/>
      <c r="D4160" s="95"/>
      <c r="E4160" s="95"/>
      <c r="F4160" s="96"/>
      <c r="G4160" s="97"/>
      <c r="H4160" s="114" t="str">
        <f t="shared" si="54"/>
        <v/>
      </c>
      <c r="I4160" s="17"/>
      <c r="J4160" s="17"/>
      <c r="K4160" s="17"/>
    </row>
    <row r="4161" spans="1:11" x14ac:dyDescent="0.2">
      <c r="A4161" s="115"/>
      <c r="B4161" s="93"/>
      <c r="C4161" s="94"/>
      <c r="D4161" s="95"/>
      <c r="E4161" s="95"/>
      <c r="F4161" s="96"/>
      <c r="G4161" s="97"/>
      <c r="H4161" s="114" t="str">
        <f t="shared" si="54"/>
        <v/>
      </c>
      <c r="I4161" s="17"/>
      <c r="J4161" s="17"/>
      <c r="K4161" s="17"/>
    </row>
    <row r="4162" spans="1:11" x14ac:dyDescent="0.2">
      <c r="A4162" s="115"/>
      <c r="B4162" s="93"/>
      <c r="C4162" s="94"/>
      <c r="D4162" s="95"/>
      <c r="E4162" s="95"/>
      <c r="F4162" s="96"/>
      <c r="G4162" s="97"/>
      <c r="H4162" s="114" t="str">
        <f t="shared" si="54"/>
        <v/>
      </c>
      <c r="I4162" s="17"/>
      <c r="J4162" s="17"/>
      <c r="K4162" s="17"/>
    </row>
    <row r="4163" spans="1:11" x14ac:dyDescent="0.2">
      <c r="A4163" s="115"/>
      <c r="B4163" s="93"/>
      <c r="C4163" s="94"/>
      <c r="D4163" s="95"/>
      <c r="E4163" s="95"/>
      <c r="F4163" s="96"/>
      <c r="G4163" s="97"/>
      <c r="H4163" s="114" t="str">
        <f t="shared" si="54"/>
        <v/>
      </c>
      <c r="I4163" s="17"/>
      <c r="J4163" s="17"/>
      <c r="K4163" s="17"/>
    </row>
    <row r="4164" spans="1:11" x14ac:dyDescent="0.2">
      <c r="A4164" s="115"/>
      <c r="B4164" s="93"/>
      <c r="C4164" s="94"/>
      <c r="D4164" s="95"/>
      <c r="E4164" s="95"/>
      <c r="F4164" s="96"/>
      <c r="G4164" s="97"/>
      <c r="H4164" s="114" t="str">
        <f t="shared" ref="H4164:H4227" si="55">IF(A4164&lt;&gt;"", EOMONTH(A4164, -1) + 1, "")</f>
        <v/>
      </c>
      <c r="I4164" s="17"/>
      <c r="J4164" s="17"/>
      <c r="K4164" s="17"/>
    </row>
    <row r="4165" spans="1:11" x14ac:dyDescent="0.2">
      <c r="A4165" s="115"/>
      <c r="B4165" s="93"/>
      <c r="C4165" s="94"/>
      <c r="D4165" s="95"/>
      <c r="E4165" s="95"/>
      <c r="F4165" s="96"/>
      <c r="G4165" s="97"/>
      <c r="H4165" s="114" t="str">
        <f t="shared" si="55"/>
        <v/>
      </c>
      <c r="I4165" s="17"/>
      <c r="J4165" s="17"/>
      <c r="K4165" s="17"/>
    </row>
    <row r="4166" spans="1:11" x14ac:dyDescent="0.2">
      <c r="A4166" s="115"/>
      <c r="B4166" s="93"/>
      <c r="C4166" s="94"/>
      <c r="D4166" s="95"/>
      <c r="E4166" s="95"/>
      <c r="F4166" s="96"/>
      <c r="G4166" s="97"/>
      <c r="H4166" s="114" t="str">
        <f t="shared" si="55"/>
        <v/>
      </c>
      <c r="I4166" s="17"/>
      <c r="J4166" s="17"/>
      <c r="K4166" s="17"/>
    </row>
    <row r="4167" spans="1:11" x14ac:dyDescent="0.2">
      <c r="A4167" s="115"/>
      <c r="B4167" s="93"/>
      <c r="C4167" s="94"/>
      <c r="D4167" s="95"/>
      <c r="E4167" s="95"/>
      <c r="F4167" s="96"/>
      <c r="G4167" s="97"/>
      <c r="H4167" s="114" t="str">
        <f t="shared" si="55"/>
        <v/>
      </c>
      <c r="I4167" s="17"/>
      <c r="J4167" s="17"/>
      <c r="K4167" s="17"/>
    </row>
    <row r="4168" spans="1:11" x14ac:dyDescent="0.2">
      <c r="A4168" s="115"/>
      <c r="B4168" s="93"/>
      <c r="C4168" s="94"/>
      <c r="D4168" s="95"/>
      <c r="E4168" s="95"/>
      <c r="F4168" s="96"/>
      <c r="G4168" s="97"/>
      <c r="H4168" s="114" t="str">
        <f t="shared" si="55"/>
        <v/>
      </c>
      <c r="I4168" s="17"/>
      <c r="J4168" s="17"/>
      <c r="K4168" s="17"/>
    </row>
    <row r="4169" spans="1:11" x14ac:dyDescent="0.2">
      <c r="A4169" s="115"/>
      <c r="B4169" s="93"/>
      <c r="C4169" s="94"/>
      <c r="D4169" s="95"/>
      <c r="E4169" s="95"/>
      <c r="F4169" s="96"/>
      <c r="G4169" s="97"/>
      <c r="H4169" s="114" t="str">
        <f t="shared" si="55"/>
        <v/>
      </c>
      <c r="I4169" s="17"/>
      <c r="J4169" s="17"/>
      <c r="K4169" s="17"/>
    </row>
    <row r="4170" spans="1:11" x14ac:dyDescent="0.2">
      <c r="A4170" s="115"/>
      <c r="B4170" s="93"/>
      <c r="C4170" s="94"/>
      <c r="D4170" s="95"/>
      <c r="E4170" s="95"/>
      <c r="F4170" s="96"/>
      <c r="G4170" s="97"/>
      <c r="H4170" s="114" t="str">
        <f t="shared" si="55"/>
        <v/>
      </c>
      <c r="I4170" s="17"/>
      <c r="J4170" s="17"/>
      <c r="K4170" s="17"/>
    </row>
    <row r="4171" spans="1:11" x14ac:dyDescent="0.2">
      <c r="A4171" s="115"/>
      <c r="B4171" s="93"/>
      <c r="C4171" s="94"/>
      <c r="D4171" s="95"/>
      <c r="E4171" s="95"/>
      <c r="F4171" s="96"/>
      <c r="G4171" s="97"/>
      <c r="H4171" s="114" t="str">
        <f t="shared" si="55"/>
        <v/>
      </c>
      <c r="I4171" s="17"/>
      <c r="J4171" s="17"/>
      <c r="K4171" s="17"/>
    </row>
    <row r="4172" spans="1:11" x14ac:dyDescent="0.2">
      <c r="A4172" s="115"/>
      <c r="B4172" s="93"/>
      <c r="C4172" s="94"/>
      <c r="D4172" s="95"/>
      <c r="E4172" s="95"/>
      <c r="F4172" s="96"/>
      <c r="G4172" s="97"/>
      <c r="H4172" s="114" t="str">
        <f t="shared" si="55"/>
        <v/>
      </c>
      <c r="I4172" s="17"/>
      <c r="J4172" s="17"/>
      <c r="K4172" s="17"/>
    </row>
    <row r="4173" spans="1:11" x14ac:dyDescent="0.2">
      <c r="A4173" s="115"/>
      <c r="B4173" s="93"/>
      <c r="C4173" s="94"/>
      <c r="D4173" s="95"/>
      <c r="E4173" s="95"/>
      <c r="F4173" s="96"/>
      <c r="G4173" s="97"/>
      <c r="H4173" s="114" t="str">
        <f t="shared" si="55"/>
        <v/>
      </c>
      <c r="I4173" s="17"/>
      <c r="J4173" s="17"/>
      <c r="K4173" s="17"/>
    </row>
    <row r="4174" spans="1:11" x14ac:dyDescent="0.2">
      <c r="A4174" s="115"/>
      <c r="B4174" s="93"/>
      <c r="C4174" s="94"/>
      <c r="D4174" s="95"/>
      <c r="E4174" s="95"/>
      <c r="F4174" s="96"/>
      <c r="G4174" s="97"/>
      <c r="H4174" s="114" t="str">
        <f t="shared" si="55"/>
        <v/>
      </c>
      <c r="I4174" s="17"/>
      <c r="J4174" s="17"/>
      <c r="K4174" s="17"/>
    </row>
    <row r="4175" spans="1:11" x14ac:dyDescent="0.2">
      <c r="A4175" s="115"/>
      <c r="B4175" s="93"/>
      <c r="C4175" s="94"/>
      <c r="D4175" s="95"/>
      <c r="E4175" s="95"/>
      <c r="F4175" s="96"/>
      <c r="G4175" s="97"/>
      <c r="H4175" s="114" t="str">
        <f t="shared" si="55"/>
        <v/>
      </c>
      <c r="I4175" s="17"/>
      <c r="J4175" s="17"/>
      <c r="K4175" s="17"/>
    </row>
    <row r="4176" spans="1:11" x14ac:dyDescent="0.2">
      <c r="A4176" s="115"/>
      <c r="B4176" s="93"/>
      <c r="C4176" s="94"/>
      <c r="D4176" s="95"/>
      <c r="E4176" s="95"/>
      <c r="F4176" s="96"/>
      <c r="G4176" s="97"/>
      <c r="H4176" s="114" t="str">
        <f t="shared" si="55"/>
        <v/>
      </c>
      <c r="I4176" s="17"/>
      <c r="J4176" s="17"/>
      <c r="K4176" s="17"/>
    </row>
    <row r="4177" spans="1:11" x14ac:dyDescent="0.2">
      <c r="A4177" s="115"/>
      <c r="B4177" s="93"/>
      <c r="C4177" s="94"/>
      <c r="D4177" s="95"/>
      <c r="E4177" s="95"/>
      <c r="F4177" s="96"/>
      <c r="G4177" s="97"/>
      <c r="H4177" s="114" t="str">
        <f t="shared" si="55"/>
        <v/>
      </c>
      <c r="I4177" s="17"/>
      <c r="J4177" s="17"/>
      <c r="K4177" s="17"/>
    </row>
    <row r="4178" spans="1:11" x14ac:dyDescent="0.2">
      <c r="A4178" s="115"/>
      <c r="B4178" s="93"/>
      <c r="C4178" s="94"/>
      <c r="D4178" s="95"/>
      <c r="E4178" s="95"/>
      <c r="F4178" s="96"/>
      <c r="G4178" s="97"/>
      <c r="H4178" s="114" t="str">
        <f t="shared" si="55"/>
        <v/>
      </c>
      <c r="I4178" s="17"/>
      <c r="J4178" s="17"/>
      <c r="K4178" s="17"/>
    </row>
    <row r="4179" spans="1:11" x14ac:dyDescent="0.2">
      <c r="A4179" s="115"/>
      <c r="B4179" s="93"/>
      <c r="C4179" s="94"/>
      <c r="D4179" s="95"/>
      <c r="E4179" s="95"/>
      <c r="F4179" s="96"/>
      <c r="G4179" s="97"/>
      <c r="H4179" s="114" t="str">
        <f t="shared" si="55"/>
        <v/>
      </c>
      <c r="I4179" s="17"/>
      <c r="J4179" s="17"/>
      <c r="K4179" s="17"/>
    </row>
    <row r="4180" spans="1:11" x14ac:dyDescent="0.2">
      <c r="A4180" s="115"/>
      <c r="B4180" s="93"/>
      <c r="C4180" s="94"/>
      <c r="D4180" s="95"/>
      <c r="E4180" s="95"/>
      <c r="F4180" s="96"/>
      <c r="G4180" s="97"/>
      <c r="H4180" s="114" t="str">
        <f t="shared" si="55"/>
        <v/>
      </c>
      <c r="I4180" s="17"/>
      <c r="J4180" s="17"/>
      <c r="K4180" s="17"/>
    </row>
    <row r="4181" spans="1:11" x14ac:dyDescent="0.2">
      <c r="A4181" s="115"/>
      <c r="B4181" s="93"/>
      <c r="C4181" s="94"/>
      <c r="D4181" s="95"/>
      <c r="E4181" s="95"/>
      <c r="F4181" s="96"/>
      <c r="G4181" s="97"/>
      <c r="H4181" s="114" t="str">
        <f t="shared" si="55"/>
        <v/>
      </c>
      <c r="I4181" s="17"/>
      <c r="J4181" s="17"/>
      <c r="K4181" s="17"/>
    </row>
    <row r="4182" spans="1:11" x14ac:dyDescent="0.2">
      <c r="A4182" s="115"/>
      <c r="B4182" s="93"/>
      <c r="C4182" s="94"/>
      <c r="D4182" s="95"/>
      <c r="E4182" s="95"/>
      <c r="F4182" s="96"/>
      <c r="G4182" s="97"/>
      <c r="H4182" s="114" t="str">
        <f t="shared" si="55"/>
        <v/>
      </c>
      <c r="I4182" s="17"/>
      <c r="J4182" s="17"/>
      <c r="K4182" s="17"/>
    </row>
    <row r="4183" spans="1:11" x14ac:dyDescent="0.2">
      <c r="A4183" s="115"/>
      <c r="B4183" s="93"/>
      <c r="C4183" s="94"/>
      <c r="D4183" s="95"/>
      <c r="E4183" s="95"/>
      <c r="F4183" s="96"/>
      <c r="G4183" s="97"/>
      <c r="H4183" s="114" t="str">
        <f t="shared" si="55"/>
        <v/>
      </c>
      <c r="I4183" s="17"/>
      <c r="J4183" s="17"/>
      <c r="K4183" s="17"/>
    </row>
    <row r="4184" spans="1:11" x14ac:dyDescent="0.2">
      <c r="A4184" s="115"/>
      <c r="B4184" s="93"/>
      <c r="C4184" s="94"/>
      <c r="D4184" s="95"/>
      <c r="E4184" s="95"/>
      <c r="F4184" s="96"/>
      <c r="G4184" s="97"/>
      <c r="H4184" s="114" t="str">
        <f t="shared" si="55"/>
        <v/>
      </c>
      <c r="I4184" s="17"/>
      <c r="J4184" s="17"/>
      <c r="K4184" s="17"/>
    </row>
    <row r="4185" spans="1:11" x14ac:dyDescent="0.2">
      <c r="A4185" s="115"/>
      <c r="B4185" s="93"/>
      <c r="C4185" s="94"/>
      <c r="D4185" s="95"/>
      <c r="E4185" s="95"/>
      <c r="F4185" s="96"/>
      <c r="G4185" s="97"/>
      <c r="H4185" s="114" t="str">
        <f t="shared" si="55"/>
        <v/>
      </c>
      <c r="I4185" s="17"/>
      <c r="J4185" s="17"/>
      <c r="K4185" s="17"/>
    </row>
    <row r="4186" spans="1:11" x14ac:dyDescent="0.2">
      <c r="A4186" s="115"/>
      <c r="B4186" s="93"/>
      <c r="C4186" s="94"/>
      <c r="D4186" s="95"/>
      <c r="E4186" s="95"/>
      <c r="F4186" s="96"/>
      <c r="G4186" s="97"/>
      <c r="H4186" s="114" t="str">
        <f t="shared" si="55"/>
        <v/>
      </c>
      <c r="I4186" s="17"/>
      <c r="J4186" s="17"/>
      <c r="K4186" s="17"/>
    </row>
    <row r="4187" spans="1:11" x14ac:dyDescent="0.2">
      <c r="A4187" s="115"/>
      <c r="B4187" s="93"/>
      <c r="C4187" s="94"/>
      <c r="D4187" s="95"/>
      <c r="E4187" s="95"/>
      <c r="F4187" s="96"/>
      <c r="G4187" s="97"/>
      <c r="H4187" s="114" t="str">
        <f t="shared" si="55"/>
        <v/>
      </c>
      <c r="I4187" s="17"/>
      <c r="J4187" s="17"/>
      <c r="K4187" s="17"/>
    </row>
    <row r="4188" spans="1:11" x14ac:dyDescent="0.2">
      <c r="A4188" s="115"/>
      <c r="B4188" s="93"/>
      <c r="C4188" s="94"/>
      <c r="D4188" s="95"/>
      <c r="E4188" s="95"/>
      <c r="F4188" s="96"/>
      <c r="G4188" s="97"/>
      <c r="H4188" s="114" t="str">
        <f t="shared" si="55"/>
        <v/>
      </c>
      <c r="I4188" s="17"/>
      <c r="J4188" s="17"/>
      <c r="K4188" s="17"/>
    </row>
    <row r="4189" spans="1:11" x14ac:dyDescent="0.2">
      <c r="A4189" s="115"/>
      <c r="B4189" s="93"/>
      <c r="C4189" s="94"/>
      <c r="D4189" s="95"/>
      <c r="E4189" s="95"/>
      <c r="F4189" s="96"/>
      <c r="G4189" s="97"/>
      <c r="H4189" s="114" t="str">
        <f t="shared" si="55"/>
        <v/>
      </c>
      <c r="I4189" s="17"/>
      <c r="J4189" s="17"/>
      <c r="K4189" s="17"/>
    </row>
    <row r="4190" spans="1:11" x14ac:dyDescent="0.2">
      <c r="A4190" s="115"/>
      <c r="B4190" s="93"/>
      <c r="C4190" s="94"/>
      <c r="D4190" s="95"/>
      <c r="E4190" s="95"/>
      <c r="F4190" s="96"/>
      <c r="G4190" s="97"/>
      <c r="H4190" s="114" t="str">
        <f t="shared" si="55"/>
        <v/>
      </c>
      <c r="I4190" s="17"/>
      <c r="J4190" s="17"/>
      <c r="K4190" s="17"/>
    </row>
    <row r="4191" spans="1:11" x14ac:dyDescent="0.2">
      <c r="A4191" s="115"/>
      <c r="B4191" s="93"/>
      <c r="C4191" s="94"/>
      <c r="D4191" s="95"/>
      <c r="E4191" s="95"/>
      <c r="F4191" s="96"/>
      <c r="G4191" s="97"/>
      <c r="H4191" s="114" t="str">
        <f t="shared" si="55"/>
        <v/>
      </c>
      <c r="I4191" s="17"/>
      <c r="J4191" s="17"/>
      <c r="K4191" s="17"/>
    </row>
    <row r="4192" spans="1:11" x14ac:dyDescent="0.2">
      <c r="A4192" s="115"/>
      <c r="B4192" s="93"/>
      <c r="C4192" s="94"/>
      <c r="D4192" s="95"/>
      <c r="E4192" s="95"/>
      <c r="F4192" s="96"/>
      <c r="G4192" s="97"/>
      <c r="H4192" s="114" t="str">
        <f t="shared" si="55"/>
        <v/>
      </c>
      <c r="I4192" s="17"/>
      <c r="J4192" s="17"/>
      <c r="K4192" s="17"/>
    </row>
    <row r="4193" spans="1:11" x14ac:dyDescent="0.2">
      <c r="A4193" s="115"/>
      <c r="B4193" s="93"/>
      <c r="C4193" s="94"/>
      <c r="D4193" s="95"/>
      <c r="E4193" s="95"/>
      <c r="F4193" s="96"/>
      <c r="G4193" s="97"/>
      <c r="H4193" s="114" t="str">
        <f t="shared" si="55"/>
        <v/>
      </c>
      <c r="I4193" s="17"/>
      <c r="J4193" s="17"/>
      <c r="K4193" s="17"/>
    </row>
    <row r="4194" spans="1:11" x14ac:dyDescent="0.2">
      <c r="A4194" s="115"/>
      <c r="B4194" s="93"/>
      <c r="C4194" s="94"/>
      <c r="D4194" s="95"/>
      <c r="E4194" s="95"/>
      <c r="F4194" s="96"/>
      <c r="G4194" s="97"/>
      <c r="H4194" s="114" t="str">
        <f t="shared" si="55"/>
        <v/>
      </c>
      <c r="I4194" s="17"/>
      <c r="J4194" s="17"/>
      <c r="K4194" s="17"/>
    </row>
    <row r="4195" spans="1:11" x14ac:dyDescent="0.2">
      <c r="A4195" s="115"/>
      <c r="B4195" s="93"/>
      <c r="C4195" s="94"/>
      <c r="D4195" s="95"/>
      <c r="E4195" s="95"/>
      <c r="F4195" s="96"/>
      <c r="G4195" s="97"/>
      <c r="H4195" s="114" t="str">
        <f t="shared" si="55"/>
        <v/>
      </c>
      <c r="I4195" s="17"/>
      <c r="J4195" s="17"/>
      <c r="K4195" s="17"/>
    </row>
    <row r="4196" spans="1:11" x14ac:dyDescent="0.2">
      <c r="A4196" s="115"/>
      <c r="B4196" s="93"/>
      <c r="C4196" s="94"/>
      <c r="D4196" s="95"/>
      <c r="E4196" s="95"/>
      <c r="F4196" s="96"/>
      <c r="G4196" s="97"/>
      <c r="H4196" s="114" t="str">
        <f t="shared" si="55"/>
        <v/>
      </c>
      <c r="I4196" s="17"/>
      <c r="J4196" s="17"/>
      <c r="K4196" s="17"/>
    </row>
    <row r="4197" spans="1:11" x14ac:dyDescent="0.2">
      <c r="A4197" s="115"/>
      <c r="B4197" s="93"/>
      <c r="C4197" s="94"/>
      <c r="D4197" s="95"/>
      <c r="E4197" s="95"/>
      <c r="F4197" s="96"/>
      <c r="G4197" s="97"/>
      <c r="H4197" s="114" t="str">
        <f t="shared" si="55"/>
        <v/>
      </c>
      <c r="I4197" s="17"/>
      <c r="J4197" s="17"/>
      <c r="K4197" s="17"/>
    </row>
    <row r="4198" spans="1:11" x14ac:dyDescent="0.2">
      <c r="A4198" s="115"/>
      <c r="B4198" s="93"/>
      <c r="C4198" s="94"/>
      <c r="D4198" s="95"/>
      <c r="E4198" s="95"/>
      <c r="F4198" s="96"/>
      <c r="G4198" s="97"/>
      <c r="H4198" s="114" t="str">
        <f t="shared" si="55"/>
        <v/>
      </c>
      <c r="I4198" s="17"/>
      <c r="J4198" s="17"/>
      <c r="K4198" s="17"/>
    </row>
    <row r="4199" spans="1:11" x14ac:dyDescent="0.2">
      <c r="A4199" s="115"/>
      <c r="B4199" s="93"/>
      <c r="C4199" s="94"/>
      <c r="D4199" s="95"/>
      <c r="E4199" s="95"/>
      <c r="F4199" s="96"/>
      <c r="G4199" s="97"/>
      <c r="H4199" s="114" t="str">
        <f t="shared" si="55"/>
        <v/>
      </c>
      <c r="I4199" s="17"/>
      <c r="J4199" s="17"/>
      <c r="K4199" s="17"/>
    </row>
    <row r="4200" spans="1:11" x14ac:dyDescent="0.2">
      <c r="A4200" s="115"/>
      <c r="B4200" s="93"/>
      <c r="C4200" s="94"/>
      <c r="D4200" s="95"/>
      <c r="E4200" s="95"/>
      <c r="F4200" s="96"/>
      <c r="G4200" s="97"/>
      <c r="H4200" s="114" t="str">
        <f t="shared" si="55"/>
        <v/>
      </c>
      <c r="I4200" s="17"/>
      <c r="J4200" s="17"/>
      <c r="K4200" s="17"/>
    </row>
    <row r="4201" spans="1:11" x14ac:dyDescent="0.2">
      <c r="A4201" s="115"/>
      <c r="B4201" s="93"/>
      <c r="C4201" s="94"/>
      <c r="D4201" s="95"/>
      <c r="E4201" s="95"/>
      <c r="F4201" s="96"/>
      <c r="G4201" s="97"/>
      <c r="H4201" s="114" t="str">
        <f t="shared" si="55"/>
        <v/>
      </c>
      <c r="I4201" s="17"/>
      <c r="J4201" s="17"/>
      <c r="K4201" s="17"/>
    </row>
    <row r="4202" spans="1:11" x14ac:dyDescent="0.2">
      <c r="A4202" s="115"/>
      <c r="B4202" s="93"/>
      <c r="C4202" s="94"/>
      <c r="D4202" s="95"/>
      <c r="E4202" s="95"/>
      <c r="F4202" s="96"/>
      <c r="G4202" s="97"/>
      <c r="H4202" s="114" t="str">
        <f t="shared" si="55"/>
        <v/>
      </c>
      <c r="I4202" s="17"/>
      <c r="J4202" s="17"/>
      <c r="K4202" s="17"/>
    </row>
    <row r="4203" spans="1:11" x14ac:dyDescent="0.2">
      <c r="A4203" s="115"/>
      <c r="B4203" s="93"/>
      <c r="C4203" s="94"/>
      <c r="D4203" s="95"/>
      <c r="E4203" s="95"/>
      <c r="F4203" s="96"/>
      <c r="G4203" s="97"/>
      <c r="H4203" s="114" t="str">
        <f t="shared" si="55"/>
        <v/>
      </c>
      <c r="I4203" s="17"/>
      <c r="J4203" s="17"/>
      <c r="K4203" s="17"/>
    </row>
    <row r="4204" spans="1:11" x14ac:dyDescent="0.2">
      <c r="A4204" s="115"/>
      <c r="B4204" s="93"/>
      <c r="C4204" s="94"/>
      <c r="D4204" s="95"/>
      <c r="E4204" s="95"/>
      <c r="F4204" s="96"/>
      <c r="G4204" s="97"/>
      <c r="H4204" s="114" t="str">
        <f t="shared" si="55"/>
        <v/>
      </c>
      <c r="I4204" s="17"/>
      <c r="J4204" s="17"/>
      <c r="K4204" s="17"/>
    </row>
    <row r="4205" spans="1:11" x14ac:dyDescent="0.2">
      <c r="A4205" s="115"/>
      <c r="B4205" s="93"/>
      <c r="C4205" s="94"/>
      <c r="D4205" s="95"/>
      <c r="E4205" s="95"/>
      <c r="F4205" s="96"/>
      <c r="G4205" s="97"/>
      <c r="H4205" s="114" t="str">
        <f t="shared" si="55"/>
        <v/>
      </c>
      <c r="I4205" s="17"/>
      <c r="J4205" s="17"/>
      <c r="K4205" s="17"/>
    </row>
    <row r="4206" spans="1:11" x14ac:dyDescent="0.2">
      <c r="A4206" s="115"/>
      <c r="B4206" s="93"/>
      <c r="C4206" s="94"/>
      <c r="D4206" s="95"/>
      <c r="E4206" s="95"/>
      <c r="F4206" s="96"/>
      <c r="G4206" s="97"/>
      <c r="H4206" s="114" t="str">
        <f t="shared" si="55"/>
        <v/>
      </c>
      <c r="I4206" s="17"/>
      <c r="J4206" s="17"/>
      <c r="K4206" s="17"/>
    </row>
    <row r="4207" spans="1:11" x14ac:dyDescent="0.2">
      <c r="A4207" s="115"/>
      <c r="B4207" s="93"/>
      <c r="C4207" s="94"/>
      <c r="D4207" s="95"/>
      <c r="E4207" s="95"/>
      <c r="F4207" s="96"/>
      <c r="G4207" s="97"/>
      <c r="H4207" s="114" t="str">
        <f t="shared" si="55"/>
        <v/>
      </c>
      <c r="I4207" s="17"/>
      <c r="J4207" s="17"/>
      <c r="K4207" s="17"/>
    </row>
    <row r="4208" spans="1:11" x14ac:dyDescent="0.2">
      <c r="A4208" s="115"/>
      <c r="B4208" s="93"/>
      <c r="C4208" s="94"/>
      <c r="D4208" s="95"/>
      <c r="E4208" s="95"/>
      <c r="F4208" s="96"/>
      <c r="G4208" s="97"/>
      <c r="H4208" s="114" t="str">
        <f t="shared" si="55"/>
        <v/>
      </c>
      <c r="I4208" s="17"/>
      <c r="J4208" s="17"/>
      <c r="K4208" s="17"/>
    </row>
    <row r="4209" spans="1:11" x14ac:dyDescent="0.2">
      <c r="A4209" s="115"/>
      <c r="B4209" s="93"/>
      <c r="C4209" s="94"/>
      <c r="D4209" s="95"/>
      <c r="E4209" s="95"/>
      <c r="F4209" s="96"/>
      <c r="G4209" s="97"/>
      <c r="H4209" s="114" t="str">
        <f t="shared" si="55"/>
        <v/>
      </c>
      <c r="I4209" s="17"/>
      <c r="J4209" s="17"/>
      <c r="K4209" s="17"/>
    </row>
    <row r="4210" spans="1:11" x14ac:dyDescent="0.2">
      <c r="A4210" s="115"/>
      <c r="B4210" s="93"/>
      <c r="C4210" s="94"/>
      <c r="D4210" s="95"/>
      <c r="E4210" s="95"/>
      <c r="F4210" s="96"/>
      <c r="G4210" s="97"/>
      <c r="H4210" s="114" t="str">
        <f t="shared" si="55"/>
        <v/>
      </c>
      <c r="I4210" s="17"/>
      <c r="J4210" s="17"/>
      <c r="K4210" s="17"/>
    </row>
    <row r="4211" spans="1:11" x14ac:dyDescent="0.2">
      <c r="A4211" s="115"/>
      <c r="B4211" s="93"/>
      <c r="C4211" s="94"/>
      <c r="D4211" s="95"/>
      <c r="E4211" s="95"/>
      <c r="F4211" s="96"/>
      <c r="G4211" s="97"/>
      <c r="H4211" s="114" t="str">
        <f t="shared" si="55"/>
        <v/>
      </c>
      <c r="I4211" s="17"/>
      <c r="J4211" s="17"/>
      <c r="K4211" s="17"/>
    </row>
    <row r="4212" spans="1:11" x14ac:dyDescent="0.2">
      <c r="A4212" s="115"/>
      <c r="B4212" s="93"/>
      <c r="C4212" s="94"/>
      <c r="D4212" s="95"/>
      <c r="E4212" s="95"/>
      <c r="F4212" s="96"/>
      <c r="G4212" s="97"/>
      <c r="H4212" s="114" t="str">
        <f t="shared" si="55"/>
        <v/>
      </c>
      <c r="I4212" s="17"/>
      <c r="J4212" s="17"/>
      <c r="K4212" s="17"/>
    </row>
    <row r="4213" spans="1:11" x14ac:dyDescent="0.2">
      <c r="A4213" s="115"/>
      <c r="B4213" s="93"/>
      <c r="C4213" s="94"/>
      <c r="D4213" s="95"/>
      <c r="E4213" s="95"/>
      <c r="F4213" s="96"/>
      <c r="G4213" s="97"/>
      <c r="H4213" s="114" t="str">
        <f t="shared" si="55"/>
        <v/>
      </c>
      <c r="I4213" s="17"/>
      <c r="J4213" s="17"/>
      <c r="K4213" s="17"/>
    </row>
    <row r="4214" spans="1:11" x14ac:dyDescent="0.2">
      <c r="A4214" s="115"/>
      <c r="B4214" s="93"/>
      <c r="C4214" s="94"/>
      <c r="D4214" s="95"/>
      <c r="E4214" s="95"/>
      <c r="F4214" s="96"/>
      <c r="G4214" s="97"/>
      <c r="H4214" s="114" t="str">
        <f t="shared" si="55"/>
        <v/>
      </c>
      <c r="I4214" s="17"/>
      <c r="J4214" s="17"/>
      <c r="K4214" s="17"/>
    </row>
    <row r="4215" spans="1:11" x14ac:dyDescent="0.2">
      <c r="A4215" s="115"/>
      <c r="B4215" s="93"/>
      <c r="C4215" s="94"/>
      <c r="D4215" s="95"/>
      <c r="E4215" s="95"/>
      <c r="F4215" s="96"/>
      <c r="G4215" s="97"/>
      <c r="H4215" s="114" t="str">
        <f t="shared" si="55"/>
        <v/>
      </c>
      <c r="I4215" s="17"/>
      <c r="J4215" s="17"/>
      <c r="K4215" s="17"/>
    </row>
    <row r="4216" spans="1:11" x14ac:dyDescent="0.2">
      <c r="A4216" s="115"/>
      <c r="B4216" s="93"/>
      <c r="C4216" s="94"/>
      <c r="D4216" s="95"/>
      <c r="E4216" s="95"/>
      <c r="F4216" s="96"/>
      <c r="G4216" s="97"/>
      <c r="H4216" s="114" t="str">
        <f t="shared" si="55"/>
        <v/>
      </c>
      <c r="I4216" s="17"/>
      <c r="J4216" s="17"/>
      <c r="K4216" s="17"/>
    </row>
    <row r="4217" spans="1:11" x14ac:dyDescent="0.2">
      <c r="A4217" s="115"/>
      <c r="B4217" s="93"/>
      <c r="C4217" s="94"/>
      <c r="D4217" s="95"/>
      <c r="E4217" s="95"/>
      <c r="F4217" s="96"/>
      <c r="G4217" s="97"/>
      <c r="H4217" s="114" t="str">
        <f t="shared" si="55"/>
        <v/>
      </c>
      <c r="I4217" s="17"/>
      <c r="J4217" s="17"/>
      <c r="K4217" s="17"/>
    </row>
    <row r="4218" spans="1:11" x14ac:dyDescent="0.2">
      <c r="A4218" s="115"/>
      <c r="B4218" s="93"/>
      <c r="C4218" s="94"/>
      <c r="D4218" s="95"/>
      <c r="E4218" s="95"/>
      <c r="F4218" s="96"/>
      <c r="G4218" s="97"/>
      <c r="H4218" s="114" t="str">
        <f t="shared" si="55"/>
        <v/>
      </c>
      <c r="I4218" s="17"/>
      <c r="J4218" s="17"/>
      <c r="K4218" s="17"/>
    </row>
    <row r="4219" spans="1:11" x14ac:dyDescent="0.2">
      <c r="A4219" s="115"/>
      <c r="B4219" s="93"/>
      <c r="C4219" s="94"/>
      <c r="D4219" s="95"/>
      <c r="E4219" s="95"/>
      <c r="F4219" s="96"/>
      <c r="G4219" s="97"/>
      <c r="H4219" s="114" t="str">
        <f t="shared" si="55"/>
        <v/>
      </c>
      <c r="I4219" s="17"/>
      <c r="J4219" s="17"/>
      <c r="K4219" s="17"/>
    </row>
    <row r="4220" spans="1:11" x14ac:dyDescent="0.2">
      <c r="A4220" s="115"/>
      <c r="B4220" s="93"/>
      <c r="C4220" s="94"/>
      <c r="D4220" s="95"/>
      <c r="E4220" s="95"/>
      <c r="F4220" s="96"/>
      <c r="G4220" s="97"/>
      <c r="H4220" s="114" t="str">
        <f t="shared" si="55"/>
        <v/>
      </c>
      <c r="I4220" s="17"/>
      <c r="J4220" s="17"/>
      <c r="K4220" s="17"/>
    </row>
    <row r="4221" spans="1:11" x14ac:dyDescent="0.2">
      <c r="A4221" s="115"/>
      <c r="B4221" s="93"/>
      <c r="C4221" s="94"/>
      <c r="D4221" s="95"/>
      <c r="E4221" s="95"/>
      <c r="F4221" s="96"/>
      <c r="G4221" s="97"/>
      <c r="H4221" s="114" t="str">
        <f t="shared" si="55"/>
        <v/>
      </c>
      <c r="I4221" s="17"/>
      <c r="J4221" s="17"/>
      <c r="K4221" s="17"/>
    </row>
    <row r="4222" spans="1:11" x14ac:dyDescent="0.2">
      <c r="A4222" s="115"/>
      <c r="B4222" s="93"/>
      <c r="C4222" s="94"/>
      <c r="D4222" s="95"/>
      <c r="E4222" s="95"/>
      <c r="F4222" s="96"/>
      <c r="G4222" s="97"/>
      <c r="H4222" s="114" t="str">
        <f t="shared" si="55"/>
        <v/>
      </c>
      <c r="I4222" s="17"/>
      <c r="J4222" s="17"/>
      <c r="K4222" s="17"/>
    </row>
    <row r="4223" spans="1:11" x14ac:dyDescent="0.2">
      <c r="A4223" s="115"/>
      <c r="B4223" s="93"/>
      <c r="C4223" s="94"/>
      <c r="D4223" s="95"/>
      <c r="E4223" s="95"/>
      <c r="F4223" s="96"/>
      <c r="G4223" s="97"/>
      <c r="H4223" s="114" t="str">
        <f t="shared" si="55"/>
        <v/>
      </c>
      <c r="I4223" s="17"/>
      <c r="J4223" s="17"/>
      <c r="K4223" s="17"/>
    </row>
    <row r="4224" spans="1:11" x14ac:dyDescent="0.2">
      <c r="A4224" s="115"/>
      <c r="B4224" s="93"/>
      <c r="C4224" s="94"/>
      <c r="D4224" s="95"/>
      <c r="E4224" s="95"/>
      <c r="F4224" s="96"/>
      <c r="G4224" s="97"/>
      <c r="H4224" s="114" t="str">
        <f t="shared" si="55"/>
        <v/>
      </c>
      <c r="I4224" s="17"/>
      <c r="J4224" s="17"/>
      <c r="K4224" s="17"/>
    </row>
    <row r="4225" spans="1:11" x14ac:dyDescent="0.2">
      <c r="A4225" s="115"/>
      <c r="B4225" s="93"/>
      <c r="C4225" s="94"/>
      <c r="D4225" s="95"/>
      <c r="E4225" s="95"/>
      <c r="F4225" s="96"/>
      <c r="G4225" s="97"/>
      <c r="H4225" s="114" t="str">
        <f t="shared" si="55"/>
        <v/>
      </c>
      <c r="I4225" s="17"/>
      <c r="J4225" s="17"/>
      <c r="K4225" s="17"/>
    </row>
    <row r="4226" spans="1:11" x14ac:dyDescent="0.2">
      <c r="A4226" s="115"/>
      <c r="B4226" s="93"/>
      <c r="C4226" s="94"/>
      <c r="D4226" s="95"/>
      <c r="E4226" s="95"/>
      <c r="F4226" s="96"/>
      <c r="G4226" s="97"/>
      <c r="H4226" s="114" t="str">
        <f t="shared" si="55"/>
        <v/>
      </c>
      <c r="I4226" s="17"/>
      <c r="J4226" s="17"/>
      <c r="K4226" s="17"/>
    </row>
    <row r="4227" spans="1:11" x14ac:dyDescent="0.2">
      <c r="A4227" s="115"/>
      <c r="B4227" s="93"/>
      <c r="C4227" s="94"/>
      <c r="D4227" s="95"/>
      <c r="E4227" s="95"/>
      <c r="F4227" s="96"/>
      <c r="G4227" s="97"/>
      <c r="H4227" s="114" t="str">
        <f t="shared" si="55"/>
        <v/>
      </c>
      <c r="I4227" s="17"/>
      <c r="J4227" s="17"/>
      <c r="K4227" s="17"/>
    </row>
    <row r="4228" spans="1:11" x14ac:dyDescent="0.2">
      <c r="A4228" s="115"/>
      <c r="B4228" s="93"/>
      <c r="C4228" s="94"/>
      <c r="D4228" s="95"/>
      <c r="E4228" s="95"/>
      <c r="F4228" s="96"/>
      <c r="G4228" s="97"/>
      <c r="H4228" s="114" t="str">
        <f t="shared" ref="H4228:H4291" si="56">IF(A4228&lt;&gt;"", EOMONTH(A4228, -1) + 1, "")</f>
        <v/>
      </c>
      <c r="I4228" s="17"/>
      <c r="J4228" s="17"/>
      <c r="K4228" s="17"/>
    </row>
    <row r="4229" spans="1:11" x14ac:dyDescent="0.2">
      <c r="A4229" s="115"/>
      <c r="B4229" s="93"/>
      <c r="C4229" s="94"/>
      <c r="D4229" s="95"/>
      <c r="E4229" s="95"/>
      <c r="F4229" s="96"/>
      <c r="G4229" s="97"/>
      <c r="H4229" s="114" t="str">
        <f t="shared" si="56"/>
        <v/>
      </c>
      <c r="I4229" s="17"/>
      <c r="J4229" s="17"/>
      <c r="K4229" s="17"/>
    </row>
    <row r="4230" spans="1:11" x14ac:dyDescent="0.2">
      <c r="A4230" s="115"/>
      <c r="B4230" s="93"/>
      <c r="C4230" s="94"/>
      <c r="D4230" s="95"/>
      <c r="E4230" s="95"/>
      <c r="F4230" s="96"/>
      <c r="G4230" s="97"/>
      <c r="H4230" s="114" t="str">
        <f t="shared" si="56"/>
        <v/>
      </c>
      <c r="I4230" s="17"/>
      <c r="J4230" s="17"/>
      <c r="K4230" s="17"/>
    </row>
    <row r="4231" spans="1:11" x14ac:dyDescent="0.2">
      <c r="A4231" s="115"/>
      <c r="B4231" s="93"/>
      <c r="C4231" s="94"/>
      <c r="D4231" s="95"/>
      <c r="E4231" s="95"/>
      <c r="F4231" s="96"/>
      <c r="G4231" s="97"/>
      <c r="H4231" s="114" t="str">
        <f t="shared" si="56"/>
        <v/>
      </c>
      <c r="I4231" s="17"/>
      <c r="J4231" s="17"/>
      <c r="K4231" s="17"/>
    </row>
    <row r="4232" spans="1:11" x14ac:dyDescent="0.2">
      <c r="A4232" s="115"/>
      <c r="B4232" s="93"/>
      <c r="C4232" s="94"/>
      <c r="D4232" s="95"/>
      <c r="E4232" s="95"/>
      <c r="F4232" s="96"/>
      <c r="G4232" s="97"/>
      <c r="H4232" s="114" t="str">
        <f t="shared" si="56"/>
        <v/>
      </c>
      <c r="I4232" s="17"/>
      <c r="J4232" s="17"/>
      <c r="K4232" s="17"/>
    </row>
    <row r="4233" spans="1:11" x14ac:dyDescent="0.2">
      <c r="A4233" s="115"/>
      <c r="B4233" s="93"/>
      <c r="C4233" s="94"/>
      <c r="D4233" s="95"/>
      <c r="E4233" s="95"/>
      <c r="F4233" s="96"/>
      <c r="G4233" s="97"/>
      <c r="H4233" s="114" t="str">
        <f t="shared" si="56"/>
        <v/>
      </c>
      <c r="I4233" s="17"/>
      <c r="J4233" s="17"/>
      <c r="K4233" s="17"/>
    </row>
    <row r="4234" spans="1:11" x14ac:dyDescent="0.2">
      <c r="A4234" s="115"/>
      <c r="B4234" s="93"/>
      <c r="C4234" s="94"/>
      <c r="D4234" s="95"/>
      <c r="E4234" s="95"/>
      <c r="F4234" s="96"/>
      <c r="G4234" s="97"/>
      <c r="H4234" s="114" t="str">
        <f t="shared" si="56"/>
        <v/>
      </c>
      <c r="I4234" s="17"/>
      <c r="J4234" s="17"/>
      <c r="K4234" s="17"/>
    </row>
    <row r="4235" spans="1:11" x14ac:dyDescent="0.2">
      <c r="A4235" s="115"/>
      <c r="B4235" s="93"/>
      <c r="C4235" s="94"/>
      <c r="D4235" s="95"/>
      <c r="E4235" s="95"/>
      <c r="F4235" s="96"/>
      <c r="G4235" s="97"/>
      <c r="H4235" s="114" t="str">
        <f t="shared" si="56"/>
        <v/>
      </c>
      <c r="I4235" s="17"/>
      <c r="J4235" s="17"/>
      <c r="K4235" s="17"/>
    </row>
    <row r="4236" spans="1:11" x14ac:dyDescent="0.2">
      <c r="A4236" s="115"/>
      <c r="B4236" s="93"/>
      <c r="C4236" s="94"/>
      <c r="D4236" s="95"/>
      <c r="E4236" s="95"/>
      <c r="F4236" s="96"/>
      <c r="G4236" s="97"/>
      <c r="H4236" s="114" t="str">
        <f t="shared" si="56"/>
        <v/>
      </c>
      <c r="I4236" s="17"/>
      <c r="J4236" s="17"/>
      <c r="K4236" s="17"/>
    </row>
    <row r="4237" spans="1:11" x14ac:dyDescent="0.2">
      <c r="A4237" s="115"/>
      <c r="B4237" s="93"/>
      <c r="C4237" s="94"/>
      <c r="D4237" s="95"/>
      <c r="E4237" s="95"/>
      <c r="F4237" s="96"/>
      <c r="G4237" s="97"/>
      <c r="H4237" s="114" t="str">
        <f t="shared" si="56"/>
        <v/>
      </c>
      <c r="I4237" s="17"/>
      <c r="J4237" s="17"/>
      <c r="K4237" s="17"/>
    </row>
    <row r="4238" spans="1:11" x14ac:dyDescent="0.2">
      <c r="A4238" s="115"/>
      <c r="B4238" s="93"/>
      <c r="C4238" s="94"/>
      <c r="D4238" s="95"/>
      <c r="E4238" s="95"/>
      <c r="F4238" s="96"/>
      <c r="G4238" s="97"/>
      <c r="H4238" s="114" t="str">
        <f t="shared" si="56"/>
        <v/>
      </c>
      <c r="I4238" s="17"/>
      <c r="J4238" s="17"/>
      <c r="K4238" s="17"/>
    </row>
    <row r="4239" spans="1:11" x14ac:dyDescent="0.2">
      <c r="A4239" s="115"/>
      <c r="B4239" s="93"/>
      <c r="C4239" s="94"/>
      <c r="D4239" s="95"/>
      <c r="E4239" s="95"/>
      <c r="F4239" s="96"/>
      <c r="G4239" s="97"/>
      <c r="H4239" s="114" t="str">
        <f t="shared" si="56"/>
        <v/>
      </c>
      <c r="I4239" s="17"/>
      <c r="J4239" s="17"/>
      <c r="K4239" s="17"/>
    </row>
    <row r="4240" spans="1:11" x14ac:dyDescent="0.2">
      <c r="A4240" s="115"/>
      <c r="B4240" s="93"/>
      <c r="C4240" s="94"/>
      <c r="D4240" s="95"/>
      <c r="E4240" s="95"/>
      <c r="F4240" s="96"/>
      <c r="G4240" s="97"/>
      <c r="H4240" s="114" t="str">
        <f t="shared" si="56"/>
        <v/>
      </c>
      <c r="I4240" s="17"/>
      <c r="J4240" s="17"/>
      <c r="K4240" s="17"/>
    </row>
    <row r="4241" spans="1:11" x14ac:dyDescent="0.2">
      <c r="A4241" s="115"/>
      <c r="B4241" s="93"/>
      <c r="C4241" s="94"/>
      <c r="D4241" s="95"/>
      <c r="E4241" s="95"/>
      <c r="F4241" s="96"/>
      <c r="G4241" s="97"/>
      <c r="H4241" s="114" t="str">
        <f t="shared" si="56"/>
        <v/>
      </c>
      <c r="I4241" s="17"/>
      <c r="J4241" s="17"/>
      <c r="K4241" s="17"/>
    </row>
    <row r="4242" spans="1:11" x14ac:dyDescent="0.2">
      <c r="A4242" s="115"/>
      <c r="B4242" s="93"/>
      <c r="C4242" s="94"/>
      <c r="D4242" s="95"/>
      <c r="E4242" s="95"/>
      <c r="F4242" s="96"/>
      <c r="G4242" s="97"/>
      <c r="H4242" s="114" t="str">
        <f t="shared" si="56"/>
        <v/>
      </c>
      <c r="I4242" s="17"/>
      <c r="J4242" s="17"/>
      <c r="K4242" s="17"/>
    </row>
    <row r="4243" spans="1:11" x14ac:dyDescent="0.2">
      <c r="A4243" s="115"/>
      <c r="B4243" s="93"/>
      <c r="C4243" s="94"/>
      <c r="D4243" s="95"/>
      <c r="E4243" s="95"/>
      <c r="F4243" s="96"/>
      <c r="G4243" s="97"/>
      <c r="H4243" s="114" t="str">
        <f t="shared" si="56"/>
        <v/>
      </c>
      <c r="I4243" s="17"/>
      <c r="J4243" s="17"/>
      <c r="K4243" s="17"/>
    </row>
    <row r="4244" spans="1:11" x14ac:dyDescent="0.2">
      <c r="A4244" s="115"/>
      <c r="B4244" s="93"/>
      <c r="C4244" s="94"/>
      <c r="D4244" s="95"/>
      <c r="E4244" s="95"/>
      <c r="F4244" s="96"/>
      <c r="G4244" s="97"/>
      <c r="H4244" s="114" t="str">
        <f t="shared" si="56"/>
        <v/>
      </c>
      <c r="I4244" s="17"/>
      <c r="J4244" s="17"/>
      <c r="K4244" s="17"/>
    </row>
    <row r="4245" spans="1:11" x14ac:dyDescent="0.2">
      <c r="A4245" s="115"/>
      <c r="B4245" s="93"/>
      <c r="C4245" s="94"/>
      <c r="D4245" s="95"/>
      <c r="E4245" s="95"/>
      <c r="F4245" s="96"/>
      <c r="G4245" s="97"/>
      <c r="H4245" s="114" t="str">
        <f t="shared" si="56"/>
        <v/>
      </c>
      <c r="I4245" s="17"/>
      <c r="J4245" s="17"/>
      <c r="K4245" s="17"/>
    </row>
    <row r="4246" spans="1:11" x14ac:dyDescent="0.2">
      <c r="A4246" s="115"/>
      <c r="B4246" s="93"/>
      <c r="C4246" s="94"/>
      <c r="D4246" s="95"/>
      <c r="E4246" s="95"/>
      <c r="F4246" s="96"/>
      <c r="G4246" s="97"/>
      <c r="H4246" s="114" t="str">
        <f t="shared" si="56"/>
        <v/>
      </c>
      <c r="I4246" s="17"/>
      <c r="J4246" s="17"/>
      <c r="K4246" s="17"/>
    </row>
    <row r="4247" spans="1:11" x14ac:dyDescent="0.2">
      <c r="A4247" s="115"/>
      <c r="B4247" s="93"/>
      <c r="C4247" s="94"/>
      <c r="D4247" s="95"/>
      <c r="E4247" s="95"/>
      <c r="F4247" s="96"/>
      <c r="G4247" s="97"/>
      <c r="H4247" s="114" t="str">
        <f t="shared" si="56"/>
        <v/>
      </c>
      <c r="I4247" s="17"/>
      <c r="J4247" s="17"/>
      <c r="K4247" s="17"/>
    </row>
    <row r="4248" spans="1:11" x14ac:dyDescent="0.2">
      <c r="A4248" s="115"/>
      <c r="B4248" s="93"/>
      <c r="C4248" s="94"/>
      <c r="D4248" s="95"/>
      <c r="E4248" s="95"/>
      <c r="F4248" s="96"/>
      <c r="G4248" s="97"/>
      <c r="H4248" s="114" t="str">
        <f t="shared" si="56"/>
        <v/>
      </c>
      <c r="I4248" s="17"/>
      <c r="J4248" s="17"/>
      <c r="K4248" s="17"/>
    </row>
    <row r="4249" spans="1:11" x14ac:dyDescent="0.2">
      <c r="A4249" s="115"/>
      <c r="B4249" s="93"/>
      <c r="C4249" s="94"/>
      <c r="D4249" s="95"/>
      <c r="E4249" s="95"/>
      <c r="F4249" s="96"/>
      <c r="G4249" s="97"/>
      <c r="H4249" s="114" t="str">
        <f t="shared" si="56"/>
        <v/>
      </c>
      <c r="I4249" s="17"/>
      <c r="J4249" s="17"/>
      <c r="K4249" s="17"/>
    </row>
    <row r="4250" spans="1:11" x14ac:dyDescent="0.2">
      <c r="A4250" s="115"/>
      <c r="B4250" s="93"/>
      <c r="C4250" s="94"/>
      <c r="D4250" s="95"/>
      <c r="E4250" s="95"/>
      <c r="F4250" s="96"/>
      <c r="G4250" s="97"/>
      <c r="H4250" s="114" t="str">
        <f t="shared" si="56"/>
        <v/>
      </c>
      <c r="I4250" s="17"/>
      <c r="J4250" s="17"/>
      <c r="K4250" s="17"/>
    </row>
    <row r="4251" spans="1:11" x14ac:dyDescent="0.2">
      <c r="A4251" s="115"/>
      <c r="B4251" s="93"/>
      <c r="C4251" s="94"/>
      <c r="D4251" s="95"/>
      <c r="E4251" s="95"/>
      <c r="F4251" s="96"/>
      <c r="G4251" s="97"/>
      <c r="H4251" s="114" t="str">
        <f t="shared" si="56"/>
        <v/>
      </c>
      <c r="I4251" s="17"/>
      <c r="J4251" s="17"/>
      <c r="K4251" s="17"/>
    </row>
    <row r="4252" spans="1:11" x14ac:dyDescent="0.2">
      <c r="A4252" s="115"/>
      <c r="B4252" s="93"/>
      <c r="C4252" s="94"/>
      <c r="D4252" s="95"/>
      <c r="E4252" s="95"/>
      <c r="F4252" s="96"/>
      <c r="G4252" s="97"/>
      <c r="H4252" s="114" t="str">
        <f t="shared" si="56"/>
        <v/>
      </c>
      <c r="I4252" s="17"/>
      <c r="J4252" s="17"/>
      <c r="K4252" s="17"/>
    </row>
    <row r="4253" spans="1:11" x14ac:dyDescent="0.2">
      <c r="A4253" s="115"/>
      <c r="B4253" s="93"/>
      <c r="C4253" s="94"/>
      <c r="D4253" s="95"/>
      <c r="E4253" s="95"/>
      <c r="F4253" s="96"/>
      <c r="G4253" s="97"/>
      <c r="H4253" s="114" t="str">
        <f t="shared" si="56"/>
        <v/>
      </c>
      <c r="I4253" s="17"/>
      <c r="J4253" s="17"/>
      <c r="K4253" s="17"/>
    </row>
    <row r="4254" spans="1:11" x14ac:dyDescent="0.2">
      <c r="A4254" s="115"/>
      <c r="B4254" s="93"/>
      <c r="C4254" s="94"/>
      <c r="D4254" s="95"/>
      <c r="E4254" s="95"/>
      <c r="F4254" s="96"/>
      <c r="G4254" s="97"/>
      <c r="H4254" s="114" t="str">
        <f t="shared" si="56"/>
        <v/>
      </c>
      <c r="I4254" s="17"/>
      <c r="J4254" s="17"/>
      <c r="K4254" s="17"/>
    </row>
    <row r="4255" spans="1:11" x14ac:dyDescent="0.2">
      <c r="A4255" s="115"/>
      <c r="B4255" s="93"/>
      <c r="C4255" s="94"/>
      <c r="D4255" s="95"/>
      <c r="E4255" s="95"/>
      <c r="F4255" s="96"/>
      <c r="G4255" s="97"/>
      <c r="H4255" s="114" t="str">
        <f t="shared" si="56"/>
        <v/>
      </c>
      <c r="I4255" s="17"/>
      <c r="J4255" s="17"/>
      <c r="K4255" s="17"/>
    </row>
    <row r="4256" spans="1:11" x14ac:dyDescent="0.2">
      <c r="A4256" s="115"/>
      <c r="B4256" s="93"/>
      <c r="C4256" s="94"/>
      <c r="D4256" s="95"/>
      <c r="E4256" s="95"/>
      <c r="F4256" s="96"/>
      <c r="G4256" s="97"/>
      <c r="H4256" s="114" t="str">
        <f t="shared" si="56"/>
        <v/>
      </c>
      <c r="I4256" s="17"/>
      <c r="J4256" s="17"/>
      <c r="K4256" s="17"/>
    </row>
    <row r="4257" spans="1:11" x14ac:dyDescent="0.2">
      <c r="A4257" s="115"/>
      <c r="B4257" s="93"/>
      <c r="C4257" s="94"/>
      <c r="D4257" s="95"/>
      <c r="E4257" s="95"/>
      <c r="F4257" s="96"/>
      <c r="G4257" s="97"/>
      <c r="H4257" s="114" t="str">
        <f t="shared" si="56"/>
        <v/>
      </c>
      <c r="I4257" s="17"/>
      <c r="J4257" s="17"/>
      <c r="K4257" s="17"/>
    </row>
    <row r="4258" spans="1:11" x14ac:dyDescent="0.2">
      <c r="A4258" s="115"/>
      <c r="B4258" s="93"/>
      <c r="C4258" s="94"/>
      <c r="D4258" s="95"/>
      <c r="E4258" s="95"/>
      <c r="F4258" s="96"/>
      <c r="G4258" s="97"/>
      <c r="H4258" s="114" t="str">
        <f t="shared" si="56"/>
        <v/>
      </c>
      <c r="I4258" s="17"/>
      <c r="J4258" s="17"/>
      <c r="K4258" s="17"/>
    </row>
    <row r="4259" spans="1:11" x14ac:dyDescent="0.2">
      <c r="A4259" s="115"/>
      <c r="B4259" s="93"/>
      <c r="C4259" s="94"/>
      <c r="D4259" s="95"/>
      <c r="E4259" s="95"/>
      <c r="F4259" s="96"/>
      <c r="G4259" s="97"/>
      <c r="H4259" s="114" t="str">
        <f t="shared" si="56"/>
        <v/>
      </c>
      <c r="I4259" s="17"/>
      <c r="J4259" s="17"/>
      <c r="K4259" s="17"/>
    </row>
    <row r="4260" spans="1:11" x14ac:dyDescent="0.2">
      <c r="A4260" s="115"/>
      <c r="B4260" s="93"/>
      <c r="C4260" s="94"/>
      <c r="D4260" s="95"/>
      <c r="E4260" s="95"/>
      <c r="F4260" s="96"/>
      <c r="G4260" s="97"/>
      <c r="H4260" s="114" t="str">
        <f t="shared" si="56"/>
        <v/>
      </c>
      <c r="I4260" s="17"/>
      <c r="J4260" s="17"/>
      <c r="K4260" s="17"/>
    </row>
    <row r="4261" spans="1:11" x14ac:dyDescent="0.2">
      <c r="A4261" s="115"/>
      <c r="B4261" s="93"/>
      <c r="C4261" s="94"/>
      <c r="D4261" s="95"/>
      <c r="E4261" s="95"/>
      <c r="F4261" s="96"/>
      <c r="G4261" s="97"/>
      <c r="H4261" s="114" t="str">
        <f t="shared" si="56"/>
        <v/>
      </c>
      <c r="I4261" s="17"/>
      <c r="J4261" s="17"/>
      <c r="K4261" s="17"/>
    </row>
    <row r="4262" spans="1:11" x14ac:dyDescent="0.2">
      <c r="A4262" s="115"/>
      <c r="B4262" s="93"/>
      <c r="C4262" s="94"/>
      <c r="D4262" s="95"/>
      <c r="E4262" s="95"/>
      <c r="F4262" s="96"/>
      <c r="G4262" s="97"/>
      <c r="H4262" s="114" t="str">
        <f t="shared" si="56"/>
        <v/>
      </c>
      <c r="I4262" s="17"/>
      <c r="J4262" s="17"/>
      <c r="K4262" s="17"/>
    </row>
    <row r="4263" spans="1:11" x14ac:dyDescent="0.2">
      <c r="A4263" s="115"/>
      <c r="B4263" s="93"/>
      <c r="C4263" s="94"/>
      <c r="D4263" s="95"/>
      <c r="E4263" s="95"/>
      <c r="F4263" s="96"/>
      <c r="G4263" s="97"/>
      <c r="H4263" s="114" t="str">
        <f t="shared" si="56"/>
        <v/>
      </c>
      <c r="I4263" s="17"/>
      <c r="J4263" s="17"/>
      <c r="K4263" s="17"/>
    </row>
    <row r="4264" spans="1:11" x14ac:dyDescent="0.2">
      <c r="A4264" s="115"/>
      <c r="B4264" s="93"/>
      <c r="C4264" s="94"/>
      <c r="D4264" s="95"/>
      <c r="E4264" s="95"/>
      <c r="F4264" s="96"/>
      <c r="G4264" s="97"/>
      <c r="H4264" s="114" t="str">
        <f t="shared" si="56"/>
        <v/>
      </c>
      <c r="I4264" s="17"/>
      <c r="J4264" s="17"/>
      <c r="K4264" s="17"/>
    </row>
    <row r="4265" spans="1:11" x14ac:dyDescent="0.2">
      <c r="A4265" s="115"/>
      <c r="B4265" s="93"/>
      <c r="C4265" s="94"/>
      <c r="D4265" s="95"/>
      <c r="E4265" s="95"/>
      <c r="F4265" s="96"/>
      <c r="G4265" s="97"/>
      <c r="H4265" s="114" t="str">
        <f t="shared" si="56"/>
        <v/>
      </c>
      <c r="I4265" s="17"/>
      <c r="J4265" s="17"/>
      <c r="K4265" s="17"/>
    </row>
    <row r="4266" spans="1:11" x14ac:dyDescent="0.2">
      <c r="A4266" s="115"/>
      <c r="B4266" s="93"/>
      <c r="C4266" s="94"/>
      <c r="D4266" s="95"/>
      <c r="E4266" s="95"/>
      <c r="F4266" s="96"/>
      <c r="G4266" s="97"/>
      <c r="H4266" s="114" t="str">
        <f t="shared" si="56"/>
        <v/>
      </c>
      <c r="I4266" s="17"/>
      <c r="J4266" s="17"/>
      <c r="K4266" s="17"/>
    </row>
    <row r="4267" spans="1:11" x14ac:dyDescent="0.2">
      <c r="A4267" s="115"/>
      <c r="B4267" s="93"/>
      <c r="C4267" s="94"/>
      <c r="D4267" s="95"/>
      <c r="E4267" s="95"/>
      <c r="F4267" s="96"/>
      <c r="G4267" s="97"/>
      <c r="H4267" s="114" t="str">
        <f t="shared" si="56"/>
        <v/>
      </c>
      <c r="I4267" s="17"/>
      <c r="J4267" s="17"/>
      <c r="K4267" s="17"/>
    </row>
    <row r="4268" spans="1:11" x14ac:dyDescent="0.2">
      <c r="A4268" s="115"/>
      <c r="B4268" s="93"/>
      <c r="C4268" s="94"/>
      <c r="D4268" s="95"/>
      <c r="E4268" s="95"/>
      <c r="F4268" s="96"/>
      <c r="G4268" s="97"/>
      <c r="H4268" s="114" t="str">
        <f t="shared" si="56"/>
        <v/>
      </c>
      <c r="I4268" s="17"/>
      <c r="J4268" s="17"/>
      <c r="K4268" s="17"/>
    </row>
    <row r="4269" spans="1:11" x14ac:dyDescent="0.2">
      <c r="A4269" s="115"/>
      <c r="B4269" s="93"/>
      <c r="C4269" s="94"/>
      <c r="D4269" s="95"/>
      <c r="E4269" s="95"/>
      <c r="F4269" s="96"/>
      <c r="G4269" s="97"/>
      <c r="H4269" s="114" t="str">
        <f t="shared" si="56"/>
        <v/>
      </c>
      <c r="I4269" s="17"/>
      <c r="J4269" s="17"/>
      <c r="K4269" s="17"/>
    </row>
    <row r="4270" spans="1:11" x14ac:dyDescent="0.2">
      <c r="A4270" s="115"/>
      <c r="B4270" s="93"/>
      <c r="C4270" s="94"/>
      <c r="D4270" s="95"/>
      <c r="E4270" s="95"/>
      <c r="F4270" s="96"/>
      <c r="G4270" s="97"/>
      <c r="H4270" s="114" t="str">
        <f t="shared" si="56"/>
        <v/>
      </c>
      <c r="I4270" s="17"/>
      <c r="J4270" s="17"/>
      <c r="K4270" s="17"/>
    </row>
    <row r="4271" spans="1:11" x14ac:dyDescent="0.2">
      <c r="A4271" s="115"/>
      <c r="B4271" s="93"/>
      <c r="C4271" s="94"/>
      <c r="D4271" s="95"/>
      <c r="E4271" s="95"/>
      <c r="F4271" s="96"/>
      <c r="G4271" s="97"/>
      <c r="H4271" s="114" t="str">
        <f t="shared" si="56"/>
        <v/>
      </c>
      <c r="I4271" s="17"/>
      <c r="J4271" s="17"/>
      <c r="K4271" s="17"/>
    </row>
    <row r="4272" spans="1:11" x14ac:dyDescent="0.2">
      <c r="A4272" s="115"/>
      <c r="B4272" s="93"/>
      <c r="C4272" s="94"/>
      <c r="D4272" s="95"/>
      <c r="E4272" s="95"/>
      <c r="F4272" s="96"/>
      <c r="G4272" s="97"/>
      <c r="H4272" s="114" t="str">
        <f t="shared" si="56"/>
        <v/>
      </c>
      <c r="I4272" s="17"/>
      <c r="J4272" s="17"/>
      <c r="K4272" s="17"/>
    </row>
    <row r="4273" spans="1:11" x14ac:dyDescent="0.2">
      <c r="A4273" s="115"/>
      <c r="B4273" s="93"/>
      <c r="C4273" s="94"/>
      <c r="D4273" s="95"/>
      <c r="E4273" s="95"/>
      <c r="F4273" s="96"/>
      <c r="G4273" s="97"/>
      <c r="H4273" s="114" t="str">
        <f t="shared" si="56"/>
        <v/>
      </c>
      <c r="I4273" s="17"/>
      <c r="J4273" s="17"/>
      <c r="K4273" s="17"/>
    </row>
    <row r="4274" spans="1:11" x14ac:dyDescent="0.2">
      <c r="A4274" s="115"/>
      <c r="B4274" s="93"/>
      <c r="C4274" s="94"/>
      <c r="D4274" s="95"/>
      <c r="E4274" s="95"/>
      <c r="F4274" s="96"/>
      <c r="G4274" s="97"/>
      <c r="H4274" s="114" t="str">
        <f t="shared" si="56"/>
        <v/>
      </c>
      <c r="I4274" s="17"/>
      <c r="J4274" s="17"/>
      <c r="K4274" s="17"/>
    </row>
    <row r="4275" spans="1:11" x14ac:dyDescent="0.2">
      <c r="A4275" s="115"/>
      <c r="B4275" s="93"/>
      <c r="C4275" s="94"/>
      <c r="D4275" s="95"/>
      <c r="E4275" s="95"/>
      <c r="F4275" s="96"/>
      <c r="G4275" s="97"/>
      <c r="H4275" s="114" t="str">
        <f t="shared" si="56"/>
        <v/>
      </c>
      <c r="I4275" s="17"/>
      <c r="J4275" s="17"/>
      <c r="K4275" s="17"/>
    </row>
    <row r="4276" spans="1:11" x14ac:dyDescent="0.2">
      <c r="A4276" s="115"/>
      <c r="B4276" s="93"/>
      <c r="C4276" s="94"/>
      <c r="D4276" s="95"/>
      <c r="E4276" s="95"/>
      <c r="F4276" s="96"/>
      <c r="G4276" s="97"/>
      <c r="H4276" s="114" t="str">
        <f t="shared" si="56"/>
        <v/>
      </c>
      <c r="I4276" s="17"/>
      <c r="J4276" s="17"/>
      <c r="K4276" s="17"/>
    </row>
    <row r="4277" spans="1:11" x14ac:dyDescent="0.2">
      <c r="A4277" s="115"/>
      <c r="B4277" s="93"/>
      <c r="C4277" s="94"/>
      <c r="D4277" s="95"/>
      <c r="E4277" s="95"/>
      <c r="F4277" s="96"/>
      <c r="G4277" s="97"/>
      <c r="H4277" s="114" t="str">
        <f t="shared" si="56"/>
        <v/>
      </c>
      <c r="I4277" s="17"/>
      <c r="J4277" s="17"/>
      <c r="K4277" s="17"/>
    </row>
    <row r="4278" spans="1:11" x14ac:dyDescent="0.2">
      <c r="A4278" s="115"/>
      <c r="B4278" s="93"/>
      <c r="C4278" s="94"/>
      <c r="D4278" s="95"/>
      <c r="E4278" s="95"/>
      <c r="F4278" s="96"/>
      <c r="G4278" s="97"/>
      <c r="H4278" s="114" t="str">
        <f t="shared" si="56"/>
        <v/>
      </c>
      <c r="I4278" s="17"/>
      <c r="J4278" s="17"/>
      <c r="K4278" s="17"/>
    </row>
    <row r="4279" spans="1:11" x14ac:dyDescent="0.2">
      <c r="A4279" s="115"/>
      <c r="B4279" s="93"/>
      <c r="C4279" s="94"/>
      <c r="D4279" s="95"/>
      <c r="E4279" s="95"/>
      <c r="F4279" s="96"/>
      <c r="G4279" s="97"/>
      <c r="H4279" s="114" t="str">
        <f t="shared" si="56"/>
        <v/>
      </c>
      <c r="I4279" s="17"/>
      <c r="J4279" s="17"/>
      <c r="K4279" s="17"/>
    </row>
    <row r="4280" spans="1:11" x14ac:dyDescent="0.2">
      <c r="A4280" s="115"/>
      <c r="B4280" s="93"/>
      <c r="C4280" s="94"/>
      <c r="D4280" s="95"/>
      <c r="E4280" s="95"/>
      <c r="F4280" s="96"/>
      <c r="G4280" s="97"/>
      <c r="H4280" s="114" t="str">
        <f t="shared" si="56"/>
        <v/>
      </c>
      <c r="I4280" s="17"/>
      <c r="J4280" s="17"/>
      <c r="K4280" s="17"/>
    </row>
    <row r="4281" spans="1:11" x14ac:dyDescent="0.2">
      <c r="A4281" s="115"/>
      <c r="B4281" s="93"/>
      <c r="C4281" s="94"/>
      <c r="D4281" s="95"/>
      <c r="E4281" s="95"/>
      <c r="F4281" s="96"/>
      <c r="G4281" s="97"/>
      <c r="H4281" s="114" t="str">
        <f t="shared" si="56"/>
        <v/>
      </c>
      <c r="I4281" s="17"/>
      <c r="J4281" s="17"/>
      <c r="K4281" s="17"/>
    </row>
    <row r="4282" spans="1:11" x14ac:dyDescent="0.2">
      <c r="A4282" s="115"/>
      <c r="B4282" s="93"/>
      <c r="C4282" s="94"/>
      <c r="D4282" s="95"/>
      <c r="E4282" s="95"/>
      <c r="F4282" s="96"/>
      <c r="G4282" s="97"/>
      <c r="H4282" s="114" t="str">
        <f t="shared" si="56"/>
        <v/>
      </c>
      <c r="I4282" s="17"/>
      <c r="J4282" s="17"/>
      <c r="K4282" s="17"/>
    </row>
    <row r="4283" spans="1:11" x14ac:dyDescent="0.2">
      <c r="A4283" s="115"/>
      <c r="B4283" s="93"/>
      <c r="C4283" s="94"/>
      <c r="D4283" s="95"/>
      <c r="E4283" s="95"/>
      <c r="F4283" s="96"/>
      <c r="G4283" s="97"/>
      <c r="H4283" s="114" t="str">
        <f t="shared" si="56"/>
        <v/>
      </c>
      <c r="I4283" s="17"/>
      <c r="J4283" s="17"/>
      <c r="K4283" s="17"/>
    </row>
    <row r="4284" spans="1:11" x14ac:dyDescent="0.2">
      <c r="A4284" s="115"/>
      <c r="B4284" s="93"/>
      <c r="C4284" s="94"/>
      <c r="D4284" s="95"/>
      <c r="E4284" s="95"/>
      <c r="F4284" s="96"/>
      <c r="G4284" s="97"/>
      <c r="H4284" s="114" t="str">
        <f t="shared" si="56"/>
        <v/>
      </c>
      <c r="I4284" s="17"/>
      <c r="J4284" s="17"/>
      <c r="K4284" s="17"/>
    </row>
    <row r="4285" spans="1:11" x14ac:dyDescent="0.2">
      <c r="A4285" s="115"/>
      <c r="B4285" s="93"/>
      <c r="C4285" s="94"/>
      <c r="D4285" s="95"/>
      <c r="E4285" s="95"/>
      <c r="F4285" s="96"/>
      <c r="G4285" s="97"/>
      <c r="H4285" s="114" t="str">
        <f t="shared" si="56"/>
        <v/>
      </c>
      <c r="I4285" s="17"/>
      <c r="J4285" s="17"/>
      <c r="K4285" s="17"/>
    </row>
    <row r="4286" spans="1:11" x14ac:dyDescent="0.2">
      <c r="A4286" s="115"/>
      <c r="B4286" s="93"/>
      <c r="C4286" s="94"/>
      <c r="D4286" s="95"/>
      <c r="E4286" s="95"/>
      <c r="F4286" s="96"/>
      <c r="G4286" s="97"/>
      <c r="H4286" s="114" t="str">
        <f t="shared" si="56"/>
        <v/>
      </c>
      <c r="I4286" s="17"/>
      <c r="J4286" s="17"/>
      <c r="K4286" s="17"/>
    </row>
    <row r="4287" spans="1:11" x14ac:dyDescent="0.2">
      <c r="A4287" s="115"/>
      <c r="B4287" s="93"/>
      <c r="C4287" s="94"/>
      <c r="D4287" s="95"/>
      <c r="E4287" s="95"/>
      <c r="F4287" s="96"/>
      <c r="G4287" s="97"/>
      <c r="H4287" s="114" t="str">
        <f t="shared" si="56"/>
        <v/>
      </c>
      <c r="I4287" s="17"/>
      <c r="J4287" s="17"/>
      <c r="K4287" s="17"/>
    </row>
    <row r="4288" spans="1:11" x14ac:dyDescent="0.2">
      <c r="A4288" s="115"/>
      <c r="B4288" s="93"/>
      <c r="C4288" s="94"/>
      <c r="D4288" s="95"/>
      <c r="E4288" s="95"/>
      <c r="F4288" s="96"/>
      <c r="G4288" s="97"/>
      <c r="H4288" s="114" t="str">
        <f t="shared" si="56"/>
        <v/>
      </c>
      <c r="I4288" s="17"/>
      <c r="J4288" s="17"/>
      <c r="K4288" s="17"/>
    </row>
    <row r="4289" spans="1:11" x14ac:dyDescent="0.2">
      <c r="A4289" s="115"/>
      <c r="B4289" s="93"/>
      <c r="C4289" s="94"/>
      <c r="D4289" s="95"/>
      <c r="E4289" s="95"/>
      <c r="F4289" s="96"/>
      <c r="G4289" s="97"/>
      <c r="H4289" s="114" t="str">
        <f t="shared" si="56"/>
        <v/>
      </c>
      <c r="I4289" s="17"/>
      <c r="J4289" s="17"/>
      <c r="K4289" s="17"/>
    </row>
    <row r="4290" spans="1:11" x14ac:dyDescent="0.2">
      <c r="A4290" s="115"/>
      <c r="B4290" s="93"/>
      <c r="C4290" s="94"/>
      <c r="D4290" s="95"/>
      <c r="E4290" s="95"/>
      <c r="F4290" s="96"/>
      <c r="G4290" s="97"/>
      <c r="H4290" s="114" t="str">
        <f t="shared" si="56"/>
        <v/>
      </c>
      <c r="I4290" s="17"/>
      <c r="J4290" s="17"/>
      <c r="K4290" s="17"/>
    </row>
    <row r="4291" spans="1:11" x14ac:dyDescent="0.2">
      <c r="A4291" s="115"/>
      <c r="B4291" s="93"/>
      <c r="C4291" s="94"/>
      <c r="D4291" s="95"/>
      <c r="E4291" s="95"/>
      <c r="F4291" s="96"/>
      <c r="G4291" s="97"/>
      <c r="H4291" s="114" t="str">
        <f t="shared" si="56"/>
        <v/>
      </c>
      <c r="I4291" s="17"/>
      <c r="J4291" s="17"/>
      <c r="K4291" s="17"/>
    </row>
    <row r="4292" spans="1:11" x14ac:dyDescent="0.2">
      <c r="A4292" s="115"/>
      <c r="B4292" s="93"/>
      <c r="C4292" s="94"/>
      <c r="D4292" s="95"/>
      <c r="E4292" s="95"/>
      <c r="F4292" s="96"/>
      <c r="G4292" s="97"/>
      <c r="H4292" s="114" t="str">
        <f t="shared" ref="H4292:H4355" si="57">IF(A4292&lt;&gt;"", EOMONTH(A4292, -1) + 1, "")</f>
        <v/>
      </c>
      <c r="I4292" s="17"/>
      <c r="J4292" s="17"/>
      <c r="K4292" s="17"/>
    </row>
    <row r="4293" spans="1:11" x14ac:dyDescent="0.2">
      <c r="A4293" s="115"/>
      <c r="B4293" s="93"/>
      <c r="C4293" s="94"/>
      <c r="D4293" s="95"/>
      <c r="E4293" s="95"/>
      <c r="F4293" s="96"/>
      <c r="G4293" s="97"/>
      <c r="H4293" s="114" t="str">
        <f t="shared" si="57"/>
        <v/>
      </c>
      <c r="I4293" s="17"/>
      <c r="J4293" s="17"/>
      <c r="K4293" s="17"/>
    </row>
    <row r="4294" spans="1:11" x14ac:dyDescent="0.2">
      <c r="A4294" s="115"/>
      <c r="B4294" s="93"/>
      <c r="C4294" s="94"/>
      <c r="D4294" s="95"/>
      <c r="E4294" s="95"/>
      <c r="F4294" s="96"/>
      <c r="G4294" s="97"/>
      <c r="H4294" s="114" t="str">
        <f t="shared" si="57"/>
        <v/>
      </c>
      <c r="I4294" s="17"/>
      <c r="J4294" s="17"/>
      <c r="K4294" s="17"/>
    </row>
    <row r="4295" spans="1:11" x14ac:dyDescent="0.2">
      <c r="A4295" s="115"/>
      <c r="B4295" s="93"/>
      <c r="C4295" s="94"/>
      <c r="D4295" s="95"/>
      <c r="E4295" s="95"/>
      <c r="F4295" s="96"/>
      <c r="G4295" s="97"/>
      <c r="H4295" s="114" t="str">
        <f t="shared" si="57"/>
        <v/>
      </c>
      <c r="I4295" s="17"/>
      <c r="J4295" s="17"/>
      <c r="K4295" s="17"/>
    </row>
    <row r="4296" spans="1:11" x14ac:dyDescent="0.2">
      <c r="A4296" s="115"/>
      <c r="B4296" s="93"/>
      <c r="C4296" s="94"/>
      <c r="D4296" s="95"/>
      <c r="E4296" s="95"/>
      <c r="F4296" s="96"/>
      <c r="G4296" s="97"/>
      <c r="H4296" s="114" t="str">
        <f t="shared" si="57"/>
        <v/>
      </c>
      <c r="I4296" s="17"/>
      <c r="J4296" s="17"/>
      <c r="K4296" s="17"/>
    </row>
    <row r="4297" spans="1:11" x14ac:dyDescent="0.2">
      <c r="A4297" s="115"/>
      <c r="B4297" s="93"/>
      <c r="C4297" s="94"/>
      <c r="D4297" s="95"/>
      <c r="E4297" s="95"/>
      <c r="F4297" s="96"/>
      <c r="G4297" s="97"/>
      <c r="H4297" s="114" t="str">
        <f t="shared" si="57"/>
        <v/>
      </c>
      <c r="I4297" s="17"/>
      <c r="J4297" s="17"/>
      <c r="K4297" s="17"/>
    </row>
    <row r="4298" spans="1:11" x14ac:dyDescent="0.2">
      <c r="A4298" s="115"/>
      <c r="B4298" s="93"/>
      <c r="C4298" s="94"/>
      <c r="D4298" s="95"/>
      <c r="E4298" s="95"/>
      <c r="F4298" s="96"/>
      <c r="G4298" s="97"/>
      <c r="H4298" s="114" t="str">
        <f t="shared" si="57"/>
        <v/>
      </c>
      <c r="I4298" s="17"/>
      <c r="J4298" s="17"/>
      <c r="K4298" s="17"/>
    </row>
    <row r="4299" spans="1:11" x14ac:dyDescent="0.2">
      <c r="A4299" s="115"/>
      <c r="B4299" s="93"/>
      <c r="C4299" s="94"/>
      <c r="D4299" s="95"/>
      <c r="E4299" s="95"/>
      <c r="F4299" s="96"/>
      <c r="G4299" s="97"/>
      <c r="H4299" s="114" t="str">
        <f t="shared" si="57"/>
        <v/>
      </c>
      <c r="I4299" s="17"/>
      <c r="J4299" s="17"/>
      <c r="K4299" s="17"/>
    </row>
    <row r="4300" spans="1:11" x14ac:dyDescent="0.2">
      <c r="A4300" s="115"/>
      <c r="B4300" s="93"/>
      <c r="C4300" s="94"/>
      <c r="D4300" s="95"/>
      <c r="E4300" s="95"/>
      <c r="F4300" s="96"/>
      <c r="G4300" s="97"/>
      <c r="H4300" s="114" t="str">
        <f t="shared" si="57"/>
        <v/>
      </c>
      <c r="I4300" s="17"/>
      <c r="J4300" s="17"/>
      <c r="K4300" s="17"/>
    </row>
    <row r="4301" spans="1:11" x14ac:dyDescent="0.2">
      <c r="A4301" s="115"/>
      <c r="B4301" s="93"/>
      <c r="C4301" s="94"/>
      <c r="D4301" s="95"/>
      <c r="E4301" s="95"/>
      <c r="F4301" s="96"/>
      <c r="G4301" s="97"/>
      <c r="H4301" s="114" t="str">
        <f t="shared" si="57"/>
        <v/>
      </c>
      <c r="I4301" s="17"/>
      <c r="J4301" s="17"/>
      <c r="K4301" s="17"/>
    </row>
    <row r="4302" spans="1:11" x14ac:dyDescent="0.2">
      <c r="A4302" s="115"/>
      <c r="B4302" s="93"/>
      <c r="C4302" s="94"/>
      <c r="D4302" s="95"/>
      <c r="E4302" s="95"/>
      <c r="F4302" s="96"/>
      <c r="G4302" s="97"/>
      <c r="H4302" s="114" t="str">
        <f t="shared" si="57"/>
        <v/>
      </c>
      <c r="I4302" s="17"/>
      <c r="J4302" s="17"/>
      <c r="K4302" s="17"/>
    </row>
    <row r="4303" spans="1:11" x14ac:dyDescent="0.2">
      <c r="A4303" s="115"/>
      <c r="B4303" s="93"/>
      <c r="C4303" s="94"/>
      <c r="D4303" s="95"/>
      <c r="E4303" s="95"/>
      <c r="F4303" s="96"/>
      <c r="G4303" s="97"/>
      <c r="H4303" s="114" t="str">
        <f t="shared" si="57"/>
        <v/>
      </c>
      <c r="I4303" s="17"/>
      <c r="J4303" s="17"/>
      <c r="K4303" s="17"/>
    </row>
    <row r="4304" spans="1:11" x14ac:dyDescent="0.2">
      <c r="A4304" s="115"/>
      <c r="B4304" s="93"/>
      <c r="C4304" s="94"/>
      <c r="D4304" s="95"/>
      <c r="E4304" s="95"/>
      <c r="F4304" s="96"/>
      <c r="G4304" s="97"/>
      <c r="H4304" s="114" t="str">
        <f t="shared" si="57"/>
        <v/>
      </c>
      <c r="I4304" s="17"/>
      <c r="J4304" s="17"/>
      <c r="K4304" s="17"/>
    </row>
    <row r="4305" spans="1:11" x14ac:dyDescent="0.2">
      <c r="A4305" s="115"/>
      <c r="B4305" s="93"/>
      <c r="C4305" s="94"/>
      <c r="D4305" s="95"/>
      <c r="E4305" s="95"/>
      <c r="F4305" s="96"/>
      <c r="G4305" s="97"/>
      <c r="H4305" s="114" t="str">
        <f t="shared" si="57"/>
        <v/>
      </c>
      <c r="I4305" s="17"/>
      <c r="J4305" s="17"/>
      <c r="K4305" s="17"/>
    </row>
    <row r="4306" spans="1:11" x14ac:dyDescent="0.2">
      <c r="A4306" s="115"/>
      <c r="B4306" s="93"/>
      <c r="C4306" s="94"/>
      <c r="D4306" s="95"/>
      <c r="E4306" s="95"/>
      <c r="F4306" s="96"/>
      <c r="G4306" s="97"/>
      <c r="H4306" s="114" t="str">
        <f t="shared" si="57"/>
        <v/>
      </c>
      <c r="I4306" s="17"/>
      <c r="J4306" s="17"/>
      <c r="K4306" s="17"/>
    </row>
    <row r="4307" spans="1:11" x14ac:dyDescent="0.2">
      <c r="A4307" s="115"/>
      <c r="B4307" s="93"/>
      <c r="C4307" s="94"/>
      <c r="D4307" s="95"/>
      <c r="E4307" s="95"/>
      <c r="F4307" s="96"/>
      <c r="G4307" s="97"/>
      <c r="H4307" s="114" t="str">
        <f t="shared" si="57"/>
        <v/>
      </c>
      <c r="I4307" s="17"/>
      <c r="J4307" s="17"/>
      <c r="K4307" s="17"/>
    </row>
    <row r="4308" spans="1:11" x14ac:dyDescent="0.2">
      <c r="A4308" s="115"/>
      <c r="B4308" s="93"/>
      <c r="C4308" s="94"/>
      <c r="D4308" s="95"/>
      <c r="E4308" s="95"/>
      <c r="F4308" s="96"/>
      <c r="G4308" s="97"/>
      <c r="H4308" s="114" t="str">
        <f t="shared" si="57"/>
        <v/>
      </c>
      <c r="I4308" s="17"/>
      <c r="J4308" s="17"/>
      <c r="K4308" s="17"/>
    </row>
    <row r="4309" spans="1:11" x14ac:dyDescent="0.2">
      <c r="A4309" s="115"/>
      <c r="B4309" s="93"/>
      <c r="C4309" s="94"/>
      <c r="D4309" s="95"/>
      <c r="E4309" s="95"/>
      <c r="F4309" s="96"/>
      <c r="G4309" s="97"/>
      <c r="H4309" s="114" t="str">
        <f t="shared" si="57"/>
        <v/>
      </c>
      <c r="I4309" s="17"/>
      <c r="J4309" s="17"/>
      <c r="K4309" s="17"/>
    </row>
    <row r="4310" spans="1:11" x14ac:dyDescent="0.2">
      <c r="A4310" s="115"/>
      <c r="B4310" s="93"/>
      <c r="C4310" s="94"/>
      <c r="D4310" s="95"/>
      <c r="E4310" s="95"/>
      <c r="F4310" s="96"/>
      <c r="G4310" s="97"/>
      <c r="H4310" s="114" t="str">
        <f t="shared" si="57"/>
        <v/>
      </c>
      <c r="I4310" s="17"/>
      <c r="J4310" s="17"/>
      <c r="K4310" s="17"/>
    </row>
    <row r="4311" spans="1:11" x14ac:dyDescent="0.2">
      <c r="A4311" s="115"/>
      <c r="B4311" s="93"/>
      <c r="C4311" s="94"/>
      <c r="D4311" s="95"/>
      <c r="E4311" s="95"/>
      <c r="F4311" s="96"/>
      <c r="G4311" s="97"/>
      <c r="H4311" s="114" t="str">
        <f t="shared" si="57"/>
        <v/>
      </c>
      <c r="I4311" s="17"/>
      <c r="J4311" s="17"/>
      <c r="K4311" s="17"/>
    </row>
    <row r="4312" spans="1:11" x14ac:dyDescent="0.2">
      <c r="A4312" s="115"/>
      <c r="B4312" s="93"/>
      <c r="C4312" s="94"/>
      <c r="D4312" s="95"/>
      <c r="E4312" s="95"/>
      <c r="F4312" s="96"/>
      <c r="G4312" s="97"/>
      <c r="H4312" s="114" t="str">
        <f t="shared" si="57"/>
        <v/>
      </c>
      <c r="I4312" s="17"/>
      <c r="J4312" s="17"/>
      <c r="K4312" s="17"/>
    </row>
    <row r="4313" spans="1:11" x14ac:dyDescent="0.2">
      <c r="A4313" s="115"/>
      <c r="B4313" s="93"/>
      <c r="C4313" s="94"/>
      <c r="D4313" s="95"/>
      <c r="E4313" s="95"/>
      <c r="F4313" s="96"/>
      <c r="G4313" s="97"/>
      <c r="H4313" s="114" t="str">
        <f t="shared" si="57"/>
        <v/>
      </c>
      <c r="I4313" s="17"/>
      <c r="J4313" s="17"/>
      <c r="K4313" s="17"/>
    </row>
    <row r="4314" spans="1:11" x14ac:dyDescent="0.2">
      <c r="A4314" s="115"/>
      <c r="B4314" s="93"/>
      <c r="C4314" s="94"/>
      <c r="D4314" s="95"/>
      <c r="E4314" s="95"/>
      <c r="F4314" s="96"/>
      <c r="G4314" s="97"/>
      <c r="H4314" s="114" t="str">
        <f t="shared" si="57"/>
        <v/>
      </c>
      <c r="I4314" s="17"/>
      <c r="J4314" s="17"/>
      <c r="K4314" s="17"/>
    </row>
    <row r="4315" spans="1:11" x14ac:dyDescent="0.2">
      <c r="A4315" s="115"/>
      <c r="B4315" s="93"/>
      <c r="C4315" s="94"/>
      <c r="D4315" s="95"/>
      <c r="E4315" s="95"/>
      <c r="F4315" s="96"/>
      <c r="G4315" s="97"/>
      <c r="H4315" s="114" t="str">
        <f t="shared" si="57"/>
        <v/>
      </c>
      <c r="I4315" s="17"/>
      <c r="J4315" s="17"/>
      <c r="K4315" s="17"/>
    </row>
    <row r="4316" spans="1:11" x14ac:dyDescent="0.2">
      <c r="A4316" s="115"/>
      <c r="B4316" s="93"/>
      <c r="C4316" s="94"/>
      <c r="D4316" s="95"/>
      <c r="E4316" s="95"/>
      <c r="F4316" s="96"/>
      <c r="G4316" s="97"/>
      <c r="H4316" s="114" t="str">
        <f t="shared" si="57"/>
        <v/>
      </c>
      <c r="I4316" s="17"/>
      <c r="J4316" s="17"/>
      <c r="K4316" s="17"/>
    </row>
    <row r="4317" spans="1:11" x14ac:dyDescent="0.2">
      <c r="A4317" s="115"/>
      <c r="B4317" s="93"/>
      <c r="C4317" s="94"/>
      <c r="D4317" s="95"/>
      <c r="E4317" s="95"/>
      <c r="F4317" s="96"/>
      <c r="G4317" s="97"/>
      <c r="H4317" s="114" t="str">
        <f t="shared" si="57"/>
        <v/>
      </c>
      <c r="I4317" s="17"/>
      <c r="J4317" s="17"/>
      <c r="K4317" s="17"/>
    </row>
    <row r="4318" spans="1:11" x14ac:dyDescent="0.2">
      <c r="A4318" s="115"/>
      <c r="B4318" s="93"/>
      <c r="C4318" s="94"/>
      <c r="D4318" s="95"/>
      <c r="E4318" s="95"/>
      <c r="F4318" s="96"/>
      <c r="G4318" s="97"/>
      <c r="H4318" s="114" t="str">
        <f t="shared" si="57"/>
        <v/>
      </c>
      <c r="I4318" s="17"/>
      <c r="J4318" s="17"/>
      <c r="K4318" s="17"/>
    </row>
    <row r="4319" spans="1:11" x14ac:dyDescent="0.2">
      <c r="A4319" s="115"/>
      <c r="B4319" s="93"/>
      <c r="C4319" s="94"/>
      <c r="D4319" s="95"/>
      <c r="E4319" s="95"/>
      <c r="F4319" s="96"/>
      <c r="G4319" s="97"/>
      <c r="H4319" s="114" t="str">
        <f t="shared" si="57"/>
        <v/>
      </c>
      <c r="I4319" s="17"/>
      <c r="J4319" s="17"/>
      <c r="K4319" s="17"/>
    </row>
    <row r="4320" spans="1:11" x14ac:dyDescent="0.2">
      <c r="A4320" s="115"/>
      <c r="B4320" s="93"/>
      <c r="C4320" s="94"/>
      <c r="D4320" s="95"/>
      <c r="E4320" s="95"/>
      <c r="F4320" s="96"/>
      <c r="G4320" s="97"/>
      <c r="H4320" s="114" t="str">
        <f t="shared" si="57"/>
        <v/>
      </c>
      <c r="I4320" s="17"/>
      <c r="J4320" s="17"/>
      <c r="K4320" s="17"/>
    </row>
    <row r="4321" spans="1:11" x14ac:dyDescent="0.2">
      <c r="A4321" s="115"/>
      <c r="B4321" s="93"/>
      <c r="C4321" s="94"/>
      <c r="D4321" s="95"/>
      <c r="E4321" s="95"/>
      <c r="F4321" s="96"/>
      <c r="G4321" s="97"/>
      <c r="H4321" s="114" t="str">
        <f t="shared" si="57"/>
        <v/>
      </c>
      <c r="I4321" s="17"/>
      <c r="J4321" s="17"/>
      <c r="K4321" s="17"/>
    </row>
    <row r="4322" spans="1:11" x14ac:dyDescent="0.2">
      <c r="A4322" s="115"/>
      <c r="B4322" s="93"/>
      <c r="C4322" s="94"/>
      <c r="D4322" s="95"/>
      <c r="E4322" s="95"/>
      <c r="F4322" s="96"/>
      <c r="G4322" s="97"/>
      <c r="H4322" s="114" t="str">
        <f t="shared" si="57"/>
        <v/>
      </c>
      <c r="I4322" s="17"/>
      <c r="J4322" s="17"/>
      <c r="K4322" s="17"/>
    </row>
    <row r="4323" spans="1:11" x14ac:dyDescent="0.2">
      <c r="A4323" s="115"/>
      <c r="B4323" s="93"/>
      <c r="C4323" s="94"/>
      <c r="D4323" s="95"/>
      <c r="E4323" s="95"/>
      <c r="F4323" s="96"/>
      <c r="G4323" s="97"/>
      <c r="H4323" s="114" t="str">
        <f t="shared" si="57"/>
        <v/>
      </c>
      <c r="I4323" s="17"/>
      <c r="J4323" s="17"/>
      <c r="K4323" s="17"/>
    </row>
    <row r="4324" spans="1:11" x14ac:dyDescent="0.2">
      <c r="A4324" s="115"/>
      <c r="B4324" s="93"/>
      <c r="C4324" s="94"/>
      <c r="D4324" s="95"/>
      <c r="E4324" s="95"/>
      <c r="F4324" s="96"/>
      <c r="G4324" s="97"/>
      <c r="H4324" s="114" t="str">
        <f t="shared" si="57"/>
        <v/>
      </c>
      <c r="I4324" s="17"/>
      <c r="J4324" s="17"/>
      <c r="K4324" s="17"/>
    </row>
    <row r="4325" spans="1:11" x14ac:dyDescent="0.2">
      <c r="A4325" s="115"/>
      <c r="B4325" s="93"/>
      <c r="C4325" s="94"/>
      <c r="D4325" s="95"/>
      <c r="E4325" s="95"/>
      <c r="F4325" s="96"/>
      <c r="G4325" s="97"/>
      <c r="H4325" s="114" t="str">
        <f t="shared" si="57"/>
        <v/>
      </c>
      <c r="I4325" s="17"/>
      <c r="J4325" s="17"/>
      <c r="K4325" s="17"/>
    </row>
    <row r="4326" spans="1:11" x14ac:dyDescent="0.2">
      <c r="A4326" s="115"/>
      <c r="B4326" s="93"/>
      <c r="C4326" s="94"/>
      <c r="D4326" s="95"/>
      <c r="E4326" s="95"/>
      <c r="F4326" s="96"/>
      <c r="G4326" s="97"/>
      <c r="H4326" s="114" t="str">
        <f t="shared" si="57"/>
        <v/>
      </c>
      <c r="I4326" s="17"/>
      <c r="J4326" s="17"/>
      <c r="K4326" s="17"/>
    </row>
    <row r="4327" spans="1:11" x14ac:dyDescent="0.2">
      <c r="A4327" s="115"/>
      <c r="B4327" s="93"/>
      <c r="C4327" s="94"/>
      <c r="D4327" s="95"/>
      <c r="E4327" s="95"/>
      <c r="F4327" s="96"/>
      <c r="G4327" s="97"/>
      <c r="H4327" s="114" t="str">
        <f t="shared" si="57"/>
        <v/>
      </c>
      <c r="I4327" s="17"/>
      <c r="J4327" s="17"/>
      <c r="K4327" s="17"/>
    </row>
    <row r="4328" spans="1:11" x14ac:dyDescent="0.2">
      <c r="A4328" s="115"/>
      <c r="B4328" s="93"/>
      <c r="C4328" s="94"/>
      <c r="D4328" s="95"/>
      <c r="E4328" s="95"/>
      <c r="F4328" s="96"/>
      <c r="G4328" s="97"/>
      <c r="H4328" s="114" t="str">
        <f t="shared" si="57"/>
        <v/>
      </c>
      <c r="I4328" s="17"/>
      <c r="J4328" s="17"/>
      <c r="K4328" s="17"/>
    </row>
    <row r="4329" spans="1:11" x14ac:dyDescent="0.2">
      <c r="A4329" s="115"/>
      <c r="B4329" s="93"/>
      <c r="C4329" s="94"/>
      <c r="D4329" s="95"/>
      <c r="E4329" s="95"/>
      <c r="F4329" s="96"/>
      <c r="G4329" s="97"/>
      <c r="H4329" s="114" t="str">
        <f t="shared" si="57"/>
        <v/>
      </c>
      <c r="I4329" s="17"/>
      <c r="J4329" s="17"/>
      <c r="K4329" s="17"/>
    </row>
    <row r="4330" spans="1:11" x14ac:dyDescent="0.2">
      <c r="A4330" s="115"/>
      <c r="B4330" s="93"/>
      <c r="C4330" s="94"/>
      <c r="D4330" s="95"/>
      <c r="E4330" s="95"/>
      <c r="F4330" s="96"/>
      <c r="G4330" s="97"/>
      <c r="H4330" s="114" t="str">
        <f t="shared" si="57"/>
        <v/>
      </c>
      <c r="I4330" s="17"/>
      <c r="J4330" s="17"/>
      <c r="K4330" s="17"/>
    </row>
    <row r="4331" spans="1:11" x14ac:dyDescent="0.2">
      <c r="A4331" s="115"/>
      <c r="B4331" s="93"/>
      <c r="C4331" s="94"/>
      <c r="D4331" s="95"/>
      <c r="E4331" s="95"/>
      <c r="F4331" s="96"/>
      <c r="G4331" s="97"/>
      <c r="H4331" s="114" t="str">
        <f t="shared" si="57"/>
        <v/>
      </c>
      <c r="I4331" s="17"/>
      <c r="J4331" s="17"/>
      <c r="K4331" s="17"/>
    </row>
    <row r="4332" spans="1:11" x14ac:dyDescent="0.2">
      <c r="A4332" s="115"/>
      <c r="B4332" s="93"/>
      <c r="C4332" s="94"/>
      <c r="D4332" s="95"/>
      <c r="E4332" s="95"/>
      <c r="F4332" s="96"/>
      <c r="G4332" s="97"/>
      <c r="H4332" s="114" t="str">
        <f t="shared" si="57"/>
        <v/>
      </c>
      <c r="I4332" s="17"/>
      <c r="J4332" s="17"/>
      <c r="K4332" s="17"/>
    </row>
    <row r="4333" spans="1:11" x14ac:dyDescent="0.2">
      <c r="A4333" s="115"/>
      <c r="B4333" s="93"/>
      <c r="C4333" s="94"/>
      <c r="D4333" s="95"/>
      <c r="E4333" s="95"/>
      <c r="F4333" s="96"/>
      <c r="G4333" s="97"/>
      <c r="H4333" s="114" t="str">
        <f t="shared" si="57"/>
        <v/>
      </c>
      <c r="I4333" s="17"/>
      <c r="J4333" s="17"/>
      <c r="K4333" s="17"/>
    </row>
    <row r="4334" spans="1:11" x14ac:dyDescent="0.2">
      <c r="A4334" s="115"/>
      <c r="B4334" s="93"/>
      <c r="C4334" s="94"/>
      <c r="D4334" s="95"/>
      <c r="E4334" s="95"/>
      <c r="F4334" s="96"/>
      <c r="G4334" s="97"/>
      <c r="H4334" s="114" t="str">
        <f t="shared" si="57"/>
        <v/>
      </c>
      <c r="I4334" s="17"/>
      <c r="J4334" s="17"/>
      <c r="K4334" s="17"/>
    </row>
    <row r="4335" spans="1:11" x14ac:dyDescent="0.2">
      <c r="A4335" s="115"/>
      <c r="B4335" s="93"/>
      <c r="C4335" s="94"/>
      <c r="D4335" s="95"/>
      <c r="E4335" s="95"/>
      <c r="F4335" s="96"/>
      <c r="G4335" s="97"/>
      <c r="H4335" s="114" t="str">
        <f t="shared" si="57"/>
        <v/>
      </c>
      <c r="I4335" s="17"/>
      <c r="J4335" s="17"/>
      <c r="K4335" s="17"/>
    </row>
    <row r="4336" spans="1:11" x14ac:dyDescent="0.2">
      <c r="A4336" s="115"/>
      <c r="B4336" s="93"/>
      <c r="C4336" s="94"/>
      <c r="D4336" s="95"/>
      <c r="E4336" s="95"/>
      <c r="F4336" s="96"/>
      <c r="G4336" s="97"/>
      <c r="H4336" s="114" t="str">
        <f t="shared" si="57"/>
        <v/>
      </c>
      <c r="I4336" s="17"/>
      <c r="J4336" s="17"/>
      <c r="K4336" s="17"/>
    </row>
    <row r="4337" spans="1:11" x14ac:dyDescent="0.2">
      <c r="A4337" s="115"/>
      <c r="B4337" s="93"/>
      <c r="C4337" s="94"/>
      <c r="D4337" s="95"/>
      <c r="E4337" s="95"/>
      <c r="F4337" s="96"/>
      <c r="G4337" s="97"/>
      <c r="H4337" s="114" t="str">
        <f t="shared" si="57"/>
        <v/>
      </c>
      <c r="I4337" s="17"/>
      <c r="J4337" s="17"/>
      <c r="K4337" s="17"/>
    </row>
    <row r="4338" spans="1:11" x14ac:dyDescent="0.2">
      <c r="A4338" s="115"/>
      <c r="B4338" s="93"/>
      <c r="C4338" s="94"/>
      <c r="D4338" s="95"/>
      <c r="E4338" s="95"/>
      <c r="F4338" s="96"/>
      <c r="G4338" s="97"/>
      <c r="H4338" s="114" t="str">
        <f t="shared" si="57"/>
        <v/>
      </c>
      <c r="I4338" s="17"/>
      <c r="J4338" s="17"/>
      <c r="K4338" s="17"/>
    </row>
    <row r="4339" spans="1:11" x14ac:dyDescent="0.2">
      <c r="A4339" s="115"/>
      <c r="B4339" s="93"/>
      <c r="C4339" s="94"/>
      <c r="D4339" s="95"/>
      <c r="E4339" s="95"/>
      <c r="F4339" s="96"/>
      <c r="G4339" s="97"/>
      <c r="H4339" s="114" t="str">
        <f t="shared" si="57"/>
        <v/>
      </c>
      <c r="I4339" s="17"/>
      <c r="J4339" s="17"/>
      <c r="K4339" s="17"/>
    </row>
    <row r="4340" spans="1:11" x14ac:dyDescent="0.2">
      <c r="A4340" s="115"/>
      <c r="B4340" s="93"/>
      <c r="C4340" s="94"/>
      <c r="D4340" s="95"/>
      <c r="E4340" s="95"/>
      <c r="F4340" s="96"/>
      <c r="G4340" s="97"/>
      <c r="H4340" s="114" t="str">
        <f t="shared" si="57"/>
        <v/>
      </c>
      <c r="I4340" s="17"/>
      <c r="J4340" s="17"/>
      <c r="K4340" s="17"/>
    </row>
    <row r="4341" spans="1:11" x14ac:dyDescent="0.2">
      <c r="A4341" s="115"/>
      <c r="B4341" s="93"/>
      <c r="C4341" s="94"/>
      <c r="D4341" s="95"/>
      <c r="E4341" s="95"/>
      <c r="F4341" s="96"/>
      <c r="G4341" s="97"/>
      <c r="H4341" s="114" t="str">
        <f t="shared" si="57"/>
        <v/>
      </c>
      <c r="I4341" s="17"/>
      <c r="J4341" s="17"/>
      <c r="K4341" s="17"/>
    </row>
    <row r="4342" spans="1:11" x14ac:dyDescent="0.2">
      <c r="A4342" s="115"/>
      <c r="B4342" s="93"/>
      <c r="C4342" s="94"/>
      <c r="D4342" s="95"/>
      <c r="E4342" s="95"/>
      <c r="F4342" s="96"/>
      <c r="G4342" s="97"/>
      <c r="H4342" s="114" t="str">
        <f t="shared" si="57"/>
        <v/>
      </c>
      <c r="I4342" s="17"/>
      <c r="J4342" s="17"/>
      <c r="K4342" s="17"/>
    </row>
    <row r="4343" spans="1:11" x14ac:dyDescent="0.2">
      <c r="A4343" s="115"/>
      <c r="B4343" s="93"/>
      <c r="C4343" s="94"/>
      <c r="D4343" s="95"/>
      <c r="E4343" s="95"/>
      <c r="F4343" s="96"/>
      <c r="G4343" s="97"/>
      <c r="H4343" s="114" t="str">
        <f t="shared" si="57"/>
        <v/>
      </c>
      <c r="I4343" s="17"/>
      <c r="J4343" s="17"/>
      <c r="K4343" s="17"/>
    </row>
    <row r="4344" spans="1:11" x14ac:dyDescent="0.2">
      <c r="A4344" s="115"/>
      <c r="B4344" s="93"/>
      <c r="C4344" s="94"/>
      <c r="D4344" s="95"/>
      <c r="E4344" s="95"/>
      <c r="F4344" s="96"/>
      <c r="G4344" s="97"/>
      <c r="H4344" s="114" t="str">
        <f t="shared" si="57"/>
        <v/>
      </c>
      <c r="I4344" s="17"/>
      <c r="J4344" s="17"/>
      <c r="K4344" s="17"/>
    </row>
    <row r="4345" spans="1:11" x14ac:dyDescent="0.2">
      <c r="A4345" s="115"/>
      <c r="B4345" s="93"/>
      <c r="C4345" s="94"/>
      <c r="D4345" s="95"/>
      <c r="E4345" s="95"/>
      <c r="F4345" s="96"/>
      <c r="G4345" s="97"/>
      <c r="H4345" s="114" t="str">
        <f t="shared" si="57"/>
        <v/>
      </c>
      <c r="I4345" s="17"/>
      <c r="J4345" s="17"/>
      <c r="K4345" s="17"/>
    </row>
    <row r="4346" spans="1:11" x14ac:dyDescent="0.2">
      <c r="A4346" s="115"/>
      <c r="B4346" s="93"/>
      <c r="C4346" s="94"/>
      <c r="D4346" s="95"/>
      <c r="E4346" s="95"/>
      <c r="F4346" s="96"/>
      <c r="G4346" s="97"/>
      <c r="H4346" s="114" t="str">
        <f t="shared" si="57"/>
        <v/>
      </c>
      <c r="I4346" s="17"/>
      <c r="J4346" s="17"/>
      <c r="K4346" s="17"/>
    </row>
    <row r="4347" spans="1:11" x14ac:dyDescent="0.2">
      <c r="A4347" s="115"/>
      <c r="B4347" s="93"/>
      <c r="C4347" s="94"/>
      <c r="D4347" s="95"/>
      <c r="E4347" s="95"/>
      <c r="F4347" s="96"/>
      <c r="G4347" s="97"/>
      <c r="H4347" s="114" t="str">
        <f t="shared" si="57"/>
        <v/>
      </c>
      <c r="I4347" s="17"/>
      <c r="J4347" s="17"/>
      <c r="K4347" s="17"/>
    </row>
    <row r="4348" spans="1:11" x14ac:dyDescent="0.2">
      <c r="A4348" s="115"/>
      <c r="B4348" s="93"/>
      <c r="C4348" s="94"/>
      <c r="D4348" s="95"/>
      <c r="E4348" s="95"/>
      <c r="F4348" s="96"/>
      <c r="G4348" s="97"/>
      <c r="H4348" s="114" t="str">
        <f t="shared" si="57"/>
        <v/>
      </c>
      <c r="I4348" s="17"/>
      <c r="J4348" s="17"/>
      <c r="K4348" s="17"/>
    </row>
    <row r="4349" spans="1:11" x14ac:dyDescent="0.2">
      <c r="A4349" s="115"/>
      <c r="B4349" s="93"/>
      <c r="C4349" s="94"/>
      <c r="D4349" s="95"/>
      <c r="E4349" s="95"/>
      <c r="F4349" s="96"/>
      <c r="G4349" s="97"/>
      <c r="H4349" s="114" t="str">
        <f t="shared" si="57"/>
        <v/>
      </c>
      <c r="I4349" s="17"/>
      <c r="J4349" s="17"/>
      <c r="K4349" s="17"/>
    </row>
    <row r="4350" spans="1:11" x14ac:dyDescent="0.2">
      <c r="A4350" s="115"/>
      <c r="B4350" s="93"/>
      <c r="C4350" s="94"/>
      <c r="D4350" s="95"/>
      <c r="E4350" s="95"/>
      <c r="F4350" s="96"/>
      <c r="G4350" s="97"/>
      <c r="H4350" s="114" t="str">
        <f t="shared" si="57"/>
        <v/>
      </c>
      <c r="I4350" s="17"/>
      <c r="J4350" s="17"/>
      <c r="K4350" s="17"/>
    </row>
    <row r="4351" spans="1:11" x14ac:dyDescent="0.2">
      <c r="A4351" s="115"/>
      <c r="B4351" s="93"/>
      <c r="C4351" s="94"/>
      <c r="D4351" s="95"/>
      <c r="E4351" s="95"/>
      <c r="F4351" s="96"/>
      <c r="G4351" s="97"/>
      <c r="H4351" s="114" t="str">
        <f t="shared" si="57"/>
        <v/>
      </c>
      <c r="I4351" s="17"/>
      <c r="J4351" s="17"/>
      <c r="K4351" s="17"/>
    </row>
    <row r="4352" spans="1:11" x14ac:dyDescent="0.2">
      <c r="A4352" s="115"/>
      <c r="B4352" s="93"/>
      <c r="C4352" s="94"/>
      <c r="D4352" s="95"/>
      <c r="E4352" s="95"/>
      <c r="F4352" s="96"/>
      <c r="G4352" s="97"/>
      <c r="H4352" s="114" t="str">
        <f t="shared" si="57"/>
        <v/>
      </c>
      <c r="I4352" s="17"/>
      <c r="J4352" s="17"/>
      <c r="K4352" s="17"/>
    </row>
    <row r="4353" spans="1:11" x14ac:dyDescent="0.2">
      <c r="A4353" s="115"/>
      <c r="B4353" s="93"/>
      <c r="C4353" s="94"/>
      <c r="D4353" s="95"/>
      <c r="E4353" s="95"/>
      <c r="F4353" s="96"/>
      <c r="G4353" s="97"/>
      <c r="H4353" s="114" t="str">
        <f t="shared" si="57"/>
        <v/>
      </c>
      <c r="I4353" s="17"/>
      <c r="J4353" s="17"/>
      <c r="K4353" s="17"/>
    </row>
    <row r="4354" spans="1:11" x14ac:dyDescent="0.2">
      <c r="A4354" s="115"/>
      <c r="B4354" s="93"/>
      <c r="C4354" s="94"/>
      <c r="D4354" s="95"/>
      <c r="E4354" s="95"/>
      <c r="F4354" s="96"/>
      <c r="G4354" s="97"/>
      <c r="H4354" s="114" t="str">
        <f t="shared" si="57"/>
        <v/>
      </c>
      <c r="I4354" s="17"/>
      <c r="J4354" s="17"/>
      <c r="K4354" s="17"/>
    </row>
    <row r="4355" spans="1:11" x14ac:dyDescent="0.2">
      <c r="A4355" s="115"/>
      <c r="B4355" s="93"/>
      <c r="C4355" s="94"/>
      <c r="D4355" s="95"/>
      <c r="E4355" s="95"/>
      <c r="F4355" s="96"/>
      <c r="G4355" s="97"/>
      <c r="H4355" s="114" t="str">
        <f t="shared" si="57"/>
        <v/>
      </c>
      <c r="I4355" s="17"/>
      <c r="J4355" s="17"/>
      <c r="K4355" s="17"/>
    </row>
    <row r="4356" spans="1:11" x14ac:dyDescent="0.2">
      <c r="A4356" s="115"/>
      <c r="B4356" s="93"/>
      <c r="C4356" s="94"/>
      <c r="D4356" s="95"/>
      <c r="E4356" s="95"/>
      <c r="F4356" s="96"/>
      <c r="G4356" s="97"/>
      <c r="H4356" s="114" t="str">
        <f t="shared" ref="H4356:H4419" si="58">IF(A4356&lt;&gt;"", EOMONTH(A4356, -1) + 1, "")</f>
        <v/>
      </c>
      <c r="I4356" s="17"/>
      <c r="J4356" s="17"/>
      <c r="K4356" s="17"/>
    </row>
    <row r="4357" spans="1:11" x14ac:dyDescent="0.2">
      <c r="A4357" s="115"/>
      <c r="B4357" s="93"/>
      <c r="C4357" s="94"/>
      <c r="D4357" s="95"/>
      <c r="E4357" s="95"/>
      <c r="F4357" s="96"/>
      <c r="G4357" s="97"/>
      <c r="H4357" s="114" t="str">
        <f t="shared" si="58"/>
        <v/>
      </c>
      <c r="I4357" s="17"/>
      <c r="J4357" s="17"/>
      <c r="K4357" s="17"/>
    </row>
    <row r="4358" spans="1:11" x14ac:dyDescent="0.2">
      <c r="A4358" s="115"/>
      <c r="B4358" s="93"/>
      <c r="C4358" s="94"/>
      <c r="D4358" s="95"/>
      <c r="E4358" s="95"/>
      <c r="F4358" s="96"/>
      <c r="G4358" s="97"/>
      <c r="H4358" s="114" t="str">
        <f t="shared" si="58"/>
        <v/>
      </c>
      <c r="I4358" s="17"/>
      <c r="J4358" s="17"/>
      <c r="K4358" s="17"/>
    </row>
    <row r="4359" spans="1:11" x14ac:dyDescent="0.2">
      <c r="A4359" s="115"/>
      <c r="B4359" s="93"/>
      <c r="C4359" s="94"/>
      <c r="D4359" s="95"/>
      <c r="E4359" s="95"/>
      <c r="F4359" s="96"/>
      <c r="G4359" s="97"/>
      <c r="H4359" s="114" t="str">
        <f t="shared" si="58"/>
        <v/>
      </c>
      <c r="I4359" s="17"/>
      <c r="J4359" s="17"/>
      <c r="K4359" s="17"/>
    </row>
    <row r="4360" spans="1:11" x14ac:dyDescent="0.2">
      <c r="A4360" s="115"/>
      <c r="B4360" s="93"/>
      <c r="C4360" s="94"/>
      <c r="D4360" s="95"/>
      <c r="E4360" s="95"/>
      <c r="F4360" s="96"/>
      <c r="G4360" s="97"/>
      <c r="H4360" s="114" t="str">
        <f t="shared" si="58"/>
        <v/>
      </c>
      <c r="I4360" s="17"/>
      <c r="J4360" s="17"/>
      <c r="K4360" s="17"/>
    </row>
    <row r="4361" spans="1:11" x14ac:dyDescent="0.2">
      <c r="A4361" s="115"/>
      <c r="B4361" s="93"/>
      <c r="C4361" s="94"/>
      <c r="D4361" s="95"/>
      <c r="E4361" s="95"/>
      <c r="F4361" s="96"/>
      <c r="G4361" s="97"/>
      <c r="H4361" s="114" t="str">
        <f t="shared" si="58"/>
        <v/>
      </c>
      <c r="I4361" s="17"/>
      <c r="J4361" s="17"/>
      <c r="K4361" s="17"/>
    </row>
    <row r="4362" spans="1:11" x14ac:dyDescent="0.2">
      <c r="A4362" s="115"/>
      <c r="B4362" s="93"/>
      <c r="C4362" s="94"/>
      <c r="D4362" s="95"/>
      <c r="E4362" s="95"/>
      <c r="F4362" s="96"/>
      <c r="G4362" s="97"/>
      <c r="H4362" s="114" t="str">
        <f t="shared" si="58"/>
        <v/>
      </c>
      <c r="I4362" s="17"/>
      <c r="J4362" s="17"/>
      <c r="K4362" s="17"/>
    </row>
    <row r="4363" spans="1:11" x14ac:dyDescent="0.2">
      <c r="A4363" s="115"/>
      <c r="B4363" s="93"/>
      <c r="C4363" s="94"/>
      <c r="D4363" s="95"/>
      <c r="E4363" s="95"/>
      <c r="F4363" s="96"/>
      <c r="G4363" s="97"/>
      <c r="H4363" s="114" t="str">
        <f t="shared" si="58"/>
        <v/>
      </c>
      <c r="I4363" s="17"/>
      <c r="J4363" s="17"/>
      <c r="K4363" s="17"/>
    </row>
    <row r="4364" spans="1:11" x14ac:dyDescent="0.2">
      <c r="A4364" s="115"/>
      <c r="B4364" s="93"/>
      <c r="C4364" s="94"/>
      <c r="D4364" s="95"/>
      <c r="E4364" s="95"/>
      <c r="F4364" s="96"/>
      <c r="G4364" s="97"/>
      <c r="H4364" s="114" t="str">
        <f t="shared" si="58"/>
        <v/>
      </c>
      <c r="I4364" s="17"/>
      <c r="J4364" s="17"/>
      <c r="K4364" s="17"/>
    </row>
    <row r="4365" spans="1:11" x14ac:dyDescent="0.2">
      <c r="A4365" s="115"/>
      <c r="B4365" s="93"/>
      <c r="C4365" s="94"/>
      <c r="D4365" s="95"/>
      <c r="E4365" s="95"/>
      <c r="F4365" s="96"/>
      <c r="G4365" s="97"/>
      <c r="H4365" s="114" t="str">
        <f t="shared" si="58"/>
        <v/>
      </c>
      <c r="I4365" s="17"/>
      <c r="J4365" s="17"/>
      <c r="K4365" s="17"/>
    </row>
    <row r="4366" spans="1:11" x14ac:dyDescent="0.2">
      <c r="A4366" s="115"/>
      <c r="B4366" s="93"/>
      <c r="C4366" s="94"/>
      <c r="D4366" s="95"/>
      <c r="E4366" s="95"/>
      <c r="F4366" s="96"/>
      <c r="G4366" s="97"/>
      <c r="H4366" s="114" t="str">
        <f t="shared" si="58"/>
        <v/>
      </c>
      <c r="I4366" s="17"/>
      <c r="J4366" s="17"/>
      <c r="K4366" s="17"/>
    </row>
    <row r="4367" spans="1:11" x14ac:dyDescent="0.2">
      <c r="A4367" s="115"/>
      <c r="B4367" s="93"/>
      <c r="C4367" s="94"/>
      <c r="D4367" s="95"/>
      <c r="E4367" s="95"/>
      <c r="F4367" s="96"/>
      <c r="G4367" s="97"/>
      <c r="H4367" s="114" t="str">
        <f t="shared" si="58"/>
        <v/>
      </c>
      <c r="I4367" s="17"/>
      <c r="J4367" s="17"/>
      <c r="K4367" s="17"/>
    </row>
    <row r="4368" spans="1:11" x14ac:dyDescent="0.2">
      <c r="A4368" s="115"/>
      <c r="B4368" s="93"/>
      <c r="C4368" s="94"/>
      <c r="D4368" s="95"/>
      <c r="E4368" s="95"/>
      <c r="F4368" s="96"/>
      <c r="G4368" s="97"/>
      <c r="H4368" s="114" t="str">
        <f t="shared" si="58"/>
        <v/>
      </c>
      <c r="I4368" s="17"/>
      <c r="J4368" s="17"/>
      <c r="K4368" s="17"/>
    </row>
    <row r="4369" spans="1:11" x14ac:dyDescent="0.2">
      <c r="A4369" s="115"/>
      <c r="B4369" s="93"/>
      <c r="C4369" s="94"/>
      <c r="D4369" s="95"/>
      <c r="E4369" s="95"/>
      <c r="F4369" s="96"/>
      <c r="G4369" s="97"/>
      <c r="H4369" s="114" t="str">
        <f t="shared" si="58"/>
        <v/>
      </c>
      <c r="I4369" s="17"/>
      <c r="J4369" s="17"/>
      <c r="K4369" s="17"/>
    </row>
    <row r="4370" spans="1:11" x14ac:dyDescent="0.2">
      <c r="A4370" s="115"/>
      <c r="B4370" s="93"/>
      <c r="C4370" s="94"/>
      <c r="D4370" s="95"/>
      <c r="E4370" s="95"/>
      <c r="F4370" s="96"/>
      <c r="G4370" s="97"/>
      <c r="H4370" s="114" t="str">
        <f t="shared" si="58"/>
        <v/>
      </c>
      <c r="I4370" s="17"/>
      <c r="J4370" s="17"/>
      <c r="K4370" s="17"/>
    </row>
    <row r="4371" spans="1:11" x14ac:dyDescent="0.2">
      <c r="A4371" s="115"/>
      <c r="B4371" s="93"/>
      <c r="C4371" s="94"/>
      <c r="D4371" s="95"/>
      <c r="E4371" s="95"/>
      <c r="F4371" s="96"/>
      <c r="G4371" s="97"/>
      <c r="H4371" s="114" t="str">
        <f t="shared" si="58"/>
        <v/>
      </c>
      <c r="I4371" s="17"/>
      <c r="J4371" s="17"/>
      <c r="K4371" s="17"/>
    </row>
    <row r="4372" spans="1:11" x14ac:dyDescent="0.2">
      <c r="A4372" s="115"/>
      <c r="B4372" s="93"/>
      <c r="C4372" s="94"/>
      <c r="D4372" s="95"/>
      <c r="E4372" s="95"/>
      <c r="F4372" s="96"/>
      <c r="G4372" s="97"/>
      <c r="H4372" s="114" t="str">
        <f t="shared" si="58"/>
        <v/>
      </c>
      <c r="I4372" s="17"/>
      <c r="J4372" s="17"/>
      <c r="K4372" s="17"/>
    </row>
    <row r="4373" spans="1:11" x14ac:dyDescent="0.2">
      <c r="A4373" s="115"/>
      <c r="B4373" s="93"/>
      <c r="C4373" s="94"/>
      <c r="D4373" s="95"/>
      <c r="E4373" s="95"/>
      <c r="F4373" s="96"/>
      <c r="G4373" s="97"/>
      <c r="H4373" s="114" t="str">
        <f t="shared" si="58"/>
        <v/>
      </c>
      <c r="I4373" s="17"/>
      <c r="J4373" s="17"/>
      <c r="K4373" s="17"/>
    </row>
    <row r="4374" spans="1:11" x14ac:dyDescent="0.2">
      <c r="A4374" s="115"/>
      <c r="B4374" s="93"/>
      <c r="C4374" s="94"/>
      <c r="D4374" s="95"/>
      <c r="E4374" s="95"/>
      <c r="F4374" s="96"/>
      <c r="G4374" s="97"/>
      <c r="H4374" s="114" t="str">
        <f t="shared" si="58"/>
        <v/>
      </c>
      <c r="I4374" s="17"/>
      <c r="J4374" s="17"/>
      <c r="K4374" s="17"/>
    </row>
    <row r="4375" spans="1:11" x14ac:dyDescent="0.2">
      <c r="A4375" s="115"/>
      <c r="B4375" s="93"/>
      <c r="C4375" s="94"/>
      <c r="D4375" s="95"/>
      <c r="E4375" s="95"/>
      <c r="F4375" s="96"/>
      <c r="G4375" s="97"/>
      <c r="H4375" s="114" t="str">
        <f t="shared" si="58"/>
        <v/>
      </c>
      <c r="I4375" s="17"/>
      <c r="J4375" s="17"/>
      <c r="K4375" s="17"/>
    </row>
    <row r="4376" spans="1:11" x14ac:dyDescent="0.2">
      <c r="A4376" s="115"/>
      <c r="B4376" s="93"/>
      <c r="C4376" s="94"/>
      <c r="D4376" s="95"/>
      <c r="E4376" s="95"/>
      <c r="F4376" s="96"/>
      <c r="G4376" s="97"/>
      <c r="H4376" s="114" t="str">
        <f t="shared" si="58"/>
        <v/>
      </c>
      <c r="I4376" s="17"/>
      <c r="J4376" s="17"/>
      <c r="K4376" s="17"/>
    </row>
    <row r="4377" spans="1:11" x14ac:dyDescent="0.2">
      <c r="A4377" s="115"/>
      <c r="B4377" s="93"/>
      <c r="C4377" s="94"/>
      <c r="D4377" s="95"/>
      <c r="E4377" s="95"/>
      <c r="F4377" s="96"/>
      <c r="G4377" s="97"/>
      <c r="H4377" s="114" t="str">
        <f t="shared" si="58"/>
        <v/>
      </c>
      <c r="I4377" s="17"/>
      <c r="J4377" s="17"/>
      <c r="K4377" s="17"/>
    </row>
    <row r="4378" spans="1:11" x14ac:dyDescent="0.2">
      <c r="A4378" s="115"/>
      <c r="B4378" s="93"/>
      <c r="C4378" s="94"/>
      <c r="D4378" s="95"/>
      <c r="E4378" s="95"/>
      <c r="F4378" s="96"/>
      <c r="G4378" s="97"/>
      <c r="H4378" s="114" t="str">
        <f t="shared" si="58"/>
        <v/>
      </c>
      <c r="I4378" s="17"/>
      <c r="J4378" s="17"/>
      <c r="K4378" s="17"/>
    </row>
    <row r="4379" spans="1:11" x14ac:dyDescent="0.2">
      <c r="A4379" s="115"/>
      <c r="B4379" s="93"/>
      <c r="C4379" s="94"/>
      <c r="D4379" s="95"/>
      <c r="E4379" s="95"/>
      <c r="F4379" s="96"/>
      <c r="G4379" s="97"/>
      <c r="H4379" s="114" t="str">
        <f t="shared" si="58"/>
        <v/>
      </c>
      <c r="I4379" s="17"/>
      <c r="J4379" s="17"/>
      <c r="K4379" s="17"/>
    </row>
    <row r="4380" spans="1:11" x14ac:dyDescent="0.2">
      <c r="A4380" s="115"/>
      <c r="B4380" s="93"/>
      <c r="C4380" s="94"/>
      <c r="D4380" s="95"/>
      <c r="E4380" s="95"/>
      <c r="F4380" s="96"/>
      <c r="G4380" s="97"/>
      <c r="H4380" s="114" t="str">
        <f t="shared" si="58"/>
        <v/>
      </c>
      <c r="I4380" s="17"/>
      <c r="J4380" s="17"/>
      <c r="K4380" s="17"/>
    </row>
    <row r="4381" spans="1:11" x14ac:dyDescent="0.2">
      <c r="A4381" s="115"/>
      <c r="B4381" s="93"/>
      <c r="C4381" s="94"/>
      <c r="D4381" s="95"/>
      <c r="E4381" s="95"/>
      <c r="F4381" s="96"/>
      <c r="G4381" s="97"/>
      <c r="H4381" s="114" t="str">
        <f t="shared" si="58"/>
        <v/>
      </c>
      <c r="I4381" s="17"/>
      <c r="J4381" s="17"/>
      <c r="K4381" s="17"/>
    </row>
    <row r="4382" spans="1:11" x14ac:dyDescent="0.2">
      <c r="A4382" s="115"/>
      <c r="B4382" s="93"/>
      <c r="C4382" s="94"/>
      <c r="D4382" s="95"/>
      <c r="E4382" s="95"/>
      <c r="F4382" s="96"/>
      <c r="G4382" s="97"/>
      <c r="H4382" s="114" t="str">
        <f t="shared" si="58"/>
        <v/>
      </c>
      <c r="I4382" s="17"/>
      <c r="J4382" s="17"/>
      <c r="K4382" s="17"/>
    </row>
    <row r="4383" spans="1:11" x14ac:dyDescent="0.2">
      <c r="A4383" s="115"/>
      <c r="B4383" s="93"/>
      <c r="C4383" s="94"/>
      <c r="D4383" s="95"/>
      <c r="E4383" s="95"/>
      <c r="F4383" s="96"/>
      <c r="G4383" s="97"/>
      <c r="H4383" s="114" t="str">
        <f t="shared" si="58"/>
        <v/>
      </c>
      <c r="I4383" s="17"/>
      <c r="J4383" s="17"/>
      <c r="K4383" s="17"/>
    </row>
    <row r="4384" spans="1:11" x14ac:dyDescent="0.2">
      <c r="A4384" s="115"/>
      <c r="B4384" s="93"/>
      <c r="C4384" s="94"/>
      <c r="D4384" s="95"/>
      <c r="E4384" s="95"/>
      <c r="F4384" s="96"/>
      <c r="G4384" s="97"/>
      <c r="H4384" s="114" t="str">
        <f t="shared" si="58"/>
        <v/>
      </c>
      <c r="I4384" s="17"/>
      <c r="J4384" s="17"/>
      <c r="K4384" s="17"/>
    </row>
    <row r="4385" spans="1:11" x14ac:dyDescent="0.2">
      <c r="A4385" s="115"/>
      <c r="B4385" s="93"/>
      <c r="C4385" s="94"/>
      <c r="D4385" s="95"/>
      <c r="E4385" s="95"/>
      <c r="F4385" s="96"/>
      <c r="G4385" s="97"/>
      <c r="H4385" s="114" t="str">
        <f t="shared" si="58"/>
        <v/>
      </c>
      <c r="I4385" s="17"/>
      <c r="J4385" s="17"/>
      <c r="K4385" s="17"/>
    </row>
    <row r="4386" spans="1:11" x14ac:dyDescent="0.2">
      <c r="A4386" s="115"/>
      <c r="B4386" s="93"/>
      <c r="C4386" s="94"/>
      <c r="D4386" s="95"/>
      <c r="E4386" s="95"/>
      <c r="F4386" s="96"/>
      <c r="G4386" s="97"/>
      <c r="H4386" s="114" t="str">
        <f t="shared" si="58"/>
        <v/>
      </c>
      <c r="I4386" s="17"/>
      <c r="J4386" s="17"/>
      <c r="K4386" s="17"/>
    </row>
    <row r="4387" spans="1:11" x14ac:dyDescent="0.2">
      <c r="A4387" s="115"/>
      <c r="B4387" s="93"/>
      <c r="C4387" s="94"/>
      <c r="D4387" s="95"/>
      <c r="E4387" s="95"/>
      <c r="F4387" s="96"/>
      <c r="G4387" s="97"/>
      <c r="H4387" s="114" t="str">
        <f t="shared" si="58"/>
        <v/>
      </c>
      <c r="I4387" s="17"/>
      <c r="J4387" s="17"/>
      <c r="K4387" s="17"/>
    </row>
    <row r="4388" spans="1:11" x14ac:dyDescent="0.2">
      <c r="A4388" s="115"/>
      <c r="B4388" s="93"/>
      <c r="C4388" s="94"/>
      <c r="D4388" s="95"/>
      <c r="E4388" s="95"/>
      <c r="F4388" s="96"/>
      <c r="G4388" s="97"/>
      <c r="H4388" s="114" t="str">
        <f t="shared" si="58"/>
        <v/>
      </c>
      <c r="I4388" s="17"/>
      <c r="J4388" s="17"/>
      <c r="K4388" s="17"/>
    </row>
    <row r="4389" spans="1:11" x14ac:dyDescent="0.2">
      <c r="A4389" s="115"/>
      <c r="B4389" s="93"/>
      <c r="C4389" s="94"/>
      <c r="D4389" s="95"/>
      <c r="E4389" s="95"/>
      <c r="F4389" s="96"/>
      <c r="G4389" s="97"/>
      <c r="H4389" s="114" t="str">
        <f t="shared" si="58"/>
        <v/>
      </c>
      <c r="I4389" s="17"/>
      <c r="J4389" s="17"/>
      <c r="K4389" s="17"/>
    </row>
    <row r="4390" spans="1:11" x14ac:dyDescent="0.2">
      <c r="A4390" s="115"/>
      <c r="B4390" s="93"/>
      <c r="C4390" s="94"/>
      <c r="D4390" s="95"/>
      <c r="E4390" s="95"/>
      <c r="F4390" s="96"/>
      <c r="G4390" s="97"/>
      <c r="H4390" s="114" t="str">
        <f t="shared" si="58"/>
        <v/>
      </c>
      <c r="I4390" s="17"/>
      <c r="J4390" s="17"/>
      <c r="K4390" s="17"/>
    </row>
    <row r="4391" spans="1:11" x14ac:dyDescent="0.2">
      <c r="A4391" s="115"/>
      <c r="B4391" s="93"/>
      <c r="C4391" s="94"/>
      <c r="D4391" s="95"/>
      <c r="E4391" s="95"/>
      <c r="F4391" s="96"/>
      <c r="G4391" s="97"/>
      <c r="H4391" s="114" t="str">
        <f t="shared" si="58"/>
        <v/>
      </c>
      <c r="I4391" s="17"/>
      <c r="J4391" s="17"/>
      <c r="K4391" s="17"/>
    </row>
    <row r="4392" spans="1:11" x14ac:dyDescent="0.2">
      <c r="A4392" s="115"/>
      <c r="B4392" s="93"/>
      <c r="C4392" s="94"/>
      <c r="D4392" s="95"/>
      <c r="E4392" s="95"/>
      <c r="F4392" s="96"/>
      <c r="G4392" s="97"/>
      <c r="H4392" s="114" t="str">
        <f t="shared" si="58"/>
        <v/>
      </c>
      <c r="I4392" s="17"/>
      <c r="J4392" s="17"/>
      <c r="K4392" s="17"/>
    </row>
    <row r="4393" spans="1:11" x14ac:dyDescent="0.2">
      <c r="A4393" s="115"/>
      <c r="B4393" s="93"/>
      <c r="C4393" s="94"/>
      <c r="D4393" s="95"/>
      <c r="E4393" s="95"/>
      <c r="F4393" s="96"/>
      <c r="G4393" s="97"/>
      <c r="H4393" s="114" t="str">
        <f t="shared" si="58"/>
        <v/>
      </c>
      <c r="I4393" s="17"/>
      <c r="J4393" s="17"/>
      <c r="K4393" s="17"/>
    </row>
    <row r="4394" spans="1:11" x14ac:dyDescent="0.2">
      <c r="A4394" s="115"/>
      <c r="B4394" s="93"/>
      <c r="C4394" s="94"/>
      <c r="D4394" s="95"/>
      <c r="E4394" s="95"/>
      <c r="F4394" s="96"/>
      <c r="G4394" s="97"/>
      <c r="H4394" s="114" t="str">
        <f t="shared" si="58"/>
        <v/>
      </c>
      <c r="I4394" s="17"/>
      <c r="J4394" s="17"/>
      <c r="K4394" s="17"/>
    </row>
    <row r="4395" spans="1:11" x14ac:dyDescent="0.2">
      <c r="A4395" s="115"/>
      <c r="B4395" s="93"/>
      <c r="C4395" s="94"/>
      <c r="D4395" s="95"/>
      <c r="E4395" s="95"/>
      <c r="F4395" s="96"/>
      <c r="G4395" s="97"/>
      <c r="H4395" s="114" t="str">
        <f t="shared" si="58"/>
        <v/>
      </c>
      <c r="I4395" s="17"/>
      <c r="J4395" s="17"/>
      <c r="K4395" s="17"/>
    </row>
    <row r="4396" spans="1:11" x14ac:dyDescent="0.2">
      <c r="A4396" s="115"/>
      <c r="B4396" s="93"/>
      <c r="C4396" s="94"/>
      <c r="D4396" s="95"/>
      <c r="E4396" s="95"/>
      <c r="F4396" s="96"/>
      <c r="G4396" s="97"/>
      <c r="H4396" s="114" t="str">
        <f t="shared" si="58"/>
        <v/>
      </c>
      <c r="I4396" s="17"/>
      <c r="J4396" s="17"/>
      <c r="K4396" s="17"/>
    </row>
    <row r="4397" spans="1:11" x14ac:dyDescent="0.2">
      <c r="A4397" s="115"/>
      <c r="B4397" s="93"/>
      <c r="C4397" s="94"/>
      <c r="D4397" s="95"/>
      <c r="E4397" s="95"/>
      <c r="F4397" s="96"/>
      <c r="G4397" s="97"/>
      <c r="H4397" s="114" t="str">
        <f t="shared" si="58"/>
        <v/>
      </c>
      <c r="I4397" s="17"/>
      <c r="J4397" s="17"/>
      <c r="K4397" s="17"/>
    </row>
    <row r="4398" spans="1:11" x14ac:dyDescent="0.2">
      <c r="A4398" s="115"/>
      <c r="B4398" s="93"/>
      <c r="C4398" s="94"/>
      <c r="D4398" s="95"/>
      <c r="E4398" s="95"/>
      <c r="F4398" s="96"/>
      <c r="G4398" s="97"/>
      <c r="H4398" s="114" t="str">
        <f t="shared" si="58"/>
        <v/>
      </c>
      <c r="I4398" s="17"/>
      <c r="J4398" s="17"/>
      <c r="K4398" s="17"/>
    </row>
    <row r="4399" spans="1:11" x14ac:dyDescent="0.2">
      <c r="A4399" s="115"/>
      <c r="B4399" s="93"/>
      <c r="C4399" s="94"/>
      <c r="D4399" s="95"/>
      <c r="E4399" s="95"/>
      <c r="F4399" s="96"/>
      <c r="G4399" s="97"/>
      <c r="H4399" s="114" t="str">
        <f t="shared" si="58"/>
        <v/>
      </c>
      <c r="I4399" s="17"/>
      <c r="J4399" s="17"/>
      <c r="K4399" s="17"/>
    </row>
    <row r="4400" spans="1:11" x14ac:dyDescent="0.2">
      <c r="A4400" s="115"/>
      <c r="B4400" s="93"/>
      <c r="C4400" s="94"/>
      <c r="D4400" s="95"/>
      <c r="E4400" s="95"/>
      <c r="F4400" s="96"/>
      <c r="G4400" s="97"/>
      <c r="H4400" s="114" t="str">
        <f t="shared" si="58"/>
        <v/>
      </c>
      <c r="I4400" s="17"/>
      <c r="J4400" s="17"/>
      <c r="K4400" s="17"/>
    </row>
    <row r="4401" spans="1:11" x14ac:dyDescent="0.2">
      <c r="A4401" s="115"/>
      <c r="B4401" s="93"/>
      <c r="C4401" s="94"/>
      <c r="D4401" s="95"/>
      <c r="E4401" s="95"/>
      <c r="F4401" s="96"/>
      <c r="G4401" s="97"/>
      <c r="H4401" s="114" t="str">
        <f t="shared" si="58"/>
        <v/>
      </c>
      <c r="I4401" s="17"/>
      <c r="J4401" s="17"/>
      <c r="K4401" s="17"/>
    </row>
    <row r="4402" spans="1:11" x14ac:dyDescent="0.2">
      <c r="A4402" s="115"/>
      <c r="B4402" s="93"/>
      <c r="C4402" s="94"/>
      <c r="D4402" s="95"/>
      <c r="E4402" s="95"/>
      <c r="F4402" s="96"/>
      <c r="G4402" s="97"/>
      <c r="H4402" s="114" t="str">
        <f t="shared" si="58"/>
        <v/>
      </c>
      <c r="I4402" s="17"/>
      <c r="J4402" s="17"/>
      <c r="K4402" s="17"/>
    </row>
    <row r="4403" spans="1:11" x14ac:dyDescent="0.2">
      <c r="A4403" s="115"/>
      <c r="B4403" s="93"/>
      <c r="C4403" s="94"/>
      <c r="D4403" s="95"/>
      <c r="E4403" s="95"/>
      <c r="F4403" s="96"/>
      <c r="G4403" s="97"/>
      <c r="H4403" s="114" t="str">
        <f t="shared" si="58"/>
        <v/>
      </c>
      <c r="I4403" s="17"/>
      <c r="J4403" s="17"/>
      <c r="K4403" s="17"/>
    </row>
    <row r="4404" spans="1:11" x14ac:dyDescent="0.2">
      <c r="A4404" s="115"/>
      <c r="B4404" s="93"/>
      <c r="C4404" s="94"/>
      <c r="D4404" s="95"/>
      <c r="E4404" s="95"/>
      <c r="F4404" s="96"/>
      <c r="G4404" s="97"/>
      <c r="H4404" s="114" t="str">
        <f t="shared" si="58"/>
        <v/>
      </c>
      <c r="I4404" s="17"/>
      <c r="J4404" s="17"/>
      <c r="K4404" s="17"/>
    </row>
    <row r="4405" spans="1:11" x14ac:dyDescent="0.2">
      <c r="A4405" s="115"/>
      <c r="B4405" s="93"/>
      <c r="C4405" s="94"/>
      <c r="D4405" s="95"/>
      <c r="E4405" s="95"/>
      <c r="F4405" s="96"/>
      <c r="G4405" s="97"/>
      <c r="H4405" s="114" t="str">
        <f t="shared" si="58"/>
        <v/>
      </c>
      <c r="I4405" s="17"/>
      <c r="J4405" s="17"/>
      <c r="K4405" s="17"/>
    </row>
    <row r="4406" spans="1:11" x14ac:dyDescent="0.2">
      <c r="A4406" s="115"/>
      <c r="B4406" s="93"/>
      <c r="C4406" s="94"/>
      <c r="D4406" s="95"/>
      <c r="E4406" s="95"/>
      <c r="F4406" s="96"/>
      <c r="G4406" s="97"/>
      <c r="H4406" s="114" t="str">
        <f t="shared" si="58"/>
        <v/>
      </c>
      <c r="I4406" s="17"/>
      <c r="J4406" s="17"/>
      <c r="K4406" s="17"/>
    </row>
    <row r="4407" spans="1:11" x14ac:dyDescent="0.2">
      <c r="A4407" s="115"/>
      <c r="B4407" s="93"/>
      <c r="C4407" s="94"/>
      <c r="D4407" s="95"/>
      <c r="E4407" s="95"/>
      <c r="F4407" s="96"/>
      <c r="G4407" s="97"/>
      <c r="H4407" s="114" t="str">
        <f t="shared" si="58"/>
        <v/>
      </c>
      <c r="I4407" s="17"/>
      <c r="J4407" s="17"/>
      <c r="K4407" s="17"/>
    </row>
    <row r="4408" spans="1:11" x14ac:dyDescent="0.2">
      <c r="A4408" s="115"/>
      <c r="B4408" s="93"/>
      <c r="C4408" s="94"/>
      <c r="D4408" s="95"/>
      <c r="E4408" s="95"/>
      <c r="F4408" s="96"/>
      <c r="G4408" s="97"/>
      <c r="H4408" s="114" t="str">
        <f t="shared" si="58"/>
        <v/>
      </c>
      <c r="I4408" s="17"/>
      <c r="J4408" s="17"/>
      <c r="K4408" s="17"/>
    </row>
    <row r="4409" spans="1:11" x14ac:dyDescent="0.2">
      <c r="A4409" s="115"/>
      <c r="B4409" s="93"/>
      <c r="C4409" s="94"/>
      <c r="D4409" s="95"/>
      <c r="E4409" s="95"/>
      <c r="F4409" s="96"/>
      <c r="G4409" s="97"/>
      <c r="H4409" s="114" t="str">
        <f t="shared" si="58"/>
        <v/>
      </c>
      <c r="I4409" s="17"/>
      <c r="J4409" s="17"/>
      <c r="K4409" s="17"/>
    </row>
    <row r="4410" spans="1:11" x14ac:dyDescent="0.2">
      <c r="A4410" s="115"/>
      <c r="B4410" s="93"/>
      <c r="C4410" s="94"/>
      <c r="D4410" s="95"/>
      <c r="E4410" s="95"/>
      <c r="F4410" s="96"/>
      <c r="G4410" s="97"/>
      <c r="H4410" s="114" t="str">
        <f t="shared" si="58"/>
        <v/>
      </c>
      <c r="I4410" s="17"/>
      <c r="J4410" s="17"/>
      <c r="K4410" s="17"/>
    </row>
    <row r="4411" spans="1:11" x14ac:dyDescent="0.2">
      <c r="A4411" s="115"/>
      <c r="B4411" s="93"/>
      <c r="C4411" s="94"/>
      <c r="D4411" s="95"/>
      <c r="E4411" s="95"/>
      <c r="F4411" s="96"/>
      <c r="G4411" s="97"/>
      <c r="H4411" s="114" t="str">
        <f t="shared" si="58"/>
        <v/>
      </c>
      <c r="I4411" s="17"/>
      <c r="J4411" s="17"/>
      <c r="K4411" s="17"/>
    </row>
    <row r="4412" spans="1:11" x14ac:dyDescent="0.2">
      <c r="A4412" s="115"/>
      <c r="B4412" s="93"/>
      <c r="C4412" s="94"/>
      <c r="D4412" s="95"/>
      <c r="E4412" s="95"/>
      <c r="F4412" s="96"/>
      <c r="G4412" s="97"/>
      <c r="H4412" s="114" t="str">
        <f t="shared" si="58"/>
        <v/>
      </c>
      <c r="I4412" s="17"/>
      <c r="J4412" s="17"/>
      <c r="K4412" s="17"/>
    </row>
    <row r="4413" spans="1:11" x14ac:dyDescent="0.2">
      <c r="A4413" s="115"/>
      <c r="B4413" s="93"/>
      <c r="C4413" s="94"/>
      <c r="D4413" s="95"/>
      <c r="E4413" s="95"/>
      <c r="F4413" s="96"/>
      <c r="G4413" s="97"/>
      <c r="H4413" s="114" t="str">
        <f t="shared" si="58"/>
        <v/>
      </c>
      <c r="I4413" s="17"/>
      <c r="J4413" s="17"/>
      <c r="K4413" s="17"/>
    </row>
    <row r="4414" spans="1:11" x14ac:dyDescent="0.2">
      <c r="A4414" s="115"/>
      <c r="B4414" s="93"/>
      <c r="C4414" s="94"/>
      <c r="D4414" s="95"/>
      <c r="E4414" s="95"/>
      <c r="F4414" s="96"/>
      <c r="G4414" s="97"/>
      <c r="H4414" s="114" t="str">
        <f t="shared" si="58"/>
        <v/>
      </c>
      <c r="I4414" s="17"/>
      <c r="J4414" s="17"/>
      <c r="K4414" s="17"/>
    </row>
    <row r="4415" spans="1:11" x14ac:dyDescent="0.2">
      <c r="A4415" s="115"/>
      <c r="B4415" s="93"/>
      <c r="C4415" s="94"/>
      <c r="D4415" s="95"/>
      <c r="E4415" s="95"/>
      <c r="F4415" s="96"/>
      <c r="G4415" s="97"/>
      <c r="H4415" s="114" t="str">
        <f t="shared" si="58"/>
        <v/>
      </c>
      <c r="I4415" s="17"/>
      <c r="J4415" s="17"/>
      <c r="K4415" s="17"/>
    </row>
    <row r="4416" spans="1:11" x14ac:dyDescent="0.2">
      <c r="A4416" s="115"/>
      <c r="B4416" s="93"/>
      <c r="C4416" s="94"/>
      <c r="D4416" s="95"/>
      <c r="E4416" s="95"/>
      <c r="F4416" s="96"/>
      <c r="G4416" s="97"/>
      <c r="H4416" s="114" t="str">
        <f t="shared" si="58"/>
        <v/>
      </c>
      <c r="I4416" s="17"/>
      <c r="J4416" s="17"/>
      <c r="K4416" s="17"/>
    </row>
    <row r="4417" spans="1:11" x14ac:dyDescent="0.2">
      <c r="A4417" s="115"/>
      <c r="B4417" s="93"/>
      <c r="C4417" s="94"/>
      <c r="D4417" s="95"/>
      <c r="E4417" s="95"/>
      <c r="F4417" s="96"/>
      <c r="G4417" s="97"/>
      <c r="H4417" s="114" t="str">
        <f t="shared" si="58"/>
        <v/>
      </c>
      <c r="I4417" s="17"/>
      <c r="J4417" s="17"/>
      <c r="K4417" s="17"/>
    </row>
    <row r="4418" spans="1:11" x14ac:dyDescent="0.2">
      <c r="A4418" s="115"/>
      <c r="B4418" s="93"/>
      <c r="C4418" s="94"/>
      <c r="D4418" s="95"/>
      <c r="E4418" s="95"/>
      <c r="F4418" s="96"/>
      <c r="G4418" s="97"/>
      <c r="H4418" s="114" t="str">
        <f t="shared" si="58"/>
        <v/>
      </c>
      <c r="I4418" s="17"/>
      <c r="J4418" s="17"/>
      <c r="K4418" s="17"/>
    </row>
    <row r="4419" spans="1:11" x14ac:dyDescent="0.2">
      <c r="A4419" s="115"/>
      <c r="B4419" s="93"/>
      <c r="C4419" s="94"/>
      <c r="D4419" s="95"/>
      <c r="E4419" s="95"/>
      <c r="F4419" s="96"/>
      <c r="G4419" s="97"/>
      <c r="H4419" s="114" t="str">
        <f t="shared" si="58"/>
        <v/>
      </c>
      <c r="I4419" s="17"/>
      <c r="J4419" s="17"/>
      <c r="K4419" s="17"/>
    </row>
    <row r="4420" spans="1:11" x14ac:dyDescent="0.2">
      <c r="A4420" s="115"/>
      <c r="B4420" s="93"/>
      <c r="C4420" s="94"/>
      <c r="D4420" s="95"/>
      <c r="E4420" s="95"/>
      <c r="F4420" s="96"/>
      <c r="G4420" s="97"/>
      <c r="H4420" s="114" t="str">
        <f t="shared" ref="H4420:H4483" si="59">IF(A4420&lt;&gt;"", EOMONTH(A4420, -1) + 1, "")</f>
        <v/>
      </c>
      <c r="I4420" s="17"/>
      <c r="J4420" s="17"/>
      <c r="K4420" s="17"/>
    </row>
    <row r="4421" spans="1:11" x14ac:dyDescent="0.2">
      <c r="A4421" s="115"/>
      <c r="B4421" s="93"/>
      <c r="C4421" s="94"/>
      <c r="D4421" s="95"/>
      <c r="E4421" s="95"/>
      <c r="F4421" s="96"/>
      <c r="G4421" s="97"/>
      <c r="H4421" s="114" t="str">
        <f t="shared" si="59"/>
        <v/>
      </c>
      <c r="I4421" s="17"/>
      <c r="J4421" s="17"/>
      <c r="K4421" s="17"/>
    </row>
    <row r="4422" spans="1:11" x14ac:dyDescent="0.2">
      <c r="A4422" s="115"/>
      <c r="B4422" s="93"/>
      <c r="C4422" s="94"/>
      <c r="D4422" s="95"/>
      <c r="E4422" s="95"/>
      <c r="F4422" s="96"/>
      <c r="G4422" s="97"/>
      <c r="H4422" s="114" t="str">
        <f t="shared" si="59"/>
        <v/>
      </c>
      <c r="I4422" s="17"/>
      <c r="J4422" s="17"/>
      <c r="K4422" s="17"/>
    </row>
    <row r="4423" spans="1:11" x14ac:dyDescent="0.2">
      <c r="A4423" s="115"/>
      <c r="B4423" s="93"/>
      <c r="C4423" s="94"/>
      <c r="D4423" s="95"/>
      <c r="E4423" s="95"/>
      <c r="F4423" s="96"/>
      <c r="G4423" s="97"/>
      <c r="H4423" s="114" t="str">
        <f t="shared" si="59"/>
        <v/>
      </c>
      <c r="I4423" s="17"/>
      <c r="J4423" s="17"/>
      <c r="K4423" s="17"/>
    </row>
    <row r="4424" spans="1:11" x14ac:dyDescent="0.2">
      <c r="A4424" s="115"/>
      <c r="B4424" s="93"/>
      <c r="C4424" s="94"/>
      <c r="D4424" s="95"/>
      <c r="E4424" s="95"/>
      <c r="F4424" s="96"/>
      <c r="G4424" s="97"/>
      <c r="H4424" s="114" t="str">
        <f t="shared" si="59"/>
        <v/>
      </c>
      <c r="I4424" s="17"/>
      <c r="J4424" s="17"/>
      <c r="K4424" s="17"/>
    </row>
    <row r="4425" spans="1:11" x14ac:dyDescent="0.2">
      <c r="A4425" s="115"/>
      <c r="B4425" s="93"/>
      <c r="C4425" s="94"/>
      <c r="D4425" s="95"/>
      <c r="E4425" s="95"/>
      <c r="F4425" s="96"/>
      <c r="G4425" s="97"/>
      <c r="H4425" s="114" t="str">
        <f t="shared" si="59"/>
        <v/>
      </c>
      <c r="I4425" s="17"/>
      <c r="J4425" s="17"/>
      <c r="K4425" s="17"/>
    </row>
    <row r="4426" spans="1:11" x14ac:dyDescent="0.2">
      <c r="A4426" s="115"/>
      <c r="B4426" s="93"/>
      <c r="C4426" s="94"/>
      <c r="D4426" s="95"/>
      <c r="E4426" s="95"/>
      <c r="F4426" s="96"/>
      <c r="G4426" s="97"/>
      <c r="H4426" s="114" t="str">
        <f t="shared" si="59"/>
        <v/>
      </c>
      <c r="I4426" s="17"/>
      <c r="J4426" s="17"/>
      <c r="K4426" s="17"/>
    </row>
    <row r="4427" spans="1:11" x14ac:dyDescent="0.2">
      <c r="A4427" s="115"/>
      <c r="B4427" s="93"/>
      <c r="C4427" s="94"/>
      <c r="D4427" s="95"/>
      <c r="E4427" s="95"/>
      <c r="F4427" s="96"/>
      <c r="G4427" s="97"/>
      <c r="H4427" s="114" t="str">
        <f t="shared" si="59"/>
        <v/>
      </c>
      <c r="I4427" s="17"/>
      <c r="J4427" s="17"/>
      <c r="K4427" s="17"/>
    </row>
    <row r="4428" spans="1:11" x14ac:dyDescent="0.2">
      <c r="A4428" s="115"/>
      <c r="B4428" s="93"/>
      <c r="C4428" s="94"/>
      <c r="D4428" s="95"/>
      <c r="E4428" s="95"/>
      <c r="F4428" s="96"/>
      <c r="G4428" s="97"/>
      <c r="H4428" s="114" t="str">
        <f t="shared" si="59"/>
        <v/>
      </c>
      <c r="I4428" s="17"/>
      <c r="J4428" s="17"/>
      <c r="K4428" s="17"/>
    </row>
    <row r="4429" spans="1:11" x14ac:dyDescent="0.2">
      <c r="A4429" s="115"/>
      <c r="B4429" s="93"/>
      <c r="C4429" s="94"/>
      <c r="D4429" s="95"/>
      <c r="E4429" s="95"/>
      <c r="F4429" s="96"/>
      <c r="G4429" s="97"/>
      <c r="H4429" s="114" t="str">
        <f t="shared" si="59"/>
        <v/>
      </c>
      <c r="I4429" s="17"/>
      <c r="J4429" s="17"/>
      <c r="K4429" s="17"/>
    </row>
    <row r="4430" spans="1:11" x14ac:dyDescent="0.2">
      <c r="A4430" s="115"/>
      <c r="B4430" s="93"/>
      <c r="C4430" s="94"/>
      <c r="D4430" s="95"/>
      <c r="E4430" s="95"/>
      <c r="F4430" s="96"/>
      <c r="G4430" s="97"/>
      <c r="H4430" s="114" t="str">
        <f t="shared" si="59"/>
        <v/>
      </c>
      <c r="I4430" s="17"/>
      <c r="J4430" s="17"/>
      <c r="K4430" s="17"/>
    </row>
    <row r="4431" spans="1:11" x14ac:dyDescent="0.2">
      <c r="A4431" s="115"/>
      <c r="B4431" s="93"/>
      <c r="C4431" s="94"/>
      <c r="D4431" s="95"/>
      <c r="E4431" s="95"/>
      <c r="F4431" s="96"/>
      <c r="G4431" s="97"/>
      <c r="H4431" s="114" t="str">
        <f t="shared" si="59"/>
        <v/>
      </c>
      <c r="I4431" s="17"/>
      <c r="J4431" s="17"/>
      <c r="K4431" s="17"/>
    </row>
    <row r="4432" spans="1:11" x14ac:dyDescent="0.2">
      <c r="A4432" s="115"/>
      <c r="B4432" s="93"/>
      <c r="C4432" s="94"/>
      <c r="D4432" s="95"/>
      <c r="E4432" s="95"/>
      <c r="F4432" s="96"/>
      <c r="G4432" s="97"/>
      <c r="H4432" s="114" t="str">
        <f t="shared" si="59"/>
        <v/>
      </c>
      <c r="I4432" s="17"/>
      <c r="J4432" s="17"/>
      <c r="K4432" s="17"/>
    </row>
    <row r="4433" spans="1:11" x14ac:dyDescent="0.2">
      <c r="A4433" s="115"/>
      <c r="B4433" s="93"/>
      <c r="C4433" s="94"/>
      <c r="D4433" s="95"/>
      <c r="E4433" s="95"/>
      <c r="F4433" s="96"/>
      <c r="G4433" s="97"/>
      <c r="H4433" s="114" t="str">
        <f t="shared" si="59"/>
        <v/>
      </c>
      <c r="I4433" s="17"/>
      <c r="J4433" s="17"/>
      <c r="K4433" s="17"/>
    </row>
    <row r="4434" spans="1:11" x14ac:dyDescent="0.2">
      <c r="A4434" s="115"/>
      <c r="B4434" s="93"/>
      <c r="C4434" s="94"/>
      <c r="D4434" s="95"/>
      <c r="E4434" s="95"/>
      <c r="F4434" s="96"/>
      <c r="G4434" s="97"/>
      <c r="H4434" s="114" t="str">
        <f t="shared" si="59"/>
        <v/>
      </c>
      <c r="I4434" s="17"/>
      <c r="J4434" s="17"/>
      <c r="K4434" s="17"/>
    </row>
    <row r="4435" spans="1:11" x14ac:dyDescent="0.2">
      <c r="A4435" s="115"/>
      <c r="B4435" s="93"/>
      <c r="C4435" s="94"/>
      <c r="D4435" s="95"/>
      <c r="E4435" s="95"/>
      <c r="F4435" s="96"/>
      <c r="G4435" s="97"/>
      <c r="H4435" s="114" t="str">
        <f t="shared" si="59"/>
        <v/>
      </c>
      <c r="I4435" s="17"/>
      <c r="J4435" s="17"/>
      <c r="K4435" s="17"/>
    </row>
    <row r="4436" spans="1:11" x14ac:dyDescent="0.2">
      <c r="A4436" s="115"/>
      <c r="B4436" s="93"/>
      <c r="C4436" s="94"/>
      <c r="D4436" s="95"/>
      <c r="E4436" s="95"/>
      <c r="F4436" s="96"/>
      <c r="G4436" s="97"/>
      <c r="H4436" s="114" t="str">
        <f t="shared" si="59"/>
        <v/>
      </c>
      <c r="I4436" s="17"/>
      <c r="J4436" s="17"/>
      <c r="K4436" s="17"/>
    </row>
    <row r="4437" spans="1:11" x14ac:dyDescent="0.2">
      <c r="A4437" s="115"/>
      <c r="B4437" s="93"/>
      <c r="C4437" s="94"/>
      <c r="D4437" s="95"/>
      <c r="E4437" s="95"/>
      <c r="F4437" s="96"/>
      <c r="G4437" s="97"/>
      <c r="H4437" s="114" t="str">
        <f t="shared" si="59"/>
        <v/>
      </c>
      <c r="I4437" s="17"/>
      <c r="J4437" s="17"/>
      <c r="K4437" s="17"/>
    </row>
    <row r="4438" spans="1:11" x14ac:dyDescent="0.2">
      <c r="A4438" s="115"/>
      <c r="B4438" s="93"/>
      <c r="C4438" s="94"/>
      <c r="D4438" s="95"/>
      <c r="E4438" s="95"/>
      <c r="F4438" s="96"/>
      <c r="G4438" s="97"/>
      <c r="H4438" s="114" t="str">
        <f t="shared" si="59"/>
        <v/>
      </c>
      <c r="I4438" s="17"/>
      <c r="J4438" s="17"/>
      <c r="K4438" s="17"/>
    </row>
    <row r="4439" spans="1:11" x14ac:dyDescent="0.2">
      <c r="A4439" s="115"/>
      <c r="B4439" s="93"/>
      <c r="C4439" s="94"/>
      <c r="D4439" s="95"/>
      <c r="E4439" s="95"/>
      <c r="F4439" s="96"/>
      <c r="G4439" s="97"/>
      <c r="H4439" s="114" t="str">
        <f t="shared" si="59"/>
        <v/>
      </c>
      <c r="I4439" s="17"/>
      <c r="J4439" s="17"/>
      <c r="K4439" s="17"/>
    </row>
    <row r="4440" spans="1:11" x14ac:dyDescent="0.2">
      <c r="A4440" s="115"/>
      <c r="B4440" s="93"/>
      <c r="C4440" s="94"/>
      <c r="D4440" s="95"/>
      <c r="E4440" s="95"/>
      <c r="F4440" s="96"/>
      <c r="G4440" s="97"/>
      <c r="H4440" s="114" t="str">
        <f t="shared" si="59"/>
        <v/>
      </c>
      <c r="I4440" s="17"/>
      <c r="J4440" s="17"/>
      <c r="K4440" s="17"/>
    </row>
    <row r="4441" spans="1:11" x14ac:dyDescent="0.2">
      <c r="A4441" s="115"/>
      <c r="B4441" s="93"/>
      <c r="C4441" s="94"/>
      <c r="D4441" s="95"/>
      <c r="E4441" s="95"/>
      <c r="F4441" s="96"/>
      <c r="G4441" s="97"/>
      <c r="H4441" s="114" t="str">
        <f t="shared" si="59"/>
        <v/>
      </c>
      <c r="I4441" s="17"/>
      <c r="J4441" s="17"/>
      <c r="K4441" s="17"/>
    </row>
    <row r="4442" spans="1:11" x14ac:dyDescent="0.2">
      <c r="A4442" s="115"/>
      <c r="B4442" s="93"/>
      <c r="C4442" s="94"/>
      <c r="D4442" s="95"/>
      <c r="E4442" s="95"/>
      <c r="F4442" s="96"/>
      <c r="G4442" s="97"/>
      <c r="H4442" s="114" t="str">
        <f t="shared" si="59"/>
        <v/>
      </c>
      <c r="I4442" s="17"/>
      <c r="J4442" s="17"/>
      <c r="K4442" s="17"/>
    </row>
    <row r="4443" spans="1:11" x14ac:dyDescent="0.2">
      <c r="A4443" s="115"/>
      <c r="B4443" s="93"/>
      <c r="C4443" s="94"/>
      <c r="D4443" s="95"/>
      <c r="E4443" s="95"/>
      <c r="F4443" s="96"/>
      <c r="G4443" s="97"/>
      <c r="H4443" s="114" t="str">
        <f t="shared" si="59"/>
        <v/>
      </c>
      <c r="I4443" s="17"/>
      <c r="J4443" s="17"/>
      <c r="K4443" s="17"/>
    </row>
    <row r="4444" spans="1:11" x14ac:dyDescent="0.2">
      <c r="A4444" s="115"/>
      <c r="B4444" s="93"/>
      <c r="C4444" s="94"/>
      <c r="D4444" s="95"/>
      <c r="E4444" s="95"/>
      <c r="F4444" s="96"/>
      <c r="G4444" s="97"/>
      <c r="H4444" s="114" t="str">
        <f t="shared" si="59"/>
        <v/>
      </c>
      <c r="I4444" s="17"/>
      <c r="J4444" s="17"/>
      <c r="K4444" s="17"/>
    </row>
    <row r="4445" spans="1:11" x14ac:dyDescent="0.2">
      <c r="A4445" s="115"/>
      <c r="B4445" s="93"/>
      <c r="C4445" s="94"/>
      <c r="D4445" s="95"/>
      <c r="E4445" s="95"/>
      <c r="F4445" s="96"/>
      <c r="G4445" s="97"/>
      <c r="H4445" s="114" t="str">
        <f t="shared" si="59"/>
        <v/>
      </c>
      <c r="I4445" s="17"/>
      <c r="J4445" s="17"/>
      <c r="K4445" s="17"/>
    </row>
    <row r="4446" spans="1:11" x14ac:dyDescent="0.2">
      <c r="A4446" s="115"/>
      <c r="B4446" s="93"/>
      <c r="C4446" s="94"/>
      <c r="D4446" s="95"/>
      <c r="E4446" s="95"/>
      <c r="F4446" s="96"/>
      <c r="G4446" s="97"/>
      <c r="H4446" s="114" t="str">
        <f t="shared" si="59"/>
        <v/>
      </c>
      <c r="I4446" s="17"/>
      <c r="J4446" s="17"/>
      <c r="K4446" s="17"/>
    </row>
    <row r="4447" spans="1:11" x14ac:dyDescent="0.2">
      <c r="A4447" s="115"/>
      <c r="B4447" s="93"/>
      <c r="C4447" s="94"/>
      <c r="D4447" s="95"/>
      <c r="E4447" s="95"/>
      <c r="F4447" s="96"/>
      <c r="G4447" s="97"/>
      <c r="H4447" s="114" t="str">
        <f t="shared" si="59"/>
        <v/>
      </c>
      <c r="I4447" s="17"/>
      <c r="J4447" s="17"/>
      <c r="K4447" s="17"/>
    </row>
    <row r="4448" spans="1:11" x14ac:dyDescent="0.2">
      <c r="A4448" s="115"/>
      <c r="B4448" s="93"/>
      <c r="C4448" s="94"/>
      <c r="D4448" s="95"/>
      <c r="E4448" s="95"/>
      <c r="F4448" s="96"/>
      <c r="G4448" s="97"/>
      <c r="H4448" s="114" t="str">
        <f t="shared" si="59"/>
        <v/>
      </c>
      <c r="I4448" s="17"/>
      <c r="J4448" s="17"/>
      <c r="K4448" s="17"/>
    </row>
    <row r="4449" spans="1:11" x14ac:dyDescent="0.2">
      <c r="A4449" s="115"/>
      <c r="B4449" s="93"/>
      <c r="C4449" s="94"/>
      <c r="D4449" s="95"/>
      <c r="E4449" s="95"/>
      <c r="F4449" s="96"/>
      <c r="G4449" s="97"/>
      <c r="H4449" s="114" t="str">
        <f t="shared" si="59"/>
        <v/>
      </c>
      <c r="I4449" s="17"/>
      <c r="J4449" s="17"/>
      <c r="K4449" s="17"/>
    </row>
    <row r="4450" spans="1:11" x14ac:dyDescent="0.2">
      <c r="A4450" s="115"/>
      <c r="B4450" s="93"/>
      <c r="C4450" s="94"/>
      <c r="D4450" s="95"/>
      <c r="E4450" s="95"/>
      <c r="F4450" s="96"/>
      <c r="G4450" s="97"/>
      <c r="H4450" s="114" t="str">
        <f t="shared" si="59"/>
        <v/>
      </c>
      <c r="I4450" s="17"/>
      <c r="J4450" s="17"/>
      <c r="K4450" s="17"/>
    </row>
    <row r="4451" spans="1:11" x14ac:dyDescent="0.2">
      <c r="A4451" s="115"/>
      <c r="B4451" s="93"/>
      <c r="C4451" s="94"/>
      <c r="D4451" s="95"/>
      <c r="E4451" s="95"/>
      <c r="F4451" s="96"/>
      <c r="G4451" s="97"/>
      <c r="H4451" s="114" t="str">
        <f t="shared" si="59"/>
        <v/>
      </c>
      <c r="I4451" s="17"/>
      <c r="J4451" s="17"/>
      <c r="K4451" s="17"/>
    </row>
    <row r="4452" spans="1:11" x14ac:dyDescent="0.2">
      <c r="A4452" s="115"/>
      <c r="B4452" s="93"/>
      <c r="C4452" s="94"/>
      <c r="D4452" s="95"/>
      <c r="E4452" s="95"/>
      <c r="F4452" s="96"/>
      <c r="G4452" s="97"/>
      <c r="H4452" s="114" t="str">
        <f t="shared" si="59"/>
        <v/>
      </c>
      <c r="I4452" s="17"/>
      <c r="J4452" s="17"/>
      <c r="K4452" s="17"/>
    </row>
    <row r="4453" spans="1:11" x14ac:dyDescent="0.2">
      <c r="A4453" s="115"/>
      <c r="B4453" s="93"/>
      <c r="C4453" s="94"/>
      <c r="D4453" s="95"/>
      <c r="E4453" s="95"/>
      <c r="F4453" s="96"/>
      <c r="G4453" s="97"/>
      <c r="H4453" s="114" t="str">
        <f t="shared" si="59"/>
        <v/>
      </c>
      <c r="I4453" s="17"/>
      <c r="J4453" s="17"/>
      <c r="K4453" s="17"/>
    </row>
    <row r="4454" spans="1:11" x14ac:dyDescent="0.2">
      <c r="A4454" s="115"/>
      <c r="B4454" s="93"/>
      <c r="C4454" s="94"/>
      <c r="D4454" s="95"/>
      <c r="E4454" s="95"/>
      <c r="F4454" s="96"/>
      <c r="G4454" s="97"/>
      <c r="H4454" s="114" t="str">
        <f t="shared" si="59"/>
        <v/>
      </c>
      <c r="I4454" s="17"/>
      <c r="J4454" s="17"/>
      <c r="K4454" s="17"/>
    </row>
    <row r="4455" spans="1:11" x14ac:dyDescent="0.2">
      <c r="A4455" s="115"/>
      <c r="B4455" s="93"/>
      <c r="C4455" s="94"/>
      <c r="D4455" s="95"/>
      <c r="E4455" s="95"/>
      <c r="F4455" s="96"/>
      <c r="G4455" s="97"/>
      <c r="H4455" s="114" t="str">
        <f t="shared" si="59"/>
        <v/>
      </c>
      <c r="I4455" s="17"/>
      <c r="J4455" s="17"/>
      <c r="K4455" s="17"/>
    </row>
    <row r="4456" spans="1:11" x14ac:dyDescent="0.2">
      <c r="A4456" s="115"/>
      <c r="B4456" s="93"/>
      <c r="C4456" s="94"/>
      <c r="D4456" s="95"/>
      <c r="E4456" s="95"/>
      <c r="F4456" s="96"/>
      <c r="G4456" s="97"/>
      <c r="H4456" s="114" t="str">
        <f t="shared" si="59"/>
        <v/>
      </c>
      <c r="I4456" s="17"/>
      <c r="J4456" s="17"/>
      <c r="K4456" s="17"/>
    </row>
    <row r="4457" spans="1:11" x14ac:dyDescent="0.2">
      <c r="A4457" s="115"/>
      <c r="B4457" s="93"/>
      <c r="C4457" s="94"/>
      <c r="D4457" s="95"/>
      <c r="E4457" s="95"/>
      <c r="F4457" s="96"/>
      <c r="G4457" s="97"/>
      <c r="H4457" s="114" t="str">
        <f t="shared" si="59"/>
        <v/>
      </c>
      <c r="I4457" s="17"/>
      <c r="J4457" s="17"/>
      <c r="K4457" s="17"/>
    </row>
    <row r="4458" spans="1:11" x14ac:dyDescent="0.2">
      <c r="A4458" s="115"/>
      <c r="B4458" s="93"/>
      <c r="C4458" s="94"/>
      <c r="D4458" s="95"/>
      <c r="E4458" s="95"/>
      <c r="F4458" s="96"/>
      <c r="G4458" s="97"/>
      <c r="H4458" s="114" t="str">
        <f t="shared" si="59"/>
        <v/>
      </c>
      <c r="I4458" s="17"/>
      <c r="J4458" s="17"/>
      <c r="K4458" s="17"/>
    </row>
    <row r="4459" spans="1:11" x14ac:dyDescent="0.2">
      <c r="A4459" s="115"/>
      <c r="B4459" s="93"/>
      <c r="C4459" s="94"/>
      <c r="D4459" s="95"/>
      <c r="E4459" s="95"/>
      <c r="F4459" s="96"/>
      <c r="G4459" s="97"/>
      <c r="H4459" s="114" t="str">
        <f t="shared" si="59"/>
        <v/>
      </c>
      <c r="I4459" s="17"/>
      <c r="J4459" s="17"/>
      <c r="K4459" s="17"/>
    </row>
    <row r="4460" spans="1:11" x14ac:dyDescent="0.2">
      <c r="A4460" s="115"/>
      <c r="B4460" s="93"/>
      <c r="C4460" s="94"/>
      <c r="D4460" s="95"/>
      <c r="E4460" s="95"/>
      <c r="F4460" s="96"/>
      <c r="G4460" s="97"/>
      <c r="H4460" s="114" t="str">
        <f t="shared" si="59"/>
        <v/>
      </c>
      <c r="I4460" s="17"/>
      <c r="J4460" s="17"/>
      <c r="K4460" s="17"/>
    </row>
    <row r="4461" spans="1:11" x14ac:dyDescent="0.2">
      <c r="A4461" s="115"/>
      <c r="B4461" s="93"/>
      <c r="C4461" s="94"/>
      <c r="D4461" s="95"/>
      <c r="E4461" s="95"/>
      <c r="F4461" s="96"/>
      <c r="G4461" s="97"/>
      <c r="H4461" s="114" t="str">
        <f t="shared" si="59"/>
        <v/>
      </c>
      <c r="I4461" s="17"/>
      <c r="J4461" s="17"/>
      <c r="K4461" s="17"/>
    </row>
    <row r="4462" spans="1:11" x14ac:dyDescent="0.2">
      <c r="A4462" s="115"/>
      <c r="B4462" s="93"/>
      <c r="C4462" s="94"/>
      <c r="D4462" s="95"/>
      <c r="E4462" s="95"/>
      <c r="F4462" s="96"/>
      <c r="G4462" s="97"/>
      <c r="H4462" s="114" t="str">
        <f t="shared" si="59"/>
        <v/>
      </c>
      <c r="I4462" s="17"/>
      <c r="J4462" s="17"/>
      <c r="K4462" s="17"/>
    </row>
    <row r="4463" spans="1:11" x14ac:dyDescent="0.2">
      <c r="A4463" s="115"/>
      <c r="B4463" s="93"/>
      <c r="C4463" s="94"/>
      <c r="D4463" s="95"/>
      <c r="E4463" s="95"/>
      <c r="F4463" s="96"/>
      <c r="G4463" s="97"/>
      <c r="H4463" s="114" t="str">
        <f t="shared" si="59"/>
        <v/>
      </c>
      <c r="I4463" s="17"/>
      <c r="J4463" s="17"/>
      <c r="K4463" s="17"/>
    </row>
    <row r="4464" spans="1:11" x14ac:dyDescent="0.2">
      <c r="A4464" s="115"/>
      <c r="B4464" s="93"/>
      <c r="C4464" s="94"/>
      <c r="D4464" s="95"/>
      <c r="E4464" s="95"/>
      <c r="F4464" s="96"/>
      <c r="G4464" s="97"/>
      <c r="H4464" s="114" t="str">
        <f t="shared" si="59"/>
        <v/>
      </c>
      <c r="I4464" s="17"/>
      <c r="J4464" s="17"/>
      <c r="K4464" s="17"/>
    </row>
    <row r="4465" spans="1:11" x14ac:dyDescent="0.2">
      <c r="A4465" s="115"/>
      <c r="B4465" s="93"/>
      <c r="C4465" s="94"/>
      <c r="D4465" s="95"/>
      <c r="E4465" s="95"/>
      <c r="F4465" s="96"/>
      <c r="G4465" s="97"/>
      <c r="H4465" s="114" t="str">
        <f t="shared" si="59"/>
        <v/>
      </c>
      <c r="I4465" s="17"/>
      <c r="J4465" s="17"/>
      <c r="K4465" s="17"/>
    </row>
    <row r="4466" spans="1:11" x14ac:dyDescent="0.2">
      <c r="A4466" s="115"/>
      <c r="B4466" s="93"/>
      <c r="C4466" s="94"/>
      <c r="D4466" s="95"/>
      <c r="E4466" s="95"/>
      <c r="F4466" s="96"/>
      <c r="G4466" s="97"/>
      <c r="H4466" s="114" t="str">
        <f t="shared" si="59"/>
        <v/>
      </c>
      <c r="I4466" s="17"/>
      <c r="J4466" s="17"/>
      <c r="K4466" s="17"/>
    </row>
    <row r="4467" spans="1:11" x14ac:dyDescent="0.2">
      <c r="A4467" s="115"/>
      <c r="B4467" s="93"/>
      <c r="C4467" s="94"/>
      <c r="D4467" s="95"/>
      <c r="E4467" s="95"/>
      <c r="F4467" s="96"/>
      <c r="G4467" s="97"/>
      <c r="H4467" s="114" t="str">
        <f t="shared" si="59"/>
        <v/>
      </c>
      <c r="I4467" s="17"/>
      <c r="J4467" s="17"/>
      <c r="K4467" s="17"/>
    </row>
    <row r="4468" spans="1:11" x14ac:dyDescent="0.2">
      <c r="A4468" s="115"/>
      <c r="B4468" s="93"/>
      <c r="C4468" s="94"/>
      <c r="D4468" s="95"/>
      <c r="E4468" s="95"/>
      <c r="F4468" s="96"/>
      <c r="G4468" s="97"/>
      <c r="H4468" s="114" t="str">
        <f t="shared" si="59"/>
        <v/>
      </c>
      <c r="I4468" s="17"/>
      <c r="J4468" s="17"/>
      <c r="K4468" s="17"/>
    </row>
    <row r="4469" spans="1:11" x14ac:dyDescent="0.2">
      <c r="A4469" s="115"/>
      <c r="B4469" s="93"/>
      <c r="C4469" s="94"/>
      <c r="D4469" s="95"/>
      <c r="E4469" s="95"/>
      <c r="F4469" s="96"/>
      <c r="G4469" s="97"/>
      <c r="H4469" s="114" t="str">
        <f t="shared" si="59"/>
        <v/>
      </c>
      <c r="I4469" s="17"/>
      <c r="J4469" s="17"/>
      <c r="K4469" s="17"/>
    </row>
    <row r="4470" spans="1:11" x14ac:dyDescent="0.2">
      <c r="A4470" s="115"/>
      <c r="B4470" s="93"/>
      <c r="C4470" s="94"/>
      <c r="D4470" s="95"/>
      <c r="E4470" s="95"/>
      <c r="F4470" s="96"/>
      <c r="G4470" s="97"/>
      <c r="H4470" s="114" t="str">
        <f t="shared" si="59"/>
        <v/>
      </c>
      <c r="I4470" s="17"/>
      <c r="J4470" s="17"/>
      <c r="K4470" s="17"/>
    </row>
    <row r="4471" spans="1:11" x14ac:dyDescent="0.2">
      <c r="A4471" s="115"/>
      <c r="B4471" s="93"/>
      <c r="C4471" s="94"/>
      <c r="D4471" s="95"/>
      <c r="E4471" s="95"/>
      <c r="F4471" s="96"/>
      <c r="G4471" s="97"/>
      <c r="H4471" s="114" t="str">
        <f t="shared" si="59"/>
        <v/>
      </c>
      <c r="I4471" s="17"/>
      <c r="J4471" s="17"/>
      <c r="K4471" s="17"/>
    </row>
    <row r="4472" spans="1:11" x14ac:dyDescent="0.2">
      <c r="A4472" s="115"/>
      <c r="B4472" s="93"/>
      <c r="C4472" s="94"/>
      <c r="D4472" s="95"/>
      <c r="E4472" s="95"/>
      <c r="F4472" s="96"/>
      <c r="G4472" s="97"/>
      <c r="H4472" s="114" t="str">
        <f t="shared" si="59"/>
        <v/>
      </c>
      <c r="I4472" s="17"/>
      <c r="J4472" s="17"/>
      <c r="K4472" s="17"/>
    </row>
    <row r="4473" spans="1:11" x14ac:dyDescent="0.2">
      <c r="A4473" s="115"/>
      <c r="B4473" s="93"/>
      <c r="C4473" s="94"/>
      <c r="D4473" s="95"/>
      <c r="E4473" s="95"/>
      <c r="F4473" s="96"/>
      <c r="G4473" s="97"/>
      <c r="H4473" s="114" t="str">
        <f t="shared" si="59"/>
        <v/>
      </c>
      <c r="I4473" s="17"/>
      <c r="J4473" s="17"/>
      <c r="K4473" s="17"/>
    </row>
    <row r="4474" spans="1:11" x14ac:dyDescent="0.2">
      <c r="A4474" s="115"/>
      <c r="B4474" s="93"/>
      <c r="C4474" s="94"/>
      <c r="D4474" s="95"/>
      <c r="E4474" s="95"/>
      <c r="F4474" s="96"/>
      <c r="G4474" s="97"/>
      <c r="H4474" s="114" t="str">
        <f t="shared" si="59"/>
        <v/>
      </c>
      <c r="I4474" s="17"/>
      <c r="J4474" s="17"/>
      <c r="K4474" s="17"/>
    </row>
    <row r="4475" spans="1:11" x14ac:dyDescent="0.2">
      <c r="A4475" s="115"/>
      <c r="B4475" s="93"/>
      <c r="C4475" s="94"/>
      <c r="D4475" s="95"/>
      <c r="E4475" s="95"/>
      <c r="F4475" s="96"/>
      <c r="G4475" s="97"/>
      <c r="H4475" s="114" t="str">
        <f t="shared" si="59"/>
        <v/>
      </c>
      <c r="I4475" s="17"/>
      <c r="J4475" s="17"/>
      <c r="K4475" s="17"/>
    </row>
    <row r="4476" spans="1:11" x14ac:dyDescent="0.2">
      <c r="A4476" s="115"/>
      <c r="B4476" s="93"/>
      <c r="C4476" s="94"/>
      <c r="D4476" s="95"/>
      <c r="E4476" s="95"/>
      <c r="F4476" s="96"/>
      <c r="G4476" s="97"/>
      <c r="H4476" s="114" t="str">
        <f t="shared" si="59"/>
        <v/>
      </c>
      <c r="I4476" s="17"/>
      <c r="J4476" s="17"/>
      <c r="K4476" s="17"/>
    </row>
    <row r="4477" spans="1:11" x14ac:dyDescent="0.2">
      <c r="A4477" s="115"/>
      <c r="B4477" s="93"/>
      <c r="C4477" s="94"/>
      <c r="D4477" s="95"/>
      <c r="E4477" s="95"/>
      <c r="F4477" s="96"/>
      <c r="G4477" s="97"/>
      <c r="H4477" s="114" t="str">
        <f t="shared" si="59"/>
        <v/>
      </c>
      <c r="I4477" s="17"/>
      <c r="J4477" s="17"/>
      <c r="K4477" s="17"/>
    </row>
    <row r="4478" spans="1:11" x14ac:dyDescent="0.2">
      <c r="A4478" s="115"/>
      <c r="B4478" s="93"/>
      <c r="C4478" s="94"/>
      <c r="D4478" s="95"/>
      <c r="E4478" s="95"/>
      <c r="F4478" s="96"/>
      <c r="G4478" s="97"/>
      <c r="H4478" s="114" t="str">
        <f t="shared" si="59"/>
        <v/>
      </c>
      <c r="I4478" s="17"/>
      <c r="J4478" s="17"/>
      <c r="K4478" s="17"/>
    </row>
    <row r="4479" spans="1:11" x14ac:dyDescent="0.2">
      <c r="A4479" s="115"/>
      <c r="B4479" s="93"/>
      <c r="C4479" s="94"/>
      <c r="D4479" s="95"/>
      <c r="E4479" s="95"/>
      <c r="F4479" s="96"/>
      <c r="G4479" s="97"/>
      <c r="H4479" s="114" t="str">
        <f t="shared" si="59"/>
        <v/>
      </c>
      <c r="I4479" s="17"/>
      <c r="J4479" s="17"/>
      <c r="K4479" s="17"/>
    </row>
    <row r="4480" spans="1:11" x14ac:dyDescent="0.2">
      <c r="A4480" s="115"/>
      <c r="B4480" s="93"/>
      <c r="C4480" s="94"/>
      <c r="D4480" s="95"/>
      <c r="E4480" s="95"/>
      <c r="F4480" s="96"/>
      <c r="G4480" s="97"/>
      <c r="H4480" s="114" t="str">
        <f t="shared" si="59"/>
        <v/>
      </c>
      <c r="I4480" s="17"/>
      <c r="J4480" s="17"/>
      <c r="K4480" s="17"/>
    </row>
    <row r="4481" spans="1:11" x14ac:dyDescent="0.2">
      <c r="A4481" s="115"/>
      <c r="B4481" s="93"/>
      <c r="C4481" s="94"/>
      <c r="D4481" s="95"/>
      <c r="E4481" s="95"/>
      <c r="F4481" s="96"/>
      <c r="G4481" s="97"/>
      <c r="H4481" s="114" t="str">
        <f t="shared" si="59"/>
        <v/>
      </c>
      <c r="I4481" s="17"/>
      <c r="J4481" s="17"/>
      <c r="K4481" s="17"/>
    </row>
    <row r="4482" spans="1:11" x14ac:dyDescent="0.2">
      <c r="A4482" s="115"/>
      <c r="B4482" s="93"/>
      <c r="C4482" s="94"/>
      <c r="D4482" s="95"/>
      <c r="E4482" s="95"/>
      <c r="F4482" s="96"/>
      <c r="G4482" s="97"/>
      <c r="H4482" s="114" t="str">
        <f t="shared" si="59"/>
        <v/>
      </c>
      <c r="I4482" s="17"/>
      <c r="J4482" s="17"/>
      <c r="K4482" s="17"/>
    </row>
    <row r="4483" spans="1:11" x14ac:dyDescent="0.2">
      <c r="A4483" s="115"/>
      <c r="B4483" s="93"/>
      <c r="C4483" s="94"/>
      <c r="D4483" s="95"/>
      <c r="E4483" s="95"/>
      <c r="F4483" s="96"/>
      <c r="G4483" s="97"/>
      <c r="H4483" s="114" t="str">
        <f t="shared" si="59"/>
        <v/>
      </c>
      <c r="I4483" s="17"/>
      <c r="J4483" s="17"/>
      <c r="K4483" s="17"/>
    </row>
    <row r="4484" spans="1:11" x14ac:dyDescent="0.2">
      <c r="A4484" s="115"/>
      <c r="B4484" s="93"/>
      <c r="C4484" s="94"/>
      <c r="D4484" s="95"/>
      <c r="E4484" s="95"/>
      <c r="F4484" s="96"/>
      <c r="G4484" s="97"/>
      <c r="H4484" s="114" t="str">
        <f t="shared" ref="H4484:H4547" si="60">IF(A4484&lt;&gt;"", EOMONTH(A4484, -1) + 1, "")</f>
        <v/>
      </c>
      <c r="I4484" s="17"/>
      <c r="J4484" s="17"/>
      <c r="K4484" s="17"/>
    </row>
    <row r="4485" spans="1:11" x14ac:dyDescent="0.2">
      <c r="A4485" s="115"/>
      <c r="B4485" s="93"/>
      <c r="C4485" s="94"/>
      <c r="D4485" s="95"/>
      <c r="E4485" s="95"/>
      <c r="F4485" s="96"/>
      <c r="G4485" s="97"/>
      <c r="H4485" s="114" t="str">
        <f t="shared" si="60"/>
        <v/>
      </c>
      <c r="I4485" s="17"/>
      <c r="J4485" s="17"/>
      <c r="K4485" s="17"/>
    </row>
    <row r="4486" spans="1:11" x14ac:dyDescent="0.2">
      <c r="A4486" s="115"/>
      <c r="B4486" s="93"/>
      <c r="C4486" s="94"/>
      <c r="D4486" s="95"/>
      <c r="E4486" s="95"/>
      <c r="F4486" s="96"/>
      <c r="G4486" s="97"/>
      <c r="H4486" s="114" t="str">
        <f t="shared" si="60"/>
        <v/>
      </c>
      <c r="I4486" s="17"/>
      <c r="J4486" s="17"/>
      <c r="K4486" s="17"/>
    </row>
    <row r="4487" spans="1:11" x14ac:dyDescent="0.2">
      <c r="A4487" s="115"/>
      <c r="B4487" s="93"/>
      <c r="C4487" s="94"/>
      <c r="D4487" s="95"/>
      <c r="E4487" s="95"/>
      <c r="F4487" s="96"/>
      <c r="G4487" s="97"/>
      <c r="H4487" s="114" t="str">
        <f t="shared" si="60"/>
        <v/>
      </c>
      <c r="I4487" s="17"/>
      <c r="J4487" s="17"/>
      <c r="K4487" s="17"/>
    </row>
    <row r="4488" spans="1:11" x14ac:dyDescent="0.2">
      <c r="A4488" s="115"/>
      <c r="B4488" s="93"/>
      <c r="C4488" s="94"/>
      <c r="D4488" s="95"/>
      <c r="E4488" s="95"/>
      <c r="F4488" s="96"/>
      <c r="G4488" s="97"/>
      <c r="H4488" s="114" t="str">
        <f t="shared" si="60"/>
        <v/>
      </c>
      <c r="I4488" s="17"/>
      <c r="J4488" s="17"/>
      <c r="K4488" s="17"/>
    </row>
    <row r="4489" spans="1:11" x14ac:dyDescent="0.2">
      <c r="A4489" s="115"/>
      <c r="B4489" s="93"/>
      <c r="C4489" s="94"/>
      <c r="D4489" s="95"/>
      <c r="E4489" s="95"/>
      <c r="F4489" s="96"/>
      <c r="G4489" s="97"/>
      <c r="H4489" s="114" t="str">
        <f t="shared" si="60"/>
        <v/>
      </c>
      <c r="I4489" s="17"/>
      <c r="J4489" s="17"/>
      <c r="K4489" s="17"/>
    </row>
    <row r="4490" spans="1:11" x14ac:dyDescent="0.2">
      <c r="A4490" s="115"/>
      <c r="B4490" s="93"/>
      <c r="C4490" s="94"/>
      <c r="D4490" s="95"/>
      <c r="E4490" s="95"/>
      <c r="F4490" s="96"/>
      <c r="G4490" s="97"/>
      <c r="H4490" s="114" t="str">
        <f t="shared" si="60"/>
        <v/>
      </c>
      <c r="I4490" s="17"/>
      <c r="J4490" s="17"/>
      <c r="K4490" s="17"/>
    </row>
    <row r="4491" spans="1:11" x14ac:dyDescent="0.2">
      <c r="A4491" s="115"/>
      <c r="B4491" s="93"/>
      <c r="C4491" s="94"/>
      <c r="D4491" s="95"/>
      <c r="E4491" s="95"/>
      <c r="F4491" s="96"/>
      <c r="G4491" s="97"/>
      <c r="H4491" s="114" t="str">
        <f t="shared" si="60"/>
        <v/>
      </c>
      <c r="I4491" s="17"/>
      <c r="J4491" s="17"/>
      <c r="K4491" s="17"/>
    </row>
    <row r="4492" spans="1:11" x14ac:dyDescent="0.2">
      <c r="A4492" s="115"/>
      <c r="B4492" s="93"/>
      <c r="C4492" s="94"/>
      <c r="D4492" s="95"/>
      <c r="E4492" s="95"/>
      <c r="F4492" s="96"/>
      <c r="G4492" s="97"/>
      <c r="H4492" s="114" t="str">
        <f t="shared" si="60"/>
        <v/>
      </c>
      <c r="I4492" s="17"/>
      <c r="J4492" s="17"/>
      <c r="K4492" s="17"/>
    </row>
    <row r="4493" spans="1:11" x14ac:dyDescent="0.2">
      <c r="A4493" s="115"/>
      <c r="B4493" s="93"/>
      <c r="C4493" s="94"/>
      <c r="D4493" s="95"/>
      <c r="E4493" s="95"/>
      <c r="F4493" s="96"/>
      <c r="G4493" s="97"/>
      <c r="H4493" s="114" t="str">
        <f t="shared" si="60"/>
        <v/>
      </c>
      <c r="I4493" s="17"/>
      <c r="J4493" s="17"/>
      <c r="K4493" s="17"/>
    </row>
    <row r="4494" spans="1:11" x14ac:dyDescent="0.2">
      <c r="A4494" s="115"/>
      <c r="B4494" s="93"/>
      <c r="C4494" s="94"/>
      <c r="D4494" s="95"/>
      <c r="E4494" s="95"/>
      <c r="F4494" s="96"/>
      <c r="G4494" s="97"/>
      <c r="H4494" s="114" t="str">
        <f t="shared" si="60"/>
        <v/>
      </c>
      <c r="I4494" s="17"/>
      <c r="J4494" s="17"/>
      <c r="K4494" s="17"/>
    </row>
    <row r="4495" spans="1:11" x14ac:dyDescent="0.2">
      <c r="A4495" s="115"/>
      <c r="B4495" s="93"/>
      <c r="C4495" s="94"/>
      <c r="D4495" s="95"/>
      <c r="E4495" s="95"/>
      <c r="F4495" s="96"/>
      <c r="G4495" s="97"/>
      <c r="H4495" s="114" t="str">
        <f t="shared" si="60"/>
        <v/>
      </c>
      <c r="I4495" s="17"/>
      <c r="J4495" s="17"/>
      <c r="K4495" s="17"/>
    </row>
    <row r="4496" spans="1:11" x14ac:dyDescent="0.2">
      <c r="A4496" s="115"/>
      <c r="B4496" s="93"/>
      <c r="C4496" s="94"/>
      <c r="D4496" s="95"/>
      <c r="E4496" s="95"/>
      <c r="F4496" s="96"/>
      <c r="G4496" s="97"/>
      <c r="H4496" s="114" t="str">
        <f t="shared" si="60"/>
        <v/>
      </c>
      <c r="I4496" s="17"/>
      <c r="J4496" s="17"/>
      <c r="K4496" s="17"/>
    </row>
    <row r="4497" spans="1:11" x14ac:dyDescent="0.2">
      <c r="A4497" s="115"/>
      <c r="B4497" s="93"/>
      <c r="C4497" s="94"/>
      <c r="D4497" s="95"/>
      <c r="E4497" s="95"/>
      <c r="F4497" s="96"/>
      <c r="G4497" s="97"/>
      <c r="H4497" s="114" t="str">
        <f t="shared" si="60"/>
        <v/>
      </c>
      <c r="I4497" s="17"/>
      <c r="J4497" s="17"/>
      <c r="K4497" s="17"/>
    </row>
    <row r="4498" spans="1:11" x14ac:dyDescent="0.2">
      <c r="A4498" s="115"/>
      <c r="B4498" s="93"/>
      <c r="C4498" s="94"/>
      <c r="D4498" s="95"/>
      <c r="E4498" s="95"/>
      <c r="F4498" s="96"/>
      <c r="G4498" s="97"/>
      <c r="H4498" s="114" t="str">
        <f t="shared" si="60"/>
        <v/>
      </c>
      <c r="I4498" s="17"/>
      <c r="J4498" s="17"/>
      <c r="K4498" s="17"/>
    </row>
    <row r="4499" spans="1:11" x14ac:dyDescent="0.2">
      <c r="A4499" s="115"/>
      <c r="B4499" s="93"/>
      <c r="C4499" s="94"/>
      <c r="D4499" s="95"/>
      <c r="E4499" s="95"/>
      <c r="F4499" s="96"/>
      <c r="G4499" s="97"/>
      <c r="H4499" s="114" t="str">
        <f t="shared" si="60"/>
        <v/>
      </c>
      <c r="I4499" s="17"/>
      <c r="J4499" s="17"/>
      <c r="K4499" s="17"/>
    </row>
    <row r="4500" spans="1:11" x14ac:dyDescent="0.2">
      <c r="A4500" s="115"/>
      <c r="B4500" s="93"/>
      <c r="C4500" s="94"/>
      <c r="D4500" s="95"/>
      <c r="E4500" s="95"/>
      <c r="F4500" s="96"/>
      <c r="G4500" s="97"/>
      <c r="H4500" s="114" t="str">
        <f t="shared" si="60"/>
        <v/>
      </c>
      <c r="I4500" s="17"/>
      <c r="J4500" s="17"/>
      <c r="K4500" s="17"/>
    </row>
    <row r="4501" spans="1:11" x14ac:dyDescent="0.2">
      <c r="A4501" s="115"/>
      <c r="B4501" s="93"/>
      <c r="C4501" s="94"/>
      <c r="D4501" s="95"/>
      <c r="E4501" s="95"/>
      <c r="F4501" s="96"/>
      <c r="G4501" s="97"/>
      <c r="H4501" s="114" t="str">
        <f t="shared" si="60"/>
        <v/>
      </c>
      <c r="I4501" s="17"/>
      <c r="J4501" s="17"/>
      <c r="K4501" s="17"/>
    </row>
    <row r="4502" spans="1:11" x14ac:dyDescent="0.2">
      <c r="A4502" s="115"/>
      <c r="B4502" s="93"/>
      <c r="C4502" s="94"/>
      <c r="D4502" s="95"/>
      <c r="E4502" s="95"/>
      <c r="F4502" s="96"/>
      <c r="G4502" s="97"/>
      <c r="H4502" s="114" t="str">
        <f t="shared" si="60"/>
        <v/>
      </c>
      <c r="I4502" s="17"/>
      <c r="J4502" s="17"/>
      <c r="K4502" s="17"/>
    </row>
    <row r="4503" spans="1:11" x14ac:dyDescent="0.2">
      <c r="A4503" s="115"/>
      <c r="B4503" s="93"/>
      <c r="C4503" s="94"/>
      <c r="D4503" s="95"/>
      <c r="E4503" s="95"/>
      <c r="F4503" s="96"/>
      <c r="G4503" s="97"/>
      <c r="H4503" s="114" t="str">
        <f t="shared" si="60"/>
        <v/>
      </c>
      <c r="I4503" s="17"/>
      <c r="J4503" s="17"/>
      <c r="K4503" s="17"/>
    </row>
    <row r="4504" spans="1:11" x14ac:dyDescent="0.2">
      <c r="A4504" s="115"/>
      <c r="B4504" s="93"/>
      <c r="C4504" s="94"/>
      <c r="D4504" s="95"/>
      <c r="E4504" s="95"/>
      <c r="F4504" s="96"/>
      <c r="G4504" s="97"/>
      <c r="H4504" s="114" t="str">
        <f t="shared" si="60"/>
        <v/>
      </c>
      <c r="I4504" s="17"/>
      <c r="J4504" s="17"/>
      <c r="K4504" s="17"/>
    </row>
    <row r="4505" spans="1:11" x14ac:dyDescent="0.2">
      <c r="A4505" s="115"/>
      <c r="B4505" s="93"/>
      <c r="C4505" s="94"/>
      <c r="D4505" s="95"/>
      <c r="E4505" s="95"/>
      <c r="F4505" s="96"/>
      <c r="G4505" s="97"/>
      <c r="H4505" s="114" t="str">
        <f t="shared" si="60"/>
        <v/>
      </c>
      <c r="I4505" s="17"/>
      <c r="J4505" s="17"/>
      <c r="K4505" s="17"/>
    </row>
    <row r="4506" spans="1:11" x14ac:dyDescent="0.2">
      <c r="A4506" s="115"/>
      <c r="B4506" s="93"/>
      <c r="C4506" s="94"/>
      <c r="D4506" s="95"/>
      <c r="E4506" s="95"/>
      <c r="F4506" s="96"/>
      <c r="G4506" s="97"/>
      <c r="H4506" s="114" t="str">
        <f t="shared" si="60"/>
        <v/>
      </c>
      <c r="I4506" s="17"/>
      <c r="J4506" s="17"/>
      <c r="K4506" s="17"/>
    </row>
    <row r="4507" spans="1:11" x14ac:dyDescent="0.2">
      <c r="A4507" s="115"/>
      <c r="B4507" s="93"/>
      <c r="C4507" s="94"/>
      <c r="D4507" s="95"/>
      <c r="E4507" s="95"/>
      <c r="F4507" s="96"/>
      <c r="G4507" s="97"/>
      <c r="H4507" s="114" t="str">
        <f t="shared" si="60"/>
        <v/>
      </c>
      <c r="I4507" s="17"/>
      <c r="J4507" s="17"/>
      <c r="K4507" s="17"/>
    </row>
    <row r="4508" spans="1:11" x14ac:dyDescent="0.2">
      <c r="A4508" s="115"/>
      <c r="B4508" s="93"/>
      <c r="C4508" s="94"/>
      <c r="D4508" s="95"/>
      <c r="E4508" s="95"/>
      <c r="F4508" s="96"/>
      <c r="G4508" s="97"/>
      <c r="H4508" s="114" t="str">
        <f t="shared" si="60"/>
        <v/>
      </c>
      <c r="I4508" s="17"/>
      <c r="J4508" s="17"/>
      <c r="K4508" s="17"/>
    </row>
    <row r="4509" spans="1:11" x14ac:dyDescent="0.2">
      <c r="A4509" s="115"/>
      <c r="B4509" s="93"/>
      <c r="C4509" s="94"/>
      <c r="D4509" s="95"/>
      <c r="E4509" s="95"/>
      <c r="F4509" s="96"/>
      <c r="G4509" s="97"/>
      <c r="H4509" s="114" t="str">
        <f t="shared" si="60"/>
        <v/>
      </c>
      <c r="I4509" s="17"/>
      <c r="J4509" s="17"/>
      <c r="K4509" s="17"/>
    </row>
    <row r="4510" spans="1:11" x14ac:dyDescent="0.2">
      <c r="A4510" s="115"/>
      <c r="B4510" s="93"/>
      <c r="C4510" s="94"/>
      <c r="D4510" s="95"/>
      <c r="E4510" s="95"/>
      <c r="F4510" s="96"/>
      <c r="G4510" s="97"/>
      <c r="H4510" s="114" t="str">
        <f t="shared" si="60"/>
        <v/>
      </c>
      <c r="I4510" s="17"/>
      <c r="J4510" s="17"/>
      <c r="K4510" s="17"/>
    </row>
    <row r="4511" spans="1:11" x14ac:dyDescent="0.2">
      <c r="A4511" s="115"/>
      <c r="B4511" s="93"/>
      <c r="C4511" s="94"/>
      <c r="D4511" s="95"/>
      <c r="E4511" s="95"/>
      <c r="F4511" s="96"/>
      <c r="G4511" s="97"/>
      <c r="H4511" s="114" t="str">
        <f t="shared" si="60"/>
        <v/>
      </c>
      <c r="I4511" s="17"/>
      <c r="J4511" s="17"/>
      <c r="K4511" s="17"/>
    </row>
    <row r="4512" spans="1:11" x14ac:dyDescent="0.2">
      <c r="A4512" s="115"/>
      <c r="B4512" s="93"/>
      <c r="C4512" s="94"/>
      <c r="D4512" s="95"/>
      <c r="E4512" s="95"/>
      <c r="F4512" s="96"/>
      <c r="G4512" s="97"/>
      <c r="H4512" s="114" t="str">
        <f t="shared" si="60"/>
        <v/>
      </c>
      <c r="I4512" s="17"/>
      <c r="J4512" s="17"/>
      <c r="K4512" s="17"/>
    </row>
    <row r="4513" spans="1:11" x14ac:dyDescent="0.2">
      <c r="A4513" s="115"/>
      <c r="B4513" s="93"/>
      <c r="C4513" s="94"/>
      <c r="D4513" s="95"/>
      <c r="E4513" s="95"/>
      <c r="F4513" s="96"/>
      <c r="G4513" s="97"/>
      <c r="H4513" s="114" t="str">
        <f t="shared" si="60"/>
        <v/>
      </c>
      <c r="I4513" s="17"/>
      <c r="J4513" s="17"/>
      <c r="K4513" s="17"/>
    </row>
    <row r="4514" spans="1:11" x14ac:dyDescent="0.2">
      <c r="A4514" s="115"/>
      <c r="B4514" s="93"/>
      <c r="C4514" s="94"/>
      <c r="D4514" s="95"/>
      <c r="E4514" s="95"/>
      <c r="F4514" s="96"/>
      <c r="G4514" s="97"/>
      <c r="H4514" s="114" t="str">
        <f t="shared" si="60"/>
        <v/>
      </c>
      <c r="I4514" s="17"/>
      <c r="J4514" s="17"/>
      <c r="K4514" s="17"/>
    </row>
    <row r="4515" spans="1:11" x14ac:dyDescent="0.2">
      <c r="A4515" s="115"/>
      <c r="B4515" s="93"/>
      <c r="C4515" s="94"/>
      <c r="D4515" s="95"/>
      <c r="E4515" s="95"/>
      <c r="F4515" s="96"/>
      <c r="G4515" s="97"/>
      <c r="H4515" s="114" t="str">
        <f t="shared" si="60"/>
        <v/>
      </c>
      <c r="I4515" s="17"/>
      <c r="J4515" s="17"/>
      <c r="K4515" s="17"/>
    </row>
    <row r="4516" spans="1:11" x14ac:dyDescent="0.2">
      <c r="A4516" s="115"/>
      <c r="B4516" s="93"/>
      <c r="C4516" s="94"/>
      <c r="D4516" s="95"/>
      <c r="E4516" s="95"/>
      <c r="F4516" s="96"/>
      <c r="G4516" s="97"/>
      <c r="H4516" s="114" t="str">
        <f t="shared" si="60"/>
        <v/>
      </c>
      <c r="I4516" s="17"/>
      <c r="J4516" s="17"/>
      <c r="K4516" s="17"/>
    </row>
    <row r="4517" spans="1:11" x14ac:dyDescent="0.2">
      <c r="A4517" s="115"/>
      <c r="B4517" s="93"/>
      <c r="C4517" s="94"/>
      <c r="D4517" s="95"/>
      <c r="E4517" s="95"/>
      <c r="F4517" s="96"/>
      <c r="G4517" s="97"/>
      <c r="H4517" s="114" t="str">
        <f t="shared" si="60"/>
        <v/>
      </c>
      <c r="I4517" s="17"/>
      <c r="J4517" s="17"/>
      <c r="K4517" s="17"/>
    </row>
    <row r="4518" spans="1:11" x14ac:dyDescent="0.2">
      <c r="A4518" s="115"/>
      <c r="B4518" s="93"/>
      <c r="C4518" s="94"/>
      <c r="D4518" s="95"/>
      <c r="E4518" s="95"/>
      <c r="F4518" s="96"/>
      <c r="G4518" s="97"/>
      <c r="H4518" s="114" t="str">
        <f t="shared" si="60"/>
        <v/>
      </c>
      <c r="I4518" s="17"/>
      <c r="J4518" s="17"/>
      <c r="K4518" s="17"/>
    </row>
    <row r="4519" spans="1:11" x14ac:dyDescent="0.2">
      <c r="A4519" s="115"/>
      <c r="B4519" s="93"/>
      <c r="C4519" s="94"/>
      <c r="D4519" s="95"/>
      <c r="E4519" s="95"/>
      <c r="F4519" s="96"/>
      <c r="G4519" s="97"/>
      <c r="H4519" s="114" t="str">
        <f t="shared" si="60"/>
        <v/>
      </c>
      <c r="I4519" s="17"/>
      <c r="J4519" s="17"/>
      <c r="K4519" s="17"/>
    </row>
    <row r="4520" spans="1:11" x14ac:dyDescent="0.2">
      <c r="A4520" s="115"/>
      <c r="B4520" s="93"/>
      <c r="C4520" s="94"/>
      <c r="D4520" s="95"/>
      <c r="E4520" s="95"/>
      <c r="F4520" s="96"/>
      <c r="G4520" s="97"/>
      <c r="H4520" s="114" t="str">
        <f t="shared" si="60"/>
        <v/>
      </c>
      <c r="I4520" s="17"/>
      <c r="J4520" s="17"/>
      <c r="K4520" s="17"/>
    </row>
    <row r="4521" spans="1:11" x14ac:dyDescent="0.2">
      <c r="A4521" s="115"/>
      <c r="B4521" s="93"/>
      <c r="C4521" s="94"/>
      <c r="D4521" s="95"/>
      <c r="E4521" s="95"/>
      <c r="F4521" s="96"/>
      <c r="G4521" s="97"/>
      <c r="H4521" s="114" t="str">
        <f t="shared" si="60"/>
        <v/>
      </c>
      <c r="I4521" s="17"/>
      <c r="J4521" s="17"/>
      <c r="K4521" s="17"/>
    </row>
    <row r="4522" spans="1:11" x14ac:dyDescent="0.2">
      <c r="A4522" s="115"/>
      <c r="B4522" s="93"/>
      <c r="C4522" s="94"/>
      <c r="D4522" s="95"/>
      <c r="E4522" s="95"/>
      <c r="F4522" s="96"/>
      <c r="G4522" s="97"/>
      <c r="H4522" s="114" t="str">
        <f t="shared" si="60"/>
        <v/>
      </c>
      <c r="I4522" s="17"/>
      <c r="J4522" s="17"/>
      <c r="K4522" s="17"/>
    </row>
    <row r="4523" spans="1:11" x14ac:dyDescent="0.2">
      <c r="A4523" s="115"/>
      <c r="B4523" s="93"/>
      <c r="C4523" s="94"/>
      <c r="D4523" s="95"/>
      <c r="E4523" s="95"/>
      <c r="F4523" s="96"/>
      <c r="G4523" s="97"/>
      <c r="H4523" s="114" t="str">
        <f t="shared" si="60"/>
        <v/>
      </c>
      <c r="I4523" s="17"/>
      <c r="J4523" s="17"/>
      <c r="K4523" s="17"/>
    </row>
    <row r="4524" spans="1:11" x14ac:dyDescent="0.2">
      <c r="A4524" s="115"/>
      <c r="B4524" s="93"/>
      <c r="C4524" s="94"/>
      <c r="D4524" s="95"/>
      <c r="E4524" s="95"/>
      <c r="F4524" s="96"/>
      <c r="G4524" s="97"/>
      <c r="H4524" s="114" t="str">
        <f t="shared" si="60"/>
        <v/>
      </c>
      <c r="I4524" s="17"/>
      <c r="J4524" s="17"/>
      <c r="K4524" s="17"/>
    </row>
    <row r="4525" spans="1:11" x14ac:dyDescent="0.2">
      <c r="A4525" s="115"/>
      <c r="B4525" s="93"/>
      <c r="C4525" s="94"/>
      <c r="D4525" s="95"/>
      <c r="E4525" s="95"/>
      <c r="F4525" s="96"/>
      <c r="G4525" s="97"/>
      <c r="H4525" s="114" t="str">
        <f t="shared" si="60"/>
        <v/>
      </c>
      <c r="I4525" s="17"/>
      <c r="J4525" s="17"/>
      <c r="K4525" s="17"/>
    </row>
    <row r="4526" spans="1:11" x14ac:dyDescent="0.2">
      <c r="A4526" s="115"/>
      <c r="B4526" s="93"/>
      <c r="C4526" s="94"/>
      <c r="D4526" s="95"/>
      <c r="E4526" s="95"/>
      <c r="F4526" s="96"/>
      <c r="G4526" s="97"/>
      <c r="H4526" s="114" t="str">
        <f t="shared" si="60"/>
        <v/>
      </c>
      <c r="I4526" s="17"/>
      <c r="J4526" s="17"/>
      <c r="K4526" s="17"/>
    </row>
    <row r="4527" spans="1:11" x14ac:dyDescent="0.2">
      <c r="A4527" s="115"/>
      <c r="B4527" s="93"/>
      <c r="C4527" s="94"/>
      <c r="D4527" s="95"/>
      <c r="E4527" s="95"/>
      <c r="F4527" s="96"/>
      <c r="G4527" s="97"/>
      <c r="H4527" s="114" t="str">
        <f t="shared" si="60"/>
        <v/>
      </c>
      <c r="I4527" s="17"/>
      <c r="J4527" s="17"/>
      <c r="K4527" s="17"/>
    </row>
    <row r="4528" spans="1:11" x14ac:dyDescent="0.2">
      <c r="A4528" s="115"/>
      <c r="B4528" s="93"/>
      <c r="C4528" s="94"/>
      <c r="D4528" s="95"/>
      <c r="E4528" s="95"/>
      <c r="F4528" s="96"/>
      <c r="G4528" s="97"/>
      <c r="H4528" s="114" t="str">
        <f t="shared" si="60"/>
        <v/>
      </c>
      <c r="I4528" s="17"/>
      <c r="J4528" s="17"/>
      <c r="K4528" s="17"/>
    </row>
    <row r="4529" spans="1:11" x14ac:dyDescent="0.2">
      <c r="A4529" s="115"/>
      <c r="B4529" s="93"/>
      <c r="C4529" s="94"/>
      <c r="D4529" s="95"/>
      <c r="E4529" s="95"/>
      <c r="F4529" s="96"/>
      <c r="G4529" s="97"/>
      <c r="H4529" s="114" t="str">
        <f t="shared" si="60"/>
        <v/>
      </c>
      <c r="I4529" s="17"/>
      <c r="J4529" s="17"/>
      <c r="K4529" s="17"/>
    </row>
    <row r="4530" spans="1:11" x14ac:dyDescent="0.2">
      <c r="A4530" s="115"/>
      <c r="B4530" s="93"/>
      <c r="C4530" s="94"/>
      <c r="D4530" s="95"/>
      <c r="E4530" s="95"/>
      <c r="F4530" s="96"/>
      <c r="G4530" s="97"/>
      <c r="H4530" s="114" t="str">
        <f t="shared" si="60"/>
        <v/>
      </c>
      <c r="I4530" s="17"/>
      <c r="J4530" s="17"/>
      <c r="K4530" s="17"/>
    </row>
    <row r="4531" spans="1:11" x14ac:dyDescent="0.2">
      <c r="A4531" s="115"/>
      <c r="B4531" s="93"/>
      <c r="C4531" s="94"/>
      <c r="D4531" s="95"/>
      <c r="E4531" s="95"/>
      <c r="F4531" s="96"/>
      <c r="G4531" s="97"/>
      <c r="H4531" s="114" t="str">
        <f t="shared" si="60"/>
        <v/>
      </c>
      <c r="I4531" s="17"/>
      <c r="J4531" s="17"/>
      <c r="K4531" s="17"/>
    </row>
    <row r="4532" spans="1:11" x14ac:dyDescent="0.2">
      <c r="A4532" s="115"/>
      <c r="B4532" s="93"/>
      <c r="C4532" s="94"/>
      <c r="D4532" s="95"/>
      <c r="E4532" s="95"/>
      <c r="F4532" s="96"/>
      <c r="G4532" s="97"/>
      <c r="H4532" s="114" t="str">
        <f t="shared" si="60"/>
        <v/>
      </c>
      <c r="I4532" s="17"/>
      <c r="J4532" s="17"/>
      <c r="K4532" s="17"/>
    </row>
    <row r="4533" spans="1:11" x14ac:dyDescent="0.2">
      <c r="A4533" s="115"/>
      <c r="B4533" s="93"/>
      <c r="C4533" s="94"/>
      <c r="D4533" s="95"/>
      <c r="E4533" s="95"/>
      <c r="F4533" s="96"/>
      <c r="G4533" s="97"/>
      <c r="H4533" s="114" t="str">
        <f t="shared" si="60"/>
        <v/>
      </c>
      <c r="I4533" s="17"/>
      <c r="J4533" s="17"/>
      <c r="K4533" s="17"/>
    </row>
    <row r="4534" spans="1:11" x14ac:dyDescent="0.2">
      <c r="A4534" s="115"/>
      <c r="B4534" s="93"/>
      <c r="C4534" s="94"/>
      <c r="D4534" s="95"/>
      <c r="E4534" s="95"/>
      <c r="F4534" s="96"/>
      <c r="G4534" s="97"/>
      <c r="H4534" s="114" t="str">
        <f t="shared" si="60"/>
        <v/>
      </c>
      <c r="I4534" s="17"/>
      <c r="J4534" s="17"/>
      <c r="K4534" s="17"/>
    </row>
    <row r="4535" spans="1:11" x14ac:dyDescent="0.2">
      <c r="A4535" s="115"/>
      <c r="B4535" s="93"/>
      <c r="C4535" s="94"/>
      <c r="D4535" s="95"/>
      <c r="E4535" s="95"/>
      <c r="F4535" s="96"/>
      <c r="G4535" s="97"/>
      <c r="H4535" s="114" t="str">
        <f t="shared" si="60"/>
        <v/>
      </c>
      <c r="I4535" s="17"/>
      <c r="J4535" s="17"/>
      <c r="K4535" s="17"/>
    </row>
    <row r="4536" spans="1:11" x14ac:dyDescent="0.2">
      <c r="A4536" s="115"/>
      <c r="B4536" s="93"/>
      <c r="C4536" s="94"/>
      <c r="D4536" s="95"/>
      <c r="E4536" s="95"/>
      <c r="F4536" s="96"/>
      <c r="G4536" s="97"/>
      <c r="H4536" s="114" t="str">
        <f t="shared" si="60"/>
        <v/>
      </c>
      <c r="I4536" s="17"/>
      <c r="J4536" s="17"/>
      <c r="K4536" s="17"/>
    </row>
    <row r="4537" spans="1:11" x14ac:dyDescent="0.2">
      <c r="A4537" s="115"/>
      <c r="B4537" s="93"/>
      <c r="C4537" s="94"/>
      <c r="D4537" s="95"/>
      <c r="E4537" s="95"/>
      <c r="F4537" s="96"/>
      <c r="G4537" s="97"/>
      <c r="H4537" s="114" t="str">
        <f t="shared" si="60"/>
        <v/>
      </c>
      <c r="I4537" s="17"/>
      <c r="J4537" s="17"/>
      <c r="K4537" s="17"/>
    </row>
    <row r="4538" spans="1:11" x14ac:dyDescent="0.2">
      <c r="A4538" s="115"/>
      <c r="B4538" s="93"/>
      <c r="C4538" s="94"/>
      <c r="D4538" s="95"/>
      <c r="E4538" s="95"/>
      <c r="F4538" s="96"/>
      <c r="G4538" s="97"/>
      <c r="H4538" s="114" t="str">
        <f t="shared" si="60"/>
        <v/>
      </c>
      <c r="I4538" s="17"/>
      <c r="J4538" s="17"/>
      <c r="K4538" s="17"/>
    </row>
    <row r="4539" spans="1:11" x14ac:dyDescent="0.2">
      <c r="A4539" s="115"/>
      <c r="B4539" s="93"/>
      <c r="C4539" s="94"/>
      <c r="D4539" s="95"/>
      <c r="E4539" s="95"/>
      <c r="F4539" s="96"/>
      <c r="G4539" s="97"/>
      <c r="H4539" s="114" t="str">
        <f t="shared" si="60"/>
        <v/>
      </c>
      <c r="I4539" s="17"/>
      <c r="J4539" s="17"/>
      <c r="K4539" s="17"/>
    </row>
    <row r="4540" spans="1:11" x14ac:dyDescent="0.2">
      <c r="A4540" s="115"/>
      <c r="B4540" s="93"/>
      <c r="C4540" s="94"/>
      <c r="D4540" s="95"/>
      <c r="E4540" s="95"/>
      <c r="F4540" s="96"/>
      <c r="G4540" s="97"/>
      <c r="H4540" s="114" t="str">
        <f t="shared" si="60"/>
        <v/>
      </c>
      <c r="I4540" s="17"/>
      <c r="J4540" s="17"/>
      <c r="K4540" s="17"/>
    </row>
    <row r="4541" spans="1:11" x14ac:dyDescent="0.2">
      <c r="A4541" s="115"/>
      <c r="B4541" s="93"/>
      <c r="C4541" s="94"/>
      <c r="D4541" s="95"/>
      <c r="E4541" s="95"/>
      <c r="F4541" s="96"/>
      <c r="G4541" s="97"/>
      <c r="H4541" s="114" t="str">
        <f t="shared" si="60"/>
        <v/>
      </c>
      <c r="I4541" s="17"/>
      <c r="J4541" s="17"/>
      <c r="K4541" s="17"/>
    </row>
    <row r="4542" spans="1:11" x14ac:dyDescent="0.2">
      <c r="A4542" s="115"/>
      <c r="B4542" s="93"/>
      <c r="C4542" s="94"/>
      <c r="D4542" s="95"/>
      <c r="E4542" s="95"/>
      <c r="F4542" s="96"/>
      <c r="G4542" s="97"/>
      <c r="H4542" s="114" t="str">
        <f t="shared" si="60"/>
        <v/>
      </c>
      <c r="I4542" s="17"/>
      <c r="J4542" s="17"/>
      <c r="K4542" s="17"/>
    </row>
    <row r="4543" spans="1:11" x14ac:dyDescent="0.2">
      <c r="A4543" s="115"/>
      <c r="B4543" s="93"/>
      <c r="C4543" s="94"/>
      <c r="D4543" s="95"/>
      <c r="E4543" s="95"/>
      <c r="F4543" s="96"/>
      <c r="G4543" s="97"/>
      <c r="H4543" s="114" t="str">
        <f t="shared" si="60"/>
        <v/>
      </c>
      <c r="I4543" s="17"/>
      <c r="J4543" s="17"/>
      <c r="K4543" s="17"/>
    </row>
    <row r="4544" spans="1:11" x14ac:dyDescent="0.2">
      <c r="A4544" s="115"/>
      <c r="B4544" s="93"/>
      <c r="C4544" s="94"/>
      <c r="D4544" s="95"/>
      <c r="E4544" s="95"/>
      <c r="F4544" s="96"/>
      <c r="G4544" s="97"/>
      <c r="H4544" s="114" t="str">
        <f t="shared" si="60"/>
        <v/>
      </c>
      <c r="I4544" s="17"/>
      <c r="J4544" s="17"/>
      <c r="K4544" s="17"/>
    </row>
    <row r="4545" spans="1:11" x14ac:dyDescent="0.2">
      <c r="A4545" s="115"/>
      <c r="B4545" s="93"/>
      <c r="C4545" s="94"/>
      <c r="D4545" s="95"/>
      <c r="E4545" s="95"/>
      <c r="F4545" s="96"/>
      <c r="G4545" s="97"/>
      <c r="H4545" s="114" t="str">
        <f t="shared" si="60"/>
        <v/>
      </c>
      <c r="I4545" s="17"/>
      <c r="J4545" s="17"/>
      <c r="K4545" s="17"/>
    </row>
    <row r="4546" spans="1:11" x14ac:dyDescent="0.2">
      <c r="A4546" s="115"/>
      <c r="B4546" s="93"/>
      <c r="C4546" s="94"/>
      <c r="D4546" s="95"/>
      <c r="E4546" s="95"/>
      <c r="F4546" s="96"/>
      <c r="G4546" s="97"/>
      <c r="H4546" s="114" t="str">
        <f t="shared" si="60"/>
        <v/>
      </c>
      <c r="I4546" s="17"/>
      <c r="J4546" s="17"/>
      <c r="K4546" s="17"/>
    </row>
    <row r="4547" spans="1:11" x14ac:dyDescent="0.2">
      <c r="A4547" s="115"/>
      <c r="B4547" s="93"/>
      <c r="C4547" s="94"/>
      <c r="D4547" s="95"/>
      <c r="E4547" s="95"/>
      <c r="F4547" s="96"/>
      <c r="G4547" s="97"/>
      <c r="H4547" s="114" t="str">
        <f t="shared" si="60"/>
        <v/>
      </c>
      <c r="I4547" s="17"/>
      <c r="J4547" s="17"/>
      <c r="K4547" s="17"/>
    </row>
    <row r="4548" spans="1:11" x14ac:dyDescent="0.2">
      <c r="A4548" s="115"/>
      <c r="B4548" s="93"/>
      <c r="C4548" s="94"/>
      <c r="D4548" s="95"/>
      <c r="E4548" s="95"/>
      <c r="F4548" s="96"/>
      <c r="G4548" s="97"/>
      <c r="H4548" s="114" t="str">
        <f t="shared" ref="H4548:H4611" si="61">IF(A4548&lt;&gt;"", EOMONTH(A4548, -1) + 1, "")</f>
        <v/>
      </c>
      <c r="I4548" s="17"/>
      <c r="J4548" s="17"/>
      <c r="K4548" s="17"/>
    </row>
    <row r="4549" spans="1:11" x14ac:dyDescent="0.2">
      <c r="A4549" s="115"/>
      <c r="B4549" s="93"/>
      <c r="C4549" s="94"/>
      <c r="D4549" s="95"/>
      <c r="E4549" s="95"/>
      <c r="F4549" s="96"/>
      <c r="G4549" s="97"/>
      <c r="H4549" s="114" t="str">
        <f t="shared" si="61"/>
        <v/>
      </c>
      <c r="I4549" s="17"/>
      <c r="J4549" s="17"/>
      <c r="K4549" s="17"/>
    </row>
    <row r="4550" spans="1:11" x14ac:dyDescent="0.2">
      <c r="A4550" s="115"/>
      <c r="B4550" s="93"/>
      <c r="C4550" s="94"/>
      <c r="D4550" s="95"/>
      <c r="E4550" s="95"/>
      <c r="F4550" s="96"/>
      <c r="G4550" s="97"/>
      <c r="H4550" s="114" t="str">
        <f t="shared" si="61"/>
        <v/>
      </c>
      <c r="I4550" s="17"/>
      <c r="J4550" s="17"/>
      <c r="K4550" s="17"/>
    </row>
    <row r="4551" spans="1:11" x14ac:dyDescent="0.2">
      <c r="A4551" s="115"/>
      <c r="B4551" s="93"/>
      <c r="C4551" s="94"/>
      <c r="D4551" s="95"/>
      <c r="E4551" s="95"/>
      <c r="F4551" s="96"/>
      <c r="G4551" s="97"/>
      <c r="H4551" s="114" t="str">
        <f t="shared" si="61"/>
        <v/>
      </c>
      <c r="I4551" s="17"/>
      <c r="J4551" s="17"/>
      <c r="K4551" s="17"/>
    </row>
    <row r="4552" spans="1:11" x14ac:dyDescent="0.2">
      <c r="A4552" s="115"/>
      <c r="B4552" s="93"/>
      <c r="C4552" s="94"/>
      <c r="D4552" s="95"/>
      <c r="E4552" s="95"/>
      <c r="F4552" s="96"/>
      <c r="G4552" s="97"/>
      <c r="H4552" s="114" t="str">
        <f t="shared" si="61"/>
        <v/>
      </c>
      <c r="I4552" s="17"/>
      <c r="J4552" s="17"/>
      <c r="K4552" s="17"/>
    </row>
    <row r="4553" spans="1:11" x14ac:dyDescent="0.2">
      <c r="A4553" s="115"/>
      <c r="B4553" s="93"/>
      <c r="C4553" s="94"/>
      <c r="D4553" s="95"/>
      <c r="E4553" s="95"/>
      <c r="F4553" s="96"/>
      <c r="G4553" s="97"/>
      <c r="H4553" s="114" t="str">
        <f t="shared" si="61"/>
        <v/>
      </c>
      <c r="I4553" s="17"/>
      <c r="J4553" s="17"/>
      <c r="K4553" s="17"/>
    </row>
    <row r="4554" spans="1:11" x14ac:dyDescent="0.2">
      <c r="A4554" s="115"/>
      <c r="B4554" s="93"/>
      <c r="C4554" s="94"/>
      <c r="D4554" s="95"/>
      <c r="E4554" s="95"/>
      <c r="F4554" s="96"/>
      <c r="G4554" s="97"/>
      <c r="H4554" s="114" t="str">
        <f t="shared" si="61"/>
        <v/>
      </c>
      <c r="I4554" s="17"/>
      <c r="J4554" s="17"/>
      <c r="K4554" s="17"/>
    </row>
    <row r="4555" spans="1:11" x14ac:dyDescent="0.2">
      <c r="A4555" s="115"/>
      <c r="B4555" s="93"/>
      <c r="C4555" s="94"/>
      <c r="D4555" s="95"/>
      <c r="E4555" s="95"/>
      <c r="F4555" s="96"/>
      <c r="G4555" s="97"/>
      <c r="H4555" s="114" t="str">
        <f t="shared" si="61"/>
        <v/>
      </c>
      <c r="I4555" s="17"/>
      <c r="J4555" s="17"/>
      <c r="K4555" s="17"/>
    </row>
    <row r="4556" spans="1:11" x14ac:dyDescent="0.2">
      <c r="A4556" s="115"/>
      <c r="B4556" s="93"/>
      <c r="C4556" s="94"/>
      <c r="D4556" s="95"/>
      <c r="E4556" s="95"/>
      <c r="F4556" s="96"/>
      <c r="G4556" s="97"/>
      <c r="H4556" s="114" t="str">
        <f t="shared" si="61"/>
        <v/>
      </c>
      <c r="I4556" s="17"/>
      <c r="J4556" s="17"/>
      <c r="K4556" s="17"/>
    </row>
    <row r="4557" spans="1:11" x14ac:dyDescent="0.2">
      <c r="A4557" s="115"/>
      <c r="B4557" s="93"/>
      <c r="C4557" s="94"/>
      <c r="D4557" s="95"/>
      <c r="E4557" s="95"/>
      <c r="F4557" s="96"/>
      <c r="G4557" s="97"/>
      <c r="H4557" s="114" t="str">
        <f t="shared" si="61"/>
        <v/>
      </c>
      <c r="I4557" s="17"/>
      <c r="J4557" s="17"/>
      <c r="K4557" s="17"/>
    </row>
    <row r="4558" spans="1:11" x14ac:dyDescent="0.2">
      <c r="A4558" s="115"/>
      <c r="B4558" s="93"/>
      <c r="C4558" s="94"/>
      <c r="D4558" s="95"/>
      <c r="E4558" s="95"/>
      <c r="F4558" s="96"/>
      <c r="G4558" s="97"/>
      <c r="H4558" s="114" t="str">
        <f t="shared" si="61"/>
        <v/>
      </c>
      <c r="I4558" s="17"/>
      <c r="J4558" s="17"/>
      <c r="K4558" s="17"/>
    </row>
    <row r="4559" spans="1:11" x14ac:dyDescent="0.2">
      <c r="A4559" s="115"/>
      <c r="B4559" s="93"/>
      <c r="C4559" s="94"/>
      <c r="D4559" s="95"/>
      <c r="E4559" s="95"/>
      <c r="F4559" s="96"/>
      <c r="G4559" s="97"/>
      <c r="H4559" s="114" t="str">
        <f t="shared" si="61"/>
        <v/>
      </c>
      <c r="I4559" s="17"/>
      <c r="J4559" s="17"/>
      <c r="K4559" s="17"/>
    </row>
    <row r="4560" spans="1:11" x14ac:dyDescent="0.2">
      <c r="A4560" s="115"/>
      <c r="B4560" s="93"/>
      <c r="C4560" s="94"/>
      <c r="D4560" s="95"/>
      <c r="E4560" s="95"/>
      <c r="F4560" s="96"/>
      <c r="G4560" s="97"/>
      <c r="H4560" s="114" t="str">
        <f t="shared" si="61"/>
        <v/>
      </c>
      <c r="I4560" s="17"/>
      <c r="J4560" s="17"/>
      <c r="K4560" s="17"/>
    </row>
    <row r="4561" spans="1:11" x14ac:dyDescent="0.2">
      <c r="A4561" s="115"/>
      <c r="B4561" s="93"/>
      <c r="C4561" s="94"/>
      <c r="D4561" s="95"/>
      <c r="E4561" s="95"/>
      <c r="F4561" s="96"/>
      <c r="G4561" s="97"/>
      <c r="H4561" s="114" t="str">
        <f t="shared" si="61"/>
        <v/>
      </c>
      <c r="I4561" s="17"/>
      <c r="J4561" s="17"/>
      <c r="K4561" s="17"/>
    </row>
    <row r="4562" spans="1:11" x14ac:dyDescent="0.2">
      <c r="A4562" s="115"/>
      <c r="B4562" s="93"/>
      <c r="C4562" s="94"/>
      <c r="D4562" s="95"/>
      <c r="E4562" s="95"/>
      <c r="F4562" s="96"/>
      <c r="G4562" s="97"/>
      <c r="H4562" s="114" t="str">
        <f t="shared" si="61"/>
        <v/>
      </c>
      <c r="I4562" s="17"/>
      <c r="J4562" s="17"/>
      <c r="K4562" s="17"/>
    </row>
    <row r="4563" spans="1:11" x14ac:dyDescent="0.2">
      <c r="A4563" s="115"/>
      <c r="B4563" s="93"/>
      <c r="C4563" s="94"/>
      <c r="D4563" s="95"/>
      <c r="E4563" s="95"/>
      <c r="F4563" s="96"/>
      <c r="G4563" s="97"/>
      <c r="H4563" s="114" t="str">
        <f t="shared" si="61"/>
        <v/>
      </c>
      <c r="I4563" s="17"/>
      <c r="J4563" s="17"/>
      <c r="K4563" s="17"/>
    </row>
    <row r="4564" spans="1:11" x14ac:dyDescent="0.2">
      <c r="A4564" s="115"/>
      <c r="B4564" s="93"/>
      <c r="C4564" s="94"/>
      <c r="D4564" s="95"/>
      <c r="E4564" s="95"/>
      <c r="F4564" s="96"/>
      <c r="G4564" s="97"/>
      <c r="H4564" s="114" t="str">
        <f t="shared" si="61"/>
        <v/>
      </c>
      <c r="I4564" s="17"/>
      <c r="J4564" s="17"/>
      <c r="K4564" s="17"/>
    </row>
    <row r="4565" spans="1:11" x14ac:dyDescent="0.2">
      <c r="A4565" s="115"/>
      <c r="B4565" s="93"/>
      <c r="C4565" s="94"/>
      <c r="D4565" s="95"/>
      <c r="E4565" s="95"/>
      <c r="F4565" s="96"/>
      <c r="G4565" s="97"/>
      <c r="H4565" s="114" t="str">
        <f t="shared" si="61"/>
        <v/>
      </c>
      <c r="I4565" s="17"/>
      <c r="J4565" s="17"/>
      <c r="K4565" s="17"/>
    </row>
    <row r="4566" spans="1:11" x14ac:dyDescent="0.2">
      <c r="A4566" s="115"/>
      <c r="B4566" s="93"/>
      <c r="C4566" s="94"/>
      <c r="D4566" s="95"/>
      <c r="E4566" s="95"/>
      <c r="F4566" s="96"/>
      <c r="G4566" s="97"/>
      <c r="H4566" s="114" t="str">
        <f t="shared" si="61"/>
        <v/>
      </c>
      <c r="I4566" s="17"/>
      <c r="J4566" s="17"/>
      <c r="K4566" s="17"/>
    </row>
    <row r="4567" spans="1:11" x14ac:dyDescent="0.2">
      <c r="A4567" s="115"/>
      <c r="B4567" s="93"/>
      <c r="C4567" s="94"/>
      <c r="D4567" s="95"/>
      <c r="E4567" s="95"/>
      <c r="F4567" s="96"/>
      <c r="G4567" s="97"/>
      <c r="H4567" s="114" t="str">
        <f t="shared" si="61"/>
        <v/>
      </c>
      <c r="I4567" s="17"/>
      <c r="J4567" s="17"/>
      <c r="K4567" s="17"/>
    </row>
    <row r="4568" spans="1:11" x14ac:dyDescent="0.2">
      <c r="A4568" s="115"/>
      <c r="B4568" s="93"/>
      <c r="C4568" s="94"/>
      <c r="D4568" s="95"/>
      <c r="E4568" s="95"/>
      <c r="F4568" s="96"/>
      <c r="G4568" s="97"/>
      <c r="H4568" s="114" t="str">
        <f t="shared" si="61"/>
        <v/>
      </c>
      <c r="I4568" s="17"/>
      <c r="J4568" s="17"/>
      <c r="K4568" s="17"/>
    </row>
    <row r="4569" spans="1:11" x14ac:dyDescent="0.2">
      <c r="A4569" s="115"/>
      <c r="B4569" s="93"/>
      <c r="C4569" s="94"/>
      <c r="D4569" s="95"/>
      <c r="E4569" s="95"/>
      <c r="F4569" s="96"/>
      <c r="G4569" s="97"/>
      <c r="H4569" s="114" t="str">
        <f t="shared" si="61"/>
        <v/>
      </c>
      <c r="I4569" s="17"/>
      <c r="J4569" s="17"/>
      <c r="K4569" s="17"/>
    </row>
    <row r="4570" spans="1:11" x14ac:dyDescent="0.2">
      <c r="A4570" s="115"/>
      <c r="B4570" s="93"/>
      <c r="C4570" s="94"/>
      <c r="D4570" s="95"/>
      <c r="E4570" s="95"/>
      <c r="F4570" s="96"/>
      <c r="G4570" s="97"/>
      <c r="H4570" s="114" t="str">
        <f t="shared" si="61"/>
        <v/>
      </c>
      <c r="I4570" s="17"/>
      <c r="J4570" s="17"/>
      <c r="K4570" s="17"/>
    </row>
    <row r="4571" spans="1:11" x14ac:dyDescent="0.2">
      <c r="A4571" s="115"/>
      <c r="B4571" s="93"/>
      <c r="C4571" s="94"/>
      <c r="D4571" s="95"/>
      <c r="E4571" s="95"/>
      <c r="F4571" s="96"/>
      <c r="G4571" s="97"/>
      <c r="H4571" s="114" t="str">
        <f t="shared" si="61"/>
        <v/>
      </c>
      <c r="I4571" s="17"/>
      <c r="J4571" s="17"/>
      <c r="K4571" s="17"/>
    </row>
    <row r="4572" spans="1:11" x14ac:dyDescent="0.2">
      <c r="A4572" s="115"/>
      <c r="B4572" s="93"/>
      <c r="C4572" s="94"/>
      <c r="D4572" s="95"/>
      <c r="E4572" s="95"/>
      <c r="F4572" s="96"/>
      <c r="G4572" s="97"/>
      <c r="H4572" s="114" t="str">
        <f t="shared" si="61"/>
        <v/>
      </c>
      <c r="I4572" s="17"/>
      <c r="J4572" s="17"/>
      <c r="K4572" s="17"/>
    </row>
    <row r="4573" spans="1:11" x14ac:dyDescent="0.2">
      <c r="A4573" s="115"/>
      <c r="B4573" s="93"/>
      <c r="C4573" s="94"/>
      <c r="D4573" s="95"/>
      <c r="E4573" s="95"/>
      <c r="F4573" s="96"/>
      <c r="G4573" s="97"/>
      <c r="H4573" s="114" t="str">
        <f t="shared" si="61"/>
        <v/>
      </c>
      <c r="I4573" s="17"/>
      <c r="J4573" s="17"/>
      <c r="K4573" s="17"/>
    </row>
    <row r="4574" spans="1:11" x14ac:dyDescent="0.2">
      <c r="A4574" s="115"/>
      <c r="B4574" s="93"/>
      <c r="C4574" s="94"/>
      <c r="D4574" s="95"/>
      <c r="E4574" s="95"/>
      <c r="F4574" s="96"/>
      <c r="G4574" s="97"/>
      <c r="H4574" s="114" t="str">
        <f t="shared" si="61"/>
        <v/>
      </c>
      <c r="I4574" s="17"/>
      <c r="J4574" s="17"/>
      <c r="K4574" s="17"/>
    </row>
    <row r="4575" spans="1:11" x14ac:dyDescent="0.2">
      <c r="A4575" s="115"/>
      <c r="B4575" s="93"/>
      <c r="C4575" s="94"/>
      <c r="D4575" s="95"/>
      <c r="E4575" s="95"/>
      <c r="F4575" s="96"/>
      <c r="G4575" s="97"/>
      <c r="H4575" s="114" t="str">
        <f t="shared" si="61"/>
        <v/>
      </c>
      <c r="I4575" s="17"/>
      <c r="J4575" s="17"/>
      <c r="K4575" s="17"/>
    </row>
    <row r="4576" spans="1:11" x14ac:dyDescent="0.2">
      <c r="A4576" s="115"/>
      <c r="B4576" s="93"/>
      <c r="C4576" s="94"/>
      <c r="D4576" s="95"/>
      <c r="E4576" s="95"/>
      <c r="F4576" s="96"/>
      <c r="G4576" s="97"/>
      <c r="H4576" s="114" t="str">
        <f t="shared" si="61"/>
        <v/>
      </c>
      <c r="I4576" s="17"/>
      <c r="J4576" s="17"/>
      <c r="K4576" s="17"/>
    </row>
    <row r="4577" spans="1:11" x14ac:dyDescent="0.2">
      <c r="A4577" s="115"/>
      <c r="B4577" s="93"/>
      <c r="C4577" s="94"/>
      <c r="D4577" s="95"/>
      <c r="E4577" s="95"/>
      <c r="F4577" s="96"/>
      <c r="G4577" s="97"/>
      <c r="H4577" s="114" t="str">
        <f t="shared" si="61"/>
        <v/>
      </c>
      <c r="I4577" s="17"/>
      <c r="J4577" s="17"/>
      <c r="K4577" s="17"/>
    </row>
    <row r="4578" spans="1:11" x14ac:dyDescent="0.2">
      <c r="A4578" s="115"/>
      <c r="B4578" s="93"/>
      <c r="C4578" s="94"/>
      <c r="D4578" s="95"/>
      <c r="E4578" s="95"/>
      <c r="F4578" s="96"/>
      <c r="G4578" s="97"/>
      <c r="H4578" s="114" t="str">
        <f t="shared" si="61"/>
        <v/>
      </c>
      <c r="I4578" s="17"/>
      <c r="J4578" s="17"/>
      <c r="K4578" s="17"/>
    </row>
    <row r="4579" spans="1:11" x14ac:dyDescent="0.2">
      <c r="A4579" s="115"/>
      <c r="B4579" s="93"/>
      <c r="C4579" s="94"/>
      <c r="D4579" s="95"/>
      <c r="E4579" s="95"/>
      <c r="F4579" s="96"/>
      <c r="G4579" s="97"/>
      <c r="H4579" s="114" t="str">
        <f t="shared" si="61"/>
        <v/>
      </c>
      <c r="I4579" s="17"/>
      <c r="J4579" s="17"/>
      <c r="K4579" s="17"/>
    </row>
    <row r="4580" spans="1:11" x14ac:dyDescent="0.2">
      <c r="A4580" s="115"/>
      <c r="B4580" s="93"/>
      <c r="C4580" s="94"/>
      <c r="D4580" s="95"/>
      <c r="E4580" s="95"/>
      <c r="F4580" s="96"/>
      <c r="G4580" s="97"/>
      <c r="H4580" s="114" t="str">
        <f t="shared" si="61"/>
        <v/>
      </c>
      <c r="I4580" s="17"/>
      <c r="J4580" s="17"/>
      <c r="K4580" s="17"/>
    </row>
    <row r="4581" spans="1:11" x14ac:dyDescent="0.2">
      <c r="A4581" s="115"/>
      <c r="B4581" s="93"/>
      <c r="C4581" s="94"/>
      <c r="D4581" s="95"/>
      <c r="E4581" s="95"/>
      <c r="F4581" s="96"/>
      <c r="G4581" s="97"/>
      <c r="H4581" s="114" t="str">
        <f t="shared" si="61"/>
        <v/>
      </c>
      <c r="I4581" s="17"/>
      <c r="J4581" s="17"/>
      <c r="K4581" s="17"/>
    </row>
    <row r="4582" spans="1:11" x14ac:dyDescent="0.2">
      <c r="A4582" s="115"/>
      <c r="B4582" s="93"/>
      <c r="C4582" s="94"/>
      <c r="D4582" s="95"/>
      <c r="E4582" s="95"/>
      <c r="F4582" s="96"/>
      <c r="G4582" s="97"/>
      <c r="H4582" s="114" t="str">
        <f t="shared" si="61"/>
        <v/>
      </c>
      <c r="I4582" s="17"/>
      <c r="J4582" s="17"/>
      <c r="K4582" s="17"/>
    </row>
    <row r="4583" spans="1:11" x14ac:dyDescent="0.2">
      <c r="A4583" s="115"/>
      <c r="B4583" s="93"/>
      <c r="C4583" s="94"/>
      <c r="D4583" s="95"/>
      <c r="E4583" s="95"/>
      <c r="F4583" s="96"/>
      <c r="G4583" s="97"/>
      <c r="H4583" s="114" t="str">
        <f t="shared" si="61"/>
        <v/>
      </c>
      <c r="I4583" s="17"/>
      <c r="J4583" s="17"/>
      <c r="K4583" s="17"/>
    </row>
    <row r="4584" spans="1:11" x14ac:dyDescent="0.2">
      <c r="A4584" s="115"/>
      <c r="B4584" s="93"/>
      <c r="C4584" s="94"/>
      <c r="D4584" s="95"/>
      <c r="E4584" s="95"/>
      <c r="F4584" s="96"/>
      <c r="G4584" s="97"/>
      <c r="H4584" s="114" t="str">
        <f t="shared" si="61"/>
        <v/>
      </c>
      <c r="I4584" s="17"/>
      <c r="J4584" s="17"/>
      <c r="K4584" s="17"/>
    </row>
    <row r="4585" spans="1:11" x14ac:dyDescent="0.2">
      <c r="A4585" s="115"/>
      <c r="B4585" s="93"/>
      <c r="C4585" s="94"/>
      <c r="D4585" s="95"/>
      <c r="E4585" s="95"/>
      <c r="F4585" s="96"/>
      <c r="G4585" s="97"/>
      <c r="H4585" s="114" t="str">
        <f t="shared" si="61"/>
        <v/>
      </c>
      <c r="I4585" s="17"/>
      <c r="J4585" s="17"/>
      <c r="K4585" s="17"/>
    </row>
    <row r="4586" spans="1:11" x14ac:dyDescent="0.2">
      <c r="A4586" s="115"/>
      <c r="B4586" s="93"/>
      <c r="C4586" s="94"/>
      <c r="D4586" s="95"/>
      <c r="E4586" s="95"/>
      <c r="F4586" s="96"/>
      <c r="G4586" s="97"/>
      <c r="H4586" s="114" t="str">
        <f t="shared" si="61"/>
        <v/>
      </c>
      <c r="I4586" s="17"/>
      <c r="J4586" s="17"/>
      <c r="K4586" s="17"/>
    </row>
    <row r="4587" spans="1:11" x14ac:dyDescent="0.2">
      <c r="A4587" s="115"/>
      <c r="B4587" s="93"/>
      <c r="C4587" s="94"/>
      <c r="D4587" s="95"/>
      <c r="E4587" s="95"/>
      <c r="F4587" s="96"/>
      <c r="G4587" s="97"/>
      <c r="H4587" s="114" t="str">
        <f t="shared" si="61"/>
        <v/>
      </c>
      <c r="I4587" s="17"/>
      <c r="J4587" s="17"/>
      <c r="K4587" s="17"/>
    </row>
    <row r="4588" spans="1:11" x14ac:dyDescent="0.2">
      <c r="A4588" s="115"/>
      <c r="B4588" s="93"/>
      <c r="C4588" s="94"/>
      <c r="D4588" s="95"/>
      <c r="E4588" s="95"/>
      <c r="F4588" s="96"/>
      <c r="G4588" s="97"/>
      <c r="H4588" s="114" t="str">
        <f t="shared" si="61"/>
        <v/>
      </c>
      <c r="I4588" s="17"/>
      <c r="J4588" s="17"/>
      <c r="K4588" s="17"/>
    </row>
    <row r="4589" spans="1:11" x14ac:dyDescent="0.2">
      <c r="A4589" s="115"/>
      <c r="B4589" s="93"/>
      <c r="C4589" s="94"/>
      <c r="D4589" s="95"/>
      <c r="E4589" s="95"/>
      <c r="F4589" s="96"/>
      <c r="G4589" s="97"/>
      <c r="H4589" s="114" t="str">
        <f t="shared" si="61"/>
        <v/>
      </c>
      <c r="I4589" s="17"/>
      <c r="J4589" s="17"/>
      <c r="K4589" s="17"/>
    </row>
    <row r="4590" spans="1:11" x14ac:dyDescent="0.2">
      <c r="A4590" s="115"/>
      <c r="B4590" s="93"/>
      <c r="C4590" s="94"/>
      <c r="D4590" s="95"/>
      <c r="E4590" s="95"/>
      <c r="F4590" s="96"/>
      <c r="G4590" s="97"/>
      <c r="H4590" s="114" t="str">
        <f t="shared" si="61"/>
        <v/>
      </c>
      <c r="I4590" s="17"/>
      <c r="J4590" s="17"/>
      <c r="K4590" s="17"/>
    </row>
    <row r="4591" spans="1:11" x14ac:dyDescent="0.2">
      <c r="A4591" s="115"/>
      <c r="B4591" s="93"/>
      <c r="C4591" s="94"/>
      <c r="D4591" s="95"/>
      <c r="E4591" s="95"/>
      <c r="F4591" s="96"/>
      <c r="G4591" s="97"/>
      <c r="H4591" s="114" t="str">
        <f t="shared" si="61"/>
        <v/>
      </c>
      <c r="I4591" s="17"/>
      <c r="J4591" s="17"/>
      <c r="K4591" s="17"/>
    </row>
    <row r="4592" spans="1:11" x14ac:dyDescent="0.2">
      <c r="A4592" s="115"/>
      <c r="B4592" s="93"/>
      <c r="C4592" s="94"/>
      <c r="D4592" s="95"/>
      <c r="E4592" s="95"/>
      <c r="F4592" s="96"/>
      <c r="G4592" s="97"/>
      <c r="H4592" s="114" t="str">
        <f t="shared" si="61"/>
        <v/>
      </c>
      <c r="I4592" s="17"/>
      <c r="J4592" s="17"/>
      <c r="K4592" s="17"/>
    </row>
    <row r="4593" spans="1:11" x14ac:dyDescent="0.2">
      <c r="A4593" s="115"/>
      <c r="B4593" s="93"/>
      <c r="C4593" s="94"/>
      <c r="D4593" s="95"/>
      <c r="E4593" s="95"/>
      <c r="F4593" s="96"/>
      <c r="G4593" s="97"/>
      <c r="H4593" s="114" t="str">
        <f t="shared" si="61"/>
        <v/>
      </c>
      <c r="I4593" s="17"/>
      <c r="J4593" s="17"/>
      <c r="K4593" s="17"/>
    </row>
    <row r="4594" spans="1:11" x14ac:dyDescent="0.2">
      <c r="A4594" s="115"/>
      <c r="B4594" s="93"/>
      <c r="C4594" s="94"/>
      <c r="D4594" s="95"/>
      <c r="E4594" s="95"/>
      <c r="F4594" s="96"/>
      <c r="G4594" s="97"/>
      <c r="H4594" s="114" t="str">
        <f t="shared" si="61"/>
        <v/>
      </c>
      <c r="I4594" s="17"/>
      <c r="J4594" s="17"/>
      <c r="K4594" s="17"/>
    </row>
    <row r="4595" spans="1:11" x14ac:dyDescent="0.2">
      <c r="A4595" s="115"/>
      <c r="B4595" s="93"/>
      <c r="C4595" s="94"/>
      <c r="D4595" s="95"/>
      <c r="E4595" s="95"/>
      <c r="F4595" s="96"/>
      <c r="G4595" s="97"/>
      <c r="H4595" s="114" t="str">
        <f t="shared" si="61"/>
        <v/>
      </c>
      <c r="I4595" s="17"/>
      <c r="J4595" s="17"/>
      <c r="K4595" s="17"/>
    </row>
    <row r="4596" spans="1:11" x14ac:dyDescent="0.2">
      <c r="A4596" s="115"/>
      <c r="B4596" s="93"/>
      <c r="C4596" s="94"/>
      <c r="D4596" s="95"/>
      <c r="E4596" s="95"/>
      <c r="F4596" s="96"/>
      <c r="G4596" s="97"/>
      <c r="H4596" s="114" t="str">
        <f t="shared" si="61"/>
        <v/>
      </c>
      <c r="I4596" s="17"/>
      <c r="J4596" s="17"/>
      <c r="K4596" s="17"/>
    </row>
    <row r="4597" spans="1:11" x14ac:dyDescent="0.2">
      <c r="A4597" s="115"/>
      <c r="B4597" s="93"/>
      <c r="C4597" s="94"/>
      <c r="D4597" s="95"/>
      <c r="E4597" s="95"/>
      <c r="F4597" s="96"/>
      <c r="G4597" s="97"/>
      <c r="H4597" s="114" t="str">
        <f t="shared" si="61"/>
        <v/>
      </c>
      <c r="I4597" s="17"/>
      <c r="J4597" s="17"/>
      <c r="K4597" s="17"/>
    </row>
    <row r="4598" spans="1:11" x14ac:dyDescent="0.2">
      <c r="A4598" s="115"/>
      <c r="B4598" s="93"/>
      <c r="C4598" s="94"/>
      <c r="D4598" s="95"/>
      <c r="E4598" s="95"/>
      <c r="F4598" s="96"/>
      <c r="G4598" s="97"/>
      <c r="H4598" s="114" t="str">
        <f t="shared" si="61"/>
        <v/>
      </c>
      <c r="I4598" s="17"/>
      <c r="J4598" s="17"/>
      <c r="K4598" s="17"/>
    </row>
    <row r="4599" spans="1:11" x14ac:dyDescent="0.2">
      <c r="A4599" s="115"/>
      <c r="B4599" s="93"/>
      <c r="C4599" s="94"/>
      <c r="D4599" s="95"/>
      <c r="E4599" s="95"/>
      <c r="F4599" s="96"/>
      <c r="G4599" s="97"/>
      <c r="H4599" s="114" t="str">
        <f t="shared" si="61"/>
        <v/>
      </c>
      <c r="I4599" s="17"/>
      <c r="J4599" s="17"/>
      <c r="K4599" s="17"/>
    </row>
    <row r="4600" spans="1:11" x14ac:dyDescent="0.2">
      <c r="A4600" s="115"/>
      <c r="B4600" s="93"/>
      <c r="C4600" s="94"/>
      <c r="D4600" s="95"/>
      <c r="E4600" s="95"/>
      <c r="F4600" s="96"/>
      <c r="G4600" s="97"/>
      <c r="H4600" s="114" t="str">
        <f t="shared" si="61"/>
        <v/>
      </c>
      <c r="I4600" s="17"/>
      <c r="J4600" s="17"/>
      <c r="K4600" s="17"/>
    </row>
    <row r="4601" spans="1:11" x14ac:dyDescent="0.2">
      <c r="A4601" s="115"/>
      <c r="B4601" s="93"/>
      <c r="C4601" s="94"/>
      <c r="D4601" s="95"/>
      <c r="E4601" s="95"/>
      <c r="F4601" s="96"/>
      <c r="G4601" s="97"/>
      <c r="H4601" s="114" t="str">
        <f t="shared" si="61"/>
        <v/>
      </c>
      <c r="I4601" s="17"/>
      <c r="J4601" s="17"/>
      <c r="K4601" s="17"/>
    </row>
    <row r="4602" spans="1:11" x14ac:dyDescent="0.2">
      <c r="A4602" s="115"/>
      <c r="B4602" s="93"/>
      <c r="C4602" s="94"/>
      <c r="D4602" s="95"/>
      <c r="E4602" s="95"/>
      <c r="F4602" s="96"/>
      <c r="G4602" s="97"/>
      <c r="H4602" s="114" t="str">
        <f t="shared" si="61"/>
        <v/>
      </c>
      <c r="I4602" s="17"/>
      <c r="J4602" s="17"/>
      <c r="K4602" s="17"/>
    </row>
    <row r="4603" spans="1:11" x14ac:dyDescent="0.2">
      <c r="A4603" s="115"/>
      <c r="B4603" s="93"/>
      <c r="C4603" s="94"/>
      <c r="D4603" s="95"/>
      <c r="E4603" s="95"/>
      <c r="F4603" s="96"/>
      <c r="G4603" s="97"/>
      <c r="H4603" s="114" t="str">
        <f t="shared" si="61"/>
        <v/>
      </c>
      <c r="I4603" s="17"/>
      <c r="J4603" s="17"/>
      <c r="K4603" s="17"/>
    </row>
    <row r="4604" spans="1:11" x14ac:dyDescent="0.2">
      <c r="A4604" s="115"/>
      <c r="B4604" s="93"/>
      <c r="C4604" s="94"/>
      <c r="D4604" s="95"/>
      <c r="E4604" s="95"/>
      <c r="F4604" s="96"/>
      <c r="G4604" s="97"/>
      <c r="H4604" s="114" t="str">
        <f t="shared" si="61"/>
        <v/>
      </c>
      <c r="I4604" s="17"/>
      <c r="J4604" s="17"/>
      <c r="K4604" s="17"/>
    </row>
    <row r="4605" spans="1:11" x14ac:dyDescent="0.2">
      <c r="A4605" s="115"/>
      <c r="B4605" s="93"/>
      <c r="C4605" s="94"/>
      <c r="D4605" s="95"/>
      <c r="E4605" s="95"/>
      <c r="F4605" s="96"/>
      <c r="G4605" s="97"/>
      <c r="H4605" s="114" t="str">
        <f t="shared" si="61"/>
        <v/>
      </c>
      <c r="I4605" s="17"/>
      <c r="J4605" s="17"/>
      <c r="K4605" s="17"/>
    </row>
    <row r="4606" spans="1:11" x14ac:dyDescent="0.2">
      <c r="A4606" s="115"/>
      <c r="B4606" s="93"/>
      <c r="C4606" s="94"/>
      <c r="D4606" s="95"/>
      <c r="E4606" s="95"/>
      <c r="F4606" s="96"/>
      <c r="G4606" s="97"/>
      <c r="H4606" s="114" t="str">
        <f t="shared" si="61"/>
        <v/>
      </c>
      <c r="I4606" s="17"/>
      <c r="J4606" s="17"/>
      <c r="K4606" s="17"/>
    </row>
    <row r="4607" spans="1:11" x14ac:dyDescent="0.2">
      <c r="A4607" s="115"/>
      <c r="B4607" s="93"/>
      <c r="C4607" s="94"/>
      <c r="D4607" s="95"/>
      <c r="E4607" s="95"/>
      <c r="F4607" s="96"/>
      <c r="G4607" s="97"/>
      <c r="H4607" s="114" t="str">
        <f t="shared" si="61"/>
        <v/>
      </c>
      <c r="I4607" s="17"/>
      <c r="J4607" s="17"/>
      <c r="K4607" s="17"/>
    </row>
    <row r="4608" spans="1:11" x14ac:dyDescent="0.2">
      <c r="A4608" s="115"/>
      <c r="B4608" s="93"/>
      <c r="C4608" s="94"/>
      <c r="D4608" s="95"/>
      <c r="E4608" s="95"/>
      <c r="F4608" s="96"/>
      <c r="G4608" s="97"/>
      <c r="H4608" s="114" t="str">
        <f t="shared" si="61"/>
        <v/>
      </c>
      <c r="I4608" s="17"/>
      <c r="J4608" s="17"/>
      <c r="K4608" s="17"/>
    </row>
    <row r="4609" spans="1:11" x14ac:dyDescent="0.2">
      <c r="A4609" s="115"/>
      <c r="B4609" s="93"/>
      <c r="C4609" s="94"/>
      <c r="D4609" s="95"/>
      <c r="E4609" s="95"/>
      <c r="F4609" s="96"/>
      <c r="G4609" s="97"/>
      <c r="H4609" s="114" t="str">
        <f t="shared" si="61"/>
        <v/>
      </c>
      <c r="I4609" s="17"/>
      <c r="J4609" s="17"/>
      <c r="K4609" s="17"/>
    </row>
    <row r="4610" spans="1:11" x14ac:dyDescent="0.2">
      <c r="A4610" s="115"/>
      <c r="B4610" s="93"/>
      <c r="C4610" s="94"/>
      <c r="D4610" s="95"/>
      <c r="E4610" s="95"/>
      <c r="F4610" s="96"/>
      <c r="G4610" s="97"/>
      <c r="H4610" s="114" t="str">
        <f t="shared" si="61"/>
        <v/>
      </c>
      <c r="I4610" s="17"/>
      <c r="J4610" s="17"/>
      <c r="K4610" s="17"/>
    </row>
    <row r="4611" spans="1:11" x14ac:dyDescent="0.2">
      <c r="A4611" s="115"/>
      <c r="B4611" s="93"/>
      <c r="C4611" s="94"/>
      <c r="D4611" s="95"/>
      <c r="E4611" s="95"/>
      <c r="F4611" s="96"/>
      <c r="G4611" s="97"/>
      <c r="H4611" s="114" t="str">
        <f t="shared" si="61"/>
        <v/>
      </c>
      <c r="I4611" s="17"/>
      <c r="J4611" s="17"/>
      <c r="K4611" s="17"/>
    </row>
    <row r="4612" spans="1:11" x14ac:dyDescent="0.2">
      <c r="A4612" s="115"/>
      <c r="B4612" s="93"/>
      <c r="C4612" s="94"/>
      <c r="D4612" s="95"/>
      <c r="E4612" s="95"/>
      <c r="F4612" s="96"/>
      <c r="G4612" s="97"/>
      <c r="H4612" s="114" t="str">
        <f t="shared" ref="H4612:H4675" si="62">IF(A4612&lt;&gt;"", EOMONTH(A4612, -1) + 1, "")</f>
        <v/>
      </c>
      <c r="I4612" s="17"/>
      <c r="J4612" s="17"/>
      <c r="K4612" s="17"/>
    </row>
    <row r="4613" spans="1:11" x14ac:dyDescent="0.2">
      <c r="A4613" s="115"/>
      <c r="B4613" s="93"/>
      <c r="C4613" s="94"/>
      <c r="D4613" s="95"/>
      <c r="E4613" s="95"/>
      <c r="F4613" s="96"/>
      <c r="G4613" s="97"/>
      <c r="H4613" s="114" t="str">
        <f t="shared" si="62"/>
        <v/>
      </c>
      <c r="I4613" s="17"/>
      <c r="J4613" s="17"/>
      <c r="K4613" s="17"/>
    </row>
    <row r="4614" spans="1:11" x14ac:dyDescent="0.2">
      <c r="A4614" s="115"/>
      <c r="B4614" s="93"/>
      <c r="C4614" s="94"/>
      <c r="D4614" s="95"/>
      <c r="E4614" s="95"/>
      <c r="F4614" s="96"/>
      <c r="G4614" s="97"/>
      <c r="H4614" s="114" t="str">
        <f t="shared" si="62"/>
        <v/>
      </c>
      <c r="I4614" s="17"/>
      <c r="J4614" s="17"/>
      <c r="K4614" s="17"/>
    </row>
    <row r="4615" spans="1:11" x14ac:dyDescent="0.2">
      <c r="A4615" s="115"/>
      <c r="B4615" s="93"/>
      <c r="C4615" s="94"/>
      <c r="D4615" s="95"/>
      <c r="E4615" s="95"/>
      <c r="F4615" s="96"/>
      <c r="G4615" s="97"/>
      <c r="H4615" s="114" t="str">
        <f t="shared" si="62"/>
        <v/>
      </c>
      <c r="I4615" s="17"/>
      <c r="J4615" s="17"/>
      <c r="K4615" s="17"/>
    </row>
    <row r="4616" spans="1:11" x14ac:dyDescent="0.2">
      <c r="A4616" s="115"/>
      <c r="B4616" s="93"/>
      <c r="C4616" s="94"/>
      <c r="D4616" s="95"/>
      <c r="E4616" s="95"/>
      <c r="F4616" s="96"/>
      <c r="G4616" s="97"/>
      <c r="H4616" s="114" t="str">
        <f t="shared" si="62"/>
        <v/>
      </c>
      <c r="I4616" s="17"/>
      <c r="J4616" s="17"/>
      <c r="K4616" s="17"/>
    </row>
    <row r="4617" spans="1:11" x14ac:dyDescent="0.2">
      <c r="A4617" s="115"/>
      <c r="B4617" s="93"/>
      <c r="C4617" s="94"/>
      <c r="D4617" s="95"/>
      <c r="E4617" s="95"/>
      <c r="F4617" s="96"/>
      <c r="G4617" s="97"/>
      <c r="H4617" s="114" t="str">
        <f t="shared" si="62"/>
        <v/>
      </c>
      <c r="I4617" s="17"/>
      <c r="J4617" s="17"/>
      <c r="K4617" s="17"/>
    </row>
    <row r="4618" spans="1:11" x14ac:dyDescent="0.2">
      <c r="A4618" s="115"/>
      <c r="B4618" s="93"/>
      <c r="C4618" s="94"/>
      <c r="D4618" s="95"/>
      <c r="E4618" s="95"/>
      <c r="F4618" s="96"/>
      <c r="G4618" s="97"/>
      <c r="H4618" s="114" t="str">
        <f t="shared" si="62"/>
        <v/>
      </c>
      <c r="I4618" s="17"/>
      <c r="J4618" s="17"/>
      <c r="K4618" s="17"/>
    </row>
    <row r="4619" spans="1:11" x14ac:dyDescent="0.2">
      <c r="A4619" s="115"/>
      <c r="B4619" s="93"/>
      <c r="C4619" s="94"/>
      <c r="D4619" s="95"/>
      <c r="E4619" s="95"/>
      <c r="F4619" s="96"/>
      <c r="G4619" s="97"/>
      <c r="H4619" s="114" t="str">
        <f t="shared" si="62"/>
        <v/>
      </c>
      <c r="I4619" s="17"/>
      <c r="J4619" s="17"/>
      <c r="K4619" s="17"/>
    </row>
    <row r="4620" spans="1:11" x14ac:dyDescent="0.2">
      <c r="A4620" s="115"/>
      <c r="B4620" s="93"/>
      <c r="C4620" s="94"/>
      <c r="D4620" s="95"/>
      <c r="E4620" s="95"/>
      <c r="F4620" s="96"/>
      <c r="G4620" s="97"/>
      <c r="H4620" s="114" t="str">
        <f t="shared" si="62"/>
        <v/>
      </c>
      <c r="I4620" s="17"/>
      <c r="J4620" s="17"/>
      <c r="K4620" s="17"/>
    </row>
    <row r="4621" spans="1:11" x14ac:dyDescent="0.2">
      <c r="A4621" s="115"/>
      <c r="B4621" s="93"/>
      <c r="C4621" s="94"/>
      <c r="D4621" s="95"/>
      <c r="E4621" s="95"/>
      <c r="F4621" s="96"/>
      <c r="G4621" s="97"/>
      <c r="H4621" s="114" t="str">
        <f t="shared" si="62"/>
        <v/>
      </c>
      <c r="I4621" s="17"/>
      <c r="J4621" s="17"/>
      <c r="K4621" s="17"/>
    </row>
    <row r="4622" spans="1:11" x14ac:dyDescent="0.2">
      <c r="A4622" s="115"/>
      <c r="B4622" s="93"/>
      <c r="C4622" s="94"/>
      <c r="D4622" s="95"/>
      <c r="E4622" s="95"/>
      <c r="F4622" s="96"/>
      <c r="G4622" s="97"/>
      <c r="H4622" s="114" t="str">
        <f t="shared" si="62"/>
        <v/>
      </c>
      <c r="I4622" s="17"/>
      <c r="J4622" s="17"/>
      <c r="K4622" s="17"/>
    </row>
    <row r="4623" spans="1:11" x14ac:dyDescent="0.2">
      <c r="A4623" s="115"/>
      <c r="B4623" s="93"/>
      <c r="C4623" s="94"/>
      <c r="D4623" s="95"/>
      <c r="E4623" s="95"/>
      <c r="F4623" s="96"/>
      <c r="G4623" s="97"/>
      <c r="H4623" s="114" t="str">
        <f t="shared" si="62"/>
        <v/>
      </c>
      <c r="I4623" s="17"/>
      <c r="J4623" s="17"/>
      <c r="K4623" s="17"/>
    </row>
    <row r="4624" spans="1:11" x14ac:dyDescent="0.2">
      <c r="A4624" s="115"/>
      <c r="B4624" s="93"/>
      <c r="C4624" s="94"/>
      <c r="D4624" s="95"/>
      <c r="E4624" s="95"/>
      <c r="F4624" s="96"/>
      <c r="G4624" s="97"/>
      <c r="H4624" s="114" t="str">
        <f t="shared" si="62"/>
        <v/>
      </c>
      <c r="I4624" s="17"/>
      <c r="J4624" s="17"/>
      <c r="K4624" s="17"/>
    </row>
    <row r="4625" spans="1:11" x14ac:dyDescent="0.2">
      <c r="A4625" s="115"/>
      <c r="B4625" s="93"/>
      <c r="C4625" s="94"/>
      <c r="D4625" s="95"/>
      <c r="E4625" s="95"/>
      <c r="F4625" s="96"/>
      <c r="G4625" s="97"/>
      <c r="H4625" s="114" t="str">
        <f t="shared" si="62"/>
        <v/>
      </c>
      <c r="I4625" s="17"/>
      <c r="J4625" s="17"/>
      <c r="K4625" s="17"/>
    </row>
    <row r="4626" spans="1:11" x14ac:dyDescent="0.2">
      <c r="A4626" s="115"/>
      <c r="B4626" s="93"/>
      <c r="C4626" s="94"/>
      <c r="D4626" s="95"/>
      <c r="E4626" s="95"/>
      <c r="F4626" s="96"/>
      <c r="G4626" s="97"/>
      <c r="H4626" s="114" t="str">
        <f t="shared" si="62"/>
        <v/>
      </c>
      <c r="I4626" s="17"/>
      <c r="J4626" s="17"/>
      <c r="K4626" s="17"/>
    </row>
    <row r="4627" spans="1:11" x14ac:dyDescent="0.2">
      <c r="A4627" s="115"/>
      <c r="B4627" s="93"/>
      <c r="C4627" s="94"/>
      <c r="D4627" s="95"/>
      <c r="E4627" s="95"/>
      <c r="F4627" s="96"/>
      <c r="G4627" s="97"/>
      <c r="H4627" s="114" t="str">
        <f t="shared" si="62"/>
        <v/>
      </c>
      <c r="I4627" s="17"/>
      <c r="J4627" s="17"/>
      <c r="K4627" s="17"/>
    </row>
    <row r="4628" spans="1:11" x14ac:dyDescent="0.2">
      <c r="A4628" s="115"/>
      <c r="B4628" s="93"/>
      <c r="C4628" s="94"/>
      <c r="D4628" s="95"/>
      <c r="E4628" s="95"/>
      <c r="F4628" s="96"/>
      <c r="G4628" s="97"/>
      <c r="H4628" s="114" t="str">
        <f t="shared" si="62"/>
        <v/>
      </c>
      <c r="I4628" s="17"/>
      <c r="J4628" s="17"/>
      <c r="K4628" s="17"/>
    </row>
    <row r="4629" spans="1:11" x14ac:dyDescent="0.2">
      <c r="A4629" s="115"/>
      <c r="B4629" s="93"/>
      <c r="C4629" s="94"/>
      <c r="D4629" s="95"/>
      <c r="E4629" s="95"/>
      <c r="F4629" s="96"/>
      <c r="G4629" s="97"/>
      <c r="H4629" s="114" t="str">
        <f t="shared" si="62"/>
        <v/>
      </c>
      <c r="I4629" s="17"/>
      <c r="J4629" s="17"/>
      <c r="K4629" s="17"/>
    </row>
    <row r="4630" spans="1:11" x14ac:dyDescent="0.2">
      <c r="A4630" s="115"/>
      <c r="B4630" s="93"/>
      <c r="C4630" s="94"/>
      <c r="D4630" s="95"/>
      <c r="E4630" s="95"/>
      <c r="F4630" s="96"/>
      <c r="G4630" s="97"/>
      <c r="H4630" s="114" t="str">
        <f t="shared" si="62"/>
        <v/>
      </c>
      <c r="I4630" s="17"/>
      <c r="J4630" s="17"/>
      <c r="K4630" s="17"/>
    </row>
    <row r="4631" spans="1:11" x14ac:dyDescent="0.2">
      <c r="A4631" s="115"/>
      <c r="B4631" s="93"/>
      <c r="C4631" s="94"/>
      <c r="D4631" s="95"/>
      <c r="E4631" s="95"/>
      <c r="F4631" s="96"/>
      <c r="G4631" s="97"/>
      <c r="H4631" s="114" t="str">
        <f t="shared" si="62"/>
        <v/>
      </c>
      <c r="I4631" s="17"/>
      <c r="J4631" s="17"/>
      <c r="K4631" s="17"/>
    </row>
    <row r="4632" spans="1:11" x14ac:dyDescent="0.2">
      <c r="A4632" s="115"/>
      <c r="B4632" s="93"/>
      <c r="C4632" s="94"/>
      <c r="D4632" s="95"/>
      <c r="E4632" s="95"/>
      <c r="F4632" s="96"/>
      <c r="G4632" s="97"/>
      <c r="H4632" s="114" t="str">
        <f t="shared" si="62"/>
        <v/>
      </c>
      <c r="I4632" s="17"/>
      <c r="J4632" s="17"/>
      <c r="K4632" s="17"/>
    </row>
    <row r="4633" spans="1:11" x14ac:dyDescent="0.2">
      <c r="A4633" s="115"/>
      <c r="B4633" s="93"/>
      <c r="C4633" s="94"/>
      <c r="D4633" s="95"/>
      <c r="E4633" s="95"/>
      <c r="F4633" s="96"/>
      <c r="G4633" s="97"/>
      <c r="H4633" s="114" t="str">
        <f t="shared" si="62"/>
        <v/>
      </c>
      <c r="I4633" s="17"/>
      <c r="J4633" s="17"/>
      <c r="K4633" s="17"/>
    </row>
    <row r="4634" spans="1:11" x14ac:dyDescent="0.2">
      <c r="A4634" s="115"/>
      <c r="B4634" s="93"/>
      <c r="C4634" s="94"/>
      <c r="D4634" s="95"/>
      <c r="E4634" s="95"/>
      <c r="F4634" s="96"/>
      <c r="G4634" s="97"/>
      <c r="H4634" s="114" t="str">
        <f t="shared" si="62"/>
        <v/>
      </c>
      <c r="I4634" s="17"/>
      <c r="J4634" s="17"/>
      <c r="K4634" s="17"/>
    </row>
    <row r="4635" spans="1:11" x14ac:dyDescent="0.2">
      <c r="A4635" s="115"/>
      <c r="B4635" s="93"/>
      <c r="C4635" s="94"/>
      <c r="D4635" s="95"/>
      <c r="E4635" s="95"/>
      <c r="F4635" s="96"/>
      <c r="G4635" s="97"/>
      <c r="H4635" s="114" t="str">
        <f t="shared" si="62"/>
        <v/>
      </c>
      <c r="I4635" s="17"/>
      <c r="J4635" s="17"/>
      <c r="K4635" s="17"/>
    </row>
    <row r="4636" spans="1:11" x14ac:dyDescent="0.2">
      <c r="A4636" s="115"/>
      <c r="B4636" s="93"/>
      <c r="C4636" s="94"/>
      <c r="D4636" s="95"/>
      <c r="E4636" s="95"/>
      <c r="F4636" s="96"/>
      <c r="G4636" s="97"/>
      <c r="H4636" s="114" t="str">
        <f t="shared" si="62"/>
        <v/>
      </c>
      <c r="I4636" s="17"/>
      <c r="J4636" s="17"/>
      <c r="K4636" s="17"/>
    </row>
    <row r="4637" spans="1:11" x14ac:dyDescent="0.2">
      <c r="A4637" s="115"/>
      <c r="B4637" s="93"/>
      <c r="C4637" s="94"/>
      <c r="D4637" s="95"/>
      <c r="E4637" s="95"/>
      <c r="F4637" s="96"/>
      <c r="G4637" s="97"/>
      <c r="H4637" s="114" t="str">
        <f t="shared" si="62"/>
        <v/>
      </c>
      <c r="I4637" s="17"/>
      <c r="J4637" s="17"/>
      <c r="K4637" s="17"/>
    </row>
    <row r="4638" spans="1:11" x14ac:dyDescent="0.2">
      <c r="A4638" s="115"/>
      <c r="B4638" s="93"/>
      <c r="C4638" s="94"/>
      <c r="D4638" s="95"/>
      <c r="E4638" s="95"/>
      <c r="F4638" s="96"/>
      <c r="G4638" s="97"/>
      <c r="H4638" s="114" t="str">
        <f t="shared" si="62"/>
        <v/>
      </c>
      <c r="I4638" s="17"/>
      <c r="J4638" s="17"/>
      <c r="K4638" s="17"/>
    </row>
    <row r="4639" spans="1:11" x14ac:dyDescent="0.2">
      <c r="A4639" s="115"/>
      <c r="B4639" s="93"/>
      <c r="C4639" s="94"/>
      <c r="D4639" s="95"/>
      <c r="E4639" s="95"/>
      <c r="F4639" s="96"/>
      <c r="G4639" s="97"/>
      <c r="H4639" s="114" t="str">
        <f t="shared" si="62"/>
        <v/>
      </c>
      <c r="I4639" s="17"/>
      <c r="J4639" s="17"/>
      <c r="K4639" s="17"/>
    </row>
    <row r="4640" spans="1:11" x14ac:dyDescent="0.2">
      <c r="A4640" s="115"/>
      <c r="B4640" s="93"/>
      <c r="C4640" s="94"/>
      <c r="D4640" s="95"/>
      <c r="E4640" s="95"/>
      <c r="F4640" s="96"/>
      <c r="G4640" s="97"/>
      <c r="H4640" s="114" t="str">
        <f t="shared" si="62"/>
        <v/>
      </c>
      <c r="I4640" s="17"/>
      <c r="J4640" s="17"/>
      <c r="K4640" s="17"/>
    </row>
    <row r="4641" spans="1:11" x14ac:dyDescent="0.2">
      <c r="A4641" s="115"/>
      <c r="B4641" s="93"/>
      <c r="C4641" s="94"/>
      <c r="D4641" s="95"/>
      <c r="E4641" s="95"/>
      <c r="F4641" s="96"/>
      <c r="G4641" s="97"/>
      <c r="H4641" s="114" t="str">
        <f t="shared" si="62"/>
        <v/>
      </c>
      <c r="I4641" s="17"/>
      <c r="J4641" s="17"/>
      <c r="K4641" s="17"/>
    </row>
    <row r="4642" spans="1:11" x14ac:dyDescent="0.2">
      <c r="A4642" s="115"/>
      <c r="B4642" s="93"/>
      <c r="C4642" s="94"/>
      <c r="D4642" s="95"/>
      <c r="E4642" s="95"/>
      <c r="F4642" s="96"/>
      <c r="G4642" s="97"/>
      <c r="H4642" s="114" t="str">
        <f t="shared" si="62"/>
        <v/>
      </c>
      <c r="I4642" s="17"/>
      <c r="J4642" s="17"/>
      <c r="K4642" s="17"/>
    </row>
    <row r="4643" spans="1:11" x14ac:dyDescent="0.2">
      <c r="A4643" s="115"/>
      <c r="B4643" s="93"/>
      <c r="C4643" s="94"/>
      <c r="D4643" s="95"/>
      <c r="E4643" s="95"/>
      <c r="F4643" s="96"/>
      <c r="G4643" s="97"/>
      <c r="H4643" s="114" t="str">
        <f t="shared" si="62"/>
        <v/>
      </c>
      <c r="I4643" s="17"/>
      <c r="J4643" s="17"/>
      <c r="K4643" s="17"/>
    </row>
    <row r="4644" spans="1:11" x14ac:dyDescent="0.2">
      <c r="A4644" s="115"/>
      <c r="B4644" s="93"/>
      <c r="C4644" s="94"/>
      <c r="D4644" s="95"/>
      <c r="E4644" s="95"/>
      <c r="F4644" s="96"/>
      <c r="G4644" s="97"/>
      <c r="H4644" s="114" t="str">
        <f t="shared" si="62"/>
        <v/>
      </c>
      <c r="I4644" s="17"/>
      <c r="J4644" s="17"/>
      <c r="K4644" s="17"/>
    </row>
    <row r="4645" spans="1:11" x14ac:dyDescent="0.2">
      <c r="A4645" s="115"/>
      <c r="B4645" s="93"/>
      <c r="C4645" s="94"/>
      <c r="D4645" s="95"/>
      <c r="E4645" s="95"/>
      <c r="F4645" s="96"/>
      <c r="G4645" s="97"/>
      <c r="H4645" s="114" t="str">
        <f t="shared" si="62"/>
        <v/>
      </c>
      <c r="I4645" s="17"/>
      <c r="J4645" s="17"/>
      <c r="K4645" s="17"/>
    </row>
    <row r="4646" spans="1:11" x14ac:dyDescent="0.2">
      <c r="A4646" s="115"/>
      <c r="B4646" s="93"/>
      <c r="C4646" s="94"/>
      <c r="D4646" s="95"/>
      <c r="E4646" s="95"/>
      <c r="F4646" s="96"/>
      <c r="G4646" s="97"/>
      <c r="H4646" s="114" t="str">
        <f t="shared" si="62"/>
        <v/>
      </c>
      <c r="I4646" s="17"/>
      <c r="J4646" s="17"/>
      <c r="K4646" s="17"/>
    </row>
    <row r="4647" spans="1:11" x14ac:dyDescent="0.2">
      <c r="A4647" s="115"/>
      <c r="B4647" s="93"/>
      <c r="C4647" s="94"/>
      <c r="D4647" s="95"/>
      <c r="E4647" s="95"/>
      <c r="F4647" s="96"/>
      <c r="G4647" s="97"/>
      <c r="H4647" s="114" t="str">
        <f t="shared" si="62"/>
        <v/>
      </c>
      <c r="I4647" s="17"/>
      <c r="J4647" s="17"/>
      <c r="K4647" s="17"/>
    </row>
    <row r="4648" spans="1:11" x14ac:dyDescent="0.2">
      <c r="A4648" s="115"/>
      <c r="B4648" s="93"/>
      <c r="C4648" s="94"/>
      <c r="D4648" s="95"/>
      <c r="E4648" s="95"/>
      <c r="F4648" s="96"/>
      <c r="G4648" s="97"/>
      <c r="H4648" s="114" t="str">
        <f t="shared" si="62"/>
        <v/>
      </c>
      <c r="I4648" s="17"/>
      <c r="J4648" s="17"/>
      <c r="K4648" s="17"/>
    </row>
    <row r="4649" spans="1:11" x14ac:dyDescent="0.2">
      <c r="A4649" s="115"/>
      <c r="B4649" s="93"/>
      <c r="C4649" s="94"/>
      <c r="D4649" s="95"/>
      <c r="E4649" s="95"/>
      <c r="F4649" s="96"/>
      <c r="G4649" s="97"/>
      <c r="H4649" s="114" t="str">
        <f t="shared" si="62"/>
        <v/>
      </c>
      <c r="I4649" s="17"/>
      <c r="J4649" s="17"/>
      <c r="K4649" s="17"/>
    </row>
    <row r="4650" spans="1:11" x14ac:dyDescent="0.2">
      <c r="A4650" s="115"/>
      <c r="B4650" s="93"/>
      <c r="C4650" s="94"/>
      <c r="D4650" s="95"/>
      <c r="E4650" s="95"/>
      <c r="F4650" s="96"/>
      <c r="G4650" s="97"/>
      <c r="H4650" s="114" t="str">
        <f t="shared" si="62"/>
        <v/>
      </c>
      <c r="I4650" s="17"/>
      <c r="J4650" s="17"/>
      <c r="K4650" s="17"/>
    </row>
    <row r="4651" spans="1:11" x14ac:dyDescent="0.2">
      <c r="A4651" s="115"/>
      <c r="B4651" s="93"/>
      <c r="C4651" s="94"/>
      <c r="D4651" s="95"/>
      <c r="E4651" s="95"/>
      <c r="F4651" s="96"/>
      <c r="G4651" s="97"/>
      <c r="H4651" s="114" t="str">
        <f t="shared" si="62"/>
        <v/>
      </c>
      <c r="I4651" s="17"/>
      <c r="J4651" s="17"/>
      <c r="K4651" s="17"/>
    </row>
    <row r="4652" spans="1:11" x14ac:dyDescent="0.2">
      <c r="A4652" s="115"/>
      <c r="B4652" s="93"/>
      <c r="C4652" s="94"/>
      <c r="D4652" s="95"/>
      <c r="E4652" s="95"/>
      <c r="F4652" s="96"/>
      <c r="G4652" s="97"/>
      <c r="H4652" s="114" t="str">
        <f t="shared" si="62"/>
        <v/>
      </c>
      <c r="I4652" s="17"/>
      <c r="J4652" s="17"/>
      <c r="K4652" s="17"/>
    </row>
    <row r="4653" spans="1:11" x14ac:dyDescent="0.2">
      <c r="A4653" s="115"/>
      <c r="B4653" s="93"/>
      <c r="C4653" s="94"/>
      <c r="D4653" s="95"/>
      <c r="E4653" s="95"/>
      <c r="F4653" s="96"/>
      <c r="G4653" s="97"/>
      <c r="H4653" s="114" t="str">
        <f t="shared" si="62"/>
        <v/>
      </c>
      <c r="I4653" s="17"/>
      <c r="J4653" s="17"/>
      <c r="K4653" s="17"/>
    </row>
    <row r="4654" spans="1:11" x14ac:dyDescent="0.2">
      <c r="A4654" s="115"/>
      <c r="B4654" s="93"/>
      <c r="C4654" s="94"/>
      <c r="D4654" s="95"/>
      <c r="E4654" s="95"/>
      <c r="F4654" s="96"/>
      <c r="G4654" s="97"/>
      <c r="H4654" s="114" t="str">
        <f t="shared" si="62"/>
        <v/>
      </c>
      <c r="I4654" s="17"/>
      <c r="J4654" s="17"/>
      <c r="K4654" s="17"/>
    </row>
    <row r="4655" spans="1:11" x14ac:dyDescent="0.2">
      <c r="A4655" s="115"/>
      <c r="B4655" s="93"/>
      <c r="C4655" s="94"/>
      <c r="D4655" s="95"/>
      <c r="E4655" s="95"/>
      <c r="F4655" s="96"/>
      <c r="G4655" s="97"/>
      <c r="H4655" s="114" t="str">
        <f t="shared" si="62"/>
        <v/>
      </c>
      <c r="I4655" s="17"/>
      <c r="J4655" s="17"/>
      <c r="K4655" s="17"/>
    </row>
    <row r="4656" spans="1:11" x14ac:dyDescent="0.2">
      <c r="A4656" s="115"/>
      <c r="B4656" s="93"/>
      <c r="C4656" s="94"/>
      <c r="D4656" s="95"/>
      <c r="E4656" s="95"/>
      <c r="F4656" s="96"/>
      <c r="G4656" s="97"/>
      <c r="H4656" s="114" t="str">
        <f t="shared" si="62"/>
        <v/>
      </c>
      <c r="I4656" s="17"/>
      <c r="J4656" s="17"/>
      <c r="K4656" s="17"/>
    </row>
    <row r="4657" spans="1:11" x14ac:dyDescent="0.2">
      <c r="A4657" s="115"/>
      <c r="B4657" s="93"/>
      <c r="C4657" s="94"/>
      <c r="D4657" s="95"/>
      <c r="E4657" s="95"/>
      <c r="F4657" s="96"/>
      <c r="G4657" s="97"/>
      <c r="H4657" s="114" t="str">
        <f t="shared" si="62"/>
        <v/>
      </c>
      <c r="I4657" s="17"/>
      <c r="J4657" s="17"/>
      <c r="K4657" s="17"/>
    </row>
    <row r="4658" spans="1:11" x14ac:dyDescent="0.2">
      <c r="A4658" s="115"/>
      <c r="B4658" s="93"/>
      <c r="C4658" s="94"/>
      <c r="D4658" s="95"/>
      <c r="E4658" s="95"/>
      <c r="F4658" s="96"/>
      <c r="G4658" s="97"/>
      <c r="H4658" s="114" t="str">
        <f t="shared" si="62"/>
        <v/>
      </c>
      <c r="I4658" s="17"/>
      <c r="J4658" s="17"/>
      <c r="K4658" s="17"/>
    </row>
    <row r="4659" spans="1:11" x14ac:dyDescent="0.2">
      <c r="A4659" s="115"/>
      <c r="B4659" s="93"/>
      <c r="C4659" s="94"/>
      <c r="D4659" s="95"/>
      <c r="E4659" s="95"/>
      <c r="F4659" s="96"/>
      <c r="G4659" s="97"/>
      <c r="H4659" s="114" t="str">
        <f t="shared" si="62"/>
        <v/>
      </c>
      <c r="I4659" s="17"/>
      <c r="J4659" s="17"/>
      <c r="K4659" s="17"/>
    </row>
    <row r="4660" spans="1:11" x14ac:dyDescent="0.2">
      <c r="A4660" s="115"/>
      <c r="B4660" s="93"/>
      <c r="C4660" s="94"/>
      <c r="D4660" s="95"/>
      <c r="E4660" s="95"/>
      <c r="F4660" s="96"/>
      <c r="G4660" s="97"/>
      <c r="H4660" s="114" t="str">
        <f t="shared" si="62"/>
        <v/>
      </c>
      <c r="I4660" s="17"/>
      <c r="J4660" s="17"/>
      <c r="K4660" s="17"/>
    </row>
    <row r="4661" spans="1:11" x14ac:dyDescent="0.2">
      <c r="A4661" s="115"/>
      <c r="B4661" s="93"/>
      <c r="C4661" s="94"/>
      <c r="D4661" s="95"/>
      <c r="E4661" s="95"/>
      <c r="F4661" s="96"/>
      <c r="G4661" s="97"/>
      <c r="H4661" s="114" t="str">
        <f t="shared" si="62"/>
        <v/>
      </c>
      <c r="I4661" s="17"/>
      <c r="J4661" s="17"/>
      <c r="K4661" s="17"/>
    </row>
    <row r="4662" spans="1:11" x14ac:dyDescent="0.2">
      <c r="A4662" s="115"/>
      <c r="B4662" s="93"/>
      <c r="C4662" s="94"/>
      <c r="D4662" s="95"/>
      <c r="E4662" s="95"/>
      <c r="F4662" s="96"/>
      <c r="G4662" s="97"/>
      <c r="H4662" s="114" t="str">
        <f t="shared" si="62"/>
        <v/>
      </c>
      <c r="I4662" s="17"/>
      <c r="J4662" s="17"/>
      <c r="K4662" s="17"/>
    </row>
    <row r="4663" spans="1:11" x14ac:dyDescent="0.2">
      <c r="A4663" s="115"/>
      <c r="B4663" s="93"/>
      <c r="C4663" s="94"/>
      <c r="D4663" s="95"/>
      <c r="E4663" s="95"/>
      <c r="F4663" s="96"/>
      <c r="G4663" s="97"/>
      <c r="H4663" s="114" t="str">
        <f t="shared" si="62"/>
        <v/>
      </c>
      <c r="I4663" s="17"/>
      <c r="J4663" s="17"/>
      <c r="K4663" s="17"/>
    </row>
    <row r="4664" spans="1:11" x14ac:dyDescent="0.2">
      <c r="A4664" s="115"/>
      <c r="B4664" s="93"/>
      <c r="C4664" s="94"/>
      <c r="D4664" s="95"/>
      <c r="E4664" s="95"/>
      <c r="F4664" s="96"/>
      <c r="G4664" s="97"/>
      <c r="H4664" s="114" t="str">
        <f t="shared" si="62"/>
        <v/>
      </c>
      <c r="I4664" s="17"/>
      <c r="J4664" s="17"/>
      <c r="K4664" s="17"/>
    </row>
    <row r="4665" spans="1:11" x14ac:dyDescent="0.2">
      <c r="A4665" s="115"/>
      <c r="B4665" s="93"/>
      <c r="C4665" s="94"/>
      <c r="D4665" s="95"/>
      <c r="E4665" s="95"/>
      <c r="F4665" s="96"/>
      <c r="G4665" s="97"/>
      <c r="H4665" s="114" t="str">
        <f t="shared" si="62"/>
        <v/>
      </c>
      <c r="I4665" s="17"/>
      <c r="J4665" s="17"/>
      <c r="K4665" s="17"/>
    </row>
    <row r="4666" spans="1:11" x14ac:dyDescent="0.2">
      <c r="A4666" s="115"/>
      <c r="B4666" s="93"/>
      <c r="C4666" s="94"/>
      <c r="D4666" s="95"/>
      <c r="E4666" s="95"/>
      <c r="F4666" s="96"/>
      <c r="G4666" s="97"/>
      <c r="H4666" s="114" t="str">
        <f t="shared" si="62"/>
        <v/>
      </c>
      <c r="I4666" s="17"/>
      <c r="J4666" s="17"/>
      <c r="K4666" s="17"/>
    </row>
    <row r="4667" spans="1:11" x14ac:dyDescent="0.2">
      <c r="A4667" s="115"/>
      <c r="B4667" s="93"/>
      <c r="C4667" s="94"/>
      <c r="D4667" s="95"/>
      <c r="E4667" s="95"/>
      <c r="F4667" s="96"/>
      <c r="G4667" s="97"/>
      <c r="H4667" s="114" t="str">
        <f t="shared" si="62"/>
        <v/>
      </c>
      <c r="I4667" s="17"/>
      <c r="J4667" s="17"/>
      <c r="K4667" s="17"/>
    </row>
    <row r="4668" spans="1:11" x14ac:dyDescent="0.2">
      <c r="A4668" s="115"/>
      <c r="B4668" s="93"/>
      <c r="C4668" s="94"/>
      <c r="D4668" s="95"/>
      <c r="E4668" s="95"/>
      <c r="F4668" s="96"/>
      <c r="G4668" s="97"/>
      <c r="H4668" s="114" t="str">
        <f t="shared" si="62"/>
        <v/>
      </c>
      <c r="I4668" s="17"/>
      <c r="J4668" s="17"/>
      <c r="K4668" s="17"/>
    </row>
    <row r="4669" spans="1:11" x14ac:dyDescent="0.2">
      <c r="A4669" s="115"/>
      <c r="B4669" s="93"/>
      <c r="C4669" s="94"/>
      <c r="D4669" s="95"/>
      <c r="E4669" s="95"/>
      <c r="F4669" s="96"/>
      <c r="G4669" s="97"/>
      <c r="H4669" s="114" t="str">
        <f t="shared" si="62"/>
        <v/>
      </c>
      <c r="I4669" s="17"/>
      <c r="J4669" s="17"/>
      <c r="K4669" s="17"/>
    </row>
    <row r="4670" spans="1:11" x14ac:dyDescent="0.2">
      <c r="A4670" s="115"/>
      <c r="B4670" s="93"/>
      <c r="C4670" s="94"/>
      <c r="D4670" s="95"/>
      <c r="E4670" s="95"/>
      <c r="F4670" s="96"/>
      <c r="G4670" s="97"/>
      <c r="H4670" s="114" t="str">
        <f t="shared" si="62"/>
        <v/>
      </c>
      <c r="I4670" s="17"/>
      <c r="J4670" s="17"/>
      <c r="K4670" s="17"/>
    </row>
    <row r="4671" spans="1:11" x14ac:dyDescent="0.2">
      <c r="A4671" s="115"/>
      <c r="B4671" s="93"/>
      <c r="C4671" s="94"/>
      <c r="D4671" s="95"/>
      <c r="E4671" s="95"/>
      <c r="F4671" s="96"/>
      <c r="G4671" s="97"/>
      <c r="H4671" s="114" t="str">
        <f t="shared" si="62"/>
        <v/>
      </c>
      <c r="I4671" s="17"/>
      <c r="J4671" s="17"/>
      <c r="K4671" s="17"/>
    </row>
    <row r="4672" spans="1:11" x14ac:dyDescent="0.2">
      <c r="A4672" s="115"/>
      <c r="B4672" s="93"/>
      <c r="C4672" s="94"/>
      <c r="D4672" s="95"/>
      <c r="E4672" s="95"/>
      <c r="F4672" s="96"/>
      <c r="G4672" s="97"/>
      <c r="H4672" s="114" t="str">
        <f t="shared" si="62"/>
        <v/>
      </c>
      <c r="I4672" s="17"/>
      <c r="J4672" s="17"/>
      <c r="K4672" s="17"/>
    </row>
    <row r="4673" spans="1:11" x14ac:dyDescent="0.2">
      <c r="A4673" s="115"/>
      <c r="B4673" s="93"/>
      <c r="C4673" s="94"/>
      <c r="D4673" s="95"/>
      <c r="E4673" s="95"/>
      <c r="F4673" s="96"/>
      <c r="G4673" s="97"/>
      <c r="H4673" s="114" t="str">
        <f t="shared" si="62"/>
        <v/>
      </c>
      <c r="I4673" s="17"/>
      <c r="J4673" s="17"/>
      <c r="K4673" s="17"/>
    </row>
    <row r="4674" spans="1:11" x14ac:dyDescent="0.2">
      <c r="A4674" s="115"/>
      <c r="B4674" s="93"/>
      <c r="C4674" s="94"/>
      <c r="D4674" s="95"/>
      <c r="E4674" s="95"/>
      <c r="F4674" s="96"/>
      <c r="G4674" s="97"/>
      <c r="H4674" s="114" t="str">
        <f t="shared" si="62"/>
        <v/>
      </c>
      <c r="I4674" s="17"/>
      <c r="J4674" s="17"/>
      <c r="K4674" s="17"/>
    </row>
    <row r="4675" spans="1:11" x14ac:dyDescent="0.2">
      <c r="A4675" s="115"/>
      <c r="B4675" s="93"/>
      <c r="C4675" s="94"/>
      <c r="D4675" s="95"/>
      <c r="E4675" s="95"/>
      <c r="F4675" s="96"/>
      <c r="G4675" s="97"/>
      <c r="H4675" s="114" t="str">
        <f t="shared" si="62"/>
        <v/>
      </c>
      <c r="I4675" s="17"/>
      <c r="J4675" s="17"/>
      <c r="K4675" s="17"/>
    </row>
    <row r="4676" spans="1:11" x14ac:dyDescent="0.2">
      <c r="A4676" s="115"/>
      <c r="B4676" s="93"/>
      <c r="C4676" s="94"/>
      <c r="D4676" s="95"/>
      <c r="E4676" s="95"/>
      <c r="F4676" s="96"/>
      <c r="G4676" s="97"/>
      <c r="H4676" s="114" t="str">
        <f t="shared" ref="H4676:H4739" si="63">IF(A4676&lt;&gt;"", EOMONTH(A4676, -1) + 1, "")</f>
        <v/>
      </c>
      <c r="I4676" s="17"/>
      <c r="J4676" s="17"/>
      <c r="K4676" s="17"/>
    </row>
    <row r="4677" spans="1:11" x14ac:dyDescent="0.2">
      <c r="A4677" s="115"/>
      <c r="B4677" s="93"/>
      <c r="C4677" s="94"/>
      <c r="D4677" s="95"/>
      <c r="E4677" s="95"/>
      <c r="F4677" s="96"/>
      <c r="G4677" s="97"/>
      <c r="H4677" s="114" t="str">
        <f t="shared" si="63"/>
        <v/>
      </c>
      <c r="I4677" s="17"/>
      <c r="J4677" s="17"/>
      <c r="K4677" s="17"/>
    </row>
    <row r="4678" spans="1:11" x14ac:dyDescent="0.2">
      <c r="A4678" s="115"/>
      <c r="B4678" s="93"/>
      <c r="C4678" s="94"/>
      <c r="D4678" s="95"/>
      <c r="E4678" s="95"/>
      <c r="F4678" s="96"/>
      <c r="G4678" s="97"/>
      <c r="H4678" s="114" t="str">
        <f t="shared" si="63"/>
        <v/>
      </c>
      <c r="I4678" s="17"/>
      <c r="J4678" s="17"/>
      <c r="K4678" s="17"/>
    </row>
    <row r="4679" spans="1:11" x14ac:dyDescent="0.2">
      <c r="A4679" s="115"/>
      <c r="B4679" s="93"/>
      <c r="C4679" s="94"/>
      <c r="D4679" s="95"/>
      <c r="E4679" s="95"/>
      <c r="F4679" s="96"/>
      <c r="G4679" s="97"/>
      <c r="H4679" s="114" t="str">
        <f t="shared" si="63"/>
        <v/>
      </c>
      <c r="I4679" s="17"/>
      <c r="J4679" s="17"/>
      <c r="K4679" s="17"/>
    </row>
    <row r="4680" spans="1:11" x14ac:dyDescent="0.2">
      <c r="A4680" s="115"/>
      <c r="B4680" s="93"/>
      <c r="C4680" s="94"/>
      <c r="D4680" s="95"/>
      <c r="E4680" s="95"/>
      <c r="F4680" s="96"/>
      <c r="G4680" s="97"/>
      <c r="H4680" s="114" t="str">
        <f t="shared" si="63"/>
        <v/>
      </c>
      <c r="I4680" s="17"/>
      <c r="J4680" s="17"/>
      <c r="K4680" s="17"/>
    </row>
    <row r="4681" spans="1:11" x14ac:dyDescent="0.2">
      <c r="A4681" s="115"/>
      <c r="B4681" s="93"/>
      <c r="C4681" s="94"/>
      <c r="D4681" s="95"/>
      <c r="E4681" s="95"/>
      <c r="F4681" s="96"/>
      <c r="G4681" s="97"/>
      <c r="H4681" s="114" t="str">
        <f t="shared" si="63"/>
        <v/>
      </c>
      <c r="I4681" s="17"/>
      <c r="J4681" s="17"/>
      <c r="K4681" s="17"/>
    </row>
    <row r="4682" spans="1:11" x14ac:dyDescent="0.2">
      <c r="A4682" s="115"/>
      <c r="B4682" s="93"/>
      <c r="C4682" s="94"/>
      <c r="D4682" s="95"/>
      <c r="E4682" s="95"/>
      <c r="F4682" s="96"/>
      <c r="G4682" s="97"/>
      <c r="H4682" s="114" t="str">
        <f t="shared" si="63"/>
        <v/>
      </c>
      <c r="I4682" s="17"/>
      <c r="J4682" s="17"/>
      <c r="K4682" s="17"/>
    </row>
    <row r="4683" spans="1:11" x14ac:dyDescent="0.2">
      <c r="A4683" s="115"/>
      <c r="B4683" s="93"/>
      <c r="C4683" s="94"/>
      <c r="D4683" s="95"/>
      <c r="E4683" s="95"/>
      <c r="F4683" s="96"/>
      <c r="G4683" s="97"/>
      <c r="H4683" s="114" t="str">
        <f t="shared" si="63"/>
        <v/>
      </c>
      <c r="I4683" s="17"/>
      <c r="J4683" s="17"/>
      <c r="K4683" s="17"/>
    </row>
    <row r="4684" spans="1:11" x14ac:dyDescent="0.2">
      <c r="A4684" s="115"/>
      <c r="B4684" s="93"/>
      <c r="C4684" s="94"/>
      <c r="D4684" s="95"/>
      <c r="E4684" s="95"/>
      <c r="F4684" s="96"/>
      <c r="G4684" s="97"/>
      <c r="H4684" s="114" t="str">
        <f t="shared" si="63"/>
        <v/>
      </c>
      <c r="I4684" s="17"/>
      <c r="J4684" s="17"/>
      <c r="K4684" s="17"/>
    </row>
    <row r="4685" spans="1:11" x14ac:dyDescent="0.2">
      <c r="A4685" s="115"/>
      <c r="B4685" s="93"/>
      <c r="C4685" s="94"/>
      <c r="D4685" s="95"/>
      <c r="E4685" s="95"/>
      <c r="F4685" s="96"/>
      <c r="G4685" s="97"/>
      <c r="H4685" s="114" t="str">
        <f t="shared" si="63"/>
        <v/>
      </c>
      <c r="I4685" s="17"/>
      <c r="J4685" s="17"/>
      <c r="K4685" s="17"/>
    </row>
    <row r="4686" spans="1:11" x14ac:dyDescent="0.2">
      <c r="A4686" s="115"/>
      <c r="B4686" s="93"/>
      <c r="C4686" s="94"/>
      <c r="D4686" s="95"/>
      <c r="E4686" s="95"/>
      <c r="F4686" s="96"/>
      <c r="G4686" s="97"/>
      <c r="H4686" s="114" t="str">
        <f t="shared" si="63"/>
        <v/>
      </c>
      <c r="I4686" s="17"/>
      <c r="J4686" s="17"/>
      <c r="K4686" s="17"/>
    </row>
    <row r="4687" spans="1:11" x14ac:dyDescent="0.2">
      <c r="A4687" s="115"/>
      <c r="B4687" s="93"/>
      <c r="C4687" s="94"/>
      <c r="D4687" s="95"/>
      <c r="E4687" s="95"/>
      <c r="F4687" s="96"/>
      <c r="G4687" s="97"/>
      <c r="H4687" s="114" t="str">
        <f t="shared" si="63"/>
        <v/>
      </c>
      <c r="I4687" s="17"/>
      <c r="J4687" s="17"/>
      <c r="K4687" s="17"/>
    </row>
    <row r="4688" spans="1:11" x14ac:dyDescent="0.2">
      <c r="A4688" s="115"/>
      <c r="B4688" s="93"/>
      <c r="C4688" s="94"/>
      <c r="D4688" s="95"/>
      <c r="E4688" s="95"/>
      <c r="F4688" s="96"/>
      <c r="G4688" s="97"/>
      <c r="H4688" s="114" t="str">
        <f t="shared" si="63"/>
        <v/>
      </c>
      <c r="I4688" s="17"/>
      <c r="J4688" s="17"/>
      <c r="K4688" s="17"/>
    </row>
    <row r="4689" spans="1:11" x14ac:dyDescent="0.2">
      <c r="A4689" s="115"/>
      <c r="B4689" s="93"/>
      <c r="C4689" s="94"/>
      <c r="D4689" s="95"/>
      <c r="E4689" s="95"/>
      <c r="F4689" s="96"/>
      <c r="G4689" s="97"/>
      <c r="H4689" s="114" t="str">
        <f t="shared" si="63"/>
        <v/>
      </c>
      <c r="I4689" s="17"/>
      <c r="J4689" s="17"/>
      <c r="K4689" s="17"/>
    </row>
    <row r="4690" spans="1:11" x14ac:dyDescent="0.2">
      <c r="A4690" s="115"/>
      <c r="B4690" s="93"/>
      <c r="C4690" s="94"/>
      <c r="D4690" s="95"/>
      <c r="E4690" s="95"/>
      <c r="F4690" s="96"/>
      <c r="G4690" s="97"/>
      <c r="H4690" s="114" t="str">
        <f t="shared" si="63"/>
        <v/>
      </c>
      <c r="I4690" s="17"/>
      <c r="J4690" s="17"/>
      <c r="K4690" s="17"/>
    </row>
    <row r="4691" spans="1:11" x14ac:dyDescent="0.2">
      <c r="A4691" s="115"/>
      <c r="B4691" s="93"/>
      <c r="C4691" s="94"/>
      <c r="D4691" s="95"/>
      <c r="E4691" s="95"/>
      <c r="F4691" s="96"/>
      <c r="G4691" s="97"/>
      <c r="H4691" s="114" t="str">
        <f t="shared" si="63"/>
        <v/>
      </c>
      <c r="I4691" s="17"/>
      <c r="J4691" s="17"/>
      <c r="K4691" s="17"/>
    </row>
    <row r="4692" spans="1:11" x14ac:dyDescent="0.2">
      <c r="A4692" s="115"/>
      <c r="B4692" s="93"/>
      <c r="C4692" s="94"/>
      <c r="D4692" s="95"/>
      <c r="E4692" s="95"/>
      <c r="F4692" s="96"/>
      <c r="G4692" s="97"/>
      <c r="H4692" s="114" t="str">
        <f t="shared" si="63"/>
        <v/>
      </c>
      <c r="I4692" s="17"/>
      <c r="J4692" s="17"/>
      <c r="K4692" s="17"/>
    </row>
    <row r="4693" spans="1:11" x14ac:dyDescent="0.2">
      <c r="A4693" s="115"/>
      <c r="B4693" s="93"/>
      <c r="C4693" s="94"/>
      <c r="D4693" s="95"/>
      <c r="E4693" s="95"/>
      <c r="F4693" s="96"/>
      <c r="G4693" s="97"/>
      <c r="H4693" s="114" t="str">
        <f t="shared" si="63"/>
        <v/>
      </c>
      <c r="I4693" s="17"/>
      <c r="J4693" s="17"/>
      <c r="K4693" s="17"/>
    </row>
    <row r="4694" spans="1:11" x14ac:dyDescent="0.2">
      <c r="A4694" s="115"/>
      <c r="B4694" s="93"/>
      <c r="C4694" s="94"/>
      <c r="D4694" s="95"/>
      <c r="E4694" s="95"/>
      <c r="F4694" s="96"/>
      <c r="G4694" s="97"/>
      <c r="H4694" s="114" t="str">
        <f t="shared" si="63"/>
        <v/>
      </c>
      <c r="I4694" s="17"/>
      <c r="J4694" s="17"/>
      <c r="K4694" s="17"/>
    </row>
    <row r="4695" spans="1:11" x14ac:dyDescent="0.2">
      <c r="A4695" s="115"/>
      <c r="B4695" s="93"/>
      <c r="C4695" s="94"/>
      <c r="D4695" s="95"/>
      <c r="E4695" s="95"/>
      <c r="F4695" s="96"/>
      <c r="G4695" s="97"/>
      <c r="H4695" s="114" t="str">
        <f t="shared" si="63"/>
        <v/>
      </c>
      <c r="I4695" s="17"/>
      <c r="J4695" s="17"/>
      <c r="K4695" s="17"/>
    </row>
    <row r="4696" spans="1:11" x14ac:dyDescent="0.2">
      <c r="A4696" s="115"/>
      <c r="B4696" s="93"/>
      <c r="C4696" s="94"/>
      <c r="D4696" s="95"/>
      <c r="E4696" s="95"/>
      <c r="F4696" s="96"/>
      <c r="G4696" s="97"/>
      <c r="H4696" s="114" t="str">
        <f t="shared" si="63"/>
        <v/>
      </c>
      <c r="I4696" s="17"/>
      <c r="J4696" s="17"/>
      <c r="K4696" s="17"/>
    </row>
    <row r="4697" spans="1:11" x14ac:dyDescent="0.2">
      <c r="A4697" s="115"/>
      <c r="B4697" s="93"/>
      <c r="C4697" s="94"/>
      <c r="D4697" s="95"/>
      <c r="E4697" s="95"/>
      <c r="F4697" s="96"/>
      <c r="G4697" s="97"/>
      <c r="H4697" s="114" t="str">
        <f t="shared" si="63"/>
        <v/>
      </c>
      <c r="I4697" s="17"/>
      <c r="J4697" s="17"/>
      <c r="K4697" s="17"/>
    </row>
    <row r="4698" spans="1:11" x14ac:dyDescent="0.2">
      <c r="A4698" s="115"/>
      <c r="B4698" s="93"/>
      <c r="C4698" s="94"/>
      <c r="D4698" s="95"/>
      <c r="E4698" s="95"/>
      <c r="F4698" s="96"/>
      <c r="G4698" s="97"/>
      <c r="H4698" s="114" t="str">
        <f t="shared" si="63"/>
        <v/>
      </c>
      <c r="I4698" s="17"/>
      <c r="J4698" s="17"/>
      <c r="K4698" s="17"/>
    </row>
    <row r="4699" spans="1:11" x14ac:dyDescent="0.2">
      <c r="A4699" s="115"/>
      <c r="B4699" s="93"/>
      <c r="C4699" s="94"/>
      <c r="D4699" s="95"/>
      <c r="E4699" s="95"/>
      <c r="F4699" s="96"/>
      <c r="G4699" s="97"/>
      <c r="H4699" s="114" t="str">
        <f t="shared" si="63"/>
        <v/>
      </c>
      <c r="I4699" s="17"/>
      <c r="J4699" s="17"/>
      <c r="K4699" s="17"/>
    </row>
    <row r="4700" spans="1:11" x14ac:dyDescent="0.2">
      <c r="A4700" s="115"/>
      <c r="B4700" s="93"/>
      <c r="C4700" s="94"/>
      <c r="D4700" s="95"/>
      <c r="E4700" s="95"/>
      <c r="F4700" s="96"/>
      <c r="G4700" s="97"/>
      <c r="H4700" s="114" t="str">
        <f t="shared" si="63"/>
        <v/>
      </c>
      <c r="I4700" s="17"/>
      <c r="J4700" s="17"/>
      <c r="K4700" s="17"/>
    </row>
    <row r="4701" spans="1:11" x14ac:dyDescent="0.2">
      <c r="A4701" s="115"/>
      <c r="B4701" s="93"/>
      <c r="C4701" s="94"/>
      <c r="D4701" s="95"/>
      <c r="E4701" s="95"/>
      <c r="F4701" s="96"/>
      <c r="G4701" s="97"/>
      <c r="H4701" s="114" t="str">
        <f t="shared" si="63"/>
        <v/>
      </c>
      <c r="I4701" s="17"/>
      <c r="J4701" s="17"/>
      <c r="K4701" s="17"/>
    </row>
    <row r="4702" spans="1:11" x14ac:dyDescent="0.2">
      <c r="A4702" s="115"/>
      <c r="B4702" s="93"/>
      <c r="C4702" s="94"/>
      <c r="D4702" s="95"/>
      <c r="E4702" s="95"/>
      <c r="F4702" s="96"/>
      <c r="G4702" s="97"/>
      <c r="H4702" s="114" t="str">
        <f t="shared" si="63"/>
        <v/>
      </c>
      <c r="I4702" s="17"/>
      <c r="J4702" s="17"/>
      <c r="K4702" s="17"/>
    </row>
    <row r="4703" spans="1:11" x14ac:dyDescent="0.2">
      <c r="A4703" s="115"/>
      <c r="B4703" s="93"/>
      <c r="C4703" s="94"/>
      <c r="D4703" s="95"/>
      <c r="E4703" s="95"/>
      <c r="F4703" s="96"/>
      <c r="G4703" s="97"/>
      <c r="H4703" s="114" t="str">
        <f t="shared" si="63"/>
        <v/>
      </c>
      <c r="I4703" s="17"/>
      <c r="J4703" s="17"/>
      <c r="K4703" s="17"/>
    </row>
    <row r="4704" spans="1:11" x14ac:dyDescent="0.2">
      <c r="A4704" s="115"/>
      <c r="B4704" s="93"/>
      <c r="C4704" s="94"/>
      <c r="D4704" s="95"/>
      <c r="E4704" s="95"/>
      <c r="F4704" s="96"/>
      <c r="G4704" s="97"/>
      <c r="H4704" s="114" t="str">
        <f t="shared" si="63"/>
        <v/>
      </c>
      <c r="I4704" s="17"/>
      <c r="J4704" s="17"/>
      <c r="K4704" s="17"/>
    </row>
    <row r="4705" spans="1:11" x14ac:dyDescent="0.2">
      <c r="A4705" s="115"/>
      <c r="B4705" s="93"/>
      <c r="C4705" s="94"/>
      <c r="D4705" s="95"/>
      <c r="E4705" s="95"/>
      <c r="F4705" s="96"/>
      <c r="G4705" s="97"/>
      <c r="H4705" s="114" t="str">
        <f t="shared" si="63"/>
        <v/>
      </c>
      <c r="I4705" s="17"/>
      <c r="J4705" s="17"/>
      <c r="K4705" s="17"/>
    </row>
    <row r="4706" spans="1:11" x14ac:dyDescent="0.2">
      <c r="A4706" s="115"/>
      <c r="B4706" s="93"/>
      <c r="C4706" s="94"/>
      <c r="D4706" s="95"/>
      <c r="E4706" s="95"/>
      <c r="F4706" s="96"/>
      <c r="G4706" s="97"/>
      <c r="H4706" s="114" t="str">
        <f t="shared" si="63"/>
        <v/>
      </c>
      <c r="I4706" s="17"/>
      <c r="J4706" s="17"/>
      <c r="K4706" s="17"/>
    </row>
    <row r="4707" spans="1:11" x14ac:dyDescent="0.2">
      <c r="A4707" s="115"/>
      <c r="B4707" s="93"/>
      <c r="C4707" s="94"/>
      <c r="D4707" s="95"/>
      <c r="E4707" s="95"/>
      <c r="F4707" s="96"/>
      <c r="G4707" s="97"/>
      <c r="H4707" s="114" t="str">
        <f t="shared" si="63"/>
        <v/>
      </c>
      <c r="I4707" s="17"/>
      <c r="J4707" s="17"/>
      <c r="K4707" s="17"/>
    </row>
    <row r="4708" spans="1:11" x14ac:dyDescent="0.2">
      <c r="A4708" s="115"/>
      <c r="B4708" s="93"/>
      <c r="C4708" s="94"/>
      <c r="D4708" s="95"/>
      <c r="E4708" s="95"/>
      <c r="F4708" s="96"/>
      <c r="G4708" s="97"/>
      <c r="H4708" s="114" t="str">
        <f t="shared" si="63"/>
        <v/>
      </c>
      <c r="I4708" s="17"/>
      <c r="J4708" s="17"/>
      <c r="K4708" s="17"/>
    </row>
    <row r="4709" spans="1:11" x14ac:dyDescent="0.2">
      <c r="A4709" s="115"/>
      <c r="B4709" s="93"/>
      <c r="C4709" s="94"/>
      <c r="D4709" s="95"/>
      <c r="E4709" s="95"/>
      <c r="F4709" s="96"/>
      <c r="G4709" s="97"/>
      <c r="H4709" s="114" t="str">
        <f t="shared" si="63"/>
        <v/>
      </c>
      <c r="I4709" s="17"/>
      <c r="J4709" s="17"/>
      <c r="K4709" s="17"/>
    </row>
    <row r="4710" spans="1:11" x14ac:dyDescent="0.2">
      <c r="A4710" s="115"/>
      <c r="B4710" s="93"/>
      <c r="C4710" s="94"/>
      <c r="D4710" s="95"/>
      <c r="E4710" s="95"/>
      <c r="F4710" s="96"/>
      <c r="G4710" s="97"/>
      <c r="H4710" s="114" t="str">
        <f t="shared" si="63"/>
        <v/>
      </c>
      <c r="I4710" s="17"/>
      <c r="J4710" s="17"/>
      <c r="K4710" s="17"/>
    </row>
    <row r="4711" spans="1:11" x14ac:dyDescent="0.2">
      <c r="A4711" s="115"/>
      <c r="B4711" s="93"/>
      <c r="C4711" s="94"/>
      <c r="D4711" s="95"/>
      <c r="E4711" s="95"/>
      <c r="F4711" s="96"/>
      <c r="G4711" s="97"/>
      <c r="H4711" s="114" t="str">
        <f t="shared" si="63"/>
        <v/>
      </c>
      <c r="I4711" s="17"/>
      <c r="J4711" s="17"/>
      <c r="K4711" s="17"/>
    </row>
    <row r="4712" spans="1:11" x14ac:dyDescent="0.2">
      <c r="A4712" s="115"/>
      <c r="B4712" s="93"/>
      <c r="C4712" s="94"/>
      <c r="D4712" s="95"/>
      <c r="E4712" s="95"/>
      <c r="F4712" s="96"/>
      <c r="G4712" s="97"/>
      <c r="H4712" s="114" t="str">
        <f t="shared" si="63"/>
        <v/>
      </c>
      <c r="I4712" s="17"/>
      <c r="J4712" s="17"/>
      <c r="K4712" s="17"/>
    </row>
    <row r="4713" spans="1:11" x14ac:dyDescent="0.2">
      <c r="A4713" s="115"/>
      <c r="B4713" s="93"/>
      <c r="C4713" s="94"/>
      <c r="D4713" s="95"/>
      <c r="E4713" s="95"/>
      <c r="F4713" s="96"/>
      <c r="G4713" s="97"/>
      <c r="H4713" s="114" t="str">
        <f t="shared" si="63"/>
        <v/>
      </c>
      <c r="I4713" s="17"/>
      <c r="J4713" s="17"/>
      <c r="K4713" s="17"/>
    </row>
    <row r="4714" spans="1:11" x14ac:dyDescent="0.2">
      <c r="A4714" s="115"/>
      <c r="B4714" s="93"/>
      <c r="C4714" s="94"/>
      <c r="D4714" s="95"/>
      <c r="E4714" s="95"/>
      <c r="F4714" s="96"/>
      <c r="G4714" s="97"/>
      <c r="H4714" s="114" t="str">
        <f t="shared" si="63"/>
        <v/>
      </c>
      <c r="I4714" s="17"/>
      <c r="J4714" s="17"/>
      <c r="K4714" s="17"/>
    </row>
    <row r="4715" spans="1:11" x14ac:dyDescent="0.2">
      <c r="A4715" s="115"/>
      <c r="B4715" s="93"/>
      <c r="C4715" s="94"/>
      <c r="D4715" s="95"/>
      <c r="E4715" s="95"/>
      <c r="F4715" s="96"/>
      <c r="G4715" s="97"/>
      <c r="H4715" s="114" t="str">
        <f t="shared" si="63"/>
        <v/>
      </c>
      <c r="I4715" s="17"/>
      <c r="J4715" s="17"/>
      <c r="K4715" s="17"/>
    </row>
    <row r="4716" spans="1:11" x14ac:dyDescent="0.2">
      <c r="A4716" s="115"/>
      <c r="B4716" s="93"/>
      <c r="C4716" s="94"/>
      <c r="D4716" s="95"/>
      <c r="E4716" s="95"/>
      <c r="F4716" s="96"/>
      <c r="G4716" s="97"/>
      <c r="H4716" s="114" t="str">
        <f t="shared" si="63"/>
        <v/>
      </c>
      <c r="I4716" s="17"/>
      <c r="J4716" s="17"/>
      <c r="K4716" s="17"/>
    </row>
    <row r="4717" spans="1:11" x14ac:dyDescent="0.2">
      <c r="A4717" s="115"/>
      <c r="B4717" s="93"/>
      <c r="C4717" s="94"/>
      <c r="D4717" s="95"/>
      <c r="E4717" s="95"/>
      <c r="F4717" s="96"/>
      <c r="G4717" s="97"/>
      <c r="H4717" s="114" t="str">
        <f t="shared" si="63"/>
        <v/>
      </c>
      <c r="I4717" s="17"/>
      <c r="J4717" s="17"/>
      <c r="K4717" s="17"/>
    </row>
    <row r="4718" spans="1:11" x14ac:dyDescent="0.2">
      <c r="A4718" s="115"/>
      <c r="B4718" s="93"/>
      <c r="C4718" s="94"/>
      <c r="D4718" s="95"/>
      <c r="E4718" s="95"/>
      <c r="F4718" s="96"/>
      <c r="G4718" s="97"/>
      <c r="H4718" s="114" t="str">
        <f t="shared" si="63"/>
        <v/>
      </c>
      <c r="I4718" s="17"/>
      <c r="J4718" s="17"/>
      <c r="K4718" s="17"/>
    </row>
    <row r="4719" spans="1:11" x14ac:dyDescent="0.2">
      <c r="A4719" s="115"/>
      <c r="B4719" s="93"/>
      <c r="C4719" s="94"/>
      <c r="D4719" s="95"/>
      <c r="E4719" s="95"/>
      <c r="F4719" s="96"/>
      <c r="G4719" s="97"/>
      <c r="H4719" s="114" t="str">
        <f t="shared" si="63"/>
        <v/>
      </c>
      <c r="I4719" s="17"/>
      <c r="J4719" s="17"/>
      <c r="K4719" s="17"/>
    </row>
    <row r="4720" spans="1:11" x14ac:dyDescent="0.2">
      <c r="A4720" s="115"/>
      <c r="B4720" s="93"/>
      <c r="C4720" s="94"/>
      <c r="D4720" s="95"/>
      <c r="E4720" s="95"/>
      <c r="F4720" s="96"/>
      <c r="G4720" s="97"/>
      <c r="H4720" s="114" t="str">
        <f t="shared" si="63"/>
        <v/>
      </c>
      <c r="I4720" s="17"/>
      <c r="J4720" s="17"/>
      <c r="K4720" s="17"/>
    </row>
    <row r="4721" spans="1:11" x14ac:dyDescent="0.2">
      <c r="A4721" s="115"/>
      <c r="B4721" s="93"/>
      <c r="C4721" s="94"/>
      <c r="D4721" s="95"/>
      <c r="E4721" s="95"/>
      <c r="F4721" s="96"/>
      <c r="G4721" s="97"/>
      <c r="H4721" s="114" t="str">
        <f t="shared" si="63"/>
        <v/>
      </c>
      <c r="I4721" s="17"/>
      <c r="J4721" s="17"/>
      <c r="K4721" s="17"/>
    </row>
    <row r="4722" spans="1:11" x14ac:dyDescent="0.2">
      <c r="A4722" s="115"/>
      <c r="B4722" s="93"/>
      <c r="C4722" s="94"/>
      <c r="D4722" s="95"/>
      <c r="E4722" s="95"/>
      <c r="F4722" s="96"/>
      <c r="G4722" s="97"/>
      <c r="H4722" s="114" t="str">
        <f t="shared" si="63"/>
        <v/>
      </c>
      <c r="I4722" s="17"/>
      <c r="J4722" s="17"/>
      <c r="K4722" s="17"/>
    </row>
    <row r="4723" spans="1:11" x14ac:dyDescent="0.2">
      <c r="A4723" s="115"/>
      <c r="B4723" s="93"/>
      <c r="C4723" s="94"/>
      <c r="D4723" s="95"/>
      <c r="E4723" s="95"/>
      <c r="F4723" s="96"/>
      <c r="G4723" s="97"/>
      <c r="H4723" s="114" t="str">
        <f t="shared" si="63"/>
        <v/>
      </c>
      <c r="I4723" s="17"/>
      <c r="J4723" s="17"/>
      <c r="K4723" s="17"/>
    </row>
    <row r="4724" spans="1:11" x14ac:dyDescent="0.2">
      <c r="A4724" s="115"/>
      <c r="B4724" s="93"/>
      <c r="C4724" s="94"/>
      <c r="D4724" s="95"/>
      <c r="E4724" s="95"/>
      <c r="F4724" s="96"/>
      <c r="G4724" s="97"/>
      <c r="H4724" s="114" t="str">
        <f t="shared" si="63"/>
        <v/>
      </c>
      <c r="I4724" s="17"/>
      <c r="J4724" s="17"/>
      <c r="K4724" s="17"/>
    </row>
    <row r="4725" spans="1:11" x14ac:dyDescent="0.2">
      <c r="A4725" s="115"/>
      <c r="B4725" s="93"/>
      <c r="C4725" s="94"/>
      <c r="D4725" s="95"/>
      <c r="E4725" s="95"/>
      <c r="F4725" s="96"/>
      <c r="G4725" s="97"/>
      <c r="H4725" s="114" t="str">
        <f t="shared" si="63"/>
        <v/>
      </c>
      <c r="I4725" s="17"/>
      <c r="J4725" s="17"/>
      <c r="K4725" s="17"/>
    </row>
    <row r="4726" spans="1:11" x14ac:dyDescent="0.2">
      <c r="A4726" s="115"/>
      <c r="B4726" s="93"/>
      <c r="C4726" s="94"/>
      <c r="D4726" s="95"/>
      <c r="E4726" s="95"/>
      <c r="F4726" s="96"/>
      <c r="G4726" s="97"/>
      <c r="H4726" s="114" t="str">
        <f t="shared" si="63"/>
        <v/>
      </c>
      <c r="I4726" s="17"/>
      <c r="J4726" s="17"/>
      <c r="K4726" s="17"/>
    </row>
    <row r="4727" spans="1:11" x14ac:dyDescent="0.2">
      <c r="A4727" s="115"/>
      <c r="B4727" s="93"/>
      <c r="C4727" s="94"/>
      <c r="D4727" s="95"/>
      <c r="E4727" s="95"/>
      <c r="F4727" s="96"/>
      <c r="G4727" s="97"/>
      <c r="H4727" s="114" t="str">
        <f t="shared" si="63"/>
        <v/>
      </c>
      <c r="I4727" s="17"/>
      <c r="J4727" s="17"/>
      <c r="K4727" s="17"/>
    </row>
    <row r="4728" spans="1:11" x14ac:dyDescent="0.2">
      <c r="A4728" s="115"/>
      <c r="B4728" s="93"/>
      <c r="C4728" s="94"/>
      <c r="D4728" s="95"/>
      <c r="E4728" s="95"/>
      <c r="F4728" s="96"/>
      <c r="G4728" s="97"/>
      <c r="H4728" s="114" t="str">
        <f t="shared" si="63"/>
        <v/>
      </c>
      <c r="I4728" s="17"/>
      <c r="J4728" s="17"/>
      <c r="K4728" s="17"/>
    </row>
    <row r="4729" spans="1:11" x14ac:dyDescent="0.2">
      <c r="A4729" s="115"/>
      <c r="B4729" s="93"/>
      <c r="C4729" s="94"/>
      <c r="D4729" s="95"/>
      <c r="E4729" s="95"/>
      <c r="F4729" s="96"/>
      <c r="G4729" s="97"/>
      <c r="H4729" s="114" t="str">
        <f t="shared" si="63"/>
        <v/>
      </c>
      <c r="I4729" s="17"/>
      <c r="J4729" s="17"/>
      <c r="K4729" s="17"/>
    </row>
    <row r="4730" spans="1:11" x14ac:dyDescent="0.2">
      <c r="A4730" s="115"/>
      <c r="B4730" s="93"/>
      <c r="C4730" s="94"/>
      <c r="D4730" s="95"/>
      <c r="E4730" s="95"/>
      <c r="F4730" s="96"/>
      <c r="G4730" s="97"/>
      <c r="H4730" s="114" t="str">
        <f t="shared" si="63"/>
        <v/>
      </c>
      <c r="I4730" s="17"/>
      <c r="J4730" s="17"/>
      <c r="K4730" s="17"/>
    </row>
    <row r="4731" spans="1:11" x14ac:dyDescent="0.2">
      <c r="A4731" s="115"/>
      <c r="B4731" s="93"/>
      <c r="C4731" s="94"/>
      <c r="D4731" s="95"/>
      <c r="E4731" s="95"/>
      <c r="F4731" s="96"/>
      <c r="G4731" s="97"/>
      <c r="H4731" s="114" t="str">
        <f t="shared" si="63"/>
        <v/>
      </c>
      <c r="I4731" s="17"/>
      <c r="J4731" s="17"/>
      <c r="K4731" s="17"/>
    </row>
    <row r="4732" spans="1:11" x14ac:dyDescent="0.2">
      <c r="A4732" s="115"/>
      <c r="B4732" s="93"/>
      <c r="C4732" s="94"/>
      <c r="D4732" s="95"/>
      <c r="E4732" s="95"/>
      <c r="F4732" s="96"/>
      <c r="G4732" s="97"/>
      <c r="H4732" s="114" t="str">
        <f t="shared" si="63"/>
        <v/>
      </c>
      <c r="I4732" s="17"/>
      <c r="J4732" s="17"/>
      <c r="K4732" s="17"/>
    </row>
    <row r="4733" spans="1:11" x14ac:dyDescent="0.2">
      <c r="A4733" s="115"/>
      <c r="B4733" s="93"/>
      <c r="C4733" s="94"/>
      <c r="D4733" s="95"/>
      <c r="E4733" s="95"/>
      <c r="F4733" s="96"/>
      <c r="G4733" s="97"/>
      <c r="H4733" s="114" t="str">
        <f t="shared" si="63"/>
        <v/>
      </c>
      <c r="I4733" s="17"/>
      <c r="J4733" s="17"/>
      <c r="K4733" s="17"/>
    </row>
    <row r="4734" spans="1:11" x14ac:dyDescent="0.2">
      <c r="A4734" s="115"/>
      <c r="B4734" s="93"/>
      <c r="C4734" s="94"/>
      <c r="D4734" s="95"/>
      <c r="E4734" s="95"/>
      <c r="F4734" s="96"/>
      <c r="G4734" s="97"/>
      <c r="H4734" s="114" t="str">
        <f t="shared" si="63"/>
        <v/>
      </c>
      <c r="I4734" s="17"/>
      <c r="J4734" s="17"/>
      <c r="K4734" s="17"/>
    </row>
    <row r="4735" spans="1:11" x14ac:dyDescent="0.2">
      <c r="A4735" s="115"/>
      <c r="B4735" s="93"/>
      <c r="C4735" s="94"/>
      <c r="D4735" s="95"/>
      <c r="E4735" s="95"/>
      <c r="F4735" s="96"/>
      <c r="G4735" s="97"/>
      <c r="H4735" s="114" t="str">
        <f t="shared" si="63"/>
        <v/>
      </c>
      <c r="I4735" s="17"/>
      <c r="J4735" s="17"/>
      <c r="K4735" s="17"/>
    </row>
    <row r="4736" spans="1:11" x14ac:dyDescent="0.2">
      <c r="A4736" s="115"/>
      <c r="B4736" s="93"/>
      <c r="C4736" s="94"/>
      <c r="D4736" s="95"/>
      <c r="E4736" s="95"/>
      <c r="F4736" s="96"/>
      <c r="G4736" s="97"/>
      <c r="H4736" s="114" t="str">
        <f t="shared" si="63"/>
        <v/>
      </c>
      <c r="I4736" s="17"/>
      <c r="J4736" s="17"/>
      <c r="K4736" s="17"/>
    </row>
    <row r="4737" spans="1:11" x14ac:dyDescent="0.2">
      <c r="A4737" s="115"/>
      <c r="B4737" s="93"/>
      <c r="C4737" s="94"/>
      <c r="D4737" s="95"/>
      <c r="E4737" s="95"/>
      <c r="F4737" s="96"/>
      <c r="G4737" s="97"/>
      <c r="H4737" s="114" t="str">
        <f t="shared" si="63"/>
        <v/>
      </c>
      <c r="I4737" s="17"/>
      <c r="J4737" s="17"/>
      <c r="K4737" s="17"/>
    </row>
    <row r="4738" spans="1:11" x14ac:dyDescent="0.2">
      <c r="A4738" s="115"/>
      <c r="B4738" s="93"/>
      <c r="C4738" s="94"/>
      <c r="D4738" s="95"/>
      <c r="E4738" s="95"/>
      <c r="F4738" s="96"/>
      <c r="G4738" s="97"/>
      <c r="H4738" s="114" t="str">
        <f t="shared" si="63"/>
        <v/>
      </c>
      <c r="I4738" s="17"/>
      <c r="J4738" s="17"/>
      <c r="K4738" s="17"/>
    </row>
    <row r="4739" spans="1:11" x14ac:dyDescent="0.2">
      <c r="A4739" s="115"/>
      <c r="B4739" s="93"/>
      <c r="C4739" s="94"/>
      <c r="D4739" s="95"/>
      <c r="E4739" s="95"/>
      <c r="F4739" s="96"/>
      <c r="G4739" s="97"/>
      <c r="H4739" s="114" t="str">
        <f t="shared" si="63"/>
        <v/>
      </c>
      <c r="I4739" s="17"/>
      <c r="J4739" s="17"/>
      <c r="K4739" s="17"/>
    </row>
    <row r="4740" spans="1:11" x14ac:dyDescent="0.2">
      <c r="A4740" s="115"/>
      <c r="B4740" s="93"/>
      <c r="C4740" s="94"/>
      <c r="D4740" s="95"/>
      <c r="E4740" s="95"/>
      <c r="F4740" s="96"/>
      <c r="G4740" s="97"/>
      <c r="H4740" s="114" t="str">
        <f t="shared" ref="H4740:H4803" si="64">IF(A4740&lt;&gt;"", EOMONTH(A4740, -1) + 1, "")</f>
        <v/>
      </c>
      <c r="I4740" s="17"/>
      <c r="J4740" s="17"/>
      <c r="K4740" s="17"/>
    </row>
    <row r="4741" spans="1:11" x14ac:dyDescent="0.2">
      <c r="A4741" s="115"/>
      <c r="B4741" s="93"/>
      <c r="C4741" s="94"/>
      <c r="D4741" s="95"/>
      <c r="E4741" s="95"/>
      <c r="F4741" s="96"/>
      <c r="G4741" s="97"/>
      <c r="H4741" s="114" t="str">
        <f t="shared" si="64"/>
        <v/>
      </c>
      <c r="I4741" s="17"/>
      <c r="J4741" s="17"/>
      <c r="K4741" s="17"/>
    </row>
    <row r="4742" spans="1:11" x14ac:dyDescent="0.2">
      <c r="A4742" s="115"/>
      <c r="B4742" s="93"/>
      <c r="C4742" s="94"/>
      <c r="D4742" s="95"/>
      <c r="E4742" s="95"/>
      <c r="F4742" s="96"/>
      <c r="G4742" s="97"/>
      <c r="H4742" s="114" t="str">
        <f t="shared" si="64"/>
        <v/>
      </c>
      <c r="I4742" s="17"/>
      <c r="J4742" s="17"/>
      <c r="K4742" s="17"/>
    </row>
    <row r="4743" spans="1:11" x14ac:dyDescent="0.2">
      <c r="A4743" s="115"/>
      <c r="B4743" s="93"/>
      <c r="C4743" s="94"/>
      <c r="D4743" s="95"/>
      <c r="E4743" s="95"/>
      <c r="F4743" s="96"/>
      <c r="G4743" s="97"/>
      <c r="H4743" s="114" t="str">
        <f t="shared" si="64"/>
        <v/>
      </c>
      <c r="I4743" s="17"/>
      <c r="J4743" s="17"/>
      <c r="K4743" s="17"/>
    </row>
    <row r="4744" spans="1:11" x14ac:dyDescent="0.2">
      <c r="A4744" s="115"/>
      <c r="B4744" s="93"/>
      <c r="C4744" s="94"/>
      <c r="D4744" s="95"/>
      <c r="E4744" s="95"/>
      <c r="F4744" s="96"/>
      <c r="G4744" s="97"/>
      <c r="H4744" s="114" t="str">
        <f t="shared" si="64"/>
        <v/>
      </c>
      <c r="I4744" s="17"/>
      <c r="J4744" s="17"/>
      <c r="K4744" s="17"/>
    </row>
    <row r="4745" spans="1:11" x14ac:dyDescent="0.2">
      <c r="A4745" s="115"/>
      <c r="B4745" s="93"/>
      <c r="C4745" s="94"/>
      <c r="D4745" s="95"/>
      <c r="E4745" s="95"/>
      <c r="F4745" s="96"/>
      <c r="G4745" s="97"/>
      <c r="H4745" s="114" t="str">
        <f t="shared" si="64"/>
        <v/>
      </c>
      <c r="I4745" s="17"/>
      <c r="J4745" s="17"/>
      <c r="K4745" s="17"/>
    </row>
    <row r="4746" spans="1:11" x14ac:dyDescent="0.2">
      <c r="A4746" s="115"/>
      <c r="B4746" s="93"/>
      <c r="C4746" s="94"/>
      <c r="D4746" s="95"/>
      <c r="E4746" s="95"/>
      <c r="F4746" s="96"/>
      <c r="G4746" s="97"/>
      <c r="H4746" s="114" t="str">
        <f t="shared" si="64"/>
        <v/>
      </c>
      <c r="I4746" s="17"/>
      <c r="J4746" s="17"/>
      <c r="K4746" s="17"/>
    </row>
    <row r="4747" spans="1:11" x14ac:dyDescent="0.2">
      <c r="A4747" s="115"/>
      <c r="B4747" s="93"/>
      <c r="C4747" s="94"/>
      <c r="D4747" s="95"/>
      <c r="E4747" s="95"/>
      <c r="F4747" s="96"/>
      <c r="G4747" s="97"/>
      <c r="H4747" s="114" t="str">
        <f t="shared" si="64"/>
        <v/>
      </c>
      <c r="I4747" s="17"/>
      <c r="J4747" s="17"/>
      <c r="K4747" s="17"/>
    </row>
    <row r="4748" spans="1:11" x14ac:dyDescent="0.2">
      <c r="A4748" s="115"/>
      <c r="B4748" s="93"/>
      <c r="C4748" s="94"/>
      <c r="D4748" s="95"/>
      <c r="E4748" s="95"/>
      <c r="F4748" s="96"/>
      <c r="G4748" s="97"/>
      <c r="H4748" s="114" t="str">
        <f t="shared" si="64"/>
        <v/>
      </c>
      <c r="I4748" s="17"/>
      <c r="J4748" s="17"/>
      <c r="K4748" s="17"/>
    </row>
    <row r="4749" spans="1:11" x14ac:dyDescent="0.2">
      <c r="A4749" s="115"/>
      <c r="B4749" s="93"/>
      <c r="C4749" s="94"/>
      <c r="D4749" s="95"/>
      <c r="E4749" s="95"/>
      <c r="F4749" s="96"/>
      <c r="G4749" s="97"/>
      <c r="H4749" s="114" t="str">
        <f t="shared" si="64"/>
        <v/>
      </c>
      <c r="I4749" s="17"/>
      <c r="J4749" s="17"/>
      <c r="K4749" s="17"/>
    </row>
    <row r="4750" spans="1:11" x14ac:dyDescent="0.2">
      <c r="A4750" s="115"/>
      <c r="B4750" s="93"/>
      <c r="C4750" s="94"/>
      <c r="D4750" s="95"/>
      <c r="E4750" s="95"/>
      <c r="F4750" s="96"/>
      <c r="G4750" s="97"/>
      <c r="H4750" s="114" t="str">
        <f t="shared" si="64"/>
        <v/>
      </c>
      <c r="I4750" s="17"/>
      <c r="J4750" s="17"/>
      <c r="K4750" s="17"/>
    </row>
    <row r="4751" spans="1:11" x14ac:dyDescent="0.2">
      <c r="A4751" s="115"/>
      <c r="B4751" s="93"/>
      <c r="C4751" s="94"/>
      <c r="D4751" s="95"/>
      <c r="E4751" s="95"/>
      <c r="F4751" s="96"/>
      <c r="G4751" s="97"/>
      <c r="H4751" s="114" t="str">
        <f t="shared" si="64"/>
        <v/>
      </c>
      <c r="I4751" s="17"/>
      <c r="J4751" s="17"/>
      <c r="K4751" s="17"/>
    </row>
    <row r="4752" spans="1:11" x14ac:dyDescent="0.2">
      <c r="A4752" s="115"/>
      <c r="B4752" s="93"/>
      <c r="C4752" s="94"/>
      <c r="D4752" s="95"/>
      <c r="E4752" s="95"/>
      <c r="F4752" s="96"/>
      <c r="G4752" s="97"/>
      <c r="H4752" s="114" t="str">
        <f t="shared" si="64"/>
        <v/>
      </c>
      <c r="I4752" s="17"/>
      <c r="J4752" s="17"/>
      <c r="K4752" s="17"/>
    </row>
    <row r="4753" spans="1:11" x14ac:dyDescent="0.2">
      <c r="A4753" s="115"/>
      <c r="B4753" s="93"/>
      <c r="C4753" s="94"/>
      <c r="D4753" s="95"/>
      <c r="E4753" s="95"/>
      <c r="F4753" s="96"/>
      <c r="G4753" s="97"/>
      <c r="H4753" s="114" t="str">
        <f t="shared" si="64"/>
        <v/>
      </c>
      <c r="I4753" s="17"/>
      <c r="J4753" s="17"/>
      <c r="K4753" s="17"/>
    </row>
    <row r="4754" spans="1:11" x14ac:dyDescent="0.2">
      <c r="A4754" s="115"/>
      <c r="B4754" s="93"/>
      <c r="C4754" s="94"/>
      <c r="D4754" s="95"/>
      <c r="E4754" s="95"/>
      <c r="F4754" s="96"/>
      <c r="G4754" s="97"/>
      <c r="H4754" s="114" t="str">
        <f t="shared" si="64"/>
        <v/>
      </c>
      <c r="I4754" s="17"/>
      <c r="J4754" s="17"/>
      <c r="K4754" s="17"/>
    </row>
    <row r="4755" spans="1:11" x14ac:dyDescent="0.2">
      <c r="A4755" s="115"/>
      <c r="B4755" s="93"/>
      <c r="C4755" s="94"/>
      <c r="D4755" s="95"/>
      <c r="E4755" s="95"/>
      <c r="F4755" s="96"/>
      <c r="G4755" s="97"/>
      <c r="H4755" s="114" t="str">
        <f t="shared" si="64"/>
        <v/>
      </c>
      <c r="I4755" s="17"/>
      <c r="J4755" s="17"/>
      <c r="K4755" s="17"/>
    </row>
    <row r="4756" spans="1:11" x14ac:dyDescent="0.2">
      <c r="A4756" s="115"/>
      <c r="B4756" s="93"/>
      <c r="C4756" s="94"/>
      <c r="D4756" s="95"/>
      <c r="E4756" s="95"/>
      <c r="F4756" s="96"/>
      <c r="G4756" s="97"/>
      <c r="H4756" s="114" t="str">
        <f t="shared" si="64"/>
        <v/>
      </c>
      <c r="I4756" s="17"/>
      <c r="J4756" s="17"/>
      <c r="K4756" s="17"/>
    </row>
    <row r="4757" spans="1:11" x14ac:dyDescent="0.2">
      <c r="A4757" s="115"/>
      <c r="B4757" s="93"/>
      <c r="C4757" s="94"/>
      <c r="D4757" s="95"/>
      <c r="E4757" s="95"/>
      <c r="F4757" s="96"/>
      <c r="G4757" s="97"/>
      <c r="H4757" s="114" t="str">
        <f t="shared" si="64"/>
        <v/>
      </c>
      <c r="I4757" s="17"/>
      <c r="J4757" s="17"/>
      <c r="K4757" s="17"/>
    </row>
    <row r="4758" spans="1:11" x14ac:dyDescent="0.2">
      <c r="A4758" s="115"/>
      <c r="B4758" s="93"/>
      <c r="C4758" s="94"/>
      <c r="D4758" s="95"/>
      <c r="E4758" s="95"/>
      <c r="F4758" s="96"/>
      <c r="G4758" s="97"/>
      <c r="H4758" s="114" t="str">
        <f t="shared" si="64"/>
        <v/>
      </c>
      <c r="I4758" s="17"/>
      <c r="J4758" s="17"/>
      <c r="K4758" s="17"/>
    </row>
    <row r="4759" spans="1:11" x14ac:dyDescent="0.2">
      <c r="A4759" s="115"/>
      <c r="B4759" s="93"/>
      <c r="C4759" s="94"/>
      <c r="D4759" s="95"/>
      <c r="E4759" s="95"/>
      <c r="F4759" s="96"/>
      <c r="G4759" s="97"/>
      <c r="H4759" s="114" t="str">
        <f t="shared" si="64"/>
        <v/>
      </c>
      <c r="I4759" s="17"/>
      <c r="J4759" s="17"/>
      <c r="K4759" s="17"/>
    </row>
    <row r="4760" spans="1:11" x14ac:dyDescent="0.2">
      <c r="A4760" s="115"/>
      <c r="B4760" s="93"/>
      <c r="C4760" s="94"/>
      <c r="D4760" s="95"/>
      <c r="E4760" s="95"/>
      <c r="F4760" s="96"/>
      <c r="G4760" s="97"/>
      <c r="H4760" s="114" t="str">
        <f t="shared" si="64"/>
        <v/>
      </c>
      <c r="I4760" s="17"/>
      <c r="J4760" s="17"/>
      <c r="K4760" s="17"/>
    </row>
    <row r="4761" spans="1:11" x14ac:dyDescent="0.2">
      <c r="A4761" s="115"/>
      <c r="B4761" s="93"/>
      <c r="C4761" s="94"/>
      <c r="D4761" s="95"/>
      <c r="E4761" s="95"/>
      <c r="F4761" s="96"/>
      <c r="G4761" s="97"/>
      <c r="H4761" s="114" t="str">
        <f t="shared" si="64"/>
        <v/>
      </c>
      <c r="I4761" s="17"/>
      <c r="J4761" s="17"/>
      <c r="K4761" s="17"/>
    </row>
    <row r="4762" spans="1:11" x14ac:dyDescent="0.2">
      <c r="A4762" s="115"/>
      <c r="B4762" s="93"/>
      <c r="C4762" s="94"/>
      <c r="D4762" s="95"/>
      <c r="E4762" s="95"/>
      <c r="F4762" s="96"/>
      <c r="G4762" s="97"/>
      <c r="H4762" s="114" t="str">
        <f t="shared" si="64"/>
        <v/>
      </c>
      <c r="I4762" s="17"/>
      <c r="J4762" s="17"/>
      <c r="K4762" s="17"/>
    </row>
    <row r="4763" spans="1:11" x14ac:dyDescent="0.2">
      <c r="A4763" s="115"/>
      <c r="B4763" s="93"/>
      <c r="C4763" s="94"/>
      <c r="D4763" s="95"/>
      <c r="E4763" s="95"/>
      <c r="F4763" s="96"/>
      <c r="G4763" s="97"/>
      <c r="H4763" s="114" t="str">
        <f t="shared" si="64"/>
        <v/>
      </c>
      <c r="I4763" s="17"/>
      <c r="J4763" s="17"/>
      <c r="K4763" s="17"/>
    </row>
    <row r="4764" spans="1:11" x14ac:dyDescent="0.2">
      <c r="A4764" s="115"/>
      <c r="B4764" s="93"/>
      <c r="C4764" s="94"/>
      <c r="D4764" s="95"/>
      <c r="E4764" s="95"/>
      <c r="F4764" s="96"/>
      <c r="G4764" s="97"/>
      <c r="H4764" s="114" t="str">
        <f t="shared" si="64"/>
        <v/>
      </c>
      <c r="I4764" s="17"/>
      <c r="J4764" s="17"/>
      <c r="K4764" s="17"/>
    </row>
    <row r="4765" spans="1:11" x14ac:dyDescent="0.2">
      <c r="A4765" s="115"/>
      <c r="B4765" s="93"/>
      <c r="C4765" s="94"/>
      <c r="D4765" s="95"/>
      <c r="E4765" s="95"/>
      <c r="F4765" s="96"/>
      <c r="G4765" s="97"/>
      <c r="H4765" s="114" t="str">
        <f t="shared" si="64"/>
        <v/>
      </c>
      <c r="I4765" s="17"/>
      <c r="J4765" s="17"/>
      <c r="K4765" s="17"/>
    </row>
    <row r="4766" spans="1:11" x14ac:dyDescent="0.2">
      <c r="A4766" s="115"/>
      <c r="B4766" s="93"/>
      <c r="C4766" s="94"/>
      <c r="D4766" s="95"/>
      <c r="E4766" s="95"/>
      <c r="F4766" s="96"/>
      <c r="G4766" s="97"/>
      <c r="H4766" s="114" t="str">
        <f t="shared" si="64"/>
        <v/>
      </c>
      <c r="I4766" s="17"/>
      <c r="J4766" s="17"/>
      <c r="K4766" s="17"/>
    </row>
    <row r="4767" spans="1:11" x14ac:dyDescent="0.2">
      <c r="A4767" s="115"/>
      <c r="B4767" s="93"/>
      <c r="C4767" s="94"/>
      <c r="D4767" s="95"/>
      <c r="E4767" s="95"/>
      <c r="F4767" s="96"/>
      <c r="G4767" s="97"/>
      <c r="H4767" s="114" t="str">
        <f t="shared" si="64"/>
        <v/>
      </c>
      <c r="I4767" s="17"/>
      <c r="J4767" s="17"/>
      <c r="K4767" s="17"/>
    </row>
    <row r="4768" spans="1:11" x14ac:dyDescent="0.2">
      <c r="A4768" s="115"/>
      <c r="B4768" s="93"/>
      <c r="C4768" s="94"/>
      <c r="D4768" s="95"/>
      <c r="E4768" s="95"/>
      <c r="F4768" s="96"/>
      <c r="G4768" s="97"/>
      <c r="H4768" s="114" t="str">
        <f t="shared" si="64"/>
        <v/>
      </c>
      <c r="I4768" s="17"/>
      <c r="J4768" s="17"/>
      <c r="K4768" s="17"/>
    </row>
    <row r="4769" spans="1:11" x14ac:dyDescent="0.2">
      <c r="A4769" s="115"/>
      <c r="B4769" s="93"/>
      <c r="C4769" s="94"/>
      <c r="D4769" s="95"/>
      <c r="E4769" s="95"/>
      <c r="F4769" s="96"/>
      <c r="G4769" s="97"/>
      <c r="H4769" s="114" t="str">
        <f t="shared" si="64"/>
        <v/>
      </c>
      <c r="I4769" s="17"/>
      <c r="J4769" s="17"/>
      <c r="K4769" s="17"/>
    </row>
    <row r="4770" spans="1:11" x14ac:dyDescent="0.2">
      <c r="A4770" s="115"/>
      <c r="B4770" s="93"/>
      <c r="C4770" s="94"/>
      <c r="D4770" s="95"/>
      <c r="E4770" s="95"/>
      <c r="F4770" s="96"/>
      <c r="G4770" s="97"/>
      <c r="H4770" s="114" t="str">
        <f t="shared" si="64"/>
        <v/>
      </c>
      <c r="I4770" s="17"/>
      <c r="J4770" s="17"/>
      <c r="K4770" s="17"/>
    </row>
    <row r="4771" spans="1:11" x14ac:dyDescent="0.2">
      <c r="A4771" s="115"/>
      <c r="B4771" s="93"/>
      <c r="C4771" s="94"/>
      <c r="D4771" s="95"/>
      <c r="E4771" s="95"/>
      <c r="F4771" s="96"/>
      <c r="G4771" s="97"/>
      <c r="H4771" s="114" t="str">
        <f t="shared" si="64"/>
        <v/>
      </c>
      <c r="I4771" s="17"/>
      <c r="J4771" s="17"/>
      <c r="K4771" s="17"/>
    </row>
    <row r="4772" spans="1:11" x14ac:dyDescent="0.2">
      <c r="A4772" s="115"/>
      <c r="B4772" s="93"/>
      <c r="C4772" s="94"/>
      <c r="D4772" s="95"/>
      <c r="E4772" s="95"/>
      <c r="F4772" s="96"/>
      <c r="G4772" s="97"/>
      <c r="H4772" s="114" t="str">
        <f t="shared" si="64"/>
        <v/>
      </c>
      <c r="I4772" s="17"/>
      <c r="J4772" s="17"/>
      <c r="K4772" s="17"/>
    </row>
    <row r="4773" spans="1:11" x14ac:dyDescent="0.2">
      <c r="A4773" s="115"/>
      <c r="B4773" s="93"/>
      <c r="C4773" s="94"/>
      <c r="D4773" s="95"/>
      <c r="E4773" s="95"/>
      <c r="F4773" s="96"/>
      <c r="G4773" s="97"/>
      <c r="H4773" s="114" t="str">
        <f t="shared" si="64"/>
        <v/>
      </c>
      <c r="I4773" s="17"/>
      <c r="J4773" s="17"/>
      <c r="K4773" s="17"/>
    </row>
    <row r="4774" spans="1:11" x14ac:dyDescent="0.2">
      <c r="A4774" s="115"/>
      <c r="B4774" s="93"/>
      <c r="C4774" s="94"/>
      <c r="D4774" s="95"/>
      <c r="E4774" s="95"/>
      <c r="F4774" s="96"/>
      <c r="G4774" s="97"/>
      <c r="H4774" s="114" t="str">
        <f t="shared" si="64"/>
        <v/>
      </c>
      <c r="I4774" s="17"/>
      <c r="J4774" s="17"/>
      <c r="K4774" s="17"/>
    </row>
    <row r="4775" spans="1:11" x14ac:dyDescent="0.2">
      <c r="A4775" s="115"/>
      <c r="B4775" s="93"/>
      <c r="C4775" s="94"/>
      <c r="D4775" s="95"/>
      <c r="E4775" s="95"/>
      <c r="F4775" s="96"/>
      <c r="G4775" s="97"/>
      <c r="H4775" s="114" t="str">
        <f t="shared" si="64"/>
        <v/>
      </c>
      <c r="I4775" s="17"/>
      <c r="J4775" s="17"/>
      <c r="K4775" s="17"/>
    </row>
    <row r="4776" spans="1:11" x14ac:dyDescent="0.2">
      <c r="A4776" s="115"/>
      <c r="B4776" s="93"/>
      <c r="C4776" s="94"/>
      <c r="D4776" s="95"/>
      <c r="E4776" s="95"/>
      <c r="F4776" s="96"/>
      <c r="G4776" s="97"/>
      <c r="H4776" s="114" t="str">
        <f t="shared" si="64"/>
        <v/>
      </c>
      <c r="I4776" s="17"/>
      <c r="J4776" s="17"/>
      <c r="K4776" s="17"/>
    </row>
    <row r="4777" spans="1:11" x14ac:dyDescent="0.2">
      <c r="A4777" s="115"/>
      <c r="B4777" s="93"/>
      <c r="C4777" s="94"/>
      <c r="D4777" s="95"/>
      <c r="E4777" s="95"/>
      <c r="F4777" s="96"/>
      <c r="G4777" s="97"/>
      <c r="H4777" s="114" t="str">
        <f t="shared" si="64"/>
        <v/>
      </c>
      <c r="I4777" s="17"/>
      <c r="J4777" s="17"/>
      <c r="K4777" s="17"/>
    </row>
    <row r="4778" spans="1:11" x14ac:dyDescent="0.2">
      <c r="A4778" s="115"/>
      <c r="B4778" s="93"/>
      <c r="C4778" s="94"/>
      <c r="D4778" s="95"/>
      <c r="E4778" s="95"/>
      <c r="F4778" s="96"/>
      <c r="G4778" s="97"/>
      <c r="H4778" s="114" t="str">
        <f t="shared" si="64"/>
        <v/>
      </c>
      <c r="I4778" s="17"/>
      <c r="J4778" s="17"/>
      <c r="K4778" s="17"/>
    </row>
    <row r="4779" spans="1:11" x14ac:dyDescent="0.2">
      <c r="A4779" s="115"/>
      <c r="B4779" s="93"/>
      <c r="C4779" s="94"/>
      <c r="D4779" s="95"/>
      <c r="E4779" s="95"/>
      <c r="F4779" s="96"/>
      <c r="G4779" s="97"/>
      <c r="H4779" s="114" t="str">
        <f t="shared" si="64"/>
        <v/>
      </c>
      <c r="I4779" s="17"/>
      <c r="J4779" s="17"/>
      <c r="K4779" s="17"/>
    </row>
    <row r="4780" spans="1:11" x14ac:dyDescent="0.2">
      <c r="A4780" s="115"/>
      <c r="B4780" s="93"/>
      <c r="C4780" s="94"/>
      <c r="D4780" s="95"/>
      <c r="E4780" s="95"/>
      <c r="F4780" s="96"/>
      <c r="G4780" s="97"/>
      <c r="H4780" s="114" t="str">
        <f t="shared" si="64"/>
        <v/>
      </c>
      <c r="I4780" s="17"/>
      <c r="J4780" s="17"/>
      <c r="K4780" s="17"/>
    </row>
    <row r="4781" spans="1:11" x14ac:dyDescent="0.2">
      <c r="A4781" s="115"/>
      <c r="B4781" s="93"/>
      <c r="C4781" s="94"/>
      <c r="D4781" s="95"/>
      <c r="E4781" s="95"/>
      <c r="F4781" s="96"/>
      <c r="G4781" s="97"/>
      <c r="H4781" s="114" t="str">
        <f t="shared" si="64"/>
        <v/>
      </c>
      <c r="I4781" s="17"/>
      <c r="J4781" s="17"/>
      <c r="K4781" s="17"/>
    </row>
    <row r="4782" spans="1:11" x14ac:dyDescent="0.2">
      <c r="A4782" s="115"/>
      <c r="B4782" s="93"/>
      <c r="C4782" s="94"/>
      <c r="D4782" s="95"/>
      <c r="E4782" s="95"/>
      <c r="F4782" s="96"/>
      <c r="G4782" s="97"/>
      <c r="H4782" s="114" t="str">
        <f t="shared" si="64"/>
        <v/>
      </c>
      <c r="I4782" s="17"/>
      <c r="J4782" s="17"/>
      <c r="K4782" s="17"/>
    </row>
    <row r="4783" spans="1:11" x14ac:dyDescent="0.2">
      <c r="A4783" s="115"/>
      <c r="B4783" s="93"/>
      <c r="C4783" s="94"/>
      <c r="D4783" s="95"/>
      <c r="E4783" s="95"/>
      <c r="F4783" s="96"/>
      <c r="G4783" s="97"/>
      <c r="H4783" s="114" t="str">
        <f t="shared" si="64"/>
        <v/>
      </c>
      <c r="I4783" s="17"/>
      <c r="J4783" s="17"/>
      <c r="K4783" s="17"/>
    </row>
    <row r="4784" spans="1:11" x14ac:dyDescent="0.2">
      <c r="A4784" s="115"/>
      <c r="B4784" s="93"/>
      <c r="C4784" s="94"/>
      <c r="D4784" s="95"/>
      <c r="E4784" s="95"/>
      <c r="F4784" s="96"/>
      <c r="G4784" s="97"/>
      <c r="H4784" s="114" t="str">
        <f t="shared" si="64"/>
        <v/>
      </c>
      <c r="I4784" s="17"/>
      <c r="J4784" s="17"/>
      <c r="K4784" s="17"/>
    </row>
    <row r="4785" spans="1:11" x14ac:dyDescent="0.2">
      <c r="A4785" s="115"/>
      <c r="B4785" s="93"/>
      <c r="C4785" s="94"/>
      <c r="D4785" s="95"/>
      <c r="E4785" s="95"/>
      <c r="F4785" s="96"/>
      <c r="G4785" s="97"/>
      <c r="H4785" s="114" t="str">
        <f t="shared" si="64"/>
        <v/>
      </c>
      <c r="I4785" s="17"/>
      <c r="J4785" s="17"/>
      <c r="K4785" s="17"/>
    </row>
    <row r="4786" spans="1:11" x14ac:dyDescent="0.2">
      <c r="A4786" s="115"/>
      <c r="B4786" s="93"/>
      <c r="C4786" s="94"/>
      <c r="D4786" s="95"/>
      <c r="E4786" s="95"/>
      <c r="F4786" s="96"/>
      <c r="G4786" s="97"/>
      <c r="H4786" s="114" t="str">
        <f t="shared" si="64"/>
        <v/>
      </c>
      <c r="I4786" s="17"/>
      <c r="J4786" s="17"/>
      <c r="K4786" s="17"/>
    </row>
    <row r="4787" spans="1:11" x14ac:dyDescent="0.2">
      <c r="A4787" s="115"/>
      <c r="B4787" s="93"/>
      <c r="C4787" s="94"/>
      <c r="D4787" s="95"/>
      <c r="E4787" s="95"/>
      <c r="F4787" s="96"/>
      <c r="G4787" s="97"/>
      <c r="H4787" s="114" t="str">
        <f t="shared" si="64"/>
        <v/>
      </c>
      <c r="I4787" s="17"/>
      <c r="J4787" s="17"/>
      <c r="K4787" s="17"/>
    </row>
    <row r="4788" spans="1:11" x14ac:dyDescent="0.2">
      <c r="A4788" s="115"/>
      <c r="B4788" s="93"/>
      <c r="C4788" s="94"/>
      <c r="D4788" s="95"/>
      <c r="E4788" s="95"/>
      <c r="F4788" s="96"/>
      <c r="G4788" s="97"/>
      <c r="H4788" s="114" t="str">
        <f t="shared" si="64"/>
        <v/>
      </c>
      <c r="I4788" s="17"/>
      <c r="J4788" s="17"/>
      <c r="K4788" s="17"/>
    </row>
    <row r="4789" spans="1:11" x14ac:dyDescent="0.2">
      <c r="A4789" s="115"/>
      <c r="B4789" s="93"/>
      <c r="C4789" s="94"/>
      <c r="D4789" s="95"/>
      <c r="E4789" s="95"/>
      <c r="F4789" s="96"/>
      <c r="G4789" s="97"/>
      <c r="H4789" s="114" t="str">
        <f t="shared" si="64"/>
        <v/>
      </c>
      <c r="I4789" s="17"/>
      <c r="J4789" s="17"/>
      <c r="K4789" s="17"/>
    </row>
    <row r="4790" spans="1:11" x14ac:dyDescent="0.2">
      <c r="A4790" s="115"/>
      <c r="B4790" s="93"/>
      <c r="C4790" s="94"/>
      <c r="D4790" s="95"/>
      <c r="E4790" s="95"/>
      <c r="F4790" s="96"/>
      <c r="G4790" s="97"/>
      <c r="H4790" s="114" t="str">
        <f t="shared" si="64"/>
        <v/>
      </c>
      <c r="I4790" s="17"/>
      <c r="J4790" s="17"/>
      <c r="K4790" s="17"/>
    </row>
    <row r="4791" spans="1:11" x14ac:dyDescent="0.2">
      <c r="A4791" s="115"/>
      <c r="B4791" s="93"/>
      <c r="C4791" s="94"/>
      <c r="D4791" s="95"/>
      <c r="E4791" s="95"/>
      <c r="F4791" s="96"/>
      <c r="G4791" s="97"/>
      <c r="H4791" s="114" t="str">
        <f t="shared" si="64"/>
        <v/>
      </c>
      <c r="I4791" s="17"/>
      <c r="J4791" s="17"/>
      <c r="K4791" s="17"/>
    </row>
    <row r="4792" spans="1:11" x14ac:dyDescent="0.2">
      <c r="A4792" s="115"/>
      <c r="B4792" s="93"/>
      <c r="C4792" s="94"/>
      <c r="D4792" s="95"/>
      <c r="E4792" s="95"/>
      <c r="F4792" s="96"/>
      <c r="G4792" s="97"/>
      <c r="H4792" s="114" t="str">
        <f t="shared" si="64"/>
        <v/>
      </c>
      <c r="I4792" s="17"/>
      <c r="J4792" s="17"/>
      <c r="K4792" s="17"/>
    </row>
    <row r="4793" spans="1:11" x14ac:dyDescent="0.2">
      <c r="A4793" s="115"/>
      <c r="B4793" s="93"/>
      <c r="C4793" s="94"/>
      <c r="D4793" s="95"/>
      <c r="E4793" s="95"/>
      <c r="F4793" s="96"/>
      <c r="G4793" s="97"/>
      <c r="H4793" s="114" t="str">
        <f t="shared" si="64"/>
        <v/>
      </c>
      <c r="I4793" s="17"/>
      <c r="J4793" s="17"/>
      <c r="K4793" s="17"/>
    </row>
    <row r="4794" spans="1:11" x14ac:dyDescent="0.2">
      <c r="A4794" s="115"/>
      <c r="B4794" s="93"/>
      <c r="C4794" s="94"/>
      <c r="D4794" s="95"/>
      <c r="E4794" s="95"/>
      <c r="F4794" s="96"/>
      <c r="G4794" s="97"/>
      <c r="H4794" s="114" t="str">
        <f t="shared" si="64"/>
        <v/>
      </c>
      <c r="I4794" s="17"/>
      <c r="J4794" s="17"/>
      <c r="K4794" s="17"/>
    </row>
    <row r="4795" spans="1:11" x14ac:dyDescent="0.2">
      <c r="A4795" s="115"/>
      <c r="B4795" s="93"/>
      <c r="C4795" s="94"/>
      <c r="D4795" s="95"/>
      <c r="E4795" s="95"/>
      <c r="F4795" s="96"/>
      <c r="G4795" s="97"/>
      <c r="H4795" s="114" t="str">
        <f t="shared" si="64"/>
        <v/>
      </c>
      <c r="I4795" s="17"/>
      <c r="J4795" s="17"/>
      <c r="K4795" s="17"/>
    </row>
    <row r="4796" spans="1:11" x14ac:dyDescent="0.2">
      <c r="A4796" s="115"/>
      <c r="B4796" s="93"/>
      <c r="C4796" s="94"/>
      <c r="D4796" s="95"/>
      <c r="E4796" s="95"/>
      <c r="F4796" s="96"/>
      <c r="G4796" s="97"/>
      <c r="H4796" s="114" t="str">
        <f t="shared" si="64"/>
        <v/>
      </c>
      <c r="I4796" s="17"/>
      <c r="J4796" s="17"/>
      <c r="K4796" s="17"/>
    </row>
    <row r="4797" spans="1:11" x14ac:dyDescent="0.2">
      <c r="A4797" s="115"/>
      <c r="B4797" s="93"/>
      <c r="C4797" s="94"/>
      <c r="D4797" s="95"/>
      <c r="E4797" s="95"/>
      <c r="F4797" s="96"/>
      <c r="G4797" s="97"/>
      <c r="H4797" s="114" t="str">
        <f t="shared" si="64"/>
        <v/>
      </c>
      <c r="I4797" s="17"/>
      <c r="J4797" s="17"/>
      <c r="K4797" s="17"/>
    </row>
    <row r="4798" spans="1:11" x14ac:dyDescent="0.2">
      <c r="A4798" s="115"/>
      <c r="B4798" s="93"/>
      <c r="C4798" s="94"/>
      <c r="D4798" s="95"/>
      <c r="E4798" s="95"/>
      <c r="F4798" s="96"/>
      <c r="G4798" s="97"/>
      <c r="H4798" s="114" t="str">
        <f t="shared" si="64"/>
        <v/>
      </c>
      <c r="I4798" s="17"/>
      <c r="J4798" s="17"/>
      <c r="K4798" s="17"/>
    </row>
    <row r="4799" spans="1:11" x14ac:dyDescent="0.2">
      <c r="A4799" s="115"/>
      <c r="B4799" s="93"/>
      <c r="C4799" s="94"/>
      <c r="D4799" s="95"/>
      <c r="E4799" s="95"/>
      <c r="F4799" s="96"/>
      <c r="G4799" s="97"/>
      <c r="H4799" s="114" t="str">
        <f t="shared" si="64"/>
        <v/>
      </c>
      <c r="I4799" s="17"/>
      <c r="J4799" s="17"/>
      <c r="K4799" s="17"/>
    </row>
    <row r="4800" spans="1:11" x14ac:dyDescent="0.2">
      <c r="A4800" s="115"/>
      <c r="B4800" s="93"/>
      <c r="C4800" s="94"/>
      <c r="D4800" s="95"/>
      <c r="E4800" s="95"/>
      <c r="F4800" s="96"/>
      <c r="G4800" s="97"/>
      <c r="H4800" s="114" t="str">
        <f t="shared" si="64"/>
        <v/>
      </c>
      <c r="I4800" s="17"/>
      <c r="J4800" s="17"/>
      <c r="K4800" s="17"/>
    </row>
    <row r="4801" spans="1:11" x14ac:dyDescent="0.2">
      <c r="A4801" s="115"/>
      <c r="B4801" s="93"/>
      <c r="C4801" s="94"/>
      <c r="D4801" s="95"/>
      <c r="E4801" s="95"/>
      <c r="F4801" s="96"/>
      <c r="G4801" s="97"/>
      <c r="H4801" s="114" t="str">
        <f t="shared" si="64"/>
        <v/>
      </c>
      <c r="I4801" s="17"/>
      <c r="J4801" s="17"/>
      <c r="K4801" s="17"/>
    </row>
    <row r="4802" spans="1:11" x14ac:dyDescent="0.2">
      <c r="A4802" s="115"/>
      <c r="B4802" s="93"/>
      <c r="C4802" s="94"/>
      <c r="D4802" s="95"/>
      <c r="E4802" s="95"/>
      <c r="F4802" s="96"/>
      <c r="G4802" s="97"/>
      <c r="H4802" s="114" t="str">
        <f t="shared" si="64"/>
        <v/>
      </c>
      <c r="I4802" s="17"/>
      <c r="J4802" s="17"/>
      <c r="K4802" s="17"/>
    </row>
    <row r="4803" spans="1:11" x14ac:dyDescent="0.2">
      <c r="A4803" s="115"/>
      <c r="B4803" s="93"/>
      <c r="C4803" s="94"/>
      <c r="D4803" s="95"/>
      <c r="E4803" s="95"/>
      <c r="F4803" s="96"/>
      <c r="G4803" s="97"/>
      <c r="H4803" s="114" t="str">
        <f t="shared" si="64"/>
        <v/>
      </c>
      <c r="I4803" s="17"/>
      <c r="J4803" s="17"/>
      <c r="K4803" s="17"/>
    </row>
    <row r="4804" spans="1:11" x14ac:dyDescent="0.2">
      <c r="A4804" s="115"/>
      <c r="B4804" s="93"/>
      <c r="C4804" s="94"/>
      <c r="D4804" s="95"/>
      <c r="E4804" s="95"/>
      <c r="F4804" s="96"/>
      <c r="G4804" s="97"/>
      <c r="H4804" s="114" t="str">
        <f t="shared" ref="H4804:H4867" si="65">IF(A4804&lt;&gt;"", EOMONTH(A4804, -1) + 1, "")</f>
        <v/>
      </c>
      <c r="I4804" s="17"/>
      <c r="J4804" s="17"/>
      <c r="K4804" s="17"/>
    </row>
    <row r="4805" spans="1:11" x14ac:dyDescent="0.2">
      <c r="A4805" s="115"/>
      <c r="B4805" s="93"/>
      <c r="C4805" s="94"/>
      <c r="D4805" s="95"/>
      <c r="E4805" s="95"/>
      <c r="F4805" s="96"/>
      <c r="G4805" s="97"/>
      <c r="H4805" s="114" t="str">
        <f t="shared" si="65"/>
        <v/>
      </c>
      <c r="I4805" s="17"/>
      <c r="J4805" s="17"/>
      <c r="K4805" s="17"/>
    </row>
    <row r="4806" spans="1:11" x14ac:dyDescent="0.2">
      <c r="A4806" s="115"/>
      <c r="B4806" s="93"/>
      <c r="C4806" s="94"/>
      <c r="D4806" s="95"/>
      <c r="E4806" s="95"/>
      <c r="F4806" s="96"/>
      <c r="G4806" s="97"/>
      <c r="H4806" s="114" t="str">
        <f t="shared" si="65"/>
        <v/>
      </c>
      <c r="I4806" s="17"/>
      <c r="J4806" s="17"/>
      <c r="K4806" s="17"/>
    </row>
    <row r="4807" spans="1:11" x14ac:dyDescent="0.2">
      <c r="A4807" s="115"/>
      <c r="B4807" s="93"/>
      <c r="C4807" s="94"/>
      <c r="D4807" s="95"/>
      <c r="E4807" s="95"/>
      <c r="F4807" s="96"/>
      <c r="G4807" s="97"/>
      <c r="H4807" s="114" t="str">
        <f t="shared" si="65"/>
        <v/>
      </c>
      <c r="I4807" s="17"/>
      <c r="J4807" s="17"/>
      <c r="K4807" s="17"/>
    </row>
    <row r="4808" spans="1:11" x14ac:dyDescent="0.2">
      <c r="A4808" s="115"/>
      <c r="B4808" s="93"/>
      <c r="C4808" s="94"/>
      <c r="D4808" s="95"/>
      <c r="E4808" s="95"/>
      <c r="F4808" s="96"/>
      <c r="G4808" s="97"/>
      <c r="H4808" s="114" t="str">
        <f t="shared" si="65"/>
        <v/>
      </c>
      <c r="I4808" s="17"/>
      <c r="J4808" s="17"/>
      <c r="K4808" s="17"/>
    </row>
    <row r="4809" spans="1:11" x14ac:dyDescent="0.2">
      <c r="A4809" s="115"/>
      <c r="B4809" s="93"/>
      <c r="C4809" s="94"/>
      <c r="D4809" s="95"/>
      <c r="E4809" s="95"/>
      <c r="F4809" s="96"/>
      <c r="G4809" s="97"/>
      <c r="H4809" s="114" t="str">
        <f t="shared" si="65"/>
        <v/>
      </c>
      <c r="I4809" s="17"/>
      <c r="J4809" s="17"/>
      <c r="K4809" s="17"/>
    </row>
    <row r="4810" spans="1:11" x14ac:dyDescent="0.2">
      <c r="A4810" s="115"/>
      <c r="B4810" s="93"/>
      <c r="C4810" s="94"/>
      <c r="D4810" s="95"/>
      <c r="E4810" s="95"/>
      <c r="F4810" s="96"/>
      <c r="G4810" s="97"/>
      <c r="H4810" s="114" t="str">
        <f t="shared" si="65"/>
        <v/>
      </c>
      <c r="I4810" s="17"/>
      <c r="J4810" s="17"/>
      <c r="K4810" s="17"/>
    </row>
    <row r="4811" spans="1:11" x14ac:dyDescent="0.2">
      <c r="A4811" s="115"/>
      <c r="B4811" s="93"/>
      <c r="C4811" s="94"/>
      <c r="D4811" s="95"/>
      <c r="E4811" s="95"/>
      <c r="F4811" s="96"/>
      <c r="G4811" s="97"/>
      <c r="H4811" s="114" t="str">
        <f t="shared" si="65"/>
        <v/>
      </c>
      <c r="I4811" s="17"/>
      <c r="J4811" s="17"/>
      <c r="K4811" s="17"/>
    </row>
    <row r="4812" spans="1:11" x14ac:dyDescent="0.2">
      <c r="A4812" s="115"/>
      <c r="B4812" s="93"/>
      <c r="C4812" s="94"/>
      <c r="D4812" s="95"/>
      <c r="E4812" s="95"/>
      <c r="F4812" s="96"/>
      <c r="G4812" s="97"/>
      <c r="H4812" s="114" t="str">
        <f t="shared" si="65"/>
        <v/>
      </c>
      <c r="I4812" s="17"/>
      <c r="J4812" s="17"/>
      <c r="K4812" s="17"/>
    </row>
    <row r="4813" spans="1:11" x14ac:dyDescent="0.2">
      <c r="A4813" s="115"/>
      <c r="B4813" s="93"/>
      <c r="C4813" s="94"/>
      <c r="D4813" s="95"/>
      <c r="E4813" s="95"/>
      <c r="F4813" s="96"/>
      <c r="G4813" s="97"/>
      <c r="H4813" s="114" t="str">
        <f t="shared" si="65"/>
        <v/>
      </c>
      <c r="I4813" s="17"/>
      <c r="J4813" s="17"/>
      <c r="K4813" s="17"/>
    </row>
    <row r="4814" spans="1:11" x14ac:dyDescent="0.2">
      <c r="A4814" s="115"/>
      <c r="B4814" s="93"/>
      <c r="C4814" s="94"/>
      <c r="D4814" s="95"/>
      <c r="E4814" s="95"/>
      <c r="F4814" s="96"/>
      <c r="G4814" s="97"/>
      <c r="H4814" s="114" t="str">
        <f t="shared" si="65"/>
        <v/>
      </c>
      <c r="I4814" s="17"/>
      <c r="J4814" s="17"/>
      <c r="K4814" s="17"/>
    </row>
    <row r="4815" spans="1:11" x14ac:dyDescent="0.2">
      <c r="A4815" s="115"/>
      <c r="B4815" s="93"/>
      <c r="C4815" s="94"/>
      <c r="D4815" s="95"/>
      <c r="E4815" s="95"/>
      <c r="F4815" s="96"/>
      <c r="G4815" s="97"/>
      <c r="H4815" s="114" t="str">
        <f t="shared" si="65"/>
        <v/>
      </c>
      <c r="I4815" s="17"/>
      <c r="J4815" s="17"/>
      <c r="K4815" s="17"/>
    </row>
    <row r="4816" spans="1:11" x14ac:dyDescent="0.2">
      <c r="A4816" s="115"/>
      <c r="B4816" s="93"/>
      <c r="C4816" s="94"/>
      <c r="D4816" s="95"/>
      <c r="E4816" s="95"/>
      <c r="F4816" s="96"/>
      <c r="G4816" s="97"/>
      <c r="H4816" s="114" t="str">
        <f t="shared" si="65"/>
        <v/>
      </c>
      <c r="I4816" s="17"/>
      <c r="J4816" s="17"/>
      <c r="K4816" s="17"/>
    </row>
    <row r="4817" spans="1:11" x14ac:dyDescent="0.2">
      <c r="A4817" s="115"/>
      <c r="B4817" s="93"/>
      <c r="C4817" s="94"/>
      <c r="D4817" s="95"/>
      <c r="E4817" s="95"/>
      <c r="F4817" s="96"/>
      <c r="G4817" s="97"/>
      <c r="H4817" s="114" t="str">
        <f t="shared" si="65"/>
        <v/>
      </c>
      <c r="I4817" s="17"/>
      <c r="J4817" s="17"/>
      <c r="K4817" s="17"/>
    </row>
    <row r="4818" spans="1:11" x14ac:dyDescent="0.2">
      <c r="A4818" s="115"/>
      <c r="B4818" s="93"/>
      <c r="C4818" s="94"/>
      <c r="D4818" s="95"/>
      <c r="E4818" s="95"/>
      <c r="F4818" s="96"/>
      <c r="G4818" s="97"/>
      <c r="H4818" s="114" t="str">
        <f t="shared" si="65"/>
        <v/>
      </c>
      <c r="I4818" s="17"/>
      <c r="J4818" s="17"/>
      <c r="K4818" s="17"/>
    </row>
    <row r="4819" spans="1:11" x14ac:dyDescent="0.2">
      <c r="A4819" s="115"/>
      <c r="B4819" s="93"/>
      <c r="C4819" s="94"/>
      <c r="D4819" s="95"/>
      <c r="E4819" s="95"/>
      <c r="F4819" s="96"/>
      <c r="G4819" s="97"/>
      <c r="H4819" s="114" t="str">
        <f t="shared" si="65"/>
        <v/>
      </c>
      <c r="I4819" s="17"/>
      <c r="J4819" s="17"/>
      <c r="K4819" s="17"/>
    </row>
    <row r="4820" spans="1:11" x14ac:dyDescent="0.2">
      <c r="A4820" s="115"/>
      <c r="B4820" s="93"/>
      <c r="C4820" s="94"/>
      <c r="D4820" s="95"/>
      <c r="E4820" s="95"/>
      <c r="F4820" s="96"/>
      <c r="G4820" s="97"/>
      <c r="H4820" s="114" t="str">
        <f t="shared" si="65"/>
        <v/>
      </c>
      <c r="I4820" s="17"/>
      <c r="J4820" s="17"/>
      <c r="K4820" s="17"/>
    </row>
    <row r="4821" spans="1:11" x14ac:dyDescent="0.2">
      <c r="A4821" s="115"/>
      <c r="B4821" s="93"/>
      <c r="C4821" s="94"/>
      <c r="D4821" s="95"/>
      <c r="E4821" s="95"/>
      <c r="F4821" s="96"/>
      <c r="G4821" s="97"/>
      <c r="H4821" s="114" t="str">
        <f t="shared" si="65"/>
        <v/>
      </c>
      <c r="I4821" s="17"/>
      <c r="J4821" s="17"/>
      <c r="K4821" s="17"/>
    </row>
    <row r="4822" spans="1:11" x14ac:dyDescent="0.2">
      <c r="A4822" s="115"/>
      <c r="B4822" s="93"/>
      <c r="C4822" s="94"/>
      <c r="D4822" s="95"/>
      <c r="E4822" s="95"/>
      <c r="F4822" s="96"/>
      <c r="G4822" s="97"/>
      <c r="H4822" s="114" t="str">
        <f t="shared" si="65"/>
        <v/>
      </c>
      <c r="I4822" s="17"/>
      <c r="J4822" s="17"/>
      <c r="K4822" s="17"/>
    </row>
    <row r="4823" spans="1:11" x14ac:dyDescent="0.2">
      <c r="A4823" s="115"/>
      <c r="B4823" s="93"/>
      <c r="C4823" s="94"/>
      <c r="D4823" s="95"/>
      <c r="E4823" s="95"/>
      <c r="F4823" s="96"/>
      <c r="G4823" s="97"/>
      <c r="H4823" s="114" t="str">
        <f t="shared" si="65"/>
        <v/>
      </c>
      <c r="I4823" s="17"/>
      <c r="J4823" s="17"/>
      <c r="K4823" s="17"/>
    </row>
    <row r="4824" spans="1:11" x14ac:dyDescent="0.2">
      <c r="A4824" s="115"/>
      <c r="B4824" s="93"/>
      <c r="C4824" s="94"/>
      <c r="D4824" s="95"/>
      <c r="E4824" s="95"/>
      <c r="F4824" s="96"/>
      <c r="G4824" s="97"/>
      <c r="H4824" s="114" t="str">
        <f t="shared" si="65"/>
        <v/>
      </c>
      <c r="I4824" s="17"/>
      <c r="J4824" s="17"/>
      <c r="K4824" s="17"/>
    </row>
    <row r="4825" spans="1:11" x14ac:dyDescent="0.2">
      <c r="A4825" s="115"/>
      <c r="B4825" s="93"/>
      <c r="C4825" s="94"/>
      <c r="D4825" s="95"/>
      <c r="E4825" s="95"/>
      <c r="F4825" s="96"/>
      <c r="G4825" s="97"/>
      <c r="H4825" s="114" t="str">
        <f t="shared" si="65"/>
        <v/>
      </c>
      <c r="I4825" s="17"/>
      <c r="J4825" s="17"/>
      <c r="K4825" s="17"/>
    </row>
    <row r="4826" spans="1:11" x14ac:dyDescent="0.2">
      <c r="A4826" s="115"/>
      <c r="B4826" s="93"/>
      <c r="C4826" s="94"/>
      <c r="D4826" s="95"/>
      <c r="E4826" s="95"/>
      <c r="F4826" s="96"/>
      <c r="G4826" s="97"/>
      <c r="H4826" s="114" t="str">
        <f t="shared" si="65"/>
        <v/>
      </c>
      <c r="I4826" s="17"/>
      <c r="J4826" s="17"/>
      <c r="K4826" s="17"/>
    </row>
    <row r="4827" spans="1:11" x14ac:dyDescent="0.2">
      <c r="A4827" s="115"/>
      <c r="B4827" s="93"/>
      <c r="C4827" s="94"/>
      <c r="D4827" s="95"/>
      <c r="E4827" s="95"/>
      <c r="F4827" s="96"/>
      <c r="G4827" s="97"/>
      <c r="H4827" s="114" t="str">
        <f t="shared" si="65"/>
        <v/>
      </c>
      <c r="I4827" s="17"/>
      <c r="J4827" s="17"/>
      <c r="K4827" s="17"/>
    </row>
    <row r="4828" spans="1:11" x14ac:dyDescent="0.2">
      <c r="A4828" s="115"/>
      <c r="B4828" s="93"/>
      <c r="C4828" s="94"/>
      <c r="D4828" s="95"/>
      <c r="E4828" s="95"/>
      <c r="F4828" s="96"/>
      <c r="G4828" s="97"/>
      <c r="H4828" s="114" t="str">
        <f t="shared" si="65"/>
        <v/>
      </c>
      <c r="I4828" s="17"/>
      <c r="J4828" s="17"/>
      <c r="K4828" s="17"/>
    </row>
    <row r="4829" spans="1:11" x14ac:dyDescent="0.2">
      <c r="A4829" s="115"/>
      <c r="B4829" s="93"/>
      <c r="C4829" s="94"/>
      <c r="D4829" s="95"/>
      <c r="E4829" s="95"/>
      <c r="F4829" s="96"/>
      <c r="G4829" s="97"/>
      <c r="H4829" s="114" t="str">
        <f t="shared" si="65"/>
        <v/>
      </c>
      <c r="I4829" s="17"/>
      <c r="J4829" s="17"/>
      <c r="K4829" s="17"/>
    </row>
    <row r="4830" spans="1:11" x14ac:dyDescent="0.2">
      <c r="A4830" s="115"/>
      <c r="B4830" s="93"/>
      <c r="C4830" s="94"/>
      <c r="D4830" s="95"/>
      <c r="E4830" s="95"/>
      <c r="F4830" s="96"/>
      <c r="G4830" s="97"/>
      <c r="H4830" s="114" t="str">
        <f t="shared" si="65"/>
        <v/>
      </c>
      <c r="I4830" s="17"/>
      <c r="J4830" s="17"/>
      <c r="K4830" s="17"/>
    </row>
    <row r="4831" spans="1:11" x14ac:dyDescent="0.2">
      <c r="A4831" s="115"/>
      <c r="B4831" s="93"/>
      <c r="C4831" s="94"/>
      <c r="D4831" s="95"/>
      <c r="E4831" s="95"/>
      <c r="F4831" s="96"/>
      <c r="G4831" s="97"/>
      <c r="H4831" s="114" t="str">
        <f t="shared" si="65"/>
        <v/>
      </c>
      <c r="I4831" s="17"/>
      <c r="J4831" s="17"/>
      <c r="K4831" s="17"/>
    </row>
    <row r="4832" spans="1:11" x14ac:dyDescent="0.2">
      <c r="A4832" s="115"/>
      <c r="B4832" s="93"/>
      <c r="C4832" s="94"/>
      <c r="D4832" s="95"/>
      <c r="E4832" s="95"/>
      <c r="F4832" s="96"/>
      <c r="G4832" s="97"/>
      <c r="H4832" s="114" t="str">
        <f t="shared" si="65"/>
        <v/>
      </c>
      <c r="I4832" s="17"/>
      <c r="J4832" s="17"/>
      <c r="K4832" s="17"/>
    </row>
    <row r="4833" spans="1:11" x14ac:dyDescent="0.2">
      <c r="A4833" s="115"/>
      <c r="B4833" s="93"/>
      <c r="C4833" s="94"/>
      <c r="D4833" s="95"/>
      <c r="E4833" s="95"/>
      <c r="F4833" s="96"/>
      <c r="G4833" s="97"/>
      <c r="H4833" s="114" t="str">
        <f t="shared" si="65"/>
        <v/>
      </c>
      <c r="I4833" s="17"/>
      <c r="J4833" s="17"/>
      <c r="K4833" s="17"/>
    </row>
    <row r="4834" spans="1:11" x14ac:dyDescent="0.2">
      <c r="A4834" s="115"/>
      <c r="B4834" s="93"/>
      <c r="C4834" s="94"/>
      <c r="D4834" s="95"/>
      <c r="E4834" s="95"/>
      <c r="F4834" s="96"/>
      <c r="G4834" s="97"/>
      <c r="H4834" s="114" t="str">
        <f t="shared" si="65"/>
        <v/>
      </c>
      <c r="I4834" s="17"/>
      <c r="J4834" s="17"/>
      <c r="K4834" s="17"/>
    </row>
    <row r="4835" spans="1:11" x14ac:dyDescent="0.2">
      <c r="A4835" s="115"/>
      <c r="B4835" s="93"/>
      <c r="C4835" s="94"/>
      <c r="D4835" s="95"/>
      <c r="E4835" s="95"/>
      <c r="F4835" s="96"/>
      <c r="G4835" s="97"/>
      <c r="H4835" s="114" t="str">
        <f t="shared" si="65"/>
        <v/>
      </c>
      <c r="I4835" s="17"/>
      <c r="J4835" s="17"/>
      <c r="K4835" s="17"/>
    </row>
    <row r="4836" spans="1:11" x14ac:dyDescent="0.2">
      <c r="A4836" s="115"/>
      <c r="B4836" s="93"/>
      <c r="C4836" s="94"/>
      <c r="D4836" s="95"/>
      <c r="E4836" s="95"/>
      <c r="F4836" s="96"/>
      <c r="G4836" s="97"/>
      <c r="H4836" s="114" t="str">
        <f t="shared" si="65"/>
        <v/>
      </c>
      <c r="I4836" s="17"/>
      <c r="J4836" s="17"/>
      <c r="K4836" s="17"/>
    </row>
    <row r="4837" spans="1:11" x14ac:dyDescent="0.2">
      <c r="A4837" s="115"/>
      <c r="B4837" s="93"/>
      <c r="C4837" s="94"/>
      <c r="D4837" s="95"/>
      <c r="E4837" s="95"/>
      <c r="F4837" s="96"/>
      <c r="G4837" s="97"/>
      <c r="H4837" s="114" t="str">
        <f t="shared" si="65"/>
        <v/>
      </c>
      <c r="I4837" s="17"/>
      <c r="J4837" s="17"/>
      <c r="K4837" s="17"/>
    </row>
    <row r="4838" spans="1:11" x14ac:dyDescent="0.2">
      <c r="A4838" s="115"/>
      <c r="B4838" s="93"/>
      <c r="C4838" s="94"/>
      <c r="D4838" s="95"/>
      <c r="E4838" s="95"/>
      <c r="F4838" s="96"/>
      <c r="G4838" s="97"/>
      <c r="H4838" s="114" t="str">
        <f t="shared" si="65"/>
        <v/>
      </c>
      <c r="I4838" s="17"/>
      <c r="J4838" s="17"/>
      <c r="K4838" s="17"/>
    </row>
    <row r="4839" spans="1:11" x14ac:dyDescent="0.2">
      <c r="A4839" s="115"/>
      <c r="B4839" s="93"/>
      <c r="C4839" s="94"/>
      <c r="D4839" s="95"/>
      <c r="E4839" s="95"/>
      <c r="F4839" s="96"/>
      <c r="G4839" s="97"/>
      <c r="H4839" s="114" t="str">
        <f t="shared" si="65"/>
        <v/>
      </c>
      <c r="I4839" s="17"/>
      <c r="J4839" s="17"/>
      <c r="K4839" s="17"/>
    </row>
    <row r="4840" spans="1:11" x14ac:dyDescent="0.2">
      <c r="A4840" s="115"/>
      <c r="B4840" s="93"/>
      <c r="C4840" s="94"/>
      <c r="D4840" s="95"/>
      <c r="E4840" s="95"/>
      <c r="F4840" s="96"/>
      <c r="G4840" s="97"/>
      <c r="H4840" s="114" t="str">
        <f t="shared" si="65"/>
        <v/>
      </c>
      <c r="I4840" s="17"/>
      <c r="J4840" s="17"/>
      <c r="K4840" s="17"/>
    </row>
    <row r="4841" spans="1:11" x14ac:dyDescent="0.2">
      <c r="A4841" s="115"/>
      <c r="B4841" s="93"/>
      <c r="C4841" s="94"/>
      <c r="D4841" s="95"/>
      <c r="E4841" s="95"/>
      <c r="F4841" s="96"/>
      <c r="G4841" s="97"/>
      <c r="H4841" s="114" t="str">
        <f t="shared" si="65"/>
        <v/>
      </c>
      <c r="I4841" s="17"/>
      <c r="J4841" s="17"/>
      <c r="K4841" s="17"/>
    </row>
    <row r="4842" spans="1:11" x14ac:dyDescent="0.2">
      <c r="A4842" s="115"/>
      <c r="B4842" s="93"/>
      <c r="C4842" s="94"/>
      <c r="D4842" s="95"/>
      <c r="E4842" s="95"/>
      <c r="F4842" s="96"/>
      <c r="G4842" s="97"/>
      <c r="H4842" s="114" t="str">
        <f t="shared" si="65"/>
        <v/>
      </c>
      <c r="I4842" s="17"/>
      <c r="J4842" s="17"/>
      <c r="K4842" s="17"/>
    </row>
    <row r="4843" spans="1:11" x14ac:dyDescent="0.2">
      <c r="A4843" s="115"/>
      <c r="B4843" s="93"/>
      <c r="C4843" s="94"/>
      <c r="D4843" s="95"/>
      <c r="E4843" s="95"/>
      <c r="F4843" s="96"/>
      <c r="G4843" s="97"/>
      <c r="H4843" s="114" t="str">
        <f t="shared" si="65"/>
        <v/>
      </c>
      <c r="I4843" s="17"/>
      <c r="J4843" s="17"/>
      <c r="K4843" s="17"/>
    </row>
    <row r="4844" spans="1:11" x14ac:dyDescent="0.2">
      <c r="A4844" s="115"/>
      <c r="B4844" s="93"/>
      <c r="C4844" s="94"/>
      <c r="D4844" s="95"/>
      <c r="E4844" s="95"/>
      <c r="F4844" s="96"/>
      <c r="G4844" s="97"/>
      <c r="H4844" s="114" t="str">
        <f t="shared" si="65"/>
        <v/>
      </c>
      <c r="I4844" s="17"/>
      <c r="J4844" s="17"/>
      <c r="K4844" s="17"/>
    </row>
    <row r="4845" spans="1:11" x14ac:dyDescent="0.2">
      <c r="A4845" s="115"/>
      <c r="B4845" s="93"/>
      <c r="C4845" s="94"/>
      <c r="D4845" s="95"/>
      <c r="E4845" s="95"/>
      <c r="F4845" s="96"/>
      <c r="G4845" s="97"/>
      <c r="H4845" s="114" t="str">
        <f t="shared" si="65"/>
        <v/>
      </c>
      <c r="I4845" s="17"/>
      <c r="J4845" s="17"/>
      <c r="K4845" s="17"/>
    </row>
    <row r="4846" spans="1:11" x14ac:dyDescent="0.2">
      <c r="A4846" s="115"/>
      <c r="B4846" s="93"/>
      <c r="C4846" s="94"/>
      <c r="D4846" s="95"/>
      <c r="E4846" s="95"/>
      <c r="F4846" s="96"/>
      <c r="G4846" s="97"/>
      <c r="H4846" s="114" t="str">
        <f t="shared" si="65"/>
        <v/>
      </c>
      <c r="I4846" s="17"/>
      <c r="J4846" s="17"/>
      <c r="K4846" s="17"/>
    </row>
    <row r="4847" spans="1:11" x14ac:dyDescent="0.2">
      <c r="A4847" s="115"/>
      <c r="B4847" s="93"/>
      <c r="C4847" s="94"/>
      <c r="D4847" s="95"/>
      <c r="E4847" s="95"/>
      <c r="F4847" s="96"/>
      <c r="G4847" s="97"/>
      <c r="H4847" s="114" t="str">
        <f t="shared" si="65"/>
        <v/>
      </c>
      <c r="I4847" s="17"/>
      <c r="J4847" s="17"/>
      <c r="K4847" s="17"/>
    </row>
    <row r="4848" spans="1:11" x14ac:dyDescent="0.2">
      <c r="A4848" s="115"/>
      <c r="B4848" s="93"/>
      <c r="C4848" s="94"/>
      <c r="D4848" s="95"/>
      <c r="E4848" s="95"/>
      <c r="F4848" s="96"/>
      <c r="G4848" s="97"/>
      <c r="H4848" s="114" t="str">
        <f t="shared" si="65"/>
        <v/>
      </c>
      <c r="I4848" s="17"/>
      <c r="J4848" s="17"/>
      <c r="K4848" s="17"/>
    </row>
    <row r="4849" spans="1:11" x14ac:dyDescent="0.2">
      <c r="A4849" s="115"/>
      <c r="B4849" s="93"/>
      <c r="C4849" s="94"/>
      <c r="D4849" s="95"/>
      <c r="E4849" s="95"/>
      <c r="F4849" s="96"/>
      <c r="G4849" s="97"/>
      <c r="H4849" s="114" t="str">
        <f t="shared" si="65"/>
        <v/>
      </c>
      <c r="I4849" s="17"/>
      <c r="J4849" s="17"/>
      <c r="K4849" s="17"/>
    </row>
    <row r="4850" spans="1:11" x14ac:dyDescent="0.2">
      <c r="A4850" s="115"/>
      <c r="B4850" s="93"/>
      <c r="C4850" s="94"/>
      <c r="D4850" s="95"/>
      <c r="E4850" s="95"/>
      <c r="F4850" s="96"/>
      <c r="G4850" s="97"/>
      <c r="H4850" s="114" t="str">
        <f t="shared" si="65"/>
        <v/>
      </c>
      <c r="I4850" s="17"/>
      <c r="J4850" s="17"/>
      <c r="K4850" s="17"/>
    </row>
    <row r="4851" spans="1:11" x14ac:dyDescent="0.2">
      <c r="A4851" s="115"/>
      <c r="B4851" s="93"/>
      <c r="C4851" s="94"/>
      <c r="D4851" s="95"/>
      <c r="E4851" s="95"/>
      <c r="F4851" s="96"/>
      <c r="G4851" s="97"/>
      <c r="H4851" s="114" t="str">
        <f t="shared" si="65"/>
        <v/>
      </c>
      <c r="I4851" s="17"/>
      <c r="J4851" s="17"/>
      <c r="K4851" s="17"/>
    </row>
    <row r="4852" spans="1:11" x14ac:dyDescent="0.2">
      <c r="A4852" s="115"/>
      <c r="B4852" s="93"/>
      <c r="C4852" s="94"/>
      <c r="D4852" s="95"/>
      <c r="E4852" s="95"/>
      <c r="F4852" s="96"/>
      <c r="G4852" s="97"/>
      <c r="H4852" s="114" t="str">
        <f t="shared" si="65"/>
        <v/>
      </c>
      <c r="I4852" s="17"/>
      <c r="J4852" s="17"/>
      <c r="K4852" s="17"/>
    </row>
    <row r="4853" spans="1:11" x14ac:dyDescent="0.2">
      <c r="A4853" s="115"/>
      <c r="B4853" s="93"/>
      <c r="C4853" s="94"/>
      <c r="D4853" s="95"/>
      <c r="E4853" s="95"/>
      <c r="F4853" s="96"/>
      <c r="G4853" s="97"/>
      <c r="H4853" s="114" t="str">
        <f t="shared" si="65"/>
        <v/>
      </c>
      <c r="I4853" s="17"/>
      <c r="J4853" s="17"/>
      <c r="K4853" s="17"/>
    </row>
    <row r="4854" spans="1:11" x14ac:dyDescent="0.2">
      <c r="A4854" s="115"/>
      <c r="B4854" s="93"/>
      <c r="C4854" s="94"/>
      <c r="D4854" s="95"/>
      <c r="E4854" s="95"/>
      <c r="F4854" s="96"/>
      <c r="G4854" s="97"/>
      <c r="H4854" s="114" t="str">
        <f t="shared" si="65"/>
        <v/>
      </c>
      <c r="I4854" s="17"/>
      <c r="J4854" s="17"/>
      <c r="K4854" s="17"/>
    </row>
    <row r="4855" spans="1:11" x14ac:dyDescent="0.2">
      <c r="A4855" s="115"/>
      <c r="B4855" s="93"/>
      <c r="C4855" s="94"/>
      <c r="D4855" s="95"/>
      <c r="E4855" s="95"/>
      <c r="F4855" s="96"/>
      <c r="G4855" s="97"/>
      <c r="H4855" s="114" t="str">
        <f t="shared" si="65"/>
        <v/>
      </c>
      <c r="I4855" s="17"/>
      <c r="J4855" s="17"/>
      <c r="K4855" s="17"/>
    </row>
    <row r="4856" spans="1:11" x14ac:dyDescent="0.2">
      <c r="A4856" s="115"/>
      <c r="B4856" s="93"/>
      <c r="C4856" s="94"/>
      <c r="D4856" s="95"/>
      <c r="E4856" s="95"/>
      <c r="F4856" s="96"/>
      <c r="G4856" s="97"/>
      <c r="H4856" s="114" t="str">
        <f t="shared" si="65"/>
        <v/>
      </c>
      <c r="I4856" s="17"/>
      <c r="J4856" s="17"/>
      <c r="K4856" s="17"/>
    </row>
    <row r="4857" spans="1:11" x14ac:dyDescent="0.2">
      <c r="A4857" s="115"/>
      <c r="B4857" s="93"/>
      <c r="C4857" s="94"/>
      <c r="D4857" s="95"/>
      <c r="E4857" s="95"/>
      <c r="F4857" s="96"/>
      <c r="G4857" s="97"/>
      <c r="H4857" s="114" t="str">
        <f t="shared" si="65"/>
        <v/>
      </c>
      <c r="I4857" s="17"/>
      <c r="J4857" s="17"/>
      <c r="K4857" s="17"/>
    </row>
    <row r="4858" spans="1:11" x14ac:dyDescent="0.2">
      <c r="A4858" s="115"/>
      <c r="B4858" s="93"/>
      <c r="C4858" s="94"/>
      <c r="D4858" s="95"/>
      <c r="E4858" s="95"/>
      <c r="F4858" s="96"/>
      <c r="G4858" s="97"/>
      <c r="H4858" s="114" t="str">
        <f t="shared" si="65"/>
        <v/>
      </c>
      <c r="I4858" s="17"/>
      <c r="J4858" s="17"/>
      <c r="K4858" s="17"/>
    </row>
    <row r="4859" spans="1:11" x14ac:dyDescent="0.2">
      <c r="A4859" s="115"/>
      <c r="B4859" s="93"/>
      <c r="C4859" s="94"/>
      <c r="D4859" s="95"/>
      <c r="E4859" s="95"/>
      <c r="F4859" s="96"/>
      <c r="G4859" s="97"/>
      <c r="H4859" s="114" t="str">
        <f t="shared" si="65"/>
        <v/>
      </c>
      <c r="I4859" s="17"/>
      <c r="J4859" s="17"/>
      <c r="K4859" s="17"/>
    </row>
    <row r="4860" spans="1:11" x14ac:dyDescent="0.2">
      <c r="A4860" s="115"/>
      <c r="B4860" s="93"/>
      <c r="C4860" s="94"/>
      <c r="D4860" s="95"/>
      <c r="E4860" s="95"/>
      <c r="F4860" s="96"/>
      <c r="G4860" s="97"/>
      <c r="H4860" s="114" t="str">
        <f t="shared" si="65"/>
        <v/>
      </c>
      <c r="I4860" s="17"/>
      <c r="J4860" s="17"/>
      <c r="K4860" s="17"/>
    </row>
    <row r="4861" spans="1:11" x14ac:dyDescent="0.2">
      <c r="A4861" s="115"/>
      <c r="B4861" s="93"/>
      <c r="C4861" s="94"/>
      <c r="D4861" s="95"/>
      <c r="E4861" s="95"/>
      <c r="F4861" s="96"/>
      <c r="G4861" s="97"/>
      <c r="H4861" s="114" t="str">
        <f t="shared" si="65"/>
        <v/>
      </c>
      <c r="I4861" s="17"/>
      <c r="J4861" s="17"/>
      <c r="K4861" s="17"/>
    </row>
    <row r="4862" spans="1:11" x14ac:dyDescent="0.2">
      <c r="A4862" s="115"/>
      <c r="B4862" s="93"/>
      <c r="C4862" s="94"/>
      <c r="D4862" s="95"/>
      <c r="E4862" s="95"/>
      <c r="F4862" s="96"/>
      <c r="G4862" s="97"/>
      <c r="H4862" s="114" t="str">
        <f t="shared" si="65"/>
        <v/>
      </c>
      <c r="I4862" s="17"/>
      <c r="J4862" s="17"/>
      <c r="K4862" s="17"/>
    </row>
    <row r="4863" spans="1:11" x14ac:dyDescent="0.2">
      <c r="A4863" s="115"/>
      <c r="B4863" s="93"/>
      <c r="C4863" s="94"/>
      <c r="D4863" s="95"/>
      <c r="E4863" s="95"/>
      <c r="F4863" s="96"/>
      <c r="G4863" s="97"/>
      <c r="H4863" s="114" t="str">
        <f t="shared" si="65"/>
        <v/>
      </c>
      <c r="I4863" s="17"/>
      <c r="J4863" s="17"/>
      <c r="K4863" s="17"/>
    </row>
    <row r="4864" spans="1:11" x14ac:dyDescent="0.2">
      <c r="A4864" s="115"/>
      <c r="B4864" s="93"/>
      <c r="C4864" s="94"/>
      <c r="D4864" s="95"/>
      <c r="E4864" s="95"/>
      <c r="F4864" s="96"/>
      <c r="G4864" s="97"/>
      <c r="H4864" s="114" t="str">
        <f t="shared" si="65"/>
        <v/>
      </c>
      <c r="I4864" s="17"/>
      <c r="J4864" s="17"/>
      <c r="K4864" s="17"/>
    </row>
    <row r="4865" spans="1:11" x14ac:dyDescent="0.2">
      <c r="A4865" s="115"/>
      <c r="B4865" s="93"/>
      <c r="C4865" s="94"/>
      <c r="D4865" s="95"/>
      <c r="E4865" s="95"/>
      <c r="F4865" s="96"/>
      <c r="G4865" s="97"/>
      <c r="H4865" s="114" t="str">
        <f t="shared" si="65"/>
        <v/>
      </c>
      <c r="I4865" s="17"/>
      <c r="J4865" s="17"/>
      <c r="K4865" s="17"/>
    </row>
    <row r="4866" spans="1:11" x14ac:dyDescent="0.2">
      <c r="A4866" s="115"/>
      <c r="B4866" s="93"/>
      <c r="C4866" s="94"/>
      <c r="D4866" s="95"/>
      <c r="E4866" s="95"/>
      <c r="F4866" s="96"/>
      <c r="G4866" s="97"/>
      <c r="H4866" s="114" t="str">
        <f t="shared" si="65"/>
        <v/>
      </c>
      <c r="I4866" s="17"/>
      <c r="J4866" s="17"/>
      <c r="K4866" s="17"/>
    </row>
    <row r="4867" spans="1:11" x14ac:dyDescent="0.2">
      <c r="A4867" s="115"/>
      <c r="B4867" s="93"/>
      <c r="C4867" s="94"/>
      <c r="D4867" s="95"/>
      <c r="E4867" s="95"/>
      <c r="F4867" s="96"/>
      <c r="G4867" s="97"/>
      <c r="H4867" s="114" t="str">
        <f t="shared" si="65"/>
        <v/>
      </c>
      <c r="I4867" s="17"/>
      <c r="J4867" s="17"/>
      <c r="K4867" s="17"/>
    </row>
    <row r="4868" spans="1:11" x14ac:dyDescent="0.2">
      <c r="A4868" s="115"/>
      <c r="B4868" s="93"/>
      <c r="C4868" s="94"/>
      <c r="D4868" s="95"/>
      <c r="E4868" s="95"/>
      <c r="F4868" s="96"/>
      <c r="G4868" s="97"/>
      <c r="H4868" s="114" t="str">
        <f t="shared" ref="H4868:H4931" si="66">IF(A4868&lt;&gt;"", EOMONTH(A4868, -1) + 1, "")</f>
        <v/>
      </c>
      <c r="I4868" s="17"/>
      <c r="J4868" s="17"/>
      <c r="K4868" s="17"/>
    </row>
    <row r="4869" spans="1:11" x14ac:dyDescent="0.2">
      <c r="A4869" s="115"/>
      <c r="B4869" s="93"/>
      <c r="C4869" s="94"/>
      <c r="D4869" s="95"/>
      <c r="E4869" s="95"/>
      <c r="F4869" s="96"/>
      <c r="G4869" s="97"/>
      <c r="H4869" s="114" t="str">
        <f t="shared" si="66"/>
        <v/>
      </c>
      <c r="I4869" s="17"/>
      <c r="J4869" s="17"/>
      <c r="K4869" s="17"/>
    </row>
    <row r="4870" spans="1:11" x14ac:dyDescent="0.2">
      <c r="A4870" s="115"/>
      <c r="B4870" s="93"/>
      <c r="C4870" s="94"/>
      <c r="D4870" s="95"/>
      <c r="E4870" s="95"/>
      <c r="F4870" s="96"/>
      <c r="G4870" s="97"/>
      <c r="H4870" s="114" t="str">
        <f t="shared" si="66"/>
        <v/>
      </c>
      <c r="I4870" s="17"/>
      <c r="J4870" s="17"/>
      <c r="K4870" s="17"/>
    </row>
    <row r="4871" spans="1:11" x14ac:dyDescent="0.2">
      <c r="A4871" s="115"/>
      <c r="B4871" s="93"/>
      <c r="C4871" s="94"/>
      <c r="D4871" s="95"/>
      <c r="E4871" s="95"/>
      <c r="F4871" s="96"/>
      <c r="G4871" s="97"/>
      <c r="H4871" s="114" t="str">
        <f t="shared" si="66"/>
        <v/>
      </c>
      <c r="I4871" s="17"/>
      <c r="J4871" s="17"/>
      <c r="K4871" s="17"/>
    </row>
    <row r="4872" spans="1:11" x14ac:dyDescent="0.2">
      <c r="A4872" s="115"/>
      <c r="B4872" s="93"/>
      <c r="C4872" s="94"/>
      <c r="D4872" s="95"/>
      <c r="E4872" s="95"/>
      <c r="F4872" s="96"/>
      <c r="G4872" s="97"/>
      <c r="H4872" s="114" t="str">
        <f t="shared" si="66"/>
        <v/>
      </c>
      <c r="I4872" s="17"/>
      <c r="J4872" s="17"/>
      <c r="K4872" s="17"/>
    </row>
    <row r="4873" spans="1:11" x14ac:dyDescent="0.2">
      <c r="A4873" s="115"/>
      <c r="B4873" s="93"/>
      <c r="C4873" s="94"/>
      <c r="D4873" s="95"/>
      <c r="E4873" s="95"/>
      <c r="F4873" s="96"/>
      <c r="G4873" s="97"/>
      <c r="H4873" s="114" t="str">
        <f t="shared" si="66"/>
        <v/>
      </c>
      <c r="I4873" s="17"/>
      <c r="J4873" s="17"/>
      <c r="K4873" s="17"/>
    </row>
    <row r="4874" spans="1:11" x14ac:dyDescent="0.2">
      <c r="A4874" s="115"/>
      <c r="B4874" s="93"/>
      <c r="C4874" s="94"/>
      <c r="D4874" s="95"/>
      <c r="E4874" s="95"/>
      <c r="F4874" s="96"/>
      <c r="G4874" s="97"/>
      <c r="H4874" s="114" t="str">
        <f t="shared" si="66"/>
        <v/>
      </c>
      <c r="I4874" s="17"/>
      <c r="J4874" s="17"/>
      <c r="K4874" s="17"/>
    </row>
    <row r="4875" spans="1:11" x14ac:dyDescent="0.2">
      <c r="A4875" s="115"/>
      <c r="B4875" s="93"/>
      <c r="C4875" s="94"/>
      <c r="D4875" s="95"/>
      <c r="E4875" s="95"/>
      <c r="F4875" s="96"/>
      <c r="G4875" s="97"/>
      <c r="H4875" s="114" t="str">
        <f t="shared" si="66"/>
        <v/>
      </c>
      <c r="I4875" s="17"/>
      <c r="J4875" s="17"/>
      <c r="K4875" s="17"/>
    </row>
    <row r="4876" spans="1:11" x14ac:dyDescent="0.2">
      <c r="A4876" s="115"/>
      <c r="B4876" s="93"/>
      <c r="C4876" s="94"/>
      <c r="D4876" s="95"/>
      <c r="E4876" s="95"/>
      <c r="F4876" s="96"/>
      <c r="G4876" s="97"/>
      <c r="H4876" s="114" t="str">
        <f t="shared" si="66"/>
        <v/>
      </c>
      <c r="I4876" s="17"/>
      <c r="J4876" s="17"/>
      <c r="K4876" s="17"/>
    </row>
    <row r="4877" spans="1:11" x14ac:dyDescent="0.2">
      <c r="A4877" s="115"/>
      <c r="B4877" s="93"/>
      <c r="C4877" s="94"/>
      <c r="D4877" s="95"/>
      <c r="E4877" s="95"/>
      <c r="F4877" s="96"/>
      <c r="G4877" s="97"/>
      <c r="H4877" s="114" t="str">
        <f t="shared" si="66"/>
        <v/>
      </c>
      <c r="I4877" s="17"/>
      <c r="J4877" s="17"/>
      <c r="K4877" s="17"/>
    </row>
    <row r="4878" spans="1:11" x14ac:dyDescent="0.2">
      <c r="A4878" s="115"/>
      <c r="B4878" s="93"/>
      <c r="C4878" s="94"/>
      <c r="D4878" s="95"/>
      <c r="E4878" s="95"/>
      <c r="F4878" s="96"/>
      <c r="G4878" s="97"/>
      <c r="H4878" s="114" t="str">
        <f t="shared" si="66"/>
        <v/>
      </c>
      <c r="I4878" s="17"/>
      <c r="J4878" s="17"/>
      <c r="K4878" s="17"/>
    </row>
    <row r="4879" spans="1:11" x14ac:dyDescent="0.2">
      <c r="A4879" s="115"/>
      <c r="B4879" s="93"/>
      <c r="C4879" s="94"/>
      <c r="D4879" s="95"/>
      <c r="E4879" s="95"/>
      <c r="F4879" s="96"/>
      <c r="G4879" s="97"/>
      <c r="H4879" s="114" t="str">
        <f t="shared" si="66"/>
        <v/>
      </c>
      <c r="I4879" s="17"/>
      <c r="J4879" s="17"/>
      <c r="K4879" s="17"/>
    </row>
    <row r="4880" spans="1:11" x14ac:dyDescent="0.2">
      <c r="A4880" s="115"/>
      <c r="B4880" s="93"/>
      <c r="C4880" s="94"/>
      <c r="D4880" s="95"/>
      <c r="E4880" s="95"/>
      <c r="F4880" s="96"/>
      <c r="G4880" s="97"/>
      <c r="H4880" s="114" t="str">
        <f t="shared" si="66"/>
        <v/>
      </c>
      <c r="I4880" s="17"/>
      <c r="J4880" s="17"/>
      <c r="K4880" s="17"/>
    </row>
    <row r="4881" spans="1:11" x14ac:dyDescent="0.2">
      <c r="A4881" s="115"/>
      <c r="B4881" s="93"/>
      <c r="C4881" s="94"/>
      <c r="D4881" s="95"/>
      <c r="E4881" s="95"/>
      <c r="F4881" s="96"/>
      <c r="G4881" s="97"/>
      <c r="H4881" s="114" t="str">
        <f t="shared" si="66"/>
        <v/>
      </c>
      <c r="I4881" s="17"/>
      <c r="J4881" s="17"/>
      <c r="K4881" s="17"/>
    </row>
    <row r="4882" spans="1:11" x14ac:dyDescent="0.2">
      <c r="A4882" s="115"/>
      <c r="B4882" s="93"/>
      <c r="C4882" s="94"/>
      <c r="D4882" s="95"/>
      <c r="E4882" s="95"/>
      <c r="F4882" s="96"/>
      <c r="G4882" s="97"/>
      <c r="H4882" s="114" t="str">
        <f t="shared" si="66"/>
        <v/>
      </c>
      <c r="I4882" s="17"/>
      <c r="J4882" s="17"/>
      <c r="K4882" s="17"/>
    </row>
    <row r="4883" spans="1:11" x14ac:dyDescent="0.2">
      <c r="A4883" s="115"/>
      <c r="B4883" s="93"/>
      <c r="C4883" s="94"/>
      <c r="D4883" s="95"/>
      <c r="E4883" s="95"/>
      <c r="F4883" s="96"/>
      <c r="G4883" s="97"/>
      <c r="H4883" s="114" t="str">
        <f t="shared" si="66"/>
        <v/>
      </c>
      <c r="I4883" s="17"/>
      <c r="J4883" s="17"/>
      <c r="K4883" s="17"/>
    </row>
    <row r="4884" spans="1:11" x14ac:dyDescent="0.2">
      <c r="A4884" s="115"/>
      <c r="B4884" s="93"/>
      <c r="C4884" s="94"/>
      <c r="D4884" s="95"/>
      <c r="E4884" s="95"/>
      <c r="F4884" s="96"/>
      <c r="G4884" s="97"/>
      <c r="H4884" s="114" t="str">
        <f t="shared" si="66"/>
        <v/>
      </c>
      <c r="I4884" s="17"/>
      <c r="J4884" s="17"/>
      <c r="K4884" s="17"/>
    </row>
    <row r="4885" spans="1:11" x14ac:dyDescent="0.2">
      <c r="A4885" s="115"/>
      <c r="B4885" s="93"/>
      <c r="C4885" s="94"/>
      <c r="D4885" s="95"/>
      <c r="E4885" s="95"/>
      <c r="F4885" s="96"/>
      <c r="G4885" s="97"/>
      <c r="H4885" s="114" t="str">
        <f t="shared" si="66"/>
        <v/>
      </c>
      <c r="I4885" s="17"/>
      <c r="J4885" s="17"/>
      <c r="K4885" s="17"/>
    </row>
    <row r="4886" spans="1:11" x14ac:dyDescent="0.2">
      <c r="A4886" s="115"/>
      <c r="B4886" s="93"/>
      <c r="C4886" s="94"/>
      <c r="D4886" s="95"/>
      <c r="E4886" s="95"/>
      <c r="F4886" s="96"/>
      <c r="G4886" s="97"/>
      <c r="H4886" s="114" t="str">
        <f t="shared" si="66"/>
        <v/>
      </c>
      <c r="I4886" s="17"/>
      <c r="J4886" s="17"/>
      <c r="K4886" s="17"/>
    </row>
    <row r="4887" spans="1:11" x14ac:dyDescent="0.2">
      <c r="A4887" s="115"/>
      <c r="B4887" s="93"/>
      <c r="C4887" s="94"/>
      <c r="D4887" s="95"/>
      <c r="E4887" s="95"/>
      <c r="F4887" s="96"/>
      <c r="G4887" s="97"/>
      <c r="H4887" s="114" t="str">
        <f t="shared" si="66"/>
        <v/>
      </c>
      <c r="I4887" s="17"/>
      <c r="J4887" s="17"/>
      <c r="K4887" s="17"/>
    </row>
    <row r="4888" spans="1:11" x14ac:dyDescent="0.2">
      <c r="A4888" s="115"/>
      <c r="B4888" s="93"/>
      <c r="C4888" s="94"/>
      <c r="D4888" s="95"/>
      <c r="E4888" s="95"/>
      <c r="F4888" s="96"/>
      <c r="G4888" s="97"/>
      <c r="H4888" s="114" t="str">
        <f t="shared" si="66"/>
        <v/>
      </c>
      <c r="I4888" s="17"/>
      <c r="J4888" s="17"/>
      <c r="K4888" s="17"/>
    </row>
    <row r="4889" spans="1:11" x14ac:dyDescent="0.2">
      <c r="A4889" s="115"/>
      <c r="B4889" s="93"/>
      <c r="C4889" s="94"/>
      <c r="D4889" s="95"/>
      <c r="E4889" s="95"/>
      <c r="F4889" s="96"/>
      <c r="G4889" s="97"/>
      <c r="H4889" s="114" t="str">
        <f t="shared" si="66"/>
        <v/>
      </c>
      <c r="I4889" s="17"/>
      <c r="J4889" s="17"/>
      <c r="K4889" s="17"/>
    </row>
    <row r="4890" spans="1:11" x14ac:dyDescent="0.2">
      <c r="A4890" s="115"/>
      <c r="B4890" s="93"/>
      <c r="C4890" s="94"/>
      <c r="D4890" s="95"/>
      <c r="E4890" s="95"/>
      <c r="F4890" s="96"/>
      <c r="G4890" s="97"/>
      <c r="H4890" s="114" t="str">
        <f t="shared" si="66"/>
        <v/>
      </c>
      <c r="I4890" s="17"/>
      <c r="J4890" s="17"/>
      <c r="K4890" s="17"/>
    </row>
    <row r="4891" spans="1:11" x14ac:dyDescent="0.2">
      <c r="A4891" s="115"/>
      <c r="B4891" s="93"/>
      <c r="C4891" s="94"/>
      <c r="D4891" s="95"/>
      <c r="E4891" s="95"/>
      <c r="F4891" s="96"/>
      <c r="G4891" s="97"/>
      <c r="H4891" s="114" t="str">
        <f t="shared" si="66"/>
        <v/>
      </c>
      <c r="I4891" s="17"/>
      <c r="J4891" s="17"/>
      <c r="K4891" s="17"/>
    </row>
    <row r="4892" spans="1:11" x14ac:dyDescent="0.2">
      <c r="A4892" s="115"/>
      <c r="B4892" s="93"/>
      <c r="C4892" s="94"/>
      <c r="D4892" s="95"/>
      <c r="E4892" s="95"/>
      <c r="F4892" s="96"/>
      <c r="G4892" s="97"/>
      <c r="H4892" s="114" t="str">
        <f t="shared" si="66"/>
        <v/>
      </c>
      <c r="I4892" s="17"/>
      <c r="J4892" s="17"/>
      <c r="K4892" s="17"/>
    </row>
    <row r="4893" spans="1:11" x14ac:dyDescent="0.2">
      <c r="A4893" s="115"/>
      <c r="B4893" s="93"/>
      <c r="C4893" s="94"/>
      <c r="D4893" s="95"/>
      <c r="E4893" s="95"/>
      <c r="F4893" s="96"/>
      <c r="G4893" s="97"/>
      <c r="H4893" s="114" t="str">
        <f t="shared" si="66"/>
        <v/>
      </c>
      <c r="I4893" s="17"/>
      <c r="J4893" s="17"/>
      <c r="K4893" s="17"/>
    </row>
    <row r="4894" spans="1:11" x14ac:dyDescent="0.2">
      <c r="A4894" s="115"/>
      <c r="B4894" s="93"/>
      <c r="C4894" s="94"/>
      <c r="D4894" s="95"/>
      <c r="E4894" s="95"/>
      <c r="F4894" s="96"/>
      <c r="G4894" s="97"/>
      <c r="H4894" s="114" t="str">
        <f t="shared" si="66"/>
        <v/>
      </c>
      <c r="I4894" s="17"/>
      <c r="J4894" s="17"/>
      <c r="K4894" s="17"/>
    </row>
    <row r="4895" spans="1:11" x14ac:dyDescent="0.2">
      <c r="A4895" s="115"/>
      <c r="B4895" s="93"/>
      <c r="C4895" s="94"/>
      <c r="D4895" s="95"/>
      <c r="E4895" s="95"/>
      <c r="F4895" s="96"/>
      <c r="G4895" s="97"/>
      <c r="H4895" s="114" t="str">
        <f t="shared" si="66"/>
        <v/>
      </c>
      <c r="I4895" s="17"/>
      <c r="J4895" s="17"/>
      <c r="K4895" s="17"/>
    </row>
    <row r="4896" spans="1:11" x14ac:dyDescent="0.2">
      <c r="A4896" s="115"/>
      <c r="B4896" s="93"/>
      <c r="C4896" s="94"/>
      <c r="D4896" s="95"/>
      <c r="E4896" s="95"/>
      <c r="F4896" s="96"/>
      <c r="G4896" s="97"/>
      <c r="H4896" s="114" t="str">
        <f t="shared" si="66"/>
        <v/>
      </c>
      <c r="I4896" s="17"/>
      <c r="J4896" s="17"/>
      <c r="K4896" s="17"/>
    </row>
    <row r="4897" spans="1:11" x14ac:dyDescent="0.2">
      <c r="A4897" s="115"/>
      <c r="B4897" s="93"/>
      <c r="C4897" s="94"/>
      <c r="D4897" s="95"/>
      <c r="E4897" s="95"/>
      <c r="F4897" s="96"/>
      <c r="G4897" s="97"/>
      <c r="H4897" s="114" t="str">
        <f t="shared" si="66"/>
        <v/>
      </c>
      <c r="I4897" s="17"/>
      <c r="J4897" s="17"/>
      <c r="K4897" s="17"/>
    </row>
    <row r="4898" spans="1:11" x14ac:dyDescent="0.2">
      <c r="A4898" s="115"/>
      <c r="B4898" s="93"/>
      <c r="C4898" s="94"/>
      <c r="D4898" s="95"/>
      <c r="E4898" s="95"/>
      <c r="F4898" s="96"/>
      <c r="G4898" s="97"/>
      <c r="H4898" s="114" t="str">
        <f t="shared" si="66"/>
        <v/>
      </c>
      <c r="I4898" s="17"/>
      <c r="J4898" s="17"/>
      <c r="K4898" s="17"/>
    </row>
    <row r="4899" spans="1:11" x14ac:dyDescent="0.2">
      <c r="A4899" s="115"/>
      <c r="B4899" s="93"/>
      <c r="C4899" s="94"/>
      <c r="D4899" s="95"/>
      <c r="E4899" s="95"/>
      <c r="F4899" s="96"/>
      <c r="G4899" s="97"/>
      <c r="H4899" s="114" t="str">
        <f t="shared" si="66"/>
        <v/>
      </c>
      <c r="I4899" s="17"/>
      <c r="J4899" s="17"/>
      <c r="K4899" s="17"/>
    </row>
    <row r="4900" spans="1:11" x14ac:dyDescent="0.2">
      <c r="A4900" s="115"/>
      <c r="B4900" s="93"/>
      <c r="C4900" s="94"/>
      <c r="D4900" s="95"/>
      <c r="E4900" s="95"/>
      <c r="F4900" s="96"/>
      <c r="G4900" s="97"/>
      <c r="H4900" s="114" t="str">
        <f t="shared" si="66"/>
        <v/>
      </c>
      <c r="I4900" s="17"/>
      <c r="J4900" s="17"/>
      <c r="K4900" s="17"/>
    </row>
    <row r="4901" spans="1:11" x14ac:dyDescent="0.2">
      <c r="A4901" s="115"/>
      <c r="B4901" s="93"/>
      <c r="C4901" s="94"/>
      <c r="D4901" s="95"/>
      <c r="E4901" s="95"/>
      <c r="F4901" s="96"/>
      <c r="G4901" s="97"/>
      <c r="H4901" s="114" t="str">
        <f t="shared" si="66"/>
        <v/>
      </c>
      <c r="I4901" s="17"/>
      <c r="J4901" s="17"/>
      <c r="K4901" s="17"/>
    </row>
    <row r="4902" spans="1:11" x14ac:dyDescent="0.2">
      <c r="A4902" s="115"/>
      <c r="B4902" s="93"/>
      <c r="C4902" s="94"/>
      <c r="D4902" s="95"/>
      <c r="E4902" s="95"/>
      <c r="F4902" s="96"/>
      <c r="G4902" s="97"/>
      <c r="H4902" s="114" t="str">
        <f t="shared" si="66"/>
        <v/>
      </c>
      <c r="I4902" s="17"/>
      <c r="J4902" s="17"/>
      <c r="K4902" s="17"/>
    </row>
    <row r="4903" spans="1:11" x14ac:dyDescent="0.2">
      <c r="A4903" s="115"/>
      <c r="B4903" s="93"/>
      <c r="C4903" s="94"/>
      <c r="D4903" s="95"/>
      <c r="E4903" s="95"/>
      <c r="F4903" s="96"/>
      <c r="G4903" s="97"/>
      <c r="H4903" s="114" t="str">
        <f t="shared" si="66"/>
        <v/>
      </c>
      <c r="I4903" s="17"/>
      <c r="J4903" s="17"/>
      <c r="K4903" s="17"/>
    </row>
    <row r="4904" spans="1:11" x14ac:dyDescent="0.2">
      <c r="A4904" s="115"/>
      <c r="B4904" s="93"/>
      <c r="C4904" s="94"/>
      <c r="D4904" s="95"/>
      <c r="E4904" s="95"/>
      <c r="F4904" s="96"/>
      <c r="G4904" s="97"/>
      <c r="H4904" s="114" t="str">
        <f t="shared" si="66"/>
        <v/>
      </c>
      <c r="I4904" s="17"/>
      <c r="J4904" s="17"/>
      <c r="K4904" s="17"/>
    </row>
    <row r="4905" spans="1:11" x14ac:dyDescent="0.2">
      <c r="A4905" s="115"/>
      <c r="B4905" s="93"/>
      <c r="C4905" s="94"/>
      <c r="D4905" s="95"/>
      <c r="E4905" s="95"/>
      <c r="F4905" s="96"/>
      <c r="G4905" s="97"/>
      <c r="H4905" s="114" t="str">
        <f t="shared" si="66"/>
        <v/>
      </c>
      <c r="I4905" s="17"/>
      <c r="J4905" s="17"/>
      <c r="K4905" s="17"/>
    </row>
    <row r="4906" spans="1:11" x14ac:dyDescent="0.2">
      <c r="A4906" s="115"/>
      <c r="B4906" s="93"/>
      <c r="C4906" s="94"/>
      <c r="D4906" s="95"/>
      <c r="E4906" s="95"/>
      <c r="F4906" s="96"/>
      <c r="G4906" s="97"/>
      <c r="H4906" s="114" t="str">
        <f t="shared" si="66"/>
        <v/>
      </c>
      <c r="I4906" s="17"/>
      <c r="J4906" s="17"/>
      <c r="K4906" s="17"/>
    </row>
    <row r="4907" spans="1:11" x14ac:dyDescent="0.2">
      <c r="A4907" s="115"/>
      <c r="B4907" s="93"/>
      <c r="C4907" s="94"/>
      <c r="D4907" s="95"/>
      <c r="E4907" s="95"/>
      <c r="F4907" s="96"/>
      <c r="G4907" s="97"/>
      <c r="H4907" s="114" t="str">
        <f t="shared" si="66"/>
        <v/>
      </c>
      <c r="I4907" s="17"/>
      <c r="J4907" s="17"/>
      <c r="K4907" s="17"/>
    </row>
    <row r="4908" spans="1:11" x14ac:dyDescent="0.2">
      <c r="A4908" s="115"/>
      <c r="B4908" s="93"/>
      <c r="C4908" s="94"/>
      <c r="D4908" s="95"/>
      <c r="E4908" s="95"/>
      <c r="F4908" s="96"/>
      <c r="G4908" s="97"/>
      <c r="H4908" s="114" t="str">
        <f t="shared" si="66"/>
        <v/>
      </c>
      <c r="I4908" s="17"/>
      <c r="J4908" s="17"/>
      <c r="K4908" s="17"/>
    </row>
    <row r="4909" spans="1:11" x14ac:dyDescent="0.2">
      <c r="A4909" s="115"/>
      <c r="B4909" s="93"/>
      <c r="C4909" s="94"/>
      <c r="D4909" s="95"/>
      <c r="E4909" s="95"/>
      <c r="F4909" s="96"/>
      <c r="G4909" s="97"/>
      <c r="H4909" s="114" t="str">
        <f t="shared" si="66"/>
        <v/>
      </c>
      <c r="I4909" s="17"/>
      <c r="J4909" s="17"/>
      <c r="K4909" s="17"/>
    </row>
    <row r="4910" spans="1:11" x14ac:dyDescent="0.2">
      <c r="A4910" s="115"/>
      <c r="B4910" s="93"/>
      <c r="C4910" s="94"/>
      <c r="D4910" s="95"/>
      <c r="E4910" s="95"/>
      <c r="F4910" s="96"/>
      <c r="G4910" s="97"/>
      <c r="H4910" s="114" t="str">
        <f t="shared" si="66"/>
        <v/>
      </c>
      <c r="I4910" s="17"/>
      <c r="J4910" s="17"/>
      <c r="K4910" s="17"/>
    </row>
    <row r="4911" spans="1:11" x14ac:dyDescent="0.2">
      <c r="A4911" s="115"/>
      <c r="B4911" s="93"/>
      <c r="C4911" s="94"/>
      <c r="D4911" s="95"/>
      <c r="E4911" s="95"/>
      <c r="F4911" s="96"/>
      <c r="G4911" s="97"/>
      <c r="H4911" s="114" t="str">
        <f t="shared" si="66"/>
        <v/>
      </c>
      <c r="I4911" s="17"/>
      <c r="J4911" s="17"/>
      <c r="K4911" s="17"/>
    </row>
    <row r="4912" spans="1:11" x14ac:dyDescent="0.2">
      <c r="A4912" s="115"/>
      <c r="B4912" s="93"/>
      <c r="C4912" s="94"/>
      <c r="D4912" s="95"/>
      <c r="E4912" s="95"/>
      <c r="F4912" s="96"/>
      <c r="G4912" s="97"/>
      <c r="H4912" s="114" t="str">
        <f t="shared" si="66"/>
        <v/>
      </c>
      <c r="I4912" s="17"/>
      <c r="J4912" s="17"/>
      <c r="K4912" s="17"/>
    </row>
    <row r="4913" spans="1:11" x14ac:dyDescent="0.2">
      <c r="A4913" s="115"/>
      <c r="B4913" s="93"/>
      <c r="C4913" s="94"/>
      <c r="D4913" s="95"/>
      <c r="E4913" s="95"/>
      <c r="F4913" s="96"/>
      <c r="G4913" s="97"/>
      <c r="H4913" s="114" t="str">
        <f t="shared" si="66"/>
        <v/>
      </c>
      <c r="I4913" s="17"/>
      <c r="J4913" s="17"/>
      <c r="K4913" s="17"/>
    </row>
    <row r="4914" spans="1:11" x14ac:dyDescent="0.2">
      <c r="A4914" s="115"/>
      <c r="B4914" s="93"/>
      <c r="C4914" s="94"/>
      <c r="D4914" s="95"/>
      <c r="E4914" s="95"/>
      <c r="F4914" s="96"/>
      <c r="G4914" s="97"/>
      <c r="H4914" s="114" t="str">
        <f t="shared" si="66"/>
        <v/>
      </c>
      <c r="I4914" s="17"/>
      <c r="J4914" s="17"/>
      <c r="K4914" s="17"/>
    </row>
    <row r="4915" spans="1:11" x14ac:dyDescent="0.2">
      <c r="A4915" s="115"/>
      <c r="B4915" s="93"/>
      <c r="C4915" s="94"/>
      <c r="D4915" s="95"/>
      <c r="E4915" s="95"/>
      <c r="F4915" s="96"/>
      <c r="G4915" s="97"/>
      <c r="H4915" s="114" t="str">
        <f t="shared" si="66"/>
        <v/>
      </c>
      <c r="I4915" s="17"/>
      <c r="J4915" s="17"/>
      <c r="K4915" s="17"/>
    </row>
    <row r="4916" spans="1:11" x14ac:dyDescent="0.2">
      <c r="A4916" s="115"/>
      <c r="B4916" s="93"/>
      <c r="C4916" s="94"/>
      <c r="D4916" s="95"/>
      <c r="E4916" s="95"/>
      <c r="F4916" s="96"/>
      <c r="G4916" s="97"/>
      <c r="H4916" s="114" t="str">
        <f t="shared" si="66"/>
        <v/>
      </c>
      <c r="I4916" s="17"/>
      <c r="J4916" s="17"/>
      <c r="K4916" s="17"/>
    </row>
    <row r="4917" spans="1:11" x14ac:dyDescent="0.2">
      <c r="A4917" s="115"/>
      <c r="B4917" s="93"/>
      <c r="C4917" s="94"/>
      <c r="D4917" s="95"/>
      <c r="E4917" s="95"/>
      <c r="F4917" s="96"/>
      <c r="G4917" s="97"/>
      <c r="H4917" s="114" t="str">
        <f t="shared" si="66"/>
        <v/>
      </c>
      <c r="I4917" s="17"/>
      <c r="J4917" s="17"/>
      <c r="K4917" s="17"/>
    </row>
    <row r="4918" spans="1:11" x14ac:dyDescent="0.2">
      <c r="A4918" s="115"/>
      <c r="B4918" s="93"/>
      <c r="C4918" s="94"/>
      <c r="D4918" s="95"/>
      <c r="E4918" s="95"/>
      <c r="F4918" s="96"/>
      <c r="G4918" s="97"/>
      <c r="H4918" s="114" t="str">
        <f t="shared" si="66"/>
        <v/>
      </c>
      <c r="I4918" s="17"/>
      <c r="J4918" s="17"/>
      <c r="K4918" s="17"/>
    </row>
    <row r="4919" spans="1:11" x14ac:dyDescent="0.2">
      <c r="A4919" s="115"/>
      <c r="B4919" s="93"/>
      <c r="C4919" s="94"/>
      <c r="D4919" s="95"/>
      <c r="E4919" s="95"/>
      <c r="F4919" s="96"/>
      <c r="G4919" s="97"/>
      <c r="H4919" s="114" t="str">
        <f t="shared" si="66"/>
        <v/>
      </c>
      <c r="I4919" s="17"/>
      <c r="J4919" s="17"/>
      <c r="K4919" s="17"/>
    </row>
    <row r="4920" spans="1:11" x14ac:dyDescent="0.2">
      <c r="A4920" s="115"/>
      <c r="B4920" s="93"/>
      <c r="C4920" s="94"/>
      <c r="D4920" s="95"/>
      <c r="E4920" s="95"/>
      <c r="F4920" s="96"/>
      <c r="G4920" s="97"/>
      <c r="H4920" s="114" t="str">
        <f t="shared" si="66"/>
        <v/>
      </c>
      <c r="I4920" s="17"/>
      <c r="J4920" s="17"/>
      <c r="K4920" s="17"/>
    </row>
    <row r="4921" spans="1:11" x14ac:dyDescent="0.2">
      <c r="A4921" s="115"/>
      <c r="B4921" s="93"/>
      <c r="C4921" s="94"/>
      <c r="D4921" s="95"/>
      <c r="E4921" s="95"/>
      <c r="F4921" s="96"/>
      <c r="G4921" s="97"/>
      <c r="H4921" s="114" t="str">
        <f t="shared" si="66"/>
        <v/>
      </c>
      <c r="I4921" s="17"/>
      <c r="J4921" s="17"/>
      <c r="K4921" s="17"/>
    </row>
    <row r="4922" spans="1:11" x14ac:dyDescent="0.2">
      <c r="A4922" s="115"/>
      <c r="B4922" s="93"/>
      <c r="C4922" s="94"/>
      <c r="D4922" s="95"/>
      <c r="E4922" s="95"/>
      <c r="F4922" s="96"/>
      <c r="G4922" s="97"/>
      <c r="H4922" s="114" t="str">
        <f t="shared" si="66"/>
        <v/>
      </c>
      <c r="I4922" s="17"/>
      <c r="J4922" s="17"/>
      <c r="K4922" s="17"/>
    </row>
    <row r="4923" spans="1:11" x14ac:dyDescent="0.2">
      <c r="A4923" s="115"/>
      <c r="B4923" s="93"/>
      <c r="C4923" s="94"/>
      <c r="D4923" s="95"/>
      <c r="E4923" s="95"/>
      <c r="F4923" s="96"/>
      <c r="G4923" s="97"/>
      <c r="H4923" s="114" t="str">
        <f t="shared" si="66"/>
        <v/>
      </c>
      <c r="I4923" s="17"/>
      <c r="J4923" s="17"/>
      <c r="K4923" s="17"/>
    </row>
    <row r="4924" spans="1:11" x14ac:dyDescent="0.2">
      <c r="A4924" s="115"/>
      <c r="B4924" s="93"/>
      <c r="C4924" s="94"/>
      <c r="D4924" s="95"/>
      <c r="E4924" s="95"/>
      <c r="F4924" s="96"/>
      <c r="G4924" s="97"/>
      <c r="H4924" s="114" t="str">
        <f t="shared" si="66"/>
        <v/>
      </c>
      <c r="I4924" s="17"/>
      <c r="J4924" s="17"/>
      <c r="K4924" s="17"/>
    </row>
    <row r="4925" spans="1:11" x14ac:dyDescent="0.2">
      <c r="A4925" s="115"/>
      <c r="B4925" s="93"/>
      <c r="C4925" s="94"/>
      <c r="D4925" s="95"/>
      <c r="E4925" s="95"/>
      <c r="F4925" s="96"/>
      <c r="G4925" s="97"/>
      <c r="H4925" s="114" t="str">
        <f t="shared" si="66"/>
        <v/>
      </c>
      <c r="I4925" s="17"/>
      <c r="J4925" s="17"/>
      <c r="K4925" s="17"/>
    </row>
    <row r="4926" spans="1:11" x14ac:dyDescent="0.2">
      <c r="A4926" s="115"/>
      <c r="B4926" s="93"/>
      <c r="C4926" s="94"/>
      <c r="D4926" s="95"/>
      <c r="E4926" s="95"/>
      <c r="F4926" s="96"/>
      <c r="G4926" s="97"/>
      <c r="H4926" s="114" t="str">
        <f t="shared" si="66"/>
        <v/>
      </c>
      <c r="I4926" s="17"/>
      <c r="J4926" s="17"/>
      <c r="K4926" s="17"/>
    </row>
    <row r="4927" spans="1:11" x14ac:dyDescent="0.2">
      <c r="A4927" s="115"/>
      <c r="B4927" s="93"/>
      <c r="C4927" s="94"/>
      <c r="D4927" s="95"/>
      <c r="E4927" s="95"/>
      <c r="F4927" s="96"/>
      <c r="G4927" s="97"/>
      <c r="H4927" s="114" t="str">
        <f t="shared" si="66"/>
        <v/>
      </c>
      <c r="I4927" s="17"/>
      <c r="J4927" s="17"/>
      <c r="K4927" s="17"/>
    </row>
    <row r="4928" spans="1:11" x14ac:dyDescent="0.2">
      <c r="A4928" s="115"/>
      <c r="B4928" s="93"/>
      <c r="C4928" s="94"/>
      <c r="D4928" s="95"/>
      <c r="E4928" s="95"/>
      <c r="F4928" s="96"/>
      <c r="G4928" s="97"/>
      <c r="H4928" s="114" t="str">
        <f t="shared" si="66"/>
        <v/>
      </c>
      <c r="I4928" s="17"/>
      <c r="J4928" s="17"/>
      <c r="K4928" s="17"/>
    </row>
    <row r="4929" spans="1:11" x14ac:dyDescent="0.2">
      <c r="A4929" s="115"/>
      <c r="B4929" s="93"/>
      <c r="C4929" s="94"/>
      <c r="D4929" s="95"/>
      <c r="E4929" s="95"/>
      <c r="F4929" s="96"/>
      <c r="G4929" s="97"/>
      <c r="H4929" s="114" t="str">
        <f t="shared" si="66"/>
        <v/>
      </c>
      <c r="I4929" s="17"/>
      <c r="J4929" s="17"/>
      <c r="K4929" s="17"/>
    </row>
    <row r="4930" spans="1:11" x14ac:dyDescent="0.2">
      <c r="A4930" s="115"/>
      <c r="B4930" s="93"/>
      <c r="C4930" s="94"/>
      <c r="D4930" s="95"/>
      <c r="E4930" s="95"/>
      <c r="F4930" s="96"/>
      <c r="G4930" s="97"/>
      <c r="H4930" s="114" t="str">
        <f t="shared" si="66"/>
        <v/>
      </c>
      <c r="I4930" s="17"/>
      <c r="J4930" s="17"/>
      <c r="K4930" s="17"/>
    </row>
    <row r="4931" spans="1:11" x14ac:dyDescent="0.2">
      <c r="A4931" s="115"/>
      <c r="B4931" s="93"/>
      <c r="C4931" s="94"/>
      <c r="D4931" s="95"/>
      <c r="E4931" s="95"/>
      <c r="F4931" s="96"/>
      <c r="G4931" s="97"/>
      <c r="H4931" s="114" t="str">
        <f t="shared" si="66"/>
        <v/>
      </c>
      <c r="I4931" s="17"/>
      <c r="J4931" s="17"/>
      <c r="K4931" s="17"/>
    </row>
    <row r="4932" spans="1:11" x14ac:dyDescent="0.2">
      <c r="A4932" s="115"/>
      <c r="B4932" s="93"/>
      <c r="C4932" s="94"/>
      <c r="D4932" s="95"/>
      <c r="E4932" s="95"/>
      <c r="F4932" s="96"/>
      <c r="G4932" s="97"/>
      <c r="H4932" s="114" t="str">
        <f t="shared" ref="H4932:H4995" si="67">IF(A4932&lt;&gt;"", EOMONTH(A4932, -1) + 1, "")</f>
        <v/>
      </c>
      <c r="I4932" s="17"/>
      <c r="J4932" s="17"/>
      <c r="K4932" s="17"/>
    </row>
    <row r="4933" spans="1:11" x14ac:dyDescent="0.2">
      <c r="A4933" s="115"/>
      <c r="B4933" s="93"/>
      <c r="C4933" s="94"/>
      <c r="D4933" s="95"/>
      <c r="E4933" s="95"/>
      <c r="F4933" s="96"/>
      <c r="G4933" s="97"/>
      <c r="H4933" s="114" t="str">
        <f t="shared" si="67"/>
        <v/>
      </c>
      <c r="I4933" s="17"/>
      <c r="J4933" s="17"/>
      <c r="K4933" s="17"/>
    </row>
    <row r="4934" spans="1:11" x14ac:dyDescent="0.2">
      <c r="A4934" s="115"/>
      <c r="B4934" s="93"/>
      <c r="C4934" s="94"/>
      <c r="D4934" s="95"/>
      <c r="E4934" s="95"/>
      <c r="F4934" s="96"/>
      <c r="G4934" s="97"/>
      <c r="H4934" s="114" t="str">
        <f t="shared" si="67"/>
        <v/>
      </c>
      <c r="I4934" s="17"/>
      <c r="J4934" s="17"/>
      <c r="K4934" s="17"/>
    </row>
    <row r="4935" spans="1:11" x14ac:dyDescent="0.2">
      <c r="A4935" s="115"/>
      <c r="B4935" s="93"/>
      <c r="C4935" s="94"/>
      <c r="D4935" s="95"/>
      <c r="E4935" s="95"/>
      <c r="F4935" s="96"/>
      <c r="G4935" s="97"/>
      <c r="H4935" s="114" t="str">
        <f t="shared" si="67"/>
        <v/>
      </c>
      <c r="I4935" s="17"/>
      <c r="J4935" s="17"/>
      <c r="K4935" s="17"/>
    </row>
    <row r="4936" spans="1:11" x14ac:dyDescent="0.2">
      <c r="A4936" s="115"/>
      <c r="B4936" s="93"/>
      <c r="C4936" s="94"/>
      <c r="D4936" s="95"/>
      <c r="E4936" s="95"/>
      <c r="F4936" s="96"/>
      <c r="G4936" s="97"/>
      <c r="H4936" s="114" t="str">
        <f t="shared" si="67"/>
        <v/>
      </c>
      <c r="I4936" s="17"/>
      <c r="J4936" s="17"/>
      <c r="K4936" s="17"/>
    </row>
    <row r="4937" spans="1:11" x14ac:dyDescent="0.2">
      <c r="A4937" s="115"/>
      <c r="B4937" s="93"/>
      <c r="C4937" s="94"/>
      <c r="D4937" s="95"/>
      <c r="E4937" s="95"/>
      <c r="F4937" s="96"/>
      <c r="G4937" s="97"/>
      <c r="H4937" s="114" t="str">
        <f t="shared" si="67"/>
        <v/>
      </c>
      <c r="I4937" s="17"/>
      <c r="J4937" s="17"/>
      <c r="K4937" s="17"/>
    </row>
    <row r="4938" spans="1:11" x14ac:dyDescent="0.2">
      <c r="A4938" s="115"/>
      <c r="B4938" s="93"/>
      <c r="C4938" s="94"/>
      <c r="D4938" s="95"/>
      <c r="E4938" s="95"/>
      <c r="F4938" s="96"/>
      <c r="G4938" s="97"/>
      <c r="H4938" s="114" t="str">
        <f t="shared" si="67"/>
        <v/>
      </c>
      <c r="I4938" s="17"/>
      <c r="J4938" s="17"/>
      <c r="K4938" s="17"/>
    </row>
    <row r="4939" spans="1:11" x14ac:dyDescent="0.2">
      <c r="A4939" s="115"/>
      <c r="B4939" s="93"/>
      <c r="C4939" s="94"/>
      <c r="D4939" s="95"/>
      <c r="E4939" s="95"/>
      <c r="F4939" s="96"/>
      <c r="G4939" s="97"/>
      <c r="H4939" s="114" t="str">
        <f t="shared" si="67"/>
        <v/>
      </c>
      <c r="I4939" s="17"/>
      <c r="J4939" s="17"/>
      <c r="K4939" s="17"/>
    </row>
    <row r="4940" spans="1:11" x14ac:dyDescent="0.2">
      <c r="A4940" s="115"/>
      <c r="B4940" s="93"/>
      <c r="C4940" s="94"/>
      <c r="D4940" s="95"/>
      <c r="E4940" s="95"/>
      <c r="F4940" s="96"/>
      <c r="G4940" s="97"/>
      <c r="H4940" s="114" t="str">
        <f t="shared" si="67"/>
        <v/>
      </c>
      <c r="I4940" s="17"/>
      <c r="J4940" s="17"/>
      <c r="K4940" s="17"/>
    </row>
    <row r="4941" spans="1:11" x14ac:dyDescent="0.2">
      <c r="A4941" s="115"/>
      <c r="B4941" s="93"/>
      <c r="C4941" s="94"/>
      <c r="D4941" s="95"/>
      <c r="E4941" s="95"/>
      <c r="F4941" s="96"/>
      <c r="G4941" s="97"/>
      <c r="H4941" s="114" t="str">
        <f t="shared" si="67"/>
        <v/>
      </c>
      <c r="I4941" s="17"/>
      <c r="J4941" s="17"/>
      <c r="K4941" s="17"/>
    </row>
    <row r="4942" spans="1:11" x14ac:dyDescent="0.2">
      <c r="A4942" s="115"/>
      <c r="B4942" s="93"/>
      <c r="C4942" s="94"/>
      <c r="D4942" s="95"/>
      <c r="E4942" s="95"/>
      <c r="F4942" s="96"/>
      <c r="G4942" s="97"/>
      <c r="H4942" s="114" t="str">
        <f t="shared" si="67"/>
        <v/>
      </c>
      <c r="I4942" s="17"/>
      <c r="J4942" s="17"/>
      <c r="K4942" s="17"/>
    </row>
    <row r="4943" spans="1:11" x14ac:dyDescent="0.2">
      <c r="A4943" s="115"/>
      <c r="B4943" s="93"/>
      <c r="C4943" s="94"/>
      <c r="D4943" s="95"/>
      <c r="E4943" s="95"/>
      <c r="F4943" s="96"/>
      <c r="G4943" s="97"/>
      <c r="H4943" s="114" t="str">
        <f t="shared" si="67"/>
        <v/>
      </c>
      <c r="I4943" s="17"/>
      <c r="J4943" s="17"/>
      <c r="K4943" s="17"/>
    </row>
    <row r="4944" spans="1:11" x14ac:dyDescent="0.2">
      <c r="A4944" s="115"/>
      <c r="B4944" s="93"/>
      <c r="C4944" s="94"/>
      <c r="D4944" s="95"/>
      <c r="E4944" s="95"/>
      <c r="F4944" s="96"/>
      <c r="G4944" s="97"/>
      <c r="H4944" s="114" t="str">
        <f t="shared" si="67"/>
        <v/>
      </c>
      <c r="I4944" s="17"/>
      <c r="J4944" s="17"/>
      <c r="K4944" s="17"/>
    </row>
    <row r="4945" spans="1:11" x14ac:dyDescent="0.2">
      <c r="A4945" s="115"/>
      <c r="B4945" s="93"/>
      <c r="C4945" s="94"/>
      <c r="D4945" s="95"/>
      <c r="E4945" s="95"/>
      <c r="F4945" s="96"/>
      <c r="G4945" s="97"/>
      <c r="H4945" s="114" t="str">
        <f t="shared" si="67"/>
        <v/>
      </c>
      <c r="I4945" s="17"/>
      <c r="J4945" s="17"/>
      <c r="K4945" s="17"/>
    </row>
    <row r="4946" spans="1:11" x14ac:dyDescent="0.2">
      <c r="A4946" s="115"/>
      <c r="B4946" s="93"/>
      <c r="C4946" s="94"/>
      <c r="D4946" s="95"/>
      <c r="E4946" s="95"/>
      <c r="F4946" s="96"/>
      <c r="G4946" s="97"/>
      <c r="H4946" s="114" t="str">
        <f t="shared" si="67"/>
        <v/>
      </c>
      <c r="I4946" s="17"/>
      <c r="J4946" s="17"/>
      <c r="K4946" s="17"/>
    </row>
    <row r="4947" spans="1:11" x14ac:dyDescent="0.2">
      <c r="A4947" s="115"/>
      <c r="B4947" s="93"/>
      <c r="C4947" s="94"/>
      <c r="D4947" s="95"/>
      <c r="E4947" s="95"/>
      <c r="F4947" s="96"/>
      <c r="G4947" s="97"/>
      <c r="H4947" s="114" t="str">
        <f t="shared" si="67"/>
        <v/>
      </c>
      <c r="I4947" s="17"/>
      <c r="J4947" s="17"/>
      <c r="K4947" s="17"/>
    </row>
    <row r="4948" spans="1:11" x14ac:dyDescent="0.2">
      <c r="A4948" s="115"/>
      <c r="B4948" s="93"/>
      <c r="C4948" s="94"/>
      <c r="D4948" s="95"/>
      <c r="E4948" s="95"/>
      <c r="F4948" s="96"/>
      <c r="G4948" s="97"/>
      <c r="H4948" s="114" t="str">
        <f t="shared" si="67"/>
        <v/>
      </c>
      <c r="I4948" s="17"/>
      <c r="J4948" s="17"/>
      <c r="K4948" s="17"/>
    </row>
    <row r="4949" spans="1:11" x14ac:dyDescent="0.2">
      <c r="A4949" s="115"/>
      <c r="B4949" s="93"/>
      <c r="C4949" s="94"/>
      <c r="D4949" s="95"/>
      <c r="E4949" s="95"/>
      <c r="F4949" s="96"/>
      <c r="G4949" s="97"/>
      <c r="H4949" s="114" t="str">
        <f t="shared" si="67"/>
        <v/>
      </c>
      <c r="I4949" s="17"/>
      <c r="J4949" s="17"/>
      <c r="K4949" s="17"/>
    </row>
    <row r="4950" spans="1:11" x14ac:dyDescent="0.2">
      <c r="A4950" s="115"/>
      <c r="B4950" s="93"/>
      <c r="C4950" s="94"/>
      <c r="D4950" s="95"/>
      <c r="E4950" s="95"/>
      <c r="F4950" s="96"/>
      <c r="G4950" s="97"/>
      <c r="H4950" s="114" t="str">
        <f t="shared" si="67"/>
        <v/>
      </c>
      <c r="I4950" s="17"/>
      <c r="J4950" s="17"/>
      <c r="K4950" s="17"/>
    </row>
    <row r="4951" spans="1:11" x14ac:dyDescent="0.2">
      <c r="A4951" s="115"/>
      <c r="B4951" s="93"/>
      <c r="C4951" s="94"/>
      <c r="D4951" s="95"/>
      <c r="E4951" s="95"/>
      <c r="F4951" s="96"/>
      <c r="G4951" s="97"/>
      <c r="H4951" s="114" t="str">
        <f t="shared" si="67"/>
        <v/>
      </c>
      <c r="I4951" s="17"/>
      <c r="J4951" s="17"/>
      <c r="K4951" s="17"/>
    </row>
    <row r="4952" spans="1:11" x14ac:dyDescent="0.2">
      <c r="A4952" s="115"/>
      <c r="B4952" s="93"/>
      <c r="C4952" s="94"/>
      <c r="D4952" s="95"/>
      <c r="E4952" s="95"/>
      <c r="F4952" s="96"/>
      <c r="G4952" s="97"/>
      <c r="H4952" s="114" t="str">
        <f t="shared" si="67"/>
        <v/>
      </c>
      <c r="I4952" s="17"/>
      <c r="J4952" s="17"/>
      <c r="K4952" s="17"/>
    </row>
    <row r="4953" spans="1:11" x14ac:dyDescent="0.2">
      <c r="A4953" s="115"/>
      <c r="B4953" s="93"/>
      <c r="C4953" s="94"/>
      <c r="D4953" s="95"/>
      <c r="E4953" s="95"/>
      <c r="F4953" s="96"/>
      <c r="G4953" s="97"/>
      <c r="H4953" s="114" t="str">
        <f t="shared" si="67"/>
        <v/>
      </c>
      <c r="I4953" s="17"/>
      <c r="J4953" s="17"/>
      <c r="K4953" s="17"/>
    </row>
    <row r="4954" spans="1:11" x14ac:dyDescent="0.2">
      <c r="A4954" s="115"/>
      <c r="B4954" s="93"/>
      <c r="C4954" s="94"/>
      <c r="D4954" s="95"/>
      <c r="E4954" s="95"/>
      <c r="F4954" s="96"/>
      <c r="G4954" s="97"/>
      <c r="H4954" s="114" t="str">
        <f t="shared" si="67"/>
        <v/>
      </c>
      <c r="I4954" s="17"/>
      <c r="J4954" s="17"/>
      <c r="K4954" s="17"/>
    </row>
    <row r="4955" spans="1:11" x14ac:dyDescent="0.2">
      <c r="A4955" s="115"/>
      <c r="B4955" s="93"/>
      <c r="C4955" s="94"/>
      <c r="D4955" s="95"/>
      <c r="E4955" s="95"/>
      <c r="F4955" s="96"/>
      <c r="G4955" s="97"/>
      <c r="H4955" s="114" t="str">
        <f t="shared" si="67"/>
        <v/>
      </c>
      <c r="I4955" s="17"/>
      <c r="J4955" s="17"/>
      <c r="K4955" s="17"/>
    </row>
    <row r="4956" spans="1:11" x14ac:dyDescent="0.2">
      <c r="A4956" s="115"/>
      <c r="B4956" s="93"/>
      <c r="C4956" s="94"/>
      <c r="D4956" s="95"/>
      <c r="E4956" s="95"/>
      <c r="F4956" s="96"/>
      <c r="G4956" s="97"/>
      <c r="H4956" s="114" t="str">
        <f t="shared" si="67"/>
        <v/>
      </c>
      <c r="I4956" s="17"/>
      <c r="J4956" s="17"/>
      <c r="K4956" s="17"/>
    </row>
    <row r="4957" spans="1:11" x14ac:dyDescent="0.2">
      <c r="A4957" s="115"/>
      <c r="B4957" s="93"/>
      <c r="C4957" s="94"/>
      <c r="D4957" s="95"/>
      <c r="E4957" s="95"/>
      <c r="F4957" s="96"/>
      <c r="G4957" s="97"/>
      <c r="H4957" s="114" t="str">
        <f t="shared" si="67"/>
        <v/>
      </c>
      <c r="I4957" s="17"/>
      <c r="J4957" s="17"/>
      <c r="K4957" s="17"/>
    </row>
    <row r="4958" spans="1:11" x14ac:dyDescent="0.2">
      <c r="A4958" s="115"/>
      <c r="B4958" s="93"/>
      <c r="C4958" s="94"/>
      <c r="D4958" s="95"/>
      <c r="E4958" s="95"/>
      <c r="F4958" s="96"/>
      <c r="G4958" s="97"/>
      <c r="H4958" s="114" t="str">
        <f t="shared" si="67"/>
        <v/>
      </c>
      <c r="I4958" s="17"/>
      <c r="J4958" s="17"/>
      <c r="K4958" s="17"/>
    </row>
    <row r="4959" spans="1:11" x14ac:dyDescent="0.2">
      <c r="A4959" s="115"/>
      <c r="B4959" s="93"/>
      <c r="C4959" s="94"/>
      <c r="D4959" s="95"/>
      <c r="E4959" s="95"/>
      <c r="F4959" s="96"/>
      <c r="G4959" s="97"/>
      <c r="H4959" s="114" t="str">
        <f t="shared" si="67"/>
        <v/>
      </c>
      <c r="I4959" s="17"/>
      <c r="J4959" s="17"/>
      <c r="K4959" s="17"/>
    </row>
    <row r="4960" spans="1:11" x14ac:dyDescent="0.2">
      <c r="A4960" s="115"/>
      <c r="B4960" s="93"/>
      <c r="C4960" s="94"/>
      <c r="D4960" s="95"/>
      <c r="E4960" s="95"/>
      <c r="F4960" s="96"/>
      <c r="G4960" s="97"/>
      <c r="H4960" s="114" t="str">
        <f t="shared" si="67"/>
        <v/>
      </c>
      <c r="I4960" s="17"/>
      <c r="J4960" s="17"/>
      <c r="K4960" s="17"/>
    </row>
    <row r="4961" spans="1:11" x14ac:dyDescent="0.2">
      <c r="A4961" s="115"/>
      <c r="B4961" s="93"/>
      <c r="C4961" s="94"/>
      <c r="D4961" s="95"/>
      <c r="E4961" s="95"/>
      <c r="F4961" s="96"/>
      <c r="G4961" s="97"/>
      <c r="H4961" s="114" t="str">
        <f t="shared" si="67"/>
        <v/>
      </c>
      <c r="I4961" s="17"/>
      <c r="J4961" s="17"/>
      <c r="K4961" s="17"/>
    </row>
    <row r="4962" spans="1:11" x14ac:dyDescent="0.2">
      <c r="A4962" s="115"/>
      <c r="B4962" s="93"/>
      <c r="C4962" s="94"/>
      <c r="D4962" s="95"/>
      <c r="E4962" s="95"/>
      <c r="F4962" s="96"/>
      <c r="G4962" s="97"/>
      <c r="H4962" s="114" t="str">
        <f t="shared" si="67"/>
        <v/>
      </c>
      <c r="I4962" s="17"/>
      <c r="J4962" s="17"/>
      <c r="K4962" s="17"/>
    </row>
    <row r="4963" spans="1:11" x14ac:dyDescent="0.2">
      <c r="A4963" s="115"/>
      <c r="B4963" s="93"/>
      <c r="C4963" s="94"/>
      <c r="D4963" s="95"/>
      <c r="E4963" s="95"/>
      <c r="F4963" s="96"/>
      <c r="G4963" s="97"/>
      <c r="H4963" s="114" t="str">
        <f t="shared" si="67"/>
        <v/>
      </c>
      <c r="I4963" s="17"/>
      <c r="J4963" s="17"/>
      <c r="K4963" s="17"/>
    </row>
    <row r="4964" spans="1:11" x14ac:dyDescent="0.2">
      <c r="A4964" s="115"/>
      <c r="B4964" s="93"/>
      <c r="C4964" s="94"/>
      <c r="D4964" s="95"/>
      <c r="E4964" s="95"/>
      <c r="F4964" s="96"/>
      <c r="G4964" s="97"/>
      <c r="H4964" s="114" t="str">
        <f t="shared" si="67"/>
        <v/>
      </c>
      <c r="I4964" s="17"/>
      <c r="J4964" s="17"/>
      <c r="K4964" s="17"/>
    </row>
    <row r="4965" spans="1:11" x14ac:dyDescent="0.2">
      <c r="A4965" s="115"/>
      <c r="B4965" s="93"/>
      <c r="C4965" s="94"/>
      <c r="D4965" s="95"/>
      <c r="E4965" s="95"/>
      <c r="F4965" s="96"/>
      <c r="G4965" s="97"/>
      <c r="H4965" s="114" t="str">
        <f t="shared" si="67"/>
        <v/>
      </c>
      <c r="I4965" s="17"/>
      <c r="J4965" s="17"/>
      <c r="K4965" s="17"/>
    </row>
    <row r="4966" spans="1:11" x14ac:dyDescent="0.2">
      <c r="A4966" s="115"/>
      <c r="B4966" s="93"/>
      <c r="C4966" s="94"/>
      <c r="D4966" s="95"/>
      <c r="E4966" s="95"/>
      <c r="F4966" s="96"/>
      <c r="G4966" s="97"/>
      <c r="H4966" s="114" t="str">
        <f t="shared" si="67"/>
        <v/>
      </c>
      <c r="I4966" s="17"/>
      <c r="J4966" s="17"/>
      <c r="K4966" s="17"/>
    </row>
    <row r="4967" spans="1:11" x14ac:dyDescent="0.2">
      <c r="A4967" s="115"/>
      <c r="B4967" s="93"/>
      <c r="C4967" s="94"/>
      <c r="D4967" s="95"/>
      <c r="E4967" s="95"/>
      <c r="F4967" s="96"/>
      <c r="G4967" s="97"/>
      <c r="H4967" s="114" t="str">
        <f t="shared" si="67"/>
        <v/>
      </c>
      <c r="I4967" s="17"/>
      <c r="J4967" s="17"/>
      <c r="K4967" s="17"/>
    </row>
    <row r="4968" spans="1:11" x14ac:dyDescent="0.2">
      <c r="A4968" s="115"/>
      <c r="B4968" s="93"/>
      <c r="C4968" s="94"/>
      <c r="D4968" s="95"/>
      <c r="E4968" s="95"/>
      <c r="F4968" s="96"/>
      <c r="G4968" s="97"/>
      <c r="H4968" s="114" t="str">
        <f t="shared" si="67"/>
        <v/>
      </c>
      <c r="I4968" s="17"/>
      <c r="J4968" s="17"/>
      <c r="K4968" s="17"/>
    </row>
    <row r="4969" spans="1:11" x14ac:dyDescent="0.2">
      <c r="A4969" s="115"/>
      <c r="B4969" s="93"/>
      <c r="C4969" s="94"/>
      <c r="D4969" s="95"/>
      <c r="E4969" s="95"/>
      <c r="F4969" s="96"/>
      <c r="G4969" s="97"/>
      <c r="H4969" s="114" t="str">
        <f t="shared" si="67"/>
        <v/>
      </c>
      <c r="I4969" s="17"/>
      <c r="J4969" s="17"/>
      <c r="K4969" s="17"/>
    </row>
    <row r="4970" spans="1:11" x14ac:dyDescent="0.2">
      <c r="A4970" s="115"/>
      <c r="B4970" s="93"/>
      <c r="C4970" s="94"/>
      <c r="D4970" s="95"/>
      <c r="E4970" s="95"/>
      <c r="F4970" s="96"/>
      <c r="G4970" s="97"/>
      <c r="H4970" s="114" t="str">
        <f t="shared" si="67"/>
        <v/>
      </c>
      <c r="I4970" s="17"/>
      <c r="J4970" s="17"/>
      <c r="K4970" s="17"/>
    </row>
    <row r="4971" spans="1:11" x14ac:dyDescent="0.2">
      <c r="A4971" s="115"/>
      <c r="B4971" s="93"/>
      <c r="C4971" s="94"/>
      <c r="D4971" s="95"/>
      <c r="E4971" s="95"/>
      <c r="F4971" s="96"/>
      <c r="G4971" s="97"/>
      <c r="H4971" s="114" t="str">
        <f t="shared" si="67"/>
        <v/>
      </c>
      <c r="I4971" s="17"/>
      <c r="J4971" s="17"/>
      <c r="K4971" s="17"/>
    </row>
    <row r="4972" spans="1:11" x14ac:dyDescent="0.2">
      <c r="A4972" s="115"/>
      <c r="B4972" s="93"/>
      <c r="C4972" s="94"/>
      <c r="D4972" s="95"/>
      <c r="E4972" s="95"/>
      <c r="F4972" s="96"/>
      <c r="G4972" s="97"/>
      <c r="H4972" s="114" t="str">
        <f t="shared" si="67"/>
        <v/>
      </c>
      <c r="I4972" s="17"/>
      <c r="J4972" s="17"/>
      <c r="K4972" s="17"/>
    </row>
    <row r="4973" spans="1:11" x14ac:dyDescent="0.2">
      <c r="A4973" s="115"/>
      <c r="B4973" s="93"/>
      <c r="C4973" s="94"/>
      <c r="D4973" s="95"/>
      <c r="E4973" s="95"/>
      <c r="F4973" s="96"/>
      <c r="G4973" s="97"/>
      <c r="H4973" s="114" t="str">
        <f t="shared" si="67"/>
        <v/>
      </c>
      <c r="I4973" s="17"/>
      <c r="J4973" s="17"/>
      <c r="K4973" s="17"/>
    </row>
    <row r="4974" spans="1:11" x14ac:dyDescent="0.2">
      <c r="A4974" s="115"/>
      <c r="B4974" s="93"/>
      <c r="C4974" s="94"/>
      <c r="D4974" s="95"/>
      <c r="E4974" s="95"/>
      <c r="F4974" s="96"/>
      <c r="G4974" s="97"/>
      <c r="H4974" s="114" t="str">
        <f t="shared" si="67"/>
        <v/>
      </c>
      <c r="I4974" s="17"/>
      <c r="J4974" s="17"/>
      <c r="K4974" s="17"/>
    </row>
    <row r="4975" spans="1:11" x14ac:dyDescent="0.2">
      <c r="A4975" s="115"/>
      <c r="B4975" s="93"/>
      <c r="C4975" s="94"/>
      <c r="D4975" s="95"/>
      <c r="E4975" s="95"/>
      <c r="F4975" s="96"/>
      <c r="G4975" s="97"/>
      <c r="H4975" s="114" t="str">
        <f t="shared" si="67"/>
        <v/>
      </c>
      <c r="I4975" s="17"/>
      <c r="J4975" s="17"/>
      <c r="K4975" s="17"/>
    </row>
    <row r="4976" spans="1:11" x14ac:dyDescent="0.2">
      <c r="A4976" s="115"/>
      <c r="B4976" s="93"/>
      <c r="C4976" s="94"/>
      <c r="D4976" s="95"/>
      <c r="E4976" s="95"/>
      <c r="F4976" s="96"/>
      <c r="G4976" s="97"/>
      <c r="H4976" s="114" t="str">
        <f t="shared" si="67"/>
        <v/>
      </c>
      <c r="I4976" s="17"/>
      <c r="J4976" s="17"/>
      <c r="K4976" s="17"/>
    </row>
    <row r="4977" spans="1:11" x14ac:dyDescent="0.2">
      <c r="A4977" s="115"/>
      <c r="B4977" s="93"/>
      <c r="C4977" s="94"/>
      <c r="D4977" s="95"/>
      <c r="E4977" s="95"/>
      <c r="F4977" s="96"/>
      <c r="G4977" s="97"/>
      <c r="H4977" s="114" t="str">
        <f t="shared" si="67"/>
        <v/>
      </c>
      <c r="I4977" s="17"/>
      <c r="J4977" s="17"/>
      <c r="K4977" s="17"/>
    </row>
    <row r="4978" spans="1:11" x14ac:dyDescent="0.2">
      <c r="A4978" s="115"/>
      <c r="B4978" s="93"/>
      <c r="C4978" s="94"/>
      <c r="D4978" s="95"/>
      <c r="E4978" s="95"/>
      <c r="F4978" s="96"/>
      <c r="G4978" s="97"/>
      <c r="H4978" s="114" t="str">
        <f t="shared" si="67"/>
        <v/>
      </c>
      <c r="I4978" s="17"/>
      <c r="J4978" s="17"/>
      <c r="K4978" s="17"/>
    </row>
    <row r="4979" spans="1:11" x14ac:dyDescent="0.2">
      <c r="A4979" s="115"/>
      <c r="B4979" s="93"/>
      <c r="C4979" s="94"/>
      <c r="D4979" s="95"/>
      <c r="E4979" s="95"/>
      <c r="F4979" s="96"/>
      <c r="G4979" s="97"/>
      <c r="H4979" s="114" t="str">
        <f t="shared" si="67"/>
        <v/>
      </c>
      <c r="I4979" s="17"/>
      <c r="J4979" s="17"/>
      <c r="K4979" s="17"/>
    </row>
    <row r="4980" spans="1:11" x14ac:dyDescent="0.2">
      <c r="A4980" s="115"/>
      <c r="B4980" s="93"/>
      <c r="C4980" s="94"/>
      <c r="D4980" s="95"/>
      <c r="E4980" s="95"/>
      <c r="F4980" s="96"/>
      <c r="G4980" s="97"/>
      <c r="H4980" s="114" t="str">
        <f t="shared" si="67"/>
        <v/>
      </c>
      <c r="I4980" s="17"/>
      <c r="J4980" s="17"/>
      <c r="K4980" s="17"/>
    </row>
    <row r="4981" spans="1:11" x14ac:dyDescent="0.2">
      <c r="A4981" s="115"/>
      <c r="B4981" s="93"/>
      <c r="C4981" s="94"/>
      <c r="D4981" s="95"/>
      <c r="E4981" s="95"/>
      <c r="F4981" s="96"/>
      <c r="G4981" s="97"/>
      <c r="H4981" s="114" t="str">
        <f t="shared" si="67"/>
        <v/>
      </c>
      <c r="I4981" s="17"/>
      <c r="J4981" s="17"/>
      <c r="K4981" s="17"/>
    </row>
    <row r="4982" spans="1:11" x14ac:dyDescent="0.2">
      <c r="A4982" s="115"/>
      <c r="B4982" s="93"/>
      <c r="C4982" s="94"/>
      <c r="D4982" s="95"/>
      <c r="E4982" s="95"/>
      <c r="F4982" s="96"/>
      <c r="G4982" s="97"/>
      <c r="H4982" s="114" t="str">
        <f t="shared" si="67"/>
        <v/>
      </c>
      <c r="I4982" s="17"/>
      <c r="J4982" s="17"/>
      <c r="K4982" s="17"/>
    </row>
    <row r="4983" spans="1:11" x14ac:dyDescent="0.2">
      <c r="A4983" s="115"/>
      <c r="B4983" s="93"/>
      <c r="C4983" s="94"/>
      <c r="D4983" s="95"/>
      <c r="E4983" s="95"/>
      <c r="F4983" s="96"/>
      <c r="G4983" s="97"/>
      <c r="H4983" s="114" t="str">
        <f t="shared" si="67"/>
        <v/>
      </c>
      <c r="I4983" s="17"/>
      <c r="J4983" s="17"/>
      <c r="K4983" s="17"/>
    </row>
    <row r="4984" spans="1:11" x14ac:dyDescent="0.2">
      <c r="A4984" s="115"/>
      <c r="B4984" s="93"/>
      <c r="C4984" s="94"/>
      <c r="D4984" s="95"/>
      <c r="E4984" s="95"/>
      <c r="F4984" s="96"/>
      <c r="G4984" s="97"/>
      <c r="H4984" s="114" t="str">
        <f t="shared" si="67"/>
        <v/>
      </c>
      <c r="I4984" s="17"/>
      <c r="J4984" s="17"/>
      <c r="K4984" s="17"/>
    </row>
    <row r="4985" spans="1:11" x14ac:dyDescent="0.2">
      <c r="A4985" s="115"/>
      <c r="B4985" s="93"/>
      <c r="C4985" s="94"/>
      <c r="D4985" s="95"/>
      <c r="E4985" s="95"/>
      <c r="F4985" s="96"/>
      <c r="G4985" s="97"/>
      <c r="H4985" s="114" t="str">
        <f t="shared" si="67"/>
        <v/>
      </c>
      <c r="I4985" s="17"/>
      <c r="J4985" s="17"/>
      <c r="K4985" s="17"/>
    </row>
    <row r="4986" spans="1:11" x14ac:dyDescent="0.2">
      <c r="A4986" s="115"/>
      <c r="B4986" s="93"/>
      <c r="C4986" s="94"/>
      <c r="D4986" s="95"/>
      <c r="E4986" s="95"/>
      <c r="F4986" s="96"/>
      <c r="G4986" s="97"/>
      <c r="H4986" s="114" t="str">
        <f t="shared" si="67"/>
        <v/>
      </c>
      <c r="I4986" s="17"/>
      <c r="J4986" s="17"/>
      <c r="K4986" s="17"/>
    </row>
    <row r="4987" spans="1:11" x14ac:dyDescent="0.2">
      <c r="A4987" s="115"/>
      <c r="B4987" s="93"/>
      <c r="C4987" s="94"/>
      <c r="D4987" s="95"/>
      <c r="E4987" s="95"/>
      <c r="F4987" s="96"/>
      <c r="G4987" s="97"/>
      <c r="H4987" s="114" t="str">
        <f t="shared" si="67"/>
        <v/>
      </c>
      <c r="I4987" s="17"/>
      <c r="J4987" s="17"/>
      <c r="K4987" s="17"/>
    </row>
    <row r="4988" spans="1:11" x14ac:dyDescent="0.2">
      <c r="A4988" s="115"/>
      <c r="B4988" s="93"/>
      <c r="C4988" s="94"/>
      <c r="D4988" s="95"/>
      <c r="E4988" s="95"/>
      <c r="F4988" s="96"/>
      <c r="G4988" s="97"/>
      <c r="H4988" s="114" t="str">
        <f t="shared" si="67"/>
        <v/>
      </c>
      <c r="I4988" s="17"/>
      <c r="J4988" s="17"/>
      <c r="K4988" s="17"/>
    </row>
    <row r="4989" spans="1:11" x14ac:dyDescent="0.2">
      <c r="A4989" s="115"/>
      <c r="B4989" s="93"/>
      <c r="C4989" s="94"/>
      <c r="D4989" s="95"/>
      <c r="E4989" s="95"/>
      <c r="F4989" s="96"/>
      <c r="G4989" s="97"/>
      <c r="H4989" s="114" t="str">
        <f t="shared" si="67"/>
        <v/>
      </c>
      <c r="I4989" s="17"/>
      <c r="J4989" s="17"/>
      <c r="K4989" s="17"/>
    </row>
    <row r="4990" spans="1:11" x14ac:dyDescent="0.2">
      <c r="A4990" s="115"/>
      <c r="B4990" s="93"/>
      <c r="C4990" s="94"/>
      <c r="D4990" s="95"/>
      <c r="E4990" s="95"/>
      <c r="F4990" s="96"/>
      <c r="G4990" s="97"/>
      <c r="H4990" s="114" t="str">
        <f t="shared" si="67"/>
        <v/>
      </c>
      <c r="I4990" s="17"/>
      <c r="J4990" s="17"/>
      <c r="K4990" s="17"/>
    </row>
    <row r="4991" spans="1:11" x14ac:dyDescent="0.2">
      <c r="A4991" s="115"/>
      <c r="B4991" s="93"/>
      <c r="C4991" s="94"/>
      <c r="D4991" s="95"/>
      <c r="E4991" s="95"/>
      <c r="F4991" s="96"/>
      <c r="G4991" s="97"/>
      <c r="H4991" s="114" t="str">
        <f t="shared" si="67"/>
        <v/>
      </c>
      <c r="I4991" s="17"/>
      <c r="J4991" s="17"/>
      <c r="K4991" s="17"/>
    </row>
    <row r="4992" spans="1:11" x14ac:dyDescent="0.2">
      <c r="A4992" s="115"/>
      <c r="B4992" s="93"/>
      <c r="C4992" s="94"/>
      <c r="D4992" s="95"/>
      <c r="E4992" s="95"/>
      <c r="F4992" s="96"/>
      <c r="G4992" s="97"/>
      <c r="H4992" s="114" t="str">
        <f t="shared" si="67"/>
        <v/>
      </c>
      <c r="I4992" s="17"/>
      <c r="J4992" s="17"/>
      <c r="K4992" s="17"/>
    </row>
    <row r="4993" spans="1:11" x14ac:dyDescent="0.2">
      <c r="A4993" s="115"/>
      <c r="B4993" s="93"/>
      <c r="C4993" s="94"/>
      <c r="D4993" s="95"/>
      <c r="E4993" s="95"/>
      <c r="F4993" s="96"/>
      <c r="G4993" s="97"/>
      <c r="H4993" s="114" t="str">
        <f t="shared" si="67"/>
        <v/>
      </c>
      <c r="I4993" s="17"/>
      <c r="J4993" s="17"/>
      <c r="K4993" s="17"/>
    </row>
    <row r="4994" spans="1:11" x14ac:dyDescent="0.2">
      <c r="A4994" s="115"/>
      <c r="B4994" s="93"/>
      <c r="C4994" s="94"/>
      <c r="D4994" s="95"/>
      <c r="E4994" s="95"/>
      <c r="F4994" s="96"/>
      <c r="G4994" s="97"/>
      <c r="H4994" s="114" t="str">
        <f t="shared" si="67"/>
        <v/>
      </c>
      <c r="I4994" s="17"/>
      <c r="J4994" s="17"/>
      <c r="K4994" s="17"/>
    </row>
    <row r="4995" spans="1:11" x14ac:dyDescent="0.2">
      <c r="A4995" s="115"/>
      <c r="B4995" s="93"/>
      <c r="C4995" s="94"/>
      <c r="D4995" s="95"/>
      <c r="E4995" s="95"/>
      <c r="F4995" s="96"/>
      <c r="G4995" s="97"/>
      <c r="H4995" s="114" t="str">
        <f t="shared" si="67"/>
        <v/>
      </c>
      <c r="I4995" s="17"/>
      <c r="J4995" s="17"/>
      <c r="K4995" s="17"/>
    </row>
    <row r="4996" spans="1:11" x14ac:dyDescent="0.2">
      <c r="A4996" s="115"/>
      <c r="B4996" s="93"/>
      <c r="C4996" s="94"/>
      <c r="D4996" s="95"/>
      <c r="E4996" s="95"/>
      <c r="F4996" s="96"/>
      <c r="G4996" s="97"/>
      <c r="H4996" s="114" t="str">
        <f t="shared" ref="H4996:H5059" si="68">IF(A4996&lt;&gt;"", EOMONTH(A4996, -1) + 1, "")</f>
        <v/>
      </c>
      <c r="I4996" s="17"/>
      <c r="J4996" s="17"/>
      <c r="K4996" s="17"/>
    </row>
    <row r="4997" spans="1:11" x14ac:dyDescent="0.2">
      <c r="A4997" s="115"/>
      <c r="B4997" s="93"/>
      <c r="C4997" s="94"/>
      <c r="D4997" s="95"/>
      <c r="E4997" s="95"/>
      <c r="F4997" s="96"/>
      <c r="G4997" s="97"/>
      <c r="H4997" s="114" t="str">
        <f t="shared" si="68"/>
        <v/>
      </c>
      <c r="I4997" s="17"/>
      <c r="J4997" s="17"/>
      <c r="K4997" s="17"/>
    </row>
    <row r="4998" spans="1:11" x14ac:dyDescent="0.2">
      <c r="A4998" s="115"/>
      <c r="B4998" s="93"/>
      <c r="C4998" s="94"/>
      <c r="D4998" s="95"/>
      <c r="E4998" s="95"/>
      <c r="F4998" s="96"/>
      <c r="G4998" s="97"/>
      <c r="H4998" s="114" t="str">
        <f t="shared" si="68"/>
        <v/>
      </c>
      <c r="I4998" s="17"/>
      <c r="J4998" s="17"/>
      <c r="K4998" s="17"/>
    </row>
    <row r="4999" spans="1:11" x14ac:dyDescent="0.2">
      <c r="A4999" s="115"/>
      <c r="B4999" s="93"/>
      <c r="C4999" s="94"/>
      <c r="D4999" s="95"/>
      <c r="E4999" s="95"/>
      <c r="F4999" s="96"/>
      <c r="G4999" s="97"/>
      <c r="H4999" s="114" t="str">
        <f t="shared" si="68"/>
        <v/>
      </c>
      <c r="I4999" s="17"/>
      <c r="J4999" s="17"/>
      <c r="K4999" s="17"/>
    </row>
    <row r="5000" spans="1:11" x14ac:dyDescent="0.2">
      <c r="A5000" s="115"/>
      <c r="B5000" s="93"/>
      <c r="C5000" s="94"/>
      <c r="D5000" s="95"/>
      <c r="E5000" s="95"/>
      <c r="F5000" s="96"/>
      <c r="G5000" s="97"/>
      <c r="H5000" s="114" t="str">
        <f t="shared" si="68"/>
        <v/>
      </c>
      <c r="I5000" s="17"/>
      <c r="J5000" s="17"/>
      <c r="K5000" s="17"/>
    </row>
    <row r="5001" spans="1:11" x14ac:dyDescent="0.2">
      <c r="A5001" s="115"/>
      <c r="B5001" s="93"/>
      <c r="C5001" s="94"/>
      <c r="D5001" s="95"/>
      <c r="E5001" s="95"/>
      <c r="F5001" s="96"/>
      <c r="G5001" s="97"/>
      <c r="H5001" s="114" t="str">
        <f t="shared" si="68"/>
        <v/>
      </c>
      <c r="I5001" s="17"/>
      <c r="J5001" s="17"/>
      <c r="K5001" s="17"/>
    </row>
    <row r="5002" spans="1:11" x14ac:dyDescent="0.2">
      <c r="A5002" s="115"/>
      <c r="B5002" s="93"/>
      <c r="C5002" s="94"/>
      <c r="D5002" s="95"/>
      <c r="E5002" s="95"/>
      <c r="F5002" s="96"/>
      <c r="G5002" s="97"/>
      <c r="H5002" s="114" t="str">
        <f t="shared" si="68"/>
        <v/>
      </c>
      <c r="I5002" s="17"/>
      <c r="J5002" s="17"/>
      <c r="K5002" s="17"/>
    </row>
    <row r="5003" spans="1:11" x14ac:dyDescent="0.2">
      <c r="A5003" s="115"/>
      <c r="B5003" s="93"/>
      <c r="C5003" s="94"/>
      <c r="D5003" s="95"/>
      <c r="E5003" s="95"/>
      <c r="F5003" s="96"/>
      <c r="G5003" s="97"/>
      <c r="H5003" s="114" t="str">
        <f t="shared" si="68"/>
        <v/>
      </c>
      <c r="I5003" s="17"/>
      <c r="J5003" s="17"/>
      <c r="K5003" s="17"/>
    </row>
    <row r="5004" spans="1:11" x14ac:dyDescent="0.2">
      <c r="A5004" s="115"/>
      <c r="B5004" s="93"/>
      <c r="C5004" s="94"/>
      <c r="D5004" s="95"/>
      <c r="E5004" s="95"/>
      <c r="F5004" s="96"/>
      <c r="G5004" s="97"/>
      <c r="H5004" s="114" t="str">
        <f t="shared" si="68"/>
        <v/>
      </c>
      <c r="I5004" s="17"/>
      <c r="J5004" s="17"/>
      <c r="K5004" s="17"/>
    </row>
    <row r="5005" spans="1:11" x14ac:dyDescent="0.2">
      <c r="A5005" s="115"/>
      <c r="B5005" s="93"/>
      <c r="C5005" s="94"/>
      <c r="D5005" s="95"/>
      <c r="E5005" s="95"/>
      <c r="F5005" s="96"/>
      <c r="G5005" s="97"/>
      <c r="H5005" s="114" t="str">
        <f t="shared" si="68"/>
        <v/>
      </c>
      <c r="I5005" s="17"/>
      <c r="J5005" s="17"/>
      <c r="K5005" s="17"/>
    </row>
    <row r="5006" spans="1:11" x14ac:dyDescent="0.2">
      <c r="A5006" s="115"/>
      <c r="B5006" s="93"/>
      <c r="C5006" s="94"/>
      <c r="D5006" s="95"/>
      <c r="E5006" s="95"/>
      <c r="F5006" s="96"/>
      <c r="G5006" s="97"/>
      <c r="H5006" s="114" t="str">
        <f t="shared" si="68"/>
        <v/>
      </c>
      <c r="I5006" s="17"/>
      <c r="J5006" s="17"/>
      <c r="K5006" s="17"/>
    </row>
    <row r="5007" spans="1:11" x14ac:dyDescent="0.2">
      <c r="A5007" s="115"/>
      <c r="B5007" s="93"/>
      <c r="C5007" s="94"/>
      <c r="D5007" s="95"/>
      <c r="E5007" s="95"/>
      <c r="F5007" s="96"/>
      <c r="G5007" s="97"/>
      <c r="H5007" s="114" t="str">
        <f t="shared" si="68"/>
        <v/>
      </c>
      <c r="I5007" s="17"/>
      <c r="J5007" s="17"/>
      <c r="K5007" s="17"/>
    </row>
    <row r="5008" spans="1:11" x14ac:dyDescent="0.2">
      <c r="A5008" s="115"/>
      <c r="B5008" s="93"/>
      <c r="C5008" s="94"/>
      <c r="D5008" s="95"/>
      <c r="E5008" s="95"/>
      <c r="F5008" s="96"/>
      <c r="G5008" s="97"/>
      <c r="H5008" s="114" t="str">
        <f t="shared" si="68"/>
        <v/>
      </c>
      <c r="I5008" s="17"/>
      <c r="J5008" s="17"/>
      <c r="K5008" s="17"/>
    </row>
    <row r="5009" spans="1:11" x14ac:dyDescent="0.2">
      <c r="A5009" s="115"/>
      <c r="B5009" s="93"/>
      <c r="C5009" s="94"/>
      <c r="D5009" s="95"/>
      <c r="E5009" s="95"/>
      <c r="F5009" s="96"/>
      <c r="G5009" s="97"/>
      <c r="H5009" s="114" t="str">
        <f t="shared" si="68"/>
        <v/>
      </c>
      <c r="I5009" s="17"/>
      <c r="J5009" s="17"/>
      <c r="K5009" s="17"/>
    </row>
    <row r="5010" spans="1:11" x14ac:dyDescent="0.2">
      <c r="A5010" s="115"/>
      <c r="B5010" s="93"/>
      <c r="C5010" s="94"/>
      <c r="D5010" s="95"/>
      <c r="E5010" s="95"/>
      <c r="F5010" s="96"/>
      <c r="G5010" s="97"/>
      <c r="H5010" s="114" t="str">
        <f t="shared" si="68"/>
        <v/>
      </c>
      <c r="I5010" s="17"/>
      <c r="J5010" s="17"/>
      <c r="K5010" s="17"/>
    </row>
    <row r="5011" spans="1:11" x14ac:dyDescent="0.2">
      <c r="A5011" s="115"/>
      <c r="B5011" s="93"/>
      <c r="C5011" s="94"/>
      <c r="D5011" s="95"/>
      <c r="E5011" s="95"/>
      <c r="F5011" s="96"/>
      <c r="G5011" s="97"/>
      <c r="H5011" s="114" t="str">
        <f t="shared" si="68"/>
        <v/>
      </c>
      <c r="I5011" s="17"/>
      <c r="J5011" s="17"/>
      <c r="K5011" s="17"/>
    </row>
    <row r="5012" spans="1:11" x14ac:dyDescent="0.2">
      <c r="A5012" s="115"/>
      <c r="B5012" s="93"/>
      <c r="C5012" s="94"/>
      <c r="D5012" s="95"/>
      <c r="E5012" s="95"/>
      <c r="F5012" s="96"/>
      <c r="G5012" s="97"/>
      <c r="H5012" s="114" t="str">
        <f t="shared" si="68"/>
        <v/>
      </c>
      <c r="I5012" s="17"/>
      <c r="J5012" s="17"/>
      <c r="K5012" s="17"/>
    </row>
    <row r="5013" spans="1:11" x14ac:dyDescent="0.2">
      <c r="A5013" s="115"/>
      <c r="B5013" s="93"/>
      <c r="C5013" s="94"/>
      <c r="D5013" s="95"/>
      <c r="E5013" s="95"/>
      <c r="F5013" s="96"/>
      <c r="G5013" s="97"/>
      <c r="H5013" s="114" t="str">
        <f t="shared" si="68"/>
        <v/>
      </c>
      <c r="I5013" s="17"/>
      <c r="J5013" s="17"/>
      <c r="K5013" s="17"/>
    </row>
    <row r="5014" spans="1:11" x14ac:dyDescent="0.2">
      <c r="A5014" s="115"/>
      <c r="B5014" s="93"/>
      <c r="C5014" s="94"/>
      <c r="D5014" s="95"/>
      <c r="E5014" s="95"/>
      <c r="F5014" s="96"/>
      <c r="G5014" s="97"/>
      <c r="H5014" s="114" t="str">
        <f t="shared" si="68"/>
        <v/>
      </c>
      <c r="I5014" s="17"/>
      <c r="J5014" s="17"/>
      <c r="K5014" s="17"/>
    </row>
    <row r="5015" spans="1:11" x14ac:dyDescent="0.2">
      <c r="A5015" s="115"/>
      <c r="B5015" s="93"/>
      <c r="C5015" s="94"/>
      <c r="D5015" s="95"/>
      <c r="E5015" s="95"/>
      <c r="F5015" s="96"/>
      <c r="G5015" s="97"/>
      <c r="H5015" s="114" t="str">
        <f t="shared" si="68"/>
        <v/>
      </c>
      <c r="I5015" s="17"/>
      <c r="J5015" s="17"/>
      <c r="K5015" s="17"/>
    </row>
    <row r="5016" spans="1:11" x14ac:dyDescent="0.2">
      <c r="A5016" s="115"/>
      <c r="B5016" s="93"/>
      <c r="C5016" s="94"/>
      <c r="D5016" s="95"/>
      <c r="E5016" s="95"/>
      <c r="F5016" s="96"/>
      <c r="G5016" s="97"/>
      <c r="H5016" s="114" t="str">
        <f t="shared" si="68"/>
        <v/>
      </c>
      <c r="I5016" s="17"/>
      <c r="J5016" s="17"/>
      <c r="K5016" s="17"/>
    </row>
    <row r="5017" spans="1:11" x14ac:dyDescent="0.2">
      <c r="A5017" s="115"/>
      <c r="B5017" s="93"/>
      <c r="C5017" s="94"/>
      <c r="D5017" s="95"/>
      <c r="E5017" s="95"/>
      <c r="F5017" s="96"/>
      <c r="G5017" s="97"/>
      <c r="H5017" s="114" t="str">
        <f t="shared" si="68"/>
        <v/>
      </c>
      <c r="I5017" s="17"/>
      <c r="J5017" s="17"/>
      <c r="K5017" s="17"/>
    </row>
    <row r="5018" spans="1:11" x14ac:dyDescent="0.2">
      <c r="A5018" s="115"/>
      <c r="B5018" s="93"/>
      <c r="C5018" s="94"/>
      <c r="D5018" s="95"/>
      <c r="E5018" s="95"/>
      <c r="F5018" s="96"/>
      <c r="G5018" s="97"/>
      <c r="H5018" s="114" t="str">
        <f t="shared" si="68"/>
        <v/>
      </c>
      <c r="I5018" s="17"/>
      <c r="J5018" s="17"/>
      <c r="K5018" s="17"/>
    </row>
    <row r="5019" spans="1:11" x14ac:dyDescent="0.2">
      <c r="A5019" s="115"/>
      <c r="B5019" s="93"/>
      <c r="C5019" s="94"/>
      <c r="D5019" s="95"/>
      <c r="E5019" s="95"/>
      <c r="F5019" s="96"/>
      <c r="G5019" s="97"/>
      <c r="H5019" s="114" t="str">
        <f t="shared" si="68"/>
        <v/>
      </c>
      <c r="I5019" s="17"/>
      <c r="J5019" s="17"/>
      <c r="K5019" s="17"/>
    </row>
    <row r="5020" spans="1:11" x14ac:dyDescent="0.2">
      <c r="A5020" s="115"/>
      <c r="B5020" s="93"/>
      <c r="C5020" s="94"/>
      <c r="D5020" s="95"/>
      <c r="E5020" s="95"/>
      <c r="F5020" s="96"/>
      <c r="G5020" s="97"/>
      <c r="H5020" s="114" t="str">
        <f t="shared" si="68"/>
        <v/>
      </c>
      <c r="I5020" s="17"/>
      <c r="J5020" s="17"/>
      <c r="K5020" s="17"/>
    </row>
    <row r="5021" spans="1:11" x14ac:dyDescent="0.2">
      <c r="A5021" s="115"/>
      <c r="B5021" s="93"/>
      <c r="C5021" s="94"/>
      <c r="D5021" s="95"/>
      <c r="E5021" s="95"/>
      <c r="F5021" s="96"/>
      <c r="G5021" s="97"/>
      <c r="H5021" s="114" t="str">
        <f t="shared" si="68"/>
        <v/>
      </c>
      <c r="I5021" s="17"/>
      <c r="J5021" s="17"/>
      <c r="K5021" s="17"/>
    </row>
    <row r="5022" spans="1:11" x14ac:dyDescent="0.2">
      <c r="A5022" s="115"/>
      <c r="B5022" s="93"/>
      <c r="C5022" s="94"/>
      <c r="D5022" s="95"/>
      <c r="E5022" s="95"/>
      <c r="F5022" s="96"/>
      <c r="G5022" s="97"/>
      <c r="H5022" s="114" t="str">
        <f t="shared" si="68"/>
        <v/>
      </c>
      <c r="I5022" s="17"/>
      <c r="J5022" s="17"/>
      <c r="K5022" s="17"/>
    </row>
    <row r="5023" spans="1:11" x14ac:dyDescent="0.2">
      <c r="A5023" s="115"/>
      <c r="B5023" s="93"/>
      <c r="C5023" s="94"/>
      <c r="D5023" s="95"/>
      <c r="E5023" s="95"/>
      <c r="F5023" s="96"/>
      <c r="G5023" s="97"/>
      <c r="H5023" s="114" t="str">
        <f t="shared" si="68"/>
        <v/>
      </c>
      <c r="I5023" s="17"/>
      <c r="J5023" s="17"/>
      <c r="K5023" s="17"/>
    </row>
    <row r="5024" spans="1:11" x14ac:dyDescent="0.2">
      <c r="A5024" s="115"/>
      <c r="B5024" s="93"/>
      <c r="C5024" s="94"/>
      <c r="D5024" s="95"/>
      <c r="E5024" s="95"/>
      <c r="F5024" s="96"/>
      <c r="G5024" s="97"/>
      <c r="H5024" s="114" t="str">
        <f t="shared" si="68"/>
        <v/>
      </c>
      <c r="I5024" s="17"/>
      <c r="J5024" s="17"/>
      <c r="K5024" s="17"/>
    </row>
    <row r="5025" spans="1:11" x14ac:dyDescent="0.2">
      <c r="A5025" s="115"/>
      <c r="B5025" s="93"/>
      <c r="C5025" s="94"/>
      <c r="D5025" s="95"/>
      <c r="E5025" s="95"/>
      <c r="F5025" s="96"/>
      <c r="G5025" s="97"/>
      <c r="H5025" s="114" t="str">
        <f t="shared" si="68"/>
        <v/>
      </c>
      <c r="I5025" s="17"/>
      <c r="J5025" s="17"/>
      <c r="K5025" s="17"/>
    </row>
    <row r="5026" spans="1:11" x14ac:dyDescent="0.2">
      <c r="A5026" s="115"/>
      <c r="B5026" s="93"/>
      <c r="C5026" s="94"/>
      <c r="D5026" s="95"/>
      <c r="E5026" s="95"/>
      <c r="F5026" s="96"/>
      <c r="G5026" s="97"/>
      <c r="H5026" s="114" t="str">
        <f t="shared" si="68"/>
        <v/>
      </c>
      <c r="I5026" s="17"/>
      <c r="J5026" s="17"/>
      <c r="K5026" s="17"/>
    </row>
    <row r="5027" spans="1:11" x14ac:dyDescent="0.2">
      <c r="A5027" s="115"/>
      <c r="B5027" s="93"/>
      <c r="C5027" s="94"/>
      <c r="D5027" s="95"/>
      <c r="E5027" s="95"/>
      <c r="F5027" s="96"/>
      <c r="G5027" s="97"/>
      <c r="H5027" s="114" t="str">
        <f t="shared" si="68"/>
        <v/>
      </c>
      <c r="I5027" s="17"/>
      <c r="J5027" s="17"/>
      <c r="K5027" s="17"/>
    </row>
    <row r="5028" spans="1:11" x14ac:dyDescent="0.2">
      <c r="A5028" s="115"/>
      <c r="B5028" s="93"/>
      <c r="C5028" s="94"/>
      <c r="D5028" s="95"/>
      <c r="E5028" s="95"/>
      <c r="F5028" s="96"/>
      <c r="G5028" s="97"/>
      <c r="H5028" s="114" t="str">
        <f t="shared" si="68"/>
        <v/>
      </c>
      <c r="I5028" s="17"/>
      <c r="J5028" s="17"/>
      <c r="K5028" s="17"/>
    </row>
    <row r="5029" spans="1:11" x14ac:dyDescent="0.2">
      <c r="A5029" s="115"/>
      <c r="B5029" s="93"/>
      <c r="C5029" s="94"/>
      <c r="D5029" s="95"/>
      <c r="E5029" s="95"/>
      <c r="F5029" s="96"/>
      <c r="G5029" s="97"/>
      <c r="H5029" s="114" t="str">
        <f t="shared" si="68"/>
        <v/>
      </c>
      <c r="I5029" s="17"/>
      <c r="J5029" s="17"/>
      <c r="K5029" s="17"/>
    </row>
    <row r="5030" spans="1:11" x14ac:dyDescent="0.2">
      <c r="A5030" s="115"/>
      <c r="B5030" s="93"/>
      <c r="C5030" s="94"/>
      <c r="D5030" s="95"/>
      <c r="E5030" s="95"/>
      <c r="F5030" s="96"/>
      <c r="G5030" s="97"/>
      <c r="H5030" s="114" t="str">
        <f t="shared" si="68"/>
        <v/>
      </c>
      <c r="I5030" s="17"/>
      <c r="J5030" s="17"/>
      <c r="K5030" s="17"/>
    </row>
    <row r="5031" spans="1:11" x14ac:dyDescent="0.2">
      <c r="A5031" s="115"/>
      <c r="B5031" s="93"/>
      <c r="C5031" s="94"/>
      <c r="D5031" s="95"/>
      <c r="E5031" s="95"/>
      <c r="F5031" s="96"/>
      <c r="G5031" s="97"/>
      <c r="H5031" s="114" t="str">
        <f t="shared" si="68"/>
        <v/>
      </c>
      <c r="I5031" s="17"/>
      <c r="J5031" s="17"/>
      <c r="K5031" s="17"/>
    </row>
    <row r="5032" spans="1:11" x14ac:dyDescent="0.2">
      <c r="A5032" s="115"/>
      <c r="B5032" s="93"/>
      <c r="C5032" s="94"/>
      <c r="D5032" s="95"/>
      <c r="E5032" s="95"/>
      <c r="F5032" s="96"/>
      <c r="G5032" s="97"/>
      <c r="H5032" s="114" t="str">
        <f t="shared" si="68"/>
        <v/>
      </c>
      <c r="I5032" s="17"/>
      <c r="J5032" s="17"/>
      <c r="K5032" s="17"/>
    </row>
    <row r="5033" spans="1:11" x14ac:dyDescent="0.2">
      <c r="A5033" s="115"/>
      <c r="B5033" s="93"/>
      <c r="C5033" s="94"/>
      <c r="D5033" s="95"/>
      <c r="E5033" s="95"/>
      <c r="F5033" s="96"/>
      <c r="G5033" s="97"/>
      <c r="H5033" s="114" t="str">
        <f t="shared" si="68"/>
        <v/>
      </c>
      <c r="I5033" s="17"/>
      <c r="J5033" s="17"/>
      <c r="K5033" s="17"/>
    </row>
    <row r="5034" spans="1:11" x14ac:dyDescent="0.2">
      <c r="A5034" s="115"/>
      <c r="B5034" s="93"/>
      <c r="C5034" s="94"/>
      <c r="D5034" s="95"/>
      <c r="E5034" s="95"/>
      <c r="F5034" s="96"/>
      <c r="G5034" s="97"/>
      <c r="H5034" s="114" t="str">
        <f t="shared" si="68"/>
        <v/>
      </c>
      <c r="I5034" s="17"/>
      <c r="J5034" s="17"/>
      <c r="K5034" s="17"/>
    </row>
    <row r="5035" spans="1:11" x14ac:dyDescent="0.2">
      <c r="A5035" s="115"/>
      <c r="B5035" s="93"/>
      <c r="C5035" s="94"/>
      <c r="D5035" s="95"/>
      <c r="E5035" s="95"/>
      <c r="F5035" s="96"/>
      <c r="G5035" s="97"/>
      <c r="H5035" s="114" t="str">
        <f t="shared" si="68"/>
        <v/>
      </c>
      <c r="I5035" s="17"/>
      <c r="J5035" s="17"/>
      <c r="K5035" s="17"/>
    </row>
    <row r="5036" spans="1:11" x14ac:dyDescent="0.2">
      <c r="A5036" s="115"/>
      <c r="B5036" s="93"/>
      <c r="C5036" s="94"/>
      <c r="D5036" s="95"/>
      <c r="E5036" s="95"/>
      <c r="F5036" s="96"/>
      <c r="G5036" s="97"/>
      <c r="H5036" s="114" t="str">
        <f t="shared" si="68"/>
        <v/>
      </c>
      <c r="I5036" s="17"/>
      <c r="J5036" s="17"/>
      <c r="K5036" s="17"/>
    </row>
    <row r="5037" spans="1:11" x14ac:dyDescent="0.2">
      <c r="A5037" s="115"/>
      <c r="B5037" s="93"/>
      <c r="C5037" s="94"/>
      <c r="D5037" s="95"/>
      <c r="E5037" s="95"/>
      <c r="F5037" s="96"/>
      <c r="G5037" s="97"/>
      <c r="H5037" s="114" t="str">
        <f t="shared" si="68"/>
        <v/>
      </c>
      <c r="I5037" s="17"/>
      <c r="J5037" s="17"/>
      <c r="K5037" s="17"/>
    </row>
    <row r="5038" spans="1:11" x14ac:dyDescent="0.2">
      <c r="A5038" s="115"/>
      <c r="B5038" s="93"/>
      <c r="C5038" s="94"/>
      <c r="D5038" s="95"/>
      <c r="E5038" s="95"/>
      <c r="F5038" s="96"/>
      <c r="G5038" s="97"/>
      <c r="H5038" s="114" t="str">
        <f t="shared" si="68"/>
        <v/>
      </c>
      <c r="I5038" s="17"/>
      <c r="J5038" s="17"/>
      <c r="K5038" s="17"/>
    </row>
    <row r="5039" spans="1:11" x14ac:dyDescent="0.2">
      <c r="A5039" s="115"/>
      <c r="B5039" s="93"/>
      <c r="C5039" s="94"/>
      <c r="D5039" s="95"/>
      <c r="E5039" s="95"/>
      <c r="F5039" s="96"/>
      <c r="G5039" s="97"/>
      <c r="H5039" s="114" t="str">
        <f t="shared" si="68"/>
        <v/>
      </c>
      <c r="I5039" s="17"/>
      <c r="J5039" s="17"/>
      <c r="K5039" s="17"/>
    </row>
    <row r="5040" spans="1:11" x14ac:dyDescent="0.2">
      <c r="A5040" s="115"/>
      <c r="B5040" s="93"/>
      <c r="C5040" s="94"/>
      <c r="D5040" s="95"/>
      <c r="E5040" s="95"/>
      <c r="F5040" s="96"/>
      <c r="G5040" s="97"/>
      <c r="H5040" s="114" t="str">
        <f t="shared" si="68"/>
        <v/>
      </c>
      <c r="I5040" s="17"/>
      <c r="J5040" s="17"/>
      <c r="K5040" s="17"/>
    </row>
    <row r="5041" spans="1:11" x14ac:dyDescent="0.2">
      <c r="A5041" s="115"/>
      <c r="B5041" s="93"/>
      <c r="C5041" s="94"/>
      <c r="D5041" s="95"/>
      <c r="E5041" s="95"/>
      <c r="F5041" s="96"/>
      <c r="G5041" s="97"/>
      <c r="H5041" s="114" t="str">
        <f t="shared" si="68"/>
        <v/>
      </c>
      <c r="I5041" s="17"/>
      <c r="J5041" s="17"/>
      <c r="K5041" s="17"/>
    </row>
    <row r="5042" spans="1:11" x14ac:dyDescent="0.2">
      <c r="A5042" s="115"/>
      <c r="B5042" s="93"/>
      <c r="C5042" s="94"/>
      <c r="D5042" s="95"/>
      <c r="E5042" s="95"/>
      <c r="F5042" s="96"/>
      <c r="G5042" s="97"/>
      <c r="H5042" s="114" t="str">
        <f t="shared" si="68"/>
        <v/>
      </c>
      <c r="I5042" s="17"/>
      <c r="J5042" s="17"/>
      <c r="K5042" s="17"/>
    </row>
    <row r="5043" spans="1:11" x14ac:dyDescent="0.2">
      <c r="A5043" s="115"/>
      <c r="B5043" s="93"/>
      <c r="C5043" s="94"/>
      <c r="D5043" s="95"/>
      <c r="E5043" s="95"/>
      <c r="F5043" s="96"/>
      <c r="G5043" s="97"/>
      <c r="H5043" s="114" t="str">
        <f t="shared" si="68"/>
        <v/>
      </c>
      <c r="I5043" s="17"/>
      <c r="J5043" s="17"/>
      <c r="K5043" s="17"/>
    </row>
    <row r="5044" spans="1:11" x14ac:dyDescent="0.2">
      <c r="A5044" s="115"/>
      <c r="B5044" s="93"/>
      <c r="C5044" s="94"/>
      <c r="D5044" s="95"/>
      <c r="E5044" s="95"/>
      <c r="F5044" s="96"/>
      <c r="G5044" s="97"/>
      <c r="H5044" s="114" t="str">
        <f t="shared" si="68"/>
        <v/>
      </c>
      <c r="I5044" s="17"/>
      <c r="J5044" s="17"/>
      <c r="K5044" s="17"/>
    </row>
    <row r="5045" spans="1:11" x14ac:dyDescent="0.2">
      <c r="A5045" s="115"/>
      <c r="B5045" s="93"/>
      <c r="C5045" s="94"/>
      <c r="D5045" s="95"/>
      <c r="E5045" s="95"/>
      <c r="F5045" s="96"/>
      <c r="G5045" s="97"/>
      <c r="H5045" s="114" t="str">
        <f t="shared" si="68"/>
        <v/>
      </c>
      <c r="I5045" s="17"/>
      <c r="J5045" s="17"/>
      <c r="K5045" s="17"/>
    </row>
    <row r="5046" spans="1:11" x14ac:dyDescent="0.2">
      <c r="A5046" s="115"/>
      <c r="B5046" s="93"/>
      <c r="C5046" s="94"/>
      <c r="D5046" s="95"/>
      <c r="E5046" s="95"/>
      <c r="F5046" s="96"/>
      <c r="G5046" s="97"/>
      <c r="H5046" s="114" t="str">
        <f t="shared" si="68"/>
        <v/>
      </c>
      <c r="I5046" s="17"/>
      <c r="J5046" s="17"/>
      <c r="K5046" s="17"/>
    </row>
    <row r="5047" spans="1:11" x14ac:dyDescent="0.2">
      <c r="A5047" s="115"/>
      <c r="B5047" s="93"/>
      <c r="C5047" s="94"/>
      <c r="D5047" s="95"/>
      <c r="E5047" s="95"/>
      <c r="F5047" s="96"/>
      <c r="G5047" s="97"/>
      <c r="H5047" s="114" t="str">
        <f t="shared" si="68"/>
        <v/>
      </c>
      <c r="I5047" s="17"/>
      <c r="J5047" s="17"/>
      <c r="K5047" s="17"/>
    </row>
    <row r="5048" spans="1:11" x14ac:dyDescent="0.2">
      <c r="A5048" s="115"/>
      <c r="B5048" s="93"/>
      <c r="C5048" s="94"/>
      <c r="D5048" s="95"/>
      <c r="E5048" s="95"/>
      <c r="F5048" s="96"/>
      <c r="G5048" s="97"/>
      <c r="H5048" s="114" t="str">
        <f t="shared" si="68"/>
        <v/>
      </c>
      <c r="I5048" s="17"/>
      <c r="J5048" s="17"/>
      <c r="K5048" s="17"/>
    </row>
    <row r="5049" spans="1:11" x14ac:dyDescent="0.2">
      <c r="A5049" s="115"/>
      <c r="B5049" s="93"/>
      <c r="C5049" s="94"/>
      <c r="D5049" s="95"/>
      <c r="E5049" s="95"/>
      <c r="F5049" s="96"/>
      <c r="G5049" s="97"/>
      <c r="H5049" s="114" t="str">
        <f t="shared" si="68"/>
        <v/>
      </c>
      <c r="I5049" s="17"/>
      <c r="J5049" s="17"/>
      <c r="K5049" s="17"/>
    </row>
    <row r="5050" spans="1:11" x14ac:dyDescent="0.2">
      <c r="A5050" s="115"/>
      <c r="B5050" s="93"/>
      <c r="C5050" s="94"/>
      <c r="D5050" s="95"/>
      <c r="E5050" s="95"/>
      <c r="F5050" s="96"/>
      <c r="G5050" s="97"/>
      <c r="H5050" s="114" t="str">
        <f t="shared" si="68"/>
        <v/>
      </c>
      <c r="I5050" s="17"/>
      <c r="J5050" s="17"/>
      <c r="K5050" s="17"/>
    </row>
    <row r="5051" spans="1:11" x14ac:dyDescent="0.2">
      <c r="A5051" s="115"/>
      <c r="B5051" s="93"/>
      <c r="C5051" s="94"/>
      <c r="D5051" s="95"/>
      <c r="E5051" s="95"/>
      <c r="F5051" s="96"/>
      <c r="G5051" s="97"/>
      <c r="H5051" s="114" t="str">
        <f t="shared" si="68"/>
        <v/>
      </c>
      <c r="I5051" s="17"/>
      <c r="J5051" s="17"/>
      <c r="K5051" s="17"/>
    </row>
    <row r="5052" spans="1:11" x14ac:dyDescent="0.2">
      <c r="A5052" s="115"/>
      <c r="B5052" s="93"/>
      <c r="C5052" s="94"/>
      <c r="D5052" s="95"/>
      <c r="E5052" s="95"/>
      <c r="F5052" s="96"/>
      <c r="G5052" s="97"/>
      <c r="H5052" s="114" t="str">
        <f t="shared" si="68"/>
        <v/>
      </c>
      <c r="I5052" s="17"/>
      <c r="J5052" s="17"/>
      <c r="K5052" s="17"/>
    </row>
    <row r="5053" spans="1:11" x14ac:dyDescent="0.2">
      <c r="A5053" s="115"/>
      <c r="B5053" s="93"/>
      <c r="C5053" s="94"/>
      <c r="D5053" s="95"/>
      <c r="E5053" s="95"/>
      <c r="F5053" s="96"/>
      <c r="G5053" s="97"/>
      <c r="H5053" s="114" t="str">
        <f t="shared" si="68"/>
        <v/>
      </c>
      <c r="I5053" s="17"/>
      <c r="J5053" s="17"/>
      <c r="K5053" s="17"/>
    </row>
    <row r="5054" spans="1:11" x14ac:dyDescent="0.2">
      <c r="A5054" s="115"/>
      <c r="B5054" s="93"/>
      <c r="C5054" s="94"/>
      <c r="D5054" s="95"/>
      <c r="E5054" s="95"/>
      <c r="F5054" s="96"/>
      <c r="G5054" s="97"/>
      <c r="H5054" s="114" t="str">
        <f t="shared" si="68"/>
        <v/>
      </c>
      <c r="I5054" s="17"/>
      <c r="J5054" s="17"/>
      <c r="K5054" s="17"/>
    </row>
    <row r="5055" spans="1:11" x14ac:dyDescent="0.2">
      <c r="A5055" s="115"/>
      <c r="B5055" s="93"/>
      <c r="C5055" s="94"/>
      <c r="D5055" s="95"/>
      <c r="E5055" s="95"/>
      <c r="F5055" s="96"/>
      <c r="G5055" s="97"/>
      <c r="H5055" s="114" t="str">
        <f t="shared" si="68"/>
        <v/>
      </c>
      <c r="I5055" s="17"/>
      <c r="J5055" s="17"/>
      <c r="K5055" s="17"/>
    </row>
    <row r="5056" spans="1:11" x14ac:dyDescent="0.2">
      <c r="A5056" s="115"/>
      <c r="B5056" s="93"/>
      <c r="C5056" s="94"/>
      <c r="D5056" s="95"/>
      <c r="E5056" s="95"/>
      <c r="F5056" s="96"/>
      <c r="G5056" s="97"/>
      <c r="H5056" s="114" t="str">
        <f t="shared" si="68"/>
        <v/>
      </c>
      <c r="I5056" s="17"/>
      <c r="J5056" s="17"/>
      <c r="K5056" s="17"/>
    </row>
    <row r="5057" spans="1:11" x14ac:dyDescent="0.2">
      <c r="A5057" s="115"/>
      <c r="B5057" s="93"/>
      <c r="C5057" s="94"/>
      <c r="D5057" s="95"/>
      <c r="E5057" s="95"/>
      <c r="F5057" s="96"/>
      <c r="G5057" s="97"/>
      <c r="H5057" s="114" t="str">
        <f t="shared" si="68"/>
        <v/>
      </c>
      <c r="I5057" s="17"/>
      <c r="J5057" s="17"/>
      <c r="K5057" s="17"/>
    </row>
    <row r="5058" spans="1:11" x14ac:dyDescent="0.2">
      <c r="A5058" s="115"/>
      <c r="B5058" s="93"/>
      <c r="C5058" s="94"/>
      <c r="D5058" s="95"/>
      <c r="E5058" s="95"/>
      <c r="F5058" s="96"/>
      <c r="G5058" s="97"/>
      <c r="H5058" s="114" t="str">
        <f t="shared" si="68"/>
        <v/>
      </c>
      <c r="I5058" s="17"/>
      <c r="J5058" s="17"/>
      <c r="K5058" s="17"/>
    </row>
    <row r="5059" spans="1:11" x14ac:dyDescent="0.2">
      <c r="A5059" s="115"/>
      <c r="B5059" s="93"/>
      <c r="C5059" s="94"/>
      <c r="D5059" s="95"/>
      <c r="E5059" s="95"/>
      <c r="F5059" s="96"/>
      <c r="G5059" s="97"/>
      <c r="H5059" s="114" t="str">
        <f t="shared" si="68"/>
        <v/>
      </c>
      <c r="I5059" s="17"/>
      <c r="J5059" s="17"/>
      <c r="K5059" s="17"/>
    </row>
    <row r="5060" spans="1:11" x14ac:dyDescent="0.2">
      <c r="A5060" s="115"/>
      <c r="B5060" s="93"/>
      <c r="C5060" s="94"/>
      <c r="D5060" s="95"/>
      <c r="E5060" s="95"/>
      <c r="F5060" s="96"/>
      <c r="G5060" s="97"/>
      <c r="H5060" s="114" t="str">
        <f t="shared" ref="H5060:H5123" si="69">IF(A5060&lt;&gt;"", EOMONTH(A5060, -1) + 1, "")</f>
        <v/>
      </c>
      <c r="I5060" s="17"/>
      <c r="J5060" s="17"/>
      <c r="K5060" s="17"/>
    </row>
    <row r="5061" spans="1:11" x14ac:dyDescent="0.2">
      <c r="A5061" s="115"/>
      <c r="B5061" s="93"/>
      <c r="C5061" s="94"/>
      <c r="D5061" s="95"/>
      <c r="E5061" s="95"/>
      <c r="F5061" s="96"/>
      <c r="G5061" s="97"/>
      <c r="H5061" s="114" t="str">
        <f t="shared" si="69"/>
        <v/>
      </c>
      <c r="I5061" s="17"/>
      <c r="J5061" s="17"/>
      <c r="K5061" s="17"/>
    </row>
    <row r="5062" spans="1:11" x14ac:dyDescent="0.2">
      <c r="A5062" s="115"/>
      <c r="B5062" s="93"/>
      <c r="C5062" s="94"/>
      <c r="D5062" s="95"/>
      <c r="E5062" s="95"/>
      <c r="F5062" s="96"/>
      <c r="G5062" s="97"/>
      <c r="H5062" s="114" t="str">
        <f t="shared" si="69"/>
        <v/>
      </c>
      <c r="I5062" s="17"/>
      <c r="J5062" s="17"/>
      <c r="K5062" s="17"/>
    </row>
    <row r="5063" spans="1:11" x14ac:dyDescent="0.2">
      <c r="A5063" s="115"/>
      <c r="B5063" s="93"/>
      <c r="C5063" s="94"/>
      <c r="D5063" s="95"/>
      <c r="E5063" s="95"/>
      <c r="F5063" s="96"/>
      <c r="G5063" s="97"/>
      <c r="H5063" s="114" t="str">
        <f t="shared" si="69"/>
        <v/>
      </c>
      <c r="I5063" s="17"/>
      <c r="J5063" s="17"/>
      <c r="K5063" s="17"/>
    </row>
    <row r="5064" spans="1:11" x14ac:dyDescent="0.2">
      <c r="A5064" s="115"/>
      <c r="B5064" s="93"/>
      <c r="C5064" s="94"/>
      <c r="D5064" s="95"/>
      <c r="E5064" s="95"/>
      <c r="F5064" s="96"/>
      <c r="G5064" s="97"/>
      <c r="H5064" s="114" t="str">
        <f t="shared" si="69"/>
        <v/>
      </c>
      <c r="I5064" s="17"/>
      <c r="J5064" s="17"/>
      <c r="K5064" s="17"/>
    </row>
    <row r="5065" spans="1:11" x14ac:dyDescent="0.2">
      <c r="A5065" s="115"/>
      <c r="B5065" s="93"/>
      <c r="C5065" s="94"/>
      <c r="D5065" s="95"/>
      <c r="E5065" s="95"/>
      <c r="F5065" s="96"/>
      <c r="G5065" s="97"/>
      <c r="H5065" s="114" t="str">
        <f t="shared" si="69"/>
        <v/>
      </c>
      <c r="I5065" s="17"/>
      <c r="J5065" s="17"/>
      <c r="K5065" s="17"/>
    </row>
    <row r="5066" spans="1:11" x14ac:dyDescent="0.2">
      <c r="A5066" s="115"/>
      <c r="B5066" s="93"/>
      <c r="C5066" s="94"/>
      <c r="D5066" s="95"/>
      <c r="E5066" s="95"/>
      <c r="F5066" s="96"/>
      <c r="G5066" s="97"/>
      <c r="H5066" s="114" t="str">
        <f t="shared" si="69"/>
        <v/>
      </c>
      <c r="I5066" s="17"/>
      <c r="J5066" s="17"/>
      <c r="K5066" s="17"/>
    </row>
    <row r="5067" spans="1:11" x14ac:dyDescent="0.2">
      <c r="A5067" s="115"/>
      <c r="B5067" s="93"/>
      <c r="C5067" s="94"/>
      <c r="D5067" s="95"/>
      <c r="E5067" s="95"/>
      <c r="F5067" s="96"/>
      <c r="G5067" s="97"/>
      <c r="H5067" s="114" t="str">
        <f t="shared" si="69"/>
        <v/>
      </c>
      <c r="I5067" s="17"/>
      <c r="J5067" s="17"/>
      <c r="K5067" s="17"/>
    </row>
    <row r="5068" spans="1:11" x14ac:dyDescent="0.2">
      <c r="A5068" s="115"/>
      <c r="B5068" s="93"/>
      <c r="C5068" s="94"/>
      <c r="D5068" s="95"/>
      <c r="E5068" s="95"/>
      <c r="F5068" s="96"/>
      <c r="G5068" s="97"/>
      <c r="H5068" s="114" t="str">
        <f t="shared" si="69"/>
        <v/>
      </c>
      <c r="I5068" s="17"/>
      <c r="J5068" s="17"/>
      <c r="K5068" s="17"/>
    </row>
    <row r="5069" spans="1:11" x14ac:dyDescent="0.2">
      <c r="A5069" s="115"/>
      <c r="B5069" s="93"/>
      <c r="C5069" s="94"/>
      <c r="D5069" s="95"/>
      <c r="E5069" s="95"/>
      <c r="F5069" s="96"/>
      <c r="G5069" s="97"/>
      <c r="H5069" s="114" t="str">
        <f t="shared" si="69"/>
        <v/>
      </c>
      <c r="I5069" s="17"/>
      <c r="J5069" s="17"/>
      <c r="K5069" s="17"/>
    </row>
    <row r="5070" spans="1:11" x14ac:dyDescent="0.2">
      <c r="A5070" s="115"/>
      <c r="B5070" s="93"/>
      <c r="C5070" s="94"/>
      <c r="D5070" s="95"/>
      <c r="E5070" s="95"/>
      <c r="F5070" s="96"/>
      <c r="G5070" s="97"/>
      <c r="H5070" s="114" t="str">
        <f t="shared" si="69"/>
        <v/>
      </c>
      <c r="I5070" s="17"/>
      <c r="J5070" s="17"/>
      <c r="K5070" s="17"/>
    </row>
    <row r="5071" spans="1:11" x14ac:dyDescent="0.2">
      <c r="A5071" s="115"/>
      <c r="B5071" s="93"/>
      <c r="C5071" s="94"/>
      <c r="D5071" s="95"/>
      <c r="E5071" s="95"/>
      <c r="F5071" s="96"/>
      <c r="G5071" s="97"/>
      <c r="H5071" s="114" t="str">
        <f t="shared" si="69"/>
        <v/>
      </c>
      <c r="I5071" s="17"/>
      <c r="J5071" s="17"/>
      <c r="K5071" s="17"/>
    </row>
    <row r="5072" spans="1:11" x14ac:dyDescent="0.2">
      <c r="A5072" s="115"/>
      <c r="B5072" s="93"/>
      <c r="C5072" s="94"/>
      <c r="D5072" s="95"/>
      <c r="E5072" s="95"/>
      <c r="F5072" s="96"/>
      <c r="G5072" s="97"/>
      <c r="H5072" s="114" t="str">
        <f t="shared" si="69"/>
        <v/>
      </c>
      <c r="I5072" s="17"/>
      <c r="J5072" s="17"/>
      <c r="K5072" s="17"/>
    </row>
    <row r="5073" spans="1:11" x14ac:dyDescent="0.2">
      <c r="A5073" s="115"/>
      <c r="B5073" s="93"/>
      <c r="C5073" s="94"/>
      <c r="D5073" s="95"/>
      <c r="E5073" s="95"/>
      <c r="F5073" s="96"/>
      <c r="G5073" s="97"/>
      <c r="H5073" s="114" t="str">
        <f t="shared" si="69"/>
        <v/>
      </c>
      <c r="I5073" s="17"/>
      <c r="J5073" s="17"/>
      <c r="K5073" s="17"/>
    </row>
    <row r="5074" spans="1:11" x14ac:dyDescent="0.2">
      <c r="A5074" s="115"/>
      <c r="B5074" s="93"/>
      <c r="C5074" s="94"/>
      <c r="D5074" s="95"/>
      <c r="E5074" s="95"/>
      <c r="F5074" s="96"/>
      <c r="G5074" s="97"/>
      <c r="H5074" s="114" t="str">
        <f t="shared" si="69"/>
        <v/>
      </c>
      <c r="I5074" s="17"/>
      <c r="J5074" s="17"/>
      <c r="K5074" s="17"/>
    </row>
    <row r="5075" spans="1:11" x14ac:dyDescent="0.2">
      <c r="A5075" s="115"/>
      <c r="B5075" s="93"/>
      <c r="C5075" s="94"/>
      <c r="D5075" s="95"/>
      <c r="E5075" s="95"/>
      <c r="F5075" s="96"/>
      <c r="G5075" s="97"/>
      <c r="H5075" s="114" t="str">
        <f t="shared" si="69"/>
        <v/>
      </c>
      <c r="I5075" s="17"/>
      <c r="J5075" s="17"/>
      <c r="K5075" s="17"/>
    </row>
    <row r="5076" spans="1:11" x14ac:dyDescent="0.2">
      <c r="A5076" s="115"/>
      <c r="B5076" s="93"/>
      <c r="C5076" s="94"/>
      <c r="D5076" s="95"/>
      <c r="E5076" s="95"/>
      <c r="F5076" s="96"/>
      <c r="G5076" s="97"/>
      <c r="H5076" s="114" t="str">
        <f t="shared" si="69"/>
        <v/>
      </c>
      <c r="I5076" s="17"/>
      <c r="J5076" s="17"/>
      <c r="K5076" s="17"/>
    </row>
    <row r="5077" spans="1:11" x14ac:dyDescent="0.2">
      <c r="A5077" s="115"/>
      <c r="B5077" s="93"/>
      <c r="C5077" s="94"/>
      <c r="D5077" s="95"/>
      <c r="E5077" s="95"/>
      <c r="F5077" s="96"/>
      <c r="G5077" s="97"/>
      <c r="H5077" s="114" t="str">
        <f t="shared" si="69"/>
        <v/>
      </c>
      <c r="I5077" s="17"/>
      <c r="J5077" s="17"/>
      <c r="K5077" s="17"/>
    </row>
    <row r="5078" spans="1:11" x14ac:dyDescent="0.2">
      <c r="A5078" s="115"/>
      <c r="B5078" s="93"/>
      <c r="C5078" s="94"/>
      <c r="D5078" s="95"/>
      <c r="E5078" s="95"/>
      <c r="F5078" s="96"/>
      <c r="G5078" s="97"/>
      <c r="H5078" s="114" t="str">
        <f t="shared" si="69"/>
        <v/>
      </c>
      <c r="I5078" s="17"/>
      <c r="J5078" s="17"/>
      <c r="K5078" s="17"/>
    </row>
    <row r="5079" spans="1:11" x14ac:dyDescent="0.2">
      <c r="A5079" s="115"/>
      <c r="B5079" s="93"/>
      <c r="C5079" s="94"/>
      <c r="D5079" s="95"/>
      <c r="E5079" s="95"/>
      <c r="F5079" s="96"/>
      <c r="G5079" s="97"/>
      <c r="H5079" s="114" t="str">
        <f t="shared" si="69"/>
        <v/>
      </c>
      <c r="I5079" s="17"/>
      <c r="J5079" s="17"/>
      <c r="K5079" s="17"/>
    </row>
    <row r="5080" spans="1:11" x14ac:dyDescent="0.2">
      <c r="A5080" s="115"/>
      <c r="B5080" s="93"/>
      <c r="C5080" s="94"/>
      <c r="D5080" s="95"/>
      <c r="E5080" s="95"/>
      <c r="F5080" s="96"/>
      <c r="G5080" s="97"/>
      <c r="H5080" s="114" t="str">
        <f t="shared" si="69"/>
        <v/>
      </c>
      <c r="I5080" s="17"/>
      <c r="J5080" s="17"/>
      <c r="K5080" s="17"/>
    </row>
    <row r="5081" spans="1:11" x14ac:dyDescent="0.2">
      <c r="A5081" s="115"/>
      <c r="B5081" s="93"/>
      <c r="C5081" s="94"/>
      <c r="D5081" s="95"/>
      <c r="E5081" s="95"/>
      <c r="F5081" s="96"/>
      <c r="G5081" s="97"/>
      <c r="H5081" s="114" t="str">
        <f t="shared" si="69"/>
        <v/>
      </c>
      <c r="I5081" s="17"/>
      <c r="J5081" s="17"/>
      <c r="K5081" s="17"/>
    </row>
    <row r="5082" spans="1:11" x14ac:dyDescent="0.2">
      <c r="A5082" s="115"/>
      <c r="B5082" s="93"/>
      <c r="C5082" s="94"/>
      <c r="D5082" s="95"/>
      <c r="E5082" s="95"/>
      <c r="F5082" s="96"/>
      <c r="G5082" s="97"/>
      <c r="H5082" s="114" t="str">
        <f t="shared" si="69"/>
        <v/>
      </c>
      <c r="I5082" s="17"/>
      <c r="J5082" s="17"/>
      <c r="K5082" s="17"/>
    </row>
    <row r="5083" spans="1:11" x14ac:dyDescent="0.2">
      <c r="A5083" s="115"/>
      <c r="B5083" s="93"/>
      <c r="C5083" s="94"/>
      <c r="D5083" s="95"/>
      <c r="E5083" s="95"/>
      <c r="F5083" s="96"/>
      <c r="G5083" s="97"/>
      <c r="H5083" s="114" t="str">
        <f t="shared" si="69"/>
        <v/>
      </c>
      <c r="I5083" s="17"/>
      <c r="J5083" s="17"/>
      <c r="K5083" s="17"/>
    </row>
    <row r="5084" spans="1:11" x14ac:dyDescent="0.2">
      <c r="A5084" s="115"/>
      <c r="B5084" s="93"/>
      <c r="C5084" s="94"/>
      <c r="D5084" s="95"/>
      <c r="E5084" s="95"/>
      <c r="F5084" s="96"/>
      <c r="G5084" s="97"/>
      <c r="H5084" s="114" t="str">
        <f t="shared" si="69"/>
        <v/>
      </c>
      <c r="I5084" s="17"/>
      <c r="J5084" s="17"/>
      <c r="K5084" s="17"/>
    </row>
    <row r="5085" spans="1:11" x14ac:dyDescent="0.2">
      <c r="A5085" s="115"/>
      <c r="B5085" s="93"/>
      <c r="C5085" s="94"/>
      <c r="D5085" s="95"/>
      <c r="E5085" s="95"/>
      <c r="F5085" s="96"/>
      <c r="G5085" s="97"/>
      <c r="H5085" s="114" t="str">
        <f t="shared" si="69"/>
        <v/>
      </c>
      <c r="I5085" s="17"/>
      <c r="J5085" s="17"/>
      <c r="K5085" s="17"/>
    </row>
    <row r="5086" spans="1:11" x14ac:dyDescent="0.2">
      <c r="A5086" s="115"/>
      <c r="B5086" s="93"/>
      <c r="C5086" s="94"/>
      <c r="D5086" s="95"/>
      <c r="E5086" s="95"/>
      <c r="F5086" s="96"/>
      <c r="G5086" s="97"/>
      <c r="H5086" s="114" t="str">
        <f t="shared" si="69"/>
        <v/>
      </c>
      <c r="I5086" s="17"/>
      <c r="J5086" s="17"/>
      <c r="K5086" s="17"/>
    </row>
    <row r="5087" spans="1:11" x14ac:dyDescent="0.2">
      <c r="A5087" s="115"/>
      <c r="B5087" s="93"/>
      <c r="C5087" s="94"/>
      <c r="D5087" s="95"/>
      <c r="E5087" s="95"/>
      <c r="F5087" s="96"/>
      <c r="G5087" s="97"/>
      <c r="H5087" s="114" t="str">
        <f t="shared" si="69"/>
        <v/>
      </c>
      <c r="I5087" s="17"/>
      <c r="J5087" s="17"/>
      <c r="K5087" s="17"/>
    </row>
    <row r="5088" spans="1:11" x14ac:dyDescent="0.2">
      <c r="A5088" s="115"/>
      <c r="B5088" s="93"/>
      <c r="C5088" s="94"/>
      <c r="D5088" s="95"/>
      <c r="E5088" s="95"/>
      <c r="F5088" s="96"/>
      <c r="G5088" s="97"/>
      <c r="H5088" s="114" t="str">
        <f t="shared" si="69"/>
        <v/>
      </c>
      <c r="I5088" s="17"/>
      <c r="J5088" s="17"/>
      <c r="K5088" s="17"/>
    </row>
    <row r="5089" spans="1:11" x14ac:dyDescent="0.2">
      <c r="A5089" s="115"/>
      <c r="B5089" s="93"/>
      <c r="C5089" s="94"/>
      <c r="D5089" s="95"/>
      <c r="E5089" s="95"/>
      <c r="F5089" s="96"/>
      <c r="G5089" s="97"/>
      <c r="H5089" s="114" t="str">
        <f t="shared" si="69"/>
        <v/>
      </c>
      <c r="I5089" s="17"/>
      <c r="J5089" s="17"/>
      <c r="K5089" s="17"/>
    </row>
    <row r="5090" spans="1:11" x14ac:dyDescent="0.2">
      <c r="A5090" s="115"/>
      <c r="B5090" s="93"/>
      <c r="C5090" s="94"/>
      <c r="D5090" s="95"/>
      <c r="E5090" s="95"/>
      <c r="F5090" s="96"/>
      <c r="G5090" s="97"/>
      <c r="H5090" s="114" t="str">
        <f t="shared" si="69"/>
        <v/>
      </c>
      <c r="I5090" s="17"/>
      <c r="J5090" s="17"/>
      <c r="K5090" s="17"/>
    </row>
    <row r="5091" spans="1:11" x14ac:dyDescent="0.2">
      <c r="A5091" s="115"/>
      <c r="B5091" s="93"/>
      <c r="C5091" s="94"/>
      <c r="D5091" s="95"/>
      <c r="E5091" s="95"/>
      <c r="F5091" s="96"/>
      <c r="G5091" s="97"/>
      <c r="H5091" s="114" t="str">
        <f t="shared" si="69"/>
        <v/>
      </c>
      <c r="I5091" s="17"/>
      <c r="J5091" s="17"/>
      <c r="K5091" s="17"/>
    </row>
    <row r="5092" spans="1:11" x14ac:dyDescent="0.2">
      <c r="A5092" s="115"/>
      <c r="B5092" s="93"/>
      <c r="C5092" s="94"/>
      <c r="D5092" s="95"/>
      <c r="E5092" s="95"/>
      <c r="F5092" s="96"/>
      <c r="G5092" s="97"/>
      <c r="H5092" s="114" t="str">
        <f t="shared" si="69"/>
        <v/>
      </c>
      <c r="I5092" s="17"/>
      <c r="J5092" s="17"/>
      <c r="K5092" s="17"/>
    </row>
    <row r="5093" spans="1:11" x14ac:dyDescent="0.2">
      <c r="A5093" s="115"/>
      <c r="B5093" s="93"/>
      <c r="C5093" s="94"/>
      <c r="D5093" s="95"/>
      <c r="E5093" s="95"/>
      <c r="F5093" s="96"/>
      <c r="G5093" s="97"/>
      <c r="H5093" s="114" t="str">
        <f t="shared" si="69"/>
        <v/>
      </c>
      <c r="I5093" s="17"/>
      <c r="J5093" s="17"/>
      <c r="K5093" s="17"/>
    </row>
    <row r="5094" spans="1:11" x14ac:dyDescent="0.2">
      <c r="A5094" s="115"/>
      <c r="B5094" s="93"/>
      <c r="C5094" s="94"/>
      <c r="D5094" s="95"/>
      <c r="E5094" s="95"/>
      <c r="F5094" s="96"/>
      <c r="G5094" s="97"/>
      <c r="H5094" s="114" t="str">
        <f t="shared" si="69"/>
        <v/>
      </c>
      <c r="I5094" s="17"/>
      <c r="J5094" s="17"/>
      <c r="K5094" s="17"/>
    </row>
    <row r="5095" spans="1:11" x14ac:dyDescent="0.2">
      <c r="A5095" s="115"/>
      <c r="B5095" s="93"/>
      <c r="C5095" s="94"/>
      <c r="D5095" s="95"/>
      <c r="E5095" s="95"/>
      <c r="F5095" s="96"/>
      <c r="G5095" s="97"/>
      <c r="H5095" s="114" t="str">
        <f t="shared" si="69"/>
        <v/>
      </c>
      <c r="I5095" s="17"/>
      <c r="J5095" s="17"/>
      <c r="K5095" s="17"/>
    </row>
    <row r="5096" spans="1:11" x14ac:dyDescent="0.2">
      <c r="A5096" s="115"/>
      <c r="B5096" s="93"/>
      <c r="C5096" s="94"/>
      <c r="D5096" s="95"/>
      <c r="E5096" s="95"/>
      <c r="F5096" s="96"/>
      <c r="G5096" s="97"/>
      <c r="H5096" s="114" t="str">
        <f t="shared" si="69"/>
        <v/>
      </c>
      <c r="I5096" s="17"/>
      <c r="J5096" s="17"/>
      <c r="K5096" s="17"/>
    </row>
    <row r="5097" spans="1:11" x14ac:dyDescent="0.2">
      <c r="A5097" s="115"/>
      <c r="B5097" s="93"/>
      <c r="C5097" s="94"/>
      <c r="D5097" s="95"/>
      <c r="E5097" s="95"/>
      <c r="F5097" s="96"/>
      <c r="G5097" s="97"/>
      <c r="H5097" s="114" t="str">
        <f t="shared" si="69"/>
        <v/>
      </c>
      <c r="I5097" s="17"/>
      <c r="J5097" s="17"/>
      <c r="K5097" s="17"/>
    </row>
    <row r="5098" spans="1:11" x14ac:dyDescent="0.2">
      <c r="A5098" s="115"/>
      <c r="B5098" s="93"/>
      <c r="C5098" s="94"/>
      <c r="D5098" s="95"/>
      <c r="E5098" s="95"/>
      <c r="F5098" s="96"/>
      <c r="G5098" s="97"/>
      <c r="H5098" s="114" t="str">
        <f t="shared" si="69"/>
        <v/>
      </c>
      <c r="I5098" s="17"/>
      <c r="J5098" s="17"/>
      <c r="K5098" s="17"/>
    </row>
    <row r="5099" spans="1:11" x14ac:dyDescent="0.2">
      <c r="A5099" s="115"/>
      <c r="B5099" s="93"/>
      <c r="C5099" s="94"/>
      <c r="D5099" s="95"/>
      <c r="E5099" s="95"/>
      <c r="F5099" s="96"/>
      <c r="G5099" s="97"/>
      <c r="H5099" s="114" t="str">
        <f t="shared" si="69"/>
        <v/>
      </c>
      <c r="I5099" s="17"/>
      <c r="J5099" s="17"/>
      <c r="K5099" s="17"/>
    </row>
    <row r="5100" spans="1:11" x14ac:dyDescent="0.2">
      <c r="A5100" s="115"/>
      <c r="B5100" s="93"/>
      <c r="C5100" s="94"/>
      <c r="D5100" s="95"/>
      <c r="E5100" s="95"/>
      <c r="F5100" s="96"/>
      <c r="G5100" s="97"/>
      <c r="H5100" s="114" t="str">
        <f t="shared" si="69"/>
        <v/>
      </c>
      <c r="I5100" s="17"/>
      <c r="J5100" s="17"/>
      <c r="K5100" s="17"/>
    </row>
    <row r="5101" spans="1:11" x14ac:dyDescent="0.2">
      <c r="A5101" s="115"/>
      <c r="B5101" s="93"/>
      <c r="C5101" s="94"/>
      <c r="D5101" s="95"/>
      <c r="E5101" s="95"/>
      <c r="F5101" s="96"/>
      <c r="G5101" s="97"/>
      <c r="H5101" s="114" t="str">
        <f t="shared" si="69"/>
        <v/>
      </c>
      <c r="I5101" s="17"/>
      <c r="J5101" s="17"/>
      <c r="K5101" s="17"/>
    </row>
    <row r="5102" spans="1:11" x14ac:dyDescent="0.2">
      <c r="A5102" s="115"/>
      <c r="B5102" s="93"/>
      <c r="C5102" s="94"/>
      <c r="D5102" s="95"/>
      <c r="E5102" s="95"/>
      <c r="F5102" s="96"/>
      <c r="G5102" s="97"/>
      <c r="H5102" s="114" t="str">
        <f t="shared" si="69"/>
        <v/>
      </c>
      <c r="I5102" s="17"/>
      <c r="J5102" s="17"/>
      <c r="K5102" s="17"/>
    </row>
    <row r="5103" spans="1:11" x14ac:dyDescent="0.2">
      <c r="A5103" s="115"/>
      <c r="B5103" s="93"/>
      <c r="C5103" s="94"/>
      <c r="D5103" s="95"/>
      <c r="E5103" s="95"/>
      <c r="F5103" s="96"/>
      <c r="G5103" s="97"/>
      <c r="H5103" s="114" t="str">
        <f t="shared" si="69"/>
        <v/>
      </c>
      <c r="I5103" s="17"/>
      <c r="J5103" s="17"/>
      <c r="K5103" s="17"/>
    </row>
    <row r="5104" spans="1:11" x14ac:dyDescent="0.2">
      <c r="A5104" s="115"/>
      <c r="B5104" s="93"/>
      <c r="C5104" s="94"/>
      <c r="D5104" s="95"/>
      <c r="E5104" s="95"/>
      <c r="F5104" s="96"/>
      <c r="G5104" s="97"/>
      <c r="H5104" s="114" t="str">
        <f t="shared" si="69"/>
        <v/>
      </c>
      <c r="I5104" s="17"/>
      <c r="J5104" s="17"/>
      <c r="K5104" s="17"/>
    </row>
    <row r="5105" spans="1:11" x14ac:dyDescent="0.2">
      <c r="A5105" s="115"/>
      <c r="B5105" s="93"/>
      <c r="C5105" s="94"/>
      <c r="D5105" s="95"/>
      <c r="E5105" s="95"/>
      <c r="F5105" s="96"/>
      <c r="G5105" s="97"/>
      <c r="H5105" s="114" t="str">
        <f t="shared" si="69"/>
        <v/>
      </c>
      <c r="I5105" s="17"/>
      <c r="J5105" s="17"/>
      <c r="K5105" s="17"/>
    </row>
    <row r="5106" spans="1:11" x14ac:dyDescent="0.2">
      <c r="A5106" s="115"/>
      <c r="B5106" s="93"/>
      <c r="C5106" s="94"/>
      <c r="D5106" s="95"/>
      <c r="E5106" s="95"/>
      <c r="F5106" s="96"/>
      <c r="G5106" s="97"/>
      <c r="H5106" s="114" t="str">
        <f t="shared" si="69"/>
        <v/>
      </c>
      <c r="I5106" s="17"/>
      <c r="J5106" s="17"/>
      <c r="K5106" s="17"/>
    </row>
    <row r="5107" spans="1:11" x14ac:dyDescent="0.2">
      <c r="A5107" s="115"/>
      <c r="B5107" s="93"/>
      <c r="C5107" s="94"/>
      <c r="D5107" s="95"/>
      <c r="E5107" s="95"/>
      <c r="F5107" s="96"/>
      <c r="G5107" s="97"/>
      <c r="H5107" s="114" t="str">
        <f t="shared" si="69"/>
        <v/>
      </c>
      <c r="I5107" s="17"/>
      <c r="J5107" s="17"/>
      <c r="K5107" s="17"/>
    </row>
    <row r="5108" spans="1:11" x14ac:dyDescent="0.2">
      <c r="A5108" s="115"/>
      <c r="B5108" s="93"/>
      <c r="C5108" s="94"/>
      <c r="D5108" s="95"/>
      <c r="E5108" s="95"/>
      <c r="F5108" s="96"/>
      <c r="G5108" s="97"/>
      <c r="H5108" s="114" t="str">
        <f t="shared" si="69"/>
        <v/>
      </c>
      <c r="I5108" s="17"/>
      <c r="J5108" s="17"/>
      <c r="K5108" s="17"/>
    </row>
    <row r="5109" spans="1:11" x14ac:dyDescent="0.2">
      <c r="A5109" s="115"/>
      <c r="B5109" s="93"/>
      <c r="C5109" s="94"/>
      <c r="D5109" s="95"/>
      <c r="E5109" s="95"/>
      <c r="F5109" s="96"/>
      <c r="G5109" s="97"/>
      <c r="H5109" s="114" t="str">
        <f t="shared" si="69"/>
        <v/>
      </c>
      <c r="I5109" s="17"/>
      <c r="J5109" s="17"/>
      <c r="K5109" s="17"/>
    </row>
    <row r="5110" spans="1:11" x14ac:dyDescent="0.2">
      <c r="A5110" s="115"/>
      <c r="B5110" s="93"/>
      <c r="C5110" s="94"/>
      <c r="D5110" s="95"/>
      <c r="E5110" s="95"/>
      <c r="F5110" s="96"/>
      <c r="G5110" s="97"/>
      <c r="H5110" s="114" t="str">
        <f t="shared" si="69"/>
        <v/>
      </c>
      <c r="I5110" s="17"/>
      <c r="J5110" s="17"/>
      <c r="K5110" s="17"/>
    </row>
    <row r="5111" spans="1:11" x14ac:dyDescent="0.2">
      <c r="A5111" s="115"/>
      <c r="B5111" s="93"/>
      <c r="C5111" s="94"/>
      <c r="D5111" s="95"/>
      <c r="E5111" s="95"/>
      <c r="F5111" s="96"/>
      <c r="G5111" s="97"/>
      <c r="H5111" s="114" t="str">
        <f t="shared" si="69"/>
        <v/>
      </c>
      <c r="I5111" s="17"/>
      <c r="J5111" s="17"/>
      <c r="K5111" s="17"/>
    </row>
    <row r="5112" spans="1:11" x14ac:dyDescent="0.2">
      <c r="A5112" s="115"/>
      <c r="B5112" s="93"/>
      <c r="C5112" s="94"/>
      <c r="D5112" s="95"/>
      <c r="E5112" s="95"/>
      <c r="F5112" s="96"/>
      <c r="G5112" s="97"/>
      <c r="H5112" s="114" t="str">
        <f t="shared" si="69"/>
        <v/>
      </c>
      <c r="I5112" s="17"/>
      <c r="J5112" s="17"/>
      <c r="K5112" s="17"/>
    </row>
    <row r="5113" spans="1:11" x14ac:dyDescent="0.2">
      <c r="A5113" s="115"/>
      <c r="B5113" s="93"/>
      <c r="C5113" s="94"/>
      <c r="D5113" s="95"/>
      <c r="E5113" s="95"/>
      <c r="F5113" s="96"/>
      <c r="G5113" s="97"/>
      <c r="H5113" s="114" t="str">
        <f t="shared" si="69"/>
        <v/>
      </c>
      <c r="I5113" s="17"/>
      <c r="J5113" s="17"/>
      <c r="K5113" s="17"/>
    </row>
    <row r="5114" spans="1:11" x14ac:dyDescent="0.2">
      <c r="A5114" s="115"/>
      <c r="B5114" s="93"/>
      <c r="C5114" s="94"/>
      <c r="D5114" s="95"/>
      <c r="E5114" s="95"/>
      <c r="F5114" s="96"/>
      <c r="G5114" s="97"/>
      <c r="H5114" s="114" t="str">
        <f t="shared" si="69"/>
        <v/>
      </c>
      <c r="I5114" s="17"/>
      <c r="J5114" s="17"/>
      <c r="K5114" s="17"/>
    </row>
    <row r="5115" spans="1:11" x14ac:dyDescent="0.2">
      <c r="A5115" s="115"/>
      <c r="B5115" s="93"/>
      <c r="C5115" s="94"/>
      <c r="D5115" s="95"/>
      <c r="E5115" s="95"/>
      <c r="F5115" s="96"/>
      <c r="G5115" s="97"/>
      <c r="H5115" s="114" t="str">
        <f t="shared" si="69"/>
        <v/>
      </c>
      <c r="I5115" s="17"/>
      <c r="J5115" s="17"/>
      <c r="K5115" s="17"/>
    </row>
    <row r="5116" spans="1:11" x14ac:dyDescent="0.2">
      <c r="A5116" s="115"/>
      <c r="B5116" s="93"/>
      <c r="C5116" s="94"/>
      <c r="D5116" s="95"/>
      <c r="E5116" s="95"/>
      <c r="F5116" s="96"/>
      <c r="G5116" s="97"/>
      <c r="H5116" s="114" t="str">
        <f t="shared" si="69"/>
        <v/>
      </c>
      <c r="I5116" s="17"/>
      <c r="J5116" s="17"/>
      <c r="K5116" s="17"/>
    </row>
    <row r="5117" spans="1:11" x14ac:dyDescent="0.2">
      <c r="A5117" s="115"/>
      <c r="B5117" s="93"/>
      <c r="C5117" s="94"/>
      <c r="D5117" s="95"/>
      <c r="E5117" s="95"/>
      <c r="F5117" s="96"/>
      <c r="G5117" s="97"/>
      <c r="H5117" s="114" t="str">
        <f t="shared" si="69"/>
        <v/>
      </c>
      <c r="I5117" s="17"/>
      <c r="J5117" s="17"/>
      <c r="K5117" s="17"/>
    </row>
    <row r="5118" spans="1:11" x14ac:dyDescent="0.2">
      <c r="A5118" s="115"/>
      <c r="B5118" s="93"/>
      <c r="C5118" s="94"/>
      <c r="D5118" s="95"/>
      <c r="E5118" s="95"/>
      <c r="F5118" s="96"/>
      <c r="G5118" s="97"/>
      <c r="H5118" s="114" t="str">
        <f t="shared" si="69"/>
        <v/>
      </c>
      <c r="I5118" s="17"/>
      <c r="J5118" s="17"/>
      <c r="K5118" s="17"/>
    </row>
    <row r="5119" spans="1:11" x14ac:dyDescent="0.2">
      <c r="A5119" s="115"/>
      <c r="B5119" s="93"/>
      <c r="C5119" s="94"/>
      <c r="D5119" s="95"/>
      <c r="E5119" s="95"/>
      <c r="F5119" s="96"/>
      <c r="G5119" s="97"/>
      <c r="H5119" s="114" t="str">
        <f t="shared" si="69"/>
        <v/>
      </c>
      <c r="I5119" s="17"/>
      <c r="J5119" s="17"/>
      <c r="K5119" s="17"/>
    </row>
    <row r="5120" spans="1:11" x14ac:dyDescent="0.2">
      <c r="A5120" s="115"/>
      <c r="B5120" s="93"/>
      <c r="C5120" s="94"/>
      <c r="D5120" s="95"/>
      <c r="E5120" s="95"/>
      <c r="F5120" s="96"/>
      <c r="G5120" s="97"/>
      <c r="H5120" s="114" t="str">
        <f t="shared" si="69"/>
        <v/>
      </c>
      <c r="I5120" s="17"/>
      <c r="J5120" s="17"/>
      <c r="K5120" s="17"/>
    </row>
    <row r="5121" spans="1:11" x14ac:dyDescent="0.2">
      <c r="A5121" s="115"/>
      <c r="B5121" s="93"/>
      <c r="C5121" s="94"/>
      <c r="D5121" s="95"/>
      <c r="E5121" s="95"/>
      <c r="F5121" s="96"/>
      <c r="G5121" s="97"/>
      <c r="H5121" s="114" t="str">
        <f t="shared" si="69"/>
        <v/>
      </c>
      <c r="I5121" s="17"/>
      <c r="J5121" s="17"/>
      <c r="K5121" s="17"/>
    </row>
    <row r="5122" spans="1:11" x14ac:dyDescent="0.2">
      <c r="A5122" s="115"/>
      <c r="B5122" s="93"/>
      <c r="C5122" s="94"/>
      <c r="D5122" s="95"/>
      <c r="E5122" s="95"/>
      <c r="F5122" s="96"/>
      <c r="G5122" s="97"/>
      <c r="H5122" s="114" t="str">
        <f t="shared" si="69"/>
        <v/>
      </c>
      <c r="I5122" s="17"/>
      <c r="J5122" s="17"/>
      <c r="K5122" s="17"/>
    </row>
    <row r="5123" spans="1:11" x14ac:dyDescent="0.2">
      <c r="A5123" s="115"/>
      <c r="B5123" s="95"/>
      <c r="C5123" s="94"/>
      <c r="D5123" s="95"/>
      <c r="E5123" s="95"/>
      <c r="F5123" s="96"/>
      <c r="G5123" s="97"/>
      <c r="H5123" s="114" t="str">
        <f t="shared" si="69"/>
        <v/>
      </c>
      <c r="I5123" s="17"/>
      <c r="J5123" s="17"/>
      <c r="K5123" s="17"/>
    </row>
    <row r="5124" spans="1:11" x14ac:dyDescent="0.2">
      <c r="A5124" s="115"/>
      <c r="B5124" s="95"/>
      <c r="C5124" s="94"/>
      <c r="D5124" s="95"/>
      <c r="E5124" s="95"/>
      <c r="F5124" s="96"/>
      <c r="G5124" s="97"/>
      <c r="H5124" s="114" t="str">
        <f t="shared" ref="H5124:H5187" si="70">IF(A5124&lt;&gt;"", EOMONTH(A5124, -1) + 1, "")</f>
        <v/>
      </c>
      <c r="I5124" s="17"/>
      <c r="J5124" s="17"/>
      <c r="K5124" s="17"/>
    </row>
    <row r="5125" spans="1:11" x14ac:dyDescent="0.2">
      <c r="A5125" s="115"/>
      <c r="B5125" s="95"/>
      <c r="C5125" s="94"/>
      <c r="D5125" s="95"/>
      <c r="E5125" s="95"/>
      <c r="F5125" s="96"/>
      <c r="G5125" s="97"/>
      <c r="H5125" s="114" t="str">
        <f t="shared" si="70"/>
        <v/>
      </c>
      <c r="I5125" s="17"/>
      <c r="J5125" s="17"/>
      <c r="K5125" s="17"/>
    </row>
    <row r="5126" spans="1:11" x14ac:dyDescent="0.2">
      <c r="A5126" s="115"/>
      <c r="B5126" s="95"/>
      <c r="C5126" s="94"/>
      <c r="D5126" s="95"/>
      <c r="E5126" s="95"/>
      <c r="F5126" s="96"/>
      <c r="G5126" s="97"/>
      <c r="H5126" s="114" t="str">
        <f t="shared" si="70"/>
        <v/>
      </c>
      <c r="I5126" s="17"/>
      <c r="J5126" s="17"/>
      <c r="K5126" s="17"/>
    </row>
    <row r="5127" spans="1:11" x14ac:dyDescent="0.2">
      <c r="A5127" s="115"/>
      <c r="B5127" s="95"/>
      <c r="C5127" s="94"/>
      <c r="D5127" s="95"/>
      <c r="E5127" s="95"/>
      <c r="F5127" s="96"/>
      <c r="G5127" s="97"/>
      <c r="H5127" s="114" t="str">
        <f t="shared" si="70"/>
        <v/>
      </c>
      <c r="I5127" s="17"/>
      <c r="J5127" s="17"/>
      <c r="K5127" s="17"/>
    </row>
    <row r="5128" spans="1:11" x14ac:dyDescent="0.2">
      <c r="A5128" s="115"/>
      <c r="B5128" s="95"/>
      <c r="C5128" s="94"/>
      <c r="D5128" s="95"/>
      <c r="E5128" s="95"/>
      <c r="F5128" s="96"/>
      <c r="G5128" s="97"/>
      <c r="H5128" s="114" t="str">
        <f t="shared" si="70"/>
        <v/>
      </c>
      <c r="I5128" s="17"/>
      <c r="J5128" s="17"/>
      <c r="K5128" s="17"/>
    </row>
    <row r="5129" spans="1:11" x14ac:dyDescent="0.2">
      <c r="A5129" s="115"/>
      <c r="B5129" s="95"/>
      <c r="C5129" s="94"/>
      <c r="D5129" s="95"/>
      <c r="E5129" s="95"/>
      <c r="F5129" s="96"/>
      <c r="G5129" s="97"/>
      <c r="H5129" s="114" t="str">
        <f t="shared" si="70"/>
        <v/>
      </c>
      <c r="I5129" s="17"/>
      <c r="J5129" s="17"/>
      <c r="K5129" s="17"/>
    </row>
    <row r="5130" spans="1:11" x14ac:dyDescent="0.2">
      <c r="A5130" s="115"/>
      <c r="B5130" s="95"/>
      <c r="C5130" s="94"/>
      <c r="D5130" s="95"/>
      <c r="E5130" s="95"/>
      <c r="F5130" s="96"/>
      <c r="G5130" s="97"/>
      <c r="H5130" s="114" t="str">
        <f t="shared" si="70"/>
        <v/>
      </c>
      <c r="I5130" s="17"/>
      <c r="J5130" s="17"/>
      <c r="K5130" s="17"/>
    </row>
    <row r="5131" spans="1:11" x14ac:dyDescent="0.2">
      <c r="A5131" s="115"/>
      <c r="B5131" s="95"/>
      <c r="C5131" s="94"/>
      <c r="D5131" s="95"/>
      <c r="E5131" s="95"/>
      <c r="F5131" s="96"/>
      <c r="G5131" s="97"/>
      <c r="H5131" s="114" t="str">
        <f t="shared" si="70"/>
        <v/>
      </c>
      <c r="I5131" s="17"/>
      <c r="J5131" s="17"/>
      <c r="K5131" s="17"/>
    </row>
    <row r="5132" spans="1:11" x14ac:dyDescent="0.2">
      <c r="A5132" s="115"/>
      <c r="B5132" s="95"/>
      <c r="C5132" s="94"/>
      <c r="D5132" s="95"/>
      <c r="E5132" s="95"/>
      <c r="F5132" s="96"/>
      <c r="G5132" s="97"/>
      <c r="H5132" s="114" t="str">
        <f t="shared" si="70"/>
        <v/>
      </c>
      <c r="I5132" s="17"/>
      <c r="J5132" s="17"/>
      <c r="K5132" s="17"/>
    </row>
    <row r="5133" spans="1:11" x14ac:dyDescent="0.2">
      <c r="A5133" s="115"/>
      <c r="B5133" s="95"/>
      <c r="C5133" s="94"/>
      <c r="D5133" s="95"/>
      <c r="E5133" s="95"/>
      <c r="F5133" s="96"/>
      <c r="G5133" s="97"/>
      <c r="H5133" s="114" t="str">
        <f t="shared" si="70"/>
        <v/>
      </c>
      <c r="I5133" s="17"/>
      <c r="J5133" s="17"/>
      <c r="K5133" s="17"/>
    </row>
    <row r="5134" spans="1:11" x14ac:dyDescent="0.2">
      <c r="A5134" s="115"/>
      <c r="B5134" s="95"/>
      <c r="C5134" s="94"/>
      <c r="D5134" s="95"/>
      <c r="E5134" s="95"/>
      <c r="F5134" s="96"/>
      <c r="G5134" s="97"/>
      <c r="H5134" s="114" t="str">
        <f t="shared" si="70"/>
        <v/>
      </c>
      <c r="I5134" s="17"/>
      <c r="J5134" s="17"/>
      <c r="K5134" s="17"/>
    </row>
    <row r="5135" spans="1:11" x14ac:dyDescent="0.2">
      <c r="A5135" s="115"/>
      <c r="B5135" s="95"/>
      <c r="C5135" s="94"/>
      <c r="D5135" s="95"/>
      <c r="E5135" s="95"/>
      <c r="F5135" s="96"/>
      <c r="G5135" s="97"/>
      <c r="H5135" s="114" t="str">
        <f t="shared" si="70"/>
        <v/>
      </c>
      <c r="I5135" s="17"/>
      <c r="J5135" s="17"/>
      <c r="K5135" s="17"/>
    </row>
    <row r="5136" spans="1:11" x14ac:dyDescent="0.2">
      <c r="A5136" s="115"/>
      <c r="B5136" s="95"/>
      <c r="C5136" s="94"/>
      <c r="D5136" s="95"/>
      <c r="E5136" s="95"/>
      <c r="F5136" s="96"/>
      <c r="G5136" s="97"/>
      <c r="H5136" s="114" t="str">
        <f t="shared" si="70"/>
        <v/>
      </c>
      <c r="I5136" s="17"/>
      <c r="J5136" s="17"/>
      <c r="K5136" s="17"/>
    </row>
    <row r="5137" spans="1:11" x14ac:dyDescent="0.2">
      <c r="A5137" s="115"/>
      <c r="B5137" s="95"/>
      <c r="C5137" s="94"/>
      <c r="D5137" s="95"/>
      <c r="E5137" s="95"/>
      <c r="F5137" s="96"/>
      <c r="G5137" s="97"/>
      <c r="H5137" s="114" t="str">
        <f t="shared" si="70"/>
        <v/>
      </c>
      <c r="I5137" s="17"/>
      <c r="J5137" s="17"/>
      <c r="K5137" s="17"/>
    </row>
    <row r="5138" spans="1:11" x14ac:dyDescent="0.2">
      <c r="A5138" s="115"/>
      <c r="B5138" s="95"/>
      <c r="C5138" s="94"/>
      <c r="D5138" s="95"/>
      <c r="E5138" s="95"/>
      <c r="F5138" s="96"/>
      <c r="G5138" s="97"/>
      <c r="H5138" s="114" t="str">
        <f t="shared" si="70"/>
        <v/>
      </c>
      <c r="I5138" s="17"/>
      <c r="J5138" s="17"/>
      <c r="K5138" s="17"/>
    </row>
    <row r="5139" spans="1:11" x14ac:dyDescent="0.2">
      <c r="A5139" s="115"/>
      <c r="B5139" s="95"/>
      <c r="C5139" s="94"/>
      <c r="D5139" s="95"/>
      <c r="E5139" s="95"/>
      <c r="F5139" s="96"/>
      <c r="G5139" s="97"/>
      <c r="H5139" s="114" t="str">
        <f t="shared" si="70"/>
        <v/>
      </c>
      <c r="I5139" s="17"/>
      <c r="J5139" s="17"/>
      <c r="K5139" s="17"/>
    </row>
    <row r="5140" spans="1:11" x14ac:dyDescent="0.2">
      <c r="A5140" s="115"/>
      <c r="B5140" s="95"/>
      <c r="C5140" s="94"/>
      <c r="D5140" s="95"/>
      <c r="E5140" s="95"/>
      <c r="F5140" s="96"/>
      <c r="G5140" s="97"/>
      <c r="H5140" s="114" t="str">
        <f t="shared" si="70"/>
        <v/>
      </c>
      <c r="I5140" s="17"/>
      <c r="J5140" s="17"/>
      <c r="K5140" s="17"/>
    </row>
    <row r="5141" spans="1:11" x14ac:dyDescent="0.2">
      <c r="A5141" s="115"/>
      <c r="B5141" s="95"/>
      <c r="C5141" s="94"/>
      <c r="D5141" s="95"/>
      <c r="E5141" s="95"/>
      <c r="F5141" s="96"/>
      <c r="G5141" s="97"/>
      <c r="H5141" s="114" t="str">
        <f t="shared" si="70"/>
        <v/>
      </c>
      <c r="I5141" s="17"/>
      <c r="J5141" s="17"/>
      <c r="K5141" s="17"/>
    </row>
    <row r="5142" spans="1:11" x14ac:dyDescent="0.2">
      <c r="A5142" s="115"/>
      <c r="B5142" s="95"/>
      <c r="C5142" s="94"/>
      <c r="D5142" s="95"/>
      <c r="E5142" s="95"/>
      <c r="F5142" s="96"/>
      <c r="G5142" s="97"/>
      <c r="H5142" s="114" t="str">
        <f t="shared" si="70"/>
        <v/>
      </c>
      <c r="I5142" s="17"/>
      <c r="J5142" s="17"/>
      <c r="K5142" s="17"/>
    </row>
    <row r="5143" spans="1:11" x14ac:dyDescent="0.2">
      <c r="A5143" s="115"/>
      <c r="B5143" s="95"/>
      <c r="C5143" s="94"/>
      <c r="D5143" s="95"/>
      <c r="E5143" s="95"/>
      <c r="F5143" s="96"/>
      <c r="G5143" s="97"/>
      <c r="H5143" s="114" t="str">
        <f t="shared" si="70"/>
        <v/>
      </c>
      <c r="I5143" s="17"/>
      <c r="J5143" s="17"/>
      <c r="K5143" s="17"/>
    </row>
    <row r="5144" spans="1:11" x14ac:dyDescent="0.2">
      <c r="A5144" s="115"/>
      <c r="B5144" s="95"/>
      <c r="C5144" s="94"/>
      <c r="D5144" s="95"/>
      <c r="E5144" s="95"/>
      <c r="F5144" s="96"/>
      <c r="G5144" s="97"/>
      <c r="H5144" s="114" t="str">
        <f t="shared" si="70"/>
        <v/>
      </c>
      <c r="I5144" s="17"/>
      <c r="J5144" s="17"/>
      <c r="K5144" s="17"/>
    </row>
    <row r="5145" spans="1:11" x14ac:dyDescent="0.2">
      <c r="A5145" s="115"/>
      <c r="B5145" s="95"/>
      <c r="C5145" s="94"/>
      <c r="D5145" s="95"/>
      <c r="E5145" s="95"/>
      <c r="F5145" s="96"/>
      <c r="G5145" s="97"/>
      <c r="H5145" s="114" t="str">
        <f t="shared" si="70"/>
        <v/>
      </c>
      <c r="I5145" s="17"/>
      <c r="J5145" s="17"/>
      <c r="K5145" s="17"/>
    </row>
    <row r="5146" spans="1:11" x14ac:dyDescent="0.2">
      <c r="A5146" s="115"/>
      <c r="B5146" s="95"/>
      <c r="C5146" s="94"/>
      <c r="D5146" s="95"/>
      <c r="E5146" s="95"/>
      <c r="F5146" s="96"/>
      <c r="G5146" s="97"/>
      <c r="H5146" s="114" t="str">
        <f t="shared" si="70"/>
        <v/>
      </c>
      <c r="I5146" s="17"/>
      <c r="J5146" s="17"/>
      <c r="K5146" s="17"/>
    </row>
    <row r="5147" spans="1:11" x14ac:dyDescent="0.2">
      <c r="A5147" s="115"/>
      <c r="B5147" s="95"/>
      <c r="C5147" s="94"/>
      <c r="D5147" s="95"/>
      <c r="E5147" s="95"/>
      <c r="F5147" s="96"/>
      <c r="G5147" s="97"/>
      <c r="H5147" s="114" t="str">
        <f t="shared" si="70"/>
        <v/>
      </c>
      <c r="I5147" s="17"/>
      <c r="J5147" s="17"/>
      <c r="K5147" s="17"/>
    </row>
    <row r="5148" spans="1:11" x14ac:dyDescent="0.2">
      <c r="A5148" s="115"/>
      <c r="B5148" s="95"/>
      <c r="C5148" s="94"/>
      <c r="D5148" s="95"/>
      <c r="E5148" s="95"/>
      <c r="F5148" s="96"/>
      <c r="G5148" s="97"/>
      <c r="H5148" s="114" t="str">
        <f t="shared" si="70"/>
        <v/>
      </c>
      <c r="I5148" s="17"/>
      <c r="J5148" s="17"/>
      <c r="K5148" s="17"/>
    </row>
    <row r="5149" spans="1:11" x14ac:dyDescent="0.2">
      <c r="A5149" s="115"/>
      <c r="B5149" s="95"/>
      <c r="C5149" s="94"/>
      <c r="D5149" s="95"/>
      <c r="E5149" s="95"/>
      <c r="F5149" s="96"/>
      <c r="G5149" s="97"/>
      <c r="H5149" s="114" t="str">
        <f t="shared" si="70"/>
        <v/>
      </c>
      <c r="I5149" s="17"/>
      <c r="J5149" s="17"/>
      <c r="K5149" s="17"/>
    </row>
    <row r="5150" spans="1:11" x14ac:dyDescent="0.2">
      <c r="A5150" s="115"/>
      <c r="B5150" s="95"/>
      <c r="C5150" s="94"/>
      <c r="D5150" s="95"/>
      <c r="E5150" s="95"/>
      <c r="F5150" s="96"/>
      <c r="G5150" s="97"/>
      <c r="H5150" s="114" t="str">
        <f t="shared" si="70"/>
        <v/>
      </c>
      <c r="I5150" s="17"/>
      <c r="J5150" s="17"/>
      <c r="K5150" s="17"/>
    </row>
    <row r="5151" spans="1:11" x14ac:dyDescent="0.2">
      <c r="A5151" s="115"/>
      <c r="B5151" s="95"/>
      <c r="C5151" s="94"/>
      <c r="D5151" s="95"/>
      <c r="E5151" s="95"/>
      <c r="F5151" s="96"/>
      <c r="G5151" s="97"/>
      <c r="H5151" s="114" t="str">
        <f t="shared" si="70"/>
        <v/>
      </c>
      <c r="I5151" s="17"/>
      <c r="J5151" s="17"/>
      <c r="K5151" s="17"/>
    </row>
    <row r="5152" spans="1:11" x14ac:dyDescent="0.2">
      <c r="A5152" s="115"/>
      <c r="B5152" s="95"/>
      <c r="C5152" s="94"/>
      <c r="D5152" s="95"/>
      <c r="E5152" s="95"/>
      <c r="F5152" s="96"/>
      <c r="G5152" s="97"/>
      <c r="H5152" s="114" t="str">
        <f t="shared" si="70"/>
        <v/>
      </c>
      <c r="I5152" s="17"/>
      <c r="J5152" s="17"/>
      <c r="K5152" s="17"/>
    </row>
    <row r="5153" spans="1:11" x14ac:dyDescent="0.2">
      <c r="A5153" s="115"/>
      <c r="B5153" s="95"/>
      <c r="C5153" s="94"/>
      <c r="D5153" s="95"/>
      <c r="E5153" s="95"/>
      <c r="F5153" s="96"/>
      <c r="G5153" s="97"/>
      <c r="H5153" s="114" t="str">
        <f t="shared" si="70"/>
        <v/>
      </c>
      <c r="I5153" s="17"/>
      <c r="J5153" s="17"/>
      <c r="K5153" s="17"/>
    </row>
    <row r="5154" spans="1:11" x14ac:dyDescent="0.2">
      <c r="A5154" s="115"/>
      <c r="B5154" s="95"/>
      <c r="C5154" s="94"/>
      <c r="D5154" s="95"/>
      <c r="E5154" s="95"/>
      <c r="F5154" s="96"/>
      <c r="G5154" s="97"/>
      <c r="H5154" s="114" t="str">
        <f t="shared" si="70"/>
        <v/>
      </c>
      <c r="I5154" s="17"/>
      <c r="J5154" s="17"/>
      <c r="K5154" s="17"/>
    </row>
    <row r="5155" spans="1:11" x14ac:dyDescent="0.2">
      <c r="A5155" s="115"/>
      <c r="B5155" s="95"/>
      <c r="C5155" s="94"/>
      <c r="D5155" s="95"/>
      <c r="E5155" s="95"/>
      <c r="F5155" s="96"/>
      <c r="G5155" s="97"/>
      <c r="H5155" s="114" t="str">
        <f t="shared" si="70"/>
        <v/>
      </c>
      <c r="I5155" s="17"/>
      <c r="J5155" s="17"/>
      <c r="K5155" s="17"/>
    </row>
    <row r="5156" spans="1:11" x14ac:dyDescent="0.2">
      <c r="A5156" s="115"/>
      <c r="B5156" s="95"/>
      <c r="C5156" s="94"/>
      <c r="D5156" s="95"/>
      <c r="E5156" s="95"/>
      <c r="F5156" s="96"/>
      <c r="G5156" s="97"/>
      <c r="H5156" s="114" t="str">
        <f t="shared" si="70"/>
        <v/>
      </c>
      <c r="I5156" s="17"/>
      <c r="J5156" s="17"/>
      <c r="K5156" s="17"/>
    </row>
    <row r="5157" spans="1:11" x14ac:dyDescent="0.2">
      <c r="A5157" s="115"/>
      <c r="B5157" s="95"/>
      <c r="C5157" s="94"/>
      <c r="D5157" s="95"/>
      <c r="E5157" s="95"/>
      <c r="F5157" s="96"/>
      <c r="G5157" s="97"/>
      <c r="H5157" s="114" t="str">
        <f t="shared" si="70"/>
        <v/>
      </c>
      <c r="I5157" s="17"/>
      <c r="J5157" s="17"/>
      <c r="K5157" s="17"/>
    </row>
    <row r="5158" spans="1:11" x14ac:dyDescent="0.2">
      <c r="A5158" s="115"/>
      <c r="B5158" s="95"/>
      <c r="C5158" s="94"/>
      <c r="D5158" s="95"/>
      <c r="E5158" s="95"/>
      <c r="F5158" s="96"/>
      <c r="G5158" s="97"/>
      <c r="H5158" s="114" t="str">
        <f t="shared" si="70"/>
        <v/>
      </c>
      <c r="I5158" s="17"/>
      <c r="J5158" s="17"/>
      <c r="K5158" s="17"/>
    </row>
    <row r="5159" spans="1:11" x14ac:dyDescent="0.2">
      <c r="A5159" s="115"/>
      <c r="B5159" s="95"/>
      <c r="C5159" s="94"/>
      <c r="D5159" s="95"/>
      <c r="E5159" s="95"/>
      <c r="F5159" s="96"/>
      <c r="G5159" s="97"/>
      <c r="H5159" s="114" t="str">
        <f t="shared" si="70"/>
        <v/>
      </c>
      <c r="I5159" s="17"/>
      <c r="J5159" s="17"/>
      <c r="K5159" s="17"/>
    </row>
    <row r="5160" spans="1:11" x14ac:dyDescent="0.2">
      <c r="A5160" s="115"/>
      <c r="B5160" s="95"/>
      <c r="C5160" s="94"/>
      <c r="D5160" s="95"/>
      <c r="E5160" s="95"/>
      <c r="F5160" s="96"/>
      <c r="G5160" s="97"/>
      <c r="H5160" s="114" t="str">
        <f t="shared" si="70"/>
        <v/>
      </c>
      <c r="I5160" s="17"/>
      <c r="J5160" s="17"/>
      <c r="K5160" s="17"/>
    </row>
    <row r="5161" spans="1:11" x14ac:dyDescent="0.2">
      <c r="A5161" s="115"/>
      <c r="B5161" s="95"/>
      <c r="C5161" s="94"/>
      <c r="D5161" s="95"/>
      <c r="E5161" s="95"/>
      <c r="F5161" s="96"/>
      <c r="G5161" s="97"/>
      <c r="H5161" s="114" t="str">
        <f t="shared" si="70"/>
        <v/>
      </c>
      <c r="I5161" s="17"/>
      <c r="J5161" s="17"/>
      <c r="K5161" s="17"/>
    </row>
    <row r="5162" spans="1:11" x14ac:dyDescent="0.2">
      <c r="A5162" s="115"/>
      <c r="B5162" s="95"/>
      <c r="C5162" s="94"/>
      <c r="D5162" s="95"/>
      <c r="E5162" s="95"/>
      <c r="F5162" s="96"/>
      <c r="G5162" s="97"/>
      <c r="H5162" s="114" t="str">
        <f t="shared" si="70"/>
        <v/>
      </c>
      <c r="I5162" s="17"/>
      <c r="J5162" s="17"/>
      <c r="K5162" s="17"/>
    </row>
    <row r="5163" spans="1:11" x14ac:dyDescent="0.2">
      <c r="A5163" s="115"/>
      <c r="B5163" s="95"/>
      <c r="C5163" s="94"/>
      <c r="D5163" s="95"/>
      <c r="E5163" s="95"/>
      <c r="F5163" s="96"/>
      <c r="G5163" s="97"/>
      <c r="H5163" s="114" t="str">
        <f t="shared" si="70"/>
        <v/>
      </c>
      <c r="I5163" s="17"/>
      <c r="J5163" s="17"/>
      <c r="K5163" s="17"/>
    </row>
    <row r="5164" spans="1:11" x14ac:dyDescent="0.2">
      <c r="A5164" s="115"/>
      <c r="B5164" s="95"/>
      <c r="C5164" s="94"/>
      <c r="D5164" s="95"/>
      <c r="E5164" s="95"/>
      <c r="F5164" s="96"/>
      <c r="G5164" s="97"/>
      <c r="H5164" s="114" t="str">
        <f t="shared" si="70"/>
        <v/>
      </c>
      <c r="I5164" s="17"/>
      <c r="J5164" s="17"/>
      <c r="K5164" s="17"/>
    </row>
    <row r="5165" spans="1:11" x14ac:dyDescent="0.2">
      <c r="A5165" s="115"/>
      <c r="B5165" s="95"/>
      <c r="C5165" s="94"/>
      <c r="D5165" s="95"/>
      <c r="E5165" s="95"/>
      <c r="F5165" s="96"/>
      <c r="G5165" s="97"/>
      <c r="H5165" s="114" t="str">
        <f t="shared" si="70"/>
        <v/>
      </c>
      <c r="I5165" s="17"/>
      <c r="J5165" s="17"/>
      <c r="K5165" s="17"/>
    </row>
    <row r="5166" spans="1:11" x14ac:dyDescent="0.2">
      <c r="A5166" s="115"/>
      <c r="B5166" s="95"/>
      <c r="C5166" s="94"/>
      <c r="D5166" s="95"/>
      <c r="E5166" s="95"/>
      <c r="F5166" s="96"/>
      <c r="G5166" s="97"/>
      <c r="H5166" s="114" t="str">
        <f t="shared" si="70"/>
        <v/>
      </c>
      <c r="I5166" s="17"/>
      <c r="J5166" s="17"/>
      <c r="K5166" s="17"/>
    </row>
    <row r="5167" spans="1:11" x14ac:dyDescent="0.2">
      <c r="A5167" s="115"/>
      <c r="B5167" s="95"/>
      <c r="C5167" s="94"/>
      <c r="D5167" s="95"/>
      <c r="E5167" s="95"/>
      <c r="F5167" s="96"/>
      <c r="G5167" s="97"/>
      <c r="H5167" s="114" t="str">
        <f t="shared" si="70"/>
        <v/>
      </c>
      <c r="I5167" s="17"/>
      <c r="J5167" s="17"/>
      <c r="K5167" s="17"/>
    </row>
    <row r="5168" spans="1:11" x14ac:dyDescent="0.2">
      <c r="A5168" s="115"/>
      <c r="B5168" s="95"/>
      <c r="C5168" s="94"/>
      <c r="D5168" s="95"/>
      <c r="E5168" s="95"/>
      <c r="F5168" s="96"/>
      <c r="G5168" s="97"/>
      <c r="H5168" s="114" t="str">
        <f t="shared" si="70"/>
        <v/>
      </c>
      <c r="I5168" s="17"/>
      <c r="J5168" s="17"/>
      <c r="K5168" s="17"/>
    </row>
    <row r="5169" spans="1:11" x14ac:dyDescent="0.2">
      <c r="A5169" s="115"/>
      <c r="B5169" s="95"/>
      <c r="C5169" s="94"/>
      <c r="D5169" s="95"/>
      <c r="E5169" s="95"/>
      <c r="F5169" s="96"/>
      <c r="G5169" s="97"/>
      <c r="H5169" s="114" t="str">
        <f t="shared" si="70"/>
        <v/>
      </c>
      <c r="I5169" s="17"/>
      <c r="J5169" s="17"/>
      <c r="K5169" s="17"/>
    </row>
    <row r="5170" spans="1:11" x14ac:dyDescent="0.2">
      <c r="A5170" s="115"/>
      <c r="B5170" s="95"/>
      <c r="C5170" s="94"/>
      <c r="D5170" s="95"/>
      <c r="E5170" s="95"/>
      <c r="F5170" s="96"/>
      <c r="G5170" s="97"/>
      <c r="H5170" s="114" t="str">
        <f t="shared" si="70"/>
        <v/>
      </c>
      <c r="I5170" s="17"/>
      <c r="J5170" s="17"/>
      <c r="K5170" s="17"/>
    </row>
    <row r="5171" spans="1:11" x14ac:dyDescent="0.2">
      <c r="A5171" s="115"/>
      <c r="B5171" s="95"/>
      <c r="C5171" s="94"/>
      <c r="D5171" s="95"/>
      <c r="E5171" s="95"/>
      <c r="F5171" s="96"/>
      <c r="G5171" s="97"/>
      <c r="H5171" s="114" t="str">
        <f t="shared" si="70"/>
        <v/>
      </c>
      <c r="I5171" s="17"/>
      <c r="J5171" s="17"/>
      <c r="K5171" s="17"/>
    </row>
    <row r="5172" spans="1:11" x14ac:dyDescent="0.2">
      <c r="A5172" s="115"/>
      <c r="B5172" s="95"/>
      <c r="C5172" s="94"/>
      <c r="D5172" s="95"/>
      <c r="E5172" s="95"/>
      <c r="F5172" s="96"/>
      <c r="G5172" s="97"/>
      <c r="H5172" s="114" t="str">
        <f t="shared" si="70"/>
        <v/>
      </c>
      <c r="I5172" s="17"/>
      <c r="J5172" s="17"/>
      <c r="K5172" s="17"/>
    </row>
    <row r="5173" spans="1:11" x14ac:dyDescent="0.2">
      <c r="A5173" s="115"/>
      <c r="B5173" s="95"/>
      <c r="C5173" s="94"/>
      <c r="D5173" s="95"/>
      <c r="E5173" s="95"/>
      <c r="F5173" s="96"/>
      <c r="G5173" s="97"/>
      <c r="H5173" s="114" t="str">
        <f t="shared" si="70"/>
        <v/>
      </c>
      <c r="I5173" s="17"/>
      <c r="J5173" s="17"/>
      <c r="K5173" s="17"/>
    </row>
    <row r="5174" spans="1:11" x14ac:dyDescent="0.2">
      <c r="A5174" s="115"/>
      <c r="B5174" s="95"/>
      <c r="C5174" s="94"/>
      <c r="D5174" s="95"/>
      <c r="E5174" s="95"/>
      <c r="F5174" s="96"/>
      <c r="G5174" s="97"/>
      <c r="H5174" s="114" t="str">
        <f t="shared" si="70"/>
        <v/>
      </c>
      <c r="I5174" s="17"/>
      <c r="J5174" s="17"/>
      <c r="K5174" s="17"/>
    </row>
    <row r="5175" spans="1:11" x14ac:dyDescent="0.2">
      <c r="A5175" s="115"/>
      <c r="B5175" s="95"/>
      <c r="C5175" s="94"/>
      <c r="D5175" s="95"/>
      <c r="E5175" s="95"/>
      <c r="F5175" s="96"/>
      <c r="G5175" s="97"/>
      <c r="H5175" s="114" t="str">
        <f t="shared" si="70"/>
        <v/>
      </c>
      <c r="I5175" s="17"/>
      <c r="J5175" s="17"/>
      <c r="K5175" s="17"/>
    </row>
    <row r="5176" spans="1:11" x14ac:dyDescent="0.2">
      <c r="A5176" s="115"/>
      <c r="B5176" s="95"/>
      <c r="C5176" s="94"/>
      <c r="D5176" s="95"/>
      <c r="E5176" s="95"/>
      <c r="F5176" s="96"/>
      <c r="G5176" s="97"/>
      <c r="H5176" s="114" t="str">
        <f t="shared" si="70"/>
        <v/>
      </c>
      <c r="I5176" s="17"/>
      <c r="J5176" s="17"/>
      <c r="K5176" s="17"/>
    </row>
    <row r="5177" spans="1:11" x14ac:dyDescent="0.2">
      <c r="A5177" s="115"/>
      <c r="B5177" s="95"/>
      <c r="C5177" s="94"/>
      <c r="D5177" s="95"/>
      <c r="E5177" s="95"/>
      <c r="F5177" s="96"/>
      <c r="G5177" s="97"/>
      <c r="H5177" s="114" t="str">
        <f t="shared" si="70"/>
        <v/>
      </c>
      <c r="I5177" s="17"/>
      <c r="J5177" s="17"/>
      <c r="K5177" s="17"/>
    </row>
    <row r="5178" spans="1:11" x14ac:dyDescent="0.2">
      <c r="A5178" s="115"/>
      <c r="B5178" s="95"/>
      <c r="C5178" s="94"/>
      <c r="D5178" s="95"/>
      <c r="E5178" s="95"/>
      <c r="F5178" s="96"/>
      <c r="G5178" s="97"/>
      <c r="H5178" s="114" t="str">
        <f t="shared" si="70"/>
        <v/>
      </c>
      <c r="I5178" s="17"/>
      <c r="J5178" s="17"/>
      <c r="K5178" s="17"/>
    </row>
    <row r="5179" spans="1:11" x14ac:dyDescent="0.2">
      <c r="A5179" s="115"/>
      <c r="B5179" s="95"/>
      <c r="C5179" s="94"/>
      <c r="D5179" s="95"/>
      <c r="E5179" s="95"/>
      <c r="F5179" s="96"/>
      <c r="G5179" s="97"/>
      <c r="H5179" s="114" t="str">
        <f t="shared" si="70"/>
        <v/>
      </c>
      <c r="I5179" s="17"/>
      <c r="J5179" s="17"/>
      <c r="K5179" s="17"/>
    </row>
    <row r="5180" spans="1:11" x14ac:dyDescent="0.2">
      <c r="A5180" s="115"/>
      <c r="B5180" s="95"/>
      <c r="C5180" s="94"/>
      <c r="D5180" s="95"/>
      <c r="E5180" s="95"/>
      <c r="F5180" s="96"/>
      <c r="G5180" s="97"/>
      <c r="H5180" s="114" t="str">
        <f t="shared" si="70"/>
        <v/>
      </c>
      <c r="I5180" s="17"/>
      <c r="J5180" s="17"/>
      <c r="K5180" s="17"/>
    </row>
    <row r="5181" spans="1:11" x14ac:dyDescent="0.2">
      <c r="A5181" s="115"/>
      <c r="B5181" s="95"/>
      <c r="C5181" s="94"/>
      <c r="D5181" s="95"/>
      <c r="E5181" s="95"/>
      <c r="F5181" s="96"/>
      <c r="G5181" s="97"/>
      <c r="H5181" s="114" t="str">
        <f t="shared" si="70"/>
        <v/>
      </c>
      <c r="I5181" s="17"/>
      <c r="J5181" s="17"/>
      <c r="K5181" s="17"/>
    </row>
    <row r="5182" spans="1:11" x14ac:dyDescent="0.2">
      <c r="A5182" s="115"/>
      <c r="B5182" s="95"/>
      <c r="C5182" s="94"/>
      <c r="D5182" s="95"/>
      <c r="E5182" s="95"/>
      <c r="F5182" s="96"/>
      <c r="G5182" s="97"/>
      <c r="H5182" s="114" t="str">
        <f t="shared" si="70"/>
        <v/>
      </c>
      <c r="I5182" s="17"/>
      <c r="J5182" s="17"/>
      <c r="K5182" s="17"/>
    </row>
    <row r="5183" spans="1:11" x14ac:dyDescent="0.2">
      <c r="A5183" s="115"/>
      <c r="B5183" s="95"/>
      <c r="C5183" s="94"/>
      <c r="D5183" s="95"/>
      <c r="E5183" s="95"/>
      <c r="F5183" s="96"/>
      <c r="G5183" s="97"/>
      <c r="H5183" s="114" t="str">
        <f t="shared" si="70"/>
        <v/>
      </c>
      <c r="I5183" s="17"/>
      <c r="J5183" s="17"/>
      <c r="K5183" s="17"/>
    </row>
    <row r="5184" spans="1:11" x14ac:dyDescent="0.2">
      <c r="A5184" s="115"/>
      <c r="B5184" s="95"/>
      <c r="C5184" s="94"/>
      <c r="D5184" s="95"/>
      <c r="E5184" s="95"/>
      <c r="F5184" s="96"/>
      <c r="G5184" s="97"/>
      <c r="H5184" s="114" t="str">
        <f t="shared" si="70"/>
        <v/>
      </c>
      <c r="I5184" s="17"/>
      <c r="J5184" s="17"/>
      <c r="K5184" s="17"/>
    </row>
    <row r="5185" spans="1:11" x14ac:dyDescent="0.2">
      <c r="A5185" s="115"/>
      <c r="B5185" s="95"/>
      <c r="C5185" s="94"/>
      <c r="D5185" s="95"/>
      <c r="E5185" s="95"/>
      <c r="F5185" s="96"/>
      <c r="G5185" s="97"/>
      <c r="H5185" s="114" t="str">
        <f t="shared" si="70"/>
        <v/>
      </c>
      <c r="I5185" s="17"/>
      <c r="J5185" s="17"/>
      <c r="K5185" s="17"/>
    </row>
    <row r="5186" spans="1:11" x14ac:dyDescent="0.2">
      <c r="A5186" s="115"/>
      <c r="B5186" s="95"/>
      <c r="C5186" s="94"/>
      <c r="D5186" s="95"/>
      <c r="E5186" s="95"/>
      <c r="F5186" s="96"/>
      <c r="G5186" s="97"/>
      <c r="H5186" s="114" t="str">
        <f t="shared" si="70"/>
        <v/>
      </c>
      <c r="I5186" s="17"/>
      <c r="J5186" s="17"/>
      <c r="K5186" s="17"/>
    </row>
    <row r="5187" spans="1:11" x14ac:dyDescent="0.2">
      <c r="A5187" s="115"/>
      <c r="B5187" s="95"/>
      <c r="C5187" s="94"/>
      <c r="D5187" s="95"/>
      <c r="E5187" s="95"/>
      <c r="F5187" s="96"/>
      <c r="G5187" s="97"/>
      <c r="H5187" s="114" t="str">
        <f t="shared" si="70"/>
        <v/>
      </c>
      <c r="I5187" s="17"/>
      <c r="J5187" s="17"/>
      <c r="K5187" s="17"/>
    </row>
    <row r="5188" spans="1:11" x14ac:dyDescent="0.2">
      <c r="A5188" s="115"/>
      <c r="B5188" s="95"/>
      <c r="C5188" s="94"/>
      <c r="D5188" s="95"/>
      <c r="E5188" s="95"/>
      <c r="F5188" s="96"/>
      <c r="G5188" s="97"/>
      <c r="H5188" s="114" t="str">
        <f t="shared" ref="H5188:H5251" si="71">IF(A5188&lt;&gt;"", EOMONTH(A5188, -1) + 1, "")</f>
        <v/>
      </c>
      <c r="I5188" s="17"/>
      <c r="J5188" s="17"/>
      <c r="K5188" s="17"/>
    </row>
    <row r="5189" spans="1:11" x14ac:dyDescent="0.2">
      <c r="A5189" s="115"/>
      <c r="B5189" s="95"/>
      <c r="C5189" s="94"/>
      <c r="D5189" s="95"/>
      <c r="E5189" s="95"/>
      <c r="F5189" s="96"/>
      <c r="G5189" s="97"/>
      <c r="H5189" s="114" t="str">
        <f t="shared" si="71"/>
        <v/>
      </c>
      <c r="I5189" s="17"/>
      <c r="J5189" s="17"/>
      <c r="K5189" s="17"/>
    </row>
    <row r="5190" spans="1:11" x14ac:dyDescent="0.2">
      <c r="A5190" s="115"/>
      <c r="B5190" s="95"/>
      <c r="C5190" s="94"/>
      <c r="D5190" s="95"/>
      <c r="E5190" s="95"/>
      <c r="F5190" s="96"/>
      <c r="G5190" s="97"/>
      <c r="H5190" s="114" t="str">
        <f t="shared" si="71"/>
        <v/>
      </c>
      <c r="I5190" s="17"/>
      <c r="J5190" s="17"/>
      <c r="K5190" s="17"/>
    </row>
    <row r="5191" spans="1:11" x14ac:dyDescent="0.2">
      <c r="A5191" s="115"/>
      <c r="B5191" s="95"/>
      <c r="C5191" s="94"/>
      <c r="D5191" s="95"/>
      <c r="E5191" s="95"/>
      <c r="F5191" s="96"/>
      <c r="G5191" s="97"/>
      <c r="H5191" s="114" t="str">
        <f t="shared" si="71"/>
        <v/>
      </c>
      <c r="I5191" s="17"/>
      <c r="J5191" s="17"/>
      <c r="K5191" s="17"/>
    </row>
    <row r="5192" spans="1:11" x14ac:dyDescent="0.2">
      <c r="A5192" s="115"/>
      <c r="B5192" s="95"/>
      <c r="C5192" s="94"/>
      <c r="D5192" s="95"/>
      <c r="E5192" s="95"/>
      <c r="F5192" s="96"/>
      <c r="G5192" s="97"/>
      <c r="H5192" s="114" t="str">
        <f t="shared" si="71"/>
        <v/>
      </c>
      <c r="I5192" s="17"/>
      <c r="J5192" s="17"/>
      <c r="K5192" s="17"/>
    </row>
    <row r="5193" spans="1:11" x14ac:dyDescent="0.2">
      <c r="A5193" s="115"/>
      <c r="B5193" s="95"/>
      <c r="C5193" s="94"/>
      <c r="D5193" s="95"/>
      <c r="E5193" s="95"/>
      <c r="F5193" s="96"/>
      <c r="G5193" s="97"/>
      <c r="H5193" s="114" t="str">
        <f t="shared" si="71"/>
        <v/>
      </c>
      <c r="I5193" s="17"/>
      <c r="J5193" s="17"/>
      <c r="K5193" s="17"/>
    </row>
    <row r="5194" spans="1:11" x14ac:dyDescent="0.2">
      <c r="A5194" s="115"/>
      <c r="B5194" s="95"/>
      <c r="C5194" s="94"/>
      <c r="D5194" s="95"/>
      <c r="E5194" s="95"/>
      <c r="F5194" s="96"/>
      <c r="G5194" s="97"/>
      <c r="H5194" s="114" t="str">
        <f t="shared" si="71"/>
        <v/>
      </c>
      <c r="I5194" s="17"/>
      <c r="J5194" s="17"/>
      <c r="K5194" s="17"/>
    </row>
    <row r="5195" spans="1:11" x14ac:dyDescent="0.2">
      <c r="A5195" s="115"/>
      <c r="B5195" s="95"/>
      <c r="C5195" s="94"/>
      <c r="D5195" s="95"/>
      <c r="E5195" s="95"/>
      <c r="F5195" s="96"/>
      <c r="G5195" s="97"/>
      <c r="H5195" s="114" t="str">
        <f t="shared" si="71"/>
        <v/>
      </c>
      <c r="I5195" s="17"/>
      <c r="J5195" s="17"/>
      <c r="K5195" s="17"/>
    </row>
    <row r="5196" spans="1:11" x14ac:dyDescent="0.2">
      <c r="A5196" s="115"/>
      <c r="B5196" s="95"/>
      <c r="C5196" s="94"/>
      <c r="D5196" s="95"/>
      <c r="E5196" s="95"/>
      <c r="F5196" s="96"/>
      <c r="G5196" s="97"/>
      <c r="H5196" s="114" t="str">
        <f t="shared" si="71"/>
        <v/>
      </c>
      <c r="I5196" s="17"/>
      <c r="J5196" s="17"/>
      <c r="K5196" s="17"/>
    </row>
    <row r="5197" spans="1:11" x14ac:dyDescent="0.2">
      <c r="A5197" s="115"/>
      <c r="B5197" s="95"/>
      <c r="C5197" s="94"/>
      <c r="D5197" s="95"/>
      <c r="E5197" s="95"/>
      <c r="F5197" s="96"/>
      <c r="G5197" s="97"/>
      <c r="H5197" s="114" t="str">
        <f t="shared" si="71"/>
        <v/>
      </c>
      <c r="I5197" s="17"/>
      <c r="J5197" s="17"/>
      <c r="K5197" s="17"/>
    </row>
    <row r="5198" spans="1:11" x14ac:dyDescent="0.2">
      <c r="A5198" s="115"/>
      <c r="B5198" s="95"/>
      <c r="C5198" s="94"/>
      <c r="D5198" s="95"/>
      <c r="E5198" s="95"/>
      <c r="F5198" s="96"/>
      <c r="G5198" s="97"/>
      <c r="H5198" s="114" t="str">
        <f t="shared" si="71"/>
        <v/>
      </c>
      <c r="I5198" s="17"/>
      <c r="J5198" s="17"/>
      <c r="K5198" s="17"/>
    </row>
    <row r="5199" spans="1:11" x14ac:dyDescent="0.2">
      <c r="A5199" s="115"/>
      <c r="B5199" s="95"/>
      <c r="C5199" s="94"/>
      <c r="D5199" s="95"/>
      <c r="E5199" s="95"/>
      <c r="F5199" s="96"/>
      <c r="G5199" s="97"/>
      <c r="H5199" s="114" t="str">
        <f t="shared" si="71"/>
        <v/>
      </c>
      <c r="I5199" s="17"/>
      <c r="J5199" s="17"/>
      <c r="K5199" s="17"/>
    </row>
    <row r="5200" spans="1:11" x14ac:dyDescent="0.2">
      <c r="A5200" s="115"/>
      <c r="B5200" s="95"/>
      <c r="C5200" s="94"/>
      <c r="D5200" s="95"/>
      <c r="E5200" s="95"/>
      <c r="F5200" s="96"/>
      <c r="G5200" s="97"/>
      <c r="H5200" s="114" t="str">
        <f t="shared" si="71"/>
        <v/>
      </c>
      <c r="I5200" s="17"/>
      <c r="J5200" s="17"/>
      <c r="K5200" s="17"/>
    </row>
    <row r="5201" spans="1:11" x14ac:dyDescent="0.2">
      <c r="A5201" s="115"/>
      <c r="B5201" s="95"/>
      <c r="C5201" s="94"/>
      <c r="D5201" s="95"/>
      <c r="E5201" s="95"/>
      <c r="F5201" s="96"/>
      <c r="G5201" s="97"/>
      <c r="H5201" s="114" t="str">
        <f t="shared" si="71"/>
        <v/>
      </c>
      <c r="I5201" s="17"/>
      <c r="J5201" s="17"/>
      <c r="K5201" s="17"/>
    </row>
    <row r="5202" spans="1:11" x14ac:dyDescent="0.2">
      <c r="A5202" s="115"/>
      <c r="B5202" s="95"/>
      <c r="C5202" s="94"/>
      <c r="D5202" s="95"/>
      <c r="E5202" s="95"/>
      <c r="F5202" s="96"/>
      <c r="G5202" s="97"/>
      <c r="H5202" s="114" t="str">
        <f t="shared" si="71"/>
        <v/>
      </c>
      <c r="I5202" s="17"/>
      <c r="J5202" s="17"/>
      <c r="K5202" s="17"/>
    </row>
    <row r="5203" spans="1:11" x14ac:dyDescent="0.2">
      <c r="A5203" s="115"/>
      <c r="B5203" s="95"/>
      <c r="C5203" s="94"/>
      <c r="D5203" s="95"/>
      <c r="E5203" s="95"/>
      <c r="F5203" s="96"/>
      <c r="G5203" s="97"/>
      <c r="H5203" s="114" t="str">
        <f t="shared" si="71"/>
        <v/>
      </c>
      <c r="I5203" s="17"/>
      <c r="J5203" s="17"/>
      <c r="K5203" s="17"/>
    </row>
    <row r="5204" spans="1:11" x14ac:dyDescent="0.2">
      <c r="A5204" s="115"/>
      <c r="B5204" s="95"/>
      <c r="C5204" s="94"/>
      <c r="D5204" s="95"/>
      <c r="E5204" s="95"/>
      <c r="F5204" s="96"/>
      <c r="G5204" s="97"/>
      <c r="H5204" s="114" t="str">
        <f t="shared" si="71"/>
        <v/>
      </c>
      <c r="I5204" s="17"/>
      <c r="J5204" s="17"/>
      <c r="K5204" s="17"/>
    </row>
    <row r="5205" spans="1:11" x14ac:dyDescent="0.2">
      <c r="A5205" s="115"/>
      <c r="B5205" s="95"/>
      <c r="C5205" s="94"/>
      <c r="D5205" s="95"/>
      <c r="E5205" s="95"/>
      <c r="F5205" s="96"/>
      <c r="G5205" s="97"/>
      <c r="H5205" s="114" t="str">
        <f t="shared" si="71"/>
        <v/>
      </c>
      <c r="I5205" s="17"/>
      <c r="J5205" s="17"/>
      <c r="K5205" s="17"/>
    </row>
    <row r="5206" spans="1:11" x14ac:dyDescent="0.2">
      <c r="A5206" s="115"/>
      <c r="B5206" s="95"/>
      <c r="C5206" s="94"/>
      <c r="D5206" s="95"/>
      <c r="E5206" s="95"/>
      <c r="F5206" s="96"/>
      <c r="G5206" s="97"/>
      <c r="H5206" s="114" t="str">
        <f t="shared" si="71"/>
        <v/>
      </c>
      <c r="I5206" s="17"/>
      <c r="J5206" s="17"/>
      <c r="K5206" s="17"/>
    </row>
    <row r="5207" spans="1:11" x14ac:dyDescent="0.2">
      <c r="A5207" s="115"/>
      <c r="B5207" s="95"/>
      <c r="C5207" s="94"/>
      <c r="D5207" s="95"/>
      <c r="E5207" s="95"/>
      <c r="F5207" s="96"/>
      <c r="G5207" s="97"/>
      <c r="H5207" s="114" t="str">
        <f t="shared" si="71"/>
        <v/>
      </c>
      <c r="I5207" s="17"/>
      <c r="J5207" s="17"/>
      <c r="K5207" s="17"/>
    </row>
    <row r="5208" spans="1:11" x14ac:dyDescent="0.2">
      <c r="A5208" s="115"/>
      <c r="B5208" s="95"/>
      <c r="C5208" s="94"/>
      <c r="D5208" s="95"/>
      <c r="E5208" s="95"/>
      <c r="F5208" s="96"/>
      <c r="G5208" s="97"/>
      <c r="H5208" s="114" t="str">
        <f t="shared" si="71"/>
        <v/>
      </c>
      <c r="I5208" s="17"/>
      <c r="J5208" s="17"/>
      <c r="K5208" s="17"/>
    </row>
    <row r="5209" spans="1:11" x14ac:dyDescent="0.2">
      <c r="A5209" s="115"/>
      <c r="B5209" s="95"/>
      <c r="C5209" s="94"/>
      <c r="D5209" s="95"/>
      <c r="E5209" s="95"/>
      <c r="F5209" s="96"/>
      <c r="G5209" s="97"/>
      <c r="H5209" s="114" t="str">
        <f t="shared" si="71"/>
        <v/>
      </c>
      <c r="I5209" s="17"/>
      <c r="J5209" s="17"/>
      <c r="K5209" s="17"/>
    </row>
    <row r="5210" spans="1:11" x14ac:dyDescent="0.2">
      <c r="A5210" s="115"/>
      <c r="B5210" s="95"/>
      <c r="C5210" s="94"/>
      <c r="D5210" s="95"/>
      <c r="E5210" s="95"/>
      <c r="F5210" s="96"/>
      <c r="G5210" s="97"/>
      <c r="H5210" s="114" t="str">
        <f t="shared" si="71"/>
        <v/>
      </c>
      <c r="I5210" s="17"/>
      <c r="J5210" s="17"/>
      <c r="K5210" s="17"/>
    </row>
    <row r="5211" spans="1:11" x14ac:dyDescent="0.2">
      <c r="A5211" s="115"/>
      <c r="B5211" s="95"/>
      <c r="C5211" s="94"/>
      <c r="D5211" s="95"/>
      <c r="E5211" s="95"/>
      <c r="F5211" s="96"/>
      <c r="G5211" s="97"/>
      <c r="H5211" s="114" t="str">
        <f t="shared" si="71"/>
        <v/>
      </c>
      <c r="I5211" s="17"/>
      <c r="J5211" s="17"/>
      <c r="K5211" s="17"/>
    </row>
    <row r="5212" spans="1:11" x14ac:dyDescent="0.2">
      <c r="A5212" s="115"/>
      <c r="B5212" s="95"/>
      <c r="C5212" s="94"/>
      <c r="D5212" s="95"/>
      <c r="E5212" s="95"/>
      <c r="F5212" s="96"/>
      <c r="G5212" s="97"/>
      <c r="H5212" s="114" t="str">
        <f t="shared" si="71"/>
        <v/>
      </c>
      <c r="I5212" s="17"/>
      <c r="J5212" s="17"/>
      <c r="K5212" s="17"/>
    </row>
    <row r="5213" spans="1:11" x14ac:dyDescent="0.2">
      <c r="A5213" s="115"/>
      <c r="B5213" s="95"/>
      <c r="C5213" s="94"/>
      <c r="D5213" s="95"/>
      <c r="E5213" s="95"/>
      <c r="F5213" s="96"/>
      <c r="G5213" s="97"/>
      <c r="H5213" s="114" t="str">
        <f t="shared" si="71"/>
        <v/>
      </c>
      <c r="I5213" s="17"/>
      <c r="J5213" s="17"/>
      <c r="K5213" s="17"/>
    </row>
    <row r="5214" spans="1:11" x14ac:dyDescent="0.2">
      <c r="A5214" s="115"/>
      <c r="B5214" s="95"/>
      <c r="C5214" s="94"/>
      <c r="D5214" s="95"/>
      <c r="E5214" s="95"/>
      <c r="F5214" s="96"/>
      <c r="G5214" s="97"/>
      <c r="H5214" s="114" t="str">
        <f t="shared" si="71"/>
        <v/>
      </c>
      <c r="I5214" s="17"/>
      <c r="J5214" s="17"/>
      <c r="K5214" s="17"/>
    </row>
    <row r="5215" spans="1:11" x14ac:dyDescent="0.2">
      <c r="A5215" s="115"/>
      <c r="B5215" s="95"/>
      <c r="C5215" s="94"/>
      <c r="D5215" s="95"/>
      <c r="E5215" s="95"/>
      <c r="F5215" s="96"/>
      <c r="G5215" s="97"/>
      <c r="H5215" s="114" t="str">
        <f t="shared" si="71"/>
        <v/>
      </c>
      <c r="I5215" s="17"/>
      <c r="J5215" s="17"/>
      <c r="K5215" s="17"/>
    </row>
    <row r="5216" spans="1:11" x14ac:dyDescent="0.2">
      <c r="A5216" s="115"/>
      <c r="B5216" s="95"/>
      <c r="C5216" s="94"/>
      <c r="D5216" s="95"/>
      <c r="E5216" s="95"/>
      <c r="F5216" s="96"/>
      <c r="G5216" s="97"/>
      <c r="H5216" s="114" t="str">
        <f t="shared" si="71"/>
        <v/>
      </c>
      <c r="I5216" s="17"/>
      <c r="J5216" s="17"/>
      <c r="K5216" s="17"/>
    </row>
    <row r="5217" spans="1:11" x14ac:dyDescent="0.2">
      <c r="A5217" s="115"/>
      <c r="B5217" s="95"/>
      <c r="C5217" s="94"/>
      <c r="D5217" s="95"/>
      <c r="E5217" s="95"/>
      <c r="F5217" s="96"/>
      <c r="G5217" s="97"/>
      <c r="H5217" s="114" t="str">
        <f t="shared" si="71"/>
        <v/>
      </c>
      <c r="I5217" s="17"/>
      <c r="J5217" s="17"/>
      <c r="K5217" s="17"/>
    </row>
    <row r="5218" spans="1:11" x14ac:dyDescent="0.2">
      <c r="A5218" s="115"/>
      <c r="B5218" s="95"/>
      <c r="C5218" s="94"/>
      <c r="D5218" s="95"/>
      <c r="E5218" s="95"/>
      <c r="F5218" s="96"/>
      <c r="G5218" s="97"/>
      <c r="H5218" s="114" t="str">
        <f t="shared" si="71"/>
        <v/>
      </c>
      <c r="I5218" s="17"/>
      <c r="J5218" s="17"/>
      <c r="K5218" s="17"/>
    </row>
    <row r="5219" spans="1:11" x14ac:dyDescent="0.2">
      <c r="A5219" s="115"/>
      <c r="B5219" s="95"/>
      <c r="C5219" s="94"/>
      <c r="D5219" s="95"/>
      <c r="E5219" s="95"/>
      <c r="F5219" s="96"/>
      <c r="G5219" s="97"/>
      <c r="H5219" s="114" t="str">
        <f t="shared" si="71"/>
        <v/>
      </c>
      <c r="I5219" s="17"/>
      <c r="J5219" s="17"/>
      <c r="K5219" s="17"/>
    </row>
    <row r="5220" spans="1:11" x14ac:dyDescent="0.2">
      <c r="A5220" s="115"/>
      <c r="B5220" s="95"/>
      <c r="C5220" s="94"/>
      <c r="D5220" s="95"/>
      <c r="E5220" s="95"/>
      <c r="F5220" s="96"/>
      <c r="G5220" s="97"/>
      <c r="H5220" s="114" t="str">
        <f t="shared" si="71"/>
        <v/>
      </c>
      <c r="I5220" s="17"/>
      <c r="J5220" s="17"/>
      <c r="K5220" s="17"/>
    </row>
    <row r="5221" spans="1:11" x14ac:dyDescent="0.2">
      <c r="A5221" s="115"/>
      <c r="B5221" s="95"/>
      <c r="C5221" s="94"/>
      <c r="D5221" s="95"/>
      <c r="E5221" s="95"/>
      <c r="F5221" s="96"/>
      <c r="G5221" s="97"/>
      <c r="H5221" s="114" t="str">
        <f t="shared" si="71"/>
        <v/>
      </c>
      <c r="I5221" s="17"/>
      <c r="J5221" s="17"/>
      <c r="K5221" s="17"/>
    </row>
    <row r="5222" spans="1:11" x14ac:dyDescent="0.2">
      <c r="A5222" s="115"/>
      <c r="B5222" s="95"/>
      <c r="C5222" s="94"/>
      <c r="D5222" s="95"/>
      <c r="E5222" s="95"/>
      <c r="F5222" s="96"/>
      <c r="G5222" s="97"/>
      <c r="H5222" s="114" t="str">
        <f t="shared" si="71"/>
        <v/>
      </c>
      <c r="I5222" s="17"/>
      <c r="J5222" s="17"/>
      <c r="K5222" s="17"/>
    </row>
    <row r="5223" spans="1:11" x14ac:dyDescent="0.2">
      <c r="A5223" s="115"/>
      <c r="B5223" s="95"/>
      <c r="C5223" s="94"/>
      <c r="D5223" s="95"/>
      <c r="E5223" s="95"/>
      <c r="F5223" s="96"/>
      <c r="G5223" s="97"/>
      <c r="H5223" s="114" t="str">
        <f t="shared" si="71"/>
        <v/>
      </c>
      <c r="I5223" s="17"/>
      <c r="J5223" s="17"/>
      <c r="K5223" s="17"/>
    </row>
    <row r="5224" spans="1:11" x14ac:dyDescent="0.2">
      <c r="A5224" s="115"/>
      <c r="B5224" s="95"/>
      <c r="C5224" s="94"/>
      <c r="D5224" s="95"/>
      <c r="E5224" s="95"/>
      <c r="F5224" s="96"/>
      <c r="G5224" s="97"/>
      <c r="H5224" s="114" t="str">
        <f t="shared" si="71"/>
        <v/>
      </c>
      <c r="I5224" s="17"/>
      <c r="J5224" s="17"/>
      <c r="K5224" s="17"/>
    </row>
    <row r="5225" spans="1:11" x14ac:dyDescent="0.2">
      <c r="A5225" s="115"/>
      <c r="B5225" s="95"/>
      <c r="C5225" s="94"/>
      <c r="D5225" s="95"/>
      <c r="E5225" s="95"/>
      <c r="F5225" s="96"/>
      <c r="G5225" s="97"/>
      <c r="H5225" s="114" t="str">
        <f t="shared" si="71"/>
        <v/>
      </c>
      <c r="I5225" s="17"/>
      <c r="J5225" s="17"/>
      <c r="K5225" s="17"/>
    </row>
    <row r="5226" spans="1:11" x14ac:dyDescent="0.2">
      <c r="A5226" s="115"/>
      <c r="B5226" s="95"/>
      <c r="C5226" s="94"/>
      <c r="D5226" s="95"/>
      <c r="E5226" s="95"/>
      <c r="F5226" s="96"/>
      <c r="G5226" s="97"/>
      <c r="H5226" s="114" t="str">
        <f t="shared" si="71"/>
        <v/>
      </c>
      <c r="I5226" s="17"/>
      <c r="J5226" s="17"/>
      <c r="K5226" s="17"/>
    </row>
    <row r="5227" spans="1:11" x14ac:dyDescent="0.2">
      <c r="A5227" s="115"/>
      <c r="B5227" s="95"/>
      <c r="C5227" s="94"/>
      <c r="D5227" s="95"/>
      <c r="E5227" s="95"/>
      <c r="F5227" s="96"/>
      <c r="G5227" s="97"/>
      <c r="H5227" s="114" t="str">
        <f t="shared" si="71"/>
        <v/>
      </c>
      <c r="I5227" s="17"/>
      <c r="J5227" s="17"/>
      <c r="K5227" s="17"/>
    </row>
    <row r="5228" spans="1:11" x14ac:dyDescent="0.2">
      <c r="A5228" s="115"/>
      <c r="B5228" s="95"/>
      <c r="C5228" s="94"/>
      <c r="D5228" s="95"/>
      <c r="E5228" s="95"/>
      <c r="F5228" s="96"/>
      <c r="G5228" s="97"/>
      <c r="H5228" s="114" t="str">
        <f t="shared" si="71"/>
        <v/>
      </c>
      <c r="I5228" s="17"/>
      <c r="J5228" s="17"/>
      <c r="K5228" s="17"/>
    </row>
    <row r="5229" spans="1:11" x14ac:dyDescent="0.2">
      <c r="A5229" s="115"/>
      <c r="B5229" s="95"/>
      <c r="C5229" s="94"/>
      <c r="D5229" s="95"/>
      <c r="E5229" s="95"/>
      <c r="F5229" s="96"/>
      <c r="G5229" s="97"/>
      <c r="H5229" s="114" t="str">
        <f t="shared" si="71"/>
        <v/>
      </c>
      <c r="I5229" s="17"/>
      <c r="J5229" s="17"/>
      <c r="K5229" s="17"/>
    </row>
    <row r="5230" spans="1:11" x14ac:dyDescent="0.2">
      <c r="A5230" s="115"/>
      <c r="B5230" s="95"/>
      <c r="C5230" s="94"/>
      <c r="D5230" s="95"/>
      <c r="E5230" s="95"/>
      <c r="F5230" s="96"/>
      <c r="G5230" s="97"/>
      <c r="H5230" s="114" t="str">
        <f t="shared" si="71"/>
        <v/>
      </c>
      <c r="I5230" s="17"/>
      <c r="J5230" s="17"/>
      <c r="K5230" s="17"/>
    </row>
    <row r="5231" spans="1:11" x14ac:dyDescent="0.2">
      <c r="A5231" s="115"/>
      <c r="B5231" s="95"/>
      <c r="C5231" s="94"/>
      <c r="D5231" s="95"/>
      <c r="E5231" s="95"/>
      <c r="F5231" s="96"/>
      <c r="G5231" s="97"/>
      <c r="H5231" s="114" t="str">
        <f t="shared" si="71"/>
        <v/>
      </c>
      <c r="I5231" s="17"/>
      <c r="J5231" s="17"/>
      <c r="K5231" s="17"/>
    </row>
    <row r="5232" spans="1:11" x14ac:dyDescent="0.2">
      <c r="A5232" s="115"/>
      <c r="B5232" s="95"/>
      <c r="C5232" s="94"/>
      <c r="D5232" s="95"/>
      <c r="E5232" s="95"/>
      <c r="F5232" s="96"/>
      <c r="G5232" s="97"/>
      <c r="H5232" s="114" t="str">
        <f t="shared" si="71"/>
        <v/>
      </c>
      <c r="I5232" s="17"/>
      <c r="J5232" s="17"/>
      <c r="K5232" s="17"/>
    </row>
    <row r="5233" spans="1:11" x14ac:dyDescent="0.2">
      <c r="A5233" s="115"/>
      <c r="B5233" s="95"/>
      <c r="C5233" s="94"/>
      <c r="D5233" s="95"/>
      <c r="E5233" s="95"/>
      <c r="F5233" s="96"/>
      <c r="G5233" s="97"/>
      <c r="H5233" s="114" t="str">
        <f t="shared" si="71"/>
        <v/>
      </c>
      <c r="I5233" s="17"/>
      <c r="J5233" s="17"/>
      <c r="K5233" s="17"/>
    </row>
    <row r="5234" spans="1:11" x14ac:dyDescent="0.2">
      <c r="A5234" s="115"/>
      <c r="B5234" s="95"/>
      <c r="C5234" s="94"/>
      <c r="D5234" s="95"/>
      <c r="E5234" s="95"/>
      <c r="F5234" s="96"/>
      <c r="G5234" s="97"/>
      <c r="H5234" s="114" t="str">
        <f t="shared" si="71"/>
        <v/>
      </c>
      <c r="I5234" s="17"/>
      <c r="J5234" s="17"/>
      <c r="K5234" s="17"/>
    </row>
    <row r="5235" spans="1:11" x14ac:dyDescent="0.2">
      <c r="A5235" s="115"/>
      <c r="B5235" s="95"/>
      <c r="C5235" s="94"/>
      <c r="D5235" s="95"/>
      <c r="E5235" s="95"/>
      <c r="F5235" s="96"/>
      <c r="G5235" s="97"/>
      <c r="H5235" s="114" t="str">
        <f t="shared" si="71"/>
        <v/>
      </c>
      <c r="I5235" s="17"/>
      <c r="J5235" s="17"/>
      <c r="K5235" s="17"/>
    </row>
    <row r="5236" spans="1:11" x14ac:dyDescent="0.2">
      <c r="A5236" s="115"/>
      <c r="B5236" s="95"/>
      <c r="C5236" s="94"/>
      <c r="D5236" s="95"/>
      <c r="E5236" s="95"/>
      <c r="F5236" s="96"/>
      <c r="G5236" s="97"/>
      <c r="H5236" s="114" t="str">
        <f t="shared" si="71"/>
        <v/>
      </c>
      <c r="I5236" s="17"/>
      <c r="J5236" s="17"/>
      <c r="K5236" s="17"/>
    </row>
    <row r="5237" spans="1:11" x14ac:dyDescent="0.2">
      <c r="A5237" s="115"/>
      <c r="B5237" s="95"/>
      <c r="C5237" s="94"/>
      <c r="D5237" s="95"/>
      <c r="E5237" s="95"/>
      <c r="F5237" s="96"/>
      <c r="G5237" s="97"/>
      <c r="H5237" s="114" t="str">
        <f t="shared" si="71"/>
        <v/>
      </c>
      <c r="I5237" s="17"/>
      <c r="J5237" s="17"/>
      <c r="K5237" s="17"/>
    </row>
    <row r="5238" spans="1:11" x14ac:dyDescent="0.2">
      <c r="A5238" s="115"/>
      <c r="B5238" s="95"/>
      <c r="C5238" s="94"/>
      <c r="D5238" s="95"/>
      <c r="E5238" s="95"/>
      <c r="F5238" s="96"/>
      <c r="G5238" s="97"/>
      <c r="H5238" s="114" t="str">
        <f t="shared" si="71"/>
        <v/>
      </c>
      <c r="I5238" s="17"/>
      <c r="J5238" s="17"/>
      <c r="K5238" s="17"/>
    </row>
    <row r="5239" spans="1:11" x14ac:dyDescent="0.2">
      <c r="A5239" s="115"/>
      <c r="B5239" s="95"/>
      <c r="C5239" s="94"/>
      <c r="D5239" s="95"/>
      <c r="E5239" s="95"/>
      <c r="F5239" s="96"/>
      <c r="G5239" s="97"/>
      <c r="H5239" s="114" t="str">
        <f t="shared" si="71"/>
        <v/>
      </c>
      <c r="I5239" s="17"/>
      <c r="J5239" s="17"/>
      <c r="K5239" s="17"/>
    </row>
    <row r="5240" spans="1:11" x14ac:dyDescent="0.2">
      <c r="A5240" s="115"/>
      <c r="B5240" s="95"/>
      <c r="C5240" s="94"/>
      <c r="D5240" s="95"/>
      <c r="E5240" s="95"/>
      <c r="F5240" s="96"/>
      <c r="G5240" s="97"/>
      <c r="H5240" s="114" t="str">
        <f t="shared" si="71"/>
        <v/>
      </c>
      <c r="I5240" s="17"/>
      <c r="J5240" s="17"/>
      <c r="K5240" s="17"/>
    </row>
    <row r="5241" spans="1:11" x14ac:dyDescent="0.2">
      <c r="A5241" s="115"/>
      <c r="B5241" s="95"/>
      <c r="C5241" s="94"/>
      <c r="D5241" s="95"/>
      <c r="E5241" s="95"/>
      <c r="F5241" s="96"/>
      <c r="G5241" s="97"/>
      <c r="H5241" s="114" t="str">
        <f t="shared" si="71"/>
        <v/>
      </c>
      <c r="I5241" s="17"/>
      <c r="J5241" s="17"/>
      <c r="K5241" s="17"/>
    </row>
    <row r="5242" spans="1:11" x14ac:dyDescent="0.2">
      <c r="A5242" s="115"/>
      <c r="B5242" s="95"/>
      <c r="C5242" s="94"/>
      <c r="D5242" s="95"/>
      <c r="E5242" s="95"/>
      <c r="F5242" s="96"/>
      <c r="G5242" s="97"/>
      <c r="H5242" s="114" t="str">
        <f t="shared" si="71"/>
        <v/>
      </c>
      <c r="I5242" s="17"/>
      <c r="J5242" s="17"/>
      <c r="K5242" s="17"/>
    </row>
    <row r="5243" spans="1:11" x14ac:dyDescent="0.2">
      <c r="A5243" s="115"/>
      <c r="B5243" s="95"/>
      <c r="C5243" s="94"/>
      <c r="D5243" s="95"/>
      <c r="E5243" s="95"/>
      <c r="F5243" s="96"/>
      <c r="G5243" s="97"/>
      <c r="H5243" s="114" t="str">
        <f t="shared" si="71"/>
        <v/>
      </c>
      <c r="I5243" s="17"/>
      <c r="J5243" s="17"/>
      <c r="K5243" s="17"/>
    </row>
    <row r="5244" spans="1:11" x14ac:dyDescent="0.2">
      <c r="A5244" s="115"/>
      <c r="B5244" s="95"/>
      <c r="C5244" s="94"/>
      <c r="D5244" s="95"/>
      <c r="E5244" s="95"/>
      <c r="F5244" s="96"/>
      <c r="G5244" s="97"/>
      <c r="H5244" s="114" t="str">
        <f t="shared" si="71"/>
        <v/>
      </c>
      <c r="I5244" s="17"/>
      <c r="J5244" s="17"/>
      <c r="K5244" s="17"/>
    </row>
    <row r="5245" spans="1:11" x14ac:dyDescent="0.2">
      <c r="A5245" s="115"/>
      <c r="B5245" s="95"/>
      <c r="C5245" s="94"/>
      <c r="D5245" s="95"/>
      <c r="E5245" s="95"/>
      <c r="F5245" s="96"/>
      <c r="G5245" s="97"/>
      <c r="H5245" s="114" t="str">
        <f t="shared" si="71"/>
        <v/>
      </c>
      <c r="I5245" s="17"/>
      <c r="J5245" s="17"/>
      <c r="K5245" s="17"/>
    </row>
    <row r="5246" spans="1:11" x14ac:dyDescent="0.2">
      <c r="A5246" s="115"/>
      <c r="B5246" s="95"/>
      <c r="C5246" s="94"/>
      <c r="D5246" s="95"/>
      <c r="E5246" s="95"/>
      <c r="F5246" s="96"/>
      <c r="G5246" s="97"/>
      <c r="H5246" s="114" t="str">
        <f t="shared" si="71"/>
        <v/>
      </c>
      <c r="I5246" s="17"/>
      <c r="J5246" s="17"/>
      <c r="K5246" s="17"/>
    </row>
    <row r="5247" spans="1:11" x14ac:dyDescent="0.2">
      <c r="A5247" s="115"/>
      <c r="B5247" s="95"/>
      <c r="C5247" s="94"/>
      <c r="D5247" s="95"/>
      <c r="E5247" s="95"/>
      <c r="F5247" s="96"/>
      <c r="G5247" s="97"/>
      <c r="H5247" s="114" t="str">
        <f t="shared" si="71"/>
        <v/>
      </c>
      <c r="I5247" s="17"/>
      <c r="J5247" s="17"/>
      <c r="K5247" s="17"/>
    </row>
    <row r="5248" spans="1:11" x14ac:dyDescent="0.2">
      <c r="A5248" s="115"/>
      <c r="B5248" s="95"/>
      <c r="C5248" s="94"/>
      <c r="D5248" s="95"/>
      <c r="E5248" s="95"/>
      <c r="F5248" s="96"/>
      <c r="G5248" s="97"/>
      <c r="H5248" s="114" t="str">
        <f t="shared" si="71"/>
        <v/>
      </c>
      <c r="I5248" s="17"/>
      <c r="J5248" s="17"/>
      <c r="K5248" s="17"/>
    </row>
    <row r="5249" spans="1:11" x14ac:dyDescent="0.2">
      <c r="A5249" s="115"/>
      <c r="B5249" s="95"/>
      <c r="C5249" s="94"/>
      <c r="D5249" s="95"/>
      <c r="E5249" s="95"/>
      <c r="F5249" s="96"/>
      <c r="G5249" s="97"/>
      <c r="H5249" s="114" t="str">
        <f t="shared" si="71"/>
        <v/>
      </c>
      <c r="I5249" s="17"/>
      <c r="J5249" s="17"/>
      <c r="K5249" s="17"/>
    </row>
    <row r="5250" spans="1:11" x14ac:dyDescent="0.2">
      <c r="A5250" s="115"/>
      <c r="B5250" s="95"/>
      <c r="C5250" s="94"/>
      <c r="D5250" s="95"/>
      <c r="E5250" s="95"/>
      <c r="F5250" s="96"/>
      <c r="G5250" s="97"/>
      <c r="H5250" s="114" t="str">
        <f t="shared" si="71"/>
        <v/>
      </c>
      <c r="I5250" s="17"/>
      <c r="J5250" s="17"/>
      <c r="K5250" s="17"/>
    </row>
    <row r="5251" spans="1:11" x14ac:dyDescent="0.2">
      <c r="A5251" s="115"/>
      <c r="B5251" s="95"/>
      <c r="C5251" s="94"/>
      <c r="D5251" s="95"/>
      <c r="E5251" s="95"/>
      <c r="F5251" s="96"/>
      <c r="G5251" s="97"/>
      <c r="H5251" s="114" t="str">
        <f t="shared" si="71"/>
        <v/>
      </c>
      <c r="I5251" s="17"/>
      <c r="J5251" s="17"/>
      <c r="K5251" s="17"/>
    </row>
    <row r="5252" spans="1:11" x14ac:dyDescent="0.2">
      <c r="A5252" s="115"/>
      <c r="B5252" s="95"/>
      <c r="C5252" s="94"/>
      <c r="D5252" s="95"/>
      <c r="E5252" s="95"/>
      <c r="F5252" s="96"/>
      <c r="G5252" s="97"/>
      <c r="H5252" s="114" t="str">
        <f t="shared" ref="H5252:H5315" si="72">IF(A5252&lt;&gt;"", EOMONTH(A5252, -1) + 1, "")</f>
        <v/>
      </c>
      <c r="I5252" s="17"/>
      <c r="J5252" s="17"/>
      <c r="K5252" s="17"/>
    </row>
    <row r="5253" spans="1:11" x14ac:dyDescent="0.2">
      <c r="A5253" s="115"/>
      <c r="B5253" s="95"/>
      <c r="C5253" s="94"/>
      <c r="D5253" s="95"/>
      <c r="E5253" s="95"/>
      <c r="F5253" s="96"/>
      <c r="G5253" s="97"/>
      <c r="H5253" s="114" t="str">
        <f t="shared" si="72"/>
        <v/>
      </c>
      <c r="I5253" s="17"/>
      <c r="J5253" s="17"/>
      <c r="K5253" s="17"/>
    </row>
    <row r="5254" spans="1:11" x14ac:dyDescent="0.2">
      <c r="A5254" s="115"/>
      <c r="B5254" s="95"/>
      <c r="C5254" s="94"/>
      <c r="D5254" s="95"/>
      <c r="E5254" s="95"/>
      <c r="F5254" s="96"/>
      <c r="G5254" s="97"/>
      <c r="H5254" s="114" t="str">
        <f t="shared" si="72"/>
        <v/>
      </c>
      <c r="I5254" s="17"/>
      <c r="J5254" s="17"/>
      <c r="K5254" s="17"/>
    </row>
    <row r="5255" spans="1:11" x14ac:dyDescent="0.2">
      <c r="A5255" s="115"/>
      <c r="B5255" s="95"/>
      <c r="C5255" s="94"/>
      <c r="D5255" s="95"/>
      <c r="E5255" s="95"/>
      <c r="F5255" s="96"/>
      <c r="G5255" s="97"/>
      <c r="H5255" s="114" t="str">
        <f t="shared" si="72"/>
        <v/>
      </c>
      <c r="I5255" s="17"/>
      <c r="J5255" s="17"/>
      <c r="K5255" s="17"/>
    </row>
    <row r="5256" spans="1:11" x14ac:dyDescent="0.2">
      <c r="A5256" s="115"/>
      <c r="B5256" s="95"/>
      <c r="C5256" s="94"/>
      <c r="D5256" s="95"/>
      <c r="E5256" s="95"/>
      <c r="F5256" s="96"/>
      <c r="G5256" s="97"/>
      <c r="H5256" s="114" t="str">
        <f t="shared" si="72"/>
        <v/>
      </c>
      <c r="I5256" s="17"/>
      <c r="J5256" s="17"/>
      <c r="K5256" s="17"/>
    </row>
    <row r="5257" spans="1:11" x14ac:dyDescent="0.2">
      <c r="A5257" s="115"/>
      <c r="B5257" s="95"/>
      <c r="C5257" s="94"/>
      <c r="D5257" s="95"/>
      <c r="E5257" s="95"/>
      <c r="F5257" s="96"/>
      <c r="G5257" s="97"/>
      <c r="H5257" s="114" t="str">
        <f t="shared" si="72"/>
        <v/>
      </c>
      <c r="I5257" s="17"/>
      <c r="J5257" s="17"/>
      <c r="K5257" s="17"/>
    </row>
    <row r="5258" spans="1:11" x14ac:dyDescent="0.2">
      <c r="A5258" s="115"/>
      <c r="B5258" s="95"/>
      <c r="C5258" s="94"/>
      <c r="D5258" s="95"/>
      <c r="E5258" s="95"/>
      <c r="F5258" s="96"/>
      <c r="G5258" s="97"/>
      <c r="H5258" s="114" t="str">
        <f t="shared" si="72"/>
        <v/>
      </c>
      <c r="I5258" s="17"/>
      <c r="J5258" s="17"/>
      <c r="K5258" s="17"/>
    </row>
    <row r="5259" spans="1:11" x14ac:dyDescent="0.2">
      <c r="A5259" s="115"/>
      <c r="B5259" s="95"/>
      <c r="C5259" s="94"/>
      <c r="D5259" s="95"/>
      <c r="E5259" s="95"/>
      <c r="F5259" s="96"/>
      <c r="G5259" s="97"/>
      <c r="H5259" s="114" t="str">
        <f t="shared" si="72"/>
        <v/>
      </c>
      <c r="I5259" s="17"/>
      <c r="J5259" s="17"/>
      <c r="K5259" s="17"/>
    </row>
    <row r="5260" spans="1:11" x14ac:dyDescent="0.2">
      <c r="A5260" s="115"/>
      <c r="B5260" s="95"/>
      <c r="C5260" s="94"/>
      <c r="D5260" s="95"/>
      <c r="E5260" s="95"/>
      <c r="F5260" s="96"/>
      <c r="G5260" s="97"/>
      <c r="H5260" s="114" t="str">
        <f t="shared" si="72"/>
        <v/>
      </c>
      <c r="I5260" s="17"/>
      <c r="J5260" s="17"/>
      <c r="K5260" s="17"/>
    </row>
    <row r="5261" spans="1:11" x14ac:dyDescent="0.2">
      <c r="A5261" s="115"/>
      <c r="B5261" s="95"/>
      <c r="C5261" s="94"/>
      <c r="D5261" s="95"/>
      <c r="E5261" s="95"/>
      <c r="F5261" s="96"/>
      <c r="G5261" s="97"/>
      <c r="H5261" s="114" t="str">
        <f t="shared" si="72"/>
        <v/>
      </c>
      <c r="I5261" s="17"/>
      <c r="J5261" s="17"/>
      <c r="K5261" s="17"/>
    </row>
    <row r="5262" spans="1:11" x14ac:dyDescent="0.2">
      <c r="A5262" s="115"/>
      <c r="B5262" s="95"/>
      <c r="C5262" s="94"/>
      <c r="D5262" s="95"/>
      <c r="E5262" s="95"/>
      <c r="F5262" s="96"/>
      <c r="G5262" s="97"/>
      <c r="H5262" s="114" t="str">
        <f t="shared" si="72"/>
        <v/>
      </c>
      <c r="I5262" s="17"/>
      <c r="J5262" s="17"/>
      <c r="K5262" s="17"/>
    </row>
    <row r="5263" spans="1:11" x14ac:dyDescent="0.2">
      <c r="A5263" s="115"/>
      <c r="B5263" s="95"/>
      <c r="C5263" s="94"/>
      <c r="D5263" s="95"/>
      <c r="E5263" s="95"/>
      <c r="F5263" s="96"/>
      <c r="G5263" s="97"/>
      <c r="H5263" s="114" t="str">
        <f t="shared" si="72"/>
        <v/>
      </c>
      <c r="I5263" s="17"/>
      <c r="J5263" s="17"/>
      <c r="K5263" s="17"/>
    </row>
    <row r="5264" spans="1:11" x14ac:dyDescent="0.2">
      <c r="A5264" s="115"/>
      <c r="B5264" s="95"/>
      <c r="C5264" s="94"/>
      <c r="D5264" s="95"/>
      <c r="E5264" s="95"/>
      <c r="F5264" s="96"/>
      <c r="G5264" s="97"/>
      <c r="H5264" s="114" t="str">
        <f t="shared" si="72"/>
        <v/>
      </c>
      <c r="I5264" s="17"/>
      <c r="J5264" s="17"/>
      <c r="K5264" s="17"/>
    </row>
    <row r="5265" spans="1:11" x14ac:dyDescent="0.2">
      <c r="A5265" s="115"/>
      <c r="B5265" s="95"/>
      <c r="C5265" s="94"/>
      <c r="D5265" s="95"/>
      <c r="E5265" s="95"/>
      <c r="F5265" s="96"/>
      <c r="G5265" s="97"/>
      <c r="H5265" s="114" t="str">
        <f t="shared" si="72"/>
        <v/>
      </c>
      <c r="I5265" s="17"/>
      <c r="J5265" s="17"/>
      <c r="K5265" s="17"/>
    </row>
    <row r="5266" spans="1:11" x14ac:dyDescent="0.2">
      <c r="A5266" s="115"/>
      <c r="B5266" s="95"/>
      <c r="C5266" s="94"/>
      <c r="D5266" s="95"/>
      <c r="E5266" s="95"/>
      <c r="F5266" s="96"/>
      <c r="G5266" s="97"/>
      <c r="H5266" s="114" t="str">
        <f t="shared" si="72"/>
        <v/>
      </c>
      <c r="I5266" s="17"/>
      <c r="J5266" s="17"/>
      <c r="K5266" s="17"/>
    </row>
    <row r="5267" spans="1:11" x14ac:dyDescent="0.2">
      <c r="A5267" s="115"/>
      <c r="B5267" s="95"/>
      <c r="C5267" s="94"/>
      <c r="D5267" s="95"/>
      <c r="E5267" s="95"/>
      <c r="F5267" s="96"/>
      <c r="G5267" s="97"/>
      <c r="H5267" s="114" t="str">
        <f t="shared" si="72"/>
        <v/>
      </c>
      <c r="I5267" s="17"/>
      <c r="J5267" s="17"/>
      <c r="K5267" s="17"/>
    </row>
    <row r="5268" spans="1:11" x14ac:dyDescent="0.2">
      <c r="A5268" s="115"/>
      <c r="B5268" s="95"/>
      <c r="C5268" s="94"/>
      <c r="D5268" s="95"/>
      <c r="E5268" s="95"/>
      <c r="F5268" s="96"/>
      <c r="G5268" s="97"/>
      <c r="H5268" s="114" t="str">
        <f t="shared" si="72"/>
        <v/>
      </c>
      <c r="I5268" s="17"/>
      <c r="J5268" s="17"/>
      <c r="K5268" s="17"/>
    </row>
    <row r="5269" spans="1:11" x14ac:dyDescent="0.2">
      <c r="A5269" s="115"/>
      <c r="B5269" s="95"/>
      <c r="C5269" s="94"/>
      <c r="D5269" s="95"/>
      <c r="E5269" s="95"/>
      <c r="F5269" s="96"/>
      <c r="G5269" s="97"/>
      <c r="H5269" s="114" t="str">
        <f t="shared" si="72"/>
        <v/>
      </c>
      <c r="I5269" s="17"/>
      <c r="J5269" s="17"/>
      <c r="K5269" s="17"/>
    </row>
    <row r="5270" spans="1:11" x14ac:dyDescent="0.2">
      <c r="A5270" s="115"/>
      <c r="B5270" s="95"/>
      <c r="C5270" s="94"/>
      <c r="D5270" s="95"/>
      <c r="E5270" s="95"/>
      <c r="F5270" s="96"/>
      <c r="G5270" s="97"/>
      <c r="H5270" s="114" t="str">
        <f t="shared" si="72"/>
        <v/>
      </c>
      <c r="I5270" s="17"/>
      <c r="J5270" s="17"/>
      <c r="K5270" s="17"/>
    </row>
    <row r="5271" spans="1:11" x14ac:dyDescent="0.2">
      <c r="A5271" s="115"/>
      <c r="B5271" s="95"/>
      <c r="C5271" s="94"/>
      <c r="D5271" s="95"/>
      <c r="E5271" s="95"/>
      <c r="F5271" s="96"/>
      <c r="G5271" s="97"/>
      <c r="H5271" s="114" t="str">
        <f t="shared" si="72"/>
        <v/>
      </c>
      <c r="I5271" s="17"/>
      <c r="J5271" s="17"/>
      <c r="K5271" s="17"/>
    </row>
    <row r="5272" spans="1:11" x14ac:dyDescent="0.2">
      <c r="A5272" s="115"/>
      <c r="B5272" s="95"/>
      <c r="C5272" s="94"/>
      <c r="D5272" s="95"/>
      <c r="E5272" s="95"/>
      <c r="F5272" s="96"/>
      <c r="G5272" s="97"/>
      <c r="H5272" s="114" t="str">
        <f t="shared" si="72"/>
        <v/>
      </c>
      <c r="I5272" s="17"/>
      <c r="J5272" s="17"/>
      <c r="K5272" s="17"/>
    </row>
    <row r="5273" spans="1:11" x14ac:dyDescent="0.2">
      <c r="A5273" s="115"/>
      <c r="B5273" s="95"/>
      <c r="C5273" s="94"/>
      <c r="D5273" s="95"/>
      <c r="E5273" s="95"/>
      <c r="F5273" s="96"/>
      <c r="G5273" s="97"/>
      <c r="H5273" s="114" t="str">
        <f t="shared" si="72"/>
        <v/>
      </c>
      <c r="I5273" s="17"/>
      <c r="J5273" s="17"/>
      <c r="K5273" s="17"/>
    </row>
    <row r="5274" spans="1:11" x14ac:dyDescent="0.2">
      <c r="A5274" s="115"/>
      <c r="B5274" s="95"/>
      <c r="C5274" s="94"/>
      <c r="D5274" s="95"/>
      <c r="E5274" s="95"/>
      <c r="F5274" s="96"/>
      <c r="G5274" s="97"/>
      <c r="H5274" s="114" t="str">
        <f t="shared" si="72"/>
        <v/>
      </c>
      <c r="I5274" s="17"/>
      <c r="J5274" s="17"/>
      <c r="K5274" s="17"/>
    </row>
    <row r="5275" spans="1:11" x14ac:dyDescent="0.2">
      <c r="A5275" s="115"/>
      <c r="B5275" s="95"/>
      <c r="C5275" s="94"/>
      <c r="D5275" s="95"/>
      <c r="E5275" s="95"/>
      <c r="F5275" s="96"/>
      <c r="G5275" s="97"/>
      <c r="H5275" s="114" t="str">
        <f t="shared" si="72"/>
        <v/>
      </c>
      <c r="I5275" s="17"/>
      <c r="J5275" s="17"/>
      <c r="K5275" s="17"/>
    </row>
    <row r="5276" spans="1:11" x14ac:dyDescent="0.2">
      <c r="A5276" s="115"/>
      <c r="B5276" s="95"/>
      <c r="C5276" s="94"/>
      <c r="D5276" s="95"/>
      <c r="E5276" s="95"/>
      <c r="F5276" s="96"/>
      <c r="G5276" s="97"/>
      <c r="H5276" s="114" t="str">
        <f t="shared" si="72"/>
        <v/>
      </c>
      <c r="I5276" s="17"/>
      <c r="J5276" s="17"/>
      <c r="K5276" s="17"/>
    </row>
    <row r="5277" spans="1:11" x14ac:dyDescent="0.2">
      <c r="A5277" s="115"/>
      <c r="B5277" s="95"/>
      <c r="C5277" s="94"/>
      <c r="D5277" s="95"/>
      <c r="E5277" s="95"/>
      <c r="F5277" s="96"/>
      <c r="G5277" s="97"/>
      <c r="H5277" s="114" t="str">
        <f t="shared" si="72"/>
        <v/>
      </c>
      <c r="I5277" s="17"/>
      <c r="J5277" s="17"/>
      <c r="K5277" s="17"/>
    </row>
    <row r="5278" spans="1:11" x14ac:dyDescent="0.2">
      <c r="A5278" s="115"/>
      <c r="B5278" s="95"/>
      <c r="C5278" s="94"/>
      <c r="D5278" s="95"/>
      <c r="E5278" s="95"/>
      <c r="F5278" s="96"/>
      <c r="G5278" s="97"/>
      <c r="H5278" s="114" t="str">
        <f t="shared" si="72"/>
        <v/>
      </c>
      <c r="I5278" s="17"/>
      <c r="J5278" s="17"/>
      <c r="K5278" s="17"/>
    </row>
    <row r="5279" spans="1:11" x14ac:dyDescent="0.2">
      <c r="A5279" s="115"/>
      <c r="B5279" s="95"/>
      <c r="C5279" s="94"/>
      <c r="D5279" s="95"/>
      <c r="E5279" s="95"/>
      <c r="F5279" s="96"/>
      <c r="G5279" s="97"/>
      <c r="H5279" s="114" t="str">
        <f t="shared" si="72"/>
        <v/>
      </c>
      <c r="I5279" s="17"/>
      <c r="J5279" s="17"/>
      <c r="K5279" s="17"/>
    </row>
    <row r="5280" spans="1:11" x14ac:dyDescent="0.2">
      <c r="A5280" s="115"/>
      <c r="B5280" s="95"/>
      <c r="C5280" s="94"/>
      <c r="D5280" s="95"/>
      <c r="E5280" s="95"/>
      <c r="F5280" s="96"/>
      <c r="G5280" s="97"/>
      <c r="H5280" s="114" t="str">
        <f t="shared" si="72"/>
        <v/>
      </c>
      <c r="I5280" s="17"/>
      <c r="J5280" s="17"/>
      <c r="K5280" s="17"/>
    </row>
    <row r="5281" spans="1:11" x14ac:dyDescent="0.2">
      <c r="A5281" s="115"/>
      <c r="B5281" s="95"/>
      <c r="C5281" s="94"/>
      <c r="D5281" s="95"/>
      <c r="E5281" s="95"/>
      <c r="F5281" s="96"/>
      <c r="G5281" s="97"/>
      <c r="H5281" s="114" t="str">
        <f t="shared" si="72"/>
        <v/>
      </c>
      <c r="I5281" s="17"/>
      <c r="J5281" s="17"/>
      <c r="K5281" s="17"/>
    </row>
    <row r="5282" spans="1:11" x14ac:dyDescent="0.2">
      <c r="A5282" s="115"/>
      <c r="B5282" s="95"/>
      <c r="C5282" s="94"/>
      <c r="D5282" s="95"/>
      <c r="E5282" s="95"/>
      <c r="F5282" s="96"/>
      <c r="G5282" s="97"/>
      <c r="H5282" s="114" t="str">
        <f t="shared" si="72"/>
        <v/>
      </c>
      <c r="I5282" s="17"/>
      <c r="J5282" s="17"/>
      <c r="K5282" s="17"/>
    </row>
    <row r="5283" spans="1:11" x14ac:dyDescent="0.2">
      <c r="A5283" s="115"/>
      <c r="B5283" s="95"/>
      <c r="C5283" s="94"/>
      <c r="D5283" s="95"/>
      <c r="E5283" s="95"/>
      <c r="F5283" s="96"/>
      <c r="G5283" s="97"/>
      <c r="H5283" s="114" t="str">
        <f t="shared" si="72"/>
        <v/>
      </c>
      <c r="I5283" s="17"/>
      <c r="J5283" s="17"/>
      <c r="K5283" s="17"/>
    </row>
    <row r="5284" spans="1:11" x14ac:dyDescent="0.2">
      <c r="A5284" s="115"/>
      <c r="B5284" s="95"/>
      <c r="C5284" s="94"/>
      <c r="D5284" s="95"/>
      <c r="E5284" s="95"/>
      <c r="F5284" s="96"/>
      <c r="G5284" s="97"/>
      <c r="H5284" s="114" t="str">
        <f t="shared" si="72"/>
        <v/>
      </c>
      <c r="I5284" s="17"/>
      <c r="J5284" s="17"/>
      <c r="K5284" s="17"/>
    </row>
    <row r="5285" spans="1:11" x14ac:dyDescent="0.2">
      <c r="A5285" s="115"/>
      <c r="B5285" s="95"/>
      <c r="C5285" s="94"/>
      <c r="D5285" s="95"/>
      <c r="E5285" s="95"/>
      <c r="F5285" s="96"/>
      <c r="G5285" s="97"/>
      <c r="H5285" s="114" t="str">
        <f t="shared" si="72"/>
        <v/>
      </c>
      <c r="I5285" s="17"/>
      <c r="J5285" s="17"/>
      <c r="K5285" s="17"/>
    </row>
    <row r="5286" spans="1:11" x14ac:dyDescent="0.2">
      <c r="A5286" s="115"/>
      <c r="B5286" s="95"/>
      <c r="C5286" s="94"/>
      <c r="D5286" s="95"/>
      <c r="E5286" s="95"/>
      <c r="F5286" s="96"/>
      <c r="G5286" s="97"/>
      <c r="H5286" s="114" t="str">
        <f t="shared" si="72"/>
        <v/>
      </c>
      <c r="I5286" s="17"/>
      <c r="J5286" s="17"/>
      <c r="K5286" s="17"/>
    </row>
    <row r="5287" spans="1:11" x14ac:dyDescent="0.2">
      <c r="A5287" s="115"/>
      <c r="B5287" s="95"/>
      <c r="C5287" s="94"/>
      <c r="D5287" s="95"/>
      <c r="E5287" s="95"/>
      <c r="F5287" s="96"/>
      <c r="G5287" s="97"/>
      <c r="H5287" s="114" t="str">
        <f t="shared" si="72"/>
        <v/>
      </c>
      <c r="I5287" s="17"/>
      <c r="J5287" s="17"/>
      <c r="K5287" s="17"/>
    </row>
    <row r="5288" spans="1:11" x14ac:dyDescent="0.2">
      <c r="A5288" s="115"/>
      <c r="B5288" s="95"/>
      <c r="C5288" s="94"/>
      <c r="D5288" s="95"/>
      <c r="E5288" s="95"/>
      <c r="F5288" s="96"/>
      <c r="G5288" s="97"/>
      <c r="H5288" s="114" t="str">
        <f t="shared" si="72"/>
        <v/>
      </c>
      <c r="I5288" s="17"/>
      <c r="J5288" s="17"/>
      <c r="K5288" s="17"/>
    </row>
    <row r="5289" spans="1:11" x14ac:dyDescent="0.2">
      <c r="A5289" s="115"/>
      <c r="B5289" s="95"/>
      <c r="C5289" s="94"/>
      <c r="D5289" s="95"/>
      <c r="E5289" s="95"/>
      <c r="F5289" s="96"/>
      <c r="G5289" s="97"/>
      <c r="H5289" s="114" t="str">
        <f t="shared" si="72"/>
        <v/>
      </c>
      <c r="I5289" s="17"/>
      <c r="J5289" s="17"/>
      <c r="K5289" s="17"/>
    </row>
    <row r="5290" spans="1:11" x14ac:dyDescent="0.2">
      <c r="A5290" s="115"/>
      <c r="B5290" s="95"/>
      <c r="C5290" s="94"/>
      <c r="D5290" s="95"/>
      <c r="E5290" s="95"/>
      <c r="F5290" s="96"/>
      <c r="G5290" s="97"/>
      <c r="H5290" s="114" t="str">
        <f t="shared" si="72"/>
        <v/>
      </c>
      <c r="I5290" s="17"/>
      <c r="J5290" s="17"/>
      <c r="K5290" s="17"/>
    </row>
    <row r="5291" spans="1:11" x14ac:dyDescent="0.2">
      <c r="A5291" s="115"/>
      <c r="B5291" s="95"/>
      <c r="C5291" s="94"/>
      <c r="D5291" s="95"/>
      <c r="E5291" s="95"/>
      <c r="F5291" s="96"/>
      <c r="G5291" s="97"/>
      <c r="H5291" s="114" t="str">
        <f t="shared" si="72"/>
        <v/>
      </c>
      <c r="I5291" s="17"/>
      <c r="J5291" s="17"/>
      <c r="K5291" s="17"/>
    </row>
    <row r="5292" spans="1:11" x14ac:dyDescent="0.2">
      <c r="A5292" s="115"/>
      <c r="B5292" s="95"/>
      <c r="C5292" s="94"/>
      <c r="D5292" s="95"/>
      <c r="E5292" s="95"/>
      <c r="F5292" s="96"/>
      <c r="G5292" s="97"/>
      <c r="H5292" s="114" t="str">
        <f t="shared" si="72"/>
        <v/>
      </c>
      <c r="I5292" s="17"/>
      <c r="J5292" s="17"/>
      <c r="K5292" s="17"/>
    </row>
    <row r="5293" spans="1:11" x14ac:dyDescent="0.2">
      <c r="A5293" s="115"/>
      <c r="B5293" s="95"/>
      <c r="C5293" s="94"/>
      <c r="D5293" s="95"/>
      <c r="E5293" s="95"/>
      <c r="F5293" s="96"/>
      <c r="G5293" s="97"/>
      <c r="H5293" s="114" t="str">
        <f t="shared" si="72"/>
        <v/>
      </c>
      <c r="I5293" s="17"/>
      <c r="J5293" s="17"/>
      <c r="K5293" s="17"/>
    </row>
    <row r="5294" spans="1:11" x14ac:dyDescent="0.2">
      <c r="A5294" s="115"/>
      <c r="B5294" s="95"/>
      <c r="C5294" s="94"/>
      <c r="D5294" s="95"/>
      <c r="E5294" s="95"/>
      <c r="F5294" s="96"/>
      <c r="G5294" s="97"/>
      <c r="H5294" s="114" t="str">
        <f t="shared" si="72"/>
        <v/>
      </c>
      <c r="I5294" s="17"/>
      <c r="J5294" s="17"/>
      <c r="K5294" s="17"/>
    </row>
    <row r="5295" spans="1:11" x14ac:dyDescent="0.2">
      <c r="A5295" s="115"/>
      <c r="B5295" s="95"/>
      <c r="C5295" s="94"/>
      <c r="D5295" s="95"/>
      <c r="E5295" s="95"/>
      <c r="F5295" s="96"/>
      <c r="G5295" s="97"/>
      <c r="H5295" s="114" t="str">
        <f t="shared" si="72"/>
        <v/>
      </c>
      <c r="I5295" s="17"/>
      <c r="J5295" s="17"/>
      <c r="K5295" s="17"/>
    </row>
    <row r="5296" spans="1:11" x14ac:dyDescent="0.2">
      <c r="A5296" s="115"/>
      <c r="B5296" s="95"/>
      <c r="C5296" s="94"/>
      <c r="D5296" s="95"/>
      <c r="E5296" s="95"/>
      <c r="F5296" s="96"/>
      <c r="G5296" s="97"/>
      <c r="H5296" s="114" t="str">
        <f t="shared" si="72"/>
        <v/>
      </c>
      <c r="I5296" s="17"/>
      <c r="J5296" s="17"/>
      <c r="K5296" s="17"/>
    </row>
    <row r="5297" spans="1:11" x14ac:dyDescent="0.2">
      <c r="A5297" s="115"/>
      <c r="B5297" s="95"/>
      <c r="C5297" s="94"/>
      <c r="D5297" s="95"/>
      <c r="E5297" s="95"/>
      <c r="F5297" s="96"/>
      <c r="G5297" s="97"/>
      <c r="H5297" s="114" t="str">
        <f t="shared" si="72"/>
        <v/>
      </c>
      <c r="I5297" s="17"/>
      <c r="J5297" s="17"/>
      <c r="K5297" s="17"/>
    </row>
    <row r="5298" spans="1:11" x14ac:dyDescent="0.2">
      <c r="A5298" s="115"/>
      <c r="B5298" s="95"/>
      <c r="C5298" s="94"/>
      <c r="D5298" s="95"/>
      <c r="E5298" s="95"/>
      <c r="F5298" s="96"/>
      <c r="G5298" s="97"/>
      <c r="H5298" s="114" t="str">
        <f t="shared" si="72"/>
        <v/>
      </c>
      <c r="I5298" s="17"/>
      <c r="J5298" s="17"/>
      <c r="K5298" s="17"/>
    </row>
    <row r="5299" spans="1:11" x14ac:dyDescent="0.2">
      <c r="A5299" s="115"/>
      <c r="B5299" s="95"/>
      <c r="C5299" s="94"/>
      <c r="D5299" s="95"/>
      <c r="E5299" s="95"/>
      <c r="F5299" s="96"/>
      <c r="G5299" s="97"/>
      <c r="H5299" s="114" t="str">
        <f t="shared" si="72"/>
        <v/>
      </c>
      <c r="I5299" s="17"/>
      <c r="J5299" s="17"/>
      <c r="K5299" s="17"/>
    </row>
    <row r="5300" spans="1:11" x14ac:dyDescent="0.2">
      <c r="A5300" s="115"/>
      <c r="B5300" s="95"/>
      <c r="C5300" s="94"/>
      <c r="D5300" s="95"/>
      <c r="E5300" s="95"/>
      <c r="F5300" s="96"/>
      <c r="G5300" s="97"/>
      <c r="H5300" s="114" t="str">
        <f t="shared" si="72"/>
        <v/>
      </c>
      <c r="I5300" s="17"/>
      <c r="J5300" s="17"/>
      <c r="K5300" s="17"/>
    </row>
    <row r="5301" spans="1:11" x14ac:dyDescent="0.2">
      <c r="A5301" s="115"/>
      <c r="B5301" s="95"/>
      <c r="C5301" s="94"/>
      <c r="D5301" s="95"/>
      <c r="E5301" s="95"/>
      <c r="F5301" s="96"/>
      <c r="G5301" s="97"/>
      <c r="H5301" s="114" t="str">
        <f t="shared" si="72"/>
        <v/>
      </c>
      <c r="I5301" s="17"/>
      <c r="J5301" s="17"/>
      <c r="K5301" s="17"/>
    </row>
    <row r="5302" spans="1:11" x14ac:dyDescent="0.2">
      <c r="A5302" s="115"/>
      <c r="B5302" s="95"/>
      <c r="C5302" s="94"/>
      <c r="D5302" s="95"/>
      <c r="E5302" s="95"/>
      <c r="F5302" s="96"/>
      <c r="G5302" s="97"/>
      <c r="H5302" s="114" t="str">
        <f t="shared" si="72"/>
        <v/>
      </c>
      <c r="I5302" s="17"/>
      <c r="J5302" s="17"/>
      <c r="K5302" s="17"/>
    </row>
    <row r="5303" spans="1:11" x14ac:dyDescent="0.2">
      <c r="A5303" s="115"/>
      <c r="B5303" s="95"/>
      <c r="C5303" s="94"/>
      <c r="D5303" s="95"/>
      <c r="E5303" s="95"/>
      <c r="F5303" s="96"/>
      <c r="G5303" s="97"/>
      <c r="H5303" s="114" t="str">
        <f t="shared" si="72"/>
        <v/>
      </c>
      <c r="I5303" s="17"/>
      <c r="J5303" s="17"/>
      <c r="K5303" s="17"/>
    </row>
    <row r="5304" spans="1:11" x14ac:dyDescent="0.2">
      <c r="A5304" s="115"/>
      <c r="B5304" s="95"/>
      <c r="C5304" s="94"/>
      <c r="D5304" s="95"/>
      <c r="E5304" s="95"/>
      <c r="F5304" s="96"/>
      <c r="G5304" s="97"/>
      <c r="H5304" s="114" t="str">
        <f t="shared" si="72"/>
        <v/>
      </c>
      <c r="I5304" s="17"/>
      <c r="J5304" s="17"/>
      <c r="K5304" s="17"/>
    </row>
    <row r="5305" spans="1:11" x14ac:dyDescent="0.2">
      <c r="A5305" s="115"/>
      <c r="B5305" s="95"/>
      <c r="C5305" s="94"/>
      <c r="D5305" s="95"/>
      <c r="E5305" s="95"/>
      <c r="F5305" s="96"/>
      <c r="G5305" s="97"/>
      <c r="H5305" s="114" t="str">
        <f t="shared" si="72"/>
        <v/>
      </c>
      <c r="I5305" s="17"/>
      <c r="J5305" s="17"/>
      <c r="K5305" s="17"/>
    </row>
    <row r="5306" spans="1:11" x14ac:dyDescent="0.2">
      <c r="A5306" s="115"/>
      <c r="B5306" s="95"/>
      <c r="C5306" s="94"/>
      <c r="D5306" s="95"/>
      <c r="E5306" s="95"/>
      <c r="F5306" s="96"/>
      <c r="G5306" s="97"/>
      <c r="H5306" s="114" t="str">
        <f t="shared" si="72"/>
        <v/>
      </c>
      <c r="I5306" s="17"/>
      <c r="J5306" s="17"/>
      <c r="K5306" s="17"/>
    </row>
    <row r="5307" spans="1:11" x14ac:dyDescent="0.2">
      <c r="A5307" s="115"/>
      <c r="B5307" s="95"/>
      <c r="C5307" s="94"/>
      <c r="D5307" s="95"/>
      <c r="E5307" s="95"/>
      <c r="F5307" s="96"/>
      <c r="G5307" s="97"/>
      <c r="H5307" s="114" t="str">
        <f t="shared" si="72"/>
        <v/>
      </c>
      <c r="I5307" s="17"/>
      <c r="J5307" s="17"/>
      <c r="K5307" s="17"/>
    </row>
    <row r="5308" spans="1:11" x14ac:dyDescent="0.2">
      <c r="A5308" s="115"/>
      <c r="B5308" s="95"/>
      <c r="C5308" s="94"/>
      <c r="D5308" s="95"/>
      <c r="E5308" s="95"/>
      <c r="F5308" s="96"/>
      <c r="G5308" s="97"/>
      <c r="H5308" s="114" t="str">
        <f t="shared" si="72"/>
        <v/>
      </c>
      <c r="I5308" s="17"/>
      <c r="J5308" s="17"/>
      <c r="K5308" s="17"/>
    </row>
    <row r="5309" spans="1:11" x14ac:dyDescent="0.2">
      <c r="A5309" s="115"/>
      <c r="B5309" s="95"/>
      <c r="C5309" s="94"/>
      <c r="D5309" s="95"/>
      <c r="E5309" s="95"/>
      <c r="F5309" s="96"/>
      <c r="G5309" s="97"/>
      <c r="H5309" s="114" t="str">
        <f t="shared" si="72"/>
        <v/>
      </c>
      <c r="I5309" s="17"/>
      <c r="J5309" s="17"/>
      <c r="K5309" s="17"/>
    </row>
    <row r="5310" spans="1:11" x14ac:dyDescent="0.2">
      <c r="A5310" s="115"/>
      <c r="B5310" s="95"/>
      <c r="C5310" s="94"/>
      <c r="D5310" s="95"/>
      <c r="E5310" s="95"/>
      <c r="F5310" s="96"/>
      <c r="G5310" s="97"/>
      <c r="H5310" s="114" t="str">
        <f t="shared" si="72"/>
        <v/>
      </c>
      <c r="I5310" s="17"/>
      <c r="J5310" s="17"/>
      <c r="K5310" s="17"/>
    </row>
    <row r="5311" spans="1:11" x14ac:dyDescent="0.2">
      <c r="A5311" s="115"/>
      <c r="B5311" s="95"/>
      <c r="C5311" s="94"/>
      <c r="D5311" s="95"/>
      <c r="E5311" s="95"/>
      <c r="F5311" s="96"/>
      <c r="G5311" s="97"/>
      <c r="H5311" s="114" t="str">
        <f t="shared" si="72"/>
        <v/>
      </c>
      <c r="I5311" s="17"/>
      <c r="J5311" s="17"/>
      <c r="K5311" s="17"/>
    </row>
    <row r="5312" spans="1:11" x14ac:dyDescent="0.2">
      <c r="A5312" s="115"/>
      <c r="B5312" s="95"/>
      <c r="C5312" s="94"/>
      <c r="D5312" s="95"/>
      <c r="E5312" s="95"/>
      <c r="F5312" s="96"/>
      <c r="G5312" s="97"/>
      <c r="H5312" s="114" t="str">
        <f t="shared" si="72"/>
        <v/>
      </c>
      <c r="I5312" s="17"/>
      <c r="J5312" s="17"/>
      <c r="K5312" s="17"/>
    </row>
    <row r="5313" spans="1:11" x14ac:dyDescent="0.2">
      <c r="A5313" s="115"/>
      <c r="B5313" s="95"/>
      <c r="C5313" s="94"/>
      <c r="D5313" s="95"/>
      <c r="E5313" s="95"/>
      <c r="F5313" s="96"/>
      <c r="G5313" s="97"/>
      <c r="H5313" s="114" t="str">
        <f t="shared" si="72"/>
        <v/>
      </c>
      <c r="I5313" s="17"/>
      <c r="J5313" s="17"/>
      <c r="K5313" s="17"/>
    </row>
    <row r="5314" spans="1:11" x14ac:dyDescent="0.2">
      <c r="A5314" s="115"/>
      <c r="B5314" s="95"/>
      <c r="C5314" s="94"/>
      <c r="D5314" s="95"/>
      <c r="E5314" s="95"/>
      <c r="F5314" s="96"/>
      <c r="G5314" s="97"/>
      <c r="H5314" s="114" t="str">
        <f t="shared" si="72"/>
        <v/>
      </c>
      <c r="I5314" s="17"/>
      <c r="J5314" s="17"/>
      <c r="K5314" s="17"/>
    </row>
    <row r="5315" spans="1:11" x14ac:dyDescent="0.2">
      <c r="A5315" s="115"/>
      <c r="B5315" s="95"/>
      <c r="C5315" s="94"/>
      <c r="D5315" s="95"/>
      <c r="E5315" s="95"/>
      <c r="F5315" s="96"/>
      <c r="G5315" s="97"/>
      <c r="H5315" s="114" t="str">
        <f t="shared" si="72"/>
        <v/>
      </c>
      <c r="I5315" s="17"/>
      <c r="J5315" s="17"/>
      <c r="K5315" s="17"/>
    </row>
    <row r="5316" spans="1:11" x14ac:dyDescent="0.2">
      <c r="A5316" s="115"/>
      <c r="B5316" s="95"/>
      <c r="C5316" s="94"/>
      <c r="D5316" s="95"/>
      <c r="E5316" s="95"/>
      <c r="F5316" s="96"/>
      <c r="G5316" s="97"/>
      <c r="H5316" s="114" t="str">
        <f t="shared" ref="H5316:H5379" si="73">IF(A5316&lt;&gt;"", EOMONTH(A5316, -1) + 1, "")</f>
        <v/>
      </c>
      <c r="I5316" s="17"/>
      <c r="J5316" s="17"/>
      <c r="K5316" s="17"/>
    </row>
    <row r="5317" spans="1:11" x14ac:dyDescent="0.2">
      <c r="A5317" s="115"/>
      <c r="B5317" s="95"/>
      <c r="C5317" s="94"/>
      <c r="D5317" s="95"/>
      <c r="E5317" s="95"/>
      <c r="F5317" s="96"/>
      <c r="G5317" s="97"/>
      <c r="H5317" s="114" t="str">
        <f t="shared" si="73"/>
        <v/>
      </c>
      <c r="I5317" s="17"/>
      <c r="J5317" s="17"/>
      <c r="K5317" s="17"/>
    </row>
    <row r="5318" spans="1:11" x14ac:dyDescent="0.2">
      <c r="A5318" s="115"/>
      <c r="B5318" s="95"/>
      <c r="C5318" s="94"/>
      <c r="D5318" s="95"/>
      <c r="E5318" s="95"/>
      <c r="F5318" s="96"/>
      <c r="G5318" s="97"/>
      <c r="H5318" s="114" t="str">
        <f t="shared" si="73"/>
        <v/>
      </c>
      <c r="I5318" s="17"/>
      <c r="J5318" s="17"/>
      <c r="K5318" s="17"/>
    </row>
    <row r="5319" spans="1:11" x14ac:dyDescent="0.2">
      <c r="A5319" s="115"/>
      <c r="B5319" s="95"/>
      <c r="C5319" s="94"/>
      <c r="D5319" s="95"/>
      <c r="E5319" s="95"/>
      <c r="F5319" s="96"/>
      <c r="G5319" s="97"/>
      <c r="H5319" s="114" t="str">
        <f t="shared" si="73"/>
        <v/>
      </c>
      <c r="I5319" s="17"/>
      <c r="J5319" s="17"/>
      <c r="K5319" s="17"/>
    </row>
    <row r="5320" spans="1:11" x14ac:dyDescent="0.2">
      <c r="A5320" s="115"/>
      <c r="B5320" s="95"/>
      <c r="C5320" s="94"/>
      <c r="D5320" s="95"/>
      <c r="E5320" s="95"/>
      <c r="F5320" s="96"/>
      <c r="G5320" s="97"/>
      <c r="H5320" s="114" t="str">
        <f t="shared" si="73"/>
        <v/>
      </c>
      <c r="I5320" s="17"/>
      <c r="J5320" s="17"/>
      <c r="K5320" s="17"/>
    </row>
    <row r="5321" spans="1:11" x14ac:dyDescent="0.2">
      <c r="A5321" s="115"/>
      <c r="B5321" s="95"/>
      <c r="C5321" s="94"/>
      <c r="D5321" s="95"/>
      <c r="E5321" s="95"/>
      <c r="F5321" s="96"/>
      <c r="G5321" s="97"/>
      <c r="H5321" s="114" t="str">
        <f t="shared" si="73"/>
        <v/>
      </c>
      <c r="I5321" s="17"/>
      <c r="J5321" s="17"/>
      <c r="K5321" s="17"/>
    </row>
    <row r="5322" spans="1:11" x14ac:dyDescent="0.2">
      <c r="A5322" s="115"/>
      <c r="B5322" s="95"/>
      <c r="C5322" s="94"/>
      <c r="D5322" s="95"/>
      <c r="E5322" s="95"/>
      <c r="F5322" s="96"/>
      <c r="G5322" s="97"/>
      <c r="H5322" s="114" t="str">
        <f t="shared" si="73"/>
        <v/>
      </c>
      <c r="I5322" s="17"/>
      <c r="J5322" s="17"/>
      <c r="K5322" s="17"/>
    </row>
    <row r="5323" spans="1:11" x14ac:dyDescent="0.2">
      <c r="A5323" s="115"/>
      <c r="B5323" s="95"/>
      <c r="C5323" s="94"/>
      <c r="D5323" s="95"/>
      <c r="E5323" s="95"/>
      <c r="F5323" s="96"/>
      <c r="G5323" s="97"/>
      <c r="H5323" s="114" t="str">
        <f t="shared" si="73"/>
        <v/>
      </c>
      <c r="I5323" s="17"/>
      <c r="J5323" s="17"/>
      <c r="K5323" s="17"/>
    </row>
    <row r="5324" spans="1:11" x14ac:dyDescent="0.2">
      <c r="A5324" s="115"/>
      <c r="B5324" s="95"/>
      <c r="C5324" s="94"/>
      <c r="D5324" s="95"/>
      <c r="E5324" s="95"/>
      <c r="F5324" s="96"/>
      <c r="G5324" s="97"/>
      <c r="H5324" s="114" t="str">
        <f t="shared" si="73"/>
        <v/>
      </c>
      <c r="I5324" s="17"/>
      <c r="J5324" s="17"/>
      <c r="K5324" s="17"/>
    </row>
    <row r="5325" spans="1:11" x14ac:dyDescent="0.2">
      <c r="A5325" s="115"/>
      <c r="B5325" s="95"/>
      <c r="C5325" s="94"/>
      <c r="D5325" s="95"/>
      <c r="E5325" s="95"/>
      <c r="F5325" s="96"/>
      <c r="G5325" s="97"/>
      <c r="H5325" s="114" t="str">
        <f t="shared" si="73"/>
        <v/>
      </c>
      <c r="I5325" s="17"/>
      <c r="J5325" s="17"/>
      <c r="K5325" s="17"/>
    </row>
    <row r="5326" spans="1:11" x14ac:dyDescent="0.2">
      <c r="A5326" s="115"/>
      <c r="B5326" s="95"/>
      <c r="C5326" s="94"/>
      <c r="D5326" s="95"/>
      <c r="E5326" s="95"/>
      <c r="F5326" s="96"/>
      <c r="G5326" s="97"/>
      <c r="H5326" s="114" t="str">
        <f t="shared" si="73"/>
        <v/>
      </c>
      <c r="I5326" s="17"/>
      <c r="J5326" s="17"/>
      <c r="K5326" s="17"/>
    </row>
    <row r="5327" spans="1:11" x14ac:dyDescent="0.2">
      <c r="A5327" s="115"/>
      <c r="B5327" s="95"/>
      <c r="C5327" s="94"/>
      <c r="D5327" s="95"/>
      <c r="E5327" s="95"/>
      <c r="F5327" s="96"/>
      <c r="G5327" s="97"/>
      <c r="H5327" s="114" t="str">
        <f t="shared" si="73"/>
        <v/>
      </c>
      <c r="I5327" s="17"/>
      <c r="J5327" s="17"/>
      <c r="K5327" s="17"/>
    </row>
    <row r="5328" spans="1:11" x14ac:dyDescent="0.2">
      <c r="A5328" s="115"/>
      <c r="B5328" s="95"/>
      <c r="C5328" s="94"/>
      <c r="D5328" s="95"/>
      <c r="E5328" s="95"/>
      <c r="F5328" s="96"/>
      <c r="G5328" s="97"/>
      <c r="H5328" s="114" t="str">
        <f t="shared" si="73"/>
        <v/>
      </c>
      <c r="I5328" s="17"/>
      <c r="J5328" s="17"/>
      <c r="K5328" s="17"/>
    </row>
    <row r="5329" spans="1:11" x14ac:dyDescent="0.2">
      <c r="A5329" s="115"/>
      <c r="B5329" s="95"/>
      <c r="C5329" s="94"/>
      <c r="D5329" s="95"/>
      <c r="E5329" s="95"/>
      <c r="F5329" s="96"/>
      <c r="G5329" s="97"/>
      <c r="H5329" s="114" t="str">
        <f t="shared" si="73"/>
        <v/>
      </c>
      <c r="I5329" s="17"/>
      <c r="J5329" s="17"/>
      <c r="K5329" s="17"/>
    </row>
    <row r="5330" spans="1:11" x14ac:dyDescent="0.2">
      <c r="A5330" s="115"/>
      <c r="B5330" s="95"/>
      <c r="C5330" s="94"/>
      <c r="D5330" s="95"/>
      <c r="E5330" s="95"/>
      <c r="F5330" s="96"/>
      <c r="G5330" s="97"/>
      <c r="H5330" s="114" t="str">
        <f t="shared" si="73"/>
        <v/>
      </c>
      <c r="I5330" s="17"/>
      <c r="J5330" s="17"/>
      <c r="K5330" s="17"/>
    </row>
    <row r="5331" spans="1:11" x14ac:dyDescent="0.2">
      <c r="A5331" s="115"/>
      <c r="B5331" s="95"/>
      <c r="C5331" s="94"/>
      <c r="D5331" s="95"/>
      <c r="E5331" s="95"/>
      <c r="F5331" s="96"/>
      <c r="G5331" s="97"/>
      <c r="H5331" s="114" t="str">
        <f t="shared" si="73"/>
        <v/>
      </c>
      <c r="I5331" s="17"/>
      <c r="J5331" s="17"/>
      <c r="K5331" s="17"/>
    </row>
    <row r="5332" spans="1:11" x14ac:dyDescent="0.2">
      <c r="A5332" s="115"/>
      <c r="B5332" s="95"/>
      <c r="C5332" s="94"/>
      <c r="D5332" s="95"/>
      <c r="E5332" s="95"/>
      <c r="F5332" s="96"/>
      <c r="G5332" s="97"/>
      <c r="H5332" s="114" t="str">
        <f t="shared" si="73"/>
        <v/>
      </c>
      <c r="I5332" s="17"/>
      <c r="J5332" s="17"/>
      <c r="K5332" s="17"/>
    </row>
    <row r="5333" spans="1:11" x14ac:dyDescent="0.2">
      <c r="A5333" s="115"/>
      <c r="B5333" s="95"/>
      <c r="C5333" s="94"/>
      <c r="D5333" s="95"/>
      <c r="E5333" s="95"/>
      <c r="F5333" s="96"/>
      <c r="G5333" s="97"/>
      <c r="H5333" s="114" t="str">
        <f t="shared" si="73"/>
        <v/>
      </c>
      <c r="I5333" s="17"/>
      <c r="J5333" s="17"/>
      <c r="K5333" s="17"/>
    </row>
    <row r="5334" spans="1:11" x14ac:dyDescent="0.2">
      <c r="A5334" s="115"/>
      <c r="B5334" s="95"/>
      <c r="C5334" s="94"/>
      <c r="D5334" s="95"/>
      <c r="E5334" s="95"/>
      <c r="F5334" s="96"/>
      <c r="G5334" s="97"/>
      <c r="H5334" s="114" t="str">
        <f t="shared" si="73"/>
        <v/>
      </c>
      <c r="I5334" s="17"/>
      <c r="J5334" s="17"/>
      <c r="K5334" s="17"/>
    </row>
    <row r="5335" spans="1:11" x14ac:dyDescent="0.2">
      <c r="A5335" s="115"/>
      <c r="B5335" s="95"/>
      <c r="C5335" s="94"/>
      <c r="D5335" s="95"/>
      <c r="E5335" s="95"/>
      <c r="F5335" s="96"/>
      <c r="G5335" s="97"/>
      <c r="H5335" s="114" t="str">
        <f t="shared" si="73"/>
        <v/>
      </c>
      <c r="I5335" s="17"/>
      <c r="J5335" s="17"/>
      <c r="K5335" s="17"/>
    </row>
    <row r="5336" spans="1:11" x14ac:dyDescent="0.2">
      <c r="A5336" s="115"/>
      <c r="B5336" s="95"/>
      <c r="C5336" s="94"/>
      <c r="D5336" s="95"/>
      <c r="E5336" s="95"/>
      <c r="F5336" s="96"/>
      <c r="G5336" s="97"/>
      <c r="H5336" s="114" t="str">
        <f t="shared" si="73"/>
        <v/>
      </c>
      <c r="I5336" s="17"/>
      <c r="J5336" s="17"/>
      <c r="K5336" s="17"/>
    </row>
    <row r="5337" spans="1:11" x14ac:dyDescent="0.2">
      <c r="A5337" s="115"/>
      <c r="B5337" s="95"/>
      <c r="C5337" s="94"/>
      <c r="D5337" s="95"/>
      <c r="E5337" s="95"/>
      <c r="F5337" s="96"/>
      <c r="G5337" s="97"/>
      <c r="H5337" s="114" t="str">
        <f t="shared" si="73"/>
        <v/>
      </c>
      <c r="I5337" s="17"/>
      <c r="J5337" s="17"/>
      <c r="K5337" s="17"/>
    </row>
    <row r="5338" spans="1:11" x14ac:dyDescent="0.2">
      <c r="A5338" s="115"/>
      <c r="B5338" s="95"/>
      <c r="C5338" s="94"/>
      <c r="D5338" s="95"/>
      <c r="E5338" s="95"/>
      <c r="F5338" s="96"/>
      <c r="G5338" s="97"/>
      <c r="H5338" s="114" t="str">
        <f t="shared" si="73"/>
        <v/>
      </c>
      <c r="I5338" s="17"/>
      <c r="J5338" s="17"/>
      <c r="K5338" s="17"/>
    </row>
    <row r="5339" spans="1:11" x14ac:dyDescent="0.2">
      <c r="A5339" s="115"/>
      <c r="B5339" s="95"/>
      <c r="C5339" s="94"/>
      <c r="D5339" s="95"/>
      <c r="E5339" s="95"/>
      <c r="F5339" s="96"/>
      <c r="G5339" s="97"/>
      <c r="H5339" s="114" t="str">
        <f t="shared" si="73"/>
        <v/>
      </c>
      <c r="I5339" s="17"/>
      <c r="J5339" s="17"/>
      <c r="K5339" s="17"/>
    </row>
    <row r="5340" spans="1:11" x14ac:dyDescent="0.2">
      <c r="A5340" s="115"/>
      <c r="B5340" s="95"/>
      <c r="C5340" s="94"/>
      <c r="D5340" s="95"/>
      <c r="E5340" s="95"/>
      <c r="F5340" s="96"/>
      <c r="G5340" s="97"/>
      <c r="H5340" s="114" t="str">
        <f t="shared" si="73"/>
        <v/>
      </c>
      <c r="I5340" s="17"/>
      <c r="J5340" s="17"/>
      <c r="K5340" s="17"/>
    </row>
    <row r="5341" spans="1:11" x14ac:dyDescent="0.2">
      <c r="A5341" s="115"/>
      <c r="B5341" s="95"/>
      <c r="C5341" s="94"/>
      <c r="D5341" s="95"/>
      <c r="E5341" s="95"/>
      <c r="F5341" s="96"/>
      <c r="G5341" s="97"/>
      <c r="H5341" s="114" t="str">
        <f t="shared" si="73"/>
        <v/>
      </c>
      <c r="I5341" s="17"/>
      <c r="J5341" s="17"/>
      <c r="K5341" s="17"/>
    </row>
    <row r="5342" spans="1:11" x14ac:dyDescent="0.2">
      <c r="A5342" s="115"/>
      <c r="B5342" s="95"/>
      <c r="C5342" s="94"/>
      <c r="D5342" s="95"/>
      <c r="E5342" s="95"/>
      <c r="F5342" s="96"/>
      <c r="G5342" s="97"/>
      <c r="H5342" s="114" t="str">
        <f t="shared" si="73"/>
        <v/>
      </c>
      <c r="I5342" s="17"/>
      <c r="J5342" s="17"/>
      <c r="K5342" s="17"/>
    </row>
    <row r="5343" spans="1:11" x14ac:dyDescent="0.2">
      <c r="A5343" s="115"/>
      <c r="B5343" s="95"/>
      <c r="C5343" s="94"/>
      <c r="D5343" s="95"/>
      <c r="E5343" s="95"/>
      <c r="F5343" s="96"/>
      <c r="G5343" s="97"/>
      <c r="H5343" s="114" t="str">
        <f t="shared" si="73"/>
        <v/>
      </c>
      <c r="I5343" s="17"/>
      <c r="J5343" s="17"/>
      <c r="K5343" s="17"/>
    </row>
    <row r="5344" spans="1:11" x14ac:dyDescent="0.2">
      <c r="A5344" s="115"/>
      <c r="B5344" s="95"/>
      <c r="C5344" s="94"/>
      <c r="D5344" s="95"/>
      <c r="E5344" s="95"/>
      <c r="F5344" s="96"/>
      <c r="G5344" s="97"/>
      <c r="H5344" s="114" t="str">
        <f t="shared" si="73"/>
        <v/>
      </c>
      <c r="I5344" s="17"/>
      <c r="J5344" s="17"/>
      <c r="K5344" s="17"/>
    </row>
    <row r="5345" spans="1:11" x14ac:dyDescent="0.2">
      <c r="A5345" s="115"/>
      <c r="B5345" s="95"/>
      <c r="C5345" s="94"/>
      <c r="D5345" s="95"/>
      <c r="E5345" s="95"/>
      <c r="F5345" s="96"/>
      <c r="G5345" s="97"/>
      <c r="H5345" s="114" t="str">
        <f t="shared" si="73"/>
        <v/>
      </c>
      <c r="I5345" s="17"/>
      <c r="J5345" s="17"/>
      <c r="K5345" s="17"/>
    </row>
    <row r="5346" spans="1:11" x14ac:dyDescent="0.2">
      <c r="A5346" s="115"/>
      <c r="B5346" s="95"/>
      <c r="C5346" s="94"/>
      <c r="D5346" s="95"/>
      <c r="E5346" s="95"/>
      <c r="F5346" s="96"/>
      <c r="G5346" s="97"/>
      <c r="H5346" s="114" t="str">
        <f t="shared" si="73"/>
        <v/>
      </c>
      <c r="I5346" s="17"/>
      <c r="J5346" s="17"/>
      <c r="K5346" s="17"/>
    </row>
    <row r="5347" spans="1:11" x14ac:dyDescent="0.2">
      <c r="A5347" s="115"/>
      <c r="B5347" s="95"/>
      <c r="C5347" s="94"/>
      <c r="D5347" s="95"/>
      <c r="E5347" s="95"/>
      <c r="F5347" s="96"/>
      <c r="G5347" s="97"/>
      <c r="H5347" s="114" t="str">
        <f t="shared" si="73"/>
        <v/>
      </c>
      <c r="I5347" s="17"/>
      <c r="J5347" s="17"/>
      <c r="K5347" s="17"/>
    </row>
    <row r="5348" spans="1:11" x14ac:dyDescent="0.2">
      <c r="A5348" s="115"/>
      <c r="B5348" s="95"/>
      <c r="C5348" s="94"/>
      <c r="D5348" s="95"/>
      <c r="E5348" s="95"/>
      <c r="F5348" s="96"/>
      <c r="G5348" s="97"/>
      <c r="H5348" s="114" t="str">
        <f t="shared" si="73"/>
        <v/>
      </c>
      <c r="I5348" s="17"/>
      <c r="J5348" s="17"/>
      <c r="K5348" s="17"/>
    </row>
    <row r="5349" spans="1:11" x14ac:dyDescent="0.2">
      <c r="A5349" s="115"/>
      <c r="B5349" s="95"/>
      <c r="C5349" s="94"/>
      <c r="D5349" s="95"/>
      <c r="E5349" s="95"/>
      <c r="F5349" s="96"/>
      <c r="G5349" s="97"/>
      <c r="H5349" s="114" t="str">
        <f t="shared" si="73"/>
        <v/>
      </c>
      <c r="I5349" s="17"/>
      <c r="J5349" s="17"/>
      <c r="K5349" s="17"/>
    </row>
    <row r="5350" spans="1:11" x14ac:dyDescent="0.2">
      <c r="A5350" s="115"/>
      <c r="B5350" s="95"/>
      <c r="C5350" s="94"/>
      <c r="D5350" s="95"/>
      <c r="E5350" s="95"/>
      <c r="F5350" s="96"/>
      <c r="G5350" s="97"/>
      <c r="H5350" s="114" t="str">
        <f t="shared" si="73"/>
        <v/>
      </c>
      <c r="I5350" s="17"/>
      <c r="J5350" s="17"/>
      <c r="K5350" s="17"/>
    </row>
    <row r="5351" spans="1:11" x14ac:dyDescent="0.2">
      <c r="A5351" s="115"/>
      <c r="B5351" s="95"/>
      <c r="C5351" s="94"/>
      <c r="D5351" s="95"/>
      <c r="E5351" s="95"/>
      <c r="F5351" s="96"/>
      <c r="G5351" s="97"/>
      <c r="H5351" s="114" t="str">
        <f t="shared" si="73"/>
        <v/>
      </c>
      <c r="I5351" s="17"/>
      <c r="J5351" s="17"/>
      <c r="K5351" s="17"/>
    </row>
    <row r="5352" spans="1:11" x14ac:dyDescent="0.2">
      <c r="A5352" s="115"/>
      <c r="B5352" s="95"/>
      <c r="C5352" s="94"/>
      <c r="D5352" s="95"/>
      <c r="E5352" s="95"/>
      <c r="F5352" s="96"/>
      <c r="G5352" s="97"/>
      <c r="H5352" s="114" t="str">
        <f t="shared" si="73"/>
        <v/>
      </c>
      <c r="I5352" s="17"/>
      <c r="J5352" s="17"/>
      <c r="K5352" s="17"/>
    </row>
    <row r="5353" spans="1:11" x14ac:dyDescent="0.2">
      <c r="A5353" s="115"/>
      <c r="B5353" s="95"/>
      <c r="C5353" s="94"/>
      <c r="D5353" s="95"/>
      <c r="E5353" s="95"/>
      <c r="F5353" s="96"/>
      <c r="G5353" s="97"/>
      <c r="H5353" s="114" t="str">
        <f t="shared" si="73"/>
        <v/>
      </c>
      <c r="I5353" s="17"/>
      <c r="J5353" s="17"/>
      <c r="K5353" s="17"/>
    </row>
    <row r="5354" spans="1:11" x14ac:dyDescent="0.2">
      <c r="A5354" s="115"/>
      <c r="B5354" s="95"/>
      <c r="C5354" s="94"/>
      <c r="D5354" s="95"/>
      <c r="E5354" s="95"/>
      <c r="F5354" s="96"/>
      <c r="G5354" s="97"/>
      <c r="H5354" s="114" t="str">
        <f t="shared" si="73"/>
        <v/>
      </c>
      <c r="I5354" s="17"/>
      <c r="J5354" s="17"/>
      <c r="K5354" s="17"/>
    </row>
    <row r="5355" spans="1:11" x14ac:dyDescent="0.2">
      <c r="A5355" s="115"/>
      <c r="B5355" s="95"/>
      <c r="C5355" s="94"/>
      <c r="D5355" s="95"/>
      <c r="E5355" s="95"/>
      <c r="F5355" s="96"/>
      <c r="G5355" s="97"/>
      <c r="H5355" s="114" t="str">
        <f t="shared" si="73"/>
        <v/>
      </c>
      <c r="I5355" s="17"/>
      <c r="J5355" s="17"/>
      <c r="K5355" s="17"/>
    </row>
    <row r="5356" spans="1:11" x14ac:dyDescent="0.2">
      <c r="A5356" s="115"/>
      <c r="B5356" s="95"/>
      <c r="C5356" s="94"/>
      <c r="D5356" s="95"/>
      <c r="E5356" s="95"/>
      <c r="F5356" s="96"/>
      <c r="G5356" s="97"/>
      <c r="H5356" s="114" t="str">
        <f t="shared" si="73"/>
        <v/>
      </c>
      <c r="I5356" s="17"/>
      <c r="J5356" s="17"/>
      <c r="K5356" s="17"/>
    </row>
    <row r="5357" spans="1:11" x14ac:dyDescent="0.2">
      <c r="A5357" s="115"/>
      <c r="B5357" s="95"/>
      <c r="C5357" s="94"/>
      <c r="D5357" s="95"/>
      <c r="E5357" s="95"/>
      <c r="F5357" s="96"/>
      <c r="G5357" s="97"/>
      <c r="H5357" s="114" t="str">
        <f t="shared" si="73"/>
        <v/>
      </c>
      <c r="I5357" s="17"/>
      <c r="J5357" s="17"/>
      <c r="K5357" s="17"/>
    </row>
    <row r="5358" spans="1:11" x14ac:dyDescent="0.2">
      <c r="A5358" s="115"/>
      <c r="B5358" s="95"/>
      <c r="C5358" s="94"/>
      <c r="D5358" s="95"/>
      <c r="E5358" s="95"/>
      <c r="F5358" s="96"/>
      <c r="G5358" s="97"/>
      <c r="H5358" s="114" t="str">
        <f t="shared" si="73"/>
        <v/>
      </c>
      <c r="I5358" s="17"/>
      <c r="J5358" s="17"/>
      <c r="K5358" s="17"/>
    </row>
    <row r="5359" spans="1:11" x14ac:dyDescent="0.2">
      <c r="A5359" s="115"/>
      <c r="B5359" s="95"/>
      <c r="C5359" s="94"/>
      <c r="D5359" s="95"/>
      <c r="E5359" s="95"/>
      <c r="F5359" s="96"/>
      <c r="G5359" s="97"/>
      <c r="H5359" s="114" t="str">
        <f t="shared" si="73"/>
        <v/>
      </c>
      <c r="I5359" s="17"/>
      <c r="J5359" s="17"/>
      <c r="K5359" s="17"/>
    </row>
    <row r="5360" spans="1:11" x14ac:dyDescent="0.2">
      <c r="A5360" s="115"/>
      <c r="B5360" s="95"/>
      <c r="C5360" s="94"/>
      <c r="D5360" s="95"/>
      <c r="E5360" s="95"/>
      <c r="F5360" s="96"/>
      <c r="G5360" s="97"/>
      <c r="H5360" s="114" t="str">
        <f t="shared" si="73"/>
        <v/>
      </c>
      <c r="I5360" s="17"/>
      <c r="J5360" s="17"/>
      <c r="K5360" s="17"/>
    </row>
    <row r="5361" spans="1:11" x14ac:dyDescent="0.2">
      <c r="A5361" s="115"/>
      <c r="B5361" s="95"/>
      <c r="C5361" s="94"/>
      <c r="D5361" s="95"/>
      <c r="E5361" s="95"/>
      <c r="F5361" s="96"/>
      <c r="G5361" s="97"/>
      <c r="H5361" s="114" t="str">
        <f t="shared" si="73"/>
        <v/>
      </c>
      <c r="I5361" s="17"/>
      <c r="J5361" s="17"/>
      <c r="K5361" s="17"/>
    </row>
    <row r="5362" spans="1:11" x14ac:dyDescent="0.2">
      <c r="A5362" s="115"/>
      <c r="B5362" s="95"/>
      <c r="C5362" s="94"/>
      <c r="D5362" s="95"/>
      <c r="E5362" s="95"/>
      <c r="F5362" s="96"/>
      <c r="G5362" s="97"/>
      <c r="H5362" s="114" t="str">
        <f t="shared" si="73"/>
        <v/>
      </c>
      <c r="I5362" s="17"/>
      <c r="J5362" s="17"/>
      <c r="K5362" s="17"/>
    </row>
    <row r="5363" spans="1:11" x14ac:dyDescent="0.2">
      <c r="A5363" s="115"/>
      <c r="B5363" s="95"/>
      <c r="C5363" s="94"/>
      <c r="D5363" s="95"/>
      <c r="E5363" s="95"/>
      <c r="F5363" s="96"/>
      <c r="G5363" s="97"/>
      <c r="H5363" s="114" t="str">
        <f t="shared" si="73"/>
        <v/>
      </c>
      <c r="I5363" s="17"/>
      <c r="J5363" s="17"/>
      <c r="K5363" s="17"/>
    </row>
    <row r="5364" spans="1:11" x14ac:dyDescent="0.2">
      <c r="A5364" s="115"/>
      <c r="B5364" s="95"/>
      <c r="C5364" s="94"/>
      <c r="D5364" s="95"/>
      <c r="E5364" s="95"/>
      <c r="F5364" s="96"/>
      <c r="G5364" s="97"/>
      <c r="H5364" s="114" t="str">
        <f t="shared" si="73"/>
        <v/>
      </c>
      <c r="I5364" s="17"/>
      <c r="J5364" s="17"/>
      <c r="K5364" s="17"/>
    </row>
    <row r="5365" spans="1:11" x14ac:dyDescent="0.2">
      <c r="A5365" s="115"/>
      <c r="B5365" s="95"/>
      <c r="C5365" s="94"/>
      <c r="D5365" s="95"/>
      <c r="E5365" s="95"/>
      <c r="F5365" s="96"/>
      <c r="G5365" s="97"/>
      <c r="H5365" s="114" t="str">
        <f t="shared" si="73"/>
        <v/>
      </c>
      <c r="I5365" s="17"/>
      <c r="J5365" s="17"/>
      <c r="K5365" s="17"/>
    </row>
    <row r="5366" spans="1:11" x14ac:dyDescent="0.2">
      <c r="A5366" s="115"/>
      <c r="B5366" s="95"/>
      <c r="C5366" s="94"/>
      <c r="D5366" s="95"/>
      <c r="E5366" s="95"/>
      <c r="F5366" s="96"/>
      <c r="G5366" s="97"/>
      <c r="H5366" s="114" t="str">
        <f t="shared" si="73"/>
        <v/>
      </c>
      <c r="I5366" s="17"/>
      <c r="J5366" s="17"/>
      <c r="K5366" s="17"/>
    </row>
    <row r="5367" spans="1:11" x14ac:dyDescent="0.2">
      <c r="A5367" s="115"/>
      <c r="B5367" s="95"/>
      <c r="C5367" s="94"/>
      <c r="D5367" s="95"/>
      <c r="E5367" s="95"/>
      <c r="F5367" s="96"/>
      <c r="G5367" s="97"/>
      <c r="H5367" s="114" t="str">
        <f t="shared" si="73"/>
        <v/>
      </c>
      <c r="I5367" s="17"/>
      <c r="J5367" s="17"/>
      <c r="K5367" s="17"/>
    </row>
    <row r="5368" spans="1:11" x14ac:dyDescent="0.2">
      <c r="A5368" s="115"/>
      <c r="B5368" s="95"/>
      <c r="C5368" s="94"/>
      <c r="D5368" s="95"/>
      <c r="E5368" s="95"/>
      <c r="F5368" s="96"/>
      <c r="G5368" s="97"/>
      <c r="H5368" s="114" t="str">
        <f t="shared" si="73"/>
        <v/>
      </c>
      <c r="I5368" s="17"/>
      <c r="J5368" s="17"/>
      <c r="K5368" s="17"/>
    </row>
    <row r="5369" spans="1:11" x14ac:dyDescent="0.2">
      <c r="A5369" s="115"/>
      <c r="B5369" s="95"/>
      <c r="C5369" s="94"/>
      <c r="D5369" s="95"/>
      <c r="E5369" s="95"/>
      <c r="F5369" s="96"/>
      <c r="G5369" s="97"/>
      <c r="H5369" s="114" t="str">
        <f t="shared" si="73"/>
        <v/>
      </c>
      <c r="I5369" s="17"/>
      <c r="J5369" s="17"/>
      <c r="K5369" s="17"/>
    </row>
    <row r="5370" spans="1:11" x14ac:dyDescent="0.2">
      <c r="A5370" s="115"/>
      <c r="B5370" s="95"/>
      <c r="C5370" s="94"/>
      <c r="D5370" s="95"/>
      <c r="E5370" s="95"/>
      <c r="F5370" s="96"/>
      <c r="G5370" s="97"/>
      <c r="H5370" s="114" t="str">
        <f t="shared" si="73"/>
        <v/>
      </c>
      <c r="I5370" s="17"/>
      <c r="J5370" s="17"/>
      <c r="K5370" s="17"/>
    </row>
    <row r="5371" spans="1:11" x14ac:dyDescent="0.2">
      <c r="A5371" s="115"/>
      <c r="B5371" s="95"/>
      <c r="C5371" s="94"/>
      <c r="D5371" s="95"/>
      <c r="E5371" s="95"/>
      <c r="F5371" s="96"/>
      <c r="G5371" s="97"/>
      <c r="H5371" s="114" t="str">
        <f t="shared" si="73"/>
        <v/>
      </c>
      <c r="I5371" s="17"/>
      <c r="J5371" s="17"/>
      <c r="K5371" s="17"/>
    </row>
    <row r="5372" spans="1:11" x14ac:dyDescent="0.2">
      <c r="A5372" s="115"/>
      <c r="B5372" s="95"/>
      <c r="C5372" s="94"/>
      <c r="D5372" s="95"/>
      <c r="E5372" s="95"/>
      <c r="F5372" s="96"/>
      <c r="G5372" s="97"/>
      <c r="H5372" s="114" t="str">
        <f t="shared" si="73"/>
        <v/>
      </c>
      <c r="I5372" s="17"/>
      <c r="J5372" s="17"/>
      <c r="K5372" s="17"/>
    </row>
    <row r="5373" spans="1:11" x14ac:dyDescent="0.2">
      <c r="A5373" s="115"/>
      <c r="B5373" s="95"/>
      <c r="C5373" s="94"/>
      <c r="D5373" s="95"/>
      <c r="E5373" s="95"/>
      <c r="F5373" s="96"/>
      <c r="G5373" s="97"/>
      <c r="H5373" s="114" t="str">
        <f t="shared" si="73"/>
        <v/>
      </c>
      <c r="I5373" s="17"/>
      <c r="J5373" s="17"/>
      <c r="K5373" s="17"/>
    </row>
    <row r="5374" spans="1:11" x14ac:dyDescent="0.2">
      <c r="A5374" s="115"/>
      <c r="B5374" s="95"/>
      <c r="C5374" s="94"/>
      <c r="D5374" s="95"/>
      <c r="E5374" s="95"/>
      <c r="F5374" s="96"/>
      <c r="G5374" s="97"/>
      <c r="H5374" s="114" t="str">
        <f t="shared" si="73"/>
        <v/>
      </c>
      <c r="I5374" s="17"/>
      <c r="J5374" s="17"/>
      <c r="K5374" s="17"/>
    </row>
    <row r="5375" spans="1:11" x14ac:dyDescent="0.2">
      <c r="A5375" s="115"/>
      <c r="B5375" s="95"/>
      <c r="C5375" s="94"/>
      <c r="D5375" s="95"/>
      <c r="E5375" s="95"/>
      <c r="F5375" s="96"/>
      <c r="G5375" s="97"/>
      <c r="H5375" s="114" t="str">
        <f t="shared" si="73"/>
        <v/>
      </c>
      <c r="I5375" s="17"/>
      <c r="J5375" s="17"/>
      <c r="K5375" s="17"/>
    </row>
    <row r="5376" spans="1:11" x14ac:dyDescent="0.2">
      <c r="A5376" s="115"/>
      <c r="B5376" s="95"/>
      <c r="C5376" s="94"/>
      <c r="D5376" s="95"/>
      <c r="E5376" s="95"/>
      <c r="F5376" s="96"/>
      <c r="G5376" s="97"/>
      <c r="H5376" s="114" t="str">
        <f t="shared" si="73"/>
        <v/>
      </c>
      <c r="I5376" s="17"/>
      <c r="J5376" s="17"/>
      <c r="K5376" s="17"/>
    </row>
    <row r="5377" spans="1:11" x14ac:dyDescent="0.2">
      <c r="A5377" s="115"/>
      <c r="B5377" s="95"/>
      <c r="C5377" s="94"/>
      <c r="D5377" s="95"/>
      <c r="E5377" s="95"/>
      <c r="F5377" s="96"/>
      <c r="G5377" s="97"/>
      <c r="H5377" s="114" t="str">
        <f t="shared" si="73"/>
        <v/>
      </c>
      <c r="I5377" s="17"/>
      <c r="J5377" s="17"/>
      <c r="K5377" s="17"/>
    </row>
    <row r="5378" spans="1:11" x14ac:dyDescent="0.2">
      <c r="A5378" s="115"/>
      <c r="B5378" s="95"/>
      <c r="C5378" s="94"/>
      <c r="D5378" s="95"/>
      <c r="E5378" s="95"/>
      <c r="F5378" s="96"/>
      <c r="G5378" s="97"/>
      <c r="H5378" s="114" t="str">
        <f t="shared" si="73"/>
        <v/>
      </c>
      <c r="I5378" s="17"/>
      <c r="J5378" s="17"/>
      <c r="K5378" s="17"/>
    </row>
    <row r="5379" spans="1:11" x14ac:dyDescent="0.2">
      <c r="A5379" s="115"/>
      <c r="B5379" s="95"/>
      <c r="C5379" s="94"/>
      <c r="D5379" s="95"/>
      <c r="E5379" s="95"/>
      <c r="F5379" s="96"/>
      <c r="G5379" s="97"/>
      <c r="H5379" s="114" t="str">
        <f t="shared" si="73"/>
        <v/>
      </c>
      <c r="I5379" s="17"/>
      <c r="J5379" s="17"/>
      <c r="K5379" s="17"/>
    </row>
    <row r="5380" spans="1:11" x14ac:dyDescent="0.2">
      <c r="A5380" s="115"/>
      <c r="B5380" s="95"/>
      <c r="C5380" s="94"/>
      <c r="D5380" s="95"/>
      <c r="E5380" s="95"/>
      <c r="F5380" s="96"/>
      <c r="G5380" s="97"/>
      <c r="H5380" s="114" t="str">
        <f t="shared" ref="H5380:H5443" si="74">IF(A5380&lt;&gt;"", EOMONTH(A5380, -1) + 1, "")</f>
        <v/>
      </c>
      <c r="I5380" s="17"/>
      <c r="J5380" s="17"/>
      <c r="K5380" s="17"/>
    </row>
    <row r="5381" spans="1:11" x14ac:dyDescent="0.2">
      <c r="A5381" s="115"/>
      <c r="B5381" s="95"/>
      <c r="C5381" s="94"/>
      <c r="D5381" s="95"/>
      <c r="E5381" s="95"/>
      <c r="F5381" s="96"/>
      <c r="G5381" s="97"/>
      <c r="H5381" s="114" t="str">
        <f t="shared" si="74"/>
        <v/>
      </c>
      <c r="I5381" s="17"/>
      <c r="J5381" s="17"/>
      <c r="K5381" s="17"/>
    </row>
    <row r="5382" spans="1:11" x14ac:dyDescent="0.2">
      <c r="A5382" s="115"/>
      <c r="B5382" s="95"/>
      <c r="C5382" s="94"/>
      <c r="D5382" s="95"/>
      <c r="E5382" s="95"/>
      <c r="F5382" s="96"/>
      <c r="G5382" s="97"/>
      <c r="H5382" s="114" t="str">
        <f t="shared" si="74"/>
        <v/>
      </c>
      <c r="I5382" s="17"/>
      <c r="J5382" s="17"/>
      <c r="K5382" s="17"/>
    </row>
    <row r="5383" spans="1:11" x14ac:dyDescent="0.2">
      <c r="A5383" s="115"/>
      <c r="B5383" s="95"/>
      <c r="C5383" s="94"/>
      <c r="D5383" s="95"/>
      <c r="E5383" s="95"/>
      <c r="F5383" s="96"/>
      <c r="G5383" s="97"/>
      <c r="H5383" s="114" t="str">
        <f t="shared" si="74"/>
        <v/>
      </c>
      <c r="I5383" s="17"/>
      <c r="J5383" s="17"/>
      <c r="K5383" s="17"/>
    </row>
    <row r="5384" spans="1:11" x14ac:dyDescent="0.2">
      <c r="A5384" s="115"/>
      <c r="B5384" s="95"/>
      <c r="C5384" s="94"/>
      <c r="D5384" s="95"/>
      <c r="E5384" s="95"/>
      <c r="F5384" s="96"/>
      <c r="G5384" s="97"/>
      <c r="H5384" s="114" t="str">
        <f t="shared" si="74"/>
        <v/>
      </c>
      <c r="I5384" s="17"/>
      <c r="J5384" s="17"/>
      <c r="K5384" s="17"/>
    </row>
    <row r="5385" spans="1:11" x14ac:dyDescent="0.2">
      <c r="A5385" s="115"/>
      <c r="B5385" s="95"/>
      <c r="C5385" s="94"/>
      <c r="D5385" s="95"/>
      <c r="E5385" s="95"/>
      <c r="F5385" s="96"/>
      <c r="G5385" s="97"/>
      <c r="H5385" s="114" t="str">
        <f t="shared" si="74"/>
        <v/>
      </c>
      <c r="I5385" s="17"/>
      <c r="J5385" s="17"/>
      <c r="K5385" s="17"/>
    </row>
    <row r="5386" spans="1:11" x14ac:dyDescent="0.2">
      <c r="A5386" s="115"/>
      <c r="B5386" s="95"/>
      <c r="C5386" s="94"/>
      <c r="D5386" s="95"/>
      <c r="E5386" s="95"/>
      <c r="F5386" s="96"/>
      <c r="G5386" s="97"/>
      <c r="H5386" s="114" t="str">
        <f t="shared" si="74"/>
        <v/>
      </c>
      <c r="I5386" s="17"/>
      <c r="J5386" s="17"/>
      <c r="K5386" s="17"/>
    </row>
    <row r="5387" spans="1:11" x14ac:dyDescent="0.2">
      <c r="A5387" s="115"/>
      <c r="B5387" s="95"/>
      <c r="C5387" s="94"/>
      <c r="D5387" s="95"/>
      <c r="E5387" s="95"/>
      <c r="F5387" s="96"/>
      <c r="G5387" s="97"/>
      <c r="H5387" s="114" t="str">
        <f t="shared" si="74"/>
        <v/>
      </c>
      <c r="I5387" s="17"/>
      <c r="J5387" s="17"/>
      <c r="K5387" s="17"/>
    </row>
    <row r="5388" spans="1:11" x14ac:dyDescent="0.2">
      <c r="A5388" s="115"/>
      <c r="B5388" s="95"/>
      <c r="C5388" s="94"/>
      <c r="D5388" s="95"/>
      <c r="E5388" s="95"/>
      <c r="F5388" s="96"/>
      <c r="G5388" s="97"/>
      <c r="H5388" s="114" t="str">
        <f t="shared" si="74"/>
        <v/>
      </c>
      <c r="I5388" s="17"/>
      <c r="J5388" s="17"/>
      <c r="K5388" s="17"/>
    </row>
    <row r="5389" spans="1:11" x14ac:dyDescent="0.2">
      <c r="A5389" s="115"/>
      <c r="B5389" s="95"/>
      <c r="C5389" s="94"/>
      <c r="D5389" s="95"/>
      <c r="E5389" s="95"/>
      <c r="F5389" s="96"/>
      <c r="G5389" s="97"/>
      <c r="H5389" s="114" t="str">
        <f t="shared" si="74"/>
        <v/>
      </c>
      <c r="I5389" s="17"/>
      <c r="J5389" s="17"/>
      <c r="K5389" s="17"/>
    </row>
    <row r="5390" spans="1:11" x14ac:dyDescent="0.2">
      <c r="A5390" s="115"/>
      <c r="B5390" s="95"/>
      <c r="C5390" s="94"/>
      <c r="D5390" s="95"/>
      <c r="E5390" s="95"/>
      <c r="F5390" s="96"/>
      <c r="G5390" s="97"/>
      <c r="H5390" s="114" t="str">
        <f t="shared" si="74"/>
        <v/>
      </c>
      <c r="I5390" s="17"/>
      <c r="J5390" s="17"/>
      <c r="K5390" s="17"/>
    </row>
    <row r="5391" spans="1:11" x14ac:dyDescent="0.2">
      <c r="A5391" s="115"/>
      <c r="B5391" s="95"/>
      <c r="C5391" s="94"/>
      <c r="D5391" s="95"/>
      <c r="E5391" s="95"/>
      <c r="F5391" s="96"/>
      <c r="G5391" s="97"/>
      <c r="H5391" s="114" t="str">
        <f t="shared" si="74"/>
        <v/>
      </c>
      <c r="I5391" s="17"/>
      <c r="J5391" s="17"/>
      <c r="K5391" s="17"/>
    </row>
    <row r="5392" spans="1:11" x14ac:dyDescent="0.2">
      <c r="A5392" s="115"/>
      <c r="B5392" s="95"/>
      <c r="C5392" s="94"/>
      <c r="D5392" s="95"/>
      <c r="E5392" s="95"/>
      <c r="F5392" s="96"/>
      <c r="G5392" s="97"/>
      <c r="H5392" s="114" t="str">
        <f t="shared" si="74"/>
        <v/>
      </c>
      <c r="I5392" s="17"/>
      <c r="J5392" s="17"/>
      <c r="K5392" s="17"/>
    </row>
    <row r="5393" spans="1:11" x14ac:dyDescent="0.2">
      <c r="A5393" s="115"/>
      <c r="B5393" s="95"/>
      <c r="C5393" s="94"/>
      <c r="D5393" s="95"/>
      <c r="E5393" s="95"/>
      <c r="F5393" s="96"/>
      <c r="G5393" s="97"/>
      <c r="H5393" s="114" t="str">
        <f t="shared" si="74"/>
        <v/>
      </c>
      <c r="I5393" s="17"/>
      <c r="J5393" s="17"/>
      <c r="K5393" s="17"/>
    </row>
    <row r="5394" spans="1:11" x14ac:dyDescent="0.2">
      <c r="A5394" s="115"/>
      <c r="B5394" s="95"/>
      <c r="C5394" s="94"/>
      <c r="D5394" s="95"/>
      <c r="E5394" s="95"/>
      <c r="F5394" s="96"/>
      <c r="G5394" s="97"/>
      <c r="H5394" s="114" t="str">
        <f t="shared" si="74"/>
        <v/>
      </c>
      <c r="I5394" s="17"/>
      <c r="J5394" s="17"/>
      <c r="K5394" s="17"/>
    </row>
    <row r="5395" spans="1:11" x14ac:dyDescent="0.2">
      <c r="A5395" s="115"/>
      <c r="B5395" s="95"/>
      <c r="C5395" s="94"/>
      <c r="D5395" s="95"/>
      <c r="E5395" s="95"/>
      <c r="F5395" s="96"/>
      <c r="G5395" s="97"/>
      <c r="H5395" s="114" t="str">
        <f t="shared" si="74"/>
        <v/>
      </c>
      <c r="I5395" s="17"/>
      <c r="J5395" s="17"/>
      <c r="K5395" s="17"/>
    </row>
    <row r="5396" spans="1:11" x14ac:dyDescent="0.2">
      <c r="A5396" s="115"/>
      <c r="B5396" s="95"/>
      <c r="C5396" s="94"/>
      <c r="D5396" s="95"/>
      <c r="E5396" s="95"/>
      <c r="F5396" s="96"/>
      <c r="G5396" s="97"/>
      <c r="H5396" s="114" t="str">
        <f t="shared" si="74"/>
        <v/>
      </c>
      <c r="I5396" s="17"/>
      <c r="J5396" s="17"/>
      <c r="K5396" s="17"/>
    </row>
    <row r="5397" spans="1:11" x14ac:dyDescent="0.2">
      <c r="A5397" s="115"/>
      <c r="B5397" s="95"/>
      <c r="C5397" s="94"/>
      <c r="D5397" s="95"/>
      <c r="E5397" s="95"/>
      <c r="F5397" s="96"/>
      <c r="G5397" s="97"/>
      <c r="H5397" s="114" t="str">
        <f t="shared" si="74"/>
        <v/>
      </c>
      <c r="I5397" s="17"/>
      <c r="J5397" s="17"/>
      <c r="K5397" s="17"/>
    </row>
    <row r="5398" spans="1:11" x14ac:dyDescent="0.2">
      <c r="A5398" s="115"/>
      <c r="B5398" s="95"/>
      <c r="C5398" s="94"/>
      <c r="D5398" s="95"/>
      <c r="E5398" s="95"/>
      <c r="F5398" s="96"/>
      <c r="G5398" s="97"/>
      <c r="H5398" s="114" t="str">
        <f t="shared" si="74"/>
        <v/>
      </c>
      <c r="I5398" s="17"/>
      <c r="J5398" s="17"/>
      <c r="K5398" s="17"/>
    </row>
    <row r="5399" spans="1:11" x14ac:dyDescent="0.2">
      <c r="A5399" s="115"/>
      <c r="B5399" s="95"/>
      <c r="C5399" s="94"/>
      <c r="D5399" s="95"/>
      <c r="E5399" s="95"/>
      <c r="F5399" s="96"/>
      <c r="G5399" s="97"/>
      <c r="H5399" s="114" t="str">
        <f t="shared" si="74"/>
        <v/>
      </c>
      <c r="I5399" s="17"/>
      <c r="J5399" s="17"/>
      <c r="K5399" s="17"/>
    </row>
    <row r="5400" spans="1:11" x14ac:dyDescent="0.2">
      <c r="A5400" s="115"/>
      <c r="B5400" s="95"/>
      <c r="C5400" s="94"/>
      <c r="D5400" s="95"/>
      <c r="E5400" s="95"/>
      <c r="F5400" s="96"/>
      <c r="G5400" s="97"/>
      <c r="H5400" s="114" t="str">
        <f t="shared" si="74"/>
        <v/>
      </c>
      <c r="I5400" s="17"/>
      <c r="J5400" s="17"/>
      <c r="K5400" s="17"/>
    </row>
    <row r="5401" spans="1:11" x14ac:dyDescent="0.2">
      <c r="A5401" s="115"/>
      <c r="B5401" s="95"/>
      <c r="C5401" s="94"/>
      <c r="D5401" s="95"/>
      <c r="E5401" s="95"/>
      <c r="F5401" s="96"/>
      <c r="G5401" s="97"/>
      <c r="H5401" s="114" t="str">
        <f t="shared" si="74"/>
        <v/>
      </c>
      <c r="I5401" s="17"/>
      <c r="J5401" s="17"/>
      <c r="K5401" s="17"/>
    </row>
    <row r="5402" spans="1:11" x14ac:dyDescent="0.2">
      <c r="A5402" s="115"/>
      <c r="B5402" s="95"/>
      <c r="C5402" s="94"/>
      <c r="D5402" s="95"/>
      <c r="E5402" s="95"/>
      <c r="F5402" s="96"/>
      <c r="G5402" s="97"/>
      <c r="H5402" s="114" t="str">
        <f t="shared" si="74"/>
        <v/>
      </c>
      <c r="I5402" s="17"/>
      <c r="J5402" s="17"/>
      <c r="K5402" s="17"/>
    </row>
    <row r="5403" spans="1:11" x14ac:dyDescent="0.2">
      <c r="A5403" s="115"/>
      <c r="B5403" s="95"/>
      <c r="C5403" s="94"/>
      <c r="D5403" s="95"/>
      <c r="E5403" s="95"/>
      <c r="F5403" s="96"/>
      <c r="G5403" s="97"/>
      <c r="H5403" s="114" t="str">
        <f t="shared" si="74"/>
        <v/>
      </c>
      <c r="I5403" s="17"/>
      <c r="J5403" s="17"/>
      <c r="K5403" s="17"/>
    </row>
    <row r="5404" spans="1:11" x14ac:dyDescent="0.2">
      <c r="A5404" s="115"/>
      <c r="B5404" s="95"/>
      <c r="C5404" s="94"/>
      <c r="D5404" s="95"/>
      <c r="E5404" s="95"/>
      <c r="F5404" s="96"/>
      <c r="G5404" s="97"/>
      <c r="H5404" s="114" t="str">
        <f t="shared" si="74"/>
        <v/>
      </c>
      <c r="I5404" s="17"/>
      <c r="J5404" s="17"/>
      <c r="K5404" s="17"/>
    </row>
    <row r="5405" spans="1:11" x14ac:dyDescent="0.2">
      <c r="A5405" s="115"/>
      <c r="B5405" s="95"/>
      <c r="C5405" s="94"/>
      <c r="D5405" s="95"/>
      <c r="E5405" s="95"/>
      <c r="F5405" s="96"/>
      <c r="G5405" s="97"/>
      <c r="H5405" s="114" t="str">
        <f t="shared" si="74"/>
        <v/>
      </c>
      <c r="I5405" s="17"/>
      <c r="J5405" s="17"/>
      <c r="K5405" s="17"/>
    </row>
    <row r="5406" spans="1:11" x14ac:dyDescent="0.2">
      <c r="A5406" s="115"/>
      <c r="B5406" s="95"/>
      <c r="C5406" s="94"/>
      <c r="D5406" s="95"/>
      <c r="E5406" s="95"/>
      <c r="F5406" s="96"/>
      <c r="G5406" s="97"/>
      <c r="H5406" s="114" t="str">
        <f t="shared" si="74"/>
        <v/>
      </c>
      <c r="I5406" s="17"/>
      <c r="J5406" s="17"/>
      <c r="K5406" s="17"/>
    </row>
    <row r="5407" spans="1:11" x14ac:dyDescent="0.2">
      <c r="A5407" s="115"/>
      <c r="B5407" s="95"/>
      <c r="C5407" s="94"/>
      <c r="D5407" s="95"/>
      <c r="E5407" s="95"/>
      <c r="F5407" s="96"/>
      <c r="G5407" s="97"/>
      <c r="H5407" s="114" t="str">
        <f t="shared" si="74"/>
        <v/>
      </c>
      <c r="I5407" s="17"/>
      <c r="J5407" s="17"/>
      <c r="K5407" s="17"/>
    </row>
    <row r="5408" spans="1:11" x14ac:dyDescent="0.2">
      <c r="A5408" s="115"/>
      <c r="B5408" s="95"/>
      <c r="C5408" s="94"/>
      <c r="D5408" s="95"/>
      <c r="E5408" s="95"/>
      <c r="F5408" s="96"/>
      <c r="G5408" s="97"/>
      <c r="H5408" s="114" t="str">
        <f t="shared" si="74"/>
        <v/>
      </c>
      <c r="I5408" s="17"/>
      <c r="J5408" s="17"/>
      <c r="K5408" s="17"/>
    </row>
    <row r="5409" spans="1:11" x14ac:dyDescent="0.2">
      <c r="A5409" s="115"/>
      <c r="B5409" s="95"/>
      <c r="C5409" s="94"/>
      <c r="D5409" s="95"/>
      <c r="E5409" s="95"/>
      <c r="F5409" s="96"/>
      <c r="G5409" s="97"/>
      <c r="H5409" s="114" t="str">
        <f t="shared" si="74"/>
        <v/>
      </c>
      <c r="I5409" s="17"/>
      <c r="J5409" s="17"/>
      <c r="K5409" s="17"/>
    </row>
    <row r="5410" spans="1:11" x14ac:dyDescent="0.2">
      <c r="A5410" s="115"/>
      <c r="B5410" s="95"/>
      <c r="C5410" s="94"/>
      <c r="D5410" s="95"/>
      <c r="E5410" s="95"/>
      <c r="F5410" s="96"/>
      <c r="G5410" s="97"/>
      <c r="H5410" s="114" t="str">
        <f t="shared" si="74"/>
        <v/>
      </c>
      <c r="I5410" s="17"/>
      <c r="J5410" s="17"/>
      <c r="K5410" s="17"/>
    </row>
    <row r="5411" spans="1:11" x14ac:dyDescent="0.2">
      <c r="A5411" s="115"/>
      <c r="B5411" s="95"/>
      <c r="C5411" s="94"/>
      <c r="D5411" s="95"/>
      <c r="E5411" s="95"/>
      <c r="F5411" s="96"/>
      <c r="G5411" s="97"/>
      <c r="H5411" s="114" t="str">
        <f t="shared" si="74"/>
        <v/>
      </c>
      <c r="I5411" s="17"/>
      <c r="J5411" s="17"/>
      <c r="K5411" s="17"/>
    </row>
    <row r="5412" spans="1:11" x14ac:dyDescent="0.2">
      <c r="A5412" s="115"/>
      <c r="B5412" s="95"/>
      <c r="C5412" s="94"/>
      <c r="D5412" s="95"/>
      <c r="E5412" s="95"/>
      <c r="F5412" s="96"/>
      <c r="G5412" s="97"/>
      <c r="H5412" s="114" t="str">
        <f t="shared" si="74"/>
        <v/>
      </c>
      <c r="I5412" s="17"/>
      <c r="J5412" s="17"/>
      <c r="K5412" s="17"/>
    </row>
    <row r="5413" spans="1:11" x14ac:dyDescent="0.2">
      <c r="A5413" s="115"/>
      <c r="B5413" s="95"/>
      <c r="C5413" s="94"/>
      <c r="D5413" s="95"/>
      <c r="E5413" s="95"/>
      <c r="F5413" s="96"/>
      <c r="G5413" s="97"/>
      <c r="H5413" s="114" t="str">
        <f t="shared" si="74"/>
        <v/>
      </c>
      <c r="I5413" s="17"/>
      <c r="J5413" s="17"/>
      <c r="K5413" s="17"/>
    </row>
    <row r="5414" spans="1:11" x14ac:dyDescent="0.2">
      <c r="A5414" s="115"/>
      <c r="B5414" s="95"/>
      <c r="C5414" s="94"/>
      <c r="D5414" s="95"/>
      <c r="E5414" s="95"/>
      <c r="F5414" s="96"/>
      <c r="G5414" s="97"/>
      <c r="H5414" s="114" t="str">
        <f t="shared" si="74"/>
        <v/>
      </c>
      <c r="I5414" s="17"/>
      <c r="J5414" s="17"/>
      <c r="K5414" s="17"/>
    </row>
    <row r="5415" spans="1:11" x14ac:dyDescent="0.2">
      <c r="A5415" s="115"/>
      <c r="B5415" s="95"/>
      <c r="C5415" s="94"/>
      <c r="D5415" s="95"/>
      <c r="E5415" s="95"/>
      <c r="F5415" s="96"/>
      <c r="G5415" s="97"/>
      <c r="H5415" s="114" t="str">
        <f t="shared" si="74"/>
        <v/>
      </c>
      <c r="I5415" s="17"/>
      <c r="J5415" s="17"/>
      <c r="K5415" s="17"/>
    </row>
    <row r="5416" spans="1:11" x14ac:dyDescent="0.2">
      <c r="A5416" s="115"/>
      <c r="B5416" s="95"/>
      <c r="C5416" s="94"/>
      <c r="D5416" s="95"/>
      <c r="E5416" s="95"/>
      <c r="F5416" s="96"/>
      <c r="G5416" s="97"/>
      <c r="H5416" s="114" t="str">
        <f t="shared" si="74"/>
        <v/>
      </c>
      <c r="I5416" s="17"/>
      <c r="J5416" s="17"/>
      <c r="K5416" s="17"/>
    </row>
    <row r="5417" spans="1:11" x14ac:dyDescent="0.2">
      <c r="A5417" s="115"/>
      <c r="B5417" s="95"/>
      <c r="C5417" s="94"/>
      <c r="D5417" s="95"/>
      <c r="E5417" s="95"/>
      <c r="F5417" s="96"/>
      <c r="G5417" s="97"/>
      <c r="H5417" s="114" t="str">
        <f t="shared" si="74"/>
        <v/>
      </c>
      <c r="I5417" s="17"/>
      <c r="J5417" s="17"/>
      <c r="K5417" s="17"/>
    </row>
    <row r="5418" spans="1:11" x14ac:dyDescent="0.2">
      <c r="A5418" s="115"/>
      <c r="B5418" s="95"/>
      <c r="C5418" s="94"/>
      <c r="D5418" s="95"/>
      <c r="E5418" s="95"/>
      <c r="F5418" s="96"/>
      <c r="G5418" s="97"/>
      <c r="H5418" s="114" t="str">
        <f t="shared" si="74"/>
        <v/>
      </c>
      <c r="I5418" s="17"/>
      <c r="J5418" s="17"/>
      <c r="K5418" s="17"/>
    </row>
    <row r="5419" spans="1:11" x14ac:dyDescent="0.2">
      <c r="A5419" s="115"/>
      <c r="B5419" s="95"/>
      <c r="C5419" s="94"/>
      <c r="D5419" s="95"/>
      <c r="E5419" s="95"/>
      <c r="F5419" s="96"/>
      <c r="G5419" s="97"/>
      <c r="H5419" s="114" t="str">
        <f t="shared" si="74"/>
        <v/>
      </c>
      <c r="I5419" s="17"/>
      <c r="J5419" s="17"/>
      <c r="K5419" s="17"/>
    </row>
    <row r="5420" spans="1:11" x14ac:dyDescent="0.2">
      <c r="A5420" s="115"/>
      <c r="B5420" s="95"/>
      <c r="C5420" s="94"/>
      <c r="D5420" s="95"/>
      <c r="E5420" s="95"/>
      <c r="F5420" s="96"/>
      <c r="G5420" s="97"/>
      <c r="H5420" s="114" t="str">
        <f t="shared" si="74"/>
        <v/>
      </c>
      <c r="I5420" s="17"/>
      <c r="J5420" s="17"/>
      <c r="K5420" s="17"/>
    </row>
    <row r="5421" spans="1:11" x14ac:dyDescent="0.2">
      <c r="A5421" s="115"/>
      <c r="B5421" s="95"/>
      <c r="C5421" s="94"/>
      <c r="D5421" s="95"/>
      <c r="E5421" s="95"/>
      <c r="F5421" s="96"/>
      <c r="G5421" s="97"/>
      <c r="H5421" s="114" t="str">
        <f t="shared" si="74"/>
        <v/>
      </c>
      <c r="I5421" s="17"/>
      <c r="J5421" s="17"/>
      <c r="K5421" s="17"/>
    </row>
    <row r="5422" spans="1:11" x14ac:dyDescent="0.2">
      <c r="A5422" s="115"/>
      <c r="B5422" s="95"/>
      <c r="C5422" s="94"/>
      <c r="D5422" s="95"/>
      <c r="E5422" s="95"/>
      <c r="F5422" s="96"/>
      <c r="G5422" s="97"/>
      <c r="H5422" s="114" t="str">
        <f t="shared" si="74"/>
        <v/>
      </c>
      <c r="I5422" s="17"/>
      <c r="J5422" s="17"/>
      <c r="K5422" s="17"/>
    </row>
    <row r="5423" spans="1:11" x14ac:dyDescent="0.2">
      <c r="A5423" s="115"/>
      <c r="B5423" s="95"/>
      <c r="C5423" s="94"/>
      <c r="D5423" s="95"/>
      <c r="E5423" s="95"/>
      <c r="F5423" s="96"/>
      <c r="G5423" s="97"/>
      <c r="H5423" s="114" t="str">
        <f t="shared" si="74"/>
        <v/>
      </c>
      <c r="I5423" s="17"/>
      <c r="J5423" s="17"/>
      <c r="K5423" s="17"/>
    </row>
    <row r="5424" spans="1:11" x14ac:dyDescent="0.2">
      <c r="A5424" s="115"/>
      <c r="B5424" s="95"/>
      <c r="C5424" s="94"/>
      <c r="D5424" s="95"/>
      <c r="E5424" s="95"/>
      <c r="F5424" s="96"/>
      <c r="G5424" s="97"/>
      <c r="H5424" s="114" t="str">
        <f t="shared" si="74"/>
        <v/>
      </c>
      <c r="I5424" s="17"/>
      <c r="J5424" s="17"/>
      <c r="K5424" s="17"/>
    </row>
    <row r="5425" spans="1:11" x14ac:dyDescent="0.2">
      <c r="A5425" s="115"/>
      <c r="B5425" s="95"/>
      <c r="C5425" s="94"/>
      <c r="D5425" s="95"/>
      <c r="E5425" s="95"/>
      <c r="F5425" s="96"/>
      <c r="G5425" s="97"/>
      <c r="H5425" s="114" t="str">
        <f t="shared" si="74"/>
        <v/>
      </c>
      <c r="I5425" s="17"/>
      <c r="J5425" s="17"/>
      <c r="K5425" s="17"/>
    </row>
    <row r="5426" spans="1:11" x14ac:dyDescent="0.2">
      <c r="A5426" s="115"/>
      <c r="B5426" s="95"/>
      <c r="C5426" s="94"/>
      <c r="D5426" s="95"/>
      <c r="E5426" s="95"/>
      <c r="F5426" s="96"/>
      <c r="G5426" s="97"/>
      <c r="H5426" s="114" t="str">
        <f t="shared" si="74"/>
        <v/>
      </c>
      <c r="I5426" s="17"/>
      <c r="J5426" s="17"/>
      <c r="K5426" s="17"/>
    </row>
    <row r="5427" spans="1:11" x14ac:dyDescent="0.2">
      <c r="A5427" s="115"/>
      <c r="B5427" s="95"/>
      <c r="C5427" s="94"/>
      <c r="D5427" s="95"/>
      <c r="E5427" s="95"/>
      <c r="F5427" s="96"/>
      <c r="G5427" s="97"/>
      <c r="H5427" s="114" t="str">
        <f t="shared" si="74"/>
        <v/>
      </c>
      <c r="I5427" s="17"/>
      <c r="J5427" s="17"/>
      <c r="K5427" s="17"/>
    </row>
    <row r="5428" spans="1:11" x14ac:dyDescent="0.2">
      <c r="A5428" s="115"/>
      <c r="B5428" s="95"/>
      <c r="C5428" s="94"/>
      <c r="D5428" s="95"/>
      <c r="E5428" s="95"/>
      <c r="F5428" s="96"/>
      <c r="G5428" s="97"/>
      <c r="H5428" s="114" t="str">
        <f t="shared" si="74"/>
        <v/>
      </c>
      <c r="I5428" s="17"/>
      <c r="J5428" s="17"/>
      <c r="K5428" s="17"/>
    </row>
    <row r="5429" spans="1:11" x14ac:dyDescent="0.2">
      <c r="A5429" s="115"/>
      <c r="B5429" s="95"/>
      <c r="C5429" s="94"/>
      <c r="D5429" s="95"/>
      <c r="E5429" s="95"/>
      <c r="F5429" s="96"/>
      <c r="G5429" s="97"/>
      <c r="H5429" s="114" t="str">
        <f t="shared" si="74"/>
        <v/>
      </c>
      <c r="I5429" s="17"/>
      <c r="J5429" s="17"/>
      <c r="K5429" s="17"/>
    </row>
    <row r="5430" spans="1:11" x14ac:dyDescent="0.2">
      <c r="A5430" s="115"/>
      <c r="B5430" s="95"/>
      <c r="C5430" s="94"/>
      <c r="D5430" s="95"/>
      <c r="E5430" s="95"/>
      <c r="F5430" s="96"/>
      <c r="G5430" s="97"/>
      <c r="H5430" s="114" t="str">
        <f t="shared" si="74"/>
        <v/>
      </c>
      <c r="I5430" s="17"/>
      <c r="J5430" s="17"/>
      <c r="K5430" s="17"/>
    </row>
    <row r="5431" spans="1:11" x14ac:dyDescent="0.2">
      <c r="A5431" s="115"/>
      <c r="B5431" s="95"/>
      <c r="C5431" s="94"/>
      <c r="D5431" s="95"/>
      <c r="E5431" s="95"/>
      <c r="F5431" s="96"/>
      <c r="G5431" s="97"/>
      <c r="H5431" s="114" t="str">
        <f t="shared" si="74"/>
        <v/>
      </c>
      <c r="I5431" s="17"/>
      <c r="J5431" s="17"/>
      <c r="K5431" s="17"/>
    </row>
    <row r="5432" spans="1:11" x14ac:dyDescent="0.2">
      <c r="A5432" s="115"/>
      <c r="B5432" s="95"/>
      <c r="C5432" s="94"/>
      <c r="D5432" s="95"/>
      <c r="E5432" s="95"/>
      <c r="F5432" s="96"/>
      <c r="G5432" s="97"/>
      <c r="H5432" s="114" t="str">
        <f t="shared" si="74"/>
        <v/>
      </c>
      <c r="I5432" s="17"/>
      <c r="J5432" s="17"/>
      <c r="K5432" s="17"/>
    </row>
    <row r="5433" spans="1:11" x14ac:dyDescent="0.2">
      <c r="A5433" s="115"/>
      <c r="B5433" s="95"/>
      <c r="C5433" s="94"/>
      <c r="D5433" s="95"/>
      <c r="E5433" s="95"/>
      <c r="F5433" s="96"/>
      <c r="G5433" s="97"/>
      <c r="H5433" s="114" t="str">
        <f t="shared" si="74"/>
        <v/>
      </c>
      <c r="I5433" s="17"/>
      <c r="J5433" s="17"/>
      <c r="K5433" s="17"/>
    </row>
    <row r="5434" spans="1:11" x14ac:dyDescent="0.2">
      <c r="A5434" s="115"/>
      <c r="B5434" s="95"/>
      <c r="C5434" s="94"/>
      <c r="D5434" s="95"/>
      <c r="E5434" s="95"/>
      <c r="F5434" s="96"/>
      <c r="G5434" s="97"/>
      <c r="H5434" s="114" t="str">
        <f t="shared" si="74"/>
        <v/>
      </c>
      <c r="I5434" s="17"/>
      <c r="J5434" s="17"/>
      <c r="K5434" s="17"/>
    </row>
    <row r="5435" spans="1:11" x14ac:dyDescent="0.2">
      <c r="A5435" s="115"/>
      <c r="B5435" s="95"/>
      <c r="C5435" s="94"/>
      <c r="D5435" s="95"/>
      <c r="E5435" s="95"/>
      <c r="F5435" s="96"/>
      <c r="G5435" s="97"/>
      <c r="H5435" s="114" t="str">
        <f t="shared" si="74"/>
        <v/>
      </c>
      <c r="I5435" s="17"/>
      <c r="J5435" s="17"/>
      <c r="K5435" s="17"/>
    </row>
    <row r="5436" spans="1:11" x14ac:dyDescent="0.2">
      <c r="A5436" s="115"/>
      <c r="B5436" s="95"/>
      <c r="C5436" s="94"/>
      <c r="D5436" s="95"/>
      <c r="E5436" s="95"/>
      <c r="F5436" s="96"/>
      <c r="G5436" s="97"/>
      <c r="H5436" s="114" t="str">
        <f t="shared" si="74"/>
        <v/>
      </c>
      <c r="I5436" s="17"/>
      <c r="J5436" s="17"/>
      <c r="K5436" s="17"/>
    </row>
    <row r="5437" spans="1:11" x14ac:dyDescent="0.2">
      <c r="A5437" s="115"/>
      <c r="B5437" s="95"/>
      <c r="C5437" s="94"/>
      <c r="D5437" s="95"/>
      <c r="E5437" s="95"/>
      <c r="F5437" s="96"/>
      <c r="G5437" s="97"/>
      <c r="H5437" s="114" t="str">
        <f t="shared" si="74"/>
        <v/>
      </c>
      <c r="I5437" s="17"/>
      <c r="J5437" s="17"/>
      <c r="K5437" s="17"/>
    </row>
    <row r="5438" spans="1:11" x14ac:dyDescent="0.2">
      <c r="A5438" s="115"/>
      <c r="B5438" s="95"/>
      <c r="C5438" s="94"/>
      <c r="D5438" s="95"/>
      <c r="E5438" s="95"/>
      <c r="F5438" s="96"/>
      <c r="G5438" s="97"/>
      <c r="H5438" s="114" t="str">
        <f t="shared" si="74"/>
        <v/>
      </c>
      <c r="I5438" s="17"/>
      <c r="J5438" s="17"/>
      <c r="K5438" s="17"/>
    </row>
    <row r="5439" spans="1:11" x14ac:dyDescent="0.2">
      <c r="A5439" s="115"/>
      <c r="B5439" s="95"/>
      <c r="C5439" s="94"/>
      <c r="D5439" s="95"/>
      <c r="E5439" s="95"/>
      <c r="F5439" s="96"/>
      <c r="G5439" s="97"/>
      <c r="H5439" s="114" t="str">
        <f t="shared" si="74"/>
        <v/>
      </c>
      <c r="I5439" s="17"/>
      <c r="J5439" s="17"/>
      <c r="K5439" s="17"/>
    </row>
    <row r="5440" spans="1:11" x14ac:dyDescent="0.2">
      <c r="A5440" s="115"/>
      <c r="B5440" s="95"/>
      <c r="C5440" s="94"/>
      <c r="D5440" s="95"/>
      <c r="E5440" s="95"/>
      <c r="F5440" s="96"/>
      <c r="G5440" s="97"/>
      <c r="H5440" s="114" t="str">
        <f t="shared" si="74"/>
        <v/>
      </c>
      <c r="I5440" s="17"/>
      <c r="J5440" s="17"/>
      <c r="K5440" s="17"/>
    </row>
    <row r="5441" spans="1:11" x14ac:dyDescent="0.2">
      <c r="A5441" s="115"/>
      <c r="B5441" s="95"/>
      <c r="C5441" s="94"/>
      <c r="D5441" s="95"/>
      <c r="E5441" s="95"/>
      <c r="F5441" s="96"/>
      <c r="G5441" s="97"/>
      <c r="H5441" s="114" t="str">
        <f t="shared" si="74"/>
        <v/>
      </c>
      <c r="I5441" s="17"/>
      <c r="J5441" s="17"/>
      <c r="K5441" s="17"/>
    </row>
    <row r="5442" spans="1:11" x14ac:dyDescent="0.2">
      <c r="A5442" s="115"/>
      <c r="B5442" s="95"/>
      <c r="C5442" s="94"/>
      <c r="D5442" s="95"/>
      <c r="E5442" s="95"/>
      <c r="F5442" s="96"/>
      <c r="G5442" s="97"/>
      <c r="H5442" s="114" t="str">
        <f t="shared" si="74"/>
        <v/>
      </c>
      <c r="I5442" s="17"/>
      <c r="J5442" s="17"/>
      <c r="K5442" s="17"/>
    </row>
    <row r="5443" spans="1:11" x14ac:dyDescent="0.2">
      <c r="A5443" s="115"/>
      <c r="B5443" s="95"/>
      <c r="C5443" s="94"/>
      <c r="D5443" s="95"/>
      <c r="E5443" s="95"/>
      <c r="F5443" s="96"/>
      <c r="G5443" s="97"/>
      <c r="H5443" s="114" t="str">
        <f t="shared" si="74"/>
        <v/>
      </c>
      <c r="I5443" s="17"/>
      <c r="J5443" s="17"/>
      <c r="K5443" s="17"/>
    </row>
    <row r="5444" spans="1:11" x14ac:dyDescent="0.2">
      <c r="A5444" s="115"/>
      <c r="B5444" s="95"/>
      <c r="C5444" s="94"/>
      <c r="D5444" s="95"/>
      <c r="E5444" s="95"/>
      <c r="F5444" s="96"/>
      <c r="G5444" s="97"/>
      <c r="H5444" s="114" t="str">
        <f t="shared" ref="H5444:H5507" si="75">IF(A5444&lt;&gt;"", EOMONTH(A5444, -1) + 1, "")</f>
        <v/>
      </c>
      <c r="I5444" s="17"/>
      <c r="J5444" s="17"/>
      <c r="K5444" s="17"/>
    </row>
    <row r="5445" spans="1:11" x14ac:dyDescent="0.2">
      <c r="A5445" s="115"/>
      <c r="B5445" s="95"/>
      <c r="C5445" s="94"/>
      <c r="D5445" s="95"/>
      <c r="E5445" s="95"/>
      <c r="F5445" s="96"/>
      <c r="G5445" s="97"/>
      <c r="H5445" s="114" t="str">
        <f t="shared" si="75"/>
        <v/>
      </c>
      <c r="I5445" s="17"/>
      <c r="J5445" s="17"/>
      <c r="K5445" s="17"/>
    </row>
    <row r="5446" spans="1:11" x14ac:dyDescent="0.2">
      <c r="A5446" s="115"/>
      <c r="B5446" s="95"/>
      <c r="C5446" s="94"/>
      <c r="D5446" s="95"/>
      <c r="E5446" s="95"/>
      <c r="F5446" s="96"/>
      <c r="G5446" s="97"/>
      <c r="H5446" s="114" t="str">
        <f t="shared" si="75"/>
        <v/>
      </c>
      <c r="I5446" s="17"/>
      <c r="J5446" s="17"/>
      <c r="K5446" s="17"/>
    </row>
    <row r="5447" spans="1:11" x14ac:dyDescent="0.2">
      <c r="A5447" s="115"/>
      <c r="B5447" s="95"/>
      <c r="C5447" s="94"/>
      <c r="D5447" s="95"/>
      <c r="E5447" s="95"/>
      <c r="F5447" s="96"/>
      <c r="G5447" s="97"/>
      <c r="H5447" s="114" t="str">
        <f t="shared" si="75"/>
        <v/>
      </c>
      <c r="I5447" s="17"/>
      <c r="J5447" s="17"/>
      <c r="K5447" s="17"/>
    </row>
    <row r="5448" spans="1:11" x14ac:dyDescent="0.2">
      <c r="A5448" s="115"/>
      <c r="B5448" s="95"/>
      <c r="C5448" s="94"/>
      <c r="D5448" s="95"/>
      <c r="E5448" s="95"/>
      <c r="F5448" s="96"/>
      <c r="G5448" s="97"/>
      <c r="H5448" s="114" t="str">
        <f t="shared" si="75"/>
        <v/>
      </c>
      <c r="I5448" s="17"/>
      <c r="J5448" s="17"/>
      <c r="K5448" s="17"/>
    </row>
    <row r="5449" spans="1:11" x14ac:dyDescent="0.2">
      <c r="A5449" s="115"/>
      <c r="B5449" s="95"/>
      <c r="C5449" s="94"/>
      <c r="D5449" s="95"/>
      <c r="E5449" s="95"/>
      <c r="F5449" s="96"/>
      <c r="G5449" s="97"/>
      <c r="H5449" s="114" t="str">
        <f t="shared" si="75"/>
        <v/>
      </c>
      <c r="I5449" s="17"/>
      <c r="J5449" s="17"/>
      <c r="K5449" s="17"/>
    </row>
    <row r="5450" spans="1:11" x14ac:dyDescent="0.2">
      <c r="A5450" s="115"/>
      <c r="B5450" s="95"/>
      <c r="C5450" s="94"/>
      <c r="D5450" s="95"/>
      <c r="E5450" s="95"/>
      <c r="F5450" s="96"/>
      <c r="G5450" s="97"/>
      <c r="H5450" s="114" t="str">
        <f t="shared" si="75"/>
        <v/>
      </c>
      <c r="I5450" s="17"/>
      <c r="J5450" s="17"/>
      <c r="K5450" s="17"/>
    </row>
    <row r="5451" spans="1:11" x14ac:dyDescent="0.2">
      <c r="A5451" s="115"/>
      <c r="B5451" s="95"/>
      <c r="C5451" s="94"/>
      <c r="D5451" s="95"/>
      <c r="E5451" s="95"/>
      <c r="F5451" s="96"/>
      <c r="G5451" s="97"/>
      <c r="H5451" s="114" t="str">
        <f t="shared" si="75"/>
        <v/>
      </c>
      <c r="I5451" s="17"/>
      <c r="J5451" s="17"/>
      <c r="K5451" s="17"/>
    </row>
    <row r="5452" spans="1:11" x14ac:dyDescent="0.2">
      <c r="A5452" s="115"/>
      <c r="B5452" s="95"/>
      <c r="C5452" s="94"/>
      <c r="D5452" s="95"/>
      <c r="E5452" s="95"/>
      <c r="F5452" s="96"/>
      <c r="G5452" s="97"/>
      <c r="H5452" s="114" t="str">
        <f t="shared" si="75"/>
        <v/>
      </c>
      <c r="I5452" s="17"/>
      <c r="J5452" s="17"/>
      <c r="K5452" s="17"/>
    </row>
    <row r="5453" spans="1:11" x14ac:dyDescent="0.2">
      <c r="A5453" s="115"/>
      <c r="B5453" s="95"/>
      <c r="C5453" s="94"/>
      <c r="D5453" s="95"/>
      <c r="E5453" s="95"/>
      <c r="F5453" s="96"/>
      <c r="G5453" s="97"/>
      <c r="H5453" s="114" t="str">
        <f t="shared" si="75"/>
        <v/>
      </c>
      <c r="I5453" s="17"/>
      <c r="J5453" s="17"/>
      <c r="K5453" s="17"/>
    </row>
    <row r="5454" spans="1:11" x14ac:dyDescent="0.2">
      <c r="A5454" s="115"/>
      <c r="B5454" s="95"/>
      <c r="C5454" s="94"/>
      <c r="D5454" s="95"/>
      <c r="E5454" s="95"/>
      <c r="F5454" s="96"/>
      <c r="G5454" s="97"/>
      <c r="H5454" s="114" t="str">
        <f t="shared" si="75"/>
        <v/>
      </c>
      <c r="I5454" s="17"/>
      <c r="J5454" s="17"/>
      <c r="K5454" s="17"/>
    </row>
    <row r="5455" spans="1:11" x14ac:dyDescent="0.2">
      <c r="A5455" s="115"/>
      <c r="B5455" s="95"/>
      <c r="C5455" s="94"/>
      <c r="D5455" s="95"/>
      <c r="E5455" s="95"/>
      <c r="F5455" s="96"/>
      <c r="G5455" s="97"/>
      <c r="H5455" s="114" t="str">
        <f t="shared" si="75"/>
        <v/>
      </c>
      <c r="I5455" s="17"/>
      <c r="J5455" s="17"/>
      <c r="K5455" s="17"/>
    </row>
    <row r="5456" spans="1:11" x14ac:dyDescent="0.2">
      <c r="A5456" s="115"/>
      <c r="B5456" s="95"/>
      <c r="C5456" s="94"/>
      <c r="D5456" s="95"/>
      <c r="E5456" s="95"/>
      <c r="F5456" s="96"/>
      <c r="G5456" s="97"/>
      <c r="H5456" s="114" t="str">
        <f t="shared" si="75"/>
        <v/>
      </c>
      <c r="I5456" s="17"/>
      <c r="J5456" s="17"/>
      <c r="K5456" s="17"/>
    </row>
    <row r="5457" spans="1:11" x14ac:dyDescent="0.2">
      <c r="A5457" s="115"/>
      <c r="B5457" s="95"/>
      <c r="C5457" s="94"/>
      <c r="D5457" s="95"/>
      <c r="E5457" s="95"/>
      <c r="F5457" s="96"/>
      <c r="G5457" s="97"/>
      <c r="H5457" s="114" t="str">
        <f t="shared" si="75"/>
        <v/>
      </c>
      <c r="I5457" s="17"/>
      <c r="J5457" s="17"/>
      <c r="K5457" s="17"/>
    </row>
    <row r="5458" spans="1:11" x14ac:dyDescent="0.2">
      <c r="A5458" s="115"/>
      <c r="B5458" s="95"/>
      <c r="C5458" s="94"/>
      <c r="D5458" s="95"/>
      <c r="E5458" s="95"/>
      <c r="F5458" s="96"/>
      <c r="G5458" s="97"/>
      <c r="H5458" s="114" t="str">
        <f t="shared" si="75"/>
        <v/>
      </c>
      <c r="I5458" s="17"/>
      <c r="J5458" s="17"/>
      <c r="K5458" s="17"/>
    </row>
    <row r="5459" spans="1:11" x14ac:dyDescent="0.2">
      <c r="A5459" s="115"/>
      <c r="B5459" s="95"/>
      <c r="C5459" s="94"/>
      <c r="D5459" s="95"/>
      <c r="E5459" s="95"/>
      <c r="F5459" s="96"/>
      <c r="G5459" s="97"/>
      <c r="H5459" s="114" t="str">
        <f t="shared" si="75"/>
        <v/>
      </c>
      <c r="I5459" s="17"/>
      <c r="J5459" s="17"/>
      <c r="K5459" s="17"/>
    </row>
    <row r="5460" spans="1:11" x14ac:dyDescent="0.2">
      <c r="A5460" s="115"/>
      <c r="B5460" s="95"/>
      <c r="C5460" s="94"/>
      <c r="D5460" s="95"/>
      <c r="E5460" s="95"/>
      <c r="F5460" s="96"/>
      <c r="G5460" s="97"/>
      <c r="H5460" s="114" t="str">
        <f t="shared" si="75"/>
        <v/>
      </c>
      <c r="I5460" s="17"/>
      <c r="J5460" s="17"/>
      <c r="K5460" s="17"/>
    </row>
    <row r="5461" spans="1:11" x14ac:dyDescent="0.2">
      <c r="A5461" s="115"/>
      <c r="B5461" s="95"/>
      <c r="C5461" s="94"/>
      <c r="D5461" s="95"/>
      <c r="E5461" s="95"/>
      <c r="F5461" s="96"/>
      <c r="G5461" s="97"/>
      <c r="H5461" s="114" t="str">
        <f t="shared" si="75"/>
        <v/>
      </c>
      <c r="I5461" s="17"/>
      <c r="J5461" s="17"/>
      <c r="K5461" s="17"/>
    </row>
    <row r="5462" spans="1:11" x14ac:dyDescent="0.2">
      <c r="A5462" s="115"/>
      <c r="B5462" s="95"/>
      <c r="C5462" s="94"/>
      <c r="D5462" s="95"/>
      <c r="E5462" s="95"/>
      <c r="F5462" s="96"/>
      <c r="G5462" s="97"/>
      <c r="H5462" s="114" t="str">
        <f t="shared" si="75"/>
        <v/>
      </c>
      <c r="I5462" s="17"/>
      <c r="J5462" s="17"/>
      <c r="K5462" s="17"/>
    </row>
    <row r="5463" spans="1:11" x14ac:dyDescent="0.2">
      <c r="A5463" s="115"/>
      <c r="B5463" s="95"/>
      <c r="C5463" s="94"/>
      <c r="D5463" s="95"/>
      <c r="E5463" s="95"/>
      <c r="F5463" s="96"/>
      <c r="G5463" s="97"/>
      <c r="H5463" s="114" t="str">
        <f t="shared" si="75"/>
        <v/>
      </c>
      <c r="I5463" s="17"/>
      <c r="J5463" s="17"/>
      <c r="K5463" s="17"/>
    </row>
    <row r="5464" spans="1:11" x14ac:dyDescent="0.2">
      <c r="A5464" s="115"/>
      <c r="B5464" s="95"/>
      <c r="C5464" s="94"/>
      <c r="D5464" s="95"/>
      <c r="E5464" s="95"/>
      <c r="F5464" s="96"/>
      <c r="G5464" s="97"/>
      <c r="H5464" s="114" t="str">
        <f t="shared" si="75"/>
        <v/>
      </c>
      <c r="I5464" s="17"/>
      <c r="J5464" s="17"/>
      <c r="K5464" s="17"/>
    </row>
    <row r="5465" spans="1:11" x14ac:dyDescent="0.2">
      <c r="A5465" s="115"/>
      <c r="B5465" s="95"/>
      <c r="C5465" s="94"/>
      <c r="D5465" s="95"/>
      <c r="E5465" s="95"/>
      <c r="F5465" s="96"/>
      <c r="G5465" s="97"/>
      <c r="H5465" s="114" t="str">
        <f t="shared" si="75"/>
        <v/>
      </c>
      <c r="I5465" s="17"/>
      <c r="J5465" s="17"/>
      <c r="K5465" s="17"/>
    </row>
    <row r="5466" spans="1:11" x14ac:dyDescent="0.2">
      <c r="A5466" s="115"/>
      <c r="B5466" s="95"/>
      <c r="C5466" s="94"/>
      <c r="D5466" s="95"/>
      <c r="E5466" s="95"/>
      <c r="F5466" s="96"/>
      <c r="G5466" s="97"/>
      <c r="H5466" s="114" t="str">
        <f t="shared" si="75"/>
        <v/>
      </c>
      <c r="I5466" s="17"/>
      <c r="J5466" s="17"/>
      <c r="K5466" s="17"/>
    </row>
    <row r="5467" spans="1:11" x14ac:dyDescent="0.2">
      <c r="A5467" s="115"/>
      <c r="B5467" s="95"/>
      <c r="C5467" s="94"/>
      <c r="D5467" s="95"/>
      <c r="E5467" s="95"/>
      <c r="F5467" s="96"/>
      <c r="G5467" s="97"/>
      <c r="H5467" s="114" t="str">
        <f t="shared" si="75"/>
        <v/>
      </c>
      <c r="I5467" s="17"/>
      <c r="J5467" s="17"/>
      <c r="K5467" s="17"/>
    </row>
    <row r="5468" spans="1:11" x14ac:dyDescent="0.2">
      <c r="A5468" s="115"/>
      <c r="B5468" s="95"/>
      <c r="C5468" s="94"/>
      <c r="D5468" s="95"/>
      <c r="E5468" s="95"/>
      <c r="F5468" s="96"/>
      <c r="G5468" s="97"/>
      <c r="H5468" s="114" t="str">
        <f t="shared" si="75"/>
        <v/>
      </c>
      <c r="I5468" s="17"/>
      <c r="J5468" s="17"/>
      <c r="K5468" s="17"/>
    </row>
    <row r="5469" spans="1:11" x14ac:dyDescent="0.2">
      <c r="A5469" s="115"/>
      <c r="B5469" s="95"/>
      <c r="C5469" s="94"/>
      <c r="D5469" s="95"/>
      <c r="E5469" s="95"/>
      <c r="F5469" s="96"/>
      <c r="G5469" s="97"/>
      <c r="H5469" s="114" t="str">
        <f t="shared" si="75"/>
        <v/>
      </c>
      <c r="I5469" s="17"/>
      <c r="J5469" s="17"/>
      <c r="K5469" s="17"/>
    </row>
    <row r="5470" spans="1:11" x14ac:dyDescent="0.2">
      <c r="A5470" s="115"/>
      <c r="B5470" s="95"/>
      <c r="C5470" s="94"/>
      <c r="D5470" s="95"/>
      <c r="E5470" s="95"/>
      <c r="F5470" s="96"/>
      <c r="G5470" s="97"/>
      <c r="H5470" s="114" t="str">
        <f t="shared" si="75"/>
        <v/>
      </c>
      <c r="I5470" s="17"/>
      <c r="J5470" s="17"/>
      <c r="K5470" s="17"/>
    </row>
    <row r="5471" spans="1:11" x14ac:dyDescent="0.2">
      <c r="A5471" s="115"/>
      <c r="B5471" s="95"/>
      <c r="C5471" s="94"/>
      <c r="D5471" s="95"/>
      <c r="E5471" s="95"/>
      <c r="F5471" s="96"/>
      <c r="G5471" s="97"/>
      <c r="H5471" s="114" t="str">
        <f t="shared" si="75"/>
        <v/>
      </c>
      <c r="I5471" s="17"/>
      <c r="J5471" s="17"/>
      <c r="K5471" s="17"/>
    </row>
    <row r="5472" spans="1:11" x14ac:dyDescent="0.2">
      <c r="A5472" s="115"/>
      <c r="B5472" s="95"/>
      <c r="C5472" s="94"/>
      <c r="D5472" s="95"/>
      <c r="E5472" s="95"/>
      <c r="F5472" s="96"/>
      <c r="G5472" s="97"/>
      <c r="H5472" s="114" t="str">
        <f t="shared" si="75"/>
        <v/>
      </c>
      <c r="I5472" s="17"/>
      <c r="J5472" s="17"/>
      <c r="K5472" s="17"/>
    </row>
    <row r="5473" spans="1:11" x14ac:dyDescent="0.2">
      <c r="A5473" s="115"/>
      <c r="B5473" s="95"/>
      <c r="C5473" s="94"/>
      <c r="D5473" s="95"/>
      <c r="E5473" s="95"/>
      <c r="F5473" s="96"/>
      <c r="G5473" s="97"/>
      <c r="H5473" s="114" t="str">
        <f t="shared" si="75"/>
        <v/>
      </c>
      <c r="I5473" s="17"/>
      <c r="J5473" s="17"/>
      <c r="K5473" s="17"/>
    </row>
    <row r="5474" spans="1:11" x14ac:dyDescent="0.2">
      <c r="A5474" s="115"/>
      <c r="B5474" s="95"/>
      <c r="C5474" s="94"/>
      <c r="D5474" s="95"/>
      <c r="E5474" s="95"/>
      <c r="F5474" s="96"/>
      <c r="G5474" s="97"/>
      <c r="H5474" s="114" t="str">
        <f t="shared" si="75"/>
        <v/>
      </c>
      <c r="I5474" s="17"/>
      <c r="J5474" s="17"/>
      <c r="K5474" s="17"/>
    </row>
    <row r="5475" spans="1:11" x14ac:dyDescent="0.2">
      <c r="A5475" s="115"/>
      <c r="B5475" s="95"/>
      <c r="C5475" s="94"/>
      <c r="D5475" s="95"/>
      <c r="E5475" s="95"/>
      <c r="F5475" s="96"/>
      <c r="G5475" s="97"/>
      <c r="H5475" s="114" t="str">
        <f t="shared" si="75"/>
        <v/>
      </c>
      <c r="I5475" s="17"/>
      <c r="J5475" s="17"/>
      <c r="K5475" s="17"/>
    </row>
    <row r="5476" spans="1:11" x14ac:dyDescent="0.2">
      <c r="A5476" s="115"/>
      <c r="B5476" s="95"/>
      <c r="C5476" s="94"/>
      <c r="D5476" s="95"/>
      <c r="E5476" s="95"/>
      <c r="F5476" s="96"/>
      <c r="G5476" s="97"/>
      <c r="H5476" s="114" t="str">
        <f t="shared" si="75"/>
        <v/>
      </c>
      <c r="I5476" s="17"/>
      <c r="J5476" s="17"/>
      <c r="K5476" s="17"/>
    </row>
    <row r="5477" spans="1:11" x14ac:dyDescent="0.2">
      <c r="A5477" s="115"/>
      <c r="B5477" s="95"/>
      <c r="C5477" s="94"/>
      <c r="D5477" s="95"/>
      <c r="E5477" s="95"/>
      <c r="F5477" s="96"/>
      <c r="G5477" s="97"/>
      <c r="H5477" s="114" t="str">
        <f t="shared" si="75"/>
        <v/>
      </c>
      <c r="I5477" s="17"/>
      <c r="J5477" s="17"/>
      <c r="K5477" s="17"/>
    </row>
    <row r="5478" spans="1:11" x14ac:dyDescent="0.2">
      <c r="A5478" s="115"/>
      <c r="B5478" s="95"/>
      <c r="C5478" s="94"/>
      <c r="D5478" s="95"/>
      <c r="E5478" s="95"/>
      <c r="F5478" s="96"/>
      <c r="G5478" s="97"/>
      <c r="H5478" s="114" t="str">
        <f t="shared" si="75"/>
        <v/>
      </c>
      <c r="I5478" s="17"/>
      <c r="J5478" s="17"/>
      <c r="K5478" s="17"/>
    </row>
    <row r="5479" spans="1:11" x14ac:dyDescent="0.2">
      <c r="A5479" s="115"/>
      <c r="B5479" s="95"/>
      <c r="C5479" s="94"/>
      <c r="D5479" s="95"/>
      <c r="E5479" s="95"/>
      <c r="F5479" s="96"/>
      <c r="G5479" s="97"/>
      <c r="H5479" s="114" t="str">
        <f t="shared" si="75"/>
        <v/>
      </c>
      <c r="I5479" s="17"/>
      <c r="J5479" s="17"/>
      <c r="K5479" s="17"/>
    </row>
    <row r="5480" spans="1:11" x14ac:dyDescent="0.2">
      <c r="A5480" s="115"/>
      <c r="B5480" s="95"/>
      <c r="C5480" s="94"/>
      <c r="D5480" s="95"/>
      <c r="E5480" s="95"/>
      <c r="F5480" s="96"/>
      <c r="G5480" s="97"/>
      <c r="H5480" s="114" t="str">
        <f t="shared" si="75"/>
        <v/>
      </c>
      <c r="I5480" s="17"/>
      <c r="J5480" s="17"/>
      <c r="K5480" s="17"/>
    </row>
    <row r="5481" spans="1:11" x14ac:dyDescent="0.2">
      <c r="A5481" s="115"/>
      <c r="B5481" s="95"/>
      <c r="C5481" s="94"/>
      <c r="D5481" s="95"/>
      <c r="E5481" s="95"/>
      <c r="F5481" s="96"/>
      <c r="G5481" s="97"/>
      <c r="H5481" s="114" t="str">
        <f t="shared" si="75"/>
        <v/>
      </c>
      <c r="I5481" s="17"/>
      <c r="J5481" s="17"/>
      <c r="K5481" s="17"/>
    </row>
    <row r="5482" spans="1:11" x14ac:dyDescent="0.2">
      <c r="A5482" s="115"/>
      <c r="B5482" s="95"/>
      <c r="C5482" s="94"/>
      <c r="D5482" s="95"/>
      <c r="E5482" s="95"/>
      <c r="F5482" s="96"/>
      <c r="G5482" s="97"/>
      <c r="H5482" s="114" t="str">
        <f t="shared" si="75"/>
        <v/>
      </c>
      <c r="I5482" s="17"/>
      <c r="J5482" s="17"/>
      <c r="K5482" s="17"/>
    </row>
    <row r="5483" spans="1:11" x14ac:dyDescent="0.2">
      <c r="A5483" s="115"/>
      <c r="B5483" s="95"/>
      <c r="C5483" s="94"/>
      <c r="D5483" s="95"/>
      <c r="E5483" s="95"/>
      <c r="F5483" s="96"/>
      <c r="G5483" s="97"/>
      <c r="H5483" s="114" t="str">
        <f t="shared" si="75"/>
        <v/>
      </c>
      <c r="I5483" s="17"/>
      <c r="J5483" s="17"/>
      <c r="K5483" s="17"/>
    </row>
    <row r="5484" spans="1:11" x14ac:dyDescent="0.2">
      <c r="A5484" s="115"/>
      <c r="B5484" s="95"/>
      <c r="C5484" s="94"/>
      <c r="D5484" s="95"/>
      <c r="E5484" s="95"/>
      <c r="F5484" s="96"/>
      <c r="G5484" s="97"/>
      <c r="H5484" s="114" t="str">
        <f t="shared" si="75"/>
        <v/>
      </c>
      <c r="I5484" s="17"/>
      <c r="J5484" s="17"/>
      <c r="K5484" s="17"/>
    </row>
    <row r="5485" spans="1:11" x14ac:dyDescent="0.2">
      <c r="A5485" s="115"/>
      <c r="B5485" s="95"/>
      <c r="C5485" s="94"/>
      <c r="D5485" s="95"/>
      <c r="E5485" s="95"/>
      <c r="F5485" s="96"/>
      <c r="G5485" s="97"/>
      <c r="H5485" s="114" t="str">
        <f t="shared" si="75"/>
        <v/>
      </c>
      <c r="I5485" s="17"/>
      <c r="J5485" s="17"/>
      <c r="K5485" s="17"/>
    </row>
    <row r="5486" spans="1:11" x14ac:dyDescent="0.2">
      <c r="A5486" s="115"/>
      <c r="B5486" s="95"/>
      <c r="C5486" s="94"/>
      <c r="D5486" s="95"/>
      <c r="E5486" s="95"/>
      <c r="F5486" s="96"/>
      <c r="G5486" s="97"/>
      <c r="H5486" s="114" t="str">
        <f t="shared" si="75"/>
        <v/>
      </c>
      <c r="I5486" s="17"/>
      <c r="J5486" s="17"/>
      <c r="K5486" s="17"/>
    </row>
    <row r="5487" spans="1:11" x14ac:dyDescent="0.2">
      <c r="A5487" s="115"/>
      <c r="B5487" s="95"/>
      <c r="C5487" s="94"/>
      <c r="D5487" s="95"/>
      <c r="E5487" s="95"/>
      <c r="F5487" s="96"/>
      <c r="G5487" s="97"/>
      <c r="H5487" s="114" t="str">
        <f t="shared" si="75"/>
        <v/>
      </c>
      <c r="I5487" s="17"/>
      <c r="J5487" s="17"/>
      <c r="K5487" s="17"/>
    </row>
    <row r="5488" spans="1:11" x14ac:dyDescent="0.2">
      <c r="A5488" s="115"/>
      <c r="B5488" s="95"/>
      <c r="C5488" s="94"/>
      <c r="D5488" s="95"/>
      <c r="E5488" s="95"/>
      <c r="F5488" s="96"/>
      <c r="G5488" s="97"/>
      <c r="H5488" s="114" t="str">
        <f t="shared" si="75"/>
        <v/>
      </c>
      <c r="I5488" s="17"/>
      <c r="J5488" s="17"/>
      <c r="K5488" s="17"/>
    </row>
    <row r="5489" spans="1:11" x14ac:dyDescent="0.2">
      <c r="A5489" s="115"/>
      <c r="B5489" s="95"/>
      <c r="C5489" s="94"/>
      <c r="D5489" s="95"/>
      <c r="E5489" s="95"/>
      <c r="F5489" s="96"/>
      <c r="G5489" s="97"/>
      <c r="H5489" s="114" t="str">
        <f t="shared" si="75"/>
        <v/>
      </c>
      <c r="I5489" s="17"/>
      <c r="J5489" s="17"/>
      <c r="K5489" s="17"/>
    </row>
    <row r="5490" spans="1:11" x14ac:dyDescent="0.2">
      <c r="A5490" s="115"/>
      <c r="B5490" s="95"/>
      <c r="C5490" s="94"/>
      <c r="D5490" s="95"/>
      <c r="E5490" s="95"/>
      <c r="F5490" s="96"/>
      <c r="G5490" s="97"/>
      <c r="H5490" s="114" t="str">
        <f t="shared" si="75"/>
        <v/>
      </c>
      <c r="I5490" s="17"/>
      <c r="J5490" s="17"/>
      <c r="K5490" s="17"/>
    </row>
    <row r="5491" spans="1:11" x14ac:dyDescent="0.2">
      <c r="A5491" s="115"/>
      <c r="B5491" s="95"/>
      <c r="C5491" s="94"/>
      <c r="D5491" s="95"/>
      <c r="E5491" s="95"/>
      <c r="F5491" s="96"/>
      <c r="G5491" s="97"/>
      <c r="H5491" s="114" t="str">
        <f t="shared" si="75"/>
        <v/>
      </c>
      <c r="I5491" s="17"/>
      <c r="J5491" s="17"/>
      <c r="K5491" s="17"/>
    </row>
    <row r="5492" spans="1:11" x14ac:dyDescent="0.2">
      <c r="A5492" s="115"/>
      <c r="B5492" s="95"/>
      <c r="C5492" s="94"/>
      <c r="D5492" s="95"/>
      <c r="E5492" s="95"/>
      <c r="F5492" s="96"/>
      <c r="G5492" s="97"/>
      <c r="H5492" s="114" t="str">
        <f t="shared" si="75"/>
        <v/>
      </c>
      <c r="I5492" s="17"/>
      <c r="J5492" s="17"/>
      <c r="K5492" s="17"/>
    </row>
    <row r="5493" spans="1:11" x14ac:dyDescent="0.2">
      <c r="A5493" s="115"/>
      <c r="B5493" s="95"/>
      <c r="C5493" s="94"/>
      <c r="D5493" s="95"/>
      <c r="E5493" s="95"/>
      <c r="F5493" s="96"/>
      <c r="G5493" s="97"/>
      <c r="H5493" s="114" t="str">
        <f t="shared" si="75"/>
        <v/>
      </c>
      <c r="I5493" s="17"/>
      <c r="J5493" s="17"/>
      <c r="K5493" s="17"/>
    </row>
    <row r="5494" spans="1:11" x14ac:dyDescent="0.2">
      <c r="A5494" s="115"/>
      <c r="B5494" s="95"/>
      <c r="C5494" s="94"/>
      <c r="D5494" s="95"/>
      <c r="E5494" s="95"/>
      <c r="F5494" s="96"/>
      <c r="G5494" s="97"/>
      <c r="H5494" s="114" t="str">
        <f t="shared" si="75"/>
        <v/>
      </c>
      <c r="I5494" s="17"/>
      <c r="J5494" s="17"/>
      <c r="K5494" s="17"/>
    </row>
    <row r="5495" spans="1:11" x14ac:dyDescent="0.2">
      <c r="A5495" s="115"/>
      <c r="B5495" s="95"/>
      <c r="C5495" s="94"/>
      <c r="D5495" s="95"/>
      <c r="E5495" s="95"/>
      <c r="F5495" s="96"/>
      <c r="G5495" s="97"/>
      <c r="H5495" s="114" t="str">
        <f t="shared" si="75"/>
        <v/>
      </c>
      <c r="I5495" s="17"/>
      <c r="J5495" s="17"/>
      <c r="K5495" s="17"/>
    </row>
    <row r="5496" spans="1:11" x14ac:dyDescent="0.2">
      <c r="A5496" s="115"/>
      <c r="B5496" s="95"/>
      <c r="C5496" s="94"/>
      <c r="D5496" s="95"/>
      <c r="E5496" s="95"/>
      <c r="F5496" s="96"/>
      <c r="G5496" s="97"/>
      <c r="H5496" s="114" t="str">
        <f t="shared" si="75"/>
        <v/>
      </c>
      <c r="I5496" s="17"/>
      <c r="J5496" s="17"/>
      <c r="K5496" s="17"/>
    </row>
    <row r="5497" spans="1:11" x14ac:dyDescent="0.2">
      <c r="A5497" s="115"/>
      <c r="B5497" s="95"/>
      <c r="C5497" s="94"/>
      <c r="D5497" s="95"/>
      <c r="E5497" s="95"/>
      <c r="F5497" s="96"/>
      <c r="G5497" s="97"/>
      <c r="H5497" s="114" t="str">
        <f t="shared" si="75"/>
        <v/>
      </c>
      <c r="I5497" s="17"/>
      <c r="J5497" s="17"/>
      <c r="K5497" s="17"/>
    </row>
    <row r="5498" spans="1:11" x14ac:dyDescent="0.2">
      <c r="A5498" s="115"/>
      <c r="B5498" s="95"/>
      <c r="C5498" s="94"/>
      <c r="D5498" s="95"/>
      <c r="E5498" s="95"/>
      <c r="F5498" s="96"/>
      <c r="G5498" s="97"/>
      <c r="H5498" s="114" t="str">
        <f t="shared" si="75"/>
        <v/>
      </c>
      <c r="I5498" s="17"/>
      <c r="J5498" s="17"/>
      <c r="K5498" s="17"/>
    </row>
    <row r="5499" spans="1:11" x14ac:dyDescent="0.2">
      <c r="A5499" s="115"/>
      <c r="B5499" s="108"/>
      <c r="C5499" s="107"/>
      <c r="D5499" s="108"/>
      <c r="E5499" s="95"/>
      <c r="F5499" s="109"/>
      <c r="G5499" s="110"/>
      <c r="H5499" s="114" t="str">
        <f t="shared" si="75"/>
        <v/>
      </c>
      <c r="I5499" s="17"/>
      <c r="J5499" s="17"/>
      <c r="K5499" s="17"/>
    </row>
    <row r="5500" spans="1:11" x14ac:dyDescent="0.2">
      <c r="A5500" s="115"/>
      <c r="B5500" s="95"/>
      <c r="C5500" s="94"/>
      <c r="D5500" s="95"/>
      <c r="E5500" s="95"/>
      <c r="F5500" s="96"/>
      <c r="G5500" s="97"/>
      <c r="H5500" s="114" t="str">
        <f t="shared" si="75"/>
        <v/>
      </c>
      <c r="I5500" s="17"/>
      <c r="J5500" s="17"/>
      <c r="K5500" s="17"/>
    </row>
    <row r="5501" spans="1:11" x14ac:dyDescent="0.2">
      <c r="A5501" s="115"/>
      <c r="B5501" s="95"/>
      <c r="C5501" s="94"/>
      <c r="D5501" s="95"/>
      <c r="E5501" s="95"/>
      <c r="F5501" s="96"/>
      <c r="G5501" s="97"/>
      <c r="H5501" s="114" t="str">
        <f t="shared" si="75"/>
        <v/>
      </c>
      <c r="I5501" s="17"/>
      <c r="J5501" s="17"/>
      <c r="K5501" s="17"/>
    </row>
    <row r="5502" spans="1:11" x14ac:dyDescent="0.2">
      <c r="A5502" s="115"/>
      <c r="B5502" s="95"/>
      <c r="C5502" s="94"/>
      <c r="D5502" s="95"/>
      <c r="E5502" s="95"/>
      <c r="F5502" s="96"/>
      <c r="G5502" s="97"/>
      <c r="H5502" s="114" t="str">
        <f t="shared" si="75"/>
        <v/>
      </c>
      <c r="I5502" s="17"/>
      <c r="J5502" s="17"/>
      <c r="K5502" s="17"/>
    </row>
    <row r="5503" spans="1:11" x14ac:dyDescent="0.2">
      <c r="A5503" s="115"/>
      <c r="B5503" s="95"/>
      <c r="C5503" s="94"/>
      <c r="D5503" s="95"/>
      <c r="E5503" s="95"/>
      <c r="F5503" s="96"/>
      <c r="G5503" s="97"/>
      <c r="H5503" s="114" t="str">
        <f t="shared" si="75"/>
        <v/>
      </c>
      <c r="I5503" s="17"/>
      <c r="J5503" s="17"/>
      <c r="K5503" s="17"/>
    </row>
    <row r="5504" spans="1:11" x14ac:dyDescent="0.2">
      <c r="A5504" s="115"/>
      <c r="B5504" s="95"/>
      <c r="C5504" s="94"/>
      <c r="D5504" s="95"/>
      <c r="E5504" s="95"/>
      <c r="F5504" s="96"/>
      <c r="G5504" s="97"/>
      <c r="H5504" s="114" t="str">
        <f t="shared" si="75"/>
        <v/>
      </c>
      <c r="I5504" s="17"/>
      <c r="J5504" s="17"/>
      <c r="K5504" s="17"/>
    </row>
    <row r="5505" spans="1:11" x14ac:dyDescent="0.2">
      <c r="A5505" s="115"/>
      <c r="B5505" s="95"/>
      <c r="C5505" s="94"/>
      <c r="D5505" s="95"/>
      <c r="E5505" s="95"/>
      <c r="F5505" s="96"/>
      <c r="G5505" s="97"/>
      <c r="H5505" s="114" t="str">
        <f t="shared" si="75"/>
        <v/>
      </c>
      <c r="I5505" s="17"/>
      <c r="J5505" s="17"/>
      <c r="K5505" s="17"/>
    </row>
    <row r="5506" spans="1:11" x14ac:dyDescent="0.2">
      <c r="A5506" s="115"/>
      <c r="B5506" s="95"/>
      <c r="C5506" s="94"/>
      <c r="D5506" s="95"/>
      <c r="E5506" s="95"/>
      <c r="F5506" s="96"/>
      <c r="G5506" s="97"/>
      <c r="H5506" s="114" t="str">
        <f t="shared" si="75"/>
        <v/>
      </c>
      <c r="I5506" s="17"/>
      <c r="J5506" s="17"/>
      <c r="K5506" s="17"/>
    </row>
    <row r="5507" spans="1:11" x14ac:dyDescent="0.2">
      <c r="A5507" s="115"/>
      <c r="B5507" s="95"/>
      <c r="C5507" s="94"/>
      <c r="D5507" s="95"/>
      <c r="E5507" s="95"/>
      <c r="F5507" s="96"/>
      <c r="G5507" s="97"/>
      <c r="H5507" s="114" t="str">
        <f t="shared" si="75"/>
        <v/>
      </c>
      <c r="I5507" s="17"/>
      <c r="J5507" s="17"/>
      <c r="K5507" s="17"/>
    </row>
    <row r="5508" spans="1:11" x14ac:dyDescent="0.2">
      <c r="A5508" s="115"/>
      <c r="B5508" s="95"/>
      <c r="C5508" s="94"/>
      <c r="D5508" s="95"/>
      <c r="E5508" s="95"/>
      <c r="F5508" s="96"/>
      <c r="G5508" s="97"/>
      <c r="H5508" s="114" t="str">
        <f t="shared" ref="H5508:H5571" si="76">IF(A5508&lt;&gt;"", EOMONTH(A5508, -1) + 1, "")</f>
        <v/>
      </c>
      <c r="I5508" s="17"/>
      <c r="J5508" s="17"/>
      <c r="K5508" s="17"/>
    </row>
    <row r="5509" spans="1:11" x14ac:dyDescent="0.2">
      <c r="A5509" s="115"/>
      <c r="B5509" s="95"/>
      <c r="C5509" s="94"/>
      <c r="D5509" s="95"/>
      <c r="E5509" s="95"/>
      <c r="F5509" s="96"/>
      <c r="G5509" s="97"/>
      <c r="H5509" s="114" t="str">
        <f t="shared" si="76"/>
        <v/>
      </c>
      <c r="I5509" s="17"/>
      <c r="J5509" s="17"/>
      <c r="K5509" s="17"/>
    </row>
    <row r="5510" spans="1:11" x14ac:dyDescent="0.2">
      <c r="A5510" s="115"/>
      <c r="B5510" s="95"/>
      <c r="C5510" s="94"/>
      <c r="D5510" s="95"/>
      <c r="E5510" s="95"/>
      <c r="F5510" s="96"/>
      <c r="G5510" s="97"/>
      <c r="H5510" s="114" t="str">
        <f t="shared" si="76"/>
        <v/>
      </c>
      <c r="I5510" s="17"/>
      <c r="J5510" s="17"/>
      <c r="K5510" s="17"/>
    </row>
    <row r="5511" spans="1:11" x14ac:dyDescent="0.2">
      <c r="A5511" s="115"/>
      <c r="B5511" s="95"/>
      <c r="C5511" s="94"/>
      <c r="D5511" s="95"/>
      <c r="E5511" s="95"/>
      <c r="F5511" s="96"/>
      <c r="G5511" s="97"/>
      <c r="H5511" s="114" t="str">
        <f t="shared" si="76"/>
        <v/>
      </c>
      <c r="I5511" s="17"/>
      <c r="J5511" s="17"/>
      <c r="K5511" s="17"/>
    </row>
    <row r="5512" spans="1:11" x14ac:dyDescent="0.2">
      <c r="A5512" s="115"/>
      <c r="B5512" s="95"/>
      <c r="C5512" s="101"/>
      <c r="D5512" s="95"/>
      <c r="E5512" s="95"/>
      <c r="F5512" s="96"/>
      <c r="G5512" s="97"/>
      <c r="H5512" s="114" t="str">
        <f t="shared" si="76"/>
        <v/>
      </c>
      <c r="I5512" s="17"/>
      <c r="J5512" s="17"/>
      <c r="K5512" s="17"/>
    </row>
    <row r="5513" spans="1:11" x14ac:dyDescent="0.2">
      <c r="A5513" s="115"/>
      <c r="B5513" s="95"/>
      <c r="C5513" s="101"/>
      <c r="D5513" s="95"/>
      <c r="E5513" s="95"/>
      <c r="F5513" s="96"/>
      <c r="G5513" s="97"/>
      <c r="H5513" s="114" t="str">
        <f t="shared" si="76"/>
        <v/>
      </c>
      <c r="I5513" s="17"/>
      <c r="J5513" s="17"/>
      <c r="K5513" s="17"/>
    </row>
    <row r="5514" spans="1:11" x14ac:dyDescent="0.2">
      <c r="A5514" s="115"/>
      <c r="B5514" s="95"/>
      <c r="C5514" s="101"/>
      <c r="D5514" s="95"/>
      <c r="E5514" s="95"/>
      <c r="F5514" s="96"/>
      <c r="G5514" s="97"/>
      <c r="H5514" s="114" t="str">
        <f t="shared" si="76"/>
        <v/>
      </c>
      <c r="I5514" s="17"/>
      <c r="J5514" s="17"/>
      <c r="K5514" s="17"/>
    </row>
    <row r="5515" spans="1:11" x14ac:dyDescent="0.2">
      <c r="A5515" s="115"/>
      <c r="B5515" s="95"/>
      <c r="C5515" s="101"/>
      <c r="D5515" s="95"/>
      <c r="E5515" s="95"/>
      <c r="F5515" s="96"/>
      <c r="G5515" s="97"/>
      <c r="H5515" s="114" t="str">
        <f t="shared" si="76"/>
        <v/>
      </c>
      <c r="I5515" s="17"/>
      <c r="J5515" s="17"/>
      <c r="K5515" s="17"/>
    </row>
    <row r="5516" spans="1:11" x14ac:dyDescent="0.2">
      <c r="A5516" s="115"/>
      <c r="B5516" s="95"/>
      <c r="C5516" s="101"/>
      <c r="D5516" s="95"/>
      <c r="E5516" s="95"/>
      <c r="F5516" s="96"/>
      <c r="G5516" s="97"/>
      <c r="H5516" s="114" t="str">
        <f t="shared" si="76"/>
        <v/>
      </c>
      <c r="I5516" s="17"/>
      <c r="J5516" s="17"/>
      <c r="K5516" s="17"/>
    </row>
    <row r="5517" spans="1:11" x14ac:dyDescent="0.2">
      <c r="A5517" s="115"/>
      <c r="B5517" s="95"/>
      <c r="C5517" s="101"/>
      <c r="D5517" s="95"/>
      <c r="E5517" s="95"/>
      <c r="F5517" s="96"/>
      <c r="G5517" s="97"/>
      <c r="H5517" s="114" t="str">
        <f t="shared" si="76"/>
        <v/>
      </c>
      <c r="I5517" s="17"/>
      <c r="J5517" s="17"/>
      <c r="K5517" s="17"/>
    </row>
    <row r="5518" spans="1:11" x14ac:dyDescent="0.2">
      <c r="A5518" s="115"/>
      <c r="B5518" s="95"/>
      <c r="C5518" s="101"/>
      <c r="D5518" s="95"/>
      <c r="E5518" s="95"/>
      <c r="F5518" s="96"/>
      <c r="G5518" s="97"/>
      <c r="H5518" s="114" t="str">
        <f t="shared" si="76"/>
        <v/>
      </c>
      <c r="I5518" s="17"/>
      <c r="J5518" s="17"/>
      <c r="K5518" s="17"/>
    </row>
    <row r="5519" spans="1:11" x14ac:dyDescent="0.2">
      <c r="A5519" s="115"/>
      <c r="B5519" s="95"/>
      <c r="C5519" s="101"/>
      <c r="D5519" s="95"/>
      <c r="E5519" s="95"/>
      <c r="F5519" s="96"/>
      <c r="G5519" s="97"/>
      <c r="H5519" s="114" t="str">
        <f t="shared" si="76"/>
        <v/>
      </c>
      <c r="I5519" s="17"/>
      <c r="J5519" s="17"/>
      <c r="K5519" s="17"/>
    </row>
    <row r="5520" spans="1:11" x14ac:dyDescent="0.2">
      <c r="A5520" s="115"/>
      <c r="B5520" s="95"/>
      <c r="C5520" s="101"/>
      <c r="D5520" s="95"/>
      <c r="E5520" s="95"/>
      <c r="F5520" s="96"/>
      <c r="G5520" s="97"/>
      <c r="H5520" s="114" t="str">
        <f t="shared" si="76"/>
        <v/>
      </c>
      <c r="I5520" s="17"/>
      <c r="J5520" s="17"/>
      <c r="K5520" s="17"/>
    </row>
    <row r="5521" spans="1:11" x14ac:dyDescent="0.2">
      <c r="A5521" s="115"/>
      <c r="B5521" s="95"/>
      <c r="C5521" s="101"/>
      <c r="D5521" s="95"/>
      <c r="E5521" s="95"/>
      <c r="F5521" s="96"/>
      <c r="G5521" s="97"/>
      <c r="H5521" s="114" t="str">
        <f t="shared" si="76"/>
        <v/>
      </c>
      <c r="I5521" s="17"/>
      <c r="J5521" s="17"/>
      <c r="K5521" s="17"/>
    </row>
    <row r="5522" spans="1:11" x14ac:dyDescent="0.2">
      <c r="A5522" s="115"/>
      <c r="B5522" s="95"/>
      <c r="C5522" s="101"/>
      <c r="D5522" s="95"/>
      <c r="E5522" s="95"/>
      <c r="F5522" s="96"/>
      <c r="G5522" s="97"/>
      <c r="H5522" s="114" t="str">
        <f t="shared" si="76"/>
        <v/>
      </c>
      <c r="I5522" s="17"/>
      <c r="J5522" s="17"/>
      <c r="K5522" s="17"/>
    </row>
    <row r="5523" spans="1:11" x14ac:dyDescent="0.2">
      <c r="A5523" s="115"/>
      <c r="B5523" s="95"/>
      <c r="C5523" s="101"/>
      <c r="D5523" s="95"/>
      <c r="E5523" s="95"/>
      <c r="F5523" s="96"/>
      <c r="G5523" s="97"/>
      <c r="H5523" s="114" t="str">
        <f t="shared" si="76"/>
        <v/>
      </c>
      <c r="I5523" s="17"/>
      <c r="J5523" s="17"/>
      <c r="K5523" s="17"/>
    </row>
    <row r="5524" spans="1:11" x14ac:dyDescent="0.2">
      <c r="A5524" s="115"/>
      <c r="B5524" s="95"/>
      <c r="C5524" s="101"/>
      <c r="D5524" s="95"/>
      <c r="E5524" s="95"/>
      <c r="F5524" s="96"/>
      <c r="G5524" s="97"/>
      <c r="H5524" s="114" t="str">
        <f t="shared" si="76"/>
        <v/>
      </c>
      <c r="I5524" s="17"/>
      <c r="J5524" s="17"/>
      <c r="K5524" s="17"/>
    </row>
    <row r="5525" spans="1:11" x14ac:dyDescent="0.2">
      <c r="A5525" s="115"/>
      <c r="B5525" s="95"/>
      <c r="C5525" s="101"/>
      <c r="D5525" s="95"/>
      <c r="E5525" s="95"/>
      <c r="F5525" s="96"/>
      <c r="G5525" s="97"/>
      <c r="H5525" s="114" t="str">
        <f t="shared" si="76"/>
        <v/>
      </c>
      <c r="I5525" s="17"/>
      <c r="J5525" s="17"/>
      <c r="K5525" s="17"/>
    </row>
    <row r="5526" spans="1:11" x14ac:dyDescent="0.2">
      <c r="A5526" s="115"/>
      <c r="B5526" s="95"/>
      <c r="C5526" s="101"/>
      <c r="D5526" s="95"/>
      <c r="E5526" s="95"/>
      <c r="F5526" s="96"/>
      <c r="G5526" s="97"/>
      <c r="H5526" s="114" t="str">
        <f t="shared" si="76"/>
        <v/>
      </c>
      <c r="I5526" s="17"/>
      <c r="J5526" s="17"/>
      <c r="K5526" s="17"/>
    </row>
    <row r="5527" spans="1:11" x14ac:dyDescent="0.2">
      <c r="A5527" s="115"/>
      <c r="B5527" s="95"/>
      <c r="C5527" s="101"/>
      <c r="D5527" s="95"/>
      <c r="E5527" s="95"/>
      <c r="F5527" s="96"/>
      <c r="G5527" s="97"/>
      <c r="H5527" s="114" t="str">
        <f t="shared" si="76"/>
        <v/>
      </c>
      <c r="I5527" s="17"/>
      <c r="J5527" s="17"/>
      <c r="K5527" s="17"/>
    </row>
    <row r="5528" spans="1:11" x14ac:dyDescent="0.2">
      <c r="A5528" s="115"/>
      <c r="B5528" s="95"/>
      <c r="C5528" s="101"/>
      <c r="D5528" s="95"/>
      <c r="E5528" s="95"/>
      <c r="F5528" s="96"/>
      <c r="G5528" s="97"/>
      <c r="H5528" s="114" t="str">
        <f t="shared" si="76"/>
        <v/>
      </c>
      <c r="I5528" s="17"/>
      <c r="J5528" s="17"/>
      <c r="K5528" s="17"/>
    </row>
    <row r="5529" spans="1:11" x14ac:dyDescent="0.2">
      <c r="A5529" s="115"/>
      <c r="B5529" s="95"/>
      <c r="C5529" s="101"/>
      <c r="D5529" s="95"/>
      <c r="E5529" s="95"/>
      <c r="F5529" s="96"/>
      <c r="G5529" s="97"/>
      <c r="H5529" s="114" t="str">
        <f t="shared" si="76"/>
        <v/>
      </c>
      <c r="I5529" s="17"/>
      <c r="J5529" s="17"/>
      <c r="K5529" s="17"/>
    </row>
    <row r="5530" spans="1:11" x14ac:dyDescent="0.2">
      <c r="A5530" s="115"/>
      <c r="B5530" s="95"/>
      <c r="C5530" s="101"/>
      <c r="D5530" s="95"/>
      <c r="E5530" s="95"/>
      <c r="F5530" s="96"/>
      <c r="G5530" s="97"/>
      <c r="H5530" s="114" t="str">
        <f t="shared" si="76"/>
        <v/>
      </c>
      <c r="I5530" s="17"/>
      <c r="J5530" s="17"/>
      <c r="K5530" s="17"/>
    </row>
    <row r="5531" spans="1:11" x14ac:dyDescent="0.2">
      <c r="A5531" s="115"/>
      <c r="B5531" s="95"/>
      <c r="C5531" s="101"/>
      <c r="D5531" s="95"/>
      <c r="E5531" s="95"/>
      <c r="F5531" s="96"/>
      <c r="G5531" s="97"/>
      <c r="H5531" s="114" t="str">
        <f t="shared" si="76"/>
        <v/>
      </c>
      <c r="I5531" s="17"/>
      <c r="J5531" s="17"/>
      <c r="K5531" s="17"/>
    </row>
    <row r="5532" spans="1:11" x14ac:dyDescent="0.2">
      <c r="A5532" s="115"/>
      <c r="B5532" s="95"/>
      <c r="C5532" s="101"/>
      <c r="D5532" s="95"/>
      <c r="E5532" s="95"/>
      <c r="F5532" s="96"/>
      <c r="G5532" s="97"/>
      <c r="H5532" s="114" t="str">
        <f t="shared" si="76"/>
        <v/>
      </c>
      <c r="I5532" s="17"/>
      <c r="J5532" s="17"/>
      <c r="K5532" s="17"/>
    </row>
    <row r="5533" spans="1:11" x14ac:dyDescent="0.2">
      <c r="A5533" s="115"/>
      <c r="B5533" s="95"/>
      <c r="C5533" s="101"/>
      <c r="D5533" s="95"/>
      <c r="E5533" s="95"/>
      <c r="F5533" s="96"/>
      <c r="G5533" s="97"/>
      <c r="H5533" s="114" t="str">
        <f t="shared" si="76"/>
        <v/>
      </c>
      <c r="I5533" s="17"/>
      <c r="J5533" s="17"/>
      <c r="K5533" s="17"/>
    </row>
    <row r="5534" spans="1:11" x14ac:dyDescent="0.2">
      <c r="A5534" s="115"/>
      <c r="B5534" s="95"/>
      <c r="C5534" s="101"/>
      <c r="D5534" s="95"/>
      <c r="E5534" s="95"/>
      <c r="F5534" s="96"/>
      <c r="G5534" s="97"/>
      <c r="H5534" s="114" t="str">
        <f t="shared" si="76"/>
        <v/>
      </c>
      <c r="I5534" s="17"/>
      <c r="J5534" s="17"/>
      <c r="K5534" s="17"/>
    </row>
    <row r="5535" spans="1:11" x14ac:dyDescent="0.2">
      <c r="A5535" s="115"/>
      <c r="B5535" s="95"/>
      <c r="C5535" s="101"/>
      <c r="D5535" s="95"/>
      <c r="E5535" s="95"/>
      <c r="F5535" s="96"/>
      <c r="G5535" s="97"/>
      <c r="H5535" s="114" t="str">
        <f t="shared" si="76"/>
        <v/>
      </c>
      <c r="I5535" s="17"/>
      <c r="J5535" s="17"/>
      <c r="K5535" s="17"/>
    </row>
    <row r="5536" spans="1:11" x14ac:dyDescent="0.2">
      <c r="A5536" s="115"/>
      <c r="B5536" s="95"/>
      <c r="C5536" s="101"/>
      <c r="D5536" s="95"/>
      <c r="E5536" s="95"/>
      <c r="F5536" s="96"/>
      <c r="G5536" s="97"/>
      <c r="H5536" s="114" t="str">
        <f t="shared" si="76"/>
        <v/>
      </c>
      <c r="I5536" s="17"/>
      <c r="J5536" s="17"/>
      <c r="K5536" s="17"/>
    </row>
    <row r="5537" spans="1:11" x14ac:dyDescent="0.2">
      <c r="A5537" s="115"/>
      <c r="B5537" s="95"/>
      <c r="C5537" s="101"/>
      <c r="D5537" s="95"/>
      <c r="E5537" s="95"/>
      <c r="F5537" s="96"/>
      <c r="G5537" s="97"/>
      <c r="H5537" s="114" t="str">
        <f t="shared" si="76"/>
        <v/>
      </c>
      <c r="I5537" s="17"/>
      <c r="J5537" s="17"/>
      <c r="K5537" s="17"/>
    </row>
    <row r="5538" spans="1:11" x14ac:dyDescent="0.2">
      <c r="A5538" s="115"/>
      <c r="B5538" s="95"/>
      <c r="C5538" s="101"/>
      <c r="D5538" s="95"/>
      <c r="E5538" s="95"/>
      <c r="F5538" s="96"/>
      <c r="G5538" s="97"/>
      <c r="H5538" s="114" t="str">
        <f t="shared" si="76"/>
        <v/>
      </c>
      <c r="I5538" s="17"/>
      <c r="J5538" s="17"/>
      <c r="K5538" s="17"/>
    </row>
    <row r="5539" spans="1:11" x14ac:dyDescent="0.2">
      <c r="A5539" s="115"/>
      <c r="B5539" s="95"/>
      <c r="C5539" s="101"/>
      <c r="D5539" s="95"/>
      <c r="E5539" s="95"/>
      <c r="F5539" s="96"/>
      <c r="G5539" s="97"/>
      <c r="H5539" s="114" t="str">
        <f t="shared" si="76"/>
        <v/>
      </c>
      <c r="I5539" s="17"/>
      <c r="J5539" s="17"/>
      <c r="K5539" s="17"/>
    </row>
    <row r="5540" spans="1:11" x14ac:dyDescent="0.2">
      <c r="A5540" s="115"/>
      <c r="B5540" s="95"/>
      <c r="C5540" s="101"/>
      <c r="D5540" s="95"/>
      <c r="E5540" s="95"/>
      <c r="F5540" s="96"/>
      <c r="G5540" s="97"/>
      <c r="H5540" s="114" t="str">
        <f t="shared" si="76"/>
        <v/>
      </c>
      <c r="I5540" s="17"/>
      <c r="J5540" s="17"/>
      <c r="K5540" s="17"/>
    </row>
    <row r="5541" spans="1:11" x14ac:dyDescent="0.2">
      <c r="A5541" s="115"/>
      <c r="B5541" s="95"/>
      <c r="C5541" s="101"/>
      <c r="D5541" s="95"/>
      <c r="E5541" s="95"/>
      <c r="F5541" s="96"/>
      <c r="G5541" s="97"/>
      <c r="H5541" s="114" t="str">
        <f t="shared" si="76"/>
        <v/>
      </c>
      <c r="I5541" s="17"/>
      <c r="J5541" s="17"/>
      <c r="K5541" s="17"/>
    </row>
    <row r="5542" spans="1:11" x14ac:dyDescent="0.2">
      <c r="A5542" s="115"/>
      <c r="B5542" s="95"/>
      <c r="C5542" s="101"/>
      <c r="D5542" s="95"/>
      <c r="E5542" s="95"/>
      <c r="F5542" s="96"/>
      <c r="G5542" s="97"/>
      <c r="H5542" s="114" t="str">
        <f t="shared" si="76"/>
        <v/>
      </c>
      <c r="I5542" s="17"/>
      <c r="J5542" s="17"/>
      <c r="K5542" s="17"/>
    </row>
    <row r="5543" spans="1:11" x14ac:dyDescent="0.2">
      <c r="A5543" s="115"/>
      <c r="B5543" s="95"/>
      <c r="C5543" s="101"/>
      <c r="D5543" s="95"/>
      <c r="E5543" s="95"/>
      <c r="F5543" s="96"/>
      <c r="G5543" s="97"/>
      <c r="H5543" s="114" t="str">
        <f t="shared" si="76"/>
        <v/>
      </c>
      <c r="I5543" s="17"/>
      <c r="J5543" s="17"/>
      <c r="K5543" s="17"/>
    </row>
    <row r="5544" spans="1:11" x14ac:dyDescent="0.2">
      <c r="A5544" s="115"/>
      <c r="B5544" s="95"/>
      <c r="C5544" s="101"/>
      <c r="D5544" s="95"/>
      <c r="E5544" s="95"/>
      <c r="F5544" s="96"/>
      <c r="G5544" s="97"/>
      <c r="H5544" s="114" t="str">
        <f t="shared" si="76"/>
        <v/>
      </c>
      <c r="I5544" s="17"/>
      <c r="J5544" s="17"/>
      <c r="K5544" s="17"/>
    </row>
    <row r="5545" spans="1:11" x14ac:dyDescent="0.2">
      <c r="A5545" s="115"/>
      <c r="B5545" s="95"/>
      <c r="C5545" s="101"/>
      <c r="D5545" s="95"/>
      <c r="E5545" s="95"/>
      <c r="F5545" s="96"/>
      <c r="G5545" s="97"/>
      <c r="H5545" s="114" t="str">
        <f t="shared" si="76"/>
        <v/>
      </c>
      <c r="I5545" s="17"/>
      <c r="J5545" s="17"/>
      <c r="K5545" s="17"/>
    </row>
    <row r="5546" spans="1:11" x14ac:dyDescent="0.2">
      <c r="A5546" s="115"/>
      <c r="B5546" s="95"/>
      <c r="C5546" s="101"/>
      <c r="D5546" s="95"/>
      <c r="E5546" s="95"/>
      <c r="F5546" s="96"/>
      <c r="G5546" s="97"/>
      <c r="H5546" s="114" t="str">
        <f t="shared" si="76"/>
        <v/>
      </c>
      <c r="I5546" s="17"/>
      <c r="J5546" s="17"/>
      <c r="K5546" s="17"/>
    </row>
    <row r="5547" spans="1:11" x14ac:dyDescent="0.2">
      <c r="A5547" s="115"/>
      <c r="B5547" s="95"/>
      <c r="C5547" s="101"/>
      <c r="D5547" s="95"/>
      <c r="E5547" s="95"/>
      <c r="F5547" s="96"/>
      <c r="G5547" s="97"/>
      <c r="H5547" s="114" t="str">
        <f t="shared" si="76"/>
        <v/>
      </c>
      <c r="I5547" s="17"/>
      <c r="J5547" s="17"/>
      <c r="K5547" s="17"/>
    </row>
    <row r="5548" spans="1:11" x14ac:dyDescent="0.2">
      <c r="A5548" s="115"/>
      <c r="B5548" s="95"/>
      <c r="C5548" s="101"/>
      <c r="D5548" s="95"/>
      <c r="E5548" s="95"/>
      <c r="F5548" s="96"/>
      <c r="G5548" s="97"/>
      <c r="H5548" s="114" t="str">
        <f t="shared" si="76"/>
        <v/>
      </c>
      <c r="I5548" s="17"/>
      <c r="J5548" s="17"/>
      <c r="K5548" s="17"/>
    </row>
    <row r="5549" spans="1:11" x14ac:dyDescent="0.2">
      <c r="A5549" s="115"/>
      <c r="B5549" s="95"/>
      <c r="C5549" s="101"/>
      <c r="D5549" s="95"/>
      <c r="E5549" s="95"/>
      <c r="F5549" s="96"/>
      <c r="G5549" s="97"/>
      <c r="H5549" s="114" t="str">
        <f t="shared" si="76"/>
        <v/>
      </c>
      <c r="I5549" s="17"/>
      <c r="J5549" s="17"/>
      <c r="K5549" s="17"/>
    </row>
    <row r="5550" spans="1:11" x14ac:dyDescent="0.2">
      <c r="A5550" s="115"/>
      <c r="B5550" s="95"/>
      <c r="C5550" s="101"/>
      <c r="D5550" s="95"/>
      <c r="E5550" s="95"/>
      <c r="F5550" s="96"/>
      <c r="G5550" s="97"/>
      <c r="H5550" s="114" t="str">
        <f t="shared" si="76"/>
        <v/>
      </c>
      <c r="I5550" s="17"/>
      <c r="J5550" s="17"/>
      <c r="K5550" s="17"/>
    </row>
    <row r="5551" spans="1:11" x14ac:dyDescent="0.2">
      <c r="A5551" s="115"/>
      <c r="B5551" s="95"/>
      <c r="C5551" s="101"/>
      <c r="D5551" s="95"/>
      <c r="E5551" s="95"/>
      <c r="F5551" s="96"/>
      <c r="G5551" s="97"/>
      <c r="H5551" s="114" t="str">
        <f t="shared" si="76"/>
        <v/>
      </c>
      <c r="I5551" s="17"/>
      <c r="J5551" s="17"/>
      <c r="K5551" s="17"/>
    </row>
    <row r="5552" spans="1:11" x14ac:dyDescent="0.2">
      <c r="A5552" s="115"/>
      <c r="B5552" s="95"/>
      <c r="C5552" s="101"/>
      <c r="D5552" s="95"/>
      <c r="E5552" s="95"/>
      <c r="F5552" s="96"/>
      <c r="G5552" s="97"/>
      <c r="H5552" s="114" t="str">
        <f t="shared" si="76"/>
        <v/>
      </c>
      <c r="I5552" s="17"/>
      <c r="J5552" s="17"/>
      <c r="K5552" s="17"/>
    </row>
    <row r="5553" spans="1:11" x14ac:dyDescent="0.2">
      <c r="A5553" s="115"/>
      <c r="B5553" s="95"/>
      <c r="C5553" s="101"/>
      <c r="D5553" s="95"/>
      <c r="E5553" s="95"/>
      <c r="F5553" s="96"/>
      <c r="G5553" s="97"/>
      <c r="H5553" s="114" t="str">
        <f t="shared" si="76"/>
        <v/>
      </c>
      <c r="I5553" s="17"/>
      <c r="J5553" s="17"/>
      <c r="K5553" s="17"/>
    </row>
    <row r="5554" spans="1:11" x14ac:dyDescent="0.2">
      <c r="A5554" s="115"/>
      <c r="B5554" s="95"/>
      <c r="C5554" s="101"/>
      <c r="D5554" s="95"/>
      <c r="E5554" s="95"/>
      <c r="F5554" s="96"/>
      <c r="G5554" s="97"/>
      <c r="H5554" s="114" t="str">
        <f t="shared" si="76"/>
        <v/>
      </c>
      <c r="I5554" s="17"/>
      <c r="J5554" s="17"/>
      <c r="K5554" s="17"/>
    </row>
    <row r="5555" spans="1:11" x14ac:dyDescent="0.2">
      <c r="A5555" s="115"/>
      <c r="B5555" s="95"/>
      <c r="C5555" s="101"/>
      <c r="D5555" s="95"/>
      <c r="E5555" s="95"/>
      <c r="F5555" s="96"/>
      <c r="G5555" s="97"/>
      <c r="H5555" s="114" t="str">
        <f t="shared" si="76"/>
        <v/>
      </c>
      <c r="I5555" s="17"/>
      <c r="J5555" s="17"/>
      <c r="K5555" s="17"/>
    </row>
    <row r="5556" spans="1:11" x14ac:dyDescent="0.2">
      <c r="A5556" s="115"/>
      <c r="B5556" s="95"/>
      <c r="C5556" s="101"/>
      <c r="D5556" s="95"/>
      <c r="E5556" s="95"/>
      <c r="F5556" s="96"/>
      <c r="G5556" s="97"/>
      <c r="H5556" s="114" t="str">
        <f t="shared" si="76"/>
        <v/>
      </c>
      <c r="I5556" s="17"/>
      <c r="J5556" s="17"/>
      <c r="K5556" s="17"/>
    </row>
    <row r="5557" spans="1:11" x14ac:dyDescent="0.2">
      <c r="A5557" s="115"/>
      <c r="B5557" s="95"/>
      <c r="C5557" s="101"/>
      <c r="D5557" s="95"/>
      <c r="E5557" s="95"/>
      <c r="F5557" s="96"/>
      <c r="G5557" s="97"/>
      <c r="H5557" s="114" t="str">
        <f t="shared" si="76"/>
        <v/>
      </c>
      <c r="I5557" s="17"/>
      <c r="J5557" s="17"/>
      <c r="K5557" s="17"/>
    </row>
    <row r="5558" spans="1:11" x14ac:dyDescent="0.2">
      <c r="A5558" s="115"/>
      <c r="B5558" s="95"/>
      <c r="C5558" s="101"/>
      <c r="D5558" s="95"/>
      <c r="E5558" s="95"/>
      <c r="F5558" s="96"/>
      <c r="G5558" s="97"/>
      <c r="H5558" s="114" t="str">
        <f t="shared" si="76"/>
        <v/>
      </c>
      <c r="I5558" s="17"/>
      <c r="J5558" s="17"/>
      <c r="K5558" s="17"/>
    </row>
    <row r="5559" spans="1:11" x14ac:dyDescent="0.2">
      <c r="A5559" s="115"/>
      <c r="B5559" s="95"/>
      <c r="C5559" s="101"/>
      <c r="D5559" s="95"/>
      <c r="E5559" s="95"/>
      <c r="F5559" s="96"/>
      <c r="G5559" s="97"/>
      <c r="H5559" s="114" t="str">
        <f t="shared" si="76"/>
        <v/>
      </c>
      <c r="I5559" s="17"/>
      <c r="J5559" s="17"/>
      <c r="K5559" s="17"/>
    </row>
    <row r="5560" spans="1:11" x14ac:dyDescent="0.2">
      <c r="A5560" s="115"/>
      <c r="B5560" s="95"/>
      <c r="C5560" s="101"/>
      <c r="D5560" s="95"/>
      <c r="E5560" s="95"/>
      <c r="F5560" s="96"/>
      <c r="G5560" s="97"/>
      <c r="H5560" s="114" t="str">
        <f t="shared" si="76"/>
        <v/>
      </c>
      <c r="I5560" s="17"/>
      <c r="J5560" s="17"/>
      <c r="K5560" s="17"/>
    </row>
    <row r="5561" spans="1:11" x14ac:dyDescent="0.2">
      <c r="A5561" s="115"/>
      <c r="B5561" s="95"/>
      <c r="C5561" s="101"/>
      <c r="D5561" s="95"/>
      <c r="E5561" s="95"/>
      <c r="F5561" s="96"/>
      <c r="G5561" s="97"/>
      <c r="H5561" s="114" t="str">
        <f t="shared" si="76"/>
        <v/>
      </c>
      <c r="I5561" s="17"/>
      <c r="J5561" s="17"/>
      <c r="K5561" s="17"/>
    </row>
    <row r="5562" spans="1:11" x14ac:dyDescent="0.2">
      <c r="A5562" s="115"/>
      <c r="B5562" s="95"/>
      <c r="C5562" s="101"/>
      <c r="D5562" s="95"/>
      <c r="E5562" s="95"/>
      <c r="F5562" s="96"/>
      <c r="G5562" s="97"/>
      <c r="H5562" s="114" t="str">
        <f t="shared" si="76"/>
        <v/>
      </c>
      <c r="I5562" s="17"/>
      <c r="J5562" s="17"/>
      <c r="K5562" s="17"/>
    </row>
    <row r="5563" spans="1:11" x14ac:dyDescent="0.2">
      <c r="A5563" s="115"/>
      <c r="B5563" s="95"/>
      <c r="C5563" s="101"/>
      <c r="D5563" s="95"/>
      <c r="E5563" s="95"/>
      <c r="F5563" s="96"/>
      <c r="G5563" s="97"/>
      <c r="H5563" s="114" t="str">
        <f t="shared" si="76"/>
        <v/>
      </c>
      <c r="I5563" s="17"/>
      <c r="J5563" s="17"/>
      <c r="K5563" s="17"/>
    </row>
    <row r="5564" spans="1:11" x14ac:dyDescent="0.2">
      <c r="A5564" s="115"/>
      <c r="B5564" s="95"/>
      <c r="C5564" s="101"/>
      <c r="D5564" s="95"/>
      <c r="E5564" s="95"/>
      <c r="F5564" s="96"/>
      <c r="G5564" s="97"/>
      <c r="H5564" s="114" t="str">
        <f t="shared" si="76"/>
        <v/>
      </c>
      <c r="I5564" s="17"/>
      <c r="J5564" s="17"/>
      <c r="K5564" s="17"/>
    </row>
    <row r="5565" spans="1:11" x14ac:dyDescent="0.2">
      <c r="A5565" s="115"/>
      <c r="B5565" s="95"/>
      <c r="C5565" s="101"/>
      <c r="D5565" s="95"/>
      <c r="E5565" s="95"/>
      <c r="F5565" s="96"/>
      <c r="G5565" s="97"/>
      <c r="H5565" s="114" t="str">
        <f t="shared" si="76"/>
        <v/>
      </c>
      <c r="I5565" s="17"/>
      <c r="J5565" s="17"/>
      <c r="K5565" s="17"/>
    </row>
    <row r="5566" spans="1:11" x14ac:dyDescent="0.2">
      <c r="A5566" s="115"/>
      <c r="B5566" s="95"/>
      <c r="C5566" s="101"/>
      <c r="D5566" s="95"/>
      <c r="E5566" s="95"/>
      <c r="F5566" s="96"/>
      <c r="G5566" s="97"/>
      <c r="H5566" s="114" t="str">
        <f t="shared" si="76"/>
        <v/>
      </c>
      <c r="I5566" s="17"/>
      <c r="J5566" s="17"/>
      <c r="K5566" s="17"/>
    </row>
    <row r="5567" spans="1:11" x14ac:dyDescent="0.2">
      <c r="A5567" s="115"/>
      <c r="B5567" s="95"/>
      <c r="C5567" s="101"/>
      <c r="D5567" s="95"/>
      <c r="E5567" s="95"/>
      <c r="F5567" s="96"/>
      <c r="G5567" s="97"/>
      <c r="H5567" s="114" t="str">
        <f t="shared" si="76"/>
        <v/>
      </c>
      <c r="I5567" s="17"/>
      <c r="J5567" s="17"/>
      <c r="K5567" s="17"/>
    </row>
    <row r="5568" spans="1:11" x14ac:dyDescent="0.2">
      <c r="A5568" s="115"/>
      <c r="B5568" s="95"/>
      <c r="C5568" s="101"/>
      <c r="D5568" s="95"/>
      <c r="E5568" s="95"/>
      <c r="F5568" s="96"/>
      <c r="G5568" s="97"/>
      <c r="H5568" s="114" t="str">
        <f t="shared" si="76"/>
        <v/>
      </c>
      <c r="I5568" s="17"/>
      <c r="J5568" s="17"/>
      <c r="K5568" s="17"/>
    </row>
    <row r="5569" spans="1:11" x14ac:dyDescent="0.2">
      <c r="A5569" s="115"/>
      <c r="B5569" s="95"/>
      <c r="C5569" s="101"/>
      <c r="D5569" s="95"/>
      <c r="E5569" s="95"/>
      <c r="F5569" s="96"/>
      <c r="G5569" s="97"/>
      <c r="H5569" s="114" t="str">
        <f t="shared" si="76"/>
        <v/>
      </c>
      <c r="I5569" s="17"/>
      <c r="J5569" s="17"/>
      <c r="K5569" s="17"/>
    </row>
    <row r="5570" spans="1:11" x14ac:dyDescent="0.2">
      <c r="A5570" s="115"/>
      <c r="B5570" s="95"/>
      <c r="C5570" s="101"/>
      <c r="D5570" s="95"/>
      <c r="E5570" s="95"/>
      <c r="F5570" s="96"/>
      <c r="G5570" s="97"/>
      <c r="H5570" s="114" t="str">
        <f t="shared" si="76"/>
        <v/>
      </c>
      <c r="I5570" s="17"/>
      <c r="J5570" s="17"/>
      <c r="K5570" s="17"/>
    </row>
    <row r="5571" spans="1:11" x14ac:dyDescent="0.2">
      <c r="A5571" s="115"/>
      <c r="B5571" s="95"/>
      <c r="C5571" s="101"/>
      <c r="D5571" s="95"/>
      <c r="E5571" s="95"/>
      <c r="F5571" s="96"/>
      <c r="G5571" s="97"/>
      <c r="H5571" s="114" t="str">
        <f t="shared" si="76"/>
        <v/>
      </c>
      <c r="I5571" s="17"/>
      <c r="J5571" s="17"/>
      <c r="K5571" s="17"/>
    </row>
    <row r="5572" spans="1:11" x14ac:dyDescent="0.2">
      <c r="A5572" s="115"/>
      <c r="B5572" s="95"/>
      <c r="C5572" s="101"/>
      <c r="D5572" s="95"/>
      <c r="E5572" s="95"/>
      <c r="F5572" s="96"/>
      <c r="G5572" s="97"/>
      <c r="H5572" s="114" t="str">
        <f t="shared" ref="H5572:H5635" si="77">IF(A5572&lt;&gt;"", EOMONTH(A5572, -1) + 1, "")</f>
        <v/>
      </c>
      <c r="I5572" s="17"/>
      <c r="J5572" s="17"/>
      <c r="K5572" s="17"/>
    </row>
    <row r="5573" spans="1:11" x14ac:dyDescent="0.2">
      <c r="A5573" s="115"/>
      <c r="B5573" s="95"/>
      <c r="C5573" s="101"/>
      <c r="D5573" s="95"/>
      <c r="E5573" s="95"/>
      <c r="F5573" s="96"/>
      <c r="G5573" s="97"/>
      <c r="H5573" s="114" t="str">
        <f t="shared" si="77"/>
        <v/>
      </c>
      <c r="I5573" s="17"/>
      <c r="J5573" s="17"/>
      <c r="K5573" s="17"/>
    </row>
    <row r="5574" spans="1:11" x14ac:dyDescent="0.2">
      <c r="A5574" s="115"/>
      <c r="B5574" s="95"/>
      <c r="C5574" s="101"/>
      <c r="D5574" s="95"/>
      <c r="E5574" s="95"/>
      <c r="F5574" s="96"/>
      <c r="G5574" s="97"/>
      <c r="H5574" s="114" t="str">
        <f t="shared" si="77"/>
        <v/>
      </c>
      <c r="I5574" s="17"/>
      <c r="J5574" s="17"/>
      <c r="K5574" s="17"/>
    </row>
    <row r="5575" spans="1:11" x14ac:dyDescent="0.2">
      <c r="A5575" s="115"/>
      <c r="B5575" s="95"/>
      <c r="C5575" s="101"/>
      <c r="D5575" s="95"/>
      <c r="E5575" s="95"/>
      <c r="F5575" s="96"/>
      <c r="G5575" s="97"/>
      <c r="H5575" s="114" t="str">
        <f t="shared" si="77"/>
        <v/>
      </c>
      <c r="I5575" s="17"/>
      <c r="J5575" s="17"/>
      <c r="K5575" s="17"/>
    </row>
    <row r="5576" spans="1:11" x14ac:dyDescent="0.2">
      <c r="A5576" s="115"/>
      <c r="B5576" s="95"/>
      <c r="C5576" s="101"/>
      <c r="D5576" s="95"/>
      <c r="E5576" s="95"/>
      <c r="F5576" s="96"/>
      <c r="G5576" s="97"/>
      <c r="H5576" s="114" t="str">
        <f t="shared" si="77"/>
        <v/>
      </c>
      <c r="I5576" s="17"/>
      <c r="J5576" s="17"/>
      <c r="K5576" s="17"/>
    </row>
    <row r="5577" spans="1:11" x14ac:dyDescent="0.2">
      <c r="A5577" s="115"/>
      <c r="B5577" s="95"/>
      <c r="C5577" s="101"/>
      <c r="D5577" s="95"/>
      <c r="E5577" s="95"/>
      <c r="F5577" s="96"/>
      <c r="G5577" s="97"/>
      <c r="H5577" s="114" t="str">
        <f t="shared" si="77"/>
        <v/>
      </c>
      <c r="I5577" s="17"/>
      <c r="J5577" s="17"/>
      <c r="K5577" s="17"/>
    </row>
    <row r="5578" spans="1:11" x14ac:dyDescent="0.2">
      <c r="A5578" s="115"/>
      <c r="B5578" s="95"/>
      <c r="C5578" s="101"/>
      <c r="D5578" s="95"/>
      <c r="E5578" s="95"/>
      <c r="F5578" s="96"/>
      <c r="G5578" s="97"/>
      <c r="H5578" s="114" t="str">
        <f t="shared" si="77"/>
        <v/>
      </c>
      <c r="I5578" s="17"/>
      <c r="J5578" s="17"/>
      <c r="K5578" s="17"/>
    </row>
    <row r="5579" spans="1:11" x14ac:dyDescent="0.2">
      <c r="A5579" s="115"/>
      <c r="B5579" s="95"/>
      <c r="C5579" s="101"/>
      <c r="D5579" s="95"/>
      <c r="E5579" s="95"/>
      <c r="F5579" s="96"/>
      <c r="G5579" s="97"/>
      <c r="H5579" s="114" t="str">
        <f t="shared" si="77"/>
        <v/>
      </c>
      <c r="I5579" s="17"/>
      <c r="J5579" s="17"/>
      <c r="K5579" s="17"/>
    </row>
    <row r="5580" spans="1:11" x14ac:dyDescent="0.2">
      <c r="A5580" s="115"/>
      <c r="B5580" s="95"/>
      <c r="C5580" s="101"/>
      <c r="D5580" s="95"/>
      <c r="E5580" s="95"/>
      <c r="F5580" s="96"/>
      <c r="G5580" s="97"/>
      <c r="H5580" s="114" t="str">
        <f t="shared" si="77"/>
        <v/>
      </c>
      <c r="I5580" s="17"/>
      <c r="J5580" s="17"/>
      <c r="K5580" s="17"/>
    </row>
    <row r="5581" spans="1:11" x14ac:dyDescent="0.2">
      <c r="A5581" s="115"/>
      <c r="B5581" s="95"/>
      <c r="C5581" s="101"/>
      <c r="D5581" s="95"/>
      <c r="E5581" s="95"/>
      <c r="F5581" s="96"/>
      <c r="G5581" s="97"/>
      <c r="H5581" s="114" t="str">
        <f t="shared" si="77"/>
        <v/>
      </c>
      <c r="I5581" s="17"/>
      <c r="J5581" s="17"/>
      <c r="K5581" s="17"/>
    </row>
    <row r="5582" spans="1:11" x14ac:dyDescent="0.2">
      <c r="A5582" s="115"/>
      <c r="B5582" s="95"/>
      <c r="C5582" s="101"/>
      <c r="D5582" s="95"/>
      <c r="E5582" s="95"/>
      <c r="F5582" s="96"/>
      <c r="G5582" s="97"/>
      <c r="H5582" s="114" t="str">
        <f t="shared" si="77"/>
        <v/>
      </c>
      <c r="I5582" s="17"/>
      <c r="J5582" s="17"/>
      <c r="K5582" s="17"/>
    </row>
    <row r="5583" spans="1:11" x14ac:dyDescent="0.2">
      <c r="A5583" s="115"/>
      <c r="B5583" s="95"/>
      <c r="C5583" s="101"/>
      <c r="D5583" s="95"/>
      <c r="E5583" s="95"/>
      <c r="F5583" s="96"/>
      <c r="G5583" s="97"/>
      <c r="H5583" s="114" t="str">
        <f t="shared" si="77"/>
        <v/>
      </c>
      <c r="I5583" s="17"/>
      <c r="J5583" s="17"/>
      <c r="K5583" s="17"/>
    </row>
    <row r="5584" spans="1:11" x14ac:dyDescent="0.2">
      <c r="A5584" s="115"/>
      <c r="B5584" s="95"/>
      <c r="C5584" s="101"/>
      <c r="D5584" s="95"/>
      <c r="E5584" s="95"/>
      <c r="F5584" s="96"/>
      <c r="G5584" s="97"/>
      <c r="H5584" s="114" t="str">
        <f t="shared" si="77"/>
        <v/>
      </c>
      <c r="I5584" s="17"/>
      <c r="J5584" s="17"/>
      <c r="K5584" s="17"/>
    </row>
    <row r="5585" spans="1:11" x14ac:dyDescent="0.2">
      <c r="A5585" s="115"/>
      <c r="B5585" s="95"/>
      <c r="C5585" s="101"/>
      <c r="D5585" s="95"/>
      <c r="E5585" s="95"/>
      <c r="F5585" s="96"/>
      <c r="G5585" s="97"/>
      <c r="H5585" s="114" t="str">
        <f t="shared" si="77"/>
        <v/>
      </c>
      <c r="I5585" s="17"/>
      <c r="J5585" s="17"/>
      <c r="K5585" s="17"/>
    </row>
    <row r="5586" spans="1:11" x14ac:dyDescent="0.2">
      <c r="A5586" s="115"/>
      <c r="B5586" s="95"/>
      <c r="C5586" s="101"/>
      <c r="D5586" s="95"/>
      <c r="E5586" s="95"/>
      <c r="F5586" s="96"/>
      <c r="G5586" s="97"/>
      <c r="H5586" s="114" t="str">
        <f t="shared" si="77"/>
        <v/>
      </c>
      <c r="I5586" s="17"/>
      <c r="J5586" s="17"/>
      <c r="K5586" s="17"/>
    </row>
    <row r="5587" spans="1:11" x14ac:dyDescent="0.2">
      <c r="A5587" s="115"/>
      <c r="B5587" s="95"/>
      <c r="C5587" s="101"/>
      <c r="D5587" s="95"/>
      <c r="E5587" s="95"/>
      <c r="F5587" s="96"/>
      <c r="G5587" s="97"/>
      <c r="H5587" s="114" t="str">
        <f t="shared" si="77"/>
        <v/>
      </c>
      <c r="I5587" s="17"/>
      <c r="J5587" s="17"/>
      <c r="K5587" s="17"/>
    </row>
    <row r="5588" spans="1:11" x14ac:dyDescent="0.2">
      <c r="A5588" s="115"/>
      <c r="B5588" s="95"/>
      <c r="C5588" s="101"/>
      <c r="D5588" s="95"/>
      <c r="E5588" s="95"/>
      <c r="F5588" s="96"/>
      <c r="G5588" s="97"/>
      <c r="H5588" s="114" t="str">
        <f t="shared" si="77"/>
        <v/>
      </c>
      <c r="I5588" s="17"/>
      <c r="J5588" s="17"/>
      <c r="K5588" s="17"/>
    </row>
    <row r="5589" spans="1:11" x14ac:dyDescent="0.2">
      <c r="A5589" s="115"/>
      <c r="B5589" s="95"/>
      <c r="C5589" s="101"/>
      <c r="D5589" s="95"/>
      <c r="E5589" s="95"/>
      <c r="F5589" s="96"/>
      <c r="G5589" s="97"/>
      <c r="H5589" s="114" t="str">
        <f t="shared" si="77"/>
        <v/>
      </c>
      <c r="I5589" s="17"/>
      <c r="J5589" s="17"/>
      <c r="K5589" s="17"/>
    </row>
    <row r="5590" spans="1:11" x14ac:dyDescent="0.2">
      <c r="A5590" s="115"/>
      <c r="B5590" s="95"/>
      <c r="C5590" s="101"/>
      <c r="D5590" s="95"/>
      <c r="E5590" s="95"/>
      <c r="F5590" s="96"/>
      <c r="G5590" s="97"/>
      <c r="H5590" s="114" t="str">
        <f t="shared" si="77"/>
        <v/>
      </c>
      <c r="I5590" s="17"/>
      <c r="J5590" s="17"/>
      <c r="K5590" s="17"/>
    </row>
    <row r="5591" spans="1:11" x14ac:dyDescent="0.2">
      <c r="A5591" s="115"/>
      <c r="B5591" s="95"/>
      <c r="C5591" s="101"/>
      <c r="D5591" s="95"/>
      <c r="E5591" s="95"/>
      <c r="F5591" s="96"/>
      <c r="G5591" s="97"/>
      <c r="H5591" s="114" t="str">
        <f t="shared" si="77"/>
        <v/>
      </c>
      <c r="I5591" s="17"/>
      <c r="J5591" s="17"/>
      <c r="K5591" s="17"/>
    </row>
    <row r="5592" spans="1:11" x14ac:dyDescent="0.2">
      <c r="A5592" s="115"/>
      <c r="B5592" s="95"/>
      <c r="C5592" s="101"/>
      <c r="D5592" s="95"/>
      <c r="E5592" s="95"/>
      <c r="F5592" s="96"/>
      <c r="G5592" s="97"/>
      <c r="H5592" s="114" t="str">
        <f t="shared" si="77"/>
        <v/>
      </c>
      <c r="I5592" s="17"/>
      <c r="J5592" s="17"/>
      <c r="K5592" s="17"/>
    </row>
    <row r="5593" spans="1:11" x14ac:dyDescent="0.2">
      <c r="A5593" s="115"/>
      <c r="B5593" s="95"/>
      <c r="C5593" s="101"/>
      <c r="D5593" s="95"/>
      <c r="E5593" s="95"/>
      <c r="F5593" s="96"/>
      <c r="G5593" s="97"/>
      <c r="H5593" s="114" t="str">
        <f t="shared" si="77"/>
        <v/>
      </c>
      <c r="I5593" s="17"/>
      <c r="J5593" s="17"/>
      <c r="K5593" s="17"/>
    </row>
    <row r="5594" spans="1:11" x14ac:dyDescent="0.2">
      <c r="A5594" s="115"/>
      <c r="B5594" s="95"/>
      <c r="C5594" s="101"/>
      <c r="D5594" s="95"/>
      <c r="E5594" s="95"/>
      <c r="F5594" s="96"/>
      <c r="G5594" s="97"/>
      <c r="H5594" s="114" t="str">
        <f t="shared" si="77"/>
        <v/>
      </c>
      <c r="I5594" s="17"/>
      <c r="J5594" s="17"/>
      <c r="K5594" s="17"/>
    </row>
    <row r="5595" spans="1:11" x14ac:dyDescent="0.2">
      <c r="A5595" s="115"/>
      <c r="B5595" s="95"/>
      <c r="C5595" s="101"/>
      <c r="D5595" s="95"/>
      <c r="E5595" s="95"/>
      <c r="F5595" s="96"/>
      <c r="G5595" s="97"/>
      <c r="H5595" s="114" t="str">
        <f t="shared" si="77"/>
        <v/>
      </c>
      <c r="I5595" s="17"/>
      <c r="J5595" s="17"/>
      <c r="K5595" s="17"/>
    </row>
    <row r="5596" spans="1:11" x14ac:dyDescent="0.2">
      <c r="A5596" s="115"/>
      <c r="B5596" s="95"/>
      <c r="C5596" s="101"/>
      <c r="D5596" s="95"/>
      <c r="E5596" s="95"/>
      <c r="F5596" s="96"/>
      <c r="G5596" s="97"/>
      <c r="H5596" s="114" t="str">
        <f t="shared" si="77"/>
        <v/>
      </c>
      <c r="I5596" s="17"/>
      <c r="J5596" s="17"/>
      <c r="K5596" s="17"/>
    </row>
    <row r="5597" spans="1:11" x14ac:dyDescent="0.2">
      <c r="A5597" s="115"/>
      <c r="B5597" s="95"/>
      <c r="C5597" s="101"/>
      <c r="D5597" s="95"/>
      <c r="E5597" s="95"/>
      <c r="F5597" s="96"/>
      <c r="G5597" s="97"/>
      <c r="H5597" s="114" t="str">
        <f t="shared" si="77"/>
        <v/>
      </c>
      <c r="I5597" s="17"/>
      <c r="J5597" s="17"/>
      <c r="K5597" s="17"/>
    </row>
    <row r="5598" spans="1:11" x14ac:dyDescent="0.2">
      <c r="A5598" s="115"/>
      <c r="B5598" s="95"/>
      <c r="C5598" s="101"/>
      <c r="D5598" s="95"/>
      <c r="E5598" s="95"/>
      <c r="F5598" s="96"/>
      <c r="G5598" s="97"/>
      <c r="H5598" s="114" t="str">
        <f t="shared" si="77"/>
        <v/>
      </c>
      <c r="I5598" s="17"/>
      <c r="J5598" s="17"/>
      <c r="K5598" s="17"/>
    </row>
    <row r="5599" spans="1:11" x14ac:dyDescent="0.2">
      <c r="A5599" s="115"/>
      <c r="B5599" s="95"/>
      <c r="C5599" s="101"/>
      <c r="D5599" s="95"/>
      <c r="E5599" s="95"/>
      <c r="F5599" s="96"/>
      <c r="G5599" s="97"/>
      <c r="H5599" s="114" t="str">
        <f t="shared" si="77"/>
        <v/>
      </c>
      <c r="I5599" s="17"/>
      <c r="J5599" s="17"/>
      <c r="K5599" s="17"/>
    </row>
    <row r="5600" spans="1:11" x14ac:dyDescent="0.2">
      <c r="A5600" s="115"/>
      <c r="B5600" s="95"/>
      <c r="C5600" s="101"/>
      <c r="D5600" s="95"/>
      <c r="E5600" s="95"/>
      <c r="F5600" s="96"/>
      <c r="G5600" s="97"/>
      <c r="H5600" s="114" t="str">
        <f t="shared" si="77"/>
        <v/>
      </c>
      <c r="I5600" s="17"/>
      <c r="J5600" s="17"/>
      <c r="K5600" s="17"/>
    </row>
    <row r="5601" spans="1:11" x14ac:dyDescent="0.2">
      <c r="A5601" s="115"/>
      <c r="B5601" s="95"/>
      <c r="C5601" s="101"/>
      <c r="D5601" s="95"/>
      <c r="E5601" s="95"/>
      <c r="F5601" s="96"/>
      <c r="G5601" s="97"/>
      <c r="H5601" s="114" t="str">
        <f t="shared" si="77"/>
        <v/>
      </c>
      <c r="I5601" s="17"/>
      <c r="J5601" s="17"/>
      <c r="K5601" s="17"/>
    </row>
    <row r="5602" spans="1:11" x14ac:dyDescent="0.2">
      <c r="A5602" s="115"/>
      <c r="B5602" s="95"/>
      <c r="C5602" s="101"/>
      <c r="D5602" s="95"/>
      <c r="E5602" s="95"/>
      <c r="F5602" s="96"/>
      <c r="G5602" s="97"/>
      <c r="H5602" s="114" t="str">
        <f t="shared" si="77"/>
        <v/>
      </c>
      <c r="I5602" s="17"/>
      <c r="J5602" s="17"/>
      <c r="K5602" s="17"/>
    </row>
    <row r="5603" spans="1:11" x14ac:dyDescent="0.2">
      <c r="A5603" s="115"/>
      <c r="B5603" s="95"/>
      <c r="C5603" s="101"/>
      <c r="D5603" s="95"/>
      <c r="E5603" s="95"/>
      <c r="F5603" s="96"/>
      <c r="G5603" s="97"/>
      <c r="H5603" s="114" t="str">
        <f t="shared" si="77"/>
        <v/>
      </c>
      <c r="I5603" s="17"/>
      <c r="J5603" s="17"/>
      <c r="K5603" s="17"/>
    </row>
    <row r="5604" spans="1:11" x14ac:dyDescent="0.2">
      <c r="A5604" s="115"/>
      <c r="B5604" s="95"/>
      <c r="C5604" s="101"/>
      <c r="D5604" s="95"/>
      <c r="E5604" s="95"/>
      <c r="F5604" s="96"/>
      <c r="G5604" s="97"/>
      <c r="H5604" s="114" t="str">
        <f t="shared" si="77"/>
        <v/>
      </c>
      <c r="I5604" s="17"/>
      <c r="J5604" s="17"/>
      <c r="K5604" s="17"/>
    </row>
    <row r="5605" spans="1:11" x14ac:dyDescent="0.2">
      <c r="A5605" s="115"/>
      <c r="B5605" s="95"/>
      <c r="C5605" s="101"/>
      <c r="D5605" s="95"/>
      <c r="E5605" s="95"/>
      <c r="F5605" s="96"/>
      <c r="G5605" s="97"/>
      <c r="H5605" s="114" t="str">
        <f t="shared" si="77"/>
        <v/>
      </c>
      <c r="I5605" s="17"/>
      <c r="J5605" s="17"/>
      <c r="K5605" s="17"/>
    </row>
    <row r="5606" spans="1:11" x14ac:dyDescent="0.2">
      <c r="A5606" s="115"/>
      <c r="B5606" s="95"/>
      <c r="C5606" s="101"/>
      <c r="D5606" s="95"/>
      <c r="E5606" s="95"/>
      <c r="F5606" s="96"/>
      <c r="G5606" s="97"/>
      <c r="H5606" s="114" t="str">
        <f t="shared" si="77"/>
        <v/>
      </c>
      <c r="I5606" s="17"/>
      <c r="J5606" s="17"/>
      <c r="K5606" s="17"/>
    </row>
    <row r="5607" spans="1:11" x14ac:dyDescent="0.2">
      <c r="A5607" s="115"/>
      <c r="B5607" s="95"/>
      <c r="C5607" s="101"/>
      <c r="D5607" s="95"/>
      <c r="E5607" s="95"/>
      <c r="F5607" s="96"/>
      <c r="G5607" s="97"/>
      <c r="H5607" s="114" t="str">
        <f t="shared" si="77"/>
        <v/>
      </c>
      <c r="I5607" s="17"/>
      <c r="J5607" s="17"/>
      <c r="K5607" s="17"/>
    </row>
    <row r="5608" spans="1:11" x14ac:dyDescent="0.2">
      <c r="A5608" s="115"/>
      <c r="B5608" s="95"/>
      <c r="C5608" s="101"/>
      <c r="D5608" s="95"/>
      <c r="E5608" s="95"/>
      <c r="F5608" s="96"/>
      <c r="G5608" s="97"/>
      <c r="H5608" s="114" t="str">
        <f t="shared" si="77"/>
        <v/>
      </c>
      <c r="I5608" s="17"/>
      <c r="J5608" s="17"/>
      <c r="K5608" s="17"/>
    </row>
    <row r="5609" spans="1:11" x14ac:dyDescent="0.2">
      <c r="A5609" s="115"/>
      <c r="B5609" s="95"/>
      <c r="C5609" s="101"/>
      <c r="D5609" s="95"/>
      <c r="E5609" s="95"/>
      <c r="F5609" s="96"/>
      <c r="G5609" s="97"/>
      <c r="H5609" s="114" t="str">
        <f t="shared" si="77"/>
        <v/>
      </c>
      <c r="I5609" s="17"/>
      <c r="J5609" s="17"/>
      <c r="K5609" s="17"/>
    </row>
    <row r="5610" spans="1:11" x14ac:dyDescent="0.2">
      <c r="A5610" s="115"/>
      <c r="B5610" s="95"/>
      <c r="C5610" s="101"/>
      <c r="D5610" s="95"/>
      <c r="E5610" s="95"/>
      <c r="F5610" s="96"/>
      <c r="G5610" s="97"/>
      <c r="H5610" s="114" t="str">
        <f t="shared" si="77"/>
        <v/>
      </c>
      <c r="I5610" s="17"/>
      <c r="J5610" s="17"/>
      <c r="K5610" s="17"/>
    </row>
    <row r="5611" spans="1:11" x14ac:dyDescent="0.2">
      <c r="A5611" s="115"/>
      <c r="B5611" s="95"/>
      <c r="C5611" s="101"/>
      <c r="D5611" s="95"/>
      <c r="E5611" s="95"/>
      <c r="F5611" s="96"/>
      <c r="G5611" s="97"/>
      <c r="H5611" s="114" t="str">
        <f t="shared" si="77"/>
        <v/>
      </c>
      <c r="I5611" s="17"/>
      <c r="J5611" s="17"/>
      <c r="K5611" s="17"/>
    </row>
    <row r="5612" spans="1:11" x14ac:dyDescent="0.2">
      <c r="A5612" s="115"/>
      <c r="B5612" s="95"/>
      <c r="C5612" s="101"/>
      <c r="D5612" s="95"/>
      <c r="E5612" s="95"/>
      <c r="F5612" s="96"/>
      <c r="G5612" s="97"/>
      <c r="H5612" s="114" t="str">
        <f t="shared" si="77"/>
        <v/>
      </c>
      <c r="I5612" s="17"/>
      <c r="J5612" s="17"/>
      <c r="K5612" s="17"/>
    </row>
    <row r="5613" spans="1:11" x14ac:dyDescent="0.2">
      <c r="A5613" s="115"/>
      <c r="B5613" s="95"/>
      <c r="C5613" s="101"/>
      <c r="D5613" s="95"/>
      <c r="E5613" s="95"/>
      <c r="F5613" s="96"/>
      <c r="G5613" s="97"/>
      <c r="H5613" s="114" t="str">
        <f t="shared" si="77"/>
        <v/>
      </c>
      <c r="I5613" s="17"/>
      <c r="J5613" s="17"/>
      <c r="K5613" s="17"/>
    </row>
    <row r="5614" spans="1:11" x14ac:dyDescent="0.2">
      <c r="A5614" s="115"/>
      <c r="B5614" s="95"/>
      <c r="C5614" s="101"/>
      <c r="D5614" s="95"/>
      <c r="E5614" s="95"/>
      <c r="F5614" s="96"/>
      <c r="G5614" s="97"/>
      <c r="H5614" s="114" t="str">
        <f t="shared" si="77"/>
        <v/>
      </c>
      <c r="I5614" s="17"/>
      <c r="J5614" s="17"/>
      <c r="K5614" s="17"/>
    </row>
    <row r="5615" spans="1:11" x14ac:dyDescent="0.2">
      <c r="A5615" s="115"/>
      <c r="B5615" s="95"/>
      <c r="C5615" s="101"/>
      <c r="D5615" s="95"/>
      <c r="E5615" s="95"/>
      <c r="F5615" s="96"/>
      <c r="G5615" s="97"/>
      <c r="H5615" s="114" t="str">
        <f t="shared" si="77"/>
        <v/>
      </c>
      <c r="I5615" s="17"/>
      <c r="J5615" s="17"/>
      <c r="K5615" s="17"/>
    </row>
    <row r="5616" spans="1:11" x14ac:dyDescent="0.2">
      <c r="A5616" s="115"/>
      <c r="B5616" s="95"/>
      <c r="C5616" s="101"/>
      <c r="D5616" s="95"/>
      <c r="E5616" s="95"/>
      <c r="F5616" s="96"/>
      <c r="G5616" s="97"/>
      <c r="H5616" s="114" t="str">
        <f t="shared" si="77"/>
        <v/>
      </c>
      <c r="I5616" s="17"/>
      <c r="J5616" s="17"/>
      <c r="K5616" s="17"/>
    </row>
    <row r="5617" spans="1:11" x14ac:dyDescent="0.2">
      <c r="A5617" s="115"/>
      <c r="B5617" s="95"/>
      <c r="C5617" s="101"/>
      <c r="D5617" s="95"/>
      <c r="E5617" s="95"/>
      <c r="F5617" s="96"/>
      <c r="G5617" s="97"/>
      <c r="H5617" s="114" t="str">
        <f t="shared" si="77"/>
        <v/>
      </c>
      <c r="I5617" s="17"/>
      <c r="J5617" s="17"/>
      <c r="K5617" s="17"/>
    </row>
    <row r="5618" spans="1:11" x14ac:dyDescent="0.2">
      <c r="A5618" s="115"/>
      <c r="B5618" s="95"/>
      <c r="C5618" s="101"/>
      <c r="D5618" s="95"/>
      <c r="E5618" s="95"/>
      <c r="F5618" s="96"/>
      <c r="G5618" s="97"/>
      <c r="H5618" s="114" t="str">
        <f t="shared" si="77"/>
        <v/>
      </c>
      <c r="I5618" s="17"/>
      <c r="J5618" s="17"/>
      <c r="K5618" s="17"/>
    </row>
    <row r="5619" spans="1:11" x14ac:dyDescent="0.2">
      <c r="A5619" s="115"/>
      <c r="B5619" s="95"/>
      <c r="C5619" s="101"/>
      <c r="D5619" s="95"/>
      <c r="E5619" s="95"/>
      <c r="F5619" s="96"/>
      <c r="G5619" s="97"/>
      <c r="H5619" s="114" t="str">
        <f t="shared" si="77"/>
        <v/>
      </c>
      <c r="I5619" s="17"/>
      <c r="J5619" s="17"/>
      <c r="K5619" s="17"/>
    </row>
    <row r="5620" spans="1:11" x14ac:dyDescent="0.2">
      <c r="A5620" s="115"/>
      <c r="B5620" s="95"/>
      <c r="C5620" s="94"/>
      <c r="D5620" s="95"/>
      <c r="E5620" s="95"/>
      <c r="F5620" s="96"/>
      <c r="G5620" s="97"/>
      <c r="H5620" s="114" t="str">
        <f t="shared" si="77"/>
        <v/>
      </c>
      <c r="I5620" s="17"/>
      <c r="J5620" s="17"/>
      <c r="K5620" s="17"/>
    </row>
    <row r="5621" spans="1:11" x14ac:dyDescent="0.2">
      <c r="A5621" s="115"/>
      <c r="B5621" s="95"/>
      <c r="C5621" s="94"/>
      <c r="D5621" s="95"/>
      <c r="E5621" s="95"/>
      <c r="F5621" s="96"/>
      <c r="G5621" s="97"/>
      <c r="H5621" s="114" t="str">
        <f t="shared" si="77"/>
        <v/>
      </c>
      <c r="I5621" s="17"/>
      <c r="J5621" s="17"/>
      <c r="K5621" s="17"/>
    </row>
    <row r="5622" spans="1:11" x14ac:dyDescent="0.2">
      <c r="A5622" s="115"/>
      <c r="B5622" s="95"/>
      <c r="C5622" s="94"/>
      <c r="D5622" s="95"/>
      <c r="E5622" s="95"/>
      <c r="F5622" s="96"/>
      <c r="G5622" s="97"/>
      <c r="H5622" s="114" t="str">
        <f t="shared" si="77"/>
        <v/>
      </c>
      <c r="I5622" s="17"/>
      <c r="J5622" s="17"/>
      <c r="K5622" s="17"/>
    </row>
    <row r="5623" spans="1:11" x14ac:dyDescent="0.2">
      <c r="A5623" s="115"/>
      <c r="B5623" s="95"/>
      <c r="C5623" s="94"/>
      <c r="D5623" s="95"/>
      <c r="E5623" s="95"/>
      <c r="F5623" s="96"/>
      <c r="G5623" s="97"/>
      <c r="H5623" s="114" t="str">
        <f t="shared" si="77"/>
        <v/>
      </c>
      <c r="I5623" s="17"/>
      <c r="J5623" s="17"/>
      <c r="K5623" s="17"/>
    </row>
    <row r="5624" spans="1:11" x14ac:dyDescent="0.2">
      <c r="A5624" s="115"/>
      <c r="B5624" s="95"/>
      <c r="C5624" s="94"/>
      <c r="D5624" s="95"/>
      <c r="E5624" s="95"/>
      <c r="F5624" s="96"/>
      <c r="G5624" s="97"/>
      <c r="H5624" s="114" t="str">
        <f t="shared" si="77"/>
        <v/>
      </c>
      <c r="I5624" s="17"/>
      <c r="J5624" s="17"/>
      <c r="K5624" s="17"/>
    </row>
    <row r="5625" spans="1:11" x14ac:dyDescent="0.2">
      <c r="A5625" s="115"/>
      <c r="B5625" s="95"/>
      <c r="C5625" s="94"/>
      <c r="D5625" s="95"/>
      <c r="E5625" s="95"/>
      <c r="F5625" s="96"/>
      <c r="G5625" s="97"/>
      <c r="H5625" s="114" t="str">
        <f t="shared" si="77"/>
        <v/>
      </c>
      <c r="I5625" s="17"/>
      <c r="J5625" s="17"/>
      <c r="K5625" s="17"/>
    </row>
    <row r="5626" spans="1:11" x14ac:dyDescent="0.2">
      <c r="A5626" s="115"/>
      <c r="B5626" s="95"/>
      <c r="C5626" s="94"/>
      <c r="D5626" s="95"/>
      <c r="E5626" s="95"/>
      <c r="F5626" s="96"/>
      <c r="G5626" s="97"/>
      <c r="H5626" s="114" t="str">
        <f t="shared" si="77"/>
        <v/>
      </c>
      <c r="I5626" s="17"/>
      <c r="J5626" s="17"/>
      <c r="K5626" s="17"/>
    </row>
    <row r="5627" spans="1:11" x14ac:dyDescent="0.2">
      <c r="A5627" s="115"/>
      <c r="B5627" s="95"/>
      <c r="C5627" s="94"/>
      <c r="D5627" s="95"/>
      <c r="E5627" s="95"/>
      <c r="F5627" s="96"/>
      <c r="G5627" s="97"/>
      <c r="H5627" s="114" t="str">
        <f t="shared" si="77"/>
        <v/>
      </c>
      <c r="I5627" s="17"/>
      <c r="J5627" s="17"/>
      <c r="K5627" s="17"/>
    </row>
    <row r="5628" spans="1:11" x14ac:dyDescent="0.2">
      <c r="A5628" s="115"/>
      <c r="B5628" s="95"/>
      <c r="C5628" s="94"/>
      <c r="D5628" s="95"/>
      <c r="E5628" s="95"/>
      <c r="F5628" s="96"/>
      <c r="G5628" s="97"/>
      <c r="H5628" s="114" t="str">
        <f t="shared" si="77"/>
        <v/>
      </c>
      <c r="I5628" s="17"/>
      <c r="J5628" s="17"/>
      <c r="K5628" s="17"/>
    </row>
    <row r="5629" spans="1:11" x14ac:dyDescent="0.2">
      <c r="A5629" s="115"/>
      <c r="B5629" s="95"/>
      <c r="C5629" s="94"/>
      <c r="D5629" s="95"/>
      <c r="E5629" s="95"/>
      <c r="F5629" s="96"/>
      <c r="G5629" s="97"/>
      <c r="H5629" s="114" t="str">
        <f t="shared" si="77"/>
        <v/>
      </c>
      <c r="I5629" s="17"/>
      <c r="J5629" s="17"/>
      <c r="K5629" s="17"/>
    </row>
    <row r="5630" spans="1:11" x14ac:dyDescent="0.2">
      <c r="A5630" s="115"/>
      <c r="B5630" s="95"/>
      <c r="C5630" s="94"/>
      <c r="D5630" s="95"/>
      <c r="E5630" s="95"/>
      <c r="F5630" s="96"/>
      <c r="G5630" s="97"/>
      <c r="H5630" s="114" t="str">
        <f t="shared" si="77"/>
        <v/>
      </c>
      <c r="I5630" s="17"/>
      <c r="J5630" s="17"/>
      <c r="K5630" s="17"/>
    </row>
    <row r="5631" spans="1:11" x14ac:dyDescent="0.2">
      <c r="A5631" s="115"/>
      <c r="B5631" s="95"/>
      <c r="C5631" s="94"/>
      <c r="D5631" s="95"/>
      <c r="E5631" s="95"/>
      <c r="F5631" s="96"/>
      <c r="G5631" s="97"/>
      <c r="H5631" s="114" t="str">
        <f t="shared" si="77"/>
        <v/>
      </c>
      <c r="I5631" s="17"/>
      <c r="J5631" s="17"/>
      <c r="K5631" s="17"/>
    </row>
    <row r="5632" spans="1:11" x14ac:dyDescent="0.2">
      <c r="A5632" s="115"/>
      <c r="B5632" s="95"/>
      <c r="C5632" s="94"/>
      <c r="D5632" s="95"/>
      <c r="E5632" s="95"/>
      <c r="F5632" s="96"/>
      <c r="G5632" s="97"/>
      <c r="H5632" s="114" t="str">
        <f t="shared" si="77"/>
        <v/>
      </c>
      <c r="I5632" s="17"/>
      <c r="J5632" s="17"/>
      <c r="K5632" s="17"/>
    </row>
    <row r="5633" spans="1:11" x14ac:dyDescent="0.2">
      <c r="A5633" s="115"/>
      <c r="B5633" s="95"/>
      <c r="C5633" s="94"/>
      <c r="D5633" s="95"/>
      <c r="E5633" s="95"/>
      <c r="F5633" s="96"/>
      <c r="G5633" s="97"/>
      <c r="H5633" s="114" t="str">
        <f t="shared" si="77"/>
        <v/>
      </c>
      <c r="I5633" s="17"/>
      <c r="J5633" s="17"/>
      <c r="K5633" s="17"/>
    </row>
    <row r="5634" spans="1:11" x14ac:dyDescent="0.2">
      <c r="A5634" s="115"/>
      <c r="B5634" s="95"/>
      <c r="C5634" s="94"/>
      <c r="D5634" s="95"/>
      <c r="E5634" s="95"/>
      <c r="F5634" s="96"/>
      <c r="G5634" s="97"/>
      <c r="H5634" s="114" t="str">
        <f t="shared" si="77"/>
        <v/>
      </c>
      <c r="I5634" s="17"/>
      <c r="J5634" s="17"/>
      <c r="K5634" s="17"/>
    </row>
    <row r="5635" spans="1:11" x14ac:dyDescent="0.2">
      <c r="A5635" s="115"/>
      <c r="B5635" s="95"/>
      <c r="C5635" s="94"/>
      <c r="D5635" s="95"/>
      <c r="E5635" s="95"/>
      <c r="F5635" s="96"/>
      <c r="G5635" s="97"/>
      <c r="H5635" s="114" t="str">
        <f t="shared" si="77"/>
        <v/>
      </c>
      <c r="I5635" s="17"/>
      <c r="J5635" s="17"/>
      <c r="K5635" s="17"/>
    </row>
    <row r="5636" spans="1:11" x14ac:dyDescent="0.2">
      <c r="A5636" s="115"/>
      <c r="B5636" s="95"/>
      <c r="C5636" s="94"/>
      <c r="D5636" s="95"/>
      <c r="E5636" s="95"/>
      <c r="F5636" s="96"/>
      <c r="G5636" s="97"/>
      <c r="H5636" s="114" t="str">
        <f t="shared" ref="H5636:H5699" si="78">IF(A5636&lt;&gt;"", EOMONTH(A5636, -1) + 1, "")</f>
        <v/>
      </c>
      <c r="I5636" s="17"/>
      <c r="J5636" s="17"/>
      <c r="K5636" s="17"/>
    </row>
    <row r="5637" spans="1:11" x14ac:dyDescent="0.2">
      <c r="A5637" s="115"/>
      <c r="B5637" s="95"/>
      <c r="C5637" s="94"/>
      <c r="D5637" s="95"/>
      <c r="E5637" s="95"/>
      <c r="F5637" s="96"/>
      <c r="G5637" s="97"/>
      <c r="H5637" s="114" t="str">
        <f t="shared" si="78"/>
        <v/>
      </c>
      <c r="I5637" s="17"/>
      <c r="J5637" s="17"/>
      <c r="K5637" s="17"/>
    </row>
    <row r="5638" spans="1:11" x14ac:dyDescent="0.2">
      <c r="A5638" s="115"/>
      <c r="B5638" s="95"/>
      <c r="C5638" s="94"/>
      <c r="D5638" s="95"/>
      <c r="E5638" s="95"/>
      <c r="F5638" s="96"/>
      <c r="G5638" s="97"/>
      <c r="H5638" s="114" t="str">
        <f t="shared" si="78"/>
        <v/>
      </c>
      <c r="I5638" s="17"/>
      <c r="J5638" s="17"/>
      <c r="K5638" s="17"/>
    </row>
    <row r="5639" spans="1:11" x14ac:dyDescent="0.2">
      <c r="A5639" s="115"/>
      <c r="B5639" s="95"/>
      <c r="C5639" s="94"/>
      <c r="D5639" s="95"/>
      <c r="E5639" s="95"/>
      <c r="F5639" s="96"/>
      <c r="G5639" s="97"/>
      <c r="H5639" s="114" t="str">
        <f t="shared" si="78"/>
        <v/>
      </c>
      <c r="I5639" s="17"/>
      <c r="J5639" s="17"/>
      <c r="K5639" s="17"/>
    </row>
    <row r="5640" spans="1:11" x14ac:dyDescent="0.2">
      <c r="A5640" s="115"/>
      <c r="B5640" s="95"/>
      <c r="C5640" s="94"/>
      <c r="D5640" s="95"/>
      <c r="E5640" s="95"/>
      <c r="F5640" s="96"/>
      <c r="G5640" s="97"/>
      <c r="H5640" s="114" t="str">
        <f t="shared" si="78"/>
        <v/>
      </c>
      <c r="I5640" s="17"/>
      <c r="J5640" s="17"/>
      <c r="K5640" s="17"/>
    </row>
    <row r="5641" spans="1:11" x14ac:dyDescent="0.2">
      <c r="A5641" s="115"/>
      <c r="B5641" s="95"/>
      <c r="C5641" s="94"/>
      <c r="D5641" s="95"/>
      <c r="E5641" s="95"/>
      <c r="F5641" s="96"/>
      <c r="G5641" s="97"/>
      <c r="H5641" s="114" t="str">
        <f t="shared" si="78"/>
        <v/>
      </c>
      <c r="I5641" s="17"/>
      <c r="J5641" s="17"/>
      <c r="K5641" s="17"/>
    </row>
    <row r="5642" spans="1:11" x14ac:dyDescent="0.2">
      <c r="A5642" s="115"/>
      <c r="B5642" s="95"/>
      <c r="C5642" s="94"/>
      <c r="D5642" s="95"/>
      <c r="E5642" s="95"/>
      <c r="F5642" s="96"/>
      <c r="G5642" s="97"/>
      <c r="H5642" s="114" t="str">
        <f t="shared" si="78"/>
        <v/>
      </c>
      <c r="I5642" s="17"/>
      <c r="J5642" s="17"/>
      <c r="K5642" s="17"/>
    </row>
    <row r="5643" spans="1:11" x14ac:dyDescent="0.2">
      <c r="A5643" s="115"/>
      <c r="B5643" s="95"/>
      <c r="C5643" s="94"/>
      <c r="D5643" s="95"/>
      <c r="E5643" s="95"/>
      <c r="F5643" s="96"/>
      <c r="G5643" s="97"/>
      <c r="H5643" s="114" t="str">
        <f t="shared" si="78"/>
        <v/>
      </c>
      <c r="I5643" s="17"/>
      <c r="J5643" s="17"/>
      <c r="K5643" s="17"/>
    </row>
    <row r="5644" spans="1:11" x14ac:dyDescent="0.2">
      <c r="A5644" s="115"/>
      <c r="B5644" s="95"/>
      <c r="C5644" s="94"/>
      <c r="D5644" s="95"/>
      <c r="E5644" s="95"/>
      <c r="F5644" s="96"/>
      <c r="G5644" s="97"/>
      <c r="H5644" s="114" t="str">
        <f t="shared" si="78"/>
        <v/>
      </c>
      <c r="I5644" s="17"/>
      <c r="J5644" s="17"/>
      <c r="K5644" s="17"/>
    </row>
    <row r="5645" spans="1:11" x14ac:dyDescent="0.2">
      <c r="A5645" s="115"/>
      <c r="B5645" s="95"/>
      <c r="C5645" s="94"/>
      <c r="D5645" s="95"/>
      <c r="E5645" s="95"/>
      <c r="F5645" s="96"/>
      <c r="G5645" s="97"/>
      <c r="H5645" s="114" t="str">
        <f t="shared" si="78"/>
        <v/>
      </c>
      <c r="I5645" s="17"/>
      <c r="J5645" s="17"/>
      <c r="K5645" s="17"/>
    </row>
    <row r="5646" spans="1:11" x14ac:dyDescent="0.2">
      <c r="A5646" s="115"/>
      <c r="B5646" s="95"/>
      <c r="C5646" s="94"/>
      <c r="D5646" s="95"/>
      <c r="E5646" s="95"/>
      <c r="F5646" s="96"/>
      <c r="G5646" s="97"/>
      <c r="H5646" s="114" t="str">
        <f t="shared" si="78"/>
        <v/>
      </c>
      <c r="I5646" s="17"/>
      <c r="J5646" s="17"/>
      <c r="K5646" s="17"/>
    </row>
    <row r="5647" spans="1:11" x14ac:dyDescent="0.2">
      <c r="A5647" s="115"/>
      <c r="B5647" s="95"/>
      <c r="C5647" s="94"/>
      <c r="D5647" s="95"/>
      <c r="E5647" s="95"/>
      <c r="F5647" s="96"/>
      <c r="G5647" s="97"/>
      <c r="H5647" s="114" t="str">
        <f t="shared" si="78"/>
        <v/>
      </c>
      <c r="I5647" s="17"/>
      <c r="J5647" s="17"/>
      <c r="K5647" s="17"/>
    </row>
    <row r="5648" spans="1:11" x14ac:dyDescent="0.2">
      <c r="A5648" s="115"/>
      <c r="B5648" s="95"/>
      <c r="C5648" s="94"/>
      <c r="D5648" s="95"/>
      <c r="E5648" s="95"/>
      <c r="F5648" s="96"/>
      <c r="G5648" s="97"/>
      <c r="H5648" s="114" t="str">
        <f t="shared" si="78"/>
        <v/>
      </c>
      <c r="I5648" s="17"/>
      <c r="J5648" s="17"/>
      <c r="K5648" s="17"/>
    </row>
    <row r="5649" spans="1:11" x14ac:dyDescent="0.2">
      <c r="A5649" s="115"/>
      <c r="B5649" s="95"/>
      <c r="C5649" s="94"/>
      <c r="D5649" s="95"/>
      <c r="E5649" s="95"/>
      <c r="F5649" s="96"/>
      <c r="G5649" s="97"/>
      <c r="H5649" s="114" t="str">
        <f t="shared" si="78"/>
        <v/>
      </c>
      <c r="I5649" s="17"/>
      <c r="J5649" s="17"/>
      <c r="K5649" s="17"/>
    </row>
    <row r="5650" spans="1:11" x14ac:dyDescent="0.2">
      <c r="A5650" s="115"/>
      <c r="B5650" s="95"/>
      <c r="C5650" s="94"/>
      <c r="D5650" s="95"/>
      <c r="E5650" s="95"/>
      <c r="F5650" s="96"/>
      <c r="G5650" s="97"/>
      <c r="H5650" s="114" t="str">
        <f t="shared" si="78"/>
        <v/>
      </c>
      <c r="I5650" s="17"/>
      <c r="J5650" s="17"/>
      <c r="K5650" s="17"/>
    </row>
    <row r="5651" spans="1:11" x14ac:dyDescent="0.2">
      <c r="A5651" s="115"/>
      <c r="B5651" s="95"/>
      <c r="C5651" s="94"/>
      <c r="D5651" s="95"/>
      <c r="E5651" s="95"/>
      <c r="F5651" s="96"/>
      <c r="G5651" s="97"/>
      <c r="H5651" s="114" t="str">
        <f t="shared" si="78"/>
        <v/>
      </c>
      <c r="I5651" s="17"/>
      <c r="J5651" s="17"/>
      <c r="K5651" s="17"/>
    </row>
    <row r="5652" spans="1:11" x14ac:dyDescent="0.2">
      <c r="A5652" s="115"/>
      <c r="B5652" s="95"/>
      <c r="C5652" s="94"/>
      <c r="D5652" s="95"/>
      <c r="E5652" s="95"/>
      <c r="F5652" s="96"/>
      <c r="G5652" s="97"/>
      <c r="H5652" s="114" t="str">
        <f t="shared" si="78"/>
        <v/>
      </c>
      <c r="I5652" s="17"/>
      <c r="J5652" s="17"/>
      <c r="K5652" s="17"/>
    </row>
    <row r="5653" spans="1:11" x14ac:dyDescent="0.2">
      <c r="A5653" s="115"/>
      <c r="B5653" s="95"/>
      <c r="C5653" s="94"/>
      <c r="D5653" s="95"/>
      <c r="E5653" s="95"/>
      <c r="F5653" s="96"/>
      <c r="G5653" s="97"/>
      <c r="H5653" s="114" t="str">
        <f t="shared" si="78"/>
        <v/>
      </c>
      <c r="I5653" s="17"/>
      <c r="J5653" s="17"/>
      <c r="K5653" s="17"/>
    </row>
    <row r="5654" spans="1:11" x14ac:dyDescent="0.2">
      <c r="A5654" s="115"/>
      <c r="B5654" s="95"/>
      <c r="C5654" s="94"/>
      <c r="D5654" s="95"/>
      <c r="E5654" s="95"/>
      <c r="F5654" s="96"/>
      <c r="G5654" s="97"/>
      <c r="H5654" s="114" t="str">
        <f t="shared" si="78"/>
        <v/>
      </c>
      <c r="I5654" s="17"/>
      <c r="J5654" s="17"/>
      <c r="K5654" s="17"/>
    </row>
    <row r="5655" spans="1:11" x14ac:dyDescent="0.2">
      <c r="A5655" s="115"/>
      <c r="B5655" s="95"/>
      <c r="C5655" s="94"/>
      <c r="D5655" s="95"/>
      <c r="E5655" s="95"/>
      <c r="F5655" s="96"/>
      <c r="G5655" s="97"/>
      <c r="H5655" s="114" t="str">
        <f t="shared" si="78"/>
        <v/>
      </c>
      <c r="I5655" s="17"/>
      <c r="J5655" s="17"/>
      <c r="K5655" s="17"/>
    </row>
    <row r="5656" spans="1:11" x14ac:dyDescent="0.2">
      <c r="A5656" s="115"/>
      <c r="B5656" s="95"/>
      <c r="C5656" s="94"/>
      <c r="D5656" s="95"/>
      <c r="E5656" s="95"/>
      <c r="F5656" s="96"/>
      <c r="G5656" s="97"/>
      <c r="H5656" s="114" t="str">
        <f t="shared" si="78"/>
        <v/>
      </c>
      <c r="I5656" s="17"/>
      <c r="J5656" s="17"/>
      <c r="K5656" s="17"/>
    </row>
    <row r="5657" spans="1:11" x14ac:dyDescent="0.2">
      <c r="A5657" s="115"/>
      <c r="B5657" s="95"/>
      <c r="C5657" s="94"/>
      <c r="D5657" s="95"/>
      <c r="E5657" s="95"/>
      <c r="F5657" s="96"/>
      <c r="G5657" s="97"/>
      <c r="H5657" s="114" t="str">
        <f t="shared" si="78"/>
        <v/>
      </c>
      <c r="I5657" s="17"/>
      <c r="J5657" s="17"/>
      <c r="K5657" s="17"/>
    </row>
    <row r="5658" spans="1:11" x14ac:dyDescent="0.2">
      <c r="A5658" s="115"/>
      <c r="B5658" s="95"/>
      <c r="C5658" s="94"/>
      <c r="D5658" s="95"/>
      <c r="E5658" s="95"/>
      <c r="F5658" s="96"/>
      <c r="G5658" s="97"/>
      <c r="H5658" s="114" t="str">
        <f t="shared" si="78"/>
        <v/>
      </c>
      <c r="I5658" s="17"/>
      <c r="J5658" s="17"/>
      <c r="K5658" s="17"/>
    </row>
    <row r="5659" spans="1:11" x14ac:dyDescent="0.2">
      <c r="A5659" s="115"/>
      <c r="B5659" s="95"/>
      <c r="C5659" s="94"/>
      <c r="D5659" s="95"/>
      <c r="E5659" s="95"/>
      <c r="F5659" s="96"/>
      <c r="G5659" s="97"/>
      <c r="H5659" s="114" t="str">
        <f t="shared" si="78"/>
        <v/>
      </c>
      <c r="I5659" s="17"/>
      <c r="J5659" s="17"/>
      <c r="K5659" s="17"/>
    </row>
    <row r="5660" spans="1:11" x14ac:dyDescent="0.2">
      <c r="A5660" s="115"/>
      <c r="B5660" s="95"/>
      <c r="C5660" s="94"/>
      <c r="D5660" s="95"/>
      <c r="E5660" s="95"/>
      <c r="F5660" s="96"/>
      <c r="G5660" s="97"/>
      <c r="H5660" s="114" t="str">
        <f t="shared" si="78"/>
        <v/>
      </c>
      <c r="I5660" s="17"/>
      <c r="J5660" s="17"/>
      <c r="K5660" s="17"/>
    </row>
    <row r="5661" spans="1:11" x14ac:dyDescent="0.2">
      <c r="A5661" s="115"/>
      <c r="B5661" s="95"/>
      <c r="C5661" s="94"/>
      <c r="D5661" s="95"/>
      <c r="E5661" s="95"/>
      <c r="F5661" s="96"/>
      <c r="G5661" s="97"/>
      <c r="H5661" s="114" t="str">
        <f t="shared" si="78"/>
        <v/>
      </c>
      <c r="I5661" s="17"/>
      <c r="J5661" s="17"/>
      <c r="K5661" s="17"/>
    </row>
    <row r="5662" spans="1:11" x14ac:dyDescent="0.2">
      <c r="A5662" s="115"/>
      <c r="B5662" s="95"/>
      <c r="C5662" s="94"/>
      <c r="D5662" s="95"/>
      <c r="E5662" s="95"/>
      <c r="F5662" s="96"/>
      <c r="G5662" s="97"/>
      <c r="H5662" s="114" t="str">
        <f t="shared" si="78"/>
        <v/>
      </c>
      <c r="I5662" s="17"/>
      <c r="J5662" s="17"/>
      <c r="K5662" s="17"/>
    </row>
    <row r="5663" spans="1:11" x14ac:dyDescent="0.2">
      <c r="A5663" s="115"/>
      <c r="B5663" s="95"/>
      <c r="C5663" s="94"/>
      <c r="D5663" s="95"/>
      <c r="E5663" s="95"/>
      <c r="F5663" s="96"/>
      <c r="G5663" s="97"/>
      <c r="H5663" s="114" t="str">
        <f t="shared" si="78"/>
        <v/>
      </c>
      <c r="I5663" s="17"/>
      <c r="J5663" s="17"/>
      <c r="K5663" s="17"/>
    </row>
    <row r="5664" spans="1:11" x14ac:dyDescent="0.2">
      <c r="A5664" s="115"/>
      <c r="B5664" s="95"/>
      <c r="C5664" s="94"/>
      <c r="D5664" s="95"/>
      <c r="E5664" s="95"/>
      <c r="F5664" s="96"/>
      <c r="G5664" s="97"/>
      <c r="H5664" s="114" t="str">
        <f t="shared" si="78"/>
        <v/>
      </c>
      <c r="I5664" s="17"/>
      <c r="J5664" s="17"/>
      <c r="K5664" s="17"/>
    </row>
    <row r="5665" spans="1:11" x14ac:dyDescent="0.2">
      <c r="A5665" s="115"/>
      <c r="B5665" s="95"/>
      <c r="C5665" s="94"/>
      <c r="D5665" s="95"/>
      <c r="E5665" s="95"/>
      <c r="F5665" s="96"/>
      <c r="G5665" s="97"/>
      <c r="H5665" s="114" t="str">
        <f t="shared" si="78"/>
        <v/>
      </c>
      <c r="I5665" s="17"/>
      <c r="J5665" s="17"/>
      <c r="K5665" s="17"/>
    </row>
    <row r="5666" spans="1:11" x14ac:dyDescent="0.2">
      <c r="A5666" s="115"/>
      <c r="B5666" s="95"/>
      <c r="C5666" s="94"/>
      <c r="D5666" s="95"/>
      <c r="E5666" s="95"/>
      <c r="F5666" s="96"/>
      <c r="G5666" s="97"/>
      <c r="H5666" s="114" t="str">
        <f t="shared" si="78"/>
        <v/>
      </c>
      <c r="I5666" s="17"/>
      <c r="J5666" s="17"/>
      <c r="K5666" s="17"/>
    </row>
    <row r="5667" spans="1:11" x14ac:dyDescent="0.2">
      <c r="A5667" s="115"/>
      <c r="B5667" s="95"/>
      <c r="C5667" s="94"/>
      <c r="D5667" s="95"/>
      <c r="E5667" s="95"/>
      <c r="F5667" s="96"/>
      <c r="G5667" s="97"/>
      <c r="H5667" s="114" t="str">
        <f t="shared" si="78"/>
        <v/>
      </c>
      <c r="I5667" s="17"/>
      <c r="J5667" s="17"/>
      <c r="K5667" s="17"/>
    </row>
    <row r="5668" spans="1:11" x14ac:dyDescent="0.2">
      <c r="A5668" s="115"/>
      <c r="B5668" s="95"/>
      <c r="C5668" s="94"/>
      <c r="D5668" s="95"/>
      <c r="E5668" s="95"/>
      <c r="F5668" s="96"/>
      <c r="G5668" s="97"/>
      <c r="H5668" s="114" t="str">
        <f t="shared" si="78"/>
        <v/>
      </c>
      <c r="I5668" s="17"/>
      <c r="J5668" s="17"/>
      <c r="K5668" s="17"/>
    </row>
    <row r="5669" spans="1:11" x14ac:dyDescent="0.2">
      <c r="A5669" s="115"/>
      <c r="B5669" s="95"/>
      <c r="C5669" s="94"/>
      <c r="D5669" s="95"/>
      <c r="E5669" s="95"/>
      <c r="F5669" s="96"/>
      <c r="G5669" s="97"/>
      <c r="H5669" s="114" t="str">
        <f t="shared" si="78"/>
        <v/>
      </c>
      <c r="I5669" s="17"/>
      <c r="J5669" s="17"/>
      <c r="K5669" s="17"/>
    </row>
    <row r="5670" spans="1:11" x14ac:dyDescent="0.2">
      <c r="A5670" s="115"/>
      <c r="B5670" s="95"/>
      <c r="C5670" s="94"/>
      <c r="D5670" s="95"/>
      <c r="E5670" s="95"/>
      <c r="F5670" s="96"/>
      <c r="G5670" s="97"/>
      <c r="H5670" s="114" t="str">
        <f t="shared" si="78"/>
        <v/>
      </c>
      <c r="I5670" s="17"/>
      <c r="J5670" s="17"/>
      <c r="K5670" s="17"/>
    </row>
    <row r="5671" spans="1:11" x14ac:dyDescent="0.2">
      <c r="A5671" s="115"/>
      <c r="B5671" s="95"/>
      <c r="C5671" s="94"/>
      <c r="D5671" s="95"/>
      <c r="E5671" s="95"/>
      <c r="F5671" s="96"/>
      <c r="G5671" s="97"/>
      <c r="H5671" s="114" t="str">
        <f t="shared" si="78"/>
        <v/>
      </c>
      <c r="I5671" s="17"/>
      <c r="J5671" s="17"/>
      <c r="K5671" s="17"/>
    </row>
    <row r="5672" spans="1:11" x14ac:dyDescent="0.2">
      <c r="A5672" s="115"/>
      <c r="B5672" s="95"/>
      <c r="C5672" s="94"/>
      <c r="D5672" s="95"/>
      <c r="E5672" s="95"/>
      <c r="F5672" s="96"/>
      <c r="G5672" s="97"/>
      <c r="H5672" s="114" t="str">
        <f t="shared" si="78"/>
        <v/>
      </c>
      <c r="I5672" s="17"/>
      <c r="J5672" s="17"/>
      <c r="K5672" s="17"/>
    </row>
    <row r="5673" spans="1:11" x14ac:dyDescent="0.2">
      <c r="A5673" s="115"/>
      <c r="B5673" s="95"/>
      <c r="C5673" s="94"/>
      <c r="D5673" s="95"/>
      <c r="E5673" s="95"/>
      <c r="F5673" s="96"/>
      <c r="G5673" s="97"/>
      <c r="H5673" s="114" t="str">
        <f t="shared" si="78"/>
        <v/>
      </c>
      <c r="I5673" s="17"/>
      <c r="J5673" s="17"/>
      <c r="K5673" s="17"/>
    </row>
    <row r="5674" spans="1:11" x14ac:dyDescent="0.2">
      <c r="A5674" s="115"/>
      <c r="B5674" s="95"/>
      <c r="C5674" s="94"/>
      <c r="D5674" s="95"/>
      <c r="E5674" s="95"/>
      <c r="F5674" s="96"/>
      <c r="G5674" s="97"/>
      <c r="H5674" s="114" t="str">
        <f t="shared" si="78"/>
        <v/>
      </c>
      <c r="I5674" s="17"/>
      <c r="J5674" s="17"/>
      <c r="K5674" s="17"/>
    </row>
    <row r="5675" spans="1:11" x14ac:dyDescent="0.2">
      <c r="A5675" s="115"/>
      <c r="B5675" s="95"/>
      <c r="C5675" s="94"/>
      <c r="D5675" s="95"/>
      <c r="E5675" s="95"/>
      <c r="F5675" s="96"/>
      <c r="G5675" s="97"/>
      <c r="H5675" s="114" t="str">
        <f t="shared" si="78"/>
        <v/>
      </c>
      <c r="I5675" s="17"/>
      <c r="J5675" s="17"/>
      <c r="K5675" s="17"/>
    </row>
    <row r="5676" spans="1:11" x14ac:dyDescent="0.2">
      <c r="A5676" s="115"/>
      <c r="B5676" s="95"/>
      <c r="C5676" s="94"/>
      <c r="D5676" s="95"/>
      <c r="E5676" s="95"/>
      <c r="F5676" s="96"/>
      <c r="G5676" s="97"/>
      <c r="H5676" s="114" t="str">
        <f t="shared" si="78"/>
        <v/>
      </c>
      <c r="I5676" s="17"/>
      <c r="J5676" s="17"/>
      <c r="K5676" s="17"/>
    </row>
    <row r="5677" spans="1:11" x14ac:dyDescent="0.2">
      <c r="A5677" s="115"/>
      <c r="B5677" s="95"/>
      <c r="C5677" s="94"/>
      <c r="D5677" s="95"/>
      <c r="E5677" s="95"/>
      <c r="F5677" s="96"/>
      <c r="G5677" s="97"/>
      <c r="H5677" s="114" t="str">
        <f t="shared" si="78"/>
        <v/>
      </c>
      <c r="I5677" s="17"/>
      <c r="J5677" s="17"/>
      <c r="K5677" s="17"/>
    </row>
    <row r="5678" spans="1:11" x14ac:dyDescent="0.2">
      <c r="A5678" s="115"/>
      <c r="B5678" s="95"/>
      <c r="C5678" s="94"/>
      <c r="D5678" s="95"/>
      <c r="E5678" s="95"/>
      <c r="F5678" s="96"/>
      <c r="G5678" s="97"/>
      <c r="H5678" s="114" t="str">
        <f t="shared" si="78"/>
        <v/>
      </c>
      <c r="I5678" s="17"/>
      <c r="J5678" s="17"/>
      <c r="K5678" s="17"/>
    </row>
    <row r="5679" spans="1:11" x14ac:dyDescent="0.2">
      <c r="A5679" s="115"/>
      <c r="B5679" s="95"/>
      <c r="C5679" s="94"/>
      <c r="D5679" s="95"/>
      <c r="E5679" s="95"/>
      <c r="F5679" s="96"/>
      <c r="G5679" s="97"/>
      <c r="H5679" s="114" t="str">
        <f t="shared" si="78"/>
        <v/>
      </c>
      <c r="I5679" s="17"/>
      <c r="J5679" s="17"/>
      <c r="K5679" s="17"/>
    </row>
    <row r="5680" spans="1:11" x14ac:dyDescent="0.2">
      <c r="A5680" s="115"/>
      <c r="B5680" s="95"/>
      <c r="C5680" s="94"/>
      <c r="D5680" s="95"/>
      <c r="E5680" s="95"/>
      <c r="F5680" s="96"/>
      <c r="G5680" s="97"/>
      <c r="H5680" s="114" t="str">
        <f t="shared" si="78"/>
        <v/>
      </c>
      <c r="I5680" s="17"/>
      <c r="J5680" s="17"/>
      <c r="K5680" s="17"/>
    </row>
    <row r="5681" spans="1:11" x14ac:dyDescent="0.2">
      <c r="A5681" s="115"/>
      <c r="B5681" s="95"/>
      <c r="C5681" s="94"/>
      <c r="D5681" s="95"/>
      <c r="E5681" s="95"/>
      <c r="F5681" s="96"/>
      <c r="G5681" s="97"/>
      <c r="H5681" s="114" t="str">
        <f t="shared" si="78"/>
        <v/>
      </c>
      <c r="I5681" s="17"/>
      <c r="J5681" s="17"/>
      <c r="K5681" s="17"/>
    </row>
    <row r="5682" spans="1:11" x14ac:dyDescent="0.2">
      <c r="A5682" s="115"/>
      <c r="B5682" s="95"/>
      <c r="C5682" s="94"/>
      <c r="D5682" s="95"/>
      <c r="E5682" s="95"/>
      <c r="F5682" s="96"/>
      <c r="G5682" s="97"/>
      <c r="H5682" s="114" t="str">
        <f t="shared" si="78"/>
        <v/>
      </c>
      <c r="I5682" s="17"/>
      <c r="J5682" s="17"/>
      <c r="K5682" s="17"/>
    </row>
    <row r="5683" spans="1:11" x14ac:dyDescent="0.2">
      <c r="A5683" s="115"/>
      <c r="B5683" s="95"/>
      <c r="C5683" s="94"/>
      <c r="D5683" s="95"/>
      <c r="E5683" s="95"/>
      <c r="F5683" s="96"/>
      <c r="G5683" s="97"/>
      <c r="H5683" s="114" t="str">
        <f t="shared" si="78"/>
        <v/>
      </c>
      <c r="I5683" s="17"/>
      <c r="J5683" s="17"/>
      <c r="K5683" s="17"/>
    </row>
    <row r="5684" spans="1:11" x14ac:dyDescent="0.2">
      <c r="A5684" s="115"/>
      <c r="B5684" s="95"/>
      <c r="C5684" s="94"/>
      <c r="D5684" s="95"/>
      <c r="E5684" s="95"/>
      <c r="F5684" s="96"/>
      <c r="G5684" s="97"/>
      <c r="H5684" s="114" t="str">
        <f t="shared" si="78"/>
        <v/>
      </c>
      <c r="I5684" s="17"/>
      <c r="J5684" s="17"/>
      <c r="K5684" s="17"/>
    </row>
    <row r="5685" spans="1:11" x14ac:dyDescent="0.2">
      <c r="A5685" s="115"/>
      <c r="B5685" s="95"/>
      <c r="C5685" s="94"/>
      <c r="D5685" s="95"/>
      <c r="E5685" s="95"/>
      <c r="F5685" s="96"/>
      <c r="G5685" s="97"/>
      <c r="H5685" s="114" t="str">
        <f t="shared" si="78"/>
        <v/>
      </c>
      <c r="I5685" s="17"/>
      <c r="J5685" s="17"/>
      <c r="K5685" s="17"/>
    </row>
    <row r="5686" spans="1:11" x14ac:dyDescent="0.2">
      <c r="A5686" s="115"/>
      <c r="B5686" s="95"/>
      <c r="C5686" s="94"/>
      <c r="D5686" s="95"/>
      <c r="E5686" s="95"/>
      <c r="F5686" s="96"/>
      <c r="G5686" s="97"/>
      <c r="H5686" s="114" t="str">
        <f t="shared" si="78"/>
        <v/>
      </c>
      <c r="I5686" s="17"/>
      <c r="J5686" s="17"/>
      <c r="K5686" s="17"/>
    </row>
    <row r="5687" spans="1:11" x14ac:dyDescent="0.2">
      <c r="A5687" s="115"/>
      <c r="B5687" s="95"/>
      <c r="C5687" s="94"/>
      <c r="D5687" s="95"/>
      <c r="E5687" s="95"/>
      <c r="F5687" s="96"/>
      <c r="G5687" s="97"/>
      <c r="H5687" s="114" t="str">
        <f t="shared" si="78"/>
        <v/>
      </c>
      <c r="I5687" s="17"/>
      <c r="J5687" s="17"/>
      <c r="K5687" s="17"/>
    </row>
    <row r="5688" spans="1:11" x14ac:dyDescent="0.2">
      <c r="A5688" s="115"/>
      <c r="B5688" s="95"/>
      <c r="C5688" s="94"/>
      <c r="D5688" s="95"/>
      <c r="E5688" s="95"/>
      <c r="F5688" s="96"/>
      <c r="G5688" s="97"/>
      <c r="H5688" s="114" t="str">
        <f t="shared" si="78"/>
        <v/>
      </c>
      <c r="I5688" s="17"/>
      <c r="J5688" s="17"/>
      <c r="K5688" s="17"/>
    </row>
    <row r="5689" spans="1:11" x14ac:dyDescent="0.2">
      <c r="A5689" s="115"/>
      <c r="B5689" s="95"/>
      <c r="C5689" s="94"/>
      <c r="D5689" s="95"/>
      <c r="E5689" s="95"/>
      <c r="F5689" s="96"/>
      <c r="G5689" s="97"/>
      <c r="H5689" s="114" t="str">
        <f t="shared" si="78"/>
        <v/>
      </c>
      <c r="I5689" s="17"/>
      <c r="J5689" s="17"/>
      <c r="K5689" s="17"/>
    </row>
    <row r="5690" spans="1:11" x14ac:dyDescent="0.2">
      <c r="A5690" s="115"/>
      <c r="B5690" s="95"/>
      <c r="C5690" s="94"/>
      <c r="D5690" s="95"/>
      <c r="E5690" s="95"/>
      <c r="F5690" s="96"/>
      <c r="G5690" s="97"/>
      <c r="H5690" s="114" t="str">
        <f t="shared" si="78"/>
        <v/>
      </c>
      <c r="I5690" s="17"/>
      <c r="J5690" s="17"/>
      <c r="K5690" s="17"/>
    </row>
    <row r="5691" spans="1:11" x14ac:dyDescent="0.2">
      <c r="A5691" s="115"/>
      <c r="B5691" s="95"/>
      <c r="C5691" s="94"/>
      <c r="D5691" s="95"/>
      <c r="E5691" s="95"/>
      <c r="F5691" s="96"/>
      <c r="G5691" s="97"/>
      <c r="H5691" s="114" t="str">
        <f t="shared" si="78"/>
        <v/>
      </c>
      <c r="I5691" s="17"/>
      <c r="J5691" s="17"/>
      <c r="K5691" s="17"/>
    </row>
    <row r="5692" spans="1:11" x14ac:dyDescent="0.2">
      <c r="A5692" s="115"/>
      <c r="B5692" s="95"/>
      <c r="C5692" s="94"/>
      <c r="D5692" s="95"/>
      <c r="E5692" s="95"/>
      <c r="F5692" s="96"/>
      <c r="G5692" s="97"/>
      <c r="H5692" s="114" t="str">
        <f t="shared" si="78"/>
        <v/>
      </c>
      <c r="I5692" s="17"/>
      <c r="J5692" s="17"/>
      <c r="K5692" s="17"/>
    </row>
    <row r="5693" spans="1:11" x14ac:dyDescent="0.2">
      <c r="A5693" s="115"/>
      <c r="B5693" s="95"/>
      <c r="C5693" s="94"/>
      <c r="D5693" s="95"/>
      <c r="E5693" s="95"/>
      <c r="F5693" s="96"/>
      <c r="G5693" s="97"/>
      <c r="H5693" s="114" t="str">
        <f t="shared" si="78"/>
        <v/>
      </c>
      <c r="I5693" s="17"/>
      <c r="J5693" s="17"/>
      <c r="K5693" s="17"/>
    </row>
    <row r="5694" spans="1:11" x14ac:dyDescent="0.2">
      <c r="A5694" s="115"/>
      <c r="B5694" s="95"/>
      <c r="C5694" s="94"/>
      <c r="D5694" s="95"/>
      <c r="E5694" s="95"/>
      <c r="F5694" s="96"/>
      <c r="G5694" s="97"/>
      <c r="H5694" s="114" t="str">
        <f t="shared" si="78"/>
        <v/>
      </c>
      <c r="I5694" s="17"/>
      <c r="J5694" s="17"/>
      <c r="K5694" s="17"/>
    </row>
    <row r="5695" spans="1:11" x14ac:dyDescent="0.2">
      <c r="A5695" s="115"/>
      <c r="B5695" s="95"/>
      <c r="C5695" s="94"/>
      <c r="D5695" s="95"/>
      <c r="E5695" s="95"/>
      <c r="F5695" s="96"/>
      <c r="G5695" s="97"/>
      <c r="H5695" s="114" t="str">
        <f t="shared" si="78"/>
        <v/>
      </c>
      <c r="I5695" s="17"/>
      <c r="J5695" s="17"/>
      <c r="K5695" s="17"/>
    </row>
    <row r="5696" spans="1:11" x14ac:dyDescent="0.2">
      <c r="A5696" s="115"/>
      <c r="B5696" s="95"/>
      <c r="C5696" s="94"/>
      <c r="D5696" s="95"/>
      <c r="E5696" s="95"/>
      <c r="F5696" s="96"/>
      <c r="G5696" s="97"/>
      <c r="H5696" s="114" t="str">
        <f t="shared" si="78"/>
        <v/>
      </c>
      <c r="I5696" s="17"/>
      <c r="J5696" s="17"/>
      <c r="K5696" s="17"/>
    </row>
    <row r="5697" spans="1:11" x14ac:dyDescent="0.2">
      <c r="A5697" s="115"/>
      <c r="B5697" s="95"/>
      <c r="C5697" s="94"/>
      <c r="D5697" s="95"/>
      <c r="E5697" s="95"/>
      <c r="F5697" s="96"/>
      <c r="G5697" s="97"/>
      <c r="H5697" s="114" t="str">
        <f t="shared" si="78"/>
        <v/>
      </c>
      <c r="I5697" s="17"/>
      <c r="J5697" s="17"/>
      <c r="K5697" s="17"/>
    </row>
    <row r="5698" spans="1:11" x14ac:dyDescent="0.2">
      <c r="A5698" s="115"/>
      <c r="B5698" s="95"/>
      <c r="C5698" s="94"/>
      <c r="D5698" s="95"/>
      <c r="E5698" s="95"/>
      <c r="F5698" s="96"/>
      <c r="G5698" s="97"/>
      <c r="H5698" s="114" t="str">
        <f t="shared" si="78"/>
        <v/>
      </c>
      <c r="I5698" s="17"/>
      <c r="J5698" s="17"/>
      <c r="K5698" s="17"/>
    </row>
    <row r="5699" spans="1:11" x14ac:dyDescent="0.2">
      <c r="A5699" s="115"/>
      <c r="B5699" s="95"/>
      <c r="C5699" s="94"/>
      <c r="D5699" s="95"/>
      <c r="E5699" s="95"/>
      <c r="F5699" s="96"/>
      <c r="G5699" s="97"/>
      <c r="H5699" s="114" t="str">
        <f t="shared" si="78"/>
        <v/>
      </c>
      <c r="I5699" s="17"/>
      <c r="J5699" s="17"/>
      <c r="K5699" s="17"/>
    </row>
    <row r="5700" spans="1:11" x14ac:dyDescent="0.2">
      <c r="A5700" s="115"/>
      <c r="B5700" s="95"/>
      <c r="C5700" s="94"/>
      <c r="D5700" s="95"/>
      <c r="E5700" s="95"/>
      <c r="F5700" s="96"/>
      <c r="G5700" s="97"/>
      <c r="H5700" s="114" t="str">
        <f t="shared" ref="H5700:H5763" si="79">IF(A5700&lt;&gt;"", EOMONTH(A5700, -1) + 1, "")</f>
        <v/>
      </c>
      <c r="I5700" s="17"/>
      <c r="J5700" s="17"/>
      <c r="K5700" s="17"/>
    </row>
    <row r="5701" spans="1:11" x14ac:dyDescent="0.2">
      <c r="A5701" s="115"/>
      <c r="B5701" s="95"/>
      <c r="C5701" s="94"/>
      <c r="D5701" s="95"/>
      <c r="E5701" s="95"/>
      <c r="F5701" s="96"/>
      <c r="G5701" s="97"/>
      <c r="H5701" s="114" t="str">
        <f t="shared" si="79"/>
        <v/>
      </c>
      <c r="I5701" s="17"/>
      <c r="J5701" s="17"/>
      <c r="K5701" s="17"/>
    </row>
    <row r="5702" spans="1:11" x14ac:dyDescent="0.2">
      <c r="A5702" s="115"/>
      <c r="B5702" s="95"/>
      <c r="C5702" s="94"/>
      <c r="D5702" s="95"/>
      <c r="E5702" s="95"/>
      <c r="F5702" s="96"/>
      <c r="G5702" s="97"/>
      <c r="H5702" s="114" t="str">
        <f t="shared" si="79"/>
        <v/>
      </c>
      <c r="I5702" s="17"/>
      <c r="J5702" s="17"/>
      <c r="K5702" s="17"/>
    </row>
    <row r="5703" spans="1:11" x14ac:dyDescent="0.2">
      <c r="A5703" s="115"/>
      <c r="B5703" s="95"/>
      <c r="C5703" s="94"/>
      <c r="D5703" s="95"/>
      <c r="E5703" s="95"/>
      <c r="F5703" s="96"/>
      <c r="G5703" s="97"/>
      <c r="H5703" s="114" t="str">
        <f t="shared" si="79"/>
        <v/>
      </c>
      <c r="I5703" s="17"/>
      <c r="J5703" s="17"/>
      <c r="K5703" s="17"/>
    </row>
    <row r="5704" spans="1:11" x14ac:dyDescent="0.2">
      <c r="A5704" s="115"/>
      <c r="B5704" s="95"/>
      <c r="C5704" s="94"/>
      <c r="D5704" s="95"/>
      <c r="E5704" s="95"/>
      <c r="F5704" s="96"/>
      <c r="G5704" s="97"/>
      <c r="H5704" s="114" t="str">
        <f t="shared" si="79"/>
        <v/>
      </c>
      <c r="I5704" s="17"/>
      <c r="J5704" s="17"/>
      <c r="K5704" s="17"/>
    </row>
    <row r="5705" spans="1:11" x14ac:dyDescent="0.2">
      <c r="A5705" s="115"/>
      <c r="B5705" s="95"/>
      <c r="C5705" s="94"/>
      <c r="D5705" s="95"/>
      <c r="E5705" s="95"/>
      <c r="F5705" s="96"/>
      <c r="G5705" s="97"/>
      <c r="H5705" s="114" t="str">
        <f t="shared" si="79"/>
        <v/>
      </c>
      <c r="I5705" s="17"/>
      <c r="J5705" s="17"/>
      <c r="K5705" s="17"/>
    </row>
    <row r="5706" spans="1:11" x14ac:dyDescent="0.2">
      <c r="A5706" s="115"/>
      <c r="B5706" s="95"/>
      <c r="C5706" s="94"/>
      <c r="D5706" s="95"/>
      <c r="E5706" s="95"/>
      <c r="F5706" s="96"/>
      <c r="G5706" s="97"/>
      <c r="H5706" s="114" t="str">
        <f t="shared" si="79"/>
        <v/>
      </c>
      <c r="I5706" s="17"/>
      <c r="J5706" s="17"/>
      <c r="K5706" s="17"/>
    </row>
    <row r="5707" spans="1:11" x14ac:dyDescent="0.2">
      <c r="A5707" s="115"/>
      <c r="B5707" s="95"/>
      <c r="C5707" s="94"/>
      <c r="D5707" s="95"/>
      <c r="E5707" s="95"/>
      <c r="F5707" s="96"/>
      <c r="G5707" s="97"/>
      <c r="H5707" s="114" t="str">
        <f t="shared" si="79"/>
        <v/>
      </c>
      <c r="I5707" s="17"/>
      <c r="J5707" s="17"/>
      <c r="K5707" s="17"/>
    </row>
    <row r="5708" spans="1:11" x14ac:dyDescent="0.2">
      <c r="A5708" s="115"/>
      <c r="B5708" s="95"/>
      <c r="C5708" s="94"/>
      <c r="D5708" s="95"/>
      <c r="E5708" s="95"/>
      <c r="F5708" s="96"/>
      <c r="G5708" s="97"/>
      <c r="H5708" s="114" t="str">
        <f t="shared" si="79"/>
        <v/>
      </c>
      <c r="I5708" s="17"/>
      <c r="J5708" s="17"/>
      <c r="K5708" s="17"/>
    </row>
    <row r="5709" spans="1:11" x14ac:dyDescent="0.2">
      <c r="A5709" s="115"/>
      <c r="B5709" s="95"/>
      <c r="C5709" s="94"/>
      <c r="D5709" s="95"/>
      <c r="E5709" s="95"/>
      <c r="F5709" s="96"/>
      <c r="G5709" s="97"/>
      <c r="H5709" s="114" t="str">
        <f t="shared" si="79"/>
        <v/>
      </c>
      <c r="I5709" s="17"/>
      <c r="J5709" s="17"/>
      <c r="K5709" s="17"/>
    </row>
    <row r="5710" spans="1:11" x14ac:dyDescent="0.2">
      <c r="A5710" s="115"/>
      <c r="B5710" s="95"/>
      <c r="C5710" s="94"/>
      <c r="D5710" s="95"/>
      <c r="E5710" s="95"/>
      <c r="F5710" s="96"/>
      <c r="G5710" s="97"/>
      <c r="H5710" s="114" t="str">
        <f t="shared" si="79"/>
        <v/>
      </c>
      <c r="I5710" s="17"/>
      <c r="J5710" s="17"/>
      <c r="K5710" s="17"/>
    </row>
    <row r="5711" spans="1:11" x14ac:dyDescent="0.2">
      <c r="A5711" s="115"/>
      <c r="B5711" s="95"/>
      <c r="C5711" s="94"/>
      <c r="D5711" s="95"/>
      <c r="E5711" s="95"/>
      <c r="F5711" s="96"/>
      <c r="G5711" s="97"/>
      <c r="H5711" s="114" t="str">
        <f t="shared" si="79"/>
        <v/>
      </c>
      <c r="I5711" s="17"/>
      <c r="J5711" s="17"/>
      <c r="K5711" s="17"/>
    </row>
    <row r="5712" spans="1:11" x14ac:dyDescent="0.2">
      <c r="A5712" s="115"/>
      <c r="B5712" s="95"/>
      <c r="C5712" s="94"/>
      <c r="D5712" s="95"/>
      <c r="E5712" s="95"/>
      <c r="F5712" s="96"/>
      <c r="G5712" s="97"/>
      <c r="H5712" s="114" t="str">
        <f t="shared" si="79"/>
        <v/>
      </c>
      <c r="I5712" s="17"/>
      <c r="J5712" s="17"/>
      <c r="K5712" s="17"/>
    </row>
    <row r="5713" spans="1:11" x14ac:dyDescent="0.2">
      <c r="A5713" s="115"/>
      <c r="B5713" s="95"/>
      <c r="C5713" s="94"/>
      <c r="D5713" s="95"/>
      <c r="E5713" s="95"/>
      <c r="F5713" s="96"/>
      <c r="G5713" s="97"/>
      <c r="H5713" s="114" t="str">
        <f t="shared" si="79"/>
        <v/>
      </c>
      <c r="I5713" s="17"/>
      <c r="J5713" s="17"/>
      <c r="K5713" s="17"/>
    </row>
    <row r="5714" spans="1:11" x14ac:dyDescent="0.2">
      <c r="A5714" s="115"/>
      <c r="B5714" s="95"/>
      <c r="C5714" s="94"/>
      <c r="D5714" s="95"/>
      <c r="E5714" s="95"/>
      <c r="F5714" s="96"/>
      <c r="G5714" s="97"/>
      <c r="H5714" s="114" t="str">
        <f t="shared" si="79"/>
        <v/>
      </c>
      <c r="I5714" s="17"/>
      <c r="J5714" s="17"/>
      <c r="K5714" s="17"/>
    </row>
    <row r="5715" spans="1:11" x14ac:dyDescent="0.2">
      <c r="A5715" s="115"/>
      <c r="B5715" s="95"/>
      <c r="C5715" s="94"/>
      <c r="D5715" s="95"/>
      <c r="E5715" s="95"/>
      <c r="F5715" s="96"/>
      <c r="G5715" s="97"/>
      <c r="H5715" s="114" t="str">
        <f t="shared" si="79"/>
        <v/>
      </c>
      <c r="I5715" s="17"/>
      <c r="J5715" s="17"/>
      <c r="K5715" s="17"/>
    </row>
    <row r="5716" spans="1:11" x14ac:dyDescent="0.2">
      <c r="A5716" s="115"/>
      <c r="B5716" s="95"/>
      <c r="C5716" s="94"/>
      <c r="D5716" s="95"/>
      <c r="E5716" s="95"/>
      <c r="F5716" s="96"/>
      <c r="G5716" s="97"/>
      <c r="H5716" s="114" t="str">
        <f t="shared" si="79"/>
        <v/>
      </c>
      <c r="I5716" s="17"/>
      <c r="J5716" s="17"/>
      <c r="K5716" s="17"/>
    </row>
    <row r="5717" spans="1:11" x14ac:dyDescent="0.2">
      <c r="A5717" s="115"/>
      <c r="B5717" s="95"/>
      <c r="C5717" s="94"/>
      <c r="D5717" s="95"/>
      <c r="E5717" s="95"/>
      <c r="F5717" s="96"/>
      <c r="G5717" s="97"/>
      <c r="H5717" s="114" t="str">
        <f t="shared" si="79"/>
        <v/>
      </c>
      <c r="I5717" s="17"/>
      <c r="J5717" s="17"/>
      <c r="K5717" s="17"/>
    </row>
    <row r="5718" spans="1:11" x14ac:dyDescent="0.2">
      <c r="A5718" s="115"/>
      <c r="B5718" s="95"/>
      <c r="C5718" s="94"/>
      <c r="D5718" s="95"/>
      <c r="E5718" s="95"/>
      <c r="F5718" s="96"/>
      <c r="G5718" s="97"/>
      <c r="H5718" s="114" t="str">
        <f t="shared" si="79"/>
        <v/>
      </c>
      <c r="I5718" s="17"/>
      <c r="J5718" s="17"/>
      <c r="K5718" s="17"/>
    </row>
    <row r="5719" spans="1:11" x14ac:dyDescent="0.2">
      <c r="A5719" s="115"/>
      <c r="B5719" s="95"/>
      <c r="C5719" s="94"/>
      <c r="D5719" s="95"/>
      <c r="E5719" s="95"/>
      <c r="F5719" s="96"/>
      <c r="G5719" s="97"/>
      <c r="H5719" s="114" t="str">
        <f t="shared" si="79"/>
        <v/>
      </c>
      <c r="I5719" s="17"/>
      <c r="J5719" s="17"/>
      <c r="K5719" s="17"/>
    </row>
    <row r="5720" spans="1:11" x14ac:dyDescent="0.2">
      <c r="A5720" s="115"/>
      <c r="B5720" s="95"/>
      <c r="C5720" s="94"/>
      <c r="D5720" s="95"/>
      <c r="E5720" s="95"/>
      <c r="F5720" s="96"/>
      <c r="G5720" s="97"/>
      <c r="H5720" s="114" t="str">
        <f t="shared" si="79"/>
        <v/>
      </c>
      <c r="I5720" s="17"/>
      <c r="J5720" s="17"/>
      <c r="K5720" s="17"/>
    </row>
    <row r="5721" spans="1:11" x14ac:dyDescent="0.2">
      <c r="A5721" s="115"/>
      <c r="B5721" s="95"/>
      <c r="C5721" s="94"/>
      <c r="D5721" s="95"/>
      <c r="E5721" s="95"/>
      <c r="F5721" s="96"/>
      <c r="G5721" s="97"/>
      <c r="H5721" s="114" t="str">
        <f t="shared" si="79"/>
        <v/>
      </c>
      <c r="I5721" s="17"/>
      <c r="J5721" s="17"/>
      <c r="K5721" s="17"/>
    </row>
    <row r="5722" spans="1:11" x14ac:dyDescent="0.2">
      <c r="A5722" s="115"/>
      <c r="B5722" s="95"/>
      <c r="C5722" s="94"/>
      <c r="D5722" s="95"/>
      <c r="E5722" s="95"/>
      <c r="F5722" s="96"/>
      <c r="G5722" s="97"/>
      <c r="H5722" s="114" t="str">
        <f t="shared" si="79"/>
        <v/>
      </c>
      <c r="I5722" s="17"/>
      <c r="J5722" s="17"/>
      <c r="K5722" s="17"/>
    </row>
    <row r="5723" spans="1:11" x14ac:dyDescent="0.2">
      <c r="A5723" s="115"/>
      <c r="B5723" s="95"/>
      <c r="C5723" s="94"/>
      <c r="D5723" s="95"/>
      <c r="E5723" s="95"/>
      <c r="F5723" s="96"/>
      <c r="G5723" s="97"/>
      <c r="H5723" s="114" t="str">
        <f t="shared" si="79"/>
        <v/>
      </c>
      <c r="I5723" s="17"/>
      <c r="J5723" s="17"/>
      <c r="K5723" s="17"/>
    </row>
    <row r="5724" spans="1:11" x14ac:dyDescent="0.2">
      <c r="A5724" s="115"/>
      <c r="B5724" s="95"/>
      <c r="C5724" s="94"/>
      <c r="D5724" s="95"/>
      <c r="E5724" s="95"/>
      <c r="F5724" s="96"/>
      <c r="G5724" s="97"/>
      <c r="H5724" s="114" t="str">
        <f t="shared" si="79"/>
        <v/>
      </c>
      <c r="I5724" s="17"/>
      <c r="J5724" s="17"/>
      <c r="K5724" s="17"/>
    </row>
    <row r="5725" spans="1:11" x14ac:dyDescent="0.2">
      <c r="A5725" s="115"/>
      <c r="B5725" s="95"/>
      <c r="C5725" s="94"/>
      <c r="D5725" s="95"/>
      <c r="E5725" s="95"/>
      <c r="F5725" s="96"/>
      <c r="G5725" s="97"/>
      <c r="H5725" s="114" t="str">
        <f t="shared" si="79"/>
        <v/>
      </c>
      <c r="I5725" s="17"/>
      <c r="J5725" s="17"/>
      <c r="K5725" s="17"/>
    </row>
    <row r="5726" spans="1:11" x14ac:dyDescent="0.2">
      <c r="A5726" s="115"/>
      <c r="B5726" s="95"/>
      <c r="C5726" s="94"/>
      <c r="D5726" s="95"/>
      <c r="E5726" s="95"/>
      <c r="F5726" s="96"/>
      <c r="G5726" s="97"/>
      <c r="H5726" s="114" t="str">
        <f t="shared" si="79"/>
        <v/>
      </c>
      <c r="I5726" s="17"/>
      <c r="J5726" s="17"/>
      <c r="K5726" s="17"/>
    </row>
    <row r="5727" spans="1:11" x14ac:dyDescent="0.2">
      <c r="A5727" s="115"/>
      <c r="B5727" s="95"/>
      <c r="C5727" s="94"/>
      <c r="D5727" s="95"/>
      <c r="E5727" s="95"/>
      <c r="F5727" s="96"/>
      <c r="G5727" s="97"/>
      <c r="H5727" s="114" t="str">
        <f t="shared" si="79"/>
        <v/>
      </c>
      <c r="I5727" s="17"/>
      <c r="J5727" s="17"/>
      <c r="K5727" s="17"/>
    </row>
    <row r="5728" spans="1:11" x14ac:dyDescent="0.2">
      <c r="A5728" s="115"/>
      <c r="B5728" s="95"/>
      <c r="C5728" s="94"/>
      <c r="D5728" s="95"/>
      <c r="E5728" s="95"/>
      <c r="F5728" s="96"/>
      <c r="G5728" s="97"/>
      <c r="H5728" s="114" t="str">
        <f t="shared" si="79"/>
        <v/>
      </c>
      <c r="I5728" s="17"/>
      <c r="J5728" s="17"/>
      <c r="K5728" s="17"/>
    </row>
    <row r="5729" spans="1:11" x14ac:dyDescent="0.2">
      <c r="A5729" s="115"/>
      <c r="B5729" s="95"/>
      <c r="C5729" s="94"/>
      <c r="D5729" s="95"/>
      <c r="E5729" s="95"/>
      <c r="F5729" s="96"/>
      <c r="G5729" s="97"/>
      <c r="H5729" s="114" t="str">
        <f t="shared" si="79"/>
        <v/>
      </c>
      <c r="I5729" s="17"/>
      <c r="J5729" s="17"/>
      <c r="K5729" s="17"/>
    </row>
    <row r="5730" spans="1:11" x14ac:dyDescent="0.2">
      <c r="A5730" s="115"/>
      <c r="B5730" s="95"/>
      <c r="C5730" s="94"/>
      <c r="D5730" s="95"/>
      <c r="E5730" s="95"/>
      <c r="F5730" s="96"/>
      <c r="G5730" s="97"/>
      <c r="H5730" s="114" t="str">
        <f t="shared" si="79"/>
        <v/>
      </c>
      <c r="I5730" s="17"/>
      <c r="J5730" s="17"/>
      <c r="K5730" s="17"/>
    </row>
    <row r="5731" spans="1:11" x14ac:dyDescent="0.2">
      <c r="A5731" s="115"/>
      <c r="B5731" s="95"/>
      <c r="C5731" s="94"/>
      <c r="D5731" s="95"/>
      <c r="E5731" s="95"/>
      <c r="F5731" s="96"/>
      <c r="G5731" s="97"/>
      <c r="H5731" s="114" t="str">
        <f t="shared" si="79"/>
        <v/>
      </c>
      <c r="I5731" s="17"/>
      <c r="J5731" s="17"/>
      <c r="K5731" s="17"/>
    </row>
    <row r="5732" spans="1:11" x14ac:dyDescent="0.2">
      <c r="A5732" s="115"/>
      <c r="B5732" s="95"/>
      <c r="C5732" s="94"/>
      <c r="D5732" s="95"/>
      <c r="E5732" s="95"/>
      <c r="F5732" s="96"/>
      <c r="G5732" s="97"/>
      <c r="H5732" s="114" t="str">
        <f t="shared" si="79"/>
        <v/>
      </c>
      <c r="I5732" s="17"/>
      <c r="J5732" s="17"/>
      <c r="K5732" s="17"/>
    </row>
    <row r="5733" spans="1:11" x14ac:dyDescent="0.2">
      <c r="A5733" s="115"/>
      <c r="B5733" s="95"/>
      <c r="C5733" s="94"/>
      <c r="D5733" s="95"/>
      <c r="E5733" s="95"/>
      <c r="F5733" s="96"/>
      <c r="G5733" s="97"/>
      <c r="H5733" s="114" t="str">
        <f t="shared" si="79"/>
        <v/>
      </c>
      <c r="I5733" s="17"/>
      <c r="J5733" s="17"/>
      <c r="K5733" s="17"/>
    </row>
    <row r="5734" spans="1:11" x14ac:dyDescent="0.2">
      <c r="A5734" s="115"/>
      <c r="B5734" s="95"/>
      <c r="C5734" s="94"/>
      <c r="D5734" s="95"/>
      <c r="E5734" s="95"/>
      <c r="F5734" s="96"/>
      <c r="G5734" s="97"/>
      <c r="H5734" s="114" t="str">
        <f t="shared" si="79"/>
        <v/>
      </c>
      <c r="I5734" s="17"/>
      <c r="J5734" s="17"/>
      <c r="K5734" s="17"/>
    </row>
    <row r="5735" spans="1:11" x14ac:dyDescent="0.2">
      <c r="A5735" s="115"/>
      <c r="B5735" s="95"/>
      <c r="C5735" s="94"/>
      <c r="D5735" s="95"/>
      <c r="E5735" s="95"/>
      <c r="F5735" s="96"/>
      <c r="G5735" s="97"/>
      <c r="H5735" s="114" t="str">
        <f t="shared" si="79"/>
        <v/>
      </c>
      <c r="I5735" s="17"/>
      <c r="J5735" s="17"/>
      <c r="K5735" s="17"/>
    </row>
    <row r="5736" spans="1:11" x14ac:dyDescent="0.2">
      <c r="A5736" s="115"/>
      <c r="B5736" s="95"/>
      <c r="C5736" s="94"/>
      <c r="D5736" s="95"/>
      <c r="E5736" s="95"/>
      <c r="F5736" s="96"/>
      <c r="G5736" s="97"/>
      <c r="H5736" s="114" t="str">
        <f t="shared" si="79"/>
        <v/>
      </c>
      <c r="I5736" s="17"/>
      <c r="J5736" s="17"/>
      <c r="K5736" s="17"/>
    </row>
    <row r="5737" spans="1:11" x14ac:dyDescent="0.2">
      <c r="A5737" s="115"/>
      <c r="B5737" s="95"/>
      <c r="C5737" s="94"/>
      <c r="D5737" s="95"/>
      <c r="E5737" s="95"/>
      <c r="F5737" s="96"/>
      <c r="G5737" s="97"/>
      <c r="H5737" s="114" t="str">
        <f t="shared" si="79"/>
        <v/>
      </c>
      <c r="I5737" s="17"/>
      <c r="J5737" s="17"/>
      <c r="K5737" s="17"/>
    </row>
    <row r="5738" spans="1:11" x14ac:dyDescent="0.2">
      <c r="A5738" s="115"/>
      <c r="B5738" s="95"/>
      <c r="C5738" s="94"/>
      <c r="D5738" s="95"/>
      <c r="E5738" s="95"/>
      <c r="F5738" s="96"/>
      <c r="G5738" s="97"/>
      <c r="H5738" s="114" t="str">
        <f t="shared" si="79"/>
        <v/>
      </c>
      <c r="I5738" s="17"/>
      <c r="J5738" s="17"/>
      <c r="K5738" s="17"/>
    </row>
    <row r="5739" spans="1:11" x14ac:dyDescent="0.2">
      <c r="A5739" s="115"/>
      <c r="B5739" s="95"/>
      <c r="C5739" s="94"/>
      <c r="D5739" s="95"/>
      <c r="E5739" s="95"/>
      <c r="F5739" s="96"/>
      <c r="G5739" s="97"/>
      <c r="H5739" s="114" t="str">
        <f t="shared" si="79"/>
        <v/>
      </c>
      <c r="I5739" s="17"/>
      <c r="J5739" s="17"/>
      <c r="K5739" s="17"/>
    </row>
    <row r="5740" spans="1:11" x14ac:dyDescent="0.2">
      <c r="A5740" s="115"/>
      <c r="B5740" s="95"/>
      <c r="C5740" s="94"/>
      <c r="D5740" s="95"/>
      <c r="E5740" s="95"/>
      <c r="F5740" s="96"/>
      <c r="G5740" s="97"/>
      <c r="H5740" s="114" t="str">
        <f t="shared" si="79"/>
        <v/>
      </c>
      <c r="I5740" s="17"/>
      <c r="J5740" s="17"/>
      <c r="K5740" s="17"/>
    </row>
    <row r="5741" spans="1:11" x14ac:dyDescent="0.2">
      <c r="A5741" s="115"/>
      <c r="B5741" s="95"/>
      <c r="C5741" s="94"/>
      <c r="D5741" s="95"/>
      <c r="E5741" s="95"/>
      <c r="F5741" s="96"/>
      <c r="G5741" s="97"/>
      <c r="H5741" s="114" t="str">
        <f t="shared" si="79"/>
        <v/>
      </c>
      <c r="I5741" s="17"/>
      <c r="J5741" s="17"/>
      <c r="K5741" s="17"/>
    </row>
    <row r="5742" spans="1:11" x14ac:dyDescent="0.2">
      <c r="A5742" s="115"/>
      <c r="B5742" s="95"/>
      <c r="C5742" s="94"/>
      <c r="D5742" s="95"/>
      <c r="E5742" s="95"/>
      <c r="F5742" s="96"/>
      <c r="G5742" s="97"/>
      <c r="H5742" s="114" t="str">
        <f t="shared" si="79"/>
        <v/>
      </c>
      <c r="I5742" s="17"/>
      <c r="J5742" s="17"/>
      <c r="K5742" s="17"/>
    </row>
    <row r="5743" spans="1:11" x14ac:dyDescent="0.2">
      <c r="A5743" s="115"/>
      <c r="B5743" s="95"/>
      <c r="C5743" s="94"/>
      <c r="D5743" s="95"/>
      <c r="E5743" s="95"/>
      <c r="F5743" s="96"/>
      <c r="G5743" s="97"/>
      <c r="H5743" s="114" t="str">
        <f t="shared" si="79"/>
        <v/>
      </c>
      <c r="I5743" s="17"/>
      <c r="J5743" s="17"/>
      <c r="K5743" s="17"/>
    </row>
    <row r="5744" spans="1:11" x14ac:dyDescent="0.2">
      <c r="A5744" s="115"/>
      <c r="B5744" s="95"/>
      <c r="C5744" s="94"/>
      <c r="D5744" s="95"/>
      <c r="E5744" s="95"/>
      <c r="F5744" s="96"/>
      <c r="G5744" s="97"/>
      <c r="H5744" s="114" t="str">
        <f t="shared" si="79"/>
        <v/>
      </c>
      <c r="I5744" s="17"/>
      <c r="J5744" s="17"/>
      <c r="K5744" s="17"/>
    </row>
    <row r="5745" spans="1:11" x14ac:dyDescent="0.2">
      <c r="A5745" s="115"/>
      <c r="B5745" s="95"/>
      <c r="C5745" s="94"/>
      <c r="D5745" s="95"/>
      <c r="E5745" s="95"/>
      <c r="F5745" s="96"/>
      <c r="G5745" s="97"/>
      <c r="H5745" s="114" t="str">
        <f t="shared" si="79"/>
        <v/>
      </c>
      <c r="I5745" s="17"/>
      <c r="J5745" s="17"/>
      <c r="K5745" s="17"/>
    </row>
    <row r="5746" spans="1:11" x14ac:dyDescent="0.2">
      <c r="A5746" s="115"/>
      <c r="B5746" s="95"/>
      <c r="C5746" s="94"/>
      <c r="D5746" s="95"/>
      <c r="E5746" s="95"/>
      <c r="F5746" s="96"/>
      <c r="G5746" s="97"/>
      <c r="H5746" s="114" t="str">
        <f t="shared" si="79"/>
        <v/>
      </c>
      <c r="I5746" s="17"/>
      <c r="J5746" s="17"/>
      <c r="K5746" s="17"/>
    </row>
    <row r="5747" spans="1:11" x14ac:dyDescent="0.2">
      <c r="A5747" s="115"/>
      <c r="B5747" s="95"/>
      <c r="C5747" s="94"/>
      <c r="D5747" s="95"/>
      <c r="E5747" s="95"/>
      <c r="F5747" s="96"/>
      <c r="G5747" s="97"/>
      <c r="H5747" s="114" t="str">
        <f t="shared" si="79"/>
        <v/>
      </c>
      <c r="I5747" s="17"/>
      <c r="J5747" s="17"/>
      <c r="K5747" s="17"/>
    </row>
    <row r="5748" spans="1:11" x14ac:dyDescent="0.2">
      <c r="A5748" s="115"/>
      <c r="B5748" s="95"/>
      <c r="C5748" s="94"/>
      <c r="D5748" s="95"/>
      <c r="E5748" s="95"/>
      <c r="F5748" s="96"/>
      <c r="G5748" s="97"/>
      <c r="H5748" s="114" t="str">
        <f t="shared" si="79"/>
        <v/>
      </c>
      <c r="I5748" s="17"/>
      <c r="J5748" s="17"/>
      <c r="K5748" s="17"/>
    </row>
    <row r="5749" spans="1:11" x14ac:dyDescent="0.2">
      <c r="A5749" s="115"/>
      <c r="B5749" s="95"/>
      <c r="C5749" s="94"/>
      <c r="D5749" s="95"/>
      <c r="E5749" s="95"/>
      <c r="F5749" s="96"/>
      <c r="G5749" s="97"/>
      <c r="H5749" s="114" t="str">
        <f t="shared" si="79"/>
        <v/>
      </c>
      <c r="I5749" s="17"/>
      <c r="J5749" s="17"/>
      <c r="K5749" s="17"/>
    </row>
    <row r="5750" spans="1:11" x14ac:dyDescent="0.2">
      <c r="A5750" s="115"/>
      <c r="B5750" s="95"/>
      <c r="C5750" s="94"/>
      <c r="D5750" s="95"/>
      <c r="E5750" s="95"/>
      <c r="F5750" s="96"/>
      <c r="G5750" s="97"/>
      <c r="H5750" s="114" t="str">
        <f t="shared" si="79"/>
        <v/>
      </c>
      <c r="I5750" s="17"/>
      <c r="J5750" s="17"/>
      <c r="K5750" s="17"/>
    </row>
    <row r="5751" spans="1:11" x14ac:dyDescent="0.2">
      <c r="A5751" s="115"/>
      <c r="B5751" s="95"/>
      <c r="C5751" s="94"/>
      <c r="D5751" s="95"/>
      <c r="E5751" s="95"/>
      <c r="F5751" s="96"/>
      <c r="G5751" s="97"/>
      <c r="H5751" s="114" t="str">
        <f t="shared" si="79"/>
        <v/>
      </c>
      <c r="I5751" s="17"/>
      <c r="J5751" s="17"/>
      <c r="K5751" s="17"/>
    </row>
    <row r="5752" spans="1:11" x14ac:dyDescent="0.2">
      <c r="A5752" s="115"/>
      <c r="B5752" s="95"/>
      <c r="C5752" s="94"/>
      <c r="D5752" s="95"/>
      <c r="E5752" s="95"/>
      <c r="F5752" s="96"/>
      <c r="G5752" s="97"/>
      <c r="H5752" s="114" t="str">
        <f t="shared" si="79"/>
        <v/>
      </c>
      <c r="I5752" s="17"/>
      <c r="J5752" s="17"/>
      <c r="K5752" s="17"/>
    </row>
    <row r="5753" spans="1:11" x14ac:dyDescent="0.2">
      <c r="A5753" s="115"/>
      <c r="B5753" s="95"/>
      <c r="C5753" s="94"/>
      <c r="D5753" s="95"/>
      <c r="E5753" s="95"/>
      <c r="F5753" s="96"/>
      <c r="G5753" s="97"/>
      <c r="H5753" s="114" t="str">
        <f t="shared" si="79"/>
        <v/>
      </c>
      <c r="I5753" s="17"/>
      <c r="J5753" s="17"/>
      <c r="K5753" s="17"/>
    </row>
    <row r="5754" spans="1:11" x14ac:dyDescent="0.2">
      <c r="A5754" s="115"/>
      <c r="B5754" s="95"/>
      <c r="C5754" s="94"/>
      <c r="D5754" s="95"/>
      <c r="E5754" s="95"/>
      <c r="F5754" s="96"/>
      <c r="G5754" s="97"/>
      <c r="H5754" s="114" t="str">
        <f t="shared" si="79"/>
        <v/>
      </c>
      <c r="I5754" s="17"/>
      <c r="J5754" s="17"/>
      <c r="K5754" s="17"/>
    </row>
    <row r="5755" spans="1:11" x14ac:dyDescent="0.2">
      <c r="A5755" s="115"/>
      <c r="B5755" s="95"/>
      <c r="C5755" s="94"/>
      <c r="D5755" s="95"/>
      <c r="E5755" s="95"/>
      <c r="F5755" s="96"/>
      <c r="G5755" s="97"/>
      <c r="H5755" s="114" t="str">
        <f t="shared" si="79"/>
        <v/>
      </c>
      <c r="I5755" s="17"/>
      <c r="J5755" s="17"/>
      <c r="K5755" s="17"/>
    </row>
    <row r="5756" spans="1:11" x14ac:dyDescent="0.2">
      <c r="A5756" s="115"/>
      <c r="B5756" s="95"/>
      <c r="C5756" s="94"/>
      <c r="D5756" s="95"/>
      <c r="E5756" s="95"/>
      <c r="F5756" s="96"/>
      <c r="G5756" s="97"/>
      <c r="H5756" s="114" t="str">
        <f t="shared" si="79"/>
        <v/>
      </c>
      <c r="I5756" s="17"/>
      <c r="J5756" s="17"/>
      <c r="K5756" s="17"/>
    </row>
    <row r="5757" spans="1:11" x14ac:dyDescent="0.2">
      <c r="A5757" s="115"/>
      <c r="B5757" s="95"/>
      <c r="C5757" s="94"/>
      <c r="D5757" s="95"/>
      <c r="E5757" s="95"/>
      <c r="F5757" s="96"/>
      <c r="G5757" s="97"/>
      <c r="H5757" s="114" t="str">
        <f t="shared" si="79"/>
        <v/>
      </c>
      <c r="I5757" s="17"/>
      <c r="J5757" s="17"/>
      <c r="K5757" s="17"/>
    </row>
    <row r="5758" spans="1:11" x14ac:dyDescent="0.2">
      <c r="A5758" s="115"/>
      <c r="B5758" s="95"/>
      <c r="C5758" s="94"/>
      <c r="D5758" s="95"/>
      <c r="E5758" s="95"/>
      <c r="F5758" s="96"/>
      <c r="G5758" s="97"/>
      <c r="H5758" s="114" t="str">
        <f t="shared" si="79"/>
        <v/>
      </c>
      <c r="I5758" s="17"/>
      <c r="J5758" s="17"/>
      <c r="K5758" s="17"/>
    </row>
    <row r="5759" spans="1:11" x14ac:dyDescent="0.2">
      <c r="A5759" s="115"/>
      <c r="B5759" s="95"/>
      <c r="C5759" s="94"/>
      <c r="D5759" s="95"/>
      <c r="E5759" s="95"/>
      <c r="F5759" s="96"/>
      <c r="G5759" s="97"/>
      <c r="H5759" s="114" t="str">
        <f t="shared" si="79"/>
        <v/>
      </c>
      <c r="I5759" s="17"/>
      <c r="J5759" s="17"/>
      <c r="K5759" s="17"/>
    </row>
    <row r="5760" spans="1:11" x14ac:dyDescent="0.2">
      <c r="A5760" s="115"/>
      <c r="B5760" s="95"/>
      <c r="C5760" s="94"/>
      <c r="D5760" s="95"/>
      <c r="E5760" s="95"/>
      <c r="F5760" s="96"/>
      <c r="G5760" s="97"/>
      <c r="H5760" s="114" t="str">
        <f t="shared" si="79"/>
        <v/>
      </c>
      <c r="I5760" s="17"/>
      <c r="J5760" s="17"/>
      <c r="K5760" s="17"/>
    </row>
    <row r="5761" spans="1:11" x14ac:dyDescent="0.2">
      <c r="A5761" s="115"/>
      <c r="B5761" s="95"/>
      <c r="C5761" s="94"/>
      <c r="D5761" s="95"/>
      <c r="E5761" s="95"/>
      <c r="F5761" s="96"/>
      <c r="G5761" s="97"/>
      <c r="H5761" s="114" t="str">
        <f t="shared" si="79"/>
        <v/>
      </c>
      <c r="I5761" s="17"/>
      <c r="J5761" s="17"/>
      <c r="K5761" s="17"/>
    </row>
    <row r="5762" spans="1:11" x14ac:dyDescent="0.2">
      <c r="A5762" s="115"/>
      <c r="B5762" s="95"/>
      <c r="C5762" s="94"/>
      <c r="D5762" s="95"/>
      <c r="E5762" s="95"/>
      <c r="F5762" s="96"/>
      <c r="G5762" s="97"/>
      <c r="H5762" s="114" t="str">
        <f t="shared" si="79"/>
        <v/>
      </c>
      <c r="I5762" s="17"/>
      <c r="J5762" s="17"/>
      <c r="K5762" s="17"/>
    </row>
    <row r="5763" spans="1:11" x14ac:dyDescent="0.2">
      <c r="A5763" s="115"/>
      <c r="B5763" s="95"/>
      <c r="C5763" s="94"/>
      <c r="D5763" s="95"/>
      <c r="E5763" s="95"/>
      <c r="F5763" s="96"/>
      <c r="G5763" s="97"/>
      <c r="H5763" s="114" t="str">
        <f t="shared" si="79"/>
        <v/>
      </c>
      <c r="I5763" s="17"/>
      <c r="J5763" s="17"/>
      <c r="K5763" s="17"/>
    </row>
    <row r="5764" spans="1:11" x14ac:dyDescent="0.2">
      <c r="A5764" s="115"/>
      <c r="B5764" s="95"/>
      <c r="C5764" s="94"/>
      <c r="D5764" s="95"/>
      <c r="E5764" s="95"/>
      <c r="F5764" s="96"/>
      <c r="G5764" s="97"/>
      <c r="H5764" s="114" t="str">
        <f t="shared" ref="H5764:H5827" si="80">IF(A5764&lt;&gt;"", EOMONTH(A5764, -1) + 1, "")</f>
        <v/>
      </c>
      <c r="I5764" s="17"/>
      <c r="J5764" s="17"/>
      <c r="K5764" s="17"/>
    </row>
    <row r="5765" spans="1:11" x14ac:dyDescent="0.2">
      <c r="A5765" s="115"/>
      <c r="B5765" s="95"/>
      <c r="C5765" s="94"/>
      <c r="D5765" s="95"/>
      <c r="E5765" s="95"/>
      <c r="F5765" s="96"/>
      <c r="G5765" s="97"/>
      <c r="H5765" s="114" t="str">
        <f t="shared" si="80"/>
        <v/>
      </c>
      <c r="I5765" s="17"/>
      <c r="J5765" s="17"/>
      <c r="K5765" s="17"/>
    </row>
    <row r="5766" spans="1:11" x14ac:dyDescent="0.2">
      <c r="A5766" s="115"/>
      <c r="B5766" s="95"/>
      <c r="C5766" s="94"/>
      <c r="D5766" s="95"/>
      <c r="E5766" s="95"/>
      <c r="F5766" s="96"/>
      <c r="G5766" s="97"/>
      <c r="H5766" s="114" t="str">
        <f t="shared" si="80"/>
        <v/>
      </c>
      <c r="I5766" s="17"/>
      <c r="J5766" s="17"/>
      <c r="K5766" s="17"/>
    </row>
    <row r="5767" spans="1:11" x14ac:dyDescent="0.2">
      <c r="A5767" s="115"/>
      <c r="B5767" s="95"/>
      <c r="C5767" s="94"/>
      <c r="D5767" s="95"/>
      <c r="E5767" s="95"/>
      <c r="F5767" s="96"/>
      <c r="G5767" s="97"/>
      <c r="H5767" s="114" t="str">
        <f t="shared" si="80"/>
        <v/>
      </c>
      <c r="I5767" s="17"/>
      <c r="J5767" s="17"/>
      <c r="K5767" s="17"/>
    </row>
    <row r="5768" spans="1:11" x14ac:dyDescent="0.2">
      <c r="A5768" s="115"/>
      <c r="B5768" s="95"/>
      <c r="C5768" s="94"/>
      <c r="D5768" s="95"/>
      <c r="E5768" s="95"/>
      <c r="F5768" s="96"/>
      <c r="G5768" s="97"/>
      <c r="H5768" s="114" t="str">
        <f t="shared" si="80"/>
        <v/>
      </c>
      <c r="I5768" s="17"/>
      <c r="J5768" s="17"/>
      <c r="K5768" s="17"/>
    </row>
    <row r="5769" spans="1:11" x14ac:dyDescent="0.2">
      <c r="A5769" s="115"/>
      <c r="B5769" s="95"/>
      <c r="C5769" s="94"/>
      <c r="D5769" s="95"/>
      <c r="E5769" s="95"/>
      <c r="F5769" s="96"/>
      <c r="G5769" s="97"/>
      <c r="H5769" s="114" t="str">
        <f t="shared" si="80"/>
        <v/>
      </c>
      <c r="I5769" s="17"/>
      <c r="J5769" s="17"/>
      <c r="K5769" s="17"/>
    </row>
    <row r="5770" spans="1:11" x14ac:dyDescent="0.2">
      <c r="A5770" s="115"/>
      <c r="B5770" s="95"/>
      <c r="C5770" s="94"/>
      <c r="D5770" s="95"/>
      <c r="E5770" s="95"/>
      <c r="F5770" s="96"/>
      <c r="G5770" s="97"/>
      <c r="H5770" s="114" t="str">
        <f t="shared" si="80"/>
        <v/>
      </c>
      <c r="I5770" s="17"/>
      <c r="J5770" s="17"/>
      <c r="K5770" s="17"/>
    </row>
    <row r="5771" spans="1:11" x14ac:dyDescent="0.2">
      <c r="A5771" s="115"/>
      <c r="B5771" s="95"/>
      <c r="C5771" s="94"/>
      <c r="D5771" s="95"/>
      <c r="E5771" s="95"/>
      <c r="F5771" s="96"/>
      <c r="G5771" s="97"/>
      <c r="H5771" s="114" t="str">
        <f t="shared" si="80"/>
        <v/>
      </c>
      <c r="I5771" s="17"/>
      <c r="J5771" s="17"/>
      <c r="K5771" s="17"/>
    </row>
    <row r="5772" spans="1:11" x14ac:dyDescent="0.2">
      <c r="A5772" s="115"/>
      <c r="B5772" s="95"/>
      <c r="C5772" s="94"/>
      <c r="D5772" s="95"/>
      <c r="E5772" s="95"/>
      <c r="F5772" s="96"/>
      <c r="G5772" s="97"/>
      <c r="H5772" s="114" t="str">
        <f t="shared" si="80"/>
        <v/>
      </c>
      <c r="I5772" s="17"/>
      <c r="J5772" s="17"/>
      <c r="K5772" s="17"/>
    </row>
    <row r="5773" spans="1:11" x14ac:dyDescent="0.2">
      <c r="A5773" s="115"/>
      <c r="B5773" s="95"/>
      <c r="C5773" s="94"/>
      <c r="D5773" s="95"/>
      <c r="E5773" s="95"/>
      <c r="F5773" s="96"/>
      <c r="G5773" s="97"/>
      <c r="H5773" s="114" t="str">
        <f t="shared" si="80"/>
        <v/>
      </c>
      <c r="I5773" s="17"/>
      <c r="J5773" s="17"/>
      <c r="K5773" s="17"/>
    </row>
    <row r="5774" spans="1:11" x14ac:dyDescent="0.2">
      <c r="A5774" s="115"/>
      <c r="B5774" s="95"/>
      <c r="C5774" s="94"/>
      <c r="D5774" s="95"/>
      <c r="E5774" s="95"/>
      <c r="F5774" s="96"/>
      <c r="G5774" s="97"/>
      <c r="H5774" s="114" t="str">
        <f t="shared" si="80"/>
        <v/>
      </c>
      <c r="I5774" s="17"/>
      <c r="J5774" s="17"/>
      <c r="K5774" s="17"/>
    </row>
    <row r="5775" spans="1:11" x14ac:dyDescent="0.2">
      <c r="A5775" s="115"/>
      <c r="B5775" s="95"/>
      <c r="C5775" s="94"/>
      <c r="D5775" s="95"/>
      <c r="E5775" s="95"/>
      <c r="F5775" s="96"/>
      <c r="G5775" s="97"/>
      <c r="H5775" s="114" t="str">
        <f t="shared" si="80"/>
        <v/>
      </c>
      <c r="I5775" s="17"/>
      <c r="J5775" s="17"/>
      <c r="K5775" s="17"/>
    </row>
    <row r="5776" spans="1:11" x14ac:dyDescent="0.2">
      <c r="A5776" s="115"/>
      <c r="B5776" s="95"/>
      <c r="C5776" s="94"/>
      <c r="D5776" s="95"/>
      <c r="E5776" s="95"/>
      <c r="F5776" s="96"/>
      <c r="G5776" s="97"/>
      <c r="H5776" s="114" t="str">
        <f t="shared" si="80"/>
        <v/>
      </c>
      <c r="I5776" s="17"/>
      <c r="J5776" s="17"/>
      <c r="K5776" s="17"/>
    </row>
    <row r="5777" spans="1:11" x14ac:dyDescent="0.2">
      <c r="A5777" s="115"/>
      <c r="B5777" s="95"/>
      <c r="C5777" s="94"/>
      <c r="D5777" s="95"/>
      <c r="E5777" s="95"/>
      <c r="F5777" s="96"/>
      <c r="G5777" s="97"/>
      <c r="H5777" s="114" t="str">
        <f t="shared" si="80"/>
        <v/>
      </c>
      <c r="I5777" s="17"/>
      <c r="J5777" s="17"/>
      <c r="K5777" s="17"/>
    </row>
    <row r="5778" spans="1:11" x14ac:dyDescent="0.2">
      <c r="A5778" s="115"/>
      <c r="B5778" s="95"/>
      <c r="C5778" s="94"/>
      <c r="D5778" s="95"/>
      <c r="E5778" s="95"/>
      <c r="F5778" s="96"/>
      <c r="G5778" s="97"/>
      <c r="H5778" s="114" t="str">
        <f t="shared" si="80"/>
        <v/>
      </c>
      <c r="I5778" s="17"/>
      <c r="J5778" s="17"/>
      <c r="K5778" s="17"/>
    </row>
    <row r="5779" spans="1:11" x14ac:dyDescent="0.2">
      <c r="A5779" s="115"/>
      <c r="B5779" s="95"/>
      <c r="C5779" s="94"/>
      <c r="D5779" s="95"/>
      <c r="E5779" s="95"/>
      <c r="F5779" s="96"/>
      <c r="G5779" s="97"/>
      <c r="H5779" s="114" t="str">
        <f t="shared" si="80"/>
        <v/>
      </c>
      <c r="I5779" s="17"/>
      <c r="J5779" s="17"/>
      <c r="K5779" s="17"/>
    </row>
    <row r="5780" spans="1:11" x14ac:dyDescent="0.2">
      <c r="A5780" s="115"/>
      <c r="B5780" s="95"/>
      <c r="C5780" s="94"/>
      <c r="D5780" s="95"/>
      <c r="E5780" s="95"/>
      <c r="F5780" s="96"/>
      <c r="G5780" s="97"/>
      <c r="H5780" s="114" t="str">
        <f t="shared" si="80"/>
        <v/>
      </c>
      <c r="I5780" s="17"/>
      <c r="J5780" s="17"/>
      <c r="K5780" s="17"/>
    </row>
    <row r="5781" spans="1:11" x14ac:dyDescent="0.2">
      <c r="A5781" s="115"/>
      <c r="B5781" s="95"/>
      <c r="C5781" s="94"/>
      <c r="D5781" s="95"/>
      <c r="E5781" s="95"/>
      <c r="F5781" s="96"/>
      <c r="G5781" s="97"/>
      <c r="H5781" s="114" t="str">
        <f t="shared" si="80"/>
        <v/>
      </c>
      <c r="I5781" s="17"/>
      <c r="J5781" s="17"/>
      <c r="K5781" s="17"/>
    </row>
    <row r="5782" spans="1:11" x14ac:dyDescent="0.2">
      <c r="A5782" s="115"/>
      <c r="B5782" s="95"/>
      <c r="C5782" s="94"/>
      <c r="D5782" s="95"/>
      <c r="E5782" s="95"/>
      <c r="F5782" s="96"/>
      <c r="G5782" s="97"/>
      <c r="H5782" s="114" t="str">
        <f t="shared" si="80"/>
        <v/>
      </c>
      <c r="I5782" s="17"/>
      <c r="J5782" s="17"/>
      <c r="K5782" s="17"/>
    </row>
    <row r="5783" spans="1:11" x14ac:dyDescent="0.2">
      <c r="A5783" s="115"/>
      <c r="B5783" s="95"/>
      <c r="C5783" s="94"/>
      <c r="D5783" s="95"/>
      <c r="E5783" s="95"/>
      <c r="F5783" s="96"/>
      <c r="G5783" s="97"/>
      <c r="H5783" s="114" t="str">
        <f t="shared" si="80"/>
        <v/>
      </c>
      <c r="I5783" s="17"/>
      <c r="J5783" s="17"/>
      <c r="K5783" s="17"/>
    </row>
    <row r="5784" spans="1:11" x14ac:dyDescent="0.2">
      <c r="A5784" s="115"/>
      <c r="B5784" s="95"/>
      <c r="C5784" s="94"/>
      <c r="D5784" s="95"/>
      <c r="E5784" s="95"/>
      <c r="F5784" s="96"/>
      <c r="G5784" s="97"/>
      <c r="H5784" s="114" t="str">
        <f t="shared" si="80"/>
        <v/>
      </c>
      <c r="I5784" s="17"/>
      <c r="J5784" s="17"/>
      <c r="K5784" s="17"/>
    </row>
    <row r="5785" spans="1:11" x14ac:dyDescent="0.2">
      <c r="A5785" s="115"/>
      <c r="B5785" s="95"/>
      <c r="C5785" s="94"/>
      <c r="D5785" s="95"/>
      <c r="E5785" s="95"/>
      <c r="F5785" s="96"/>
      <c r="G5785" s="97"/>
      <c r="H5785" s="114" t="str">
        <f t="shared" si="80"/>
        <v/>
      </c>
      <c r="I5785" s="17"/>
      <c r="J5785" s="17"/>
      <c r="K5785" s="17"/>
    </row>
    <row r="5786" spans="1:11" x14ac:dyDescent="0.2">
      <c r="A5786" s="115"/>
      <c r="B5786" s="95"/>
      <c r="C5786" s="94"/>
      <c r="D5786" s="95"/>
      <c r="E5786" s="95"/>
      <c r="F5786" s="96"/>
      <c r="G5786" s="97"/>
      <c r="H5786" s="114" t="str">
        <f t="shared" si="80"/>
        <v/>
      </c>
      <c r="I5786" s="17"/>
      <c r="J5786" s="17"/>
      <c r="K5786" s="17"/>
    </row>
    <row r="5787" spans="1:11" x14ac:dyDescent="0.2">
      <c r="A5787" s="115"/>
      <c r="B5787" s="95"/>
      <c r="C5787" s="94"/>
      <c r="D5787" s="95"/>
      <c r="E5787" s="95"/>
      <c r="F5787" s="96"/>
      <c r="G5787" s="97"/>
      <c r="H5787" s="114" t="str">
        <f t="shared" si="80"/>
        <v/>
      </c>
      <c r="I5787" s="17"/>
      <c r="J5787" s="17"/>
      <c r="K5787" s="17"/>
    </row>
    <row r="5788" spans="1:11" x14ac:dyDescent="0.2">
      <c r="A5788" s="115"/>
      <c r="B5788" s="95"/>
      <c r="C5788" s="94"/>
      <c r="D5788" s="95"/>
      <c r="E5788" s="95"/>
      <c r="F5788" s="96"/>
      <c r="G5788" s="97"/>
      <c r="H5788" s="114" t="str">
        <f t="shared" si="80"/>
        <v/>
      </c>
      <c r="I5788" s="17"/>
      <c r="J5788" s="17"/>
      <c r="K5788" s="17"/>
    </row>
    <row r="5789" spans="1:11" x14ac:dyDescent="0.2">
      <c r="A5789" s="115"/>
      <c r="B5789" s="95"/>
      <c r="C5789" s="94"/>
      <c r="D5789" s="95"/>
      <c r="E5789" s="95"/>
      <c r="F5789" s="96"/>
      <c r="G5789" s="97"/>
      <c r="H5789" s="114" t="str">
        <f t="shared" si="80"/>
        <v/>
      </c>
      <c r="I5789" s="17"/>
      <c r="J5789" s="17"/>
      <c r="K5789" s="17"/>
    </row>
    <row r="5790" spans="1:11" x14ac:dyDescent="0.2">
      <c r="A5790" s="115"/>
      <c r="B5790" s="95"/>
      <c r="C5790" s="94"/>
      <c r="D5790" s="95"/>
      <c r="E5790" s="95"/>
      <c r="F5790" s="96"/>
      <c r="G5790" s="97"/>
      <c r="H5790" s="114" t="str">
        <f t="shared" si="80"/>
        <v/>
      </c>
      <c r="I5790" s="17"/>
      <c r="J5790" s="17"/>
      <c r="K5790" s="17"/>
    </row>
    <row r="5791" spans="1:11" x14ac:dyDescent="0.2">
      <c r="A5791" s="115"/>
      <c r="B5791" s="95"/>
      <c r="C5791" s="94"/>
      <c r="D5791" s="95"/>
      <c r="E5791" s="95"/>
      <c r="F5791" s="96"/>
      <c r="G5791" s="97"/>
      <c r="H5791" s="114" t="str">
        <f t="shared" si="80"/>
        <v/>
      </c>
      <c r="I5791" s="17"/>
      <c r="J5791" s="17"/>
      <c r="K5791" s="17"/>
    </row>
    <row r="5792" spans="1:11" x14ac:dyDescent="0.2">
      <c r="A5792" s="115"/>
      <c r="B5792" s="95"/>
      <c r="C5792" s="94"/>
      <c r="D5792" s="95"/>
      <c r="E5792" s="95"/>
      <c r="F5792" s="96"/>
      <c r="G5792" s="97"/>
      <c r="H5792" s="114" t="str">
        <f t="shared" si="80"/>
        <v/>
      </c>
      <c r="I5792" s="17"/>
      <c r="J5792" s="17"/>
      <c r="K5792" s="17"/>
    </row>
    <row r="5793" spans="1:11" x14ac:dyDescent="0.2">
      <c r="A5793" s="115"/>
      <c r="B5793" s="95"/>
      <c r="C5793" s="94"/>
      <c r="D5793" s="95"/>
      <c r="E5793" s="95"/>
      <c r="F5793" s="96"/>
      <c r="G5793" s="97"/>
      <c r="H5793" s="114" t="str">
        <f t="shared" si="80"/>
        <v/>
      </c>
      <c r="I5793" s="17"/>
      <c r="J5793" s="17"/>
      <c r="K5793" s="17"/>
    </row>
    <row r="5794" spans="1:11" x14ac:dyDescent="0.2">
      <c r="A5794" s="115"/>
      <c r="B5794" s="95"/>
      <c r="C5794" s="94"/>
      <c r="D5794" s="95"/>
      <c r="E5794" s="95"/>
      <c r="F5794" s="96"/>
      <c r="G5794" s="97"/>
      <c r="H5794" s="114" t="str">
        <f t="shared" si="80"/>
        <v/>
      </c>
      <c r="I5794" s="17"/>
      <c r="J5794" s="17"/>
      <c r="K5794" s="17"/>
    </row>
    <row r="5795" spans="1:11" x14ac:dyDescent="0.2">
      <c r="A5795" s="115"/>
      <c r="B5795" s="95"/>
      <c r="C5795" s="94"/>
      <c r="D5795" s="95"/>
      <c r="E5795" s="95"/>
      <c r="F5795" s="96"/>
      <c r="G5795" s="97"/>
      <c r="H5795" s="114" t="str">
        <f t="shared" si="80"/>
        <v/>
      </c>
      <c r="I5795" s="17"/>
      <c r="J5795" s="17"/>
      <c r="K5795" s="17"/>
    </row>
    <row r="5796" spans="1:11" x14ac:dyDescent="0.2">
      <c r="A5796" s="115"/>
      <c r="B5796" s="95"/>
      <c r="C5796" s="94"/>
      <c r="D5796" s="95"/>
      <c r="E5796" s="95"/>
      <c r="F5796" s="96"/>
      <c r="G5796" s="97"/>
      <c r="H5796" s="114" t="str">
        <f t="shared" si="80"/>
        <v/>
      </c>
      <c r="I5796" s="17"/>
      <c r="J5796" s="17"/>
      <c r="K5796" s="17"/>
    </row>
    <row r="5797" spans="1:11" x14ac:dyDescent="0.2">
      <c r="A5797" s="115"/>
      <c r="B5797" s="95"/>
      <c r="C5797" s="94"/>
      <c r="D5797" s="95"/>
      <c r="E5797" s="95"/>
      <c r="F5797" s="96"/>
      <c r="G5797" s="97"/>
      <c r="H5797" s="114" t="str">
        <f t="shared" si="80"/>
        <v/>
      </c>
      <c r="I5797" s="17"/>
      <c r="J5797" s="17"/>
      <c r="K5797" s="17"/>
    </row>
    <row r="5798" spans="1:11" x14ac:dyDescent="0.2">
      <c r="A5798" s="115"/>
      <c r="B5798" s="95"/>
      <c r="C5798" s="94"/>
      <c r="D5798" s="95"/>
      <c r="E5798" s="95"/>
      <c r="F5798" s="96"/>
      <c r="G5798" s="97"/>
      <c r="H5798" s="114" t="str">
        <f t="shared" si="80"/>
        <v/>
      </c>
      <c r="I5798" s="17"/>
      <c r="J5798" s="17"/>
      <c r="K5798" s="17"/>
    </row>
    <row r="5799" spans="1:11" x14ac:dyDescent="0.2">
      <c r="A5799" s="115"/>
      <c r="B5799" s="95"/>
      <c r="C5799" s="94"/>
      <c r="D5799" s="95"/>
      <c r="E5799" s="95"/>
      <c r="F5799" s="96"/>
      <c r="G5799" s="97"/>
      <c r="H5799" s="114" t="str">
        <f t="shared" si="80"/>
        <v/>
      </c>
      <c r="I5799" s="17"/>
      <c r="J5799" s="17"/>
      <c r="K5799" s="17"/>
    </row>
    <row r="5800" spans="1:11" x14ac:dyDescent="0.2">
      <c r="A5800" s="115"/>
      <c r="B5800" s="95"/>
      <c r="C5800" s="94"/>
      <c r="D5800" s="95"/>
      <c r="E5800" s="95"/>
      <c r="F5800" s="96"/>
      <c r="G5800" s="97"/>
      <c r="H5800" s="114" t="str">
        <f t="shared" si="80"/>
        <v/>
      </c>
      <c r="I5800" s="17"/>
      <c r="J5800" s="17"/>
      <c r="K5800" s="17"/>
    </row>
    <row r="5801" spans="1:11" x14ac:dyDescent="0.2">
      <c r="A5801" s="115"/>
      <c r="B5801" s="95"/>
      <c r="C5801" s="94"/>
      <c r="D5801" s="95"/>
      <c r="E5801" s="95"/>
      <c r="F5801" s="96"/>
      <c r="G5801" s="97"/>
      <c r="H5801" s="114" t="str">
        <f t="shared" si="80"/>
        <v/>
      </c>
      <c r="I5801" s="17"/>
      <c r="J5801" s="17"/>
      <c r="K5801" s="17"/>
    </row>
    <row r="5802" spans="1:11" x14ac:dyDescent="0.2">
      <c r="A5802" s="115"/>
      <c r="B5802" s="95"/>
      <c r="C5802" s="94"/>
      <c r="D5802" s="95"/>
      <c r="E5802" s="95"/>
      <c r="F5802" s="96"/>
      <c r="G5802" s="97"/>
      <c r="H5802" s="114" t="str">
        <f t="shared" si="80"/>
        <v/>
      </c>
      <c r="I5802" s="17"/>
      <c r="J5802" s="17"/>
      <c r="K5802" s="17"/>
    </row>
    <row r="5803" spans="1:11" x14ac:dyDescent="0.2">
      <c r="A5803" s="115"/>
      <c r="B5803" s="95"/>
      <c r="C5803" s="94"/>
      <c r="D5803" s="95"/>
      <c r="E5803" s="95"/>
      <c r="F5803" s="96"/>
      <c r="G5803" s="97"/>
      <c r="H5803" s="114" t="str">
        <f t="shared" si="80"/>
        <v/>
      </c>
      <c r="I5803" s="17"/>
      <c r="J5803" s="17"/>
      <c r="K5803" s="17"/>
    </row>
    <row r="5804" spans="1:11" x14ac:dyDescent="0.2">
      <c r="A5804" s="115"/>
      <c r="B5804" s="95"/>
      <c r="C5804" s="94"/>
      <c r="D5804" s="95"/>
      <c r="E5804" s="95"/>
      <c r="F5804" s="96"/>
      <c r="G5804" s="97"/>
      <c r="H5804" s="114" t="str">
        <f t="shared" si="80"/>
        <v/>
      </c>
      <c r="I5804" s="17"/>
      <c r="J5804" s="17"/>
      <c r="K5804" s="17"/>
    </row>
    <row r="5805" spans="1:11" x14ac:dyDescent="0.2">
      <c r="A5805" s="115"/>
      <c r="B5805" s="95"/>
      <c r="C5805" s="94"/>
      <c r="D5805" s="95"/>
      <c r="E5805" s="95"/>
      <c r="F5805" s="96"/>
      <c r="G5805" s="97"/>
      <c r="H5805" s="114" t="str">
        <f t="shared" si="80"/>
        <v/>
      </c>
      <c r="I5805" s="17"/>
      <c r="J5805" s="17"/>
      <c r="K5805" s="17"/>
    </row>
    <row r="5806" spans="1:11" x14ac:dyDescent="0.2">
      <c r="A5806" s="115"/>
      <c r="B5806" s="95"/>
      <c r="C5806" s="94"/>
      <c r="D5806" s="95"/>
      <c r="E5806" s="95"/>
      <c r="F5806" s="96"/>
      <c r="G5806" s="97"/>
      <c r="H5806" s="114" t="str">
        <f t="shared" si="80"/>
        <v/>
      </c>
      <c r="I5806" s="17"/>
      <c r="J5806" s="17"/>
      <c r="K5806" s="17"/>
    </row>
    <row r="5807" spans="1:11" x14ac:dyDescent="0.2">
      <c r="A5807" s="115"/>
      <c r="B5807" s="95"/>
      <c r="C5807" s="94"/>
      <c r="D5807" s="95"/>
      <c r="E5807" s="95"/>
      <c r="F5807" s="96"/>
      <c r="G5807" s="97"/>
      <c r="H5807" s="114" t="str">
        <f t="shared" si="80"/>
        <v/>
      </c>
      <c r="I5807" s="17"/>
      <c r="J5807" s="17"/>
      <c r="K5807" s="17"/>
    </row>
    <row r="5808" spans="1:11" x14ac:dyDescent="0.2">
      <c r="A5808" s="115"/>
      <c r="B5808" s="95"/>
      <c r="C5808" s="94"/>
      <c r="D5808" s="95"/>
      <c r="E5808" s="95"/>
      <c r="F5808" s="96"/>
      <c r="G5808" s="97"/>
      <c r="H5808" s="114" t="str">
        <f t="shared" si="80"/>
        <v/>
      </c>
      <c r="I5808" s="17"/>
      <c r="J5808" s="17"/>
      <c r="K5808" s="17"/>
    </row>
    <row r="5809" spans="1:11" x14ac:dyDescent="0.2">
      <c r="A5809" s="115"/>
      <c r="B5809" s="95"/>
      <c r="C5809" s="94"/>
      <c r="D5809" s="95"/>
      <c r="E5809" s="95"/>
      <c r="F5809" s="96"/>
      <c r="G5809" s="97"/>
      <c r="H5809" s="114" t="str">
        <f t="shared" si="80"/>
        <v/>
      </c>
      <c r="I5809" s="17"/>
      <c r="J5809" s="17"/>
      <c r="K5809" s="17"/>
    </row>
    <row r="5810" spans="1:11" x14ac:dyDescent="0.2">
      <c r="A5810" s="115"/>
      <c r="B5810" s="95"/>
      <c r="C5810" s="94"/>
      <c r="D5810" s="95"/>
      <c r="E5810" s="95"/>
      <c r="F5810" s="96"/>
      <c r="G5810" s="97"/>
      <c r="H5810" s="114" t="str">
        <f t="shared" si="80"/>
        <v/>
      </c>
      <c r="I5810" s="17"/>
      <c r="J5810" s="17"/>
      <c r="K5810" s="17"/>
    </row>
    <row r="5811" spans="1:11" x14ac:dyDescent="0.2">
      <c r="A5811" s="115"/>
      <c r="B5811" s="95"/>
      <c r="C5811" s="94"/>
      <c r="D5811" s="95"/>
      <c r="E5811" s="95"/>
      <c r="F5811" s="96"/>
      <c r="G5811" s="97"/>
      <c r="H5811" s="114" t="str">
        <f t="shared" si="80"/>
        <v/>
      </c>
      <c r="I5811" s="17"/>
      <c r="J5811" s="17"/>
      <c r="K5811" s="17"/>
    </row>
    <row r="5812" spans="1:11" x14ac:dyDescent="0.2">
      <c r="A5812" s="115"/>
      <c r="B5812" s="95"/>
      <c r="C5812" s="94"/>
      <c r="D5812" s="95"/>
      <c r="E5812" s="95"/>
      <c r="F5812" s="96"/>
      <c r="G5812" s="97"/>
      <c r="H5812" s="114" t="str">
        <f t="shared" si="80"/>
        <v/>
      </c>
      <c r="I5812" s="17"/>
      <c r="J5812" s="17"/>
      <c r="K5812" s="17"/>
    </row>
    <row r="5813" spans="1:11" x14ac:dyDescent="0.2">
      <c r="A5813" s="115"/>
      <c r="B5813" s="95"/>
      <c r="C5813" s="94"/>
      <c r="D5813" s="95"/>
      <c r="E5813" s="95"/>
      <c r="F5813" s="96"/>
      <c r="G5813" s="97"/>
      <c r="H5813" s="114" t="str">
        <f t="shared" si="80"/>
        <v/>
      </c>
      <c r="I5813" s="17"/>
      <c r="J5813" s="17"/>
      <c r="K5813" s="17"/>
    </row>
    <row r="5814" spans="1:11" x14ac:dyDescent="0.2">
      <c r="A5814" s="115"/>
      <c r="B5814" s="95"/>
      <c r="C5814" s="94"/>
      <c r="D5814" s="95"/>
      <c r="E5814" s="95"/>
      <c r="F5814" s="96"/>
      <c r="G5814" s="97"/>
      <c r="H5814" s="114" t="str">
        <f t="shared" si="80"/>
        <v/>
      </c>
      <c r="I5814" s="17"/>
      <c r="J5814" s="17"/>
      <c r="K5814" s="17"/>
    </row>
    <row r="5815" spans="1:11" x14ac:dyDescent="0.2">
      <c r="A5815" s="115"/>
      <c r="B5815" s="95"/>
      <c r="C5815" s="94"/>
      <c r="D5815" s="95"/>
      <c r="E5815" s="95"/>
      <c r="F5815" s="96"/>
      <c r="G5815" s="97"/>
      <c r="H5815" s="114" t="str">
        <f t="shared" si="80"/>
        <v/>
      </c>
      <c r="I5815" s="17"/>
      <c r="J5815" s="17"/>
      <c r="K5815" s="17"/>
    </row>
    <row r="5816" spans="1:11" x14ac:dyDescent="0.2">
      <c r="A5816" s="115"/>
      <c r="B5816" s="95"/>
      <c r="C5816" s="94"/>
      <c r="D5816" s="95"/>
      <c r="E5816" s="95"/>
      <c r="F5816" s="96"/>
      <c r="G5816" s="97"/>
      <c r="H5816" s="114" t="str">
        <f t="shared" si="80"/>
        <v/>
      </c>
      <c r="I5816" s="17"/>
      <c r="J5816" s="17"/>
      <c r="K5816" s="17"/>
    </row>
    <row r="5817" spans="1:11" x14ac:dyDescent="0.2">
      <c r="A5817" s="115"/>
      <c r="B5817" s="95"/>
      <c r="C5817" s="94"/>
      <c r="D5817" s="95"/>
      <c r="E5817" s="95"/>
      <c r="F5817" s="96"/>
      <c r="G5817" s="97"/>
      <c r="H5817" s="114" t="str">
        <f t="shared" si="80"/>
        <v/>
      </c>
      <c r="I5817" s="17"/>
      <c r="J5817" s="17"/>
      <c r="K5817" s="17"/>
    </row>
    <row r="5818" spans="1:11" x14ac:dyDescent="0.2">
      <c r="A5818" s="115"/>
      <c r="B5818" s="95"/>
      <c r="C5818" s="94"/>
      <c r="D5818" s="95"/>
      <c r="E5818" s="95"/>
      <c r="F5818" s="96"/>
      <c r="G5818" s="97"/>
      <c r="H5818" s="114" t="str">
        <f t="shared" si="80"/>
        <v/>
      </c>
      <c r="I5818" s="17"/>
      <c r="J5818" s="17"/>
      <c r="K5818" s="17"/>
    </row>
    <row r="5819" spans="1:11" x14ac:dyDescent="0.2">
      <c r="A5819" s="115"/>
      <c r="B5819" s="95"/>
      <c r="C5819" s="94"/>
      <c r="D5819" s="95"/>
      <c r="E5819" s="95"/>
      <c r="F5819" s="96"/>
      <c r="G5819" s="97"/>
      <c r="H5819" s="114" t="str">
        <f t="shared" si="80"/>
        <v/>
      </c>
      <c r="I5819" s="17"/>
      <c r="J5819" s="17"/>
      <c r="K5819" s="17"/>
    </row>
    <row r="5820" spans="1:11" x14ac:dyDescent="0.2">
      <c r="A5820" s="115"/>
      <c r="B5820" s="95"/>
      <c r="C5820" s="94"/>
      <c r="D5820" s="95"/>
      <c r="E5820" s="95"/>
      <c r="F5820" s="96"/>
      <c r="G5820" s="97"/>
      <c r="H5820" s="114" t="str">
        <f t="shared" si="80"/>
        <v/>
      </c>
      <c r="I5820" s="17"/>
      <c r="J5820" s="17"/>
      <c r="K5820" s="17"/>
    </row>
    <row r="5821" spans="1:11" x14ac:dyDescent="0.2">
      <c r="A5821" s="115"/>
      <c r="B5821" s="95"/>
      <c r="C5821" s="94"/>
      <c r="D5821" s="95"/>
      <c r="E5821" s="95"/>
      <c r="F5821" s="96"/>
      <c r="G5821" s="97"/>
      <c r="H5821" s="114" t="str">
        <f t="shared" si="80"/>
        <v/>
      </c>
      <c r="I5821" s="17"/>
      <c r="J5821" s="17"/>
      <c r="K5821" s="17"/>
    </row>
    <row r="5822" spans="1:11" x14ac:dyDescent="0.2">
      <c r="A5822" s="115"/>
      <c r="B5822" s="95"/>
      <c r="C5822" s="94"/>
      <c r="D5822" s="95"/>
      <c r="E5822" s="95"/>
      <c r="F5822" s="96"/>
      <c r="G5822" s="97"/>
      <c r="H5822" s="114" t="str">
        <f t="shared" si="80"/>
        <v/>
      </c>
      <c r="I5822" s="17"/>
      <c r="J5822" s="17"/>
      <c r="K5822" s="17"/>
    </row>
    <row r="5823" spans="1:11" x14ac:dyDescent="0.2">
      <c r="A5823" s="115"/>
      <c r="B5823" s="95"/>
      <c r="C5823" s="94"/>
      <c r="D5823" s="95"/>
      <c r="E5823" s="95"/>
      <c r="F5823" s="96"/>
      <c r="G5823" s="97"/>
      <c r="H5823" s="114" t="str">
        <f t="shared" si="80"/>
        <v/>
      </c>
      <c r="I5823" s="17"/>
      <c r="J5823" s="17"/>
      <c r="K5823" s="17"/>
    </row>
    <row r="5824" spans="1:11" x14ac:dyDescent="0.2">
      <c r="A5824" s="115"/>
      <c r="B5824" s="95"/>
      <c r="C5824" s="94"/>
      <c r="D5824" s="95"/>
      <c r="E5824" s="95"/>
      <c r="F5824" s="96"/>
      <c r="G5824" s="97"/>
      <c r="H5824" s="114" t="str">
        <f t="shared" si="80"/>
        <v/>
      </c>
      <c r="I5824" s="17"/>
      <c r="J5824" s="17"/>
      <c r="K5824" s="17"/>
    </row>
    <row r="5825" spans="1:11" x14ac:dyDescent="0.2">
      <c r="A5825" s="115"/>
      <c r="B5825" s="95"/>
      <c r="C5825" s="94"/>
      <c r="D5825" s="95"/>
      <c r="E5825" s="95"/>
      <c r="F5825" s="96"/>
      <c r="G5825" s="97"/>
      <c r="H5825" s="114" t="str">
        <f t="shared" si="80"/>
        <v/>
      </c>
      <c r="I5825" s="17"/>
      <c r="J5825" s="17"/>
      <c r="K5825" s="17"/>
    </row>
    <row r="5826" spans="1:11" x14ac:dyDescent="0.2">
      <c r="A5826" s="115"/>
      <c r="B5826" s="95"/>
      <c r="C5826" s="94"/>
      <c r="D5826" s="95"/>
      <c r="E5826" s="95"/>
      <c r="F5826" s="96"/>
      <c r="G5826" s="97"/>
      <c r="H5826" s="114" t="str">
        <f t="shared" si="80"/>
        <v/>
      </c>
      <c r="I5826" s="17"/>
      <c r="J5826" s="17"/>
      <c r="K5826" s="17"/>
    </row>
    <row r="5827" spans="1:11" x14ac:dyDescent="0.2">
      <c r="A5827" s="115"/>
      <c r="B5827" s="95"/>
      <c r="C5827" s="94"/>
      <c r="D5827" s="95"/>
      <c r="E5827" s="95"/>
      <c r="F5827" s="96"/>
      <c r="G5827" s="97"/>
      <c r="H5827" s="114" t="str">
        <f t="shared" si="80"/>
        <v/>
      </c>
      <c r="I5827" s="17"/>
      <c r="J5827" s="17"/>
      <c r="K5827" s="17"/>
    </row>
    <row r="5828" spans="1:11" x14ac:dyDescent="0.2">
      <c r="A5828" s="115"/>
      <c r="B5828" s="95"/>
      <c r="C5828" s="94"/>
      <c r="D5828" s="95"/>
      <c r="E5828" s="95"/>
      <c r="F5828" s="96"/>
      <c r="G5828" s="97"/>
      <c r="H5828" s="114" t="str">
        <f t="shared" ref="H5828:H5891" si="81">IF(A5828&lt;&gt;"", EOMONTH(A5828, -1) + 1, "")</f>
        <v/>
      </c>
      <c r="I5828" s="17"/>
      <c r="J5828" s="17"/>
      <c r="K5828" s="17"/>
    </row>
    <row r="5829" spans="1:11" x14ac:dyDescent="0.2">
      <c r="A5829" s="115"/>
      <c r="B5829" s="95"/>
      <c r="C5829" s="94"/>
      <c r="D5829" s="95"/>
      <c r="E5829" s="95"/>
      <c r="F5829" s="96"/>
      <c r="G5829" s="97"/>
      <c r="H5829" s="114" t="str">
        <f t="shared" si="81"/>
        <v/>
      </c>
      <c r="I5829" s="17"/>
      <c r="J5829" s="17"/>
      <c r="K5829" s="17"/>
    </row>
    <row r="5830" spans="1:11" x14ac:dyDescent="0.2">
      <c r="A5830" s="115"/>
      <c r="B5830" s="95"/>
      <c r="C5830" s="94"/>
      <c r="D5830" s="95"/>
      <c r="E5830" s="95"/>
      <c r="F5830" s="96"/>
      <c r="G5830" s="97"/>
      <c r="H5830" s="114" t="str">
        <f t="shared" si="81"/>
        <v/>
      </c>
      <c r="I5830" s="17"/>
      <c r="J5830" s="17"/>
      <c r="K5830" s="17"/>
    </row>
    <row r="5831" spans="1:11" x14ac:dyDescent="0.2">
      <c r="A5831" s="115"/>
      <c r="B5831" s="95"/>
      <c r="C5831" s="94"/>
      <c r="D5831" s="95"/>
      <c r="E5831" s="95"/>
      <c r="F5831" s="96"/>
      <c r="G5831" s="97"/>
      <c r="H5831" s="114" t="str">
        <f t="shared" si="81"/>
        <v/>
      </c>
      <c r="I5831" s="17"/>
      <c r="J5831" s="17"/>
      <c r="K5831" s="17"/>
    </row>
    <row r="5832" spans="1:11" x14ac:dyDescent="0.2">
      <c r="A5832" s="115"/>
      <c r="B5832" s="95"/>
      <c r="C5832" s="94"/>
      <c r="D5832" s="95"/>
      <c r="E5832" s="95"/>
      <c r="F5832" s="96"/>
      <c r="G5832" s="97"/>
      <c r="H5832" s="114" t="str">
        <f t="shared" si="81"/>
        <v/>
      </c>
      <c r="I5832" s="17"/>
      <c r="J5832" s="17"/>
      <c r="K5832" s="17"/>
    </row>
    <row r="5833" spans="1:11" x14ac:dyDescent="0.2">
      <c r="A5833" s="115"/>
      <c r="B5833" s="95"/>
      <c r="C5833" s="94"/>
      <c r="D5833" s="95"/>
      <c r="E5833" s="95"/>
      <c r="F5833" s="96"/>
      <c r="G5833" s="97"/>
      <c r="H5833" s="114" t="str">
        <f t="shared" si="81"/>
        <v/>
      </c>
      <c r="I5833" s="17"/>
      <c r="J5833" s="17"/>
      <c r="K5833" s="17"/>
    </row>
    <row r="5834" spans="1:11" x14ac:dyDescent="0.2">
      <c r="A5834" s="115"/>
      <c r="B5834" s="95"/>
      <c r="C5834" s="94"/>
      <c r="D5834" s="95"/>
      <c r="E5834" s="95"/>
      <c r="F5834" s="96"/>
      <c r="G5834" s="97"/>
      <c r="H5834" s="114" t="str">
        <f t="shared" si="81"/>
        <v/>
      </c>
      <c r="I5834" s="17"/>
      <c r="J5834" s="17"/>
      <c r="K5834" s="17"/>
    </row>
    <row r="5835" spans="1:11" x14ac:dyDescent="0.2">
      <c r="A5835" s="115"/>
      <c r="B5835" s="95"/>
      <c r="C5835" s="94"/>
      <c r="D5835" s="95"/>
      <c r="E5835" s="95"/>
      <c r="F5835" s="96"/>
      <c r="G5835" s="97"/>
      <c r="H5835" s="114" t="str">
        <f t="shared" si="81"/>
        <v/>
      </c>
      <c r="I5835" s="17"/>
      <c r="J5835" s="17"/>
      <c r="K5835" s="17"/>
    </row>
    <row r="5836" spans="1:11" x14ac:dyDescent="0.2">
      <c r="A5836" s="115"/>
      <c r="B5836" s="95"/>
      <c r="C5836" s="94"/>
      <c r="D5836" s="95"/>
      <c r="E5836" s="95"/>
      <c r="F5836" s="96"/>
      <c r="G5836" s="97"/>
      <c r="H5836" s="114" t="str">
        <f t="shared" si="81"/>
        <v/>
      </c>
      <c r="I5836" s="17"/>
      <c r="J5836" s="17"/>
      <c r="K5836" s="17"/>
    </row>
    <row r="5837" spans="1:11" x14ac:dyDescent="0.2">
      <c r="A5837" s="115"/>
      <c r="B5837" s="95"/>
      <c r="C5837" s="94"/>
      <c r="D5837" s="95"/>
      <c r="E5837" s="95"/>
      <c r="F5837" s="96"/>
      <c r="G5837" s="97"/>
      <c r="H5837" s="114" t="str">
        <f t="shared" si="81"/>
        <v/>
      </c>
      <c r="I5837" s="17"/>
      <c r="J5837" s="17"/>
      <c r="K5837" s="17"/>
    </row>
    <row r="5838" spans="1:11" x14ac:dyDescent="0.2">
      <c r="A5838" s="115"/>
      <c r="B5838" s="95"/>
      <c r="C5838" s="94"/>
      <c r="D5838" s="95"/>
      <c r="E5838" s="95"/>
      <c r="F5838" s="96"/>
      <c r="G5838" s="97"/>
      <c r="H5838" s="114" t="str">
        <f t="shared" si="81"/>
        <v/>
      </c>
      <c r="I5838" s="17"/>
      <c r="J5838" s="17"/>
      <c r="K5838" s="17"/>
    </row>
    <row r="5839" spans="1:11" x14ac:dyDescent="0.2">
      <c r="A5839" s="115"/>
      <c r="B5839" s="95"/>
      <c r="C5839" s="94"/>
      <c r="D5839" s="95"/>
      <c r="E5839" s="95"/>
      <c r="F5839" s="96"/>
      <c r="G5839" s="97"/>
      <c r="H5839" s="114" t="str">
        <f t="shared" si="81"/>
        <v/>
      </c>
      <c r="I5839" s="17"/>
      <c r="J5839" s="17"/>
      <c r="K5839" s="17"/>
    </row>
    <row r="5840" spans="1:11" x14ac:dyDescent="0.2">
      <c r="A5840" s="115"/>
      <c r="B5840" s="95"/>
      <c r="C5840" s="94"/>
      <c r="D5840" s="95"/>
      <c r="E5840" s="95"/>
      <c r="F5840" s="96"/>
      <c r="G5840" s="97"/>
      <c r="H5840" s="114" t="str">
        <f t="shared" si="81"/>
        <v/>
      </c>
      <c r="I5840" s="17"/>
      <c r="J5840" s="17"/>
      <c r="K5840" s="17"/>
    </row>
    <row r="5841" spans="1:11" x14ac:dyDescent="0.2">
      <c r="A5841" s="115"/>
      <c r="B5841" s="95"/>
      <c r="C5841" s="94"/>
      <c r="D5841" s="95"/>
      <c r="E5841" s="95"/>
      <c r="F5841" s="96"/>
      <c r="G5841" s="97"/>
      <c r="H5841" s="114" t="str">
        <f t="shared" si="81"/>
        <v/>
      </c>
      <c r="I5841" s="17"/>
      <c r="J5841" s="17"/>
      <c r="K5841" s="17"/>
    </row>
    <row r="5842" spans="1:11" x14ac:dyDescent="0.2">
      <c r="A5842" s="115"/>
      <c r="B5842" s="95"/>
      <c r="C5842" s="94"/>
      <c r="D5842" s="95"/>
      <c r="E5842" s="95"/>
      <c r="F5842" s="96"/>
      <c r="G5842" s="97"/>
      <c r="H5842" s="114" t="str">
        <f t="shared" si="81"/>
        <v/>
      </c>
      <c r="I5842" s="17"/>
      <c r="J5842" s="17"/>
      <c r="K5842" s="17"/>
    </row>
    <row r="5843" spans="1:11" x14ac:dyDescent="0.2">
      <c r="A5843" s="115"/>
      <c r="B5843" s="95"/>
      <c r="C5843" s="94"/>
      <c r="D5843" s="95"/>
      <c r="E5843" s="95"/>
      <c r="F5843" s="96"/>
      <c r="G5843" s="97"/>
      <c r="H5843" s="114" t="str">
        <f t="shared" si="81"/>
        <v/>
      </c>
      <c r="I5843" s="17"/>
      <c r="J5843" s="17"/>
      <c r="K5843" s="17"/>
    </row>
    <row r="5844" spans="1:11" x14ac:dyDescent="0.2">
      <c r="A5844" s="115"/>
      <c r="B5844" s="95"/>
      <c r="C5844" s="94"/>
      <c r="D5844" s="95"/>
      <c r="E5844" s="95"/>
      <c r="F5844" s="96"/>
      <c r="G5844" s="97"/>
      <c r="H5844" s="114" t="str">
        <f t="shared" si="81"/>
        <v/>
      </c>
      <c r="I5844" s="17"/>
      <c r="J5844" s="17"/>
      <c r="K5844" s="17"/>
    </row>
    <row r="5845" spans="1:11" x14ac:dyDescent="0.2">
      <c r="A5845" s="115"/>
      <c r="B5845" s="95"/>
      <c r="C5845" s="94"/>
      <c r="D5845" s="95"/>
      <c r="E5845" s="95"/>
      <c r="F5845" s="96"/>
      <c r="G5845" s="97"/>
      <c r="H5845" s="114" t="str">
        <f t="shared" si="81"/>
        <v/>
      </c>
      <c r="I5845" s="17"/>
      <c r="J5845" s="17"/>
      <c r="K5845" s="17"/>
    </row>
    <row r="5846" spans="1:11" x14ac:dyDescent="0.2">
      <c r="A5846" s="115"/>
      <c r="B5846" s="95"/>
      <c r="C5846" s="94"/>
      <c r="D5846" s="95"/>
      <c r="E5846" s="95"/>
      <c r="F5846" s="96"/>
      <c r="G5846" s="97"/>
      <c r="H5846" s="114" t="str">
        <f t="shared" si="81"/>
        <v/>
      </c>
      <c r="I5846" s="17"/>
      <c r="J5846" s="17"/>
      <c r="K5846" s="17"/>
    </row>
    <row r="5847" spans="1:11" x14ac:dyDescent="0.2">
      <c r="A5847" s="115"/>
      <c r="B5847" s="95"/>
      <c r="C5847" s="94"/>
      <c r="D5847" s="95"/>
      <c r="E5847" s="95"/>
      <c r="F5847" s="96"/>
      <c r="G5847" s="97"/>
      <c r="H5847" s="114" t="str">
        <f t="shared" si="81"/>
        <v/>
      </c>
      <c r="I5847" s="17"/>
      <c r="J5847" s="17"/>
      <c r="K5847" s="17"/>
    </row>
    <row r="5848" spans="1:11" x14ac:dyDescent="0.2">
      <c r="A5848" s="115"/>
      <c r="B5848" s="95"/>
      <c r="C5848" s="94"/>
      <c r="D5848" s="95"/>
      <c r="E5848" s="95"/>
      <c r="F5848" s="96"/>
      <c r="G5848" s="97"/>
      <c r="H5848" s="114" t="str">
        <f t="shared" si="81"/>
        <v/>
      </c>
      <c r="I5848" s="17"/>
      <c r="J5848" s="17"/>
      <c r="K5848" s="17"/>
    </row>
    <row r="5849" spans="1:11" x14ac:dyDescent="0.2">
      <c r="A5849" s="115"/>
      <c r="B5849" s="95"/>
      <c r="C5849" s="94"/>
      <c r="D5849" s="95"/>
      <c r="E5849" s="95"/>
      <c r="F5849" s="96"/>
      <c r="G5849" s="97"/>
      <c r="H5849" s="114" t="str">
        <f t="shared" si="81"/>
        <v/>
      </c>
      <c r="I5849" s="17"/>
      <c r="J5849" s="17"/>
      <c r="K5849" s="17"/>
    </row>
    <row r="5850" spans="1:11" x14ac:dyDescent="0.2">
      <c r="A5850" s="115"/>
      <c r="B5850" s="95"/>
      <c r="C5850" s="94"/>
      <c r="D5850" s="95"/>
      <c r="E5850" s="95"/>
      <c r="F5850" s="96"/>
      <c r="G5850" s="97"/>
      <c r="H5850" s="114" t="str">
        <f t="shared" si="81"/>
        <v/>
      </c>
      <c r="I5850" s="17"/>
      <c r="J5850" s="17"/>
      <c r="K5850" s="17"/>
    </row>
    <row r="5851" spans="1:11" x14ac:dyDescent="0.2">
      <c r="A5851" s="115"/>
      <c r="B5851" s="95"/>
      <c r="C5851" s="94"/>
      <c r="D5851" s="95"/>
      <c r="E5851" s="95"/>
      <c r="F5851" s="96"/>
      <c r="G5851" s="97"/>
      <c r="H5851" s="114" t="str">
        <f t="shared" si="81"/>
        <v/>
      </c>
      <c r="I5851" s="17"/>
      <c r="J5851" s="17"/>
      <c r="K5851" s="17"/>
    </row>
    <row r="5852" spans="1:11" x14ac:dyDescent="0.2">
      <c r="A5852" s="115"/>
      <c r="B5852" s="95"/>
      <c r="C5852" s="94"/>
      <c r="D5852" s="95"/>
      <c r="E5852" s="95"/>
      <c r="F5852" s="96"/>
      <c r="G5852" s="97"/>
      <c r="H5852" s="114" t="str">
        <f t="shared" si="81"/>
        <v/>
      </c>
      <c r="I5852" s="17"/>
      <c r="J5852" s="17"/>
      <c r="K5852" s="17"/>
    </row>
    <row r="5853" spans="1:11" x14ac:dyDescent="0.2">
      <c r="A5853" s="115"/>
      <c r="B5853" s="95"/>
      <c r="C5853" s="94"/>
      <c r="D5853" s="95"/>
      <c r="E5853" s="95"/>
      <c r="F5853" s="96"/>
      <c r="G5853" s="97"/>
      <c r="H5853" s="114" t="str">
        <f t="shared" si="81"/>
        <v/>
      </c>
      <c r="I5853" s="17"/>
      <c r="J5853" s="17"/>
      <c r="K5853" s="17"/>
    </row>
    <row r="5854" spans="1:11" x14ac:dyDescent="0.2">
      <c r="A5854" s="115"/>
      <c r="B5854" s="95"/>
      <c r="C5854" s="94"/>
      <c r="D5854" s="95"/>
      <c r="E5854" s="95"/>
      <c r="F5854" s="96"/>
      <c r="G5854" s="97"/>
      <c r="H5854" s="114" t="str">
        <f t="shared" si="81"/>
        <v/>
      </c>
      <c r="I5854" s="17"/>
      <c r="J5854" s="17"/>
      <c r="K5854" s="17"/>
    </row>
    <row r="5855" spans="1:11" x14ac:dyDescent="0.2">
      <c r="A5855" s="115"/>
      <c r="B5855" s="95"/>
      <c r="C5855" s="94"/>
      <c r="D5855" s="95"/>
      <c r="E5855" s="95"/>
      <c r="F5855" s="96"/>
      <c r="G5855" s="97"/>
      <c r="H5855" s="114" t="str">
        <f t="shared" si="81"/>
        <v/>
      </c>
      <c r="I5855" s="17"/>
      <c r="J5855" s="17"/>
      <c r="K5855" s="17"/>
    </row>
    <row r="5856" spans="1:11" x14ac:dyDescent="0.2">
      <c r="A5856" s="115"/>
      <c r="B5856" s="95"/>
      <c r="C5856" s="94"/>
      <c r="D5856" s="95"/>
      <c r="E5856" s="95"/>
      <c r="F5856" s="96"/>
      <c r="G5856" s="97"/>
      <c r="H5856" s="114" t="str">
        <f t="shared" si="81"/>
        <v/>
      </c>
      <c r="I5856" s="17"/>
      <c r="J5856" s="17"/>
      <c r="K5856" s="17"/>
    </row>
    <row r="5857" spans="1:11" x14ac:dyDescent="0.2">
      <c r="A5857" s="115"/>
      <c r="B5857" s="95"/>
      <c r="C5857" s="94"/>
      <c r="D5857" s="95"/>
      <c r="E5857" s="95"/>
      <c r="F5857" s="96"/>
      <c r="G5857" s="97"/>
      <c r="H5857" s="114" t="str">
        <f t="shared" si="81"/>
        <v/>
      </c>
      <c r="I5857" s="17"/>
      <c r="J5857" s="17"/>
      <c r="K5857" s="17"/>
    </row>
    <row r="5858" spans="1:11" x14ac:dyDescent="0.2">
      <c r="A5858" s="115"/>
      <c r="B5858" s="95"/>
      <c r="C5858" s="94"/>
      <c r="D5858" s="95"/>
      <c r="E5858" s="95"/>
      <c r="F5858" s="96"/>
      <c r="G5858" s="97"/>
      <c r="H5858" s="114" t="str">
        <f t="shared" si="81"/>
        <v/>
      </c>
      <c r="I5858" s="17"/>
      <c r="J5858" s="17"/>
      <c r="K5858" s="17"/>
    </row>
    <row r="5859" spans="1:11" x14ac:dyDescent="0.2">
      <c r="A5859" s="115"/>
      <c r="B5859" s="95"/>
      <c r="C5859" s="94"/>
      <c r="D5859" s="95"/>
      <c r="E5859" s="95"/>
      <c r="F5859" s="96"/>
      <c r="G5859" s="97"/>
      <c r="H5859" s="114" t="str">
        <f t="shared" si="81"/>
        <v/>
      </c>
      <c r="I5859" s="17"/>
      <c r="J5859" s="17"/>
      <c r="K5859" s="17"/>
    </row>
    <row r="5860" spans="1:11" x14ac:dyDescent="0.2">
      <c r="A5860" s="115"/>
      <c r="B5860" s="95"/>
      <c r="C5860" s="94"/>
      <c r="D5860" s="95"/>
      <c r="E5860" s="95"/>
      <c r="F5860" s="96"/>
      <c r="G5860" s="97"/>
      <c r="H5860" s="114" t="str">
        <f t="shared" si="81"/>
        <v/>
      </c>
      <c r="I5860" s="17"/>
      <c r="J5860" s="17"/>
      <c r="K5860" s="17"/>
    </row>
    <row r="5861" spans="1:11" x14ac:dyDescent="0.2">
      <c r="A5861" s="115"/>
      <c r="B5861" s="95"/>
      <c r="C5861" s="94"/>
      <c r="D5861" s="95"/>
      <c r="E5861" s="95"/>
      <c r="F5861" s="96"/>
      <c r="G5861" s="97"/>
      <c r="H5861" s="114" t="str">
        <f t="shared" si="81"/>
        <v/>
      </c>
      <c r="I5861" s="17"/>
      <c r="J5861" s="17"/>
      <c r="K5861" s="17"/>
    </row>
    <row r="5862" spans="1:11" x14ac:dyDescent="0.2">
      <c r="A5862" s="115"/>
      <c r="B5862" s="95"/>
      <c r="C5862" s="94"/>
      <c r="D5862" s="95"/>
      <c r="E5862" s="95"/>
      <c r="F5862" s="96"/>
      <c r="G5862" s="97"/>
      <c r="H5862" s="114" t="str">
        <f t="shared" si="81"/>
        <v/>
      </c>
      <c r="I5862" s="17"/>
      <c r="J5862" s="17"/>
      <c r="K5862" s="17"/>
    </row>
    <row r="5863" spans="1:11" x14ac:dyDescent="0.2">
      <c r="A5863" s="115"/>
      <c r="B5863" s="95"/>
      <c r="C5863" s="94"/>
      <c r="D5863" s="95"/>
      <c r="E5863" s="95"/>
      <c r="F5863" s="96"/>
      <c r="G5863" s="97"/>
      <c r="H5863" s="114" t="str">
        <f t="shared" si="81"/>
        <v/>
      </c>
      <c r="I5863" s="17"/>
      <c r="J5863" s="17"/>
      <c r="K5863" s="17"/>
    </row>
    <row r="5864" spans="1:11" x14ac:dyDescent="0.2">
      <c r="A5864" s="115"/>
      <c r="B5864" s="95"/>
      <c r="C5864" s="94"/>
      <c r="D5864" s="95"/>
      <c r="E5864" s="95"/>
      <c r="F5864" s="96"/>
      <c r="G5864" s="97"/>
      <c r="H5864" s="114" t="str">
        <f t="shared" si="81"/>
        <v/>
      </c>
      <c r="I5864" s="17"/>
      <c r="J5864" s="17"/>
      <c r="K5864" s="17"/>
    </row>
    <row r="5865" spans="1:11" x14ac:dyDescent="0.2">
      <c r="A5865" s="115"/>
      <c r="B5865" s="95"/>
      <c r="C5865" s="94"/>
      <c r="D5865" s="95"/>
      <c r="E5865" s="95"/>
      <c r="F5865" s="96"/>
      <c r="G5865" s="97"/>
      <c r="H5865" s="114" t="str">
        <f t="shared" si="81"/>
        <v/>
      </c>
      <c r="I5865" s="17"/>
      <c r="J5865" s="17"/>
      <c r="K5865" s="17"/>
    </row>
    <row r="5866" spans="1:11" x14ac:dyDescent="0.2">
      <c r="A5866" s="115"/>
      <c r="B5866" s="95"/>
      <c r="C5866" s="94"/>
      <c r="D5866" s="95"/>
      <c r="E5866" s="95"/>
      <c r="F5866" s="96"/>
      <c r="G5866" s="97"/>
      <c r="H5866" s="114" t="str">
        <f t="shared" si="81"/>
        <v/>
      </c>
      <c r="I5866" s="17"/>
      <c r="J5866" s="17"/>
      <c r="K5866" s="17"/>
    </row>
    <row r="5867" spans="1:11" x14ac:dyDescent="0.2">
      <c r="A5867" s="115"/>
      <c r="B5867" s="95"/>
      <c r="C5867" s="94"/>
      <c r="D5867" s="95"/>
      <c r="E5867" s="95"/>
      <c r="F5867" s="96"/>
      <c r="G5867" s="97"/>
      <c r="H5867" s="114" t="str">
        <f t="shared" si="81"/>
        <v/>
      </c>
      <c r="I5867" s="17"/>
      <c r="J5867" s="17"/>
      <c r="K5867" s="17"/>
    </row>
    <row r="5868" spans="1:11" x14ac:dyDescent="0.2">
      <c r="A5868" s="115"/>
      <c r="B5868" s="95"/>
      <c r="C5868" s="94"/>
      <c r="D5868" s="95"/>
      <c r="E5868" s="95"/>
      <c r="F5868" s="96"/>
      <c r="G5868" s="97"/>
      <c r="H5868" s="114" t="str">
        <f t="shared" si="81"/>
        <v/>
      </c>
      <c r="I5868" s="17"/>
      <c r="J5868" s="17"/>
      <c r="K5868" s="17"/>
    </row>
    <row r="5869" spans="1:11" x14ac:dyDescent="0.2">
      <c r="A5869" s="115"/>
      <c r="B5869" s="95"/>
      <c r="C5869" s="94"/>
      <c r="D5869" s="95"/>
      <c r="E5869" s="95"/>
      <c r="F5869" s="96"/>
      <c r="G5869" s="97"/>
      <c r="H5869" s="114" t="str">
        <f t="shared" si="81"/>
        <v/>
      </c>
      <c r="I5869" s="17"/>
      <c r="J5869" s="17"/>
      <c r="K5869" s="17"/>
    </row>
    <row r="5870" spans="1:11" x14ac:dyDescent="0.2">
      <c r="A5870" s="115"/>
      <c r="B5870" s="95"/>
      <c r="C5870" s="94"/>
      <c r="D5870" s="95"/>
      <c r="E5870" s="95"/>
      <c r="F5870" s="96"/>
      <c r="G5870" s="97"/>
      <c r="H5870" s="114" t="str">
        <f t="shared" si="81"/>
        <v/>
      </c>
      <c r="I5870" s="17"/>
      <c r="J5870" s="17"/>
      <c r="K5870" s="17"/>
    </row>
    <row r="5871" spans="1:11" x14ac:dyDescent="0.2">
      <c r="A5871" s="115"/>
      <c r="B5871" s="95"/>
      <c r="C5871" s="94"/>
      <c r="D5871" s="95"/>
      <c r="E5871" s="95"/>
      <c r="F5871" s="96"/>
      <c r="G5871" s="97"/>
      <c r="H5871" s="114" t="str">
        <f t="shared" si="81"/>
        <v/>
      </c>
      <c r="I5871" s="17"/>
      <c r="J5871" s="17"/>
      <c r="K5871" s="17"/>
    </row>
    <row r="5872" spans="1:11" x14ac:dyDescent="0.2">
      <c r="A5872" s="115"/>
      <c r="B5872" s="95"/>
      <c r="C5872" s="94"/>
      <c r="D5872" s="95"/>
      <c r="E5872" s="95"/>
      <c r="F5872" s="96"/>
      <c r="G5872" s="97"/>
      <c r="H5872" s="114" t="str">
        <f t="shared" si="81"/>
        <v/>
      </c>
      <c r="I5872" s="17"/>
      <c r="J5872" s="17"/>
      <c r="K5872" s="17"/>
    </row>
    <row r="5873" spans="1:11" x14ac:dyDescent="0.2">
      <c r="A5873" s="115"/>
      <c r="B5873" s="95"/>
      <c r="C5873" s="94"/>
      <c r="D5873" s="95"/>
      <c r="E5873" s="95"/>
      <c r="F5873" s="96"/>
      <c r="G5873" s="97"/>
      <c r="H5873" s="114" t="str">
        <f t="shared" si="81"/>
        <v/>
      </c>
      <c r="I5873" s="17"/>
      <c r="J5873" s="17"/>
      <c r="K5873" s="17"/>
    </row>
    <row r="5874" spans="1:11" x14ac:dyDescent="0.2">
      <c r="A5874" s="115"/>
      <c r="B5874" s="95"/>
      <c r="C5874" s="94"/>
      <c r="D5874" s="95"/>
      <c r="E5874" s="95"/>
      <c r="F5874" s="96"/>
      <c r="G5874" s="97"/>
      <c r="H5874" s="114" t="str">
        <f t="shared" si="81"/>
        <v/>
      </c>
      <c r="I5874" s="17"/>
      <c r="J5874" s="17"/>
      <c r="K5874" s="17"/>
    </row>
    <row r="5875" spans="1:11" x14ac:dyDescent="0.2">
      <c r="A5875" s="115"/>
      <c r="B5875" s="95"/>
      <c r="C5875" s="94"/>
      <c r="D5875" s="95"/>
      <c r="E5875" s="95"/>
      <c r="F5875" s="96"/>
      <c r="G5875" s="97"/>
      <c r="H5875" s="114" t="str">
        <f t="shared" si="81"/>
        <v/>
      </c>
      <c r="I5875" s="17"/>
      <c r="J5875" s="17"/>
      <c r="K5875" s="17"/>
    </row>
    <row r="5876" spans="1:11" x14ac:dyDescent="0.2">
      <c r="A5876" s="115"/>
      <c r="B5876" s="95"/>
      <c r="C5876" s="94"/>
      <c r="D5876" s="95"/>
      <c r="E5876" s="95"/>
      <c r="F5876" s="96"/>
      <c r="G5876" s="97"/>
      <c r="H5876" s="114" t="str">
        <f t="shared" si="81"/>
        <v/>
      </c>
      <c r="I5876" s="17"/>
      <c r="J5876" s="17"/>
      <c r="K5876" s="17"/>
    </row>
    <row r="5877" spans="1:11" x14ac:dyDescent="0.2">
      <c r="A5877" s="115"/>
      <c r="B5877" s="95"/>
      <c r="C5877" s="94"/>
      <c r="D5877" s="95"/>
      <c r="E5877" s="95"/>
      <c r="F5877" s="96"/>
      <c r="G5877" s="97"/>
      <c r="H5877" s="114" t="str">
        <f t="shared" si="81"/>
        <v/>
      </c>
      <c r="I5877" s="17"/>
      <c r="J5877" s="17"/>
      <c r="K5877" s="17"/>
    </row>
    <row r="5878" spans="1:11" x14ac:dyDescent="0.2">
      <c r="A5878" s="115"/>
      <c r="B5878" s="95"/>
      <c r="C5878" s="94"/>
      <c r="D5878" s="95"/>
      <c r="E5878" s="95"/>
      <c r="F5878" s="96"/>
      <c r="G5878" s="97"/>
      <c r="H5878" s="114" t="str">
        <f t="shared" si="81"/>
        <v/>
      </c>
      <c r="I5878" s="17"/>
      <c r="J5878" s="17"/>
      <c r="K5878" s="17"/>
    </row>
    <row r="5879" spans="1:11" x14ac:dyDescent="0.2">
      <c r="A5879" s="115"/>
      <c r="B5879" s="95"/>
      <c r="C5879" s="94"/>
      <c r="D5879" s="95"/>
      <c r="E5879" s="95"/>
      <c r="F5879" s="96"/>
      <c r="G5879" s="97"/>
      <c r="H5879" s="114" t="str">
        <f t="shared" si="81"/>
        <v/>
      </c>
      <c r="I5879" s="17"/>
      <c r="J5879" s="17"/>
      <c r="K5879" s="17"/>
    </row>
    <row r="5880" spans="1:11" x14ac:dyDescent="0.2">
      <c r="A5880" s="115"/>
      <c r="B5880" s="95"/>
      <c r="C5880" s="94"/>
      <c r="D5880" s="95"/>
      <c r="E5880" s="95"/>
      <c r="F5880" s="96"/>
      <c r="G5880" s="97"/>
      <c r="H5880" s="114" t="str">
        <f t="shared" si="81"/>
        <v/>
      </c>
      <c r="I5880" s="17"/>
      <c r="J5880" s="17"/>
      <c r="K5880" s="17"/>
    </row>
    <row r="5881" spans="1:11" x14ac:dyDescent="0.2">
      <c r="A5881" s="115"/>
      <c r="B5881" s="95"/>
      <c r="C5881" s="94"/>
      <c r="D5881" s="95"/>
      <c r="E5881" s="95"/>
      <c r="F5881" s="96"/>
      <c r="G5881" s="97"/>
      <c r="H5881" s="114" t="str">
        <f t="shared" si="81"/>
        <v/>
      </c>
      <c r="I5881" s="17"/>
      <c r="J5881" s="17"/>
      <c r="K5881" s="17"/>
    </row>
    <row r="5882" spans="1:11" x14ac:dyDescent="0.2">
      <c r="A5882" s="115"/>
      <c r="B5882" s="95"/>
      <c r="C5882" s="94"/>
      <c r="D5882" s="95"/>
      <c r="E5882" s="95"/>
      <c r="F5882" s="96"/>
      <c r="G5882" s="97"/>
      <c r="H5882" s="114" t="str">
        <f t="shared" si="81"/>
        <v/>
      </c>
      <c r="I5882" s="17"/>
      <c r="J5882" s="17"/>
      <c r="K5882" s="17"/>
    </row>
    <row r="5883" spans="1:11" x14ac:dyDescent="0.2">
      <c r="A5883" s="115"/>
      <c r="B5883" s="95"/>
      <c r="C5883" s="94"/>
      <c r="D5883" s="95"/>
      <c r="E5883" s="95"/>
      <c r="F5883" s="96"/>
      <c r="G5883" s="97"/>
      <c r="H5883" s="114" t="str">
        <f t="shared" si="81"/>
        <v/>
      </c>
      <c r="I5883" s="17"/>
      <c r="J5883" s="17"/>
      <c r="K5883" s="17"/>
    </row>
    <row r="5884" spans="1:11" x14ac:dyDescent="0.2">
      <c r="A5884" s="115"/>
      <c r="B5884" s="95"/>
      <c r="C5884" s="94"/>
      <c r="D5884" s="95"/>
      <c r="E5884" s="95"/>
      <c r="F5884" s="96"/>
      <c r="G5884" s="97"/>
      <c r="H5884" s="114" t="str">
        <f t="shared" si="81"/>
        <v/>
      </c>
      <c r="I5884" s="17"/>
      <c r="J5884" s="17"/>
      <c r="K5884" s="17"/>
    </row>
    <row r="5885" spans="1:11" x14ac:dyDescent="0.2">
      <c r="A5885" s="115"/>
      <c r="B5885" s="95"/>
      <c r="C5885" s="94"/>
      <c r="D5885" s="95"/>
      <c r="E5885" s="95"/>
      <c r="F5885" s="96"/>
      <c r="G5885" s="97"/>
      <c r="H5885" s="114" t="str">
        <f t="shared" si="81"/>
        <v/>
      </c>
      <c r="I5885" s="17"/>
      <c r="J5885" s="17"/>
      <c r="K5885" s="17"/>
    </row>
    <row r="5886" spans="1:11" x14ac:dyDescent="0.2">
      <c r="A5886" s="115"/>
      <c r="B5886" s="95"/>
      <c r="C5886" s="94"/>
      <c r="D5886" s="95"/>
      <c r="E5886" s="95"/>
      <c r="F5886" s="96"/>
      <c r="G5886" s="97"/>
      <c r="H5886" s="114" t="str">
        <f t="shared" si="81"/>
        <v/>
      </c>
      <c r="I5886" s="17"/>
      <c r="J5886" s="17"/>
      <c r="K5886" s="17"/>
    </row>
    <row r="5887" spans="1:11" x14ac:dyDescent="0.2">
      <c r="A5887" s="115"/>
      <c r="B5887" s="95"/>
      <c r="C5887" s="94"/>
      <c r="D5887" s="95"/>
      <c r="E5887" s="95"/>
      <c r="F5887" s="96"/>
      <c r="G5887" s="97"/>
      <c r="H5887" s="114" t="str">
        <f t="shared" si="81"/>
        <v/>
      </c>
      <c r="I5887" s="17"/>
      <c r="J5887" s="17"/>
      <c r="K5887" s="17"/>
    </row>
    <row r="5888" spans="1:11" x14ac:dyDescent="0.2">
      <c r="A5888" s="115"/>
      <c r="B5888" s="95"/>
      <c r="C5888" s="94"/>
      <c r="D5888" s="95"/>
      <c r="E5888" s="95"/>
      <c r="F5888" s="96"/>
      <c r="G5888" s="97"/>
      <c r="H5888" s="114" t="str">
        <f t="shared" si="81"/>
        <v/>
      </c>
      <c r="I5888" s="17"/>
      <c r="J5888" s="17"/>
      <c r="K5888" s="17"/>
    </row>
    <row r="5889" spans="1:11" x14ac:dyDescent="0.2">
      <c r="A5889" s="115"/>
      <c r="B5889" s="95"/>
      <c r="C5889" s="94"/>
      <c r="D5889" s="95"/>
      <c r="E5889" s="95"/>
      <c r="F5889" s="96"/>
      <c r="G5889" s="97"/>
      <c r="H5889" s="114" t="str">
        <f t="shared" si="81"/>
        <v/>
      </c>
      <c r="I5889" s="17"/>
      <c r="J5889" s="17"/>
      <c r="K5889" s="17"/>
    </row>
    <row r="5890" spans="1:11" x14ac:dyDescent="0.2">
      <c r="A5890" s="115"/>
      <c r="B5890" s="95"/>
      <c r="C5890" s="94"/>
      <c r="D5890" s="95"/>
      <c r="E5890" s="95"/>
      <c r="F5890" s="96"/>
      <c r="G5890" s="97"/>
      <c r="H5890" s="114" t="str">
        <f t="shared" si="81"/>
        <v/>
      </c>
      <c r="I5890" s="17"/>
      <c r="J5890" s="17"/>
      <c r="K5890" s="17"/>
    </row>
    <row r="5891" spans="1:11" x14ac:dyDescent="0.2">
      <c r="A5891" s="115"/>
      <c r="B5891" s="95"/>
      <c r="C5891" s="94"/>
      <c r="D5891" s="95"/>
      <c r="E5891" s="95"/>
      <c r="F5891" s="96"/>
      <c r="G5891" s="97"/>
      <c r="H5891" s="114" t="str">
        <f t="shared" si="81"/>
        <v/>
      </c>
      <c r="I5891" s="17"/>
      <c r="J5891" s="17"/>
      <c r="K5891" s="17"/>
    </row>
    <row r="5892" spans="1:11" x14ac:dyDescent="0.2">
      <c r="A5892" s="115"/>
      <c r="B5892" s="95"/>
      <c r="C5892" s="94"/>
      <c r="D5892" s="95"/>
      <c r="E5892" s="95"/>
      <c r="F5892" s="96"/>
      <c r="G5892" s="97"/>
      <c r="H5892" s="114" t="str">
        <f t="shared" ref="H5892:H5955" si="82">IF(A5892&lt;&gt;"", EOMONTH(A5892, -1) + 1, "")</f>
        <v/>
      </c>
      <c r="I5892" s="17"/>
      <c r="J5892" s="17"/>
      <c r="K5892" s="17"/>
    </row>
    <row r="5893" spans="1:11" x14ac:dyDescent="0.2">
      <c r="A5893" s="115"/>
      <c r="B5893" s="95"/>
      <c r="C5893" s="94"/>
      <c r="D5893" s="95"/>
      <c r="E5893" s="95"/>
      <c r="F5893" s="96"/>
      <c r="G5893" s="97"/>
      <c r="H5893" s="114" t="str">
        <f t="shared" si="82"/>
        <v/>
      </c>
      <c r="I5893" s="17"/>
      <c r="J5893" s="17"/>
      <c r="K5893" s="17"/>
    </row>
    <row r="5894" spans="1:11" x14ac:dyDescent="0.2">
      <c r="A5894" s="115"/>
      <c r="B5894" s="95"/>
      <c r="C5894" s="94"/>
      <c r="D5894" s="95"/>
      <c r="E5894" s="95"/>
      <c r="F5894" s="96"/>
      <c r="G5894" s="97"/>
      <c r="H5894" s="114" t="str">
        <f t="shared" si="82"/>
        <v/>
      </c>
      <c r="I5894" s="17"/>
      <c r="J5894" s="17"/>
      <c r="K5894" s="17"/>
    </row>
    <row r="5895" spans="1:11" x14ac:dyDescent="0.2">
      <c r="A5895" s="115"/>
      <c r="B5895" s="95"/>
      <c r="C5895" s="94"/>
      <c r="D5895" s="95"/>
      <c r="E5895" s="95"/>
      <c r="F5895" s="96"/>
      <c r="G5895" s="97"/>
      <c r="H5895" s="114" t="str">
        <f t="shared" si="82"/>
        <v/>
      </c>
      <c r="I5895" s="17"/>
      <c r="J5895" s="17"/>
      <c r="K5895" s="17"/>
    </row>
    <row r="5896" spans="1:11" x14ac:dyDescent="0.2">
      <c r="A5896" s="115"/>
      <c r="B5896" s="95"/>
      <c r="C5896" s="94"/>
      <c r="D5896" s="95"/>
      <c r="E5896" s="95"/>
      <c r="F5896" s="96"/>
      <c r="G5896" s="97"/>
      <c r="H5896" s="114" t="str">
        <f t="shared" si="82"/>
        <v/>
      </c>
      <c r="I5896" s="17"/>
      <c r="J5896" s="17"/>
      <c r="K5896" s="17"/>
    </row>
    <row r="5897" spans="1:11" x14ac:dyDescent="0.2">
      <c r="A5897" s="115"/>
      <c r="B5897" s="95"/>
      <c r="C5897" s="94"/>
      <c r="D5897" s="95"/>
      <c r="E5897" s="95"/>
      <c r="F5897" s="96"/>
      <c r="G5897" s="97"/>
      <c r="H5897" s="114" t="str">
        <f t="shared" si="82"/>
        <v/>
      </c>
      <c r="I5897" s="17"/>
      <c r="J5897" s="17"/>
      <c r="K5897" s="17"/>
    </row>
    <row r="5898" spans="1:11" x14ac:dyDescent="0.2">
      <c r="A5898" s="115"/>
      <c r="B5898" s="95"/>
      <c r="C5898" s="94"/>
      <c r="D5898" s="95"/>
      <c r="E5898" s="95"/>
      <c r="F5898" s="96"/>
      <c r="G5898" s="97"/>
      <c r="H5898" s="114" t="str">
        <f t="shared" si="82"/>
        <v/>
      </c>
      <c r="I5898" s="17"/>
      <c r="J5898" s="17"/>
      <c r="K5898" s="17"/>
    </row>
    <row r="5899" spans="1:11" x14ac:dyDescent="0.2">
      <c r="A5899" s="115"/>
      <c r="B5899" s="95"/>
      <c r="C5899" s="94"/>
      <c r="D5899" s="95"/>
      <c r="E5899" s="95"/>
      <c r="F5899" s="96"/>
      <c r="G5899" s="97"/>
      <c r="H5899" s="114" t="str">
        <f t="shared" si="82"/>
        <v/>
      </c>
      <c r="I5899" s="17"/>
      <c r="J5899" s="17"/>
      <c r="K5899" s="17"/>
    </row>
    <row r="5900" spans="1:11" x14ac:dyDescent="0.2">
      <c r="A5900" s="115"/>
      <c r="B5900" s="95"/>
      <c r="C5900" s="94"/>
      <c r="D5900" s="95"/>
      <c r="E5900" s="95"/>
      <c r="F5900" s="96"/>
      <c r="G5900" s="97"/>
      <c r="H5900" s="114" t="str">
        <f t="shared" si="82"/>
        <v/>
      </c>
      <c r="I5900" s="17"/>
      <c r="J5900" s="17"/>
      <c r="K5900" s="17"/>
    </row>
    <row r="5901" spans="1:11" x14ac:dyDescent="0.2">
      <c r="A5901" s="115"/>
      <c r="B5901" s="95"/>
      <c r="C5901" s="94"/>
      <c r="D5901" s="95"/>
      <c r="E5901" s="95"/>
      <c r="F5901" s="96"/>
      <c r="G5901" s="97"/>
      <c r="H5901" s="114" t="str">
        <f t="shared" si="82"/>
        <v/>
      </c>
      <c r="I5901" s="17"/>
      <c r="J5901" s="17"/>
      <c r="K5901" s="17"/>
    </row>
    <row r="5902" spans="1:11" x14ac:dyDescent="0.2">
      <c r="A5902" s="115"/>
      <c r="B5902" s="95"/>
      <c r="C5902" s="94"/>
      <c r="D5902" s="95"/>
      <c r="E5902" s="95"/>
      <c r="F5902" s="96"/>
      <c r="G5902" s="97"/>
      <c r="H5902" s="114" t="str">
        <f t="shared" si="82"/>
        <v/>
      </c>
      <c r="I5902" s="17"/>
      <c r="J5902" s="17"/>
      <c r="K5902" s="17"/>
    </row>
    <row r="5903" spans="1:11" x14ac:dyDescent="0.2">
      <c r="A5903" s="115"/>
      <c r="B5903" s="95"/>
      <c r="C5903" s="94"/>
      <c r="D5903" s="95"/>
      <c r="E5903" s="95"/>
      <c r="F5903" s="96"/>
      <c r="G5903" s="97"/>
      <c r="H5903" s="114" t="str">
        <f t="shared" si="82"/>
        <v/>
      </c>
      <c r="I5903" s="17"/>
      <c r="J5903" s="17"/>
      <c r="K5903" s="17"/>
    </row>
    <row r="5904" spans="1:11" x14ac:dyDescent="0.2">
      <c r="A5904" s="115"/>
      <c r="B5904" s="95"/>
      <c r="C5904" s="94"/>
      <c r="D5904" s="95"/>
      <c r="E5904" s="95"/>
      <c r="F5904" s="96"/>
      <c r="G5904" s="97"/>
      <c r="H5904" s="114" t="str">
        <f t="shared" si="82"/>
        <v/>
      </c>
      <c r="I5904" s="17"/>
      <c r="J5904" s="17"/>
      <c r="K5904" s="17"/>
    </row>
    <row r="5905" spans="1:11" x14ac:dyDescent="0.2">
      <c r="A5905" s="115"/>
      <c r="B5905" s="95"/>
      <c r="C5905" s="94"/>
      <c r="D5905" s="95"/>
      <c r="E5905" s="95"/>
      <c r="F5905" s="96"/>
      <c r="G5905" s="97"/>
      <c r="H5905" s="114" t="str">
        <f t="shared" si="82"/>
        <v/>
      </c>
      <c r="I5905" s="17"/>
      <c r="J5905" s="17"/>
      <c r="K5905" s="17"/>
    </row>
    <row r="5906" spans="1:11" x14ac:dyDescent="0.2">
      <c r="A5906" s="115"/>
      <c r="B5906" s="95"/>
      <c r="C5906" s="94"/>
      <c r="D5906" s="95"/>
      <c r="E5906" s="95"/>
      <c r="F5906" s="96"/>
      <c r="G5906" s="97"/>
      <c r="H5906" s="114" t="str">
        <f t="shared" si="82"/>
        <v/>
      </c>
      <c r="I5906" s="17"/>
      <c r="J5906" s="17"/>
      <c r="K5906" s="17"/>
    </row>
    <row r="5907" spans="1:11" x14ac:dyDescent="0.2">
      <c r="A5907" s="115"/>
      <c r="B5907" s="95"/>
      <c r="C5907" s="94"/>
      <c r="D5907" s="95"/>
      <c r="E5907" s="95"/>
      <c r="F5907" s="96"/>
      <c r="G5907" s="97"/>
      <c r="H5907" s="114" t="str">
        <f t="shared" si="82"/>
        <v/>
      </c>
      <c r="I5907" s="17"/>
      <c r="J5907" s="17"/>
      <c r="K5907" s="17"/>
    </row>
    <row r="5908" spans="1:11" x14ac:dyDescent="0.2">
      <c r="A5908" s="115"/>
      <c r="B5908" s="95"/>
      <c r="C5908" s="94"/>
      <c r="D5908" s="95"/>
      <c r="E5908" s="95"/>
      <c r="F5908" s="96"/>
      <c r="G5908" s="97"/>
      <c r="H5908" s="114" t="str">
        <f t="shared" si="82"/>
        <v/>
      </c>
      <c r="I5908" s="17"/>
      <c r="J5908" s="17"/>
      <c r="K5908" s="17"/>
    </row>
    <row r="5909" spans="1:11" x14ac:dyDescent="0.2">
      <c r="A5909" s="115"/>
      <c r="B5909" s="95"/>
      <c r="C5909" s="94"/>
      <c r="D5909" s="95"/>
      <c r="E5909" s="95"/>
      <c r="F5909" s="96"/>
      <c r="G5909" s="97"/>
      <c r="H5909" s="114" t="str">
        <f t="shared" si="82"/>
        <v/>
      </c>
      <c r="I5909" s="17"/>
      <c r="J5909" s="17"/>
      <c r="K5909" s="17"/>
    </row>
    <row r="5910" spans="1:11" x14ac:dyDescent="0.2">
      <c r="A5910" s="115"/>
      <c r="B5910" s="95"/>
      <c r="C5910" s="94"/>
      <c r="D5910" s="95"/>
      <c r="E5910" s="95"/>
      <c r="F5910" s="96"/>
      <c r="G5910" s="97"/>
      <c r="H5910" s="114" t="str">
        <f t="shared" si="82"/>
        <v/>
      </c>
      <c r="I5910" s="17"/>
      <c r="J5910" s="17"/>
      <c r="K5910" s="17"/>
    </row>
    <row r="5911" spans="1:11" x14ac:dyDescent="0.2">
      <c r="A5911" s="115"/>
      <c r="B5911" s="95"/>
      <c r="C5911" s="94"/>
      <c r="D5911" s="95"/>
      <c r="E5911" s="95"/>
      <c r="F5911" s="96"/>
      <c r="G5911" s="97"/>
      <c r="H5911" s="114" t="str">
        <f t="shared" si="82"/>
        <v/>
      </c>
      <c r="I5911" s="17"/>
      <c r="J5911" s="17"/>
      <c r="K5911" s="17"/>
    </row>
    <row r="5912" spans="1:11" x14ac:dyDescent="0.2">
      <c r="A5912" s="115"/>
      <c r="B5912" s="95"/>
      <c r="C5912" s="94"/>
      <c r="D5912" s="95"/>
      <c r="E5912" s="95"/>
      <c r="F5912" s="96"/>
      <c r="G5912" s="97"/>
      <c r="H5912" s="114" t="str">
        <f t="shared" si="82"/>
        <v/>
      </c>
      <c r="I5912" s="17"/>
      <c r="J5912" s="17"/>
      <c r="K5912" s="17"/>
    </row>
    <row r="5913" spans="1:11" x14ac:dyDescent="0.2">
      <c r="A5913" s="115"/>
      <c r="B5913" s="95"/>
      <c r="C5913" s="94"/>
      <c r="D5913" s="95"/>
      <c r="E5913" s="95"/>
      <c r="F5913" s="96"/>
      <c r="G5913" s="97"/>
      <c r="H5913" s="114" t="str">
        <f t="shared" si="82"/>
        <v/>
      </c>
      <c r="I5913" s="17"/>
      <c r="J5913" s="17"/>
      <c r="K5913" s="17"/>
    </row>
    <row r="5914" spans="1:11" x14ac:dyDescent="0.2">
      <c r="A5914" s="115"/>
      <c r="B5914" s="95"/>
      <c r="C5914" s="94"/>
      <c r="D5914" s="95"/>
      <c r="E5914" s="95"/>
      <c r="F5914" s="96"/>
      <c r="G5914" s="97"/>
      <c r="H5914" s="114" t="str">
        <f t="shared" si="82"/>
        <v/>
      </c>
      <c r="I5914" s="17"/>
      <c r="J5914" s="17"/>
      <c r="K5914" s="17"/>
    </row>
    <row r="5915" spans="1:11" x14ac:dyDescent="0.2">
      <c r="A5915" s="115"/>
      <c r="B5915" s="95"/>
      <c r="C5915" s="94"/>
      <c r="D5915" s="95"/>
      <c r="E5915" s="95"/>
      <c r="F5915" s="96"/>
      <c r="G5915" s="97"/>
      <c r="H5915" s="114" t="str">
        <f t="shared" si="82"/>
        <v/>
      </c>
      <c r="I5915" s="17"/>
      <c r="J5915" s="17"/>
      <c r="K5915" s="17"/>
    </row>
    <row r="5916" spans="1:11" x14ac:dyDescent="0.2">
      <c r="A5916" s="115"/>
      <c r="B5916" s="95"/>
      <c r="C5916" s="94"/>
      <c r="D5916" s="95"/>
      <c r="E5916" s="95"/>
      <c r="F5916" s="96"/>
      <c r="G5916" s="97"/>
      <c r="H5916" s="114" t="str">
        <f t="shared" si="82"/>
        <v/>
      </c>
      <c r="I5916" s="17"/>
      <c r="J5916" s="17"/>
      <c r="K5916" s="17"/>
    </row>
    <row r="5917" spans="1:11" x14ac:dyDescent="0.2">
      <c r="A5917" s="115"/>
      <c r="B5917" s="95"/>
      <c r="C5917" s="94"/>
      <c r="D5917" s="95"/>
      <c r="E5917" s="95"/>
      <c r="F5917" s="96"/>
      <c r="G5917" s="97"/>
      <c r="H5917" s="114" t="str">
        <f t="shared" si="82"/>
        <v/>
      </c>
      <c r="I5917" s="17"/>
      <c r="J5917" s="17"/>
      <c r="K5917" s="17"/>
    </row>
    <row r="5918" spans="1:11" x14ac:dyDescent="0.2">
      <c r="A5918" s="115"/>
      <c r="B5918" s="95"/>
      <c r="C5918" s="94"/>
      <c r="D5918" s="95"/>
      <c r="E5918" s="95"/>
      <c r="F5918" s="96"/>
      <c r="G5918" s="97"/>
      <c r="H5918" s="114" t="str">
        <f t="shared" si="82"/>
        <v/>
      </c>
      <c r="I5918" s="17"/>
      <c r="J5918" s="17"/>
      <c r="K5918" s="17"/>
    </row>
    <row r="5919" spans="1:11" x14ac:dyDescent="0.2">
      <c r="A5919" s="115"/>
      <c r="B5919" s="95"/>
      <c r="C5919" s="94"/>
      <c r="D5919" s="95"/>
      <c r="E5919" s="95"/>
      <c r="F5919" s="96"/>
      <c r="G5919" s="97"/>
      <c r="H5919" s="114" t="str">
        <f t="shared" si="82"/>
        <v/>
      </c>
      <c r="I5919" s="17"/>
      <c r="J5919" s="17"/>
      <c r="K5919" s="17"/>
    </row>
    <row r="5920" spans="1:11" x14ac:dyDescent="0.2">
      <c r="A5920" s="115"/>
      <c r="B5920" s="95"/>
      <c r="C5920" s="94"/>
      <c r="D5920" s="95"/>
      <c r="E5920" s="95"/>
      <c r="F5920" s="96"/>
      <c r="G5920" s="97"/>
      <c r="H5920" s="114" t="str">
        <f t="shared" si="82"/>
        <v/>
      </c>
      <c r="I5920" s="17"/>
      <c r="J5920" s="17"/>
      <c r="K5920" s="17"/>
    </row>
    <row r="5921" spans="1:11" x14ac:dyDescent="0.2">
      <c r="A5921" s="115"/>
      <c r="B5921" s="95"/>
      <c r="C5921" s="94"/>
      <c r="D5921" s="95"/>
      <c r="E5921" s="95"/>
      <c r="F5921" s="96"/>
      <c r="G5921" s="97"/>
      <c r="H5921" s="114" t="str">
        <f t="shared" si="82"/>
        <v/>
      </c>
      <c r="I5921" s="17"/>
      <c r="J5921" s="17"/>
      <c r="K5921" s="17"/>
    </row>
    <row r="5922" spans="1:11" x14ac:dyDescent="0.2">
      <c r="A5922" s="115"/>
      <c r="B5922" s="95"/>
      <c r="C5922" s="94"/>
      <c r="D5922" s="95"/>
      <c r="E5922" s="95"/>
      <c r="F5922" s="96"/>
      <c r="G5922" s="97"/>
      <c r="H5922" s="114" t="str">
        <f t="shared" si="82"/>
        <v/>
      </c>
      <c r="I5922" s="17"/>
      <c r="J5922" s="17"/>
      <c r="K5922" s="17"/>
    </row>
    <row r="5923" spans="1:11" x14ac:dyDescent="0.2">
      <c r="A5923" s="115"/>
      <c r="B5923" s="95"/>
      <c r="C5923" s="94"/>
      <c r="D5923" s="95"/>
      <c r="E5923" s="95"/>
      <c r="F5923" s="96"/>
      <c r="G5923" s="97"/>
      <c r="H5923" s="114" t="str">
        <f t="shared" si="82"/>
        <v/>
      </c>
      <c r="I5923" s="17"/>
      <c r="J5923" s="17"/>
      <c r="K5923" s="17"/>
    </row>
    <row r="5924" spans="1:11" x14ac:dyDescent="0.2">
      <c r="A5924" s="115"/>
      <c r="B5924" s="95"/>
      <c r="C5924" s="94"/>
      <c r="D5924" s="95"/>
      <c r="E5924" s="95"/>
      <c r="F5924" s="96"/>
      <c r="G5924" s="97"/>
      <c r="H5924" s="114" t="str">
        <f t="shared" si="82"/>
        <v/>
      </c>
      <c r="I5924" s="17"/>
      <c r="J5924" s="17"/>
      <c r="K5924" s="17"/>
    </row>
    <row r="5925" spans="1:11" x14ac:dyDescent="0.2">
      <c r="A5925" s="115"/>
      <c r="B5925" s="95"/>
      <c r="C5925" s="94"/>
      <c r="D5925" s="95"/>
      <c r="E5925" s="95"/>
      <c r="F5925" s="96"/>
      <c r="G5925" s="97"/>
      <c r="H5925" s="114" t="str">
        <f t="shared" si="82"/>
        <v/>
      </c>
      <c r="I5925" s="17"/>
      <c r="J5925" s="17"/>
      <c r="K5925" s="17"/>
    </row>
    <row r="5926" spans="1:11" x14ac:dyDescent="0.2">
      <c r="A5926" s="115"/>
      <c r="B5926" s="95"/>
      <c r="C5926" s="94"/>
      <c r="D5926" s="95"/>
      <c r="E5926" s="95"/>
      <c r="F5926" s="96"/>
      <c r="G5926" s="97"/>
      <c r="H5926" s="114" t="str">
        <f t="shared" si="82"/>
        <v/>
      </c>
      <c r="I5926" s="17"/>
      <c r="J5926" s="17"/>
      <c r="K5926" s="17"/>
    </row>
    <row r="5927" spans="1:11" x14ac:dyDescent="0.2">
      <c r="A5927" s="115"/>
      <c r="B5927" s="95"/>
      <c r="C5927" s="94"/>
      <c r="D5927" s="95"/>
      <c r="E5927" s="95"/>
      <c r="F5927" s="96"/>
      <c r="G5927" s="97"/>
      <c r="H5927" s="114" t="str">
        <f t="shared" si="82"/>
        <v/>
      </c>
      <c r="I5927" s="17"/>
      <c r="J5927" s="17"/>
      <c r="K5927" s="17"/>
    </row>
    <row r="5928" spans="1:11" x14ac:dyDescent="0.2">
      <c r="A5928" s="115"/>
      <c r="B5928" s="95"/>
      <c r="C5928" s="94"/>
      <c r="D5928" s="95"/>
      <c r="E5928" s="95"/>
      <c r="F5928" s="96"/>
      <c r="G5928" s="97"/>
      <c r="H5928" s="114" t="str">
        <f t="shared" si="82"/>
        <v/>
      </c>
      <c r="I5928" s="17"/>
      <c r="J5928" s="17"/>
      <c r="K5928" s="17"/>
    </row>
    <row r="5929" spans="1:11" x14ac:dyDescent="0.2">
      <c r="A5929" s="115"/>
      <c r="B5929" s="95"/>
      <c r="C5929" s="94"/>
      <c r="D5929" s="95"/>
      <c r="E5929" s="95"/>
      <c r="F5929" s="96"/>
      <c r="G5929" s="97"/>
      <c r="H5929" s="114" t="str">
        <f t="shared" si="82"/>
        <v/>
      </c>
      <c r="I5929" s="17"/>
      <c r="J5929" s="17"/>
      <c r="K5929" s="17"/>
    </row>
    <row r="5930" spans="1:11" x14ac:dyDescent="0.2">
      <c r="A5930" s="115"/>
      <c r="B5930" s="95"/>
      <c r="C5930" s="94"/>
      <c r="D5930" s="95"/>
      <c r="E5930" s="95"/>
      <c r="F5930" s="96"/>
      <c r="G5930" s="97"/>
      <c r="H5930" s="114" t="str">
        <f t="shared" si="82"/>
        <v/>
      </c>
      <c r="I5930" s="17"/>
      <c r="J5930" s="17"/>
      <c r="K5930" s="17"/>
    </row>
    <row r="5931" spans="1:11" x14ac:dyDescent="0.2">
      <c r="A5931" s="115"/>
      <c r="B5931" s="95"/>
      <c r="C5931" s="94"/>
      <c r="D5931" s="95"/>
      <c r="E5931" s="95"/>
      <c r="F5931" s="96"/>
      <c r="G5931" s="97"/>
      <c r="H5931" s="114" t="str">
        <f t="shared" si="82"/>
        <v/>
      </c>
      <c r="I5931" s="17"/>
      <c r="J5931" s="17"/>
      <c r="K5931" s="17"/>
    </row>
    <row r="5932" spans="1:11" x14ac:dyDescent="0.2">
      <c r="A5932" s="115"/>
      <c r="B5932" s="95"/>
      <c r="C5932" s="94"/>
      <c r="D5932" s="95"/>
      <c r="E5932" s="95"/>
      <c r="F5932" s="96"/>
      <c r="G5932" s="97"/>
      <c r="H5932" s="114" t="str">
        <f t="shared" si="82"/>
        <v/>
      </c>
      <c r="I5932" s="17"/>
      <c r="J5932" s="17"/>
      <c r="K5932" s="17"/>
    </row>
    <row r="5933" spans="1:11" x14ac:dyDescent="0.2">
      <c r="A5933" s="115"/>
      <c r="B5933" s="95"/>
      <c r="C5933" s="94"/>
      <c r="D5933" s="95"/>
      <c r="E5933" s="95"/>
      <c r="F5933" s="96"/>
      <c r="G5933" s="97"/>
      <c r="H5933" s="114" t="str">
        <f t="shared" si="82"/>
        <v/>
      </c>
      <c r="I5933" s="17"/>
      <c r="J5933" s="17"/>
      <c r="K5933" s="17"/>
    </row>
    <row r="5934" spans="1:11" x14ac:dyDescent="0.2">
      <c r="A5934" s="115"/>
      <c r="B5934" s="95"/>
      <c r="C5934" s="94"/>
      <c r="D5934" s="95"/>
      <c r="E5934" s="95"/>
      <c r="F5934" s="96"/>
      <c r="G5934" s="97"/>
      <c r="H5934" s="114" t="str">
        <f t="shared" si="82"/>
        <v/>
      </c>
      <c r="I5934" s="17"/>
      <c r="J5934" s="17"/>
      <c r="K5934" s="17"/>
    </row>
    <row r="5935" spans="1:11" x14ac:dyDescent="0.2">
      <c r="A5935" s="115"/>
      <c r="B5935" s="95"/>
      <c r="C5935" s="94"/>
      <c r="D5935" s="95"/>
      <c r="E5935" s="95"/>
      <c r="F5935" s="96"/>
      <c r="G5935" s="97"/>
      <c r="H5935" s="114" t="str">
        <f t="shared" si="82"/>
        <v/>
      </c>
      <c r="I5935" s="17"/>
      <c r="J5935" s="17"/>
      <c r="K5935" s="17"/>
    </row>
    <row r="5936" spans="1:11" x14ac:dyDescent="0.2">
      <c r="A5936" s="115"/>
      <c r="B5936" s="95"/>
      <c r="C5936" s="94"/>
      <c r="D5936" s="95"/>
      <c r="E5936" s="95"/>
      <c r="F5936" s="96"/>
      <c r="G5936" s="97"/>
      <c r="H5936" s="114" t="str">
        <f t="shared" si="82"/>
        <v/>
      </c>
      <c r="I5936" s="17"/>
      <c r="J5936" s="17"/>
      <c r="K5936" s="17"/>
    </row>
    <row r="5937" spans="1:11" x14ac:dyDescent="0.2">
      <c r="A5937" s="115"/>
      <c r="B5937" s="95"/>
      <c r="C5937" s="94"/>
      <c r="D5937" s="95"/>
      <c r="E5937" s="95"/>
      <c r="F5937" s="96"/>
      <c r="G5937" s="97"/>
      <c r="H5937" s="114" t="str">
        <f t="shared" si="82"/>
        <v/>
      </c>
      <c r="I5937" s="17"/>
      <c r="J5937" s="17"/>
      <c r="K5937" s="17"/>
    </row>
    <row r="5938" spans="1:11" x14ac:dyDescent="0.2">
      <c r="A5938" s="115"/>
      <c r="B5938" s="95"/>
      <c r="C5938" s="94"/>
      <c r="D5938" s="95"/>
      <c r="E5938" s="95"/>
      <c r="F5938" s="96"/>
      <c r="G5938" s="97"/>
      <c r="H5938" s="114" t="str">
        <f t="shared" si="82"/>
        <v/>
      </c>
      <c r="I5938" s="17"/>
      <c r="J5938" s="17"/>
      <c r="K5938" s="17"/>
    </row>
    <row r="5939" spans="1:11" x14ac:dyDescent="0.2">
      <c r="A5939" s="115"/>
      <c r="B5939" s="95"/>
      <c r="C5939" s="94"/>
      <c r="D5939" s="95"/>
      <c r="E5939" s="95"/>
      <c r="F5939" s="96"/>
      <c r="G5939" s="97"/>
      <c r="H5939" s="114" t="str">
        <f t="shared" si="82"/>
        <v/>
      </c>
      <c r="I5939" s="17"/>
      <c r="J5939" s="17"/>
      <c r="K5939" s="17"/>
    </row>
    <row r="5940" spans="1:11" x14ac:dyDescent="0.2">
      <c r="A5940" s="115"/>
      <c r="B5940" s="95"/>
      <c r="C5940" s="94"/>
      <c r="D5940" s="95"/>
      <c r="E5940" s="95"/>
      <c r="F5940" s="96"/>
      <c r="G5940" s="97"/>
      <c r="H5940" s="114" t="str">
        <f t="shared" si="82"/>
        <v/>
      </c>
      <c r="I5940" s="17"/>
      <c r="J5940" s="17"/>
      <c r="K5940" s="17"/>
    </row>
    <row r="5941" spans="1:11" x14ac:dyDescent="0.2">
      <c r="A5941" s="115"/>
      <c r="B5941" s="95"/>
      <c r="C5941" s="94"/>
      <c r="D5941" s="95"/>
      <c r="E5941" s="95"/>
      <c r="F5941" s="96"/>
      <c r="G5941" s="97"/>
      <c r="H5941" s="114" t="str">
        <f t="shared" si="82"/>
        <v/>
      </c>
      <c r="I5941" s="17"/>
      <c r="J5941" s="17"/>
      <c r="K5941" s="17"/>
    </row>
    <row r="5942" spans="1:11" x14ac:dyDescent="0.2">
      <c r="A5942" s="115"/>
      <c r="B5942" s="95"/>
      <c r="C5942" s="94"/>
      <c r="D5942" s="95"/>
      <c r="E5942" s="95"/>
      <c r="F5942" s="96"/>
      <c r="G5942" s="97"/>
      <c r="H5942" s="114" t="str">
        <f t="shared" si="82"/>
        <v/>
      </c>
      <c r="I5942" s="17"/>
      <c r="J5942" s="17"/>
      <c r="K5942" s="17"/>
    </row>
    <row r="5943" spans="1:11" x14ac:dyDescent="0.2">
      <c r="A5943" s="115"/>
      <c r="B5943" s="95"/>
      <c r="C5943" s="94"/>
      <c r="D5943" s="95"/>
      <c r="E5943" s="95"/>
      <c r="F5943" s="96"/>
      <c r="G5943" s="97"/>
      <c r="H5943" s="114" t="str">
        <f t="shared" si="82"/>
        <v/>
      </c>
      <c r="I5943" s="17"/>
      <c r="J5943" s="17"/>
      <c r="K5943" s="17"/>
    </row>
    <row r="5944" spans="1:11" x14ac:dyDescent="0.2">
      <c r="A5944" s="115"/>
      <c r="B5944" s="95"/>
      <c r="C5944" s="94"/>
      <c r="D5944" s="95"/>
      <c r="E5944" s="95"/>
      <c r="F5944" s="96"/>
      <c r="G5944" s="97"/>
      <c r="H5944" s="114" t="str">
        <f t="shared" si="82"/>
        <v/>
      </c>
      <c r="I5944" s="17"/>
      <c r="J5944" s="17"/>
      <c r="K5944" s="17"/>
    </row>
    <row r="5945" spans="1:11" x14ac:dyDescent="0.2">
      <c r="A5945" s="115"/>
      <c r="B5945" s="95"/>
      <c r="C5945" s="94"/>
      <c r="D5945" s="95"/>
      <c r="E5945" s="95"/>
      <c r="F5945" s="96"/>
      <c r="G5945" s="97"/>
      <c r="H5945" s="114" t="str">
        <f t="shared" si="82"/>
        <v/>
      </c>
      <c r="I5945" s="17"/>
      <c r="J5945" s="17"/>
      <c r="K5945" s="17"/>
    </row>
    <row r="5946" spans="1:11" x14ac:dyDescent="0.2">
      <c r="A5946" s="115"/>
      <c r="B5946" s="95"/>
      <c r="C5946" s="94"/>
      <c r="D5946" s="95"/>
      <c r="E5946" s="95"/>
      <c r="F5946" s="96"/>
      <c r="G5946" s="97"/>
      <c r="H5946" s="114" t="str">
        <f t="shared" si="82"/>
        <v/>
      </c>
      <c r="I5946" s="17"/>
      <c r="J5946" s="17"/>
      <c r="K5946" s="17"/>
    </row>
    <row r="5947" spans="1:11" x14ac:dyDescent="0.2">
      <c r="A5947" s="115"/>
      <c r="B5947" s="95"/>
      <c r="C5947" s="94"/>
      <c r="D5947" s="95"/>
      <c r="E5947" s="95"/>
      <c r="F5947" s="96"/>
      <c r="G5947" s="97"/>
      <c r="H5947" s="114" t="str">
        <f t="shared" si="82"/>
        <v/>
      </c>
      <c r="I5947" s="17"/>
      <c r="J5947" s="17"/>
      <c r="K5947" s="17"/>
    </row>
    <row r="5948" spans="1:11" x14ac:dyDescent="0.2">
      <c r="A5948" s="115"/>
      <c r="B5948" s="95"/>
      <c r="C5948" s="94"/>
      <c r="D5948" s="95"/>
      <c r="E5948" s="95"/>
      <c r="F5948" s="96"/>
      <c r="G5948" s="97"/>
      <c r="H5948" s="114" t="str">
        <f t="shared" si="82"/>
        <v/>
      </c>
      <c r="I5948" s="17"/>
      <c r="J5948" s="17"/>
      <c r="K5948" s="17"/>
    </row>
    <row r="5949" spans="1:11" x14ac:dyDescent="0.2">
      <c r="A5949" s="115"/>
      <c r="B5949" s="95"/>
      <c r="C5949" s="94"/>
      <c r="D5949" s="95"/>
      <c r="E5949" s="95"/>
      <c r="F5949" s="96"/>
      <c r="G5949" s="97"/>
      <c r="H5949" s="114" t="str">
        <f t="shared" si="82"/>
        <v/>
      </c>
      <c r="I5949" s="17"/>
      <c r="J5949" s="17"/>
      <c r="K5949" s="17"/>
    </row>
    <row r="5950" spans="1:11" x14ac:dyDescent="0.2">
      <c r="A5950" s="115"/>
      <c r="B5950" s="95"/>
      <c r="C5950" s="94"/>
      <c r="D5950" s="95"/>
      <c r="E5950" s="95"/>
      <c r="F5950" s="96"/>
      <c r="G5950" s="97"/>
      <c r="H5950" s="114" t="str">
        <f t="shared" si="82"/>
        <v/>
      </c>
      <c r="I5950" s="17"/>
      <c r="J5950" s="17"/>
      <c r="K5950" s="17"/>
    </row>
    <row r="5951" spans="1:11" x14ac:dyDescent="0.2">
      <c r="A5951" s="115"/>
      <c r="B5951" s="95"/>
      <c r="C5951" s="94"/>
      <c r="D5951" s="95"/>
      <c r="E5951" s="95"/>
      <c r="F5951" s="96"/>
      <c r="G5951" s="97"/>
      <c r="H5951" s="114" t="str">
        <f t="shared" si="82"/>
        <v/>
      </c>
      <c r="I5951" s="17"/>
      <c r="J5951" s="17"/>
      <c r="K5951" s="17"/>
    </row>
    <row r="5952" spans="1:11" x14ac:dyDescent="0.2">
      <c r="A5952" s="115"/>
      <c r="B5952" s="95"/>
      <c r="C5952" s="94"/>
      <c r="D5952" s="95"/>
      <c r="E5952" s="95"/>
      <c r="F5952" s="96"/>
      <c r="G5952" s="97"/>
      <c r="H5952" s="114" t="str">
        <f t="shared" si="82"/>
        <v/>
      </c>
      <c r="I5952" s="17"/>
      <c r="J5952" s="17"/>
      <c r="K5952" s="17"/>
    </row>
    <row r="5953" spans="1:11" x14ac:dyDescent="0.2">
      <c r="A5953" s="115"/>
      <c r="B5953" s="95"/>
      <c r="C5953" s="94"/>
      <c r="D5953" s="95"/>
      <c r="E5953" s="95"/>
      <c r="F5953" s="96"/>
      <c r="G5953" s="97"/>
      <c r="H5953" s="114" t="str">
        <f t="shared" si="82"/>
        <v/>
      </c>
      <c r="I5953" s="17"/>
      <c r="J5953" s="17"/>
      <c r="K5953" s="17"/>
    </row>
    <row r="5954" spans="1:11" x14ac:dyDescent="0.2">
      <c r="A5954" s="115"/>
      <c r="B5954" s="95"/>
      <c r="C5954" s="94"/>
      <c r="D5954" s="95"/>
      <c r="E5954" s="95"/>
      <c r="F5954" s="96"/>
      <c r="G5954" s="97"/>
      <c r="H5954" s="114" t="str">
        <f t="shared" si="82"/>
        <v/>
      </c>
      <c r="I5954" s="17"/>
      <c r="J5954" s="17"/>
      <c r="K5954" s="17"/>
    </row>
    <row r="5955" spans="1:11" x14ac:dyDescent="0.2">
      <c r="A5955" s="115"/>
      <c r="B5955" s="95"/>
      <c r="C5955" s="94"/>
      <c r="D5955" s="95"/>
      <c r="E5955" s="95"/>
      <c r="F5955" s="96"/>
      <c r="G5955" s="97"/>
      <c r="H5955" s="114" t="str">
        <f t="shared" si="82"/>
        <v/>
      </c>
      <c r="I5955" s="17"/>
      <c r="J5955" s="17"/>
      <c r="K5955" s="17"/>
    </row>
    <row r="5956" spans="1:11" x14ac:dyDescent="0.2">
      <c r="A5956" s="115"/>
      <c r="B5956" s="95"/>
      <c r="C5956" s="94"/>
      <c r="D5956" s="95"/>
      <c r="E5956" s="95"/>
      <c r="F5956" s="96"/>
      <c r="G5956" s="97"/>
      <c r="H5956" s="114" t="str">
        <f t="shared" ref="H5956:H6019" si="83">IF(A5956&lt;&gt;"", EOMONTH(A5956, -1) + 1, "")</f>
        <v/>
      </c>
      <c r="I5956" s="17"/>
      <c r="J5956" s="17"/>
      <c r="K5956" s="17"/>
    </row>
    <row r="5957" spans="1:11" x14ac:dyDescent="0.2">
      <c r="A5957" s="115"/>
      <c r="B5957" s="95"/>
      <c r="C5957" s="94"/>
      <c r="D5957" s="95"/>
      <c r="E5957" s="95"/>
      <c r="F5957" s="96"/>
      <c r="G5957" s="97"/>
      <c r="H5957" s="114" t="str">
        <f t="shared" si="83"/>
        <v/>
      </c>
      <c r="I5957" s="17"/>
      <c r="J5957" s="17"/>
      <c r="K5957" s="17"/>
    </row>
    <row r="5958" spans="1:11" x14ac:dyDescent="0.2">
      <c r="A5958" s="115"/>
      <c r="B5958" s="95"/>
      <c r="C5958" s="94"/>
      <c r="D5958" s="95"/>
      <c r="E5958" s="95"/>
      <c r="F5958" s="96"/>
      <c r="G5958" s="97"/>
      <c r="H5958" s="114" t="str">
        <f t="shared" si="83"/>
        <v/>
      </c>
      <c r="I5958" s="17"/>
      <c r="J5958" s="17"/>
      <c r="K5958" s="17"/>
    </row>
    <row r="5959" spans="1:11" x14ac:dyDescent="0.2">
      <c r="A5959" s="115"/>
      <c r="B5959" s="95"/>
      <c r="C5959" s="94"/>
      <c r="D5959" s="95"/>
      <c r="E5959" s="95"/>
      <c r="F5959" s="96"/>
      <c r="G5959" s="97"/>
      <c r="H5959" s="114" t="str">
        <f t="shared" si="83"/>
        <v/>
      </c>
      <c r="I5959" s="17"/>
      <c r="J5959" s="17"/>
      <c r="K5959" s="17"/>
    </row>
    <row r="5960" spans="1:11" x14ac:dyDescent="0.2">
      <c r="A5960" s="115"/>
      <c r="B5960" s="95"/>
      <c r="C5960" s="94"/>
      <c r="D5960" s="95"/>
      <c r="E5960" s="95"/>
      <c r="F5960" s="96"/>
      <c r="G5960" s="97"/>
      <c r="H5960" s="114" t="str">
        <f t="shared" si="83"/>
        <v/>
      </c>
      <c r="I5960" s="17"/>
      <c r="J5960" s="17"/>
      <c r="K5960" s="17"/>
    </row>
    <row r="5961" spans="1:11" x14ac:dyDescent="0.2">
      <c r="A5961" s="115"/>
      <c r="B5961" s="95"/>
      <c r="C5961" s="94"/>
      <c r="D5961" s="95"/>
      <c r="E5961" s="95"/>
      <c r="F5961" s="96"/>
      <c r="G5961" s="97"/>
      <c r="H5961" s="114" t="str">
        <f t="shared" si="83"/>
        <v/>
      </c>
      <c r="I5961" s="17"/>
      <c r="J5961" s="17"/>
      <c r="K5961" s="17"/>
    </row>
    <row r="5962" spans="1:11" x14ac:dyDescent="0.2">
      <c r="A5962" s="115"/>
      <c r="B5962" s="95"/>
      <c r="C5962" s="94"/>
      <c r="D5962" s="95"/>
      <c r="E5962" s="95"/>
      <c r="F5962" s="96"/>
      <c r="G5962" s="97"/>
      <c r="H5962" s="114" t="str">
        <f t="shared" si="83"/>
        <v/>
      </c>
      <c r="I5962" s="17"/>
      <c r="J5962" s="17"/>
      <c r="K5962" s="17"/>
    </row>
    <row r="5963" spans="1:11" x14ac:dyDescent="0.2">
      <c r="A5963" s="115"/>
      <c r="B5963" s="95"/>
      <c r="C5963" s="94"/>
      <c r="D5963" s="95"/>
      <c r="E5963" s="95"/>
      <c r="F5963" s="96"/>
      <c r="G5963" s="97"/>
      <c r="H5963" s="114" t="str">
        <f t="shared" si="83"/>
        <v/>
      </c>
      <c r="I5963" s="17"/>
      <c r="J5963" s="17"/>
      <c r="K5963" s="17"/>
    </row>
    <row r="5964" spans="1:11" x14ac:dyDescent="0.2">
      <c r="A5964" s="115"/>
      <c r="B5964" s="95"/>
      <c r="C5964" s="94"/>
      <c r="D5964" s="95"/>
      <c r="E5964" s="95"/>
      <c r="F5964" s="96"/>
      <c r="G5964" s="97"/>
      <c r="H5964" s="114" t="str">
        <f t="shared" si="83"/>
        <v/>
      </c>
      <c r="I5964" s="17"/>
      <c r="J5964" s="17"/>
      <c r="K5964" s="17"/>
    </row>
    <row r="5965" spans="1:11" x14ac:dyDescent="0.2">
      <c r="A5965" s="115"/>
      <c r="B5965" s="95"/>
      <c r="C5965" s="94"/>
      <c r="D5965" s="95"/>
      <c r="E5965" s="95"/>
      <c r="F5965" s="96"/>
      <c r="G5965" s="97"/>
      <c r="H5965" s="114" t="str">
        <f t="shared" si="83"/>
        <v/>
      </c>
      <c r="I5965" s="17"/>
      <c r="J5965" s="17"/>
      <c r="K5965" s="17"/>
    </row>
    <row r="5966" spans="1:11" x14ac:dyDescent="0.2">
      <c r="A5966" s="115"/>
      <c r="B5966" s="95"/>
      <c r="C5966" s="94"/>
      <c r="D5966" s="95"/>
      <c r="E5966" s="95"/>
      <c r="F5966" s="96"/>
      <c r="G5966" s="97"/>
      <c r="H5966" s="114" t="str">
        <f t="shared" si="83"/>
        <v/>
      </c>
      <c r="I5966" s="17"/>
      <c r="J5966" s="17"/>
      <c r="K5966" s="17"/>
    </row>
    <row r="5967" spans="1:11" x14ac:dyDescent="0.2">
      <c r="A5967" s="115"/>
      <c r="B5967" s="95"/>
      <c r="C5967" s="94"/>
      <c r="D5967" s="95"/>
      <c r="E5967" s="95"/>
      <c r="F5967" s="96"/>
      <c r="G5967" s="97"/>
      <c r="H5967" s="114" t="str">
        <f t="shared" si="83"/>
        <v/>
      </c>
      <c r="I5967" s="17"/>
      <c r="J5967" s="17"/>
      <c r="K5967" s="17"/>
    </row>
    <row r="5968" spans="1:11" x14ac:dyDescent="0.2">
      <c r="A5968" s="115"/>
      <c r="B5968" s="95"/>
      <c r="C5968" s="94"/>
      <c r="D5968" s="95"/>
      <c r="E5968" s="95"/>
      <c r="F5968" s="96"/>
      <c r="G5968" s="97"/>
      <c r="H5968" s="114" t="str">
        <f t="shared" si="83"/>
        <v/>
      </c>
      <c r="I5968" s="17"/>
      <c r="J5968" s="17"/>
      <c r="K5968" s="17"/>
    </row>
    <row r="5969" spans="1:11" x14ac:dyDescent="0.2">
      <c r="A5969" s="115"/>
      <c r="B5969" s="95"/>
      <c r="C5969" s="94"/>
      <c r="D5969" s="95"/>
      <c r="E5969" s="95"/>
      <c r="F5969" s="96"/>
      <c r="G5969" s="97"/>
      <c r="H5969" s="114" t="str">
        <f t="shared" si="83"/>
        <v/>
      </c>
      <c r="I5969" s="17"/>
      <c r="J5969" s="17"/>
      <c r="K5969" s="17"/>
    </row>
    <row r="5970" spans="1:11" x14ac:dyDescent="0.2">
      <c r="A5970" s="115"/>
      <c r="B5970" s="95"/>
      <c r="C5970" s="94"/>
      <c r="D5970" s="95"/>
      <c r="E5970" s="95"/>
      <c r="F5970" s="96"/>
      <c r="G5970" s="97"/>
      <c r="H5970" s="114" t="str">
        <f t="shared" si="83"/>
        <v/>
      </c>
      <c r="I5970" s="17"/>
      <c r="J5970" s="17"/>
      <c r="K5970" s="17"/>
    </row>
    <row r="5971" spans="1:11" x14ac:dyDescent="0.2">
      <c r="A5971" s="115"/>
      <c r="B5971" s="95"/>
      <c r="C5971" s="94"/>
      <c r="D5971" s="95"/>
      <c r="E5971" s="95"/>
      <c r="F5971" s="96"/>
      <c r="G5971" s="97"/>
      <c r="H5971" s="114" t="str">
        <f t="shared" si="83"/>
        <v/>
      </c>
      <c r="I5971" s="17"/>
      <c r="J5971" s="17"/>
      <c r="K5971" s="17"/>
    </row>
    <row r="5972" spans="1:11" x14ac:dyDescent="0.2">
      <c r="A5972" s="115"/>
      <c r="B5972" s="95"/>
      <c r="C5972" s="94"/>
      <c r="D5972" s="95"/>
      <c r="E5972" s="95"/>
      <c r="F5972" s="96"/>
      <c r="G5972" s="97"/>
      <c r="H5972" s="114" t="str">
        <f t="shared" si="83"/>
        <v/>
      </c>
      <c r="I5972" s="17"/>
      <c r="J5972" s="17"/>
      <c r="K5972" s="17"/>
    </row>
    <row r="5973" spans="1:11" x14ac:dyDescent="0.2">
      <c r="A5973" s="115"/>
      <c r="B5973" s="95"/>
      <c r="C5973" s="94"/>
      <c r="D5973" s="95"/>
      <c r="E5973" s="95"/>
      <c r="F5973" s="96"/>
      <c r="G5973" s="97"/>
      <c r="H5973" s="114" t="str">
        <f t="shared" si="83"/>
        <v/>
      </c>
      <c r="I5973" s="17"/>
      <c r="J5973" s="17"/>
      <c r="K5973" s="17"/>
    </row>
    <row r="5974" spans="1:11" x14ac:dyDescent="0.2">
      <c r="A5974" s="115"/>
      <c r="B5974" s="95"/>
      <c r="C5974" s="94"/>
      <c r="D5974" s="95"/>
      <c r="E5974" s="95"/>
      <c r="F5974" s="96"/>
      <c r="G5974" s="97"/>
      <c r="H5974" s="114" t="str">
        <f t="shared" si="83"/>
        <v/>
      </c>
      <c r="I5974" s="17"/>
      <c r="J5974" s="17"/>
      <c r="K5974" s="17"/>
    </row>
    <row r="5975" spans="1:11" x14ac:dyDescent="0.2">
      <c r="A5975" s="115"/>
      <c r="B5975" s="95"/>
      <c r="C5975" s="94"/>
      <c r="D5975" s="95"/>
      <c r="E5975" s="95"/>
      <c r="F5975" s="96"/>
      <c r="G5975" s="97"/>
      <c r="H5975" s="114" t="str">
        <f t="shared" si="83"/>
        <v/>
      </c>
      <c r="I5975" s="17"/>
      <c r="J5975" s="17"/>
      <c r="K5975" s="17"/>
    </row>
    <row r="5976" spans="1:11" x14ac:dyDescent="0.2">
      <c r="A5976" s="115"/>
      <c r="B5976" s="95"/>
      <c r="C5976" s="94"/>
      <c r="D5976" s="95"/>
      <c r="E5976" s="95"/>
      <c r="F5976" s="96"/>
      <c r="G5976" s="97"/>
      <c r="H5976" s="114" t="str">
        <f t="shared" si="83"/>
        <v/>
      </c>
      <c r="I5976" s="17"/>
      <c r="J5976" s="17"/>
      <c r="K5976" s="17"/>
    </row>
    <row r="5977" spans="1:11" x14ac:dyDescent="0.2">
      <c r="A5977" s="115"/>
      <c r="B5977" s="95"/>
      <c r="C5977" s="94"/>
      <c r="D5977" s="95"/>
      <c r="E5977" s="95"/>
      <c r="F5977" s="96"/>
      <c r="G5977" s="97"/>
      <c r="H5977" s="114" t="str">
        <f t="shared" si="83"/>
        <v/>
      </c>
      <c r="I5977" s="17"/>
      <c r="J5977" s="17"/>
      <c r="K5977" s="17"/>
    </row>
    <row r="5978" spans="1:11" x14ac:dyDescent="0.2">
      <c r="A5978" s="115"/>
      <c r="B5978" s="95"/>
      <c r="C5978" s="94"/>
      <c r="D5978" s="95"/>
      <c r="E5978" s="95"/>
      <c r="F5978" s="96"/>
      <c r="G5978" s="97"/>
      <c r="H5978" s="114" t="str">
        <f t="shared" si="83"/>
        <v/>
      </c>
      <c r="I5978" s="17"/>
      <c r="J5978" s="17"/>
      <c r="K5978" s="17"/>
    </row>
    <row r="5979" spans="1:11" x14ac:dyDescent="0.2">
      <c r="A5979" s="115"/>
      <c r="B5979" s="95"/>
      <c r="C5979" s="94"/>
      <c r="D5979" s="95"/>
      <c r="E5979" s="95"/>
      <c r="F5979" s="96"/>
      <c r="G5979" s="97"/>
      <c r="H5979" s="114" t="str">
        <f t="shared" si="83"/>
        <v/>
      </c>
      <c r="I5979" s="17"/>
      <c r="J5979" s="17"/>
      <c r="K5979" s="17"/>
    </row>
    <row r="5980" spans="1:11" x14ac:dyDescent="0.2">
      <c r="A5980" s="115"/>
      <c r="B5980" s="95"/>
      <c r="C5980" s="94"/>
      <c r="D5980" s="95"/>
      <c r="E5980" s="95"/>
      <c r="F5980" s="96"/>
      <c r="G5980" s="97"/>
      <c r="H5980" s="114" t="str">
        <f t="shared" si="83"/>
        <v/>
      </c>
      <c r="I5980" s="17"/>
      <c r="J5980" s="17"/>
      <c r="K5980" s="17"/>
    </row>
    <row r="5981" spans="1:11" x14ac:dyDescent="0.2">
      <c r="A5981" s="115"/>
      <c r="B5981" s="95"/>
      <c r="C5981" s="94"/>
      <c r="D5981" s="95"/>
      <c r="E5981" s="95"/>
      <c r="F5981" s="96"/>
      <c r="G5981" s="97"/>
      <c r="H5981" s="114" t="str">
        <f t="shared" si="83"/>
        <v/>
      </c>
      <c r="I5981" s="17"/>
      <c r="J5981" s="17"/>
      <c r="K5981" s="17"/>
    </row>
    <row r="5982" spans="1:11" x14ac:dyDescent="0.2">
      <c r="A5982" s="115"/>
      <c r="B5982" s="95"/>
      <c r="C5982" s="94"/>
      <c r="D5982" s="95"/>
      <c r="E5982" s="95"/>
      <c r="F5982" s="96"/>
      <c r="G5982" s="97"/>
      <c r="H5982" s="114" t="str">
        <f t="shared" si="83"/>
        <v/>
      </c>
      <c r="I5982" s="17"/>
      <c r="J5982" s="17"/>
      <c r="K5982" s="17"/>
    </row>
    <row r="5983" spans="1:11" x14ac:dyDescent="0.2">
      <c r="A5983" s="115"/>
      <c r="B5983" s="95"/>
      <c r="C5983" s="94"/>
      <c r="D5983" s="95"/>
      <c r="E5983" s="95"/>
      <c r="F5983" s="96"/>
      <c r="G5983" s="97"/>
      <c r="H5983" s="114" t="str">
        <f t="shared" si="83"/>
        <v/>
      </c>
      <c r="I5983" s="17"/>
      <c r="J5983" s="17"/>
      <c r="K5983" s="17"/>
    </row>
    <row r="5984" spans="1:11" x14ac:dyDescent="0.2">
      <c r="A5984" s="115"/>
      <c r="B5984" s="95"/>
      <c r="C5984" s="94"/>
      <c r="D5984" s="95"/>
      <c r="E5984" s="95"/>
      <c r="F5984" s="96"/>
      <c r="G5984" s="97"/>
      <c r="H5984" s="114" t="str">
        <f t="shared" si="83"/>
        <v/>
      </c>
      <c r="I5984" s="17"/>
      <c r="J5984" s="17"/>
      <c r="K5984" s="17"/>
    </row>
    <row r="5985" spans="1:11" x14ac:dyDescent="0.2">
      <c r="A5985" s="115"/>
      <c r="B5985" s="95"/>
      <c r="C5985" s="94"/>
      <c r="D5985" s="95"/>
      <c r="E5985" s="95"/>
      <c r="F5985" s="96"/>
      <c r="G5985" s="97"/>
      <c r="H5985" s="114" t="str">
        <f t="shared" si="83"/>
        <v/>
      </c>
      <c r="I5985" s="17"/>
      <c r="J5985" s="17"/>
      <c r="K5985" s="17"/>
    </row>
    <row r="5986" spans="1:11" x14ac:dyDescent="0.2">
      <c r="A5986" s="115"/>
      <c r="B5986" s="95"/>
      <c r="C5986" s="94"/>
      <c r="D5986" s="95"/>
      <c r="E5986" s="95"/>
      <c r="F5986" s="96"/>
      <c r="G5986" s="97"/>
      <c r="H5986" s="114" t="str">
        <f t="shared" si="83"/>
        <v/>
      </c>
      <c r="I5986" s="17"/>
      <c r="J5986" s="17"/>
      <c r="K5986" s="17"/>
    </row>
    <row r="5987" spans="1:11" x14ac:dyDescent="0.2">
      <c r="A5987" s="115"/>
      <c r="B5987" s="95"/>
      <c r="C5987" s="94"/>
      <c r="D5987" s="95"/>
      <c r="E5987" s="95"/>
      <c r="F5987" s="96"/>
      <c r="G5987" s="97"/>
      <c r="H5987" s="114" t="str">
        <f t="shared" si="83"/>
        <v/>
      </c>
      <c r="I5987" s="17"/>
      <c r="J5987" s="17"/>
      <c r="K5987" s="17"/>
    </row>
    <row r="5988" spans="1:11" x14ac:dyDescent="0.2">
      <c r="A5988" s="115"/>
      <c r="B5988" s="95"/>
      <c r="C5988" s="94"/>
      <c r="D5988" s="95"/>
      <c r="E5988" s="95"/>
      <c r="F5988" s="96"/>
      <c r="G5988" s="97"/>
      <c r="H5988" s="114" t="str">
        <f t="shared" si="83"/>
        <v/>
      </c>
      <c r="I5988" s="17"/>
      <c r="J5988" s="17"/>
      <c r="K5988" s="17"/>
    </row>
    <row r="5989" spans="1:11" x14ac:dyDescent="0.2">
      <c r="A5989" s="115"/>
      <c r="B5989" s="95"/>
      <c r="C5989" s="94"/>
      <c r="D5989" s="95"/>
      <c r="E5989" s="95"/>
      <c r="F5989" s="96"/>
      <c r="G5989" s="97"/>
      <c r="H5989" s="114" t="str">
        <f t="shared" si="83"/>
        <v/>
      </c>
      <c r="I5989" s="17"/>
      <c r="J5989" s="17"/>
      <c r="K5989" s="17"/>
    </row>
    <row r="5990" spans="1:11" x14ac:dyDescent="0.2">
      <c r="A5990" s="115"/>
      <c r="B5990" s="95"/>
      <c r="C5990" s="94"/>
      <c r="D5990" s="95"/>
      <c r="E5990" s="95"/>
      <c r="F5990" s="96"/>
      <c r="G5990" s="97"/>
      <c r="H5990" s="114" t="str">
        <f t="shared" si="83"/>
        <v/>
      </c>
      <c r="I5990" s="17"/>
      <c r="J5990" s="17"/>
      <c r="K5990" s="17"/>
    </row>
    <row r="5991" spans="1:11" x14ac:dyDescent="0.2">
      <c r="A5991" s="115"/>
      <c r="B5991" s="95"/>
      <c r="C5991" s="94"/>
      <c r="D5991" s="95"/>
      <c r="E5991" s="95"/>
      <c r="F5991" s="96"/>
      <c r="G5991" s="97"/>
      <c r="H5991" s="114" t="str">
        <f t="shared" si="83"/>
        <v/>
      </c>
      <c r="I5991" s="17"/>
      <c r="J5991" s="17"/>
      <c r="K5991" s="17"/>
    </row>
    <row r="5992" spans="1:11" x14ac:dyDescent="0.2">
      <c r="A5992" s="115"/>
      <c r="B5992" s="95"/>
      <c r="C5992" s="94"/>
      <c r="D5992" s="95"/>
      <c r="E5992" s="95"/>
      <c r="F5992" s="96"/>
      <c r="G5992" s="97"/>
      <c r="H5992" s="114" t="str">
        <f t="shared" si="83"/>
        <v/>
      </c>
      <c r="I5992" s="17"/>
      <c r="J5992" s="17"/>
      <c r="K5992" s="17"/>
    </row>
    <row r="5993" spans="1:11" x14ac:dyDescent="0.2">
      <c r="A5993" s="115"/>
      <c r="B5993" s="95"/>
      <c r="C5993" s="94"/>
      <c r="D5993" s="95"/>
      <c r="E5993" s="95"/>
      <c r="F5993" s="96"/>
      <c r="G5993" s="97"/>
      <c r="H5993" s="114" t="str">
        <f t="shared" si="83"/>
        <v/>
      </c>
      <c r="I5993" s="17"/>
      <c r="J5993" s="17"/>
      <c r="K5993" s="17"/>
    </row>
    <row r="5994" spans="1:11" x14ac:dyDescent="0.2">
      <c r="A5994" s="115"/>
      <c r="B5994" s="95"/>
      <c r="C5994" s="94"/>
      <c r="D5994" s="95"/>
      <c r="E5994" s="95"/>
      <c r="F5994" s="96"/>
      <c r="G5994" s="97"/>
      <c r="H5994" s="114" t="str">
        <f t="shared" si="83"/>
        <v/>
      </c>
      <c r="I5994" s="17"/>
      <c r="J5994" s="17"/>
      <c r="K5994" s="17"/>
    </row>
    <row r="5995" spans="1:11" x14ac:dyDescent="0.2">
      <c r="A5995" s="115"/>
      <c r="B5995" s="95"/>
      <c r="C5995" s="94"/>
      <c r="D5995" s="95"/>
      <c r="E5995" s="95"/>
      <c r="F5995" s="96"/>
      <c r="G5995" s="97"/>
      <c r="H5995" s="114" t="str">
        <f t="shared" si="83"/>
        <v/>
      </c>
      <c r="I5995" s="17"/>
      <c r="J5995" s="17"/>
      <c r="K5995" s="17"/>
    </row>
    <row r="5996" spans="1:11" x14ac:dyDescent="0.2">
      <c r="A5996" s="115"/>
      <c r="B5996" s="95"/>
      <c r="C5996" s="94"/>
      <c r="D5996" s="95"/>
      <c r="E5996" s="95"/>
      <c r="F5996" s="96"/>
      <c r="G5996" s="97"/>
      <c r="H5996" s="114" t="str">
        <f t="shared" si="83"/>
        <v/>
      </c>
      <c r="I5996" s="17"/>
      <c r="J5996" s="17"/>
      <c r="K5996" s="17"/>
    </row>
    <row r="5997" spans="1:11" x14ac:dyDescent="0.2">
      <c r="A5997" s="115"/>
      <c r="B5997" s="95"/>
      <c r="C5997" s="94"/>
      <c r="D5997" s="95"/>
      <c r="E5997" s="95"/>
      <c r="F5997" s="96"/>
      <c r="G5997" s="97"/>
      <c r="H5997" s="114" t="str">
        <f t="shared" si="83"/>
        <v/>
      </c>
      <c r="I5997" s="17"/>
      <c r="J5997" s="17"/>
      <c r="K5997" s="17"/>
    </row>
    <row r="5998" spans="1:11" x14ac:dyDescent="0.2">
      <c r="A5998" s="115"/>
      <c r="B5998" s="95"/>
      <c r="C5998" s="94"/>
      <c r="D5998" s="95"/>
      <c r="E5998" s="95"/>
      <c r="F5998" s="96"/>
      <c r="G5998" s="97"/>
      <c r="H5998" s="114" t="str">
        <f t="shared" si="83"/>
        <v/>
      </c>
      <c r="I5998" s="17"/>
      <c r="J5998" s="17"/>
      <c r="K5998" s="17"/>
    </row>
    <row r="5999" spans="1:11" x14ac:dyDescent="0.2">
      <c r="A5999" s="115"/>
      <c r="B5999" s="95"/>
      <c r="C5999" s="94"/>
      <c r="D5999" s="95"/>
      <c r="E5999" s="95"/>
      <c r="F5999" s="96"/>
      <c r="G5999" s="97"/>
      <c r="H5999" s="114" t="str">
        <f t="shared" si="83"/>
        <v/>
      </c>
      <c r="I5999" s="17"/>
      <c r="J5999" s="17"/>
      <c r="K5999" s="17"/>
    </row>
    <row r="6000" spans="1:11" x14ac:dyDescent="0.2">
      <c r="A6000" s="115"/>
      <c r="B6000" s="95"/>
      <c r="C6000" s="94"/>
      <c r="D6000" s="95"/>
      <c r="E6000" s="95"/>
      <c r="F6000" s="96"/>
      <c r="G6000" s="97"/>
      <c r="H6000" s="114" t="str">
        <f t="shared" si="83"/>
        <v/>
      </c>
      <c r="I6000" s="17"/>
      <c r="J6000" s="17"/>
      <c r="K6000" s="17"/>
    </row>
    <row r="6001" spans="1:11" x14ac:dyDescent="0.2">
      <c r="A6001" s="115"/>
      <c r="B6001" s="95"/>
      <c r="C6001" s="94"/>
      <c r="D6001" s="95"/>
      <c r="E6001" s="95"/>
      <c r="F6001" s="96"/>
      <c r="G6001" s="97"/>
      <c r="H6001" s="114" t="str">
        <f t="shared" si="83"/>
        <v/>
      </c>
      <c r="I6001" s="17"/>
      <c r="J6001" s="17"/>
      <c r="K6001" s="17"/>
    </row>
    <row r="6002" spans="1:11" x14ac:dyDescent="0.2">
      <c r="A6002" s="115"/>
      <c r="B6002" s="95"/>
      <c r="C6002" s="94"/>
      <c r="D6002" s="95"/>
      <c r="E6002" s="95"/>
      <c r="F6002" s="96"/>
      <c r="G6002" s="97"/>
      <c r="H6002" s="114" t="str">
        <f t="shared" si="83"/>
        <v/>
      </c>
      <c r="I6002" s="17"/>
      <c r="J6002" s="17"/>
      <c r="K6002" s="17"/>
    </row>
    <row r="6003" spans="1:11" x14ac:dyDescent="0.2">
      <c r="A6003" s="115"/>
      <c r="B6003" s="95"/>
      <c r="C6003" s="94"/>
      <c r="D6003" s="95"/>
      <c r="E6003" s="95"/>
      <c r="F6003" s="96"/>
      <c r="G6003" s="97"/>
      <c r="H6003" s="114" t="str">
        <f t="shared" si="83"/>
        <v/>
      </c>
      <c r="I6003" s="17"/>
      <c r="J6003" s="17"/>
      <c r="K6003" s="17"/>
    </row>
    <row r="6004" spans="1:11" x14ac:dyDescent="0.2">
      <c r="A6004" s="115"/>
      <c r="B6004" s="95"/>
      <c r="C6004" s="94"/>
      <c r="D6004" s="95"/>
      <c r="E6004" s="95"/>
      <c r="F6004" s="96"/>
      <c r="G6004" s="97"/>
      <c r="H6004" s="114" t="str">
        <f t="shared" si="83"/>
        <v/>
      </c>
      <c r="I6004" s="17"/>
      <c r="J6004" s="17"/>
      <c r="K6004" s="17"/>
    </row>
    <row r="6005" spans="1:11" x14ac:dyDescent="0.2">
      <c r="A6005" s="115"/>
      <c r="B6005" s="95"/>
      <c r="C6005" s="94"/>
      <c r="D6005" s="95"/>
      <c r="E6005" s="95"/>
      <c r="F6005" s="96"/>
      <c r="G6005" s="97"/>
      <c r="H6005" s="114" t="str">
        <f t="shared" si="83"/>
        <v/>
      </c>
      <c r="I6005" s="17"/>
      <c r="J6005" s="17"/>
      <c r="K6005" s="17"/>
    </row>
    <row r="6006" spans="1:11" x14ac:dyDescent="0.2">
      <c r="A6006" s="115"/>
      <c r="B6006" s="95"/>
      <c r="C6006" s="94"/>
      <c r="D6006" s="95"/>
      <c r="E6006" s="95"/>
      <c r="F6006" s="96"/>
      <c r="G6006" s="97"/>
      <c r="H6006" s="114" t="str">
        <f t="shared" si="83"/>
        <v/>
      </c>
      <c r="I6006" s="17"/>
      <c r="J6006" s="17"/>
      <c r="K6006" s="17"/>
    </row>
    <row r="6007" spans="1:11" x14ac:dyDescent="0.2">
      <c r="A6007" s="115"/>
      <c r="B6007" s="95"/>
      <c r="C6007" s="94"/>
      <c r="D6007" s="95"/>
      <c r="E6007" s="95"/>
      <c r="F6007" s="96"/>
      <c r="G6007" s="97"/>
      <c r="H6007" s="114" t="str">
        <f t="shared" si="83"/>
        <v/>
      </c>
      <c r="I6007" s="17"/>
      <c r="J6007" s="17"/>
      <c r="K6007" s="17"/>
    </row>
    <row r="6008" spans="1:11" x14ac:dyDescent="0.2">
      <c r="A6008" s="115"/>
      <c r="B6008" s="95"/>
      <c r="C6008" s="94"/>
      <c r="D6008" s="95"/>
      <c r="E6008" s="95"/>
      <c r="F6008" s="96"/>
      <c r="G6008" s="97"/>
      <c r="H6008" s="114" t="str">
        <f t="shared" si="83"/>
        <v/>
      </c>
      <c r="I6008" s="17"/>
      <c r="J6008" s="17"/>
      <c r="K6008" s="17"/>
    </row>
    <row r="6009" spans="1:11" x14ac:dyDescent="0.2">
      <c r="A6009" s="115"/>
      <c r="B6009" s="95"/>
      <c r="C6009" s="94"/>
      <c r="D6009" s="95"/>
      <c r="E6009" s="95"/>
      <c r="F6009" s="96"/>
      <c r="G6009" s="97"/>
      <c r="H6009" s="114" t="str">
        <f t="shared" si="83"/>
        <v/>
      </c>
      <c r="I6009" s="17"/>
      <c r="J6009" s="17"/>
      <c r="K6009" s="17"/>
    </row>
    <row r="6010" spans="1:11" x14ac:dyDescent="0.2">
      <c r="A6010" s="115"/>
      <c r="B6010" s="95"/>
      <c r="C6010" s="94"/>
      <c r="D6010" s="95"/>
      <c r="E6010" s="95"/>
      <c r="F6010" s="96"/>
      <c r="G6010" s="97"/>
      <c r="H6010" s="114" t="str">
        <f t="shared" si="83"/>
        <v/>
      </c>
      <c r="I6010" s="17"/>
      <c r="J6010" s="17"/>
      <c r="K6010" s="17"/>
    </row>
    <row r="6011" spans="1:11" x14ac:dyDescent="0.2">
      <c r="A6011" s="115"/>
      <c r="B6011" s="95"/>
      <c r="C6011" s="94"/>
      <c r="D6011" s="95"/>
      <c r="E6011" s="95"/>
      <c r="F6011" s="96"/>
      <c r="G6011" s="97"/>
      <c r="H6011" s="114" t="str">
        <f t="shared" si="83"/>
        <v/>
      </c>
      <c r="I6011" s="17"/>
      <c r="J6011" s="17"/>
      <c r="K6011" s="17"/>
    </row>
    <row r="6012" spans="1:11" x14ac:dyDescent="0.2">
      <c r="A6012" s="115"/>
      <c r="B6012" s="95"/>
      <c r="C6012" s="94"/>
      <c r="D6012" s="95"/>
      <c r="E6012" s="95"/>
      <c r="F6012" s="96"/>
      <c r="G6012" s="97"/>
      <c r="H6012" s="114" t="str">
        <f t="shared" si="83"/>
        <v/>
      </c>
      <c r="I6012" s="17"/>
      <c r="J6012" s="17"/>
      <c r="K6012" s="17"/>
    </row>
    <row r="6013" spans="1:11" x14ac:dyDescent="0.2">
      <c r="A6013" s="115"/>
      <c r="B6013" s="95"/>
      <c r="C6013" s="94"/>
      <c r="D6013" s="95"/>
      <c r="E6013" s="95"/>
      <c r="F6013" s="96"/>
      <c r="G6013" s="97"/>
      <c r="H6013" s="114" t="str">
        <f t="shared" si="83"/>
        <v/>
      </c>
      <c r="I6013" s="17"/>
      <c r="J6013" s="17"/>
      <c r="K6013" s="17"/>
    </row>
    <row r="6014" spans="1:11" x14ac:dyDescent="0.2">
      <c r="A6014" s="115"/>
      <c r="B6014" s="95"/>
      <c r="C6014" s="94"/>
      <c r="D6014" s="95"/>
      <c r="E6014" s="95"/>
      <c r="F6014" s="96"/>
      <c r="G6014" s="97"/>
      <c r="H6014" s="114" t="str">
        <f t="shared" si="83"/>
        <v/>
      </c>
      <c r="I6014" s="17"/>
      <c r="J6014" s="17"/>
      <c r="K6014" s="17"/>
    </row>
    <row r="6015" spans="1:11" x14ac:dyDescent="0.2">
      <c r="A6015" s="115"/>
      <c r="B6015" s="95"/>
      <c r="C6015" s="94"/>
      <c r="D6015" s="95"/>
      <c r="E6015" s="95"/>
      <c r="F6015" s="96"/>
      <c r="G6015" s="97"/>
      <c r="H6015" s="114" t="str">
        <f t="shared" si="83"/>
        <v/>
      </c>
      <c r="I6015" s="17"/>
      <c r="J6015" s="17"/>
      <c r="K6015" s="17"/>
    </row>
    <row r="6016" spans="1:11" x14ac:dyDescent="0.2">
      <c r="A6016" s="115"/>
      <c r="B6016" s="95"/>
      <c r="C6016" s="94"/>
      <c r="D6016" s="95"/>
      <c r="E6016" s="95"/>
      <c r="F6016" s="96"/>
      <c r="G6016" s="97"/>
      <c r="H6016" s="114" t="str">
        <f t="shared" si="83"/>
        <v/>
      </c>
      <c r="I6016" s="17"/>
      <c r="J6016" s="17"/>
      <c r="K6016" s="17"/>
    </row>
    <row r="6017" spans="1:11" x14ac:dyDescent="0.2">
      <c r="A6017" s="115"/>
      <c r="B6017" s="95"/>
      <c r="C6017" s="94"/>
      <c r="D6017" s="95"/>
      <c r="E6017" s="95"/>
      <c r="F6017" s="96"/>
      <c r="G6017" s="97"/>
      <c r="H6017" s="114" t="str">
        <f t="shared" si="83"/>
        <v/>
      </c>
      <c r="I6017" s="17"/>
      <c r="J6017" s="17"/>
      <c r="K6017" s="17"/>
    </row>
    <row r="6018" spans="1:11" x14ac:dyDescent="0.2">
      <c r="A6018" s="115"/>
      <c r="B6018" s="95"/>
      <c r="C6018" s="94"/>
      <c r="D6018" s="95"/>
      <c r="E6018" s="95"/>
      <c r="F6018" s="96"/>
      <c r="G6018" s="97"/>
      <c r="H6018" s="114" t="str">
        <f t="shared" si="83"/>
        <v/>
      </c>
      <c r="I6018" s="17"/>
      <c r="J6018" s="17"/>
      <c r="K6018" s="17"/>
    </row>
    <row r="6019" spans="1:11" x14ac:dyDescent="0.2">
      <c r="A6019" s="115"/>
      <c r="B6019" s="95"/>
      <c r="C6019" s="94"/>
      <c r="D6019" s="95"/>
      <c r="E6019" s="95"/>
      <c r="F6019" s="96"/>
      <c r="G6019" s="97"/>
      <c r="H6019" s="114" t="str">
        <f t="shared" si="83"/>
        <v/>
      </c>
      <c r="I6019" s="17"/>
      <c r="J6019" s="17"/>
      <c r="K6019" s="17"/>
    </row>
    <row r="6020" spans="1:11" x14ac:dyDescent="0.2">
      <c r="A6020" s="115"/>
      <c r="B6020" s="95"/>
      <c r="C6020" s="94"/>
      <c r="D6020" s="95"/>
      <c r="E6020" s="95"/>
      <c r="F6020" s="96"/>
      <c r="G6020" s="97"/>
      <c r="H6020" s="114" t="str">
        <f t="shared" ref="H6020:H6083" si="84">IF(A6020&lt;&gt;"", EOMONTH(A6020, -1) + 1, "")</f>
        <v/>
      </c>
      <c r="I6020" s="17"/>
      <c r="J6020" s="17"/>
      <c r="K6020" s="17"/>
    </row>
    <row r="6021" spans="1:11" x14ac:dyDescent="0.2">
      <c r="A6021" s="115"/>
      <c r="B6021" s="95"/>
      <c r="C6021" s="94"/>
      <c r="D6021" s="95"/>
      <c r="E6021" s="95"/>
      <c r="F6021" s="96"/>
      <c r="G6021" s="97"/>
      <c r="H6021" s="114" t="str">
        <f t="shared" si="84"/>
        <v/>
      </c>
      <c r="I6021" s="17"/>
      <c r="J6021" s="17"/>
      <c r="K6021" s="17"/>
    </row>
    <row r="6022" spans="1:11" x14ac:dyDescent="0.2">
      <c r="A6022" s="115"/>
      <c r="B6022" s="95"/>
      <c r="C6022" s="94"/>
      <c r="D6022" s="95"/>
      <c r="E6022" s="95"/>
      <c r="F6022" s="96"/>
      <c r="G6022" s="97"/>
      <c r="H6022" s="114" t="str">
        <f t="shared" si="84"/>
        <v/>
      </c>
      <c r="I6022" s="17"/>
      <c r="J6022" s="17"/>
      <c r="K6022" s="17"/>
    </row>
    <row r="6023" spans="1:11" x14ac:dyDescent="0.2">
      <c r="A6023" s="115"/>
      <c r="B6023" s="95"/>
      <c r="C6023" s="94"/>
      <c r="D6023" s="95"/>
      <c r="E6023" s="95"/>
      <c r="F6023" s="96"/>
      <c r="G6023" s="97"/>
      <c r="H6023" s="114" t="str">
        <f t="shared" si="84"/>
        <v/>
      </c>
      <c r="I6023" s="17"/>
      <c r="J6023" s="17"/>
      <c r="K6023" s="17"/>
    </row>
    <row r="6024" spans="1:11" x14ac:dyDescent="0.2">
      <c r="A6024" s="115"/>
      <c r="B6024" s="95"/>
      <c r="C6024" s="94"/>
      <c r="D6024" s="95"/>
      <c r="E6024" s="95"/>
      <c r="F6024" s="96"/>
      <c r="G6024" s="97"/>
      <c r="H6024" s="114" t="str">
        <f t="shared" si="84"/>
        <v/>
      </c>
      <c r="I6024" s="17"/>
      <c r="J6024" s="17"/>
      <c r="K6024" s="17"/>
    </row>
    <row r="6025" spans="1:11" x14ac:dyDescent="0.2">
      <c r="A6025" s="115"/>
      <c r="B6025" s="95"/>
      <c r="C6025" s="94"/>
      <c r="D6025" s="95"/>
      <c r="E6025" s="95"/>
      <c r="F6025" s="96"/>
      <c r="G6025" s="97"/>
      <c r="H6025" s="114" t="str">
        <f t="shared" si="84"/>
        <v/>
      </c>
      <c r="I6025" s="17"/>
      <c r="J6025" s="17"/>
      <c r="K6025" s="17"/>
    </row>
    <row r="6026" spans="1:11" x14ac:dyDescent="0.2">
      <c r="A6026" s="115"/>
      <c r="B6026" s="95"/>
      <c r="C6026" s="94"/>
      <c r="D6026" s="95"/>
      <c r="E6026" s="95"/>
      <c r="F6026" s="96"/>
      <c r="G6026" s="111"/>
      <c r="H6026" s="114" t="str">
        <f t="shared" si="84"/>
        <v/>
      </c>
      <c r="I6026" s="17"/>
      <c r="J6026" s="17"/>
      <c r="K6026" s="17"/>
    </row>
    <row r="6027" spans="1:11" x14ac:dyDescent="0.2">
      <c r="A6027" s="115"/>
      <c r="B6027" s="95"/>
      <c r="C6027" s="94"/>
      <c r="D6027" s="95"/>
      <c r="E6027" s="95"/>
      <c r="F6027" s="96"/>
      <c r="G6027" s="111"/>
      <c r="H6027" s="114" t="str">
        <f t="shared" si="84"/>
        <v/>
      </c>
      <c r="I6027" s="17"/>
      <c r="J6027" s="17"/>
      <c r="K6027" s="17"/>
    </row>
    <row r="6028" spans="1:11" x14ac:dyDescent="0.2">
      <c r="A6028" s="115"/>
      <c r="B6028" s="95"/>
      <c r="C6028" s="94"/>
      <c r="D6028" s="95"/>
      <c r="E6028" s="95"/>
      <c r="F6028" s="96"/>
      <c r="G6028" s="97"/>
      <c r="H6028" s="114" t="str">
        <f t="shared" si="84"/>
        <v/>
      </c>
      <c r="I6028" s="17"/>
      <c r="J6028" s="17"/>
      <c r="K6028" s="17"/>
    </row>
    <row r="6029" spans="1:11" x14ac:dyDescent="0.2">
      <c r="A6029" s="115"/>
      <c r="B6029" s="95"/>
      <c r="C6029" s="94"/>
      <c r="D6029" s="95"/>
      <c r="E6029" s="95"/>
      <c r="F6029" s="96"/>
      <c r="G6029" s="97"/>
      <c r="H6029" s="114" t="str">
        <f t="shared" si="84"/>
        <v/>
      </c>
      <c r="I6029" s="17"/>
      <c r="J6029" s="17"/>
      <c r="K6029" s="17"/>
    </row>
    <row r="6030" spans="1:11" x14ac:dyDescent="0.2">
      <c r="A6030" s="115"/>
      <c r="B6030" s="95"/>
      <c r="C6030" s="94"/>
      <c r="D6030" s="95"/>
      <c r="E6030" s="95"/>
      <c r="F6030" s="96"/>
      <c r="G6030" s="97"/>
      <c r="H6030" s="114" t="str">
        <f t="shared" si="84"/>
        <v/>
      </c>
      <c r="I6030" s="17"/>
      <c r="J6030" s="17"/>
      <c r="K6030" s="17"/>
    </row>
    <row r="6031" spans="1:11" x14ac:dyDescent="0.2">
      <c r="A6031" s="115"/>
      <c r="B6031" s="95"/>
      <c r="C6031" s="94"/>
      <c r="D6031" s="95"/>
      <c r="E6031" s="95"/>
      <c r="F6031" s="96"/>
      <c r="G6031" s="97"/>
      <c r="H6031" s="114" t="str">
        <f t="shared" si="84"/>
        <v/>
      </c>
      <c r="I6031" s="17"/>
      <c r="J6031" s="17"/>
      <c r="K6031" s="17"/>
    </row>
    <row r="6032" spans="1:11" x14ac:dyDescent="0.2">
      <c r="A6032" s="115"/>
      <c r="B6032" s="95"/>
      <c r="C6032" s="94"/>
      <c r="D6032" s="95"/>
      <c r="E6032" s="95"/>
      <c r="F6032" s="96"/>
      <c r="G6032" s="97"/>
      <c r="H6032" s="114" t="str">
        <f t="shared" si="84"/>
        <v/>
      </c>
      <c r="I6032" s="17"/>
      <c r="J6032" s="17"/>
      <c r="K6032" s="17"/>
    </row>
    <row r="6033" spans="1:11" x14ac:dyDescent="0.2">
      <c r="A6033" s="115"/>
      <c r="B6033" s="95"/>
      <c r="C6033" s="94"/>
      <c r="D6033" s="95"/>
      <c r="E6033" s="95"/>
      <c r="F6033" s="96"/>
      <c r="G6033" s="97"/>
      <c r="H6033" s="114" t="str">
        <f t="shared" si="84"/>
        <v/>
      </c>
      <c r="I6033" s="17"/>
      <c r="J6033" s="17"/>
      <c r="K6033" s="17"/>
    </row>
    <row r="6034" spans="1:11" x14ac:dyDescent="0.2">
      <c r="A6034" s="115"/>
      <c r="B6034" s="95"/>
      <c r="C6034" s="94"/>
      <c r="D6034" s="95"/>
      <c r="E6034" s="95"/>
      <c r="F6034" s="96"/>
      <c r="G6034" s="97"/>
      <c r="H6034" s="114" t="str">
        <f t="shared" si="84"/>
        <v/>
      </c>
      <c r="I6034" s="17"/>
      <c r="J6034" s="17"/>
      <c r="K6034" s="17"/>
    </row>
    <row r="6035" spans="1:11" x14ac:dyDescent="0.2">
      <c r="A6035" s="115"/>
      <c r="B6035" s="95"/>
      <c r="C6035" s="94"/>
      <c r="D6035" s="95"/>
      <c r="E6035" s="95"/>
      <c r="F6035" s="96"/>
      <c r="G6035" s="97"/>
      <c r="H6035" s="114" t="str">
        <f t="shared" si="84"/>
        <v/>
      </c>
      <c r="I6035" s="17"/>
      <c r="J6035" s="17"/>
      <c r="K6035" s="17"/>
    </row>
    <row r="6036" spans="1:11" x14ac:dyDescent="0.2">
      <c r="A6036" s="115"/>
      <c r="B6036" s="95"/>
      <c r="C6036" s="94"/>
      <c r="D6036" s="95"/>
      <c r="E6036" s="95"/>
      <c r="F6036" s="96"/>
      <c r="G6036" s="97"/>
      <c r="H6036" s="114" t="str">
        <f t="shared" si="84"/>
        <v/>
      </c>
      <c r="I6036" s="17"/>
      <c r="J6036" s="17"/>
      <c r="K6036" s="17"/>
    </row>
    <row r="6037" spans="1:11" x14ac:dyDescent="0.2">
      <c r="A6037" s="115"/>
      <c r="B6037" s="95"/>
      <c r="C6037" s="94"/>
      <c r="D6037" s="95"/>
      <c r="E6037" s="95"/>
      <c r="F6037" s="96"/>
      <c r="G6037" s="97"/>
      <c r="H6037" s="114" t="str">
        <f t="shared" si="84"/>
        <v/>
      </c>
      <c r="I6037" s="17"/>
      <c r="J6037" s="17"/>
      <c r="K6037" s="17"/>
    </row>
    <row r="6038" spans="1:11" x14ac:dyDescent="0.2">
      <c r="A6038" s="115"/>
      <c r="B6038" s="95"/>
      <c r="C6038" s="94"/>
      <c r="D6038" s="95"/>
      <c r="E6038" s="95"/>
      <c r="F6038" s="96"/>
      <c r="G6038" s="97"/>
      <c r="H6038" s="114" t="str">
        <f t="shared" si="84"/>
        <v/>
      </c>
      <c r="I6038" s="17"/>
      <c r="J6038" s="17"/>
      <c r="K6038" s="17"/>
    </row>
    <row r="6039" spans="1:11" x14ac:dyDescent="0.2">
      <c r="A6039" s="115"/>
      <c r="B6039" s="95"/>
      <c r="C6039" s="94"/>
      <c r="D6039" s="95"/>
      <c r="E6039" s="95"/>
      <c r="F6039" s="96"/>
      <c r="G6039" s="97"/>
      <c r="H6039" s="114" t="str">
        <f t="shared" si="84"/>
        <v/>
      </c>
      <c r="I6039" s="17"/>
      <c r="J6039" s="17"/>
      <c r="K6039" s="17"/>
    </row>
    <row r="6040" spans="1:11" x14ac:dyDescent="0.2">
      <c r="A6040" s="115"/>
      <c r="B6040" s="95"/>
      <c r="C6040" s="94"/>
      <c r="D6040" s="95"/>
      <c r="E6040" s="95"/>
      <c r="F6040" s="96"/>
      <c r="G6040" s="97"/>
      <c r="H6040" s="114" t="str">
        <f t="shared" si="84"/>
        <v/>
      </c>
      <c r="I6040" s="17"/>
      <c r="J6040" s="17"/>
      <c r="K6040" s="17"/>
    </row>
    <row r="6041" spans="1:11" x14ac:dyDescent="0.2">
      <c r="A6041" s="115"/>
      <c r="B6041" s="95"/>
      <c r="C6041" s="94"/>
      <c r="D6041" s="95"/>
      <c r="E6041" s="95"/>
      <c r="F6041" s="96"/>
      <c r="G6041" s="97"/>
      <c r="H6041" s="114" t="str">
        <f t="shared" si="84"/>
        <v/>
      </c>
      <c r="I6041" s="17"/>
      <c r="J6041" s="17"/>
      <c r="K6041" s="17"/>
    </row>
    <row r="6042" spans="1:11" x14ac:dyDescent="0.2">
      <c r="A6042" s="115"/>
      <c r="B6042" s="95"/>
      <c r="C6042" s="94"/>
      <c r="D6042" s="95"/>
      <c r="E6042" s="95"/>
      <c r="F6042" s="96"/>
      <c r="G6042" s="97"/>
      <c r="H6042" s="114" t="str">
        <f t="shared" si="84"/>
        <v/>
      </c>
      <c r="I6042" s="17"/>
      <c r="J6042" s="17"/>
      <c r="K6042" s="17"/>
    </row>
    <row r="6043" spans="1:11" x14ac:dyDescent="0.2">
      <c r="A6043" s="115"/>
      <c r="B6043" s="95"/>
      <c r="C6043" s="94"/>
      <c r="D6043" s="95"/>
      <c r="E6043" s="95"/>
      <c r="F6043" s="96"/>
      <c r="G6043" s="97"/>
      <c r="H6043" s="114" t="str">
        <f t="shared" si="84"/>
        <v/>
      </c>
      <c r="I6043" s="17"/>
      <c r="J6043" s="17"/>
      <c r="K6043" s="17"/>
    </row>
    <row r="6044" spans="1:11" x14ac:dyDescent="0.2">
      <c r="A6044" s="115"/>
      <c r="B6044" s="95"/>
      <c r="C6044" s="94"/>
      <c r="D6044" s="95"/>
      <c r="E6044" s="95"/>
      <c r="F6044" s="96"/>
      <c r="G6044" s="97"/>
      <c r="H6044" s="114" t="str">
        <f t="shared" si="84"/>
        <v/>
      </c>
      <c r="I6044" s="17"/>
      <c r="J6044" s="17"/>
      <c r="K6044" s="17"/>
    </row>
    <row r="6045" spans="1:11" x14ac:dyDescent="0.2">
      <c r="A6045" s="115"/>
      <c r="B6045" s="95"/>
      <c r="C6045" s="94"/>
      <c r="D6045" s="95"/>
      <c r="E6045" s="95"/>
      <c r="F6045" s="96"/>
      <c r="G6045" s="97"/>
      <c r="H6045" s="114" t="str">
        <f t="shared" si="84"/>
        <v/>
      </c>
      <c r="I6045" s="17"/>
      <c r="J6045" s="17"/>
      <c r="K6045" s="17"/>
    </row>
    <row r="6046" spans="1:11" x14ac:dyDescent="0.2">
      <c r="A6046" s="115"/>
      <c r="B6046" s="95"/>
      <c r="C6046" s="94"/>
      <c r="D6046" s="95"/>
      <c r="E6046" s="95"/>
      <c r="F6046" s="96"/>
      <c r="G6046" s="97"/>
      <c r="H6046" s="114" t="str">
        <f t="shared" si="84"/>
        <v/>
      </c>
      <c r="I6046" s="17"/>
      <c r="J6046" s="17"/>
      <c r="K6046" s="17"/>
    </row>
    <row r="6047" spans="1:11" x14ac:dyDescent="0.2">
      <c r="A6047" s="115"/>
      <c r="B6047" s="95"/>
      <c r="C6047" s="94"/>
      <c r="D6047" s="95"/>
      <c r="E6047" s="95"/>
      <c r="F6047" s="96"/>
      <c r="G6047" s="97"/>
      <c r="H6047" s="114" t="str">
        <f t="shared" si="84"/>
        <v/>
      </c>
      <c r="I6047" s="17"/>
      <c r="J6047" s="17"/>
      <c r="K6047" s="17"/>
    </row>
    <row r="6048" spans="1:11" x14ac:dyDescent="0.2">
      <c r="A6048" s="115"/>
      <c r="B6048" s="95"/>
      <c r="C6048" s="94"/>
      <c r="D6048" s="95"/>
      <c r="E6048" s="95"/>
      <c r="F6048" s="96"/>
      <c r="G6048" s="97"/>
      <c r="H6048" s="114" t="str">
        <f t="shared" si="84"/>
        <v/>
      </c>
      <c r="I6048" s="17"/>
      <c r="J6048" s="17"/>
      <c r="K6048" s="17"/>
    </row>
    <row r="6049" spans="1:11" x14ac:dyDescent="0.2">
      <c r="A6049" s="115"/>
      <c r="B6049" s="95"/>
      <c r="C6049" s="94"/>
      <c r="D6049" s="95"/>
      <c r="E6049" s="95"/>
      <c r="F6049" s="96"/>
      <c r="G6049" s="97"/>
      <c r="H6049" s="114" t="str">
        <f t="shared" si="84"/>
        <v/>
      </c>
      <c r="I6049" s="17"/>
      <c r="J6049" s="17"/>
      <c r="K6049" s="17"/>
    </row>
    <row r="6050" spans="1:11" x14ac:dyDescent="0.2">
      <c r="A6050" s="115"/>
      <c r="B6050" s="95"/>
      <c r="C6050" s="94"/>
      <c r="D6050" s="95"/>
      <c r="E6050" s="95"/>
      <c r="F6050" s="96"/>
      <c r="G6050" s="97"/>
      <c r="H6050" s="114" t="str">
        <f t="shared" si="84"/>
        <v/>
      </c>
      <c r="I6050" s="17"/>
      <c r="J6050" s="17"/>
      <c r="K6050" s="17"/>
    </row>
    <row r="6051" spans="1:11" x14ac:dyDescent="0.2">
      <c r="A6051" s="115"/>
      <c r="B6051" s="95"/>
      <c r="C6051" s="94"/>
      <c r="D6051" s="95"/>
      <c r="E6051" s="95"/>
      <c r="F6051" s="96"/>
      <c r="G6051" s="97"/>
      <c r="H6051" s="114" t="str">
        <f t="shared" si="84"/>
        <v/>
      </c>
      <c r="I6051" s="17"/>
      <c r="J6051" s="17"/>
      <c r="K6051" s="17"/>
    </row>
    <row r="6052" spans="1:11" x14ac:dyDescent="0.2">
      <c r="A6052" s="115"/>
      <c r="B6052" s="95"/>
      <c r="C6052" s="94"/>
      <c r="D6052" s="95"/>
      <c r="E6052" s="95"/>
      <c r="F6052" s="96"/>
      <c r="G6052" s="97"/>
      <c r="H6052" s="114" t="str">
        <f t="shared" si="84"/>
        <v/>
      </c>
      <c r="I6052" s="17"/>
      <c r="J6052" s="17"/>
      <c r="K6052" s="17"/>
    </row>
    <row r="6053" spans="1:11" x14ac:dyDescent="0.2">
      <c r="A6053" s="115"/>
      <c r="B6053" s="95"/>
      <c r="C6053" s="94"/>
      <c r="D6053" s="95"/>
      <c r="E6053" s="95"/>
      <c r="F6053" s="96"/>
      <c r="G6053" s="97"/>
      <c r="H6053" s="114" t="str">
        <f t="shared" si="84"/>
        <v/>
      </c>
      <c r="I6053" s="17"/>
      <c r="J6053" s="17"/>
      <c r="K6053" s="17"/>
    </row>
    <row r="6054" spans="1:11" x14ac:dyDescent="0.2">
      <c r="A6054" s="115"/>
      <c r="B6054" s="95"/>
      <c r="C6054" s="94"/>
      <c r="D6054" s="95"/>
      <c r="E6054" s="95"/>
      <c r="F6054" s="96"/>
      <c r="G6054" s="97"/>
      <c r="H6054" s="114" t="str">
        <f t="shared" si="84"/>
        <v/>
      </c>
      <c r="I6054" s="17"/>
      <c r="J6054" s="17"/>
      <c r="K6054" s="17"/>
    </row>
    <row r="6055" spans="1:11" x14ac:dyDescent="0.2">
      <c r="A6055" s="115"/>
      <c r="B6055" s="95"/>
      <c r="C6055" s="94"/>
      <c r="D6055" s="95"/>
      <c r="E6055" s="95"/>
      <c r="F6055" s="96"/>
      <c r="G6055" s="97"/>
      <c r="H6055" s="114" t="str">
        <f t="shared" si="84"/>
        <v/>
      </c>
      <c r="I6055" s="17"/>
      <c r="J6055" s="17"/>
      <c r="K6055" s="17"/>
    </row>
    <row r="6056" spans="1:11" x14ac:dyDescent="0.2">
      <c r="A6056" s="115"/>
      <c r="B6056" s="95"/>
      <c r="C6056" s="94"/>
      <c r="D6056" s="95"/>
      <c r="E6056" s="95"/>
      <c r="F6056" s="96"/>
      <c r="G6056" s="97"/>
      <c r="H6056" s="114" t="str">
        <f t="shared" si="84"/>
        <v/>
      </c>
      <c r="I6056" s="17"/>
      <c r="J6056" s="17"/>
      <c r="K6056" s="17"/>
    </row>
    <row r="6057" spans="1:11" x14ac:dyDescent="0.2">
      <c r="A6057" s="115"/>
      <c r="B6057" s="95"/>
      <c r="C6057" s="94"/>
      <c r="D6057" s="95"/>
      <c r="E6057" s="95"/>
      <c r="F6057" s="96"/>
      <c r="G6057" s="97"/>
      <c r="H6057" s="114" t="str">
        <f t="shared" si="84"/>
        <v/>
      </c>
      <c r="I6057" s="17"/>
      <c r="J6057" s="17"/>
      <c r="K6057" s="17"/>
    </row>
    <row r="6058" spans="1:11" x14ac:dyDescent="0.2">
      <c r="A6058" s="115"/>
      <c r="B6058" s="95"/>
      <c r="C6058" s="94"/>
      <c r="D6058" s="95"/>
      <c r="E6058" s="95"/>
      <c r="F6058" s="96"/>
      <c r="G6058" s="97"/>
      <c r="H6058" s="114" t="str">
        <f t="shared" si="84"/>
        <v/>
      </c>
      <c r="I6058" s="17"/>
      <c r="J6058" s="17"/>
      <c r="K6058" s="17"/>
    </row>
    <row r="6059" spans="1:11" x14ac:dyDescent="0.2">
      <c r="A6059" s="115"/>
      <c r="B6059" s="95"/>
      <c r="C6059" s="94"/>
      <c r="D6059" s="95"/>
      <c r="E6059" s="95"/>
      <c r="F6059" s="96"/>
      <c r="G6059" s="97"/>
      <c r="H6059" s="114" t="str">
        <f t="shared" si="84"/>
        <v/>
      </c>
      <c r="I6059" s="17"/>
      <c r="J6059" s="17"/>
      <c r="K6059" s="17"/>
    </row>
    <row r="6060" spans="1:11" x14ac:dyDescent="0.2">
      <c r="A6060" s="115"/>
      <c r="B6060" s="95"/>
      <c r="C6060" s="94"/>
      <c r="D6060" s="95"/>
      <c r="E6060" s="95"/>
      <c r="F6060" s="96"/>
      <c r="G6060" s="97"/>
      <c r="H6060" s="114" t="str">
        <f t="shared" si="84"/>
        <v/>
      </c>
      <c r="I6060" s="17"/>
      <c r="J6060" s="17"/>
      <c r="K6060" s="17"/>
    </row>
    <row r="6061" spans="1:11" x14ac:dyDescent="0.2">
      <c r="A6061" s="115"/>
      <c r="B6061" s="95"/>
      <c r="C6061" s="94"/>
      <c r="D6061" s="95"/>
      <c r="E6061" s="95"/>
      <c r="F6061" s="96"/>
      <c r="G6061" s="97"/>
      <c r="H6061" s="114" t="str">
        <f t="shared" si="84"/>
        <v/>
      </c>
      <c r="I6061" s="17"/>
      <c r="J6061" s="17"/>
      <c r="K6061" s="17"/>
    </row>
    <row r="6062" spans="1:11" x14ac:dyDescent="0.2">
      <c r="A6062" s="115"/>
      <c r="B6062" s="95"/>
      <c r="C6062" s="94"/>
      <c r="D6062" s="95"/>
      <c r="E6062" s="95"/>
      <c r="F6062" s="96"/>
      <c r="G6062" s="97"/>
      <c r="H6062" s="114" t="str">
        <f t="shared" si="84"/>
        <v/>
      </c>
      <c r="I6062" s="17"/>
      <c r="J6062" s="17"/>
      <c r="K6062" s="17"/>
    </row>
    <row r="6063" spans="1:11" x14ac:dyDescent="0.2">
      <c r="A6063" s="115"/>
      <c r="B6063" s="95"/>
      <c r="C6063" s="94"/>
      <c r="D6063" s="95"/>
      <c r="E6063" s="95"/>
      <c r="F6063" s="96"/>
      <c r="G6063" s="97"/>
      <c r="H6063" s="114" t="str">
        <f t="shared" si="84"/>
        <v/>
      </c>
      <c r="I6063" s="17"/>
      <c r="J6063" s="17"/>
      <c r="K6063" s="17"/>
    </row>
    <row r="6064" spans="1:11" x14ac:dyDescent="0.2">
      <c r="A6064" s="115"/>
      <c r="B6064" s="95"/>
      <c r="C6064" s="94"/>
      <c r="D6064" s="95"/>
      <c r="E6064" s="95"/>
      <c r="F6064" s="96"/>
      <c r="G6064" s="97"/>
      <c r="H6064" s="114" t="str">
        <f t="shared" si="84"/>
        <v/>
      </c>
      <c r="I6064" s="17"/>
      <c r="J6064" s="17"/>
      <c r="K6064" s="17"/>
    </row>
    <row r="6065" spans="1:11" x14ac:dyDescent="0.2">
      <c r="A6065" s="115"/>
      <c r="B6065" s="95"/>
      <c r="C6065" s="94"/>
      <c r="D6065" s="95"/>
      <c r="E6065" s="95"/>
      <c r="F6065" s="96"/>
      <c r="G6065" s="97"/>
      <c r="H6065" s="114" t="str">
        <f t="shared" si="84"/>
        <v/>
      </c>
      <c r="I6065" s="17"/>
      <c r="J6065" s="17"/>
      <c r="K6065" s="17"/>
    </row>
    <row r="6066" spans="1:11" x14ac:dyDescent="0.2">
      <c r="A6066" s="115"/>
      <c r="B6066" s="95"/>
      <c r="C6066" s="94"/>
      <c r="D6066" s="95"/>
      <c r="E6066" s="95"/>
      <c r="F6066" s="96"/>
      <c r="G6066" s="97"/>
      <c r="H6066" s="114" t="str">
        <f t="shared" si="84"/>
        <v/>
      </c>
      <c r="I6066" s="17"/>
      <c r="J6066" s="17"/>
      <c r="K6066" s="17"/>
    </row>
    <row r="6067" spans="1:11" x14ac:dyDescent="0.2">
      <c r="A6067" s="115"/>
      <c r="B6067" s="95"/>
      <c r="C6067" s="94"/>
      <c r="D6067" s="95"/>
      <c r="E6067" s="95"/>
      <c r="F6067" s="96"/>
      <c r="G6067" s="97"/>
      <c r="H6067" s="114" t="str">
        <f t="shared" si="84"/>
        <v/>
      </c>
      <c r="I6067" s="17"/>
      <c r="J6067" s="17"/>
      <c r="K6067" s="17"/>
    </row>
    <row r="6068" spans="1:11" x14ac:dyDescent="0.2">
      <c r="A6068" s="115"/>
      <c r="B6068" s="95"/>
      <c r="C6068" s="94"/>
      <c r="D6068" s="95"/>
      <c r="E6068" s="95"/>
      <c r="F6068" s="96"/>
      <c r="G6068" s="97"/>
      <c r="H6068" s="114" t="str">
        <f t="shared" si="84"/>
        <v/>
      </c>
      <c r="I6068" s="17"/>
      <c r="J6068" s="17"/>
      <c r="K6068" s="17"/>
    </row>
    <row r="6069" spans="1:11" x14ac:dyDescent="0.2">
      <c r="A6069" s="115"/>
      <c r="B6069" s="95"/>
      <c r="C6069" s="94"/>
      <c r="D6069" s="95"/>
      <c r="E6069" s="95"/>
      <c r="F6069" s="96"/>
      <c r="G6069" s="97"/>
      <c r="H6069" s="114" t="str">
        <f t="shared" si="84"/>
        <v/>
      </c>
      <c r="I6069" s="17"/>
      <c r="J6069" s="17"/>
      <c r="K6069" s="17"/>
    </row>
    <row r="6070" spans="1:11" x14ac:dyDescent="0.2">
      <c r="A6070" s="115"/>
      <c r="B6070" s="95"/>
      <c r="C6070" s="94"/>
      <c r="D6070" s="95"/>
      <c r="E6070" s="95"/>
      <c r="F6070" s="96"/>
      <c r="G6070" s="97"/>
      <c r="H6070" s="114" t="str">
        <f t="shared" si="84"/>
        <v/>
      </c>
      <c r="I6070" s="17"/>
      <c r="J6070" s="17"/>
      <c r="K6070" s="17"/>
    </row>
    <row r="6071" spans="1:11" x14ac:dyDescent="0.2">
      <c r="A6071" s="115"/>
      <c r="B6071" s="95"/>
      <c r="C6071" s="94"/>
      <c r="D6071" s="95"/>
      <c r="E6071" s="95"/>
      <c r="F6071" s="96"/>
      <c r="G6071" s="97"/>
      <c r="H6071" s="114" t="str">
        <f t="shared" si="84"/>
        <v/>
      </c>
      <c r="I6071" s="17"/>
      <c r="J6071" s="17"/>
      <c r="K6071" s="17"/>
    </row>
    <row r="6072" spans="1:11" x14ac:dyDescent="0.2">
      <c r="A6072" s="115"/>
      <c r="B6072" s="95"/>
      <c r="C6072" s="94"/>
      <c r="D6072" s="95"/>
      <c r="E6072" s="95"/>
      <c r="F6072" s="96"/>
      <c r="G6072" s="97"/>
      <c r="H6072" s="114" t="str">
        <f t="shared" si="84"/>
        <v/>
      </c>
      <c r="I6072" s="17"/>
      <c r="J6072" s="17"/>
      <c r="K6072" s="17"/>
    </row>
    <row r="6073" spans="1:11" x14ac:dyDescent="0.2">
      <c r="A6073" s="115"/>
      <c r="B6073" s="95"/>
      <c r="C6073" s="94"/>
      <c r="D6073" s="95"/>
      <c r="E6073" s="95"/>
      <c r="F6073" s="96"/>
      <c r="G6073" s="97"/>
      <c r="H6073" s="114" t="str">
        <f t="shared" si="84"/>
        <v/>
      </c>
      <c r="I6073" s="17"/>
      <c r="J6073" s="17"/>
      <c r="K6073" s="17"/>
    </row>
    <row r="6074" spans="1:11" x14ac:dyDescent="0.2">
      <c r="A6074" s="115"/>
      <c r="B6074" s="95"/>
      <c r="C6074" s="94"/>
      <c r="D6074" s="95"/>
      <c r="E6074" s="95"/>
      <c r="F6074" s="96"/>
      <c r="G6074" s="97"/>
      <c r="H6074" s="114" t="str">
        <f t="shared" si="84"/>
        <v/>
      </c>
      <c r="I6074" s="17"/>
      <c r="J6074" s="17"/>
      <c r="K6074" s="17"/>
    </row>
    <row r="6075" spans="1:11" x14ac:dyDescent="0.2">
      <c r="A6075" s="115"/>
      <c r="B6075" s="95"/>
      <c r="C6075" s="94"/>
      <c r="D6075" s="95"/>
      <c r="E6075" s="95"/>
      <c r="F6075" s="96"/>
      <c r="G6075" s="97"/>
      <c r="H6075" s="114" t="str">
        <f t="shared" si="84"/>
        <v/>
      </c>
      <c r="I6075" s="17"/>
      <c r="J6075" s="17"/>
      <c r="K6075" s="17"/>
    </row>
    <row r="6076" spans="1:11" x14ac:dyDescent="0.2">
      <c r="A6076" s="115"/>
      <c r="B6076" s="95"/>
      <c r="C6076" s="94"/>
      <c r="D6076" s="95"/>
      <c r="E6076" s="95"/>
      <c r="F6076" s="96"/>
      <c r="G6076" s="97"/>
      <c r="H6076" s="114" t="str">
        <f t="shared" si="84"/>
        <v/>
      </c>
      <c r="I6076" s="17"/>
      <c r="J6076" s="17"/>
      <c r="K6076" s="17"/>
    </row>
    <row r="6077" spans="1:11" x14ac:dyDescent="0.2">
      <c r="A6077" s="115"/>
      <c r="B6077" s="95"/>
      <c r="C6077" s="94"/>
      <c r="D6077" s="95"/>
      <c r="E6077" s="95"/>
      <c r="F6077" s="96"/>
      <c r="G6077" s="97"/>
      <c r="H6077" s="114" t="str">
        <f t="shared" si="84"/>
        <v/>
      </c>
      <c r="I6077" s="17"/>
      <c r="J6077" s="17"/>
      <c r="K6077" s="17"/>
    </row>
    <row r="6078" spans="1:11" x14ac:dyDescent="0.2">
      <c r="A6078" s="115"/>
      <c r="B6078" s="95"/>
      <c r="C6078" s="94"/>
      <c r="D6078" s="95"/>
      <c r="E6078" s="95"/>
      <c r="F6078" s="96"/>
      <c r="G6078" s="97"/>
      <c r="H6078" s="114" t="str">
        <f t="shared" si="84"/>
        <v/>
      </c>
      <c r="I6078" s="17"/>
      <c r="J6078" s="17"/>
      <c r="K6078" s="17"/>
    </row>
    <row r="6079" spans="1:11" x14ac:dyDescent="0.2">
      <c r="A6079" s="115"/>
      <c r="B6079" s="95"/>
      <c r="C6079" s="94"/>
      <c r="D6079" s="95"/>
      <c r="E6079" s="95"/>
      <c r="F6079" s="96"/>
      <c r="G6079" s="97"/>
      <c r="H6079" s="114" t="str">
        <f t="shared" si="84"/>
        <v/>
      </c>
      <c r="I6079" s="17"/>
      <c r="J6079" s="17"/>
      <c r="K6079" s="17"/>
    </row>
    <row r="6080" spans="1:11" x14ac:dyDescent="0.2">
      <c r="A6080" s="115"/>
      <c r="B6080" s="95"/>
      <c r="C6080" s="94"/>
      <c r="D6080" s="95"/>
      <c r="E6080" s="95"/>
      <c r="F6080" s="96"/>
      <c r="G6080" s="97"/>
      <c r="H6080" s="114" t="str">
        <f t="shared" si="84"/>
        <v/>
      </c>
      <c r="I6080" s="17"/>
      <c r="J6080" s="17"/>
      <c r="K6080" s="17"/>
    </row>
    <row r="6081" spans="1:11" x14ac:dyDescent="0.2">
      <c r="A6081" s="115"/>
      <c r="B6081" s="95"/>
      <c r="C6081" s="94"/>
      <c r="D6081" s="95"/>
      <c r="E6081" s="95"/>
      <c r="F6081" s="96"/>
      <c r="G6081" s="97"/>
      <c r="H6081" s="114" t="str">
        <f t="shared" si="84"/>
        <v/>
      </c>
      <c r="I6081" s="17"/>
      <c r="J6081" s="17"/>
      <c r="K6081" s="17"/>
    </row>
    <row r="6082" spans="1:11" x14ac:dyDescent="0.2">
      <c r="A6082" s="115"/>
      <c r="B6082" s="95"/>
      <c r="C6082" s="94"/>
      <c r="D6082" s="95"/>
      <c r="E6082" s="95"/>
      <c r="F6082" s="96"/>
      <c r="G6082" s="97"/>
      <c r="H6082" s="114" t="str">
        <f t="shared" si="84"/>
        <v/>
      </c>
      <c r="I6082" s="17"/>
      <c r="J6082" s="17"/>
      <c r="K6082" s="17"/>
    </row>
    <row r="6083" spans="1:11" x14ac:dyDescent="0.2">
      <c r="A6083" s="115"/>
      <c r="B6083" s="95"/>
      <c r="C6083" s="94"/>
      <c r="D6083" s="95"/>
      <c r="E6083" s="95"/>
      <c r="F6083" s="96"/>
      <c r="G6083" s="97"/>
      <c r="H6083" s="114" t="str">
        <f t="shared" si="84"/>
        <v/>
      </c>
      <c r="I6083" s="17"/>
      <c r="J6083" s="17"/>
      <c r="K6083" s="17"/>
    </row>
    <row r="6084" spans="1:11" x14ac:dyDescent="0.2">
      <c r="A6084" s="115"/>
      <c r="B6084" s="95"/>
      <c r="C6084" s="94"/>
      <c r="D6084" s="95"/>
      <c r="E6084" s="95"/>
      <c r="F6084" s="96"/>
      <c r="G6084" s="97"/>
      <c r="H6084" s="114" t="str">
        <f t="shared" ref="H6084:H6147" si="85">IF(A6084&lt;&gt;"", EOMONTH(A6084, -1) + 1, "")</f>
        <v/>
      </c>
      <c r="I6084" s="17"/>
      <c r="J6084" s="17"/>
      <c r="K6084" s="17"/>
    </row>
    <row r="6085" spans="1:11" x14ac:dyDescent="0.2">
      <c r="A6085" s="115"/>
      <c r="B6085" s="95"/>
      <c r="C6085" s="94"/>
      <c r="D6085" s="95"/>
      <c r="E6085" s="95"/>
      <c r="F6085" s="96"/>
      <c r="G6085" s="97"/>
      <c r="H6085" s="114" t="str">
        <f t="shared" si="85"/>
        <v/>
      </c>
      <c r="I6085" s="17"/>
      <c r="J6085" s="17"/>
      <c r="K6085" s="17"/>
    </row>
    <row r="6086" spans="1:11" x14ac:dyDescent="0.2">
      <c r="A6086" s="115"/>
      <c r="B6086" s="95"/>
      <c r="C6086" s="94"/>
      <c r="D6086" s="95"/>
      <c r="E6086" s="95"/>
      <c r="F6086" s="96"/>
      <c r="G6086" s="97"/>
      <c r="H6086" s="114" t="str">
        <f t="shared" si="85"/>
        <v/>
      </c>
      <c r="I6086" s="17"/>
      <c r="J6086" s="17"/>
      <c r="K6086" s="17"/>
    </row>
    <row r="6087" spans="1:11" x14ac:dyDescent="0.2">
      <c r="A6087" s="115"/>
      <c r="B6087" s="95"/>
      <c r="C6087" s="94"/>
      <c r="D6087" s="95"/>
      <c r="E6087" s="95"/>
      <c r="F6087" s="96"/>
      <c r="G6087" s="97"/>
      <c r="H6087" s="114" t="str">
        <f t="shared" si="85"/>
        <v/>
      </c>
      <c r="I6087" s="17"/>
      <c r="J6087" s="17"/>
      <c r="K6087" s="17"/>
    </row>
    <row r="6088" spans="1:11" x14ac:dyDescent="0.2">
      <c r="A6088" s="115"/>
      <c r="B6088" s="95"/>
      <c r="C6088" s="94"/>
      <c r="D6088" s="95"/>
      <c r="E6088" s="95"/>
      <c r="F6088" s="96"/>
      <c r="G6088" s="97"/>
      <c r="H6088" s="114" t="str">
        <f t="shared" si="85"/>
        <v/>
      </c>
      <c r="I6088" s="17"/>
      <c r="J6088" s="17"/>
      <c r="K6088" s="17"/>
    </row>
    <row r="6089" spans="1:11" x14ac:dyDescent="0.2">
      <c r="A6089" s="115"/>
      <c r="B6089" s="95"/>
      <c r="C6089" s="94"/>
      <c r="D6089" s="95"/>
      <c r="E6089" s="95"/>
      <c r="F6089" s="96"/>
      <c r="G6089" s="97"/>
      <c r="H6089" s="114" t="str">
        <f t="shared" si="85"/>
        <v/>
      </c>
      <c r="I6089" s="17"/>
      <c r="J6089" s="17"/>
      <c r="K6089" s="17"/>
    </row>
    <row r="6090" spans="1:11" x14ac:dyDescent="0.2">
      <c r="A6090" s="115"/>
      <c r="B6090" s="95"/>
      <c r="C6090" s="94"/>
      <c r="D6090" s="95"/>
      <c r="E6090" s="95"/>
      <c r="F6090" s="96"/>
      <c r="G6090" s="97"/>
      <c r="H6090" s="114" t="str">
        <f t="shared" si="85"/>
        <v/>
      </c>
      <c r="I6090" s="17"/>
      <c r="J6090" s="17"/>
      <c r="K6090" s="17"/>
    </row>
    <row r="6091" spans="1:11" x14ac:dyDescent="0.2">
      <c r="A6091" s="115"/>
      <c r="B6091" s="95"/>
      <c r="C6091" s="94"/>
      <c r="D6091" s="95"/>
      <c r="E6091" s="95"/>
      <c r="F6091" s="96"/>
      <c r="G6091" s="97"/>
      <c r="H6091" s="114" t="str">
        <f t="shared" si="85"/>
        <v/>
      </c>
      <c r="I6091" s="17"/>
      <c r="J6091" s="17"/>
      <c r="K6091" s="17"/>
    </row>
    <row r="6092" spans="1:11" x14ac:dyDescent="0.2">
      <c r="A6092" s="115"/>
      <c r="B6092" s="95"/>
      <c r="C6092" s="94"/>
      <c r="D6092" s="95"/>
      <c r="E6092" s="95"/>
      <c r="F6092" s="96"/>
      <c r="G6092" s="97"/>
      <c r="H6092" s="114" t="str">
        <f t="shared" si="85"/>
        <v/>
      </c>
      <c r="I6092" s="17"/>
      <c r="J6092" s="17"/>
      <c r="K6092" s="17"/>
    </row>
    <row r="6093" spans="1:11" x14ac:dyDescent="0.2">
      <c r="A6093" s="115"/>
      <c r="B6093" s="95"/>
      <c r="C6093" s="94"/>
      <c r="D6093" s="95"/>
      <c r="E6093" s="95"/>
      <c r="F6093" s="96"/>
      <c r="G6093" s="97"/>
      <c r="H6093" s="114" t="str">
        <f t="shared" si="85"/>
        <v/>
      </c>
      <c r="I6093" s="17"/>
      <c r="J6093" s="17"/>
      <c r="K6093" s="17"/>
    </row>
    <row r="6094" spans="1:11" x14ac:dyDescent="0.2">
      <c r="A6094" s="115"/>
      <c r="B6094" s="95"/>
      <c r="C6094" s="94"/>
      <c r="D6094" s="95"/>
      <c r="E6094" s="95"/>
      <c r="F6094" s="96"/>
      <c r="G6094" s="97"/>
      <c r="H6094" s="114" t="str">
        <f t="shared" si="85"/>
        <v/>
      </c>
      <c r="I6094" s="17"/>
      <c r="J6094" s="17"/>
      <c r="K6094" s="17"/>
    </row>
    <row r="6095" spans="1:11" x14ac:dyDescent="0.2">
      <c r="A6095" s="115"/>
      <c r="B6095" s="95"/>
      <c r="C6095" s="94"/>
      <c r="D6095" s="95"/>
      <c r="E6095" s="95"/>
      <c r="F6095" s="96"/>
      <c r="G6095" s="97"/>
      <c r="H6095" s="114" t="str">
        <f t="shared" si="85"/>
        <v/>
      </c>
      <c r="I6095" s="17"/>
      <c r="J6095" s="17"/>
      <c r="K6095" s="17"/>
    </row>
    <row r="6096" spans="1:11" x14ac:dyDescent="0.2">
      <c r="A6096" s="115"/>
      <c r="B6096" s="95"/>
      <c r="C6096" s="94"/>
      <c r="D6096" s="95"/>
      <c r="E6096" s="95"/>
      <c r="F6096" s="96"/>
      <c r="G6096" s="97"/>
      <c r="H6096" s="114" t="str">
        <f t="shared" si="85"/>
        <v/>
      </c>
      <c r="I6096" s="17"/>
      <c r="J6096" s="17"/>
      <c r="K6096" s="17"/>
    </row>
    <row r="6097" spans="1:11" x14ac:dyDescent="0.2">
      <c r="A6097" s="115"/>
      <c r="B6097" s="95"/>
      <c r="C6097" s="94"/>
      <c r="D6097" s="95"/>
      <c r="E6097" s="95"/>
      <c r="F6097" s="96"/>
      <c r="G6097" s="97"/>
      <c r="H6097" s="114" t="str">
        <f t="shared" si="85"/>
        <v/>
      </c>
      <c r="I6097" s="17"/>
      <c r="J6097" s="17"/>
      <c r="K6097" s="17"/>
    </row>
    <row r="6098" spans="1:11" x14ac:dyDescent="0.2">
      <c r="A6098" s="115"/>
      <c r="B6098" s="95"/>
      <c r="C6098" s="94"/>
      <c r="D6098" s="95"/>
      <c r="E6098" s="95"/>
      <c r="F6098" s="96"/>
      <c r="G6098" s="97"/>
      <c r="H6098" s="114" t="str">
        <f t="shared" si="85"/>
        <v/>
      </c>
      <c r="I6098" s="17"/>
      <c r="J6098" s="17"/>
      <c r="K6098" s="17"/>
    </row>
    <row r="6099" spans="1:11" x14ac:dyDescent="0.2">
      <c r="A6099" s="115"/>
      <c r="B6099" s="95"/>
      <c r="C6099" s="94"/>
      <c r="D6099" s="95"/>
      <c r="E6099" s="95"/>
      <c r="F6099" s="96"/>
      <c r="G6099" s="97"/>
      <c r="H6099" s="114" t="str">
        <f t="shared" si="85"/>
        <v/>
      </c>
      <c r="I6099" s="17"/>
      <c r="J6099" s="17"/>
      <c r="K6099" s="17"/>
    </row>
    <row r="6100" spans="1:11" x14ac:dyDescent="0.2">
      <c r="A6100" s="115"/>
      <c r="B6100" s="95"/>
      <c r="C6100" s="94"/>
      <c r="D6100" s="95"/>
      <c r="E6100" s="95"/>
      <c r="F6100" s="96"/>
      <c r="G6100" s="97"/>
      <c r="H6100" s="114" t="str">
        <f t="shared" si="85"/>
        <v/>
      </c>
      <c r="I6100" s="17"/>
      <c r="J6100" s="17"/>
      <c r="K6100" s="17"/>
    </row>
    <row r="6101" spans="1:11" x14ac:dyDescent="0.2">
      <c r="A6101" s="115"/>
      <c r="B6101" s="95"/>
      <c r="C6101" s="94"/>
      <c r="D6101" s="95"/>
      <c r="E6101" s="95"/>
      <c r="F6101" s="96"/>
      <c r="G6101" s="97"/>
      <c r="H6101" s="114" t="str">
        <f t="shared" si="85"/>
        <v/>
      </c>
      <c r="I6101" s="17"/>
      <c r="J6101" s="17"/>
      <c r="K6101" s="17"/>
    </row>
    <row r="6102" spans="1:11" x14ac:dyDescent="0.2">
      <c r="A6102" s="115"/>
      <c r="B6102" s="95"/>
      <c r="C6102" s="94"/>
      <c r="D6102" s="95"/>
      <c r="E6102" s="95"/>
      <c r="F6102" s="96"/>
      <c r="G6102" s="97"/>
      <c r="H6102" s="114" t="str">
        <f t="shared" si="85"/>
        <v/>
      </c>
      <c r="I6102" s="17"/>
      <c r="J6102" s="17"/>
      <c r="K6102" s="17"/>
    </row>
    <row r="6103" spans="1:11" x14ac:dyDescent="0.2">
      <c r="A6103" s="115"/>
      <c r="B6103" s="95"/>
      <c r="C6103" s="94"/>
      <c r="D6103" s="95"/>
      <c r="E6103" s="95"/>
      <c r="F6103" s="96"/>
      <c r="G6103" s="97"/>
      <c r="H6103" s="114" t="str">
        <f t="shared" si="85"/>
        <v/>
      </c>
      <c r="I6103" s="17"/>
      <c r="J6103" s="17"/>
      <c r="K6103" s="17"/>
    </row>
    <row r="6104" spans="1:11" x14ac:dyDescent="0.2">
      <c r="A6104" s="115"/>
      <c r="B6104" s="95"/>
      <c r="C6104" s="94"/>
      <c r="D6104" s="95"/>
      <c r="E6104" s="95"/>
      <c r="F6104" s="96"/>
      <c r="G6104" s="97"/>
      <c r="H6104" s="114" t="str">
        <f t="shared" si="85"/>
        <v/>
      </c>
      <c r="I6104" s="17"/>
      <c r="J6104" s="17"/>
      <c r="K6104" s="17"/>
    </row>
    <row r="6105" spans="1:11" x14ac:dyDescent="0.2">
      <c r="A6105" s="115"/>
      <c r="B6105" s="95"/>
      <c r="C6105" s="94"/>
      <c r="D6105" s="95"/>
      <c r="E6105" s="95"/>
      <c r="F6105" s="96"/>
      <c r="G6105" s="97"/>
      <c r="H6105" s="114" t="str">
        <f t="shared" si="85"/>
        <v/>
      </c>
      <c r="I6105" s="17"/>
      <c r="J6105" s="17"/>
      <c r="K6105" s="17"/>
    </row>
    <row r="6106" spans="1:11" x14ac:dyDescent="0.2">
      <c r="A6106" s="115"/>
      <c r="B6106" s="95"/>
      <c r="C6106" s="94"/>
      <c r="D6106" s="95"/>
      <c r="E6106" s="95"/>
      <c r="F6106" s="96"/>
      <c r="G6106" s="97"/>
      <c r="H6106" s="114" t="str">
        <f t="shared" si="85"/>
        <v/>
      </c>
      <c r="I6106" s="17"/>
      <c r="J6106" s="17"/>
      <c r="K6106" s="17"/>
    </row>
    <row r="6107" spans="1:11" x14ac:dyDescent="0.2">
      <c r="A6107" s="115"/>
      <c r="B6107" s="95"/>
      <c r="C6107" s="94"/>
      <c r="D6107" s="95"/>
      <c r="E6107" s="95"/>
      <c r="F6107" s="96"/>
      <c r="G6107" s="97"/>
      <c r="H6107" s="114" t="str">
        <f t="shared" si="85"/>
        <v/>
      </c>
      <c r="I6107" s="17"/>
      <c r="J6107" s="17"/>
      <c r="K6107" s="17"/>
    </row>
    <row r="6108" spans="1:11" x14ac:dyDescent="0.2">
      <c r="A6108" s="115"/>
      <c r="B6108" s="95"/>
      <c r="C6108" s="94"/>
      <c r="D6108" s="95"/>
      <c r="E6108" s="95"/>
      <c r="F6108" s="96"/>
      <c r="G6108" s="97"/>
      <c r="H6108" s="114" t="str">
        <f t="shared" si="85"/>
        <v/>
      </c>
      <c r="I6108" s="17"/>
      <c r="J6108" s="17"/>
      <c r="K6108" s="17"/>
    </row>
    <row r="6109" spans="1:11" x14ac:dyDescent="0.2">
      <c r="A6109" s="115"/>
      <c r="B6109" s="95"/>
      <c r="C6109" s="94"/>
      <c r="D6109" s="95"/>
      <c r="E6109" s="95"/>
      <c r="F6109" s="96"/>
      <c r="G6109" s="97"/>
      <c r="H6109" s="114" t="str">
        <f t="shared" si="85"/>
        <v/>
      </c>
      <c r="I6109" s="17"/>
      <c r="J6109" s="17"/>
      <c r="K6109" s="17"/>
    </row>
    <row r="6110" spans="1:11" x14ac:dyDescent="0.2">
      <c r="A6110" s="115"/>
      <c r="B6110" s="95"/>
      <c r="C6110" s="94"/>
      <c r="D6110" s="95"/>
      <c r="E6110" s="95"/>
      <c r="F6110" s="96"/>
      <c r="G6110" s="97"/>
      <c r="H6110" s="114" t="str">
        <f t="shared" si="85"/>
        <v/>
      </c>
      <c r="I6110" s="17"/>
      <c r="J6110" s="17"/>
      <c r="K6110" s="17"/>
    </row>
    <row r="6111" spans="1:11" x14ac:dyDescent="0.2">
      <c r="A6111" s="115"/>
      <c r="B6111" s="95"/>
      <c r="C6111" s="94"/>
      <c r="D6111" s="95"/>
      <c r="E6111" s="95"/>
      <c r="F6111" s="96"/>
      <c r="G6111" s="97"/>
      <c r="H6111" s="114" t="str">
        <f t="shared" si="85"/>
        <v/>
      </c>
      <c r="I6111" s="17"/>
      <c r="J6111" s="17"/>
      <c r="K6111" s="17"/>
    </row>
    <row r="6112" spans="1:11" x14ac:dyDescent="0.2">
      <c r="A6112" s="115"/>
      <c r="B6112" s="95"/>
      <c r="C6112" s="94"/>
      <c r="D6112" s="95"/>
      <c r="E6112" s="95"/>
      <c r="F6112" s="96"/>
      <c r="G6112" s="97"/>
      <c r="H6112" s="114" t="str">
        <f t="shared" si="85"/>
        <v/>
      </c>
      <c r="I6112" s="17"/>
      <c r="J6112" s="17"/>
      <c r="K6112" s="17"/>
    </row>
    <row r="6113" spans="1:11" x14ac:dyDescent="0.2">
      <c r="A6113" s="115"/>
      <c r="B6113" s="95"/>
      <c r="C6113" s="94"/>
      <c r="D6113" s="95"/>
      <c r="E6113" s="95"/>
      <c r="F6113" s="96"/>
      <c r="G6113" s="97"/>
      <c r="H6113" s="114" t="str">
        <f t="shared" si="85"/>
        <v/>
      </c>
      <c r="I6113" s="17"/>
      <c r="J6113" s="17"/>
      <c r="K6113" s="17"/>
    </row>
    <row r="6114" spans="1:11" x14ac:dyDescent="0.2">
      <c r="A6114" s="115"/>
      <c r="B6114" s="95"/>
      <c r="C6114" s="94"/>
      <c r="D6114" s="95"/>
      <c r="E6114" s="95"/>
      <c r="F6114" s="96"/>
      <c r="G6114" s="97"/>
      <c r="H6114" s="114" t="str">
        <f t="shared" si="85"/>
        <v/>
      </c>
      <c r="I6114" s="17"/>
      <c r="J6114" s="17"/>
      <c r="K6114" s="17"/>
    </row>
    <row r="6115" spans="1:11" x14ac:dyDescent="0.2">
      <c r="A6115" s="115"/>
      <c r="B6115" s="95"/>
      <c r="C6115" s="94"/>
      <c r="D6115" s="95"/>
      <c r="E6115" s="95"/>
      <c r="F6115" s="96"/>
      <c r="G6115" s="97"/>
      <c r="H6115" s="114" t="str">
        <f t="shared" si="85"/>
        <v/>
      </c>
      <c r="I6115" s="17"/>
      <c r="J6115" s="17"/>
      <c r="K6115" s="17"/>
    </row>
    <row r="6116" spans="1:11" x14ac:dyDescent="0.2">
      <c r="A6116" s="115"/>
      <c r="B6116" s="95"/>
      <c r="C6116" s="94"/>
      <c r="D6116" s="95"/>
      <c r="E6116" s="95"/>
      <c r="F6116" s="96"/>
      <c r="G6116" s="97"/>
      <c r="H6116" s="114" t="str">
        <f t="shared" si="85"/>
        <v/>
      </c>
      <c r="I6116" s="17"/>
      <c r="J6116" s="17"/>
      <c r="K6116" s="17"/>
    </row>
    <row r="6117" spans="1:11" x14ac:dyDescent="0.2">
      <c r="A6117" s="115"/>
      <c r="B6117" s="95"/>
      <c r="C6117" s="94"/>
      <c r="D6117" s="95"/>
      <c r="E6117" s="95"/>
      <c r="F6117" s="96"/>
      <c r="G6117" s="97"/>
      <c r="H6117" s="114" t="str">
        <f t="shared" si="85"/>
        <v/>
      </c>
      <c r="I6117" s="17"/>
      <c r="J6117" s="17"/>
      <c r="K6117" s="17"/>
    </row>
    <row r="6118" spans="1:11" x14ac:dyDescent="0.2">
      <c r="A6118" s="115"/>
      <c r="B6118" s="95"/>
      <c r="C6118" s="94"/>
      <c r="D6118" s="95"/>
      <c r="E6118" s="95"/>
      <c r="F6118" s="96"/>
      <c r="G6118" s="97"/>
      <c r="H6118" s="114" t="str">
        <f t="shared" si="85"/>
        <v/>
      </c>
      <c r="I6118" s="17"/>
      <c r="J6118" s="17"/>
      <c r="K6118" s="17"/>
    </row>
    <row r="6119" spans="1:11" x14ac:dyDescent="0.2">
      <c r="A6119" s="115"/>
      <c r="B6119" s="95"/>
      <c r="C6119" s="94"/>
      <c r="D6119" s="95"/>
      <c r="E6119" s="95"/>
      <c r="F6119" s="96"/>
      <c r="G6119" s="97"/>
      <c r="H6119" s="114" t="str">
        <f t="shared" si="85"/>
        <v/>
      </c>
      <c r="I6119" s="17"/>
      <c r="J6119" s="17"/>
      <c r="K6119" s="17"/>
    </row>
    <row r="6120" spans="1:11" x14ac:dyDescent="0.2">
      <c r="A6120" s="115"/>
      <c r="B6120" s="95"/>
      <c r="C6120" s="94"/>
      <c r="D6120" s="95"/>
      <c r="E6120" s="95"/>
      <c r="F6120" s="96"/>
      <c r="G6120" s="97"/>
      <c r="H6120" s="114" t="str">
        <f t="shared" si="85"/>
        <v/>
      </c>
      <c r="I6120" s="17"/>
      <c r="J6120" s="17"/>
      <c r="K6120" s="17"/>
    </row>
    <row r="6121" spans="1:11" x14ac:dyDescent="0.2">
      <c r="A6121" s="115"/>
      <c r="B6121" s="95"/>
      <c r="C6121" s="94"/>
      <c r="D6121" s="95"/>
      <c r="E6121" s="95"/>
      <c r="F6121" s="96"/>
      <c r="G6121" s="97"/>
      <c r="H6121" s="114" t="str">
        <f t="shared" si="85"/>
        <v/>
      </c>
      <c r="I6121" s="17"/>
      <c r="J6121" s="17"/>
      <c r="K6121" s="17"/>
    </row>
    <row r="6122" spans="1:11" x14ac:dyDescent="0.2">
      <c r="A6122" s="115"/>
      <c r="B6122" s="95"/>
      <c r="C6122" s="94"/>
      <c r="D6122" s="95"/>
      <c r="E6122" s="95"/>
      <c r="F6122" s="96"/>
      <c r="G6122" s="97"/>
      <c r="H6122" s="114" t="str">
        <f t="shared" si="85"/>
        <v/>
      </c>
      <c r="I6122" s="17"/>
      <c r="J6122" s="17"/>
      <c r="K6122" s="17"/>
    </row>
    <row r="6123" spans="1:11" x14ac:dyDescent="0.2">
      <c r="A6123" s="115"/>
      <c r="B6123" s="95"/>
      <c r="C6123" s="94"/>
      <c r="D6123" s="95"/>
      <c r="E6123" s="95"/>
      <c r="F6123" s="96"/>
      <c r="G6123" s="97"/>
      <c r="H6123" s="114" t="str">
        <f t="shared" si="85"/>
        <v/>
      </c>
      <c r="I6123" s="17"/>
      <c r="J6123" s="17"/>
      <c r="K6123" s="17"/>
    </row>
    <row r="6124" spans="1:11" x14ac:dyDescent="0.2">
      <c r="A6124" s="115"/>
      <c r="B6124" s="95"/>
      <c r="C6124" s="94"/>
      <c r="D6124" s="95"/>
      <c r="E6124" s="95"/>
      <c r="F6124" s="96"/>
      <c r="G6124" s="97"/>
      <c r="H6124" s="114" t="str">
        <f t="shared" si="85"/>
        <v/>
      </c>
      <c r="I6124" s="17"/>
      <c r="J6124" s="17"/>
      <c r="K6124" s="17"/>
    </row>
    <row r="6125" spans="1:11" x14ac:dyDescent="0.2">
      <c r="A6125" s="115"/>
      <c r="B6125" s="95"/>
      <c r="C6125" s="94"/>
      <c r="D6125" s="95"/>
      <c r="E6125" s="95"/>
      <c r="F6125" s="96"/>
      <c r="G6125" s="97"/>
      <c r="H6125" s="114" t="str">
        <f t="shared" si="85"/>
        <v/>
      </c>
      <c r="I6125" s="17"/>
      <c r="J6125" s="17"/>
      <c r="K6125" s="17"/>
    </row>
    <row r="6126" spans="1:11" x14ac:dyDescent="0.2">
      <c r="A6126" s="115"/>
      <c r="B6126" s="95"/>
      <c r="C6126" s="94"/>
      <c r="D6126" s="95"/>
      <c r="E6126" s="95"/>
      <c r="F6126" s="96"/>
      <c r="G6126" s="97"/>
      <c r="H6126" s="114" t="str">
        <f t="shared" si="85"/>
        <v/>
      </c>
      <c r="I6126" s="17"/>
      <c r="J6126" s="17"/>
      <c r="K6126" s="17"/>
    </row>
    <row r="6127" spans="1:11" x14ac:dyDescent="0.2">
      <c r="A6127" s="115"/>
      <c r="B6127" s="95"/>
      <c r="C6127" s="94"/>
      <c r="D6127" s="95"/>
      <c r="E6127" s="95"/>
      <c r="F6127" s="96"/>
      <c r="G6127" s="97"/>
      <c r="H6127" s="114" t="str">
        <f t="shared" si="85"/>
        <v/>
      </c>
      <c r="I6127" s="17"/>
      <c r="J6127" s="17"/>
      <c r="K6127" s="17"/>
    </row>
    <row r="6128" spans="1:11" x14ac:dyDescent="0.2">
      <c r="A6128" s="115"/>
      <c r="B6128" s="95"/>
      <c r="C6128" s="94"/>
      <c r="D6128" s="95"/>
      <c r="E6128" s="95"/>
      <c r="F6128" s="96"/>
      <c r="G6128" s="97"/>
      <c r="H6128" s="114" t="str">
        <f t="shared" si="85"/>
        <v/>
      </c>
      <c r="I6128" s="17"/>
      <c r="J6128" s="17"/>
      <c r="K6128" s="17"/>
    </row>
    <row r="6129" spans="1:11" x14ac:dyDescent="0.2">
      <c r="A6129" s="115"/>
      <c r="B6129" s="95"/>
      <c r="C6129" s="94"/>
      <c r="D6129" s="95"/>
      <c r="E6129" s="95"/>
      <c r="F6129" s="96"/>
      <c r="G6129" s="97"/>
      <c r="H6129" s="114" t="str">
        <f t="shared" si="85"/>
        <v/>
      </c>
      <c r="I6129" s="17"/>
      <c r="J6129" s="17"/>
      <c r="K6129" s="17"/>
    </row>
    <row r="6130" spans="1:11" x14ac:dyDescent="0.2">
      <c r="A6130" s="115"/>
      <c r="B6130" s="95"/>
      <c r="C6130" s="94"/>
      <c r="D6130" s="95"/>
      <c r="E6130" s="95"/>
      <c r="F6130" s="96"/>
      <c r="G6130" s="97"/>
      <c r="H6130" s="114" t="str">
        <f t="shared" si="85"/>
        <v/>
      </c>
      <c r="I6130" s="17"/>
      <c r="J6130" s="17"/>
      <c r="K6130" s="17"/>
    </row>
    <row r="6131" spans="1:11" x14ac:dyDescent="0.2">
      <c r="A6131" s="115"/>
      <c r="B6131" s="95"/>
      <c r="C6131" s="94"/>
      <c r="D6131" s="95"/>
      <c r="E6131" s="95"/>
      <c r="F6131" s="96"/>
      <c r="G6131" s="97"/>
      <c r="H6131" s="114" t="str">
        <f t="shared" si="85"/>
        <v/>
      </c>
      <c r="I6131" s="17"/>
      <c r="J6131" s="17"/>
      <c r="K6131" s="17"/>
    </row>
    <row r="6132" spans="1:11" x14ac:dyDescent="0.2">
      <c r="A6132" s="115"/>
      <c r="B6132" s="95"/>
      <c r="C6132" s="94"/>
      <c r="D6132" s="95"/>
      <c r="E6132" s="95"/>
      <c r="F6132" s="96"/>
      <c r="G6132" s="97"/>
      <c r="H6132" s="114" t="str">
        <f t="shared" si="85"/>
        <v/>
      </c>
      <c r="I6132" s="17"/>
      <c r="J6132" s="17"/>
      <c r="K6132" s="17"/>
    </row>
    <row r="6133" spans="1:11" x14ac:dyDescent="0.2">
      <c r="A6133" s="115"/>
      <c r="B6133" s="95"/>
      <c r="C6133" s="94"/>
      <c r="D6133" s="95"/>
      <c r="E6133" s="95"/>
      <c r="F6133" s="96"/>
      <c r="G6133" s="97"/>
      <c r="H6133" s="114" t="str">
        <f t="shared" si="85"/>
        <v/>
      </c>
      <c r="I6133" s="17"/>
      <c r="J6133" s="17"/>
      <c r="K6133" s="17"/>
    </row>
    <row r="6134" spans="1:11" x14ac:dyDescent="0.2">
      <c r="A6134" s="115"/>
      <c r="B6134" s="95"/>
      <c r="C6134" s="94"/>
      <c r="D6134" s="95"/>
      <c r="E6134" s="95"/>
      <c r="F6134" s="96"/>
      <c r="G6134" s="97"/>
      <c r="H6134" s="114" t="str">
        <f t="shared" si="85"/>
        <v/>
      </c>
      <c r="I6134" s="17"/>
      <c r="J6134" s="17"/>
      <c r="K6134" s="17"/>
    </row>
    <row r="6135" spans="1:11" x14ac:dyDescent="0.2">
      <c r="A6135" s="115"/>
      <c r="B6135" s="95"/>
      <c r="C6135" s="94"/>
      <c r="D6135" s="95"/>
      <c r="E6135" s="95"/>
      <c r="F6135" s="96"/>
      <c r="G6135" s="97"/>
      <c r="H6135" s="114" t="str">
        <f t="shared" si="85"/>
        <v/>
      </c>
      <c r="I6135" s="17"/>
      <c r="J6135" s="17"/>
      <c r="K6135" s="17"/>
    </row>
    <row r="6136" spans="1:11" x14ac:dyDescent="0.2">
      <c r="A6136" s="115"/>
      <c r="B6136" s="95"/>
      <c r="C6136" s="94"/>
      <c r="D6136" s="95"/>
      <c r="E6136" s="95"/>
      <c r="F6136" s="96"/>
      <c r="G6136" s="97"/>
      <c r="H6136" s="114" t="str">
        <f t="shared" si="85"/>
        <v/>
      </c>
      <c r="I6136" s="17"/>
      <c r="J6136" s="17"/>
      <c r="K6136" s="17"/>
    </row>
    <row r="6137" spans="1:11" x14ac:dyDescent="0.2">
      <c r="A6137" s="115"/>
      <c r="B6137" s="95"/>
      <c r="C6137" s="94"/>
      <c r="D6137" s="95"/>
      <c r="E6137" s="95"/>
      <c r="F6137" s="96"/>
      <c r="G6137" s="97"/>
      <c r="H6137" s="114" t="str">
        <f t="shared" si="85"/>
        <v/>
      </c>
      <c r="I6137" s="17"/>
      <c r="J6137" s="17"/>
      <c r="K6137" s="17"/>
    </row>
    <row r="6138" spans="1:11" x14ac:dyDescent="0.2">
      <c r="A6138" s="115"/>
      <c r="B6138" s="95"/>
      <c r="C6138" s="94"/>
      <c r="D6138" s="95"/>
      <c r="E6138" s="95"/>
      <c r="F6138" s="96"/>
      <c r="G6138" s="97"/>
      <c r="H6138" s="114" t="str">
        <f t="shared" si="85"/>
        <v/>
      </c>
      <c r="I6138" s="17"/>
      <c r="J6138" s="17"/>
      <c r="K6138" s="17"/>
    </row>
    <row r="6139" spans="1:11" x14ac:dyDescent="0.2">
      <c r="A6139" s="115"/>
      <c r="B6139" s="95"/>
      <c r="C6139" s="94"/>
      <c r="D6139" s="95"/>
      <c r="E6139" s="95"/>
      <c r="F6139" s="96"/>
      <c r="G6139" s="97"/>
      <c r="H6139" s="114" t="str">
        <f t="shared" si="85"/>
        <v/>
      </c>
      <c r="I6139" s="17"/>
      <c r="J6139" s="17"/>
      <c r="K6139" s="17"/>
    </row>
    <row r="6140" spans="1:11" x14ac:dyDescent="0.2">
      <c r="A6140" s="115"/>
      <c r="B6140" s="95"/>
      <c r="C6140" s="94"/>
      <c r="D6140" s="95"/>
      <c r="E6140" s="95"/>
      <c r="F6140" s="96"/>
      <c r="G6140" s="97"/>
      <c r="H6140" s="114" t="str">
        <f t="shared" si="85"/>
        <v/>
      </c>
      <c r="I6140" s="17"/>
      <c r="J6140" s="17"/>
      <c r="K6140" s="17"/>
    </row>
    <row r="6141" spans="1:11" x14ac:dyDescent="0.2">
      <c r="A6141" s="115"/>
      <c r="B6141" s="95"/>
      <c r="C6141" s="94"/>
      <c r="D6141" s="95"/>
      <c r="E6141" s="95"/>
      <c r="F6141" s="96"/>
      <c r="G6141" s="97"/>
      <c r="H6141" s="114" t="str">
        <f t="shared" si="85"/>
        <v/>
      </c>
      <c r="I6141" s="17"/>
      <c r="J6141" s="17"/>
      <c r="K6141" s="17"/>
    </row>
    <row r="6142" spans="1:11" x14ac:dyDescent="0.2">
      <c r="A6142" s="115"/>
      <c r="B6142" s="95"/>
      <c r="C6142" s="94"/>
      <c r="D6142" s="95"/>
      <c r="E6142" s="95"/>
      <c r="F6142" s="96"/>
      <c r="G6142" s="97"/>
      <c r="H6142" s="114" t="str">
        <f t="shared" si="85"/>
        <v/>
      </c>
      <c r="I6142" s="17"/>
      <c r="J6142" s="17"/>
      <c r="K6142" s="17"/>
    </row>
    <row r="6143" spans="1:11" x14ac:dyDescent="0.2">
      <c r="A6143" s="115"/>
      <c r="B6143" s="95"/>
      <c r="C6143" s="94"/>
      <c r="D6143" s="95"/>
      <c r="E6143" s="95"/>
      <c r="F6143" s="96"/>
      <c r="G6143" s="97"/>
      <c r="H6143" s="114" t="str">
        <f t="shared" si="85"/>
        <v/>
      </c>
      <c r="I6143" s="17"/>
      <c r="J6143" s="17"/>
      <c r="K6143" s="17"/>
    </row>
    <row r="6144" spans="1:11" x14ac:dyDescent="0.2">
      <c r="A6144" s="115"/>
      <c r="B6144" s="95"/>
      <c r="C6144" s="94"/>
      <c r="D6144" s="95"/>
      <c r="E6144" s="95"/>
      <c r="F6144" s="96"/>
      <c r="G6144" s="97"/>
      <c r="H6144" s="114" t="str">
        <f t="shared" si="85"/>
        <v/>
      </c>
      <c r="I6144" s="17"/>
      <c r="J6144" s="17"/>
      <c r="K6144" s="17"/>
    </row>
    <row r="6145" spans="1:11" x14ac:dyDescent="0.2">
      <c r="A6145" s="115"/>
      <c r="B6145" s="95"/>
      <c r="C6145" s="94"/>
      <c r="D6145" s="95"/>
      <c r="E6145" s="95"/>
      <c r="F6145" s="96"/>
      <c r="G6145" s="97"/>
      <c r="H6145" s="114" t="str">
        <f t="shared" si="85"/>
        <v/>
      </c>
      <c r="I6145" s="17"/>
      <c r="J6145" s="17"/>
      <c r="K6145" s="17"/>
    </row>
    <row r="6146" spans="1:11" x14ac:dyDescent="0.2">
      <c r="A6146" s="115"/>
      <c r="B6146" s="95"/>
      <c r="C6146" s="94"/>
      <c r="D6146" s="95"/>
      <c r="E6146" s="95"/>
      <c r="F6146" s="96"/>
      <c r="G6146" s="97"/>
      <c r="H6146" s="114" t="str">
        <f t="shared" si="85"/>
        <v/>
      </c>
      <c r="I6146" s="17"/>
      <c r="J6146" s="17"/>
      <c r="K6146" s="17"/>
    </row>
    <row r="6147" spans="1:11" x14ac:dyDescent="0.2">
      <c r="A6147" s="115"/>
      <c r="B6147" s="95"/>
      <c r="C6147" s="94"/>
      <c r="D6147" s="95"/>
      <c r="E6147" s="95"/>
      <c r="F6147" s="96"/>
      <c r="G6147" s="97"/>
      <c r="H6147" s="114" t="str">
        <f t="shared" si="85"/>
        <v/>
      </c>
      <c r="I6147" s="17"/>
      <c r="J6147" s="17"/>
      <c r="K6147" s="17"/>
    </row>
    <row r="6148" spans="1:11" x14ac:dyDescent="0.2">
      <c r="A6148" s="115"/>
      <c r="B6148" s="95"/>
      <c r="C6148" s="94"/>
      <c r="D6148" s="95"/>
      <c r="E6148" s="95"/>
      <c r="F6148" s="96"/>
      <c r="G6148" s="97"/>
      <c r="H6148" s="114" t="str">
        <f t="shared" ref="H6148:H6211" si="86">IF(A6148&lt;&gt;"", EOMONTH(A6148, -1) + 1, "")</f>
        <v/>
      </c>
      <c r="I6148" s="17"/>
      <c r="J6148" s="17"/>
      <c r="K6148" s="17"/>
    </row>
    <row r="6149" spans="1:11" x14ac:dyDescent="0.2">
      <c r="A6149" s="115"/>
      <c r="B6149" s="95"/>
      <c r="C6149" s="94"/>
      <c r="D6149" s="95"/>
      <c r="E6149" s="95"/>
      <c r="F6149" s="96"/>
      <c r="G6149" s="97"/>
      <c r="H6149" s="114" t="str">
        <f t="shared" si="86"/>
        <v/>
      </c>
      <c r="I6149" s="17"/>
      <c r="J6149" s="17"/>
      <c r="K6149" s="17"/>
    </row>
    <row r="6150" spans="1:11" x14ac:dyDescent="0.2">
      <c r="A6150" s="115"/>
      <c r="B6150" s="95"/>
      <c r="C6150" s="94"/>
      <c r="D6150" s="95"/>
      <c r="E6150" s="95"/>
      <c r="F6150" s="96"/>
      <c r="G6150" s="97"/>
      <c r="H6150" s="114" t="str">
        <f t="shared" si="86"/>
        <v/>
      </c>
      <c r="I6150" s="17"/>
      <c r="J6150" s="17"/>
      <c r="K6150" s="17"/>
    </row>
    <row r="6151" spans="1:11" x14ac:dyDescent="0.2">
      <c r="A6151" s="115"/>
      <c r="B6151" s="95"/>
      <c r="C6151" s="94"/>
      <c r="D6151" s="95"/>
      <c r="E6151" s="95"/>
      <c r="F6151" s="96"/>
      <c r="G6151" s="97"/>
      <c r="H6151" s="114" t="str">
        <f t="shared" si="86"/>
        <v/>
      </c>
      <c r="I6151" s="17"/>
      <c r="J6151" s="17"/>
      <c r="K6151" s="17"/>
    </row>
    <row r="6152" spans="1:11" x14ac:dyDescent="0.2">
      <c r="A6152" s="115"/>
      <c r="B6152" s="95"/>
      <c r="C6152" s="94"/>
      <c r="D6152" s="95"/>
      <c r="E6152" s="95"/>
      <c r="F6152" s="96"/>
      <c r="G6152" s="97"/>
      <c r="H6152" s="114" t="str">
        <f t="shared" si="86"/>
        <v/>
      </c>
      <c r="I6152" s="17"/>
      <c r="J6152" s="17"/>
      <c r="K6152" s="17"/>
    </row>
    <row r="6153" spans="1:11" x14ac:dyDescent="0.2">
      <c r="A6153" s="115"/>
      <c r="B6153" s="95"/>
      <c r="C6153" s="94"/>
      <c r="D6153" s="95"/>
      <c r="E6153" s="95"/>
      <c r="F6153" s="96"/>
      <c r="G6153" s="97"/>
      <c r="H6153" s="114" t="str">
        <f t="shared" si="86"/>
        <v/>
      </c>
      <c r="I6153" s="17"/>
      <c r="J6153" s="17"/>
      <c r="K6153" s="17"/>
    </row>
    <row r="6154" spans="1:11" x14ac:dyDescent="0.2">
      <c r="A6154" s="115"/>
      <c r="B6154" s="95"/>
      <c r="C6154" s="94"/>
      <c r="D6154" s="95"/>
      <c r="E6154" s="95"/>
      <c r="F6154" s="96"/>
      <c r="G6154" s="97"/>
      <c r="H6154" s="114" t="str">
        <f t="shared" si="86"/>
        <v/>
      </c>
      <c r="I6154" s="17"/>
      <c r="J6154" s="17"/>
      <c r="K6154" s="17"/>
    </row>
    <row r="6155" spans="1:11" x14ac:dyDescent="0.2">
      <c r="A6155" s="115"/>
      <c r="B6155" s="95"/>
      <c r="C6155" s="94"/>
      <c r="D6155" s="95"/>
      <c r="E6155" s="95"/>
      <c r="F6155" s="96"/>
      <c r="G6155" s="97"/>
      <c r="H6155" s="114" t="str">
        <f t="shared" si="86"/>
        <v/>
      </c>
      <c r="I6155" s="17"/>
      <c r="J6155" s="17"/>
      <c r="K6155" s="17"/>
    </row>
    <row r="6156" spans="1:11" x14ac:dyDescent="0.2">
      <c r="A6156" s="115"/>
      <c r="B6156" s="95"/>
      <c r="C6156" s="94"/>
      <c r="D6156" s="95"/>
      <c r="E6156" s="95"/>
      <c r="F6156" s="96"/>
      <c r="G6156" s="97"/>
      <c r="H6156" s="114" t="str">
        <f t="shared" si="86"/>
        <v/>
      </c>
      <c r="I6156" s="17"/>
      <c r="J6156" s="17"/>
      <c r="K6156" s="17"/>
    </row>
    <row r="6157" spans="1:11" x14ac:dyDescent="0.2">
      <c r="A6157" s="115"/>
      <c r="B6157" s="95"/>
      <c r="C6157" s="94"/>
      <c r="D6157" s="95"/>
      <c r="E6157" s="95"/>
      <c r="F6157" s="96"/>
      <c r="G6157" s="97"/>
      <c r="H6157" s="114" t="str">
        <f t="shared" si="86"/>
        <v/>
      </c>
      <c r="I6157" s="17"/>
      <c r="J6157" s="17"/>
      <c r="K6157" s="17"/>
    </row>
    <row r="6158" spans="1:11" x14ac:dyDescent="0.2">
      <c r="A6158" s="115"/>
      <c r="B6158" s="95"/>
      <c r="C6158" s="94"/>
      <c r="D6158" s="95"/>
      <c r="E6158" s="95"/>
      <c r="F6158" s="96"/>
      <c r="G6158" s="97"/>
      <c r="H6158" s="114" t="str">
        <f t="shared" si="86"/>
        <v/>
      </c>
      <c r="I6158" s="17"/>
      <c r="J6158" s="17"/>
      <c r="K6158" s="17"/>
    </row>
    <row r="6159" spans="1:11" x14ac:dyDescent="0.2">
      <c r="A6159" s="115"/>
      <c r="B6159" s="95"/>
      <c r="C6159" s="94"/>
      <c r="D6159" s="95"/>
      <c r="E6159" s="95"/>
      <c r="F6159" s="96"/>
      <c r="G6159" s="97"/>
      <c r="H6159" s="114" t="str">
        <f t="shared" si="86"/>
        <v/>
      </c>
      <c r="I6159" s="17"/>
      <c r="J6159" s="17"/>
      <c r="K6159" s="17"/>
    </row>
    <row r="6160" spans="1:11" x14ac:dyDescent="0.2">
      <c r="A6160" s="115"/>
      <c r="B6160" s="95"/>
      <c r="C6160" s="94"/>
      <c r="D6160" s="95"/>
      <c r="E6160" s="95"/>
      <c r="F6160" s="96"/>
      <c r="G6160" s="97"/>
      <c r="H6160" s="114" t="str">
        <f t="shared" si="86"/>
        <v/>
      </c>
      <c r="I6160" s="17"/>
      <c r="J6160" s="17"/>
      <c r="K6160" s="17"/>
    </row>
    <row r="6161" spans="1:11" x14ac:dyDescent="0.2">
      <c r="A6161" s="115"/>
      <c r="B6161" s="95"/>
      <c r="C6161" s="94"/>
      <c r="D6161" s="95"/>
      <c r="E6161" s="95"/>
      <c r="F6161" s="96"/>
      <c r="G6161" s="97"/>
      <c r="H6161" s="114" t="str">
        <f t="shared" si="86"/>
        <v/>
      </c>
      <c r="I6161" s="17"/>
      <c r="J6161" s="17"/>
      <c r="K6161" s="17"/>
    </row>
    <row r="6162" spans="1:11" x14ac:dyDescent="0.2">
      <c r="A6162" s="115"/>
      <c r="B6162" s="95"/>
      <c r="C6162" s="94"/>
      <c r="D6162" s="95"/>
      <c r="E6162" s="95"/>
      <c r="F6162" s="96"/>
      <c r="G6162" s="97"/>
      <c r="H6162" s="114" t="str">
        <f t="shared" si="86"/>
        <v/>
      </c>
      <c r="I6162" s="17"/>
      <c r="J6162" s="17"/>
      <c r="K6162" s="17"/>
    </row>
    <row r="6163" spans="1:11" x14ac:dyDescent="0.2">
      <c r="A6163" s="115"/>
      <c r="B6163" s="95"/>
      <c r="C6163" s="94"/>
      <c r="D6163" s="95"/>
      <c r="E6163" s="95"/>
      <c r="F6163" s="96"/>
      <c r="G6163" s="97"/>
      <c r="H6163" s="114" t="str">
        <f t="shared" si="86"/>
        <v/>
      </c>
      <c r="I6163" s="17"/>
      <c r="J6163" s="17"/>
      <c r="K6163" s="17"/>
    </row>
    <row r="6164" spans="1:11" x14ac:dyDescent="0.2">
      <c r="A6164" s="115"/>
      <c r="B6164" s="112"/>
      <c r="C6164" s="94"/>
      <c r="D6164" s="95"/>
      <c r="E6164" s="95"/>
      <c r="F6164" s="96"/>
      <c r="G6164" s="97"/>
      <c r="H6164" s="114" t="str">
        <f t="shared" si="86"/>
        <v/>
      </c>
      <c r="I6164" s="17"/>
      <c r="J6164" s="17"/>
      <c r="K6164" s="17"/>
    </row>
    <row r="6165" spans="1:11" x14ac:dyDescent="0.2">
      <c r="A6165" s="115"/>
      <c r="B6165" s="112"/>
      <c r="C6165" s="94"/>
      <c r="D6165" s="95"/>
      <c r="E6165" s="95"/>
      <c r="F6165" s="96"/>
      <c r="G6165" s="97"/>
      <c r="H6165" s="114" t="str">
        <f t="shared" si="86"/>
        <v/>
      </c>
      <c r="I6165" s="17"/>
      <c r="J6165" s="17"/>
      <c r="K6165" s="17"/>
    </row>
    <row r="6166" spans="1:11" x14ac:dyDescent="0.2">
      <c r="A6166" s="115"/>
      <c r="B6166" s="112"/>
      <c r="C6166" s="94"/>
      <c r="D6166" s="95"/>
      <c r="E6166" s="95"/>
      <c r="F6166" s="96"/>
      <c r="G6166" s="97"/>
      <c r="H6166" s="114" t="str">
        <f t="shared" si="86"/>
        <v/>
      </c>
      <c r="I6166" s="17"/>
      <c r="J6166" s="17"/>
      <c r="K6166" s="17"/>
    </row>
    <row r="6167" spans="1:11" x14ac:dyDescent="0.2">
      <c r="A6167" s="115"/>
      <c r="B6167" s="112"/>
      <c r="C6167" s="94"/>
      <c r="D6167" s="95"/>
      <c r="E6167" s="95"/>
      <c r="F6167" s="96"/>
      <c r="G6167" s="97"/>
      <c r="H6167" s="114" t="str">
        <f t="shared" si="86"/>
        <v/>
      </c>
      <c r="I6167" s="17"/>
      <c r="J6167" s="17"/>
      <c r="K6167" s="17"/>
    </row>
    <row r="6168" spans="1:11" x14ac:dyDescent="0.2">
      <c r="A6168" s="115"/>
      <c r="B6168" s="112"/>
      <c r="C6168" s="94"/>
      <c r="D6168" s="95"/>
      <c r="E6168" s="95"/>
      <c r="F6168" s="96"/>
      <c r="G6168" s="97"/>
      <c r="H6168" s="114" t="str">
        <f t="shared" si="86"/>
        <v/>
      </c>
      <c r="I6168" s="17"/>
      <c r="J6168" s="17"/>
      <c r="K6168" s="17"/>
    </row>
    <row r="6169" spans="1:11" x14ac:dyDescent="0.2">
      <c r="A6169" s="115"/>
      <c r="B6169" s="112"/>
      <c r="C6169" s="94"/>
      <c r="D6169" s="95"/>
      <c r="E6169" s="95"/>
      <c r="F6169" s="96"/>
      <c r="G6169" s="97"/>
      <c r="H6169" s="114" t="str">
        <f t="shared" si="86"/>
        <v/>
      </c>
      <c r="I6169" s="17"/>
      <c r="J6169" s="17"/>
      <c r="K6169" s="17"/>
    </row>
    <row r="6170" spans="1:11" x14ac:dyDescent="0.2">
      <c r="A6170" s="115"/>
      <c r="B6170" s="112"/>
      <c r="C6170" s="94"/>
      <c r="D6170" s="95"/>
      <c r="E6170" s="95"/>
      <c r="F6170" s="96"/>
      <c r="G6170" s="97"/>
      <c r="H6170" s="114" t="str">
        <f t="shared" si="86"/>
        <v/>
      </c>
      <c r="I6170" s="17"/>
      <c r="J6170" s="17"/>
      <c r="K6170" s="17"/>
    </row>
    <row r="6171" spans="1:11" x14ac:dyDescent="0.2">
      <c r="A6171" s="115"/>
      <c r="B6171" s="112"/>
      <c r="C6171" s="94"/>
      <c r="D6171" s="95"/>
      <c r="E6171" s="95"/>
      <c r="F6171" s="96"/>
      <c r="G6171" s="97"/>
      <c r="H6171" s="114" t="str">
        <f t="shared" si="86"/>
        <v/>
      </c>
      <c r="I6171" s="17"/>
      <c r="J6171" s="17"/>
      <c r="K6171" s="17"/>
    </row>
    <row r="6172" spans="1:11" x14ac:dyDescent="0.2">
      <c r="A6172" s="115"/>
      <c r="B6172" s="112"/>
      <c r="C6172" s="94"/>
      <c r="D6172" s="95"/>
      <c r="E6172" s="95"/>
      <c r="F6172" s="96"/>
      <c r="G6172" s="97"/>
      <c r="H6172" s="114" t="str">
        <f t="shared" si="86"/>
        <v/>
      </c>
      <c r="I6172" s="17"/>
      <c r="J6172" s="17"/>
      <c r="K6172" s="17"/>
    </row>
    <row r="6173" spans="1:11" x14ac:dyDescent="0.2">
      <c r="A6173" s="115"/>
      <c r="B6173" s="112"/>
      <c r="C6173" s="94"/>
      <c r="D6173" s="95"/>
      <c r="E6173" s="95"/>
      <c r="F6173" s="96"/>
      <c r="G6173" s="97"/>
      <c r="H6173" s="114" t="str">
        <f t="shared" si="86"/>
        <v/>
      </c>
      <c r="I6173" s="17"/>
      <c r="J6173" s="17"/>
      <c r="K6173" s="17"/>
    </row>
    <row r="6174" spans="1:11" x14ac:dyDescent="0.2">
      <c r="A6174" s="115"/>
      <c r="B6174" s="112"/>
      <c r="C6174" s="94"/>
      <c r="D6174" s="95"/>
      <c r="E6174" s="95"/>
      <c r="F6174" s="96"/>
      <c r="G6174" s="97"/>
      <c r="H6174" s="114" t="str">
        <f t="shared" si="86"/>
        <v/>
      </c>
      <c r="I6174" s="17"/>
      <c r="J6174" s="17"/>
      <c r="K6174" s="17"/>
    </row>
    <row r="6175" spans="1:11" x14ac:dyDescent="0.2">
      <c r="A6175" s="115"/>
      <c r="B6175" s="112"/>
      <c r="C6175" s="94"/>
      <c r="D6175" s="95"/>
      <c r="E6175" s="95"/>
      <c r="F6175" s="96"/>
      <c r="G6175" s="97"/>
      <c r="H6175" s="114" t="str">
        <f t="shared" si="86"/>
        <v/>
      </c>
      <c r="I6175" s="17"/>
      <c r="J6175" s="17"/>
      <c r="K6175" s="17"/>
    </row>
    <row r="6176" spans="1:11" x14ac:dyDescent="0.2">
      <c r="A6176" s="115"/>
      <c r="B6176" s="112"/>
      <c r="C6176" s="94"/>
      <c r="D6176" s="95"/>
      <c r="E6176" s="95"/>
      <c r="F6176" s="96"/>
      <c r="G6176" s="97"/>
      <c r="H6176" s="114" t="str">
        <f t="shared" si="86"/>
        <v/>
      </c>
      <c r="I6176" s="17"/>
      <c r="J6176" s="17"/>
      <c r="K6176" s="17"/>
    </row>
    <row r="6177" spans="1:11" x14ac:dyDescent="0.2">
      <c r="A6177" s="115"/>
      <c r="B6177" s="112"/>
      <c r="C6177" s="94"/>
      <c r="D6177" s="95"/>
      <c r="E6177" s="95"/>
      <c r="F6177" s="96"/>
      <c r="G6177" s="97"/>
      <c r="H6177" s="114" t="str">
        <f t="shared" si="86"/>
        <v/>
      </c>
      <c r="I6177" s="17"/>
      <c r="J6177" s="17"/>
      <c r="K6177" s="17"/>
    </row>
    <row r="6178" spans="1:11" x14ac:dyDescent="0.2">
      <c r="A6178" s="115"/>
      <c r="B6178" s="112"/>
      <c r="C6178" s="94"/>
      <c r="D6178" s="95"/>
      <c r="E6178" s="95"/>
      <c r="F6178" s="96"/>
      <c r="G6178" s="97"/>
      <c r="H6178" s="114" t="str">
        <f t="shared" si="86"/>
        <v/>
      </c>
      <c r="I6178" s="17"/>
      <c r="J6178" s="17"/>
      <c r="K6178" s="17"/>
    </row>
    <row r="6179" spans="1:11" x14ac:dyDescent="0.2">
      <c r="A6179" s="115"/>
      <c r="B6179" s="112"/>
      <c r="C6179" s="94"/>
      <c r="D6179" s="95"/>
      <c r="E6179" s="95"/>
      <c r="F6179" s="96"/>
      <c r="G6179" s="97"/>
      <c r="H6179" s="114" t="str">
        <f t="shared" si="86"/>
        <v/>
      </c>
      <c r="I6179" s="17"/>
      <c r="J6179" s="17"/>
      <c r="K6179" s="17"/>
    </row>
    <row r="6180" spans="1:11" x14ac:dyDescent="0.2">
      <c r="A6180" s="115"/>
      <c r="B6180" s="112"/>
      <c r="C6180" s="94"/>
      <c r="D6180" s="95"/>
      <c r="E6180" s="95"/>
      <c r="F6180" s="96"/>
      <c r="G6180" s="97"/>
      <c r="H6180" s="114" t="str">
        <f t="shared" si="86"/>
        <v/>
      </c>
      <c r="I6180" s="17"/>
      <c r="J6180" s="17"/>
      <c r="K6180" s="17"/>
    </row>
    <row r="6181" spans="1:11" x14ac:dyDescent="0.2">
      <c r="A6181" s="115"/>
      <c r="B6181" s="95"/>
      <c r="C6181" s="94"/>
      <c r="D6181" s="95"/>
      <c r="E6181" s="95"/>
      <c r="F6181" s="96"/>
      <c r="G6181" s="100"/>
      <c r="H6181" s="114" t="str">
        <f t="shared" si="86"/>
        <v/>
      </c>
      <c r="I6181" s="17"/>
      <c r="J6181" s="17"/>
      <c r="K6181" s="17"/>
    </row>
    <row r="6182" spans="1:11" x14ac:dyDescent="0.2">
      <c r="A6182" s="115"/>
      <c r="B6182" s="95"/>
      <c r="C6182" s="94"/>
      <c r="D6182" s="95"/>
      <c r="E6182" s="95"/>
      <c r="F6182" s="96"/>
      <c r="G6182" s="100"/>
      <c r="H6182" s="114" t="str">
        <f t="shared" si="86"/>
        <v/>
      </c>
      <c r="I6182" s="17"/>
      <c r="J6182" s="17"/>
      <c r="K6182" s="17"/>
    </row>
    <row r="6183" spans="1:11" x14ac:dyDescent="0.2">
      <c r="A6183" s="115"/>
      <c r="B6183" s="95"/>
      <c r="C6183" s="94"/>
      <c r="D6183" s="95"/>
      <c r="E6183" s="95"/>
      <c r="F6183" s="96"/>
      <c r="G6183" s="100"/>
      <c r="H6183" s="114" t="str">
        <f t="shared" si="86"/>
        <v/>
      </c>
      <c r="I6183" s="17"/>
      <c r="J6183" s="17"/>
      <c r="K6183" s="17"/>
    </row>
    <row r="6184" spans="1:11" x14ac:dyDescent="0.2">
      <c r="A6184" s="115"/>
      <c r="B6184" s="95"/>
      <c r="C6184" s="94"/>
      <c r="D6184" s="95"/>
      <c r="E6184" s="95"/>
      <c r="F6184" s="96"/>
      <c r="G6184" s="100"/>
      <c r="H6184" s="114" t="str">
        <f t="shared" si="86"/>
        <v/>
      </c>
      <c r="I6184" s="17"/>
      <c r="J6184" s="17"/>
      <c r="K6184" s="17"/>
    </row>
    <row r="6185" spans="1:11" x14ac:dyDescent="0.2">
      <c r="A6185" s="115"/>
      <c r="B6185" s="95"/>
      <c r="C6185" s="94"/>
      <c r="D6185" s="95"/>
      <c r="E6185" s="95"/>
      <c r="F6185" s="96"/>
      <c r="G6185" s="100"/>
      <c r="H6185" s="114" t="str">
        <f t="shared" si="86"/>
        <v/>
      </c>
      <c r="I6185" s="17"/>
      <c r="J6185" s="17"/>
      <c r="K6185" s="17"/>
    </row>
    <row r="6186" spans="1:11" x14ac:dyDescent="0.2">
      <c r="A6186" s="115"/>
      <c r="B6186" s="95"/>
      <c r="C6186" s="94"/>
      <c r="D6186" s="95"/>
      <c r="E6186" s="95"/>
      <c r="F6186" s="96"/>
      <c r="G6186" s="100"/>
      <c r="H6186" s="114" t="str">
        <f t="shared" si="86"/>
        <v/>
      </c>
      <c r="I6186" s="17"/>
      <c r="J6186" s="17"/>
      <c r="K6186" s="17"/>
    </row>
    <row r="6187" spans="1:11" x14ac:dyDescent="0.2">
      <c r="A6187" s="115"/>
      <c r="B6187" s="95"/>
      <c r="C6187" s="94"/>
      <c r="D6187" s="95"/>
      <c r="E6187" s="95"/>
      <c r="F6187" s="96"/>
      <c r="G6187" s="100"/>
      <c r="H6187" s="114" t="str">
        <f t="shared" si="86"/>
        <v/>
      </c>
      <c r="I6187" s="17"/>
      <c r="J6187" s="17"/>
      <c r="K6187" s="17"/>
    </row>
    <row r="6188" spans="1:11" x14ac:dyDescent="0.2">
      <c r="A6188" s="115"/>
      <c r="B6188" s="95"/>
      <c r="C6188" s="94"/>
      <c r="D6188" s="95"/>
      <c r="E6188" s="95"/>
      <c r="F6188" s="96"/>
      <c r="G6188" s="97"/>
      <c r="H6188" s="114" t="str">
        <f t="shared" si="86"/>
        <v/>
      </c>
      <c r="I6188" s="17"/>
      <c r="J6188" s="17"/>
      <c r="K6188" s="17"/>
    </row>
    <row r="6189" spans="1:11" x14ac:dyDescent="0.2">
      <c r="A6189" s="115"/>
      <c r="B6189" s="95"/>
      <c r="C6189" s="94"/>
      <c r="D6189" s="95"/>
      <c r="E6189" s="95"/>
      <c r="F6189" s="96"/>
      <c r="G6189" s="97"/>
      <c r="H6189" s="114" t="str">
        <f t="shared" si="86"/>
        <v/>
      </c>
      <c r="I6189" s="17"/>
      <c r="J6189" s="17"/>
      <c r="K6189" s="17"/>
    </row>
    <row r="6190" spans="1:11" x14ac:dyDescent="0.2">
      <c r="A6190" s="115"/>
      <c r="B6190" s="95"/>
      <c r="C6190" s="94"/>
      <c r="D6190" s="95"/>
      <c r="E6190" s="95"/>
      <c r="F6190" s="96"/>
      <c r="G6190" s="97"/>
      <c r="H6190" s="114" t="str">
        <f t="shared" si="86"/>
        <v/>
      </c>
      <c r="I6190" s="17"/>
      <c r="J6190" s="17"/>
      <c r="K6190" s="17"/>
    </row>
    <row r="6191" spans="1:11" x14ac:dyDescent="0.2">
      <c r="A6191" s="115"/>
      <c r="B6191" s="95"/>
      <c r="C6191" s="94"/>
      <c r="D6191" s="95"/>
      <c r="E6191" s="95"/>
      <c r="F6191" s="96"/>
      <c r="G6191" s="97"/>
      <c r="H6191" s="114" t="str">
        <f t="shared" si="86"/>
        <v/>
      </c>
      <c r="I6191" s="17"/>
      <c r="J6191" s="17"/>
      <c r="K6191" s="17"/>
    </row>
    <row r="6192" spans="1:11" x14ac:dyDescent="0.2">
      <c r="A6192" s="115"/>
      <c r="B6192" s="95"/>
      <c r="C6192" s="94"/>
      <c r="D6192" s="95"/>
      <c r="E6192" s="95"/>
      <c r="F6192" s="96"/>
      <c r="G6192" s="97"/>
      <c r="H6192" s="114" t="str">
        <f t="shared" si="86"/>
        <v/>
      </c>
      <c r="I6192" s="17"/>
      <c r="J6192" s="17"/>
      <c r="K6192" s="17"/>
    </row>
    <row r="6193" spans="1:11" x14ac:dyDescent="0.2">
      <c r="A6193" s="115"/>
      <c r="B6193" s="95"/>
      <c r="C6193" s="94"/>
      <c r="D6193" s="95"/>
      <c r="E6193" s="95"/>
      <c r="F6193" s="96"/>
      <c r="G6193" s="97"/>
      <c r="H6193" s="114" t="str">
        <f t="shared" si="86"/>
        <v/>
      </c>
      <c r="I6193" s="17"/>
      <c r="J6193" s="17"/>
      <c r="K6193" s="17"/>
    </row>
    <row r="6194" spans="1:11" x14ac:dyDescent="0.2">
      <c r="A6194" s="115"/>
      <c r="B6194" s="95"/>
      <c r="C6194" s="94"/>
      <c r="D6194" s="95"/>
      <c r="E6194" s="95"/>
      <c r="F6194" s="96"/>
      <c r="G6194" s="97"/>
      <c r="H6194" s="114" t="str">
        <f t="shared" si="86"/>
        <v/>
      </c>
      <c r="I6194" s="17"/>
      <c r="J6194" s="17"/>
      <c r="K6194" s="17"/>
    </row>
    <row r="6195" spans="1:11" x14ac:dyDescent="0.2">
      <c r="A6195" s="115"/>
      <c r="B6195" s="95"/>
      <c r="C6195" s="94"/>
      <c r="D6195" s="95"/>
      <c r="E6195" s="95"/>
      <c r="F6195" s="96"/>
      <c r="G6195" s="97"/>
      <c r="H6195" s="114" t="str">
        <f t="shared" si="86"/>
        <v/>
      </c>
      <c r="I6195" s="17"/>
      <c r="J6195" s="17"/>
      <c r="K6195" s="17"/>
    </row>
    <row r="6196" spans="1:11" x14ac:dyDescent="0.2">
      <c r="A6196" s="115"/>
      <c r="B6196" s="95"/>
      <c r="C6196" s="94"/>
      <c r="D6196" s="95"/>
      <c r="E6196" s="95"/>
      <c r="F6196" s="96"/>
      <c r="G6196" s="97"/>
      <c r="H6196" s="114" t="str">
        <f t="shared" si="86"/>
        <v/>
      </c>
      <c r="I6196" s="17"/>
      <c r="J6196" s="17"/>
      <c r="K6196" s="17"/>
    </row>
    <row r="6197" spans="1:11" x14ac:dyDescent="0.2">
      <c r="A6197" s="115"/>
      <c r="B6197" s="95"/>
      <c r="C6197" s="94"/>
      <c r="D6197" s="95"/>
      <c r="E6197" s="95"/>
      <c r="F6197" s="96"/>
      <c r="G6197" s="97"/>
      <c r="H6197" s="114" t="str">
        <f t="shared" si="86"/>
        <v/>
      </c>
      <c r="I6197" s="17"/>
      <c r="J6197" s="17"/>
      <c r="K6197" s="17"/>
    </row>
    <row r="6198" spans="1:11" x14ac:dyDescent="0.2">
      <c r="A6198" s="115"/>
      <c r="B6198" s="95"/>
      <c r="C6198" s="94"/>
      <c r="D6198" s="95"/>
      <c r="E6198" s="95"/>
      <c r="F6198" s="96"/>
      <c r="G6198" s="97"/>
      <c r="H6198" s="114" t="str">
        <f t="shared" si="86"/>
        <v/>
      </c>
      <c r="I6198" s="17"/>
      <c r="J6198" s="17"/>
      <c r="K6198" s="17"/>
    </row>
    <row r="6199" spans="1:11" x14ac:dyDescent="0.2">
      <c r="A6199" s="115"/>
      <c r="B6199" s="95"/>
      <c r="C6199" s="94"/>
      <c r="D6199" s="95"/>
      <c r="E6199" s="95"/>
      <c r="F6199" s="96"/>
      <c r="G6199" s="97"/>
      <c r="H6199" s="114" t="str">
        <f t="shared" si="86"/>
        <v/>
      </c>
      <c r="I6199" s="17"/>
      <c r="J6199" s="17"/>
      <c r="K6199" s="17"/>
    </row>
    <row r="6200" spans="1:11" x14ac:dyDescent="0.2">
      <c r="A6200" s="115"/>
      <c r="B6200" s="95"/>
      <c r="C6200" s="94"/>
      <c r="D6200" s="95"/>
      <c r="E6200" s="95"/>
      <c r="F6200" s="96"/>
      <c r="G6200" s="97"/>
      <c r="H6200" s="114" t="str">
        <f t="shared" si="86"/>
        <v/>
      </c>
      <c r="I6200" s="17"/>
      <c r="J6200" s="17"/>
      <c r="K6200" s="17"/>
    </row>
    <row r="6201" spans="1:11" x14ac:dyDescent="0.2">
      <c r="A6201" s="115"/>
      <c r="B6201" s="95"/>
      <c r="C6201" s="94"/>
      <c r="D6201" s="95"/>
      <c r="E6201" s="95"/>
      <c r="F6201" s="96"/>
      <c r="G6201" s="97"/>
      <c r="H6201" s="114" t="str">
        <f t="shared" si="86"/>
        <v/>
      </c>
      <c r="I6201" s="17"/>
      <c r="J6201" s="17"/>
      <c r="K6201" s="17"/>
    </row>
    <row r="6202" spans="1:11" x14ac:dyDescent="0.2">
      <c r="A6202" s="115"/>
      <c r="B6202" s="95"/>
      <c r="C6202" s="94"/>
      <c r="D6202" s="95"/>
      <c r="E6202" s="95"/>
      <c r="F6202" s="96"/>
      <c r="G6202" s="97"/>
      <c r="H6202" s="114" t="str">
        <f t="shared" si="86"/>
        <v/>
      </c>
      <c r="I6202" s="17"/>
      <c r="J6202" s="17"/>
      <c r="K6202" s="17"/>
    </row>
    <row r="6203" spans="1:11" x14ac:dyDescent="0.2">
      <c r="A6203" s="115"/>
      <c r="B6203" s="95"/>
      <c r="C6203" s="94"/>
      <c r="D6203" s="95"/>
      <c r="E6203" s="95"/>
      <c r="F6203" s="96"/>
      <c r="G6203" s="97"/>
      <c r="H6203" s="114" t="str">
        <f t="shared" si="86"/>
        <v/>
      </c>
      <c r="I6203" s="17"/>
      <c r="J6203" s="17"/>
      <c r="K6203" s="17"/>
    </row>
    <row r="6204" spans="1:11" x14ac:dyDescent="0.2">
      <c r="A6204" s="115"/>
      <c r="B6204" s="95"/>
      <c r="C6204" s="94"/>
      <c r="D6204" s="95"/>
      <c r="E6204" s="95"/>
      <c r="F6204" s="96"/>
      <c r="G6204" s="97"/>
      <c r="H6204" s="114" t="str">
        <f t="shared" si="86"/>
        <v/>
      </c>
      <c r="I6204" s="17"/>
      <c r="J6204" s="17"/>
      <c r="K6204" s="17"/>
    </row>
    <row r="6205" spans="1:11" x14ac:dyDescent="0.2">
      <c r="A6205" s="115"/>
      <c r="B6205" s="95"/>
      <c r="C6205" s="94"/>
      <c r="D6205" s="95"/>
      <c r="E6205" s="95"/>
      <c r="F6205" s="96"/>
      <c r="G6205" s="97"/>
      <c r="H6205" s="114" t="str">
        <f t="shared" si="86"/>
        <v/>
      </c>
      <c r="I6205" s="17"/>
      <c r="J6205" s="17"/>
      <c r="K6205" s="17"/>
    </row>
    <row r="6206" spans="1:11" x14ac:dyDescent="0.2">
      <c r="A6206" s="115"/>
      <c r="B6206" s="95"/>
      <c r="C6206" s="94"/>
      <c r="D6206" s="95"/>
      <c r="E6206" s="95"/>
      <c r="F6206" s="96"/>
      <c r="G6206" s="97"/>
      <c r="H6206" s="114" t="str">
        <f t="shared" si="86"/>
        <v/>
      </c>
      <c r="I6206" s="17"/>
      <c r="J6206" s="17"/>
      <c r="K6206" s="17"/>
    </row>
    <row r="6207" spans="1:11" x14ac:dyDescent="0.2">
      <c r="A6207" s="115"/>
      <c r="B6207" s="95"/>
      <c r="C6207" s="94"/>
      <c r="D6207" s="95"/>
      <c r="E6207" s="95"/>
      <c r="F6207" s="96"/>
      <c r="G6207" s="97"/>
      <c r="H6207" s="114" t="str">
        <f t="shared" si="86"/>
        <v/>
      </c>
      <c r="I6207" s="17"/>
      <c r="J6207" s="17"/>
      <c r="K6207" s="17"/>
    </row>
    <row r="6208" spans="1:11" x14ac:dyDescent="0.2">
      <c r="A6208" s="115"/>
      <c r="B6208" s="95"/>
      <c r="C6208" s="94"/>
      <c r="D6208" s="95"/>
      <c r="E6208" s="95"/>
      <c r="F6208" s="96"/>
      <c r="G6208" s="97"/>
      <c r="H6208" s="114" t="str">
        <f t="shared" si="86"/>
        <v/>
      </c>
      <c r="I6208" s="17"/>
      <c r="J6208" s="17"/>
      <c r="K6208" s="17"/>
    </row>
    <row r="6209" spans="1:11" x14ac:dyDescent="0.2">
      <c r="A6209" s="115"/>
      <c r="B6209" s="95"/>
      <c r="C6209" s="94"/>
      <c r="D6209" s="95"/>
      <c r="E6209" s="95"/>
      <c r="F6209" s="96"/>
      <c r="G6209" s="97"/>
      <c r="H6209" s="114" t="str">
        <f t="shared" si="86"/>
        <v/>
      </c>
      <c r="I6209" s="17"/>
      <c r="J6209" s="17"/>
      <c r="K6209" s="17"/>
    </row>
    <row r="6210" spans="1:11" x14ac:dyDescent="0.2">
      <c r="A6210" s="115"/>
      <c r="B6210" s="95"/>
      <c r="C6210" s="94"/>
      <c r="D6210" s="95"/>
      <c r="E6210" s="95"/>
      <c r="F6210" s="96"/>
      <c r="G6210" s="97"/>
      <c r="H6210" s="114" t="str">
        <f t="shared" si="86"/>
        <v/>
      </c>
      <c r="I6210" s="17"/>
      <c r="J6210" s="17"/>
      <c r="K6210" s="17"/>
    </row>
    <row r="6211" spans="1:11" x14ac:dyDescent="0.2">
      <c r="A6211" s="115"/>
      <c r="B6211" s="95"/>
      <c r="C6211" s="94"/>
      <c r="D6211" s="95"/>
      <c r="E6211" s="95"/>
      <c r="F6211" s="96"/>
      <c r="G6211" s="97"/>
      <c r="H6211" s="114" t="str">
        <f t="shared" si="86"/>
        <v/>
      </c>
      <c r="I6211" s="17"/>
      <c r="J6211" s="17"/>
      <c r="K6211" s="17"/>
    </row>
    <row r="6212" spans="1:11" x14ac:dyDescent="0.2">
      <c r="A6212" s="115"/>
      <c r="B6212" s="95"/>
      <c r="C6212" s="94"/>
      <c r="D6212" s="95"/>
      <c r="E6212" s="95"/>
      <c r="F6212" s="96"/>
      <c r="G6212" s="97"/>
      <c r="H6212" s="114" t="str">
        <f t="shared" ref="H6212:H6275" si="87">IF(A6212&lt;&gt;"", EOMONTH(A6212, -1) + 1, "")</f>
        <v/>
      </c>
      <c r="I6212" s="17"/>
      <c r="J6212" s="17"/>
      <c r="K6212" s="17"/>
    </row>
    <row r="6213" spans="1:11" x14ac:dyDescent="0.2">
      <c r="A6213" s="115"/>
      <c r="B6213" s="95"/>
      <c r="C6213" s="94"/>
      <c r="D6213" s="95"/>
      <c r="E6213" s="95"/>
      <c r="F6213" s="96"/>
      <c r="G6213" s="97"/>
      <c r="H6213" s="114" t="str">
        <f t="shared" si="87"/>
        <v/>
      </c>
      <c r="I6213" s="17"/>
      <c r="J6213" s="17"/>
      <c r="K6213" s="17"/>
    </row>
    <row r="6214" spans="1:11" x14ac:dyDescent="0.2">
      <c r="A6214" s="115"/>
      <c r="B6214" s="95"/>
      <c r="C6214" s="94"/>
      <c r="D6214" s="95"/>
      <c r="E6214" s="95"/>
      <c r="F6214" s="96"/>
      <c r="G6214" s="97"/>
      <c r="H6214" s="114" t="str">
        <f t="shared" si="87"/>
        <v/>
      </c>
      <c r="I6214" s="17"/>
      <c r="J6214" s="17"/>
      <c r="K6214" s="17"/>
    </row>
    <row r="6215" spans="1:11" x14ac:dyDescent="0.2">
      <c r="A6215" s="115"/>
      <c r="B6215" s="95"/>
      <c r="C6215" s="94"/>
      <c r="D6215" s="95"/>
      <c r="E6215" s="95"/>
      <c r="F6215" s="96"/>
      <c r="G6215" s="97"/>
      <c r="H6215" s="114" t="str">
        <f t="shared" si="87"/>
        <v/>
      </c>
      <c r="I6215" s="17"/>
      <c r="J6215" s="17"/>
      <c r="K6215" s="17"/>
    </row>
    <row r="6216" spans="1:11" x14ac:dyDescent="0.2">
      <c r="A6216" s="115"/>
      <c r="B6216" s="95"/>
      <c r="C6216" s="94"/>
      <c r="D6216" s="95"/>
      <c r="E6216" s="95"/>
      <c r="F6216" s="96"/>
      <c r="G6216" s="97"/>
      <c r="H6216" s="114" t="str">
        <f t="shared" si="87"/>
        <v/>
      </c>
      <c r="I6216" s="17"/>
      <c r="J6216" s="17"/>
      <c r="K6216" s="17"/>
    </row>
    <row r="6217" spans="1:11" x14ac:dyDescent="0.2">
      <c r="A6217" s="115"/>
      <c r="B6217" s="95"/>
      <c r="C6217" s="94"/>
      <c r="D6217" s="95"/>
      <c r="E6217" s="95"/>
      <c r="F6217" s="96"/>
      <c r="G6217" s="97"/>
      <c r="H6217" s="114" t="str">
        <f t="shared" si="87"/>
        <v/>
      </c>
      <c r="I6217" s="17"/>
      <c r="J6217" s="17"/>
      <c r="K6217" s="17"/>
    </row>
    <row r="6218" spans="1:11" x14ac:dyDescent="0.2">
      <c r="A6218" s="115"/>
      <c r="B6218" s="95"/>
      <c r="C6218" s="94"/>
      <c r="D6218" s="95"/>
      <c r="E6218" s="95"/>
      <c r="F6218" s="96"/>
      <c r="G6218" s="97"/>
      <c r="H6218" s="114" t="str">
        <f t="shared" si="87"/>
        <v/>
      </c>
      <c r="I6218" s="17"/>
      <c r="J6218" s="17"/>
      <c r="K6218" s="17"/>
    </row>
    <row r="6219" spans="1:11" x14ac:dyDescent="0.2">
      <c r="A6219" s="115"/>
      <c r="B6219" s="95"/>
      <c r="C6219" s="101"/>
      <c r="D6219" s="95"/>
      <c r="E6219" s="95"/>
      <c r="F6219" s="96"/>
      <c r="G6219" s="97"/>
      <c r="H6219" s="114" t="str">
        <f t="shared" si="87"/>
        <v/>
      </c>
      <c r="I6219" s="17"/>
      <c r="J6219" s="17"/>
      <c r="K6219" s="17"/>
    </row>
    <row r="6220" spans="1:11" x14ac:dyDescent="0.2">
      <c r="A6220" s="115"/>
      <c r="B6220" s="95"/>
      <c r="C6220" s="101"/>
      <c r="D6220" s="95"/>
      <c r="E6220" s="95"/>
      <c r="F6220" s="96"/>
      <c r="G6220" s="97"/>
      <c r="H6220" s="114" t="str">
        <f t="shared" si="87"/>
        <v/>
      </c>
      <c r="I6220" s="17"/>
      <c r="J6220" s="17"/>
      <c r="K6220" s="17"/>
    </row>
    <row r="6221" spans="1:11" x14ac:dyDescent="0.2">
      <c r="A6221" s="115"/>
      <c r="B6221" s="95"/>
      <c r="C6221" s="101"/>
      <c r="D6221" s="95"/>
      <c r="E6221" s="95"/>
      <c r="F6221" s="96"/>
      <c r="G6221" s="97"/>
      <c r="H6221" s="114" t="str">
        <f t="shared" si="87"/>
        <v/>
      </c>
      <c r="I6221" s="17"/>
      <c r="J6221" s="17"/>
      <c r="K6221" s="17"/>
    </row>
    <row r="6222" spans="1:11" x14ac:dyDescent="0.2">
      <c r="A6222" s="115"/>
      <c r="B6222" s="95"/>
      <c r="C6222" s="101"/>
      <c r="D6222" s="95"/>
      <c r="E6222" s="95"/>
      <c r="F6222" s="96"/>
      <c r="G6222" s="97"/>
      <c r="H6222" s="114" t="str">
        <f t="shared" si="87"/>
        <v/>
      </c>
      <c r="I6222" s="17"/>
      <c r="J6222" s="17"/>
      <c r="K6222" s="17"/>
    </row>
    <row r="6223" spans="1:11" x14ac:dyDescent="0.2">
      <c r="A6223" s="115"/>
      <c r="B6223" s="95"/>
      <c r="C6223" s="101"/>
      <c r="D6223" s="95"/>
      <c r="E6223" s="95"/>
      <c r="F6223" s="96"/>
      <c r="G6223" s="97"/>
      <c r="H6223" s="114" t="str">
        <f t="shared" si="87"/>
        <v/>
      </c>
      <c r="I6223" s="17"/>
      <c r="J6223" s="17"/>
      <c r="K6223" s="17"/>
    </row>
    <row r="6224" spans="1:11" x14ac:dyDescent="0.2">
      <c r="A6224" s="115"/>
      <c r="B6224" s="95"/>
      <c r="C6224" s="101"/>
      <c r="D6224" s="95"/>
      <c r="E6224" s="95"/>
      <c r="F6224" s="96"/>
      <c r="G6224" s="97"/>
      <c r="H6224" s="114" t="str">
        <f t="shared" si="87"/>
        <v/>
      </c>
      <c r="I6224" s="17"/>
      <c r="J6224" s="17"/>
      <c r="K6224" s="17"/>
    </row>
    <row r="6225" spans="1:11" x14ac:dyDescent="0.2">
      <c r="A6225" s="115"/>
      <c r="B6225" s="95"/>
      <c r="C6225" s="101"/>
      <c r="D6225" s="95"/>
      <c r="E6225" s="95"/>
      <c r="F6225" s="96"/>
      <c r="G6225" s="97"/>
      <c r="H6225" s="114" t="str">
        <f t="shared" si="87"/>
        <v/>
      </c>
      <c r="I6225" s="17"/>
      <c r="J6225" s="17"/>
      <c r="K6225" s="17"/>
    </row>
    <row r="6226" spans="1:11" x14ac:dyDescent="0.2">
      <c r="A6226" s="115"/>
      <c r="B6226" s="95"/>
      <c r="C6226" s="101"/>
      <c r="D6226" s="95"/>
      <c r="E6226" s="95"/>
      <c r="F6226" s="96"/>
      <c r="G6226" s="97"/>
      <c r="H6226" s="114" t="str">
        <f t="shared" si="87"/>
        <v/>
      </c>
      <c r="I6226" s="17"/>
      <c r="J6226" s="17"/>
      <c r="K6226" s="17"/>
    </row>
    <row r="6227" spans="1:11" x14ac:dyDescent="0.2">
      <c r="A6227" s="115"/>
      <c r="B6227" s="95"/>
      <c r="C6227" s="101"/>
      <c r="D6227" s="95"/>
      <c r="E6227" s="95"/>
      <c r="F6227" s="96"/>
      <c r="G6227" s="97"/>
      <c r="H6227" s="114" t="str">
        <f t="shared" si="87"/>
        <v/>
      </c>
      <c r="I6227" s="17"/>
      <c r="J6227" s="17"/>
      <c r="K6227" s="17"/>
    </row>
    <row r="6228" spans="1:11" x14ac:dyDescent="0.2">
      <c r="A6228" s="115"/>
      <c r="B6228" s="95"/>
      <c r="C6228" s="101"/>
      <c r="D6228" s="95"/>
      <c r="E6228" s="95"/>
      <c r="F6228" s="96"/>
      <c r="G6228" s="97"/>
      <c r="H6228" s="114" t="str">
        <f t="shared" si="87"/>
        <v/>
      </c>
      <c r="I6228" s="17"/>
      <c r="J6228" s="17"/>
      <c r="K6228" s="17"/>
    </row>
    <row r="6229" spans="1:11" x14ac:dyDescent="0.2">
      <c r="A6229" s="115"/>
      <c r="B6229" s="95"/>
      <c r="C6229" s="101"/>
      <c r="D6229" s="95"/>
      <c r="E6229" s="95"/>
      <c r="F6229" s="96"/>
      <c r="G6229" s="97"/>
      <c r="H6229" s="114" t="str">
        <f t="shared" si="87"/>
        <v/>
      </c>
      <c r="I6229" s="17"/>
      <c r="J6229" s="17"/>
      <c r="K6229" s="17"/>
    </row>
    <row r="6230" spans="1:11" x14ac:dyDescent="0.2">
      <c r="A6230" s="115"/>
      <c r="B6230" s="95"/>
      <c r="C6230" s="94"/>
      <c r="D6230" s="95"/>
      <c r="E6230" s="95"/>
      <c r="F6230" s="96"/>
      <c r="G6230" s="97"/>
      <c r="H6230" s="114" t="str">
        <f t="shared" si="87"/>
        <v/>
      </c>
      <c r="I6230" s="17"/>
      <c r="J6230" s="17"/>
      <c r="K6230" s="17"/>
    </row>
    <row r="6231" spans="1:11" x14ac:dyDescent="0.2">
      <c r="A6231" s="115"/>
      <c r="B6231" s="95"/>
      <c r="C6231" s="94"/>
      <c r="D6231" s="95"/>
      <c r="E6231" s="95"/>
      <c r="F6231" s="96"/>
      <c r="G6231" s="97"/>
      <c r="H6231" s="114" t="str">
        <f t="shared" si="87"/>
        <v/>
      </c>
      <c r="I6231" s="17"/>
      <c r="J6231" s="17"/>
      <c r="K6231" s="17"/>
    </row>
    <row r="6232" spans="1:11" x14ac:dyDescent="0.2">
      <c r="A6232" s="115"/>
      <c r="B6232" s="95"/>
      <c r="C6232" s="94"/>
      <c r="D6232" s="95"/>
      <c r="E6232" s="95"/>
      <c r="F6232" s="96"/>
      <c r="G6232" s="97"/>
      <c r="H6232" s="114" t="str">
        <f t="shared" si="87"/>
        <v/>
      </c>
      <c r="I6232" s="17"/>
      <c r="J6232" s="17"/>
      <c r="K6232" s="17"/>
    </row>
    <row r="6233" spans="1:11" x14ac:dyDescent="0.2">
      <c r="A6233" s="115"/>
      <c r="B6233" s="95"/>
      <c r="C6233" s="94"/>
      <c r="D6233" s="95"/>
      <c r="E6233" s="95"/>
      <c r="F6233" s="96"/>
      <c r="G6233" s="97"/>
      <c r="H6233" s="114" t="str">
        <f t="shared" si="87"/>
        <v/>
      </c>
      <c r="I6233" s="17"/>
      <c r="J6233" s="17"/>
      <c r="K6233" s="17"/>
    </row>
    <row r="6234" spans="1:11" x14ac:dyDescent="0.2">
      <c r="A6234" s="115"/>
      <c r="B6234" s="95"/>
      <c r="C6234" s="94"/>
      <c r="D6234" s="95"/>
      <c r="E6234" s="95"/>
      <c r="F6234" s="96"/>
      <c r="G6234" s="97"/>
      <c r="H6234" s="114" t="str">
        <f t="shared" si="87"/>
        <v/>
      </c>
      <c r="I6234" s="17"/>
      <c r="J6234" s="17"/>
      <c r="K6234" s="17"/>
    </row>
    <row r="6235" spans="1:11" x14ac:dyDescent="0.2">
      <c r="A6235" s="115"/>
      <c r="B6235" s="95"/>
      <c r="C6235" s="94"/>
      <c r="D6235" s="95"/>
      <c r="E6235" s="95"/>
      <c r="F6235" s="96"/>
      <c r="G6235" s="97"/>
      <c r="H6235" s="114" t="str">
        <f t="shared" si="87"/>
        <v/>
      </c>
      <c r="I6235" s="17"/>
      <c r="J6235" s="17"/>
      <c r="K6235" s="17"/>
    </row>
    <row r="6236" spans="1:11" x14ac:dyDescent="0.2">
      <c r="A6236" s="115"/>
      <c r="B6236" s="95"/>
      <c r="C6236" s="94"/>
      <c r="D6236" s="95"/>
      <c r="E6236" s="95"/>
      <c r="F6236" s="96"/>
      <c r="G6236" s="97"/>
      <c r="H6236" s="114" t="str">
        <f t="shared" si="87"/>
        <v/>
      </c>
      <c r="I6236" s="17"/>
      <c r="J6236" s="17"/>
      <c r="K6236" s="17"/>
    </row>
    <row r="6237" spans="1:11" x14ac:dyDescent="0.2">
      <c r="A6237" s="115"/>
      <c r="B6237" s="95"/>
      <c r="C6237" s="94"/>
      <c r="D6237" s="95"/>
      <c r="E6237" s="95"/>
      <c r="F6237" s="96"/>
      <c r="G6237" s="97"/>
      <c r="H6237" s="114" t="str">
        <f t="shared" si="87"/>
        <v/>
      </c>
      <c r="I6237" s="17"/>
      <c r="J6237" s="17"/>
      <c r="K6237" s="17"/>
    </row>
    <row r="6238" spans="1:11" x14ac:dyDescent="0.2">
      <c r="A6238" s="115"/>
      <c r="B6238" s="95"/>
      <c r="C6238" s="94"/>
      <c r="D6238" s="95"/>
      <c r="E6238" s="95"/>
      <c r="F6238" s="96"/>
      <c r="G6238" s="97"/>
      <c r="H6238" s="114" t="str">
        <f t="shared" si="87"/>
        <v/>
      </c>
      <c r="I6238" s="17"/>
      <c r="J6238" s="17"/>
      <c r="K6238" s="17"/>
    </row>
    <row r="6239" spans="1:11" x14ac:dyDescent="0.2">
      <c r="A6239" s="115"/>
      <c r="B6239" s="95"/>
      <c r="C6239" s="94"/>
      <c r="D6239" s="95"/>
      <c r="E6239" s="95"/>
      <c r="F6239" s="96"/>
      <c r="G6239" s="97"/>
      <c r="H6239" s="114" t="str">
        <f t="shared" si="87"/>
        <v/>
      </c>
      <c r="I6239" s="17"/>
      <c r="J6239" s="17"/>
      <c r="K6239" s="17"/>
    </row>
    <row r="6240" spans="1:11" x14ac:dyDescent="0.2">
      <c r="A6240" s="115"/>
      <c r="B6240" s="95"/>
      <c r="C6240" s="94"/>
      <c r="D6240" s="95"/>
      <c r="E6240" s="95"/>
      <c r="F6240" s="96"/>
      <c r="G6240" s="97"/>
      <c r="H6240" s="114" t="str">
        <f t="shared" si="87"/>
        <v/>
      </c>
      <c r="I6240" s="17"/>
      <c r="J6240" s="17"/>
      <c r="K6240" s="17"/>
    </row>
    <row r="6241" spans="1:11" x14ac:dyDescent="0.2">
      <c r="A6241" s="115"/>
      <c r="B6241" s="95"/>
      <c r="C6241" s="94"/>
      <c r="D6241" s="95"/>
      <c r="E6241" s="95"/>
      <c r="F6241" s="96"/>
      <c r="G6241" s="97"/>
      <c r="H6241" s="114" t="str">
        <f t="shared" si="87"/>
        <v/>
      </c>
      <c r="I6241" s="17"/>
      <c r="J6241" s="17"/>
      <c r="K6241" s="17"/>
    </row>
    <row r="6242" spans="1:11" x14ac:dyDescent="0.2">
      <c r="A6242" s="115"/>
      <c r="B6242" s="95"/>
      <c r="C6242" s="94"/>
      <c r="D6242" s="95"/>
      <c r="E6242" s="95"/>
      <c r="F6242" s="96"/>
      <c r="G6242" s="97"/>
      <c r="H6242" s="114" t="str">
        <f t="shared" si="87"/>
        <v/>
      </c>
      <c r="I6242" s="17"/>
      <c r="J6242" s="17"/>
      <c r="K6242" s="17"/>
    </row>
    <row r="6243" spans="1:11" x14ac:dyDescent="0.2">
      <c r="A6243" s="115"/>
      <c r="B6243" s="95"/>
      <c r="C6243" s="94"/>
      <c r="D6243" s="95"/>
      <c r="E6243" s="95"/>
      <c r="F6243" s="96"/>
      <c r="G6243" s="97"/>
      <c r="H6243" s="114" t="str">
        <f t="shared" si="87"/>
        <v/>
      </c>
      <c r="I6243" s="17"/>
      <c r="J6243" s="17"/>
      <c r="K6243" s="17"/>
    </row>
    <row r="6244" spans="1:11" x14ac:dyDescent="0.2">
      <c r="A6244" s="115"/>
      <c r="B6244" s="95"/>
      <c r="C6244" s="94"/>
      <c r="D6244" s="95"/>
      <c r="E6244" s="95"/>
      <c r="F6244" s="96"/>
      <c r="G6244" s="97"/>
      <c r="H6244" s="114" t="str">
        <f t="shared" si="87"/>
        <v/>
      </c>
      <c r="I6244" s="17"/>
      <c r="J6244" s="17"/>
      <c r="K6244" s="17"/>
    </row>
    <row r="6245" spans="1:11" x14ac:dyDescent="0.2">
      <c r="A6245" s="115"/>
      <c r="B6245" s="95"/>
      <c r="C6245" s="94"/>
      <c r="D6245" s="95"/>
      <c r="E6245" s="95"/>
      <c r="F6245" s="96"/>
      <c r="G6245" s="97"/>
      <c r="H6245" s="114" t="str">
        <f t="shared" si="87"/>
        <v/>
      </c>
      <c r="I6245" s="17"/>
      <c r="J6245" s="17"/>
      <c r="K6245" s="17"/>
    </row>
    <row r="6246" spans="1:11" x14ac:dyDescent="0.2">
      <c r="A6246" s="115"/>
      <c r="B6246" s="95"/>
      <c r="C6246" s="94"/>
      <c r="D6246" s="95"/>
      <c r="E6246" s="95"/>
      <c r="F6246" s="96"/>
      <c r="G6246" s="97"/>
      <c r="H6246" s="114" t="str">
        <f t="shared" si="87"/>
        <v/>
      </c>
      <c r="I6246" s="17"/>
      <c r="J6246" s="17"/>
      <c r="K6246" s="17"/>
    </row>
    <row r="6247" spans="1:11" x14ac:dyDescent="0.2">
      <c r="A6247" s="115"/>
      <c r="B6247" s="95"/>
      <c r="C6247" s="94"/>
      <c r="D6247" s="95"/>
      <c r="E6247" s="95"/>
      <c r="F6247" s="96"/>
      <c r="G6247" s="97"/>
      <c r="H6247" s="114" t="str">
        <f t="shared" si="87"/>
        <v/>
      </c>
      <c r="I6247" s="17"/>
      <c r="J6247" s="17"/>
      <c r="K6247" s="17"/>
    </row>
    <row r="6248" spans="1:11" x14ac:dyDescent="0.2">
      <c r="A6248" s="115"/>
      <c r="B6248" s="95"/>
      <c r="C6248" s="94"/>
      <c r="D6248" s="95"/>
      <c r="E6248" s="95"/>
      <c r="F6248" s="96"/>
      <c r="G6248" s="97"/>
      <c r="H6248" s="114" t="str">
        <f t="shared" si="87"/>
        <v/>
      </c>
      <c r="I6248" s="17"/>
      <c r="J6248" s="17"/>
      <c r="K6248" s="17"/>
    </row>
    <row r="6249" spans="1:11" x14ac:dyDescent="0.2">
      <c r="A6249" s="115"/>
      <c r="B6249" s="95"/>
      <c r="C6249" s="94"/>
      <c r="D6249" s="95"/>
      <c r="E6249" s="95"/>
      <c r="F6249" s="96"/>
      <c r="G6249" s="97"/>
      <c r="H6249" s="114" t="str">
        <f t="shared" si="87"/>
        <v/>
      </c>
      <c r="I6249" s="17"/>
      <c r="J6249" s="17"/>
      <c r="K6249" s="17"/>
    </row>
    <row r="6250" spans="1:11" x14ac:dyDescent="0.2">
      <c r="A6250" s="115"/>
      <c r="B6250" s="95"/>
      <c r="C6250" s="94"/>
      <c r="D6250" s="95"/>
      <c r="E6250" s="95"/>
      <c r="F6250" s="96"/>
      <c r="G6250" s="97"/>
      <c r="H6250" s="114" t="str">
        <f t="shared" si="87"/>
        <v/>
      </c>
      <c r="I6250" s="17"/>
      <c r="J6250" s="17"/>
      <c r="K6250" s="17"/>
    </row>
    <row r="6251" spans="1:11" x14ac:dyDescent="0.2">
      <c r="A6251" s="115"/>
      <c r="B6251" s="95"/>
      <c r="C6251" s="94"/>
      <c r="D6251" s="95"/>
      <c r="E6251" s="95"/>
      <c r="F6251" s="96"/>
      <c r="G6251" s="97"/>
      <c r="H6251" s="114" t="str">
        <f t="shared" si="87"/>
        <v/>
      </c>
      <c r="I6251" s="17"/>
      <c r="J6251" s="17"/>
      <c r="K6251" s="17"/>
    </row>
    <row r="6252" spans="1:11" x14ac:dyDescent="0.2">
      <c r="A6252" s="115"/>
      <c r="B6252" s="95"/>
      <c r="C6252" s="94"/>
      <c r="D6252" s="95"/>
      <c r="E6252" s="95"/>
      <c r="F6252" s="96"/>
      <c r="G6252" s="97"/>
      <c r="H6252" s="114" t="str">
        <f t="shared" si="87"/>
        <v/>
      </c>
      <c r="I6252" s="17"/>
      <c r="J6252" s="17"/>
      <c r="K6252" s="17"/>
    </row>
    <row r="6253" spans="1:11" x14ac:dyDescent="0.2">
      <c r="A6253" s="115"/>
      <c r="B6253" s="95"/>
      <c r="C6253" s="94"/>
      <c r="D6253" s="95"/>
      <c r="E6253" s="95"/>
      <c r="F6253" s="96"/>
      <c r="G6253" s="97"/>
      <c r="H6253" s="114" t="str">
        <f t="shared" si="87"/>
        <v/>
      </c>
      <c r="I6253" s="17"/>
      <c r="J6253" s="17"/>
      <c r="K6253" s="17"/>
    </row>
    <row r="6254" spans="1:11" x14ac:dyDescent="0.2">
      <c r="A6254" s="115"/>
      <c r="B6254" s="95"/>
      <c r="C6254" s="94"/>
      <c r="D6254" s="95"/>
      <c r="E6254" s="95"/>
      <c r="F6254" s="96"/>
      <c r="G6254" s="97"/>
      <c r="H6254" s="114" t="str">
        <f t="shared" si="87"/>
        <v/>
      </c>
      <c r="I6254" s="17"/>
      <c r="J6254" s="17"/>
      <c r="K6254" s="17"/>
    </row>
    <row r="6255" spans="1:11" x14ac:dyDescent="0.2">
      <c r="A6255" s="115"/>
      <c r="B6255" s="95"/>
      <c r="C6255" s="94"/>
      <c r="D6255" s="95"/>
      <c r="E6255" s="95"/>
      <c r="F6255" s="96"/>
      <c r="G6255" s="97"/>
      <c r="H6255" s="114" t="str">
        <f t="shared" si="87"/>
        <v/>
      </c>
      <c r="I6255" s="17"/>
      <c r="J6255" s="17"/>
      <c r="K6255" s="17"/>
    </row>
    <row r="6256" spans="1:11" x14ac:dyDescent="0.2">
      <c r="A6256" s="115"/>
      <c r="B6256" s="95"/>
      <c r="C6256" s="94"/>
      <c r="D6256" s="95"/>
      <c r="E6256" s="95"/>
      <c r="F6256" s="96"/>
      <c r="G6256" s="97"/>
      <c r="H6256" s="114" t="str">
        <f t="shared" si="87"/>
        <v/>
      </c>
      <c r="I6256" s="17"/>
      <c r="J6256" s="17"/>
      <c r="K6256" s="17"/>
    </row>
    <row r="6257" spans="1:11" x14ac:dyDescent="0.2">
      <c r="A6257" s="115"/>
      <c r="B6257" s="95"/>
      <c r="C6257" s="94"/>
      <c r="D6257" s="95"/>
      <c r="E6257" s="95"/>
      <c r="F6257" s="96"/>
      <c r="G6257" s="97"/>
      <c r="H6257" s="114" t="str">
        <f t="shared" si="87"/>
        <v/>
      </c>
      <c r="I6257" s="17"/>
      <c r="J6257" s="17"/>
      <c r="K6257" s="17"/>
    </row>
    <row r="6258" spans="1:11" x14ac:dyDescent="0.2">
      <c r="A6258" s="115"/>
      <c r="B6258" s="95"/>
      <c r="C6258" s="94"/>
      <c r="D6258" s="95"/>
      <c r="E6258" s="95"/>
      <c r="F6258" s="96"/>
      <c r="G6258" s="97"/>
      <c r="H6258" s="114" t="str">
        <f t="shared" si="87"/>
        <v/>
      </c>
      <c r="I6258" s="17"/>
      <c r="J6258" s="17"/>
      <c r="K6258" s="17"/>
    </row>
    <row r="6259" spans="1:11" x14ac:dyDescent="0.2">
      <c r="A6259" s="115"/>
      <c r="B6259" s="95"/>
      <c r="C6259" s="94"/>
      <c r="D6259" s="95"/>
      <c r="E6259" s="95"/>
      <c r="F6259" s="96"/>
      <c r="G6259" s="97"/>
      <c r="H6259" s="114" t="str">
        <f t="shared" si="87"/>
        <v/>
      </c>
      <c r="I6259" s="17"/>
      <c r="J6259" s="17"/>
      <c r="K6259" s="17"/>
    </row>
    <row r="6260" spans="1:11" x14ac:dyDescent="0.2">
      <c r="A6260" s="115"/>
      <c r="B6260" s="95"/>
      <c r="C6260" s="94"/>
      <c r="D6260" s="95"/>
      <c r="E6260" s="95"/>
      <c r="F6260" s="96"/>
      <c r="G6260" s="97"/>
      <c r="H6260" s="114" t="str">
        <f t="shared" si="87"/>
        <v/>
      </c>
      <c r="I6260" s="17"/>
      <c r="J6260" s="17"/>
      <c r="K6260" s="17"/>
    </row>
    <row r="6261" spans="1:11" x14ac:dyDescent="0.2">
      <c r="A6261" s="115"/>
      <c r="B6261" s="95"/>
      <c r="C6261" s="94"/>
      <c r="D6261" s="95"/>
      <c r="E6261" s="95"/>
      <c r="F6261" s="96"/>
      <c r="G6261" s="97"/>
      <c r="H6261" s="114" t="str">
        <f t="shared" si="87"/>
        <v/>
      </c>
      <c r="I6261" s="17"/>
      <c r="J6261" s="17"/>
      <c r="K6261" s="17"/>
    </row>
    <row r="6262" spans="1:11" x14ac:dyDescent="0.2">
      <c r="A6262" s="115"/>
      <c r="B6262" s="95"/>
      <c r="C6262" s="94"/>
      <c r="D6262" s="95"/>
      <c r="E6262" s="95"/>
      <c r="F6262" s="96"/>
      <c r="G6262" s="97"/>
      <c r="H6262" s="114" t="str">
        <f t="shared" si="87"/>
        <v/>
      </c>
      <c r="I6262" s="17"/>
      <c r="J6262" s="17"/>
      <c r="K6262" s="17"/>
    </row>
    <row r="6263" spans="1:11" x14ac:dyDescent="0.2">
      <c r="A6263" s="115"/>
      <c r="B6263" s="95"/>
      <c r="C6263" s="94"/>
      <c r="D6263" s="95"/>
      <c r="E6263" s="95"/>
      <c r="F6263" s="96"/>
      <c r="G6263" s="97"/>
      <c r="H6263" s="114" t="str">
        <f t="shared" si="87"/>
        <v/>
      </c>
      <c r="I6263" s="17"/>
      <c r="J6263" s="17"/>
      <c r="K6263" s="17"/>
    </row>
    <row r="6264" spans="1:11" x14ac:dyDescent="0.2">
      <c r="A6264" s="115"/>
      <c r="B6264" s="95"/>
      <c r="C6264" s="94"/>
      <c r="D6264" s="95"/>
      <c r="E6264" s="95"/>
      <c r="F6264" s="96"/>
      <c r="G6264" s="97"/>
      <c r="H6264" s="114" t="str">
        <f t="shared" si="87"/>
        <v/>
      </c>
      <c r="I6264" s="17"/>
      <c r="J6264" s="17"/>
      <c r="K6264" s="17"/>
    </row>
    <row r="6265" spans="1:11" x14ac:dyDescent="0.2">
      <c r="A6265" s="115"/>
      <c r="B6265" s="95"/>
      <c r="C6265" s="94"/>
      <c r="D6265" s="95"/>
      <c r="E6265" s="95"/>
      <c r="F6265" s="96"/>
      <c r="G6265" s="97"/>
      <c r="H6265" s="114" t="str">
        <f t="shared" si="87"/>
        <v/>
      </c>
      <c r="I6265" s="17"/>
      <c r="J6265" s="17"/>
      <c r="K6265" s="17"/>
    </row>
    <row r="6266" spans="1:11" x14ac:dyDescent="0.2">
      <c r="A6266" s="115"/>
      <c r="B6266" s="95"/>
      <c r="C6266" s="94"/>
      <c r="D6266" s="95"/>
      <c r="E6266" s="95"/>
      <c r="F6266" s="96"/>
      <c r="G6266" s="97"/>
      <c r="H6266" s="114" t="str">
        <f t="shared" si="87"/>
        <v/>
      </c>
      <c r="I6266" s="17"/>
      <c r="J6266" s="17"/>
      <c r="K6266" s="17"/>
    </row>
    <row r="6267" spans="1:11" x14ac:dyDescent="0.2">
      <c r="A6267" s="115"/>
      <c r="B6267" s="95"/>
      <c r="C6267" s="94"/>
      <c r="D6267" s="95"/>
      <c r="E6267" s="95"/>
      <c r="F6267" s="96"/>
      <c r="G6267" s="97"/>
      <c r="H6267" s="114" t="str">
        <f t="shared" si="87"/>
        <v/>
      </c>
      <c r="I6267" s="17"/>
      <c r="J6267" s="17"/>
      <c r="K6267" s="17"/>
    </row>
    <row r="6268" spans="1:11" x14ac:dyDescent="0.2">
      <c r="A6268" s="115"/>
      <c r="B6268" s="95"/>
      <c r="C6268" s="94"/>
      <c r="D6268" s="95"/>
      <c r="E6268" s="95"/>
      <c r="F6268" s="96"/>
      <c r="G6268" s="97"/>
      <c r="H6268" s="114" t="str">
        <f t="shared" si="87"/>
        <v/>
      </c>
      <c r="I6268" s="17"/>
      <c r="J6268" s="17"/>
      <c r="K6268" s="17"/>
    </row>
    <row r="6269" spans="1:11" x14ac:dyDescent="0.2">
      <c r="A6269" s="115"/>
      <c r="B6269" s="95"/>
      <c r="C6269" s="94"/>
      <c r="D6269" s="95"/>
      <c r="E6269" s="95"/>
      <c r="F6269" s="96"/>
      <c r="G6269" s="97"/>
      <c r="H6269" s="114" t="str">
        <f t="shared" si="87"/>
        <v/>
      </c>
      <c r="I6269" s="17"/>
      <c r="J6269" s="17"/>
      <c r="K6269" s="17"/>
    </row>
    <row r="6270" spans="1:11" x14ac:dyDescent="0.2">
      <c r="A6270" s="115"/>
      <c r="B6270" s="95"/>
      <c r="C6270" s="94"/>
      <c r="D6270" s="95"/>
      <c r="E6270" s="95"/>
      <c r="F6270" s="96"/>
      <c r="G6270" s="97"/>
      <c r="H6270" s="114" t="str">
        <f t="shared" si="87"/>
        <v/>
      </c>
      <c r="I6270" s="17"/>
      <c r="J6270" s="17"/>
      <c r="K6270" s="17"/>
    </row>
    <row r="6271" spans="1:11" x14ac:dyDescent="0.2">
      <c r="A6271" s="115"/>
      <c r="B6271" s="95"/>
      <c r="C6271" s="94"/>
      <c r="D6271" s="95"/>
      <c r="E6271" s="95"/>
      <c r="F6271" s="96"/>
      <c r="G6271" s="97"/>
      <c r="H6271" s="114" t="str">
        <f t="shared" si="87"/>
        <v/>
      </c>
      <c r="I6271" s="17"/>
      <c r="J6271" s="17"/>
      <c r="K6271" s="17"/>
    </row>
    <row r="6272" spans="1:11" x14ac:dyDescent="0.2">
      <c r="A6272" s="115"/>
      <c r="B6272" s="95"/>
      <c r="C6272" s="94"/>
      <c r="D6272" s="95"/>
      <c r="E6272" s="95"/>
      <c r="F6272" s="96"/>
      <c r="G6272" s="97"/>
      <c r="H6272" s="114" t="str">
        <f t="shared" si="87"/>
        <v/>
      </c>
      <c r="I6272" s="17"/>
      <c r="J6272" s="17"/>
      <c r="K6272" s="17"/>
    </row>
    <row r="6273" spans="1:11" x14ac:dyDescent="0.2">
      <c r="A6273" s="115"/>
      <c r="B6273" s="95"/>
      <c r="C6273" s="94"/>
      <c r="D6273" s="95"/>
      <c r="E6273" s="95"/>
      <c r="F6273" s="96"/>
      <c r="G6273" s="97"/>
      <c r="H6273" s="114" t="str">
        <f t="shared" si="87"/>
        <v/>
      </c>
      <c r="I6273" s="17"/>
      <c r="J6273" s="17"/>
      <c r="K6273" s="17"/>
    </row>
    <row r="6274" spans="1:11" x14ac:dyDescent="0.2">
      <c r="A6274" s="115"/>
      <c r="B6274" s="95"/>
      <c r="C6274" s="94"/>
      <c r="D6274" s="95"/>
      <c r="E6274" s="95"/>
      <c r="F6274" s="96"/>
      <c r="G6274" s="97"/>
      <c r="H6274" s="114" t="str">
        <f t="shared" si="87"/>
        <v/>
      </c>
      <c r="I6274" s="17"/>
      <c r="J6274" s="17"/>
      <c r="K6274" s="17"/>
    </row>
    <row r="6275" spans="1:11" x14ac:dyDescent="0.2">
      <c r="A6275" s="115"/>
      <c r="B6275" s="95"/>
      <c r="C6275" s="94"/>
      <c r="D6275" s="95"/>
      <c r="E6275" s="95"/>
      <c r="F6275" s="96"/>
      <c r="G6275" s="97"/>
      <c r="H6275" s="114" t="str">
        <f t="shared" si="87"/>
        <v/>
      </c>
      <c r="I6275" s="17"/>
      <c r="J6275" s="17"/>
      <c r="K6275" s="17"/>
    </row>
    <row r="6276" spans="1:11" x14ac:dyDescent="0.2">
      <c r="A6276" s="115"/>
      <c r="B6276" s="95"/>
      <c r="C6276" s="94"/>
      <c r="D6276" s="95"/>
      <c r="E6276" s="95"/>
      <c r="F6276" s="96"/>
      <c r="G6276" s="97"/>
      <c r="H6276" s="114" t="str">
        <f t="shared" ref="H6276:H6339" si="88">IF(A6276&lt;&gt;"", EOMONTH(A6276, -1) + 1, "")</f>
        <v/>
      </c>
      <c r="I6276" s="17"/>
      <c r="J6276" s="17"/>
      <c r="K6276" s="17"/>
    </row>
    <row r="6277" spans="1:11" x14ac:dyDescent="0.2">
      <c r="A6277" s="115"/>
      <c r="B6277" s="95"/>
      <c r="C6277" s="94"/>
      <c r="D6277" s="95"/>
      <c r="E6277" s="95"/>
      <c r="F6277" s="96"/>
      <c r="G6277" s="97"/>
      <c r="H6277" s="114" t="str">
        <f t="shared" si="88"/>
        <v/>
      </c>
      <c r="I6277" s="17"/>
      <c r="J6277" s="17"/>
      <c r="K6277" s="17"/>
    </row>
    <row r="6278" spans="1:11" x14ac:dyDescent="0.2">
      <c r="A6278" s="115"/>
      <c r="B6278" s="95"/>
      <c r="C6278" s="94"/>
      <c r="D6278" s="95"/>
      <c r="E6278" s="95"/>
      <c r="F6278" s="96"/>
      <c r="G6278" s="97"/>
      <c r="H6278" s="114" t="str">
        <f t="shared" si="88"/>
        <v/>
      </c>
      <c r="I6278" s="17"/>
      <c r="J6278" s="17"/>
      <c r="K6278" s="17"/>
    </row>
    <row r="6279" spans="1:11" x14ac:dyDescent="0.2">
      <c r="A6279" s="115"/>
      <c r="B6279" s="95"/>
      <c r="C6279" s="94"/>
      <c r="D6279" s="95"/>
      <c r="E6279" s="95"/>
      <c r="F6279" s="96"/>
      <c r="G6279" s="97"/>
      <c r="H6279" s="114" t="str">
        <f t="shared" si="88"/>
        <v/>
      </c>
      <c r="I6279" s="17"/>
      <c r="J6279" s="17"/>
      <c r="K6279" s="17"/>
    </row>
    <row r="6280" spans="1:11" x14ac:dyDescent="0.2">
      <c r="A6280" s="115"/>
      <c r="B6280" s="95"/>
      <c r="C6280" s="94"/>
      <c r="D6280" s="95"/>
      <c r="E6280" s="95"/>
      <c r="F6280" s="96"/>
      <c r="G6280" s="97"/>
      <c r="H6280" s="114" t="str">
        <f t="shared" si="88"/>
        <v/>
      </c>
      <c r="I6280" s="17"/>
      <c r="J6280" s="17"/>
      <c r="K6280" s="17"/>
    </row>
    <row r="6281" spans="1:11" x14ac:dyDescent="0.2">
      <c r="A6281" s="115"/>
      <c r="B6281" s="95"/>
      <c r="C6281" s="94"/>
      <c r="D6281" s="95"/>
      <c r="E6281" s="95"/>
      <c r="F6281" s="96"/>
      <c r="G6281" s="97"/>
      <c r="H6281" s="114" t="str">
        <f t="shared" si="88"/>
        <v/>
      </c>
      <c r="I6281" s="17"/>
      <c r="J6281" s="17"/>
      <c r="K6281" s="17"/>
    </row>
    <row r="6282" spans="1:11" x14ac:dyDescent="0.2">
      <c r="A6282" s="115"/>
      <c r="B6282" s="95"/>
      <c r="C6282" s="94"/>
      <c r="D6282" s="95"/>
      <c r="E6282" s="95"/>
      <c r="F6282" s="96"/>
      <c r="G6282" s="97"/>
      <c r="H6282" s="114" t="str">
        <f t="shared" si="88"/>
        <v/>
      </c>
      <c r="I6282" s="17"/>
      <c r="J6282" s="17"/>
      <c r="K6282" s="17"/>
    </row>
    <row r="6283" spans="1:11" x14ac:dyDescent="0.2">
      <c r="A6283" s="115"/>
      <c r="B6283" s="95"/>
      <c r="C6283" s="94"/>
      <c r="D6283" s="95"/>
      <c r="E6283" s="95"/>
      <c r="F6283" s="96"/>
      <c r="G6283" s="97"/>
      <c r="H6283" s="114" t="str">
        <f t="shared" si="88"/>
        <v/>
      </c>
      <c r="I6283" s="17"/>
      <c r="J6283" s="17"/>
      <c r="K6283" s="17"/>
    </row>
    <row r="6284" spans="1:11" x14ac:dyDescent="0.2">
      <c r="A6284" s="115"/>
      <c r="B6284" s="95"/>
      <c r="C6284" s="94"/>
      <c r="D6284" s="95"/>
      <c r="E6284" s="95"/>
      <c r="F6284" s="96"/>
      <c r="G6284" s="97"/>
      <c r="H6284" s="114" t="str">
        <f t="shared" si="88"/>
        <v/>
      </c>
      <c r="I6284" s="17"/>
      <c r="J6284" s="17"/>
      <c r="K6284" s="17"/>
    </row>
    <row r="6285" spans="1:11" x14ac:dyDescent="0.2">
      <c r="A6285" s="115"/>
      <c r="B6285" s="95"/>
      <c r="C6285" s="94"/>
      <c r="D6285" s="95"/>
      <c r="E6285" s="95"/>
      <c r="F6285" s="96"/>
      <c r="G6285" s="97"/>
      <c r="H6285" s="114" t="str">
        <f t="shared" si="88"/>
        <v/>
      </c>
      <c r="I6285" s="17"/>
      <c r="J6285" s="17"/>
      <c r="K6285" s="17"/>
    </row>
    <row r="6286" spans="1:11" x14ac:dyDescent="0.2">
      <c r="A6286" s="115"/>
      <c r="B6286" s="95"/>
      <c r="C6286" s="94"/>
      <c r="D6286" s="95"/>
      <c r="E6286" s="95"/>
      <c r="F6286" s="96"/>
      <c r="G6286" s="97"/>
      <c r="H6286" s="114" t="str">
        <f t="shared" si="88"/>
        <v/>
      </c>
      <c r="I6286" s="17"/>
      <c r="J6286" s="17"/>
      <c r="K6286" s="17"/>
    </row>
    <row r="6287" spans="1:11" x14ac:dyDescent="0.2">
      <c r="A6287" s="115"/>
      <c r="B6287" s="95"/>
      <c r="C6287" s="94"/>
      <c r="D6287" s="95"/>
      <c r="E6287" s="95"/>
      <c r="F6287" s="96"/>
      <c r="G6287" s="97"/>
      <c r="H6287" s="114" t="str">
        <f t="shared" si="88"/>
        <v/>
      </c>
      <c r="I6287" s="17"/>
      <c r="J6287" s="17"/>
      <c r="K6287" s="17"/>
    </row>
    <row r="6288" spans="1:11" x14ac:dyDescent="0.2">
      <c r="A6288" s="115"/>
      <c r="B6288" s="95"/>
      <c r="C6288" s="94"/>
      <c r="D6288" s="95"/>
      <c r="E6288" s="95"/>
      <c r="F6288" s="96"/>
      <c r="G6288" s="97"/>
      <c r="H6288" s="114" t="str">
        <f t="shared" si="88"/>
        <v/>
      </c>
      <c r="I6288" s="17"/>
      <c r="J6288" s="17"/>
      <c r="K6288" s="17"/>
    </row>
    <row r="6289" spans="1:11" x14ac:dyDescent="0.2">
      <c r="A6289" s="115"/>
      <c r="B6289" s="95"/>
      <c r="C6289" s="94"/>
      <c r="D6289" s="95"/>
      <c r="E6289" s="95"/>
      <c r="F6289" s="96"/>
      <c r="G6289" s="97"/>
      <c r="H6289" s="114" t="str">
        <f t="shared" si="88"/>
        <v/>
      </c>
      <c r="I6289" s="17"/>
      <c r="J6289" s="17"/>
      <c r="K6289" s="17"/>
    </row>
    <row r="6290" spans="1:11" x14ac:dyDescent="0.2">
      <c r="A6290" s="115"/>
      <c r="B6290" s="95"/>
      <c r="C6290" s="94"/>
      <c r="D6290" s="95"/>
      <c r="E6290" s="95"/>
      <c r="F6290" s="96"/>
      <c r="G6290" s="97"/>
      <c r="H6290" s="114" t="str">
        <f t="shared" si="88"/>
        <v/>
      </c>
      <c r="I6290" s="17"/>
      <c r="J6290" s="17"/>
      <c r="K6290" s="17"/>
    </row>
    <row r="6291" spans="1:11" x14ac:dyDescent="0.2">
      <c r="A6291" s="115"/>
      <c r="B6291" s="95"/>
      <c r="C6291" s="94"/>
      <c r="D6291" s="95"/>
      <c r="E6291" s="95"/>
      <c r="F6291" s="96"/>
      <c r="G6291" s="97"/>
      <c r="H6291" s="114" t="str">
        <f t="shared" si="88"/>
        <v/>
      </c>
      <c r="I6291" s="17"/>
      <c r="J6291" s="17"/>
      <c r="K6291" s="17"/>
    </row>
    <row r="6292" spans="1:11" x14ac:dyDescent="0.2">
      <c r="A6292" s="115"/>
      <c r="B6292" s="95"/>
      <c r="C6292" s="94"/>
      <c r="D6292" s="95"/>
      <c r="E6292" s="95"/>
      <c r="F6292" s="96"/>
      <c r="G6292" s="97"/>
      <c r="H6292" s="114" t="str">
        <f t="shared" si="88"/>
        <v/>
      </c>
      <c r="I6292" s="17"/>
      <c r="J6292" s="17"/>
      <c r="K6292" s="17"/>
    </row>
    <row r="6293" spans="1:11" x14ac:dyDescent="0.2">
      <c r="A6293" s="115"/>
      <c r="B6293" s="95"/>
      <c r="C6293" s="94"/>
      <c r="D6293" s="95"/>
      <c r="E6293" s="95"/>
      <c r="F6293" s="96"/>
      <c r="G6293" s="97"/>
      <c r="H6293" s="114" t="str">
        <f t="shared" si="88"/>
        <v/>
      </c>
      <c r="I6293" s="17"/>
      <c r="J6293" s="17"/>
      <c r="K6293" s="17"/>
    </row>
    <row r="6294" spans="1:11" x14ac:dyDescent="0.2">
      <c r="A6294" s="115"/>
      <c r="B6294" s="95"/>
      <c r="C6294" s="94"/>
      <c r="D6294" s="95"/>
      <c r="E6294" s="95"/>
      <c r="F6294" s="96"/>
      <c r="G6294" s="97"/>
      <c r="H6294" s="114" t="str">
        <f t="shared" si="88"/>
        <v/>
      </c>
      <c r="I6294" s="17"/>
      <c r="J6294" s="17"/>
      <c r="K6294" s="17"/>
    </row>
    <row r="6295" spans="1:11" x14ac:dyDescent="0.2">
      <c r="A6295" s="115"/>
      <c r="B6295" s="95"/>
      <c r="C6295" s="94"/>
      <c r="D6295" s="95"/>
      <c r="E6295" s="95"/>
      <c r="F6295" s="96"/>
      <c r="G6295" s="97"/>
      <c r="H6295" s="114" t="str">
        <f t="shared" si="88"/>
        <v/>
      </c>
      <c r="I6295" s="17"/>
      <c r="J6295" s="17"/>
      <c r="K6295" s="17"/>
    </row>
    <row r="6296" spans="1:11" x14ac:dyDescent="0.2">
      <c r="A6296" s="115"/>
      <c r="B6296" s="95"/>
      <c r="C6296" s="94"/>
      <c r="D6296" s="95"/>
      <c r="E6296" s="95"/>
      <c r="F6296" s="96"/>
      <c r="G6296" s="97"/>
      <c r="H6296" s="114" t="str">
        <f t="shared" si="88"/>
        <v/>
      </c>
      <c r="I6296" s="17"/>
      <c r="J6296" s="17"/>
      <c r="K6296" s="17"/>
    </row>
    <row r="6297" spans="1:11" x14ac:dyDescent="0.2">
      <c r="A6297" s="115"/>
      <c r="B6297" s="95"/>
      <c r="C6297" s="94"/>
      <c r="D6297" s="95"/>
      <c r="E6297" s="95"/>
      <c r="F6297" s="96"/>
      <c r="G6297" s="97"/>
      <c r="H6297" s="114" t="str">
        <f t="shared" si="88"/>
        <v/>
      </c>
      <c r="I6297" s="17"/>
      <c r="J6297" s="17"/>
      <c r="K6297" s="17"/>
    </row>
    <row r="6298" spans="1:11" x14ac:dyDescent="0.2">
      <c r="A6298" s="115"/>
      <c r="B6298" s="95"/>
      <c r="C6298" s="94"/>
      <c r="D6298" s="95"/>
      <c r="E6298" s="95"/>
      <c r="F6298" s="96"/>
      <c r="G6298" s="97"/>
      <c r="H6298" s="114" t="str">
        <f t="shared" si="88"/>
        <v/>
      </c>
      <c r="I6298" s="17"/>
      <c r="J6298" s="17"/>
      <c r="K6298" s="17"/>
    </row>
    <row r="6299" spans="1:11" x14ac:dyDescent="0.2">
      <c r="A6299" s="115"/>
      <c r="B6299" s="95"/>
      <c r="C6299" s="94"/>
      <c r="D6299" s="95"/>
      <c r="E6299" s="95"/>
      <c r="F6299" s="96"/>
      <c r="G6299" s="97"/>
      <c r="H6299" s="114" t="str">
        <f t="shared" si="88"/>
        <v/>
      </c>
      <c r="I6299" s="17"/>
      <c r="J6299" s="17"/>
      <c r="K6299" s="17"/>
    </row>
    <row r="6300" spans="1:11" x14ac:dyDescent="0.2">
      <c r="A6300" s="115"/>
      <c r="B6300" s="95"/>
      <c r="C6300" s="94"/>
      <c r="D6300" s="95"/>
      <c r="E6300" s="95"/>
      <c r="F6300" s="96"/>
      <c r="G6300" s="97"/>
      <c r="H6300" s="114" t="str">
        <f t="shared" si="88"/>
        <v/>
      </c>
      <c r="I6300" s="17"/>
      <c r="J6300" s="17"/>
      <c r="K6300" s="17"/>
    </row>
    <row r="6301" spans="1:11" x14ac:dyDescent="0.2">
      <c r="A6301" s="115"/>
      <c r="B6301" s="95"/>
      <c r="C6301" s="94"/>
      <c r="D6301" s="95"/>
      <c r="E6301" s="95"/>
      <c r="F6301" s="96"/>
      <c r="G6301" s="97"/>
      <c r="H6301" s="114" t="str">
        <f t="shared" si="88"/>
        <v/>
      </c>
      <c r="I6301" s="17"/>
      <c r="J6301" s="17"/>
      <c r="K6301" s="17"/>
    </row>
    <row r="6302" spans="1:11" x14ac:dyDescent="0.2">
      <c r="A6302" s="115"/>
      <c r="B6302" s="95"/>
      <c r="C6302" s="94"/>
      <c r="D6302" s="95"/>
      <c r="E6302" s="95"/>
      <c r="F6302" s="96"/>
      <c r="G6302" s="97"/>
      <c r="H6302" s="114" t="str">
        <f t="shared" si="88"/>
        <v/>
      </c>
      <c r="I6302" s="17"/>
      <c r="J6302" s="17"/>
      <c r="K6302" s="17"/>
    </row>
    <row r="6303" spans="1:11" x14ac:dyDescent="0.2">
      <c r="A6303" s="115"/>
      <c r="B6303" s="95"/>
      <c r="C6303" s="94"/>
      <c r="D6303" s="95"/>
      <c r="E6303" s="95"/>
      <c r="F6303" s="96"/>
      <c r="G6303" s="97"/>
      <c r="H6303" s="114" t="str">
        <f t="shared" si="88"/>
        <v/>
      </c>
      <c r="I6303" s="17"/>
      <c r="J6303" s="17"/>
      <c r="K6303" s="17"/>
    </row>
    <row r="6304" spans="1:11" x14ac:dyDescent="0.2">
      <c r="A6304" s="115"/>
      <c r="B6304" s="95"/>
      <c r="C6304" s="94"/>
      <c r="D6304" s="95"/>
      <c r="E6304" s="95"/>
      <c r="F6304" s="96"/>
      <c r="G6304" s="97"/>
      <c r="H6304" s="114" t="str">
        <f t="shared" si="88"/>
        <v/>
      </c>
      <c r="I6304" s="17"/>
      <c r="J6304" s="17"/>
      <c r="K6304" s="17"/>
    </row>
    <row r="6305" spans="1:11" x14ac:dyDescent="0.2">
      <c r="A6305" s="115"/>
      <c r="B6305" s="95"/>
      <c r="C6305" s="94"/>
      <c r="D6305" s="95"/>
      <c r="E6305" s="95"/>
      <c r="F6305" s="96"/>
      <c r="G6305" s="97"/>
      <c r="H6305" s="114" t="str">
        <f t="shared" si="88"/>
        <v/>
      </c>
      <c r="I6305" s="17"/>
      <c r="J6305" s="17"/>
      <c r="K6305" s="17"/>
    </row>
    <row r="6306" spans="1:11" x14ac:dyDescent="0.2">
      <c r="A6306" s="115"/>
      <c r="B6306" s="95"/>
      <c r="C6306" s="94"/>
      <c r="D6306" s="95"/>
      <c r="E6306" s="95"/>
      <c r="F6306" s="96"/>
      <c r="G6306" s="97"/>
      <c r="H6306" s="114" t="str">
        <f t="shared" si="88"/>
        <v/>
      </c>
      <c r="I6306" s="17"/>
      <c r="J6306" s="17"/>
      <c r="K6306" s="17"/>
    </row>
    <row r="6307" spans="1:11" x14ac:dyDescent="0.2">
      <c r="A6307" s="115"/>
      <c r="B6307" s="95"/>
      <c r="C6307" s="94"/>
      <c r="D6307" s="95"/>
      <c r="E6307" s="95"/>
      <c r="F6307" s="96"/>
      <c r="G6307" s="97"/>
      <c r="H6307" s="114" t="str">
        <f t="shared" si="88"/>
        <v/>
      </c>
      <c r="I6307" s="17"/>
      <c r="J6307" s="17"/>
      <c r="K6307" s="17"/>
    </row>
    <row r="6308" spans="1:11" x14ac:dyDescent="0.2">
      <c r="A6308" s="115"/>
      <c r="B6308" s="95"/>
      <c r="C6308" s="94"/>
      <c r="D6308" s="95"/>
      <c r="E6308" s="95"/>
      <c r="F6308" s="96"/>
      <c r="G6308" s="97"/>
      <c r="H6308" s="114" t="str">
        <f t="shared" si="88"/>
        <v/>
      </c>
      <c r="I6308" s="17"/>
      <c r="J6308" s="17"/>
      <c r="K6308" s="17"/>
    </row>
    <row r="6309" spans="1:11" x14ac:dyDescent="0.2">
      <c r="A6309" s="115"/>
      <c r="B6309" s="95"/>
      <c r="C6309" s="94"/>
      <c r="D6309" s="95"/>
      <c r="E6309" s="95"/>
      <c r="F6309" s="96"/>
      <c r="G6309" s="97"/>
      <c r="H6309" s="114" t="str">
        <f t="shared" si="88"/>
        <v/>
      </c>
      <c r="I6309" s="17"/>
      <c r="J6309" s="17"/>
      <c r="K6309" s="17"/>
    </row>
    <row r="6310" spans="1:11" x14ac:dyDescent="0.2">
      <c r="A6310" s="115"/>
      <c r="B6310" s="95"/>
      <c r="C6310" s="94"/>
      <c r="D6310" s="95"/>
      <c r="E6310" s="95"/>
      <c r="F6310" s="96"/>
      <c r="G6310" s="97"/>
      <c r="H6310" s="114" t="str">
        <f t="shared" si="88"/>
        <v/>
      </c>
      <c r="I6310" s="17"/>
      <c r="J6310" s="17"/>
      <c r="K6310" s="17"/>
    </row>
    <row r="6311" spans="1:11" x14ac:dyDescent="0.2">
      <c r="A6311" s="115"/>
      <c r="B6311" s="95"/>
      <c r="C6311" s="94"/>
      <c r="D6311" s="95"/>
      <c r="E6311" s="95"/>
      <c r="F6311" s="96"/>
      <c r="G6311" s="97"/>
      <c r="H6311" s="114" t="str">
        <f t="shared" si="88"/>
        <v/>
      </c>
      <c r="I6311" s="17"/>
      <c r="J6311" s="17"/>
      <c r="K6311" s="17"/>
    </row>
    <row r="6312" spans="1:11" x14ac:dyDescent="0.2">
      <c r="A6312" s="115"/>
      <c r="B6312" s="95"/>
      <c r="C6312" s="94"/>
      <c r="D6312" s="95"/>
      <c r="E6312" s="95"/>
      <c r="F6312" s="96"/>
      <c r="G6312" s="97"/>
      <c r="H6312" s="114" t="str">
        <f t="shared" si="88"/>
        <v/>
      </c>
      <c r="I6312" s="17"/>
      <c r="J6312" s="17"/>
      <c r="K6312" s="17"/>
    </row>
    <row r="6313" spans="1:11" x14ac:dyDescent="0.2">
      <c r="A6313" s="115"/>
      <c r="B6313" s="95"/>
      <c r="C6313" s="94"/>
      <c r="D6313" s="95"/>
      <c r="E6313" s="95"/>
      <c r="F6313" s="96"/>
      <c r="G6313" s="97"/>
      <c r="H6313" s="114" t="str">
        <f t="shared" si="88"/>
        <v/>
      </c>
      <c r="I6313" s="17"/>
      <c r="J6313" s="17"/>
      <c r="K6313" s="17"/>
    </row>
    <row r="6314" spans="1:11" x14ac:dyDescent="0.2">
      <c r="A6314" s="115"/>
      <c r="B6314" s="95"/>
      <c r="C6314" s="94"/>
      <c r="D6314" s="95"/>
      <c r="E6314" s="95"/>
      <c r="F6314" s="113"/>
      <c r="G6314" s="97"/>
      <c r="H6314" s="114" t="str">
        <f t="shared" si="88"/>
        <v/>
      </c>
      <c r="I6314" s="17"/>
      <c r="J6314" s="17"/>
      <c r="K6314" s="17"/>
    </row>
    <row r="6315" spans="1:11" x14ac:dyDescent="0.2">
      <c r="A6315" s="115"/>
      <c r="B6315" s="95"/>
      <c r="C6315" s="94"/>
      <c r="D6315" s="95"/>
      <c r="E6315" s="95"/>
      <c r="F6315" s="113"/>
      <c r="G6315" s="97"/>
      <c r="H6315" s="114" t="str">
        <f t="shared" si="88"/>
        <v/>
      </c>
      <c r="I6315" s="17"/>
      <c r="J6315" s="17"/>
      <c r="K6315" s="17"/>
    </row>
    <row r="6316" spans="1:11" x14ac:dyDescent="0.2">
      <c r="A6316" s="115"/>
      <c r="B6316" s="95"/>
      <c r="C6316" s="94"/>
      <c r="D6316" s="95"/>
      <c r="E6316" s="95"/>
      <c r="F6316" s="113"/>
      <c r="G6316" s="97"/>
      <c r="H6316" s="114" t="str">
        <f t="shared" si="88"/>
        <v/>
      </c>
      <c r="I6316" s="17"/>
      <c r="J6316" s="17"/>
      <c r="K6316" s="17"/>
    </row>
    <row r="6317" spans="1:11" x14ac:dyDescent="0.2">
      <c r="A6317" s="115"/>
      <c r="B6317" s="95"/>
      <c r="C6317" s="94"/>
      <c r="D6317" s="95"/>
      <c r="E6317" s="95"/>
      <c r="F6317" s="113"/>
      <c r="G6317" s="97"/>
      <c r="H6317" s="114" t="str">
        <f t="shared" si="88"/>
        <v/>
      </c>
      <c r="I6317" s="17"/>
      <c r="J6317" s="17"/>
      <c r="K6317" s="17"/>
    </row>
    <row r="6318" spans="1:11" x14ac:dyDescent="0.2">
      <c r="A6318" s="115"/>
      <c r="B6318" s="95"/>
      <c r="C6318" s="94"/>
      <c r="D6318" s="95"/>
      <c r="E6318" s="95"/>
      <c r="F6318" s="113"/>
      <c r="G6318" s="97"/>
      <c r="H6318" s="114" t="str">
        <f t="shared" si="88"/>
        <v/>
      </c>
      <c r="I6318" s="17"/>
      <c r="J6318" s="17"/>
      <c r="K6318" s="17"/>
    </row>
    <row r="6319" spans="1:11" x14ac:dyDescent="0.2">
      <c r="A6319" s="115"/>
      <c r="B6319" s="95"/>
      <c r="C6319" s="94"/>
      <c r="D6319" s="95"/>
      <c r="E6319" s="95"/>
      <c r="F6319" s="113"/>
      <c r="G6319" s="97"/>
      <c r="H6319" s="114" t="str">
        <f t="shared" si="88"/>
        <v/>
      </c>
      <c r="I6319" s="17"/>
      <c r="J6319" s="17"/>
      <c r="K6319" s="17"/>
    </row>
    <row r="6320" spans="1:11" x14ac:dyDescent="0.2">
      <c r="A6320" s="115"/>
      <c r="B6320" s="95"/>
      <c r="C6320" s="94"/>
      <c r="D6320" s="95"/>
      <c r="E6320" s="95"/>
      <c r="F6320" s="113"/>
      <c r="G6320" s="97"/>
      <c r="H6320" s="114" t="str">
        <f t="shared" si="88"/>
        <v/>
      </c>
      <c r="I6320" s="17"/>
      <c r="J6320" s="17"/>
      <c r="K6320" s="17"/>
    </row>
    <row r="6321" spans="1:11" x14ac:dyDescent="0.2">
      <c r="A6321" s="115"/>
      <c r="B6321" s="95"/>
      <c r="C6321" s="94"/>
      <c r="D6321" s="95"/>
      <c r="E6321" s="95"/>
      <c r="F6321" s="113"/>
      <c r="G6321" s="97"/>
      <c r="H6321" s="114" t="str">
        <f t="shared" si="88"/>
        <v/>
      </c>
      <c r="I6321" s="17"/>
      <c r="J6321" s="17"/>
      <c r="K6321" s="17"/>
    </row>
    <row r="6322" spans="1:11" x14ac:dyDescent="0.2">
      <c r="A6322" s="115"/>
      <c r="B6322" s="95"/>
      <c r="C6322" s="94"/>
      <c r="D6322" s="95"/>
      <c r="E6322" s="95"/>
      <c r="F6322" s="113"/>
      <c r="G6322" s="97"/>
      <c r="H6322" s="114" t="str">
        <f t="shared" si="88"/>
        <v/>
      </c>
      <c r="I6322" s="17"/>
      <c r="J6322" s="17"/>
      <c r="K6322" s="17"/>
    </row>
    <row r="6323" spans="1:11" x14ac:dyDescent="0.2">
      <c r="A6323" s="115"/>
      <c r="B6323" s="95"/>
      <c r="C6323" s="94"/>
      <c r="D6323" s="95"/>
      <c r="E6323" s="95"/>
      <c r="F6323" s="113"/>
      <c r="G6323" s="97"/>
      <c r="H6323" s="114" t="str">
        <f t="shared" si="88"/>
        <v/>
      </c>
      <c r="I6323" s="17"/>
      <c r="J6323" s="17"/>
      <c r="K6323" s="17"/>
    </row>
    <row r="6324" spans="1:11" x14ac:dyDescent="0.2">
      <c r="A6324" s="115"/>
      <c r="B6324" s="95"/>
      <c r="C6324" s="94"/>
      <c r="D6324" s="95"/>
      <c r="E6324" s="95"/>
      <c r="F6324" s="113"/>
      <c r="G6324" s="97"/>
      <c r="H6324" s="114" t="str">
        <f t="shared" si="88"/>
        <v/>
      </c>
      <c r="I6324" s="17"/>
      <c r="J6324" s="17"/>
      <c r="K6324" s="17"/>
    </row>
    <row r="6325" spans="1:11" x14ac:dyDescent="0.2">
      <c r="A6325" s="115"/>
      <c r="B6325" s="95"/>
      <c r="C6325" s="94"/>
      <c r="D6325" s="95"/>
      <c r="E6325" s="95"/>
      <c r="F6325" s="113"/>
      <c r="G6325" s="97"/>
      <c r="H6325" s="114" t="str">
        <f t="shared" si="88"/>
        <v/>
      </c>
      <c r="I6325" s="17"/>
      <c r="J6325" s="17"/>
      <c r="K6325" s="17"/>
    </row>
    <row r="6326" spans="1:11" x14ac:dyDescent="0.2">
      <c r="A6326" s="115"/>
      <c r="B6326" s="95"/>
      <c r="C6326" s="94"/>
      <c r="D6326" s="95"/>
      <c r="E6326" s="95"/>
      <c r="F6326" s="113"/>
      <c r="G6326" s="97"/>
      <c r="H6326" s="114" t="str">
        <f t="shared" si="88"/>
        <v/>
      </c>
      <c r="I6326" s="17"/>
      <c r="J6326" s="17"/>
      <c r="K6326" s="17"/>
    </row>
    <row r="6327" spans="1:11" x14ac:dyDescent="0.2">
      <c r="A6327" s="115"/>
      <c r="B6327" s="95"/>
      <c r="C6327" s="94"/>
      <c r="D6327" s="95"/>
      <c r="E6327" s="95"/>
      <c r="F6327" s="113"/>
      <c r="G6327" s="97"/>
      <c r="H6327" s="114" t="str">
        <f t="shared" si="88"/>
        <v/>
      </c>
      <c r="I6327" s="17"/>
      <c r="J6327" s="17"/>
      <c r="K6327" s="17"/>
    </row>
    <row r="6328" spans="1:11" x14ac:dyDescent="0.2">
      <c r="A6328" s="115"/>
      <c r="B6328" s="95"/>
      <c r="C6328" s="94"/>
      <c r="D6328" s="95"/>
      <c r="E6328" s="95"/>
      <c r="F6328" s="113"/>
      <c r="G6328" s="97"/>
      <c r="H6328" s="114" t="str">
        <f t="shared" si="88"/>
        <v/>
      </c>
      <c r="I6328" s="17"/>
      <c r="J6328" s="17"/>
      <c r="K6328" s="17"/>
    </row>
    <row r="6329" spans="1:11" x14ac:dyDescent="0.2">
      <c r="A6329" s="115"/>
      <c r="B6329" s="95"/>
      <c r="C6329" s="94"/>
      <c r="D6329" s="95"/>
      <c r="E6329" s="95"/>
      <c r="F6329" s="113"/>
      <c r="G6329" s="97"/>
      <c r="H6329" s="114" t="str">
        <f t="shared" si="88"/>
        <v/>
      </c>
      <c r="I6329" s="17"/>
      <c r="J6329" s="17"/>
      <c r="K6329" s="17"/>
    </row>
    <row r="6330" spans="1:11" x14ac:dyDescent="0.2">
      <c r="A6330" s="115"/>
      <c r="B6330" s="95"/>
      <c r="C6330" s="94"/>
      <c r="D6330" s="95"/>
      <c r="E6330" s="95"/>
      <c r="F6330" s="113"/>
      <c r="G6330" s="97"/>
      <c r="H6330" s="114" t="str">
        <f t="shared" si="88"/>
        <v/>
      </c>
      <c r="I6330" s="17"/>
      <c r="J6330" s="17"/>
      <c r="K6330" s="17"/>
    </row>
    <row r="6331" spans="1:11" x14ac:dyDescent="0.2">
      <c r="A6331" s="115"/>
      <c r="B6331" s="95"/>
      <c r="C6331" s="94"/>
      <c r="D6331" s="95"/>
      <c r="E6331" s="95"/>
      <c r="F6331" s="113"/>
      <c r="G6331" s="97"/>
      <c r="H6331" s="114" t="str">
        <f t="shared" si="88"/>
        <v/>
      </c>
      <c r="I6331" s="17"/>
      <c r="J6331" s="17"/>
      <c r="K6331" s="17"/>
    </row>
    <row r="6332" spans="1:11" x14ac:dyDescent="0.2">
      <c r="A6332" s="115"/>
      <c r="B6332" s="95"/>
      <c r="C6332" s="94"/>
      <c r="D6332" s="95"/>
      <c r="E6332" s="95"/>
      <c r="F6332" s="113"/>
      <c r="G6332" s="97"/>
      <c r="H6332" s="114" t="str">
        <f t="shared" si="88"/>
        <v/>
      </c>
      <c r="I6332" s="17"/>
      <c r="J6332" s="17"/>
      <c r="K6332" s="17"/>
    </row>
    <row r="6333" spans="1:11" x14ac:dyDescent="0.2">
      <c r="A6333" s="115"/>
      <c r="B6333" s="95"/>
      <c r="C6333" s="94"/>
      <c r="D6333" s="95"/>
      <c r="E6333" s="95"/>
      <c r="F6333" s="113"/>
      <c r="G6333" s="97"/>
      <c r="H6333" s="114" t="str">
        <f t="shared" si="88"/>
        <v/>
      </c>
      <c r="I6333" s="17"/>
      <c r="J6333" s="17"/>
      <c r="K6333" s="17"/>
    </row>
    <row r="6334" spans="1:11" x14ac:dyDescent="0.2">
      <c r="A6334" s="115"/>
      <c r="B6334" s="95"/>
      <c r="C6334" s="94"/>
      <c r="D6334" s="95"/>
      <c r="E6334" s="95"/>
      <c r="F6334" s="96"/>
      <c r="G6334" s="97"/>
      <c r="H6334" s="114" t="str">
        <f t="shared" si="88"/>
        <v/>
      </c>
      <c r="I6334" s="17"/>
      <c r="J6334" s="17"/>
      <c r="K6334" s="17"/>
    </row>
    <row r="6335" spans="1:11" x14ac:dyDescent="0.2">
      <c r="A6335" s="115"/>
      <c r="B6335" s="95"/>
      <c r="C6335" s="94"/>
      <c r="D6335" s="95"/>
      <c r="E6335" s="95"/>
      <c r="F6335" s="96"/>
      <c r="G6335" s="97"/>
      <c r="H6335" s="114" t="str">
        <f t="shared" si="88"/>
        <v/>
      </c>
      <c r="I6335" s="17"/>
      <c r="J6335" s="17"/>
      <c r="K6335" s="17"/>
    </row>
    <row r="6336" spans="1:11" x14ac:dyDescent="0.2">
      <c r="A6336" s="115"/>
      <c r="B6336" s="95"/>
      <c r="C6336" s="94"/>
      <c r="D6336" s="95"/>
      <c r="E6336" s="95"/>
      <c r="F6336" s="96"/>
      <c r="G6336" s="97"/>
      <c r="H6336" s="114" t="str">
        <f t="shared" si="88"/>
        <v/>
      </c>
      <c r="I6336" s="17"/>
      <c r="J6336" s="17"/>
      <c r="K6336" s="17"/>
    </row>
    <row r="6337" spans="1:11" x14ac:dyDescent="0.2">
      <c r="A6337" s="115"/>
      <c r="B6337" s="95"/>
      <c r="C6337" s="94"/>
      <c r="D6337" s="95"/>
      <c r="E6337" s="95"/>
      <c r="F6337" s="96"/>
      <c r="G6337" s="97"/>
      <c r="H6337" s="114" t="str">
        <f t="shared" si="88"/>
        <v/>
      </c>
      <c r="I6337" s="17"/>
      <c r="J6337" s="17"/>
      <c r="K6337" s="17"/>
    </row>
    <row r="6338" spans="1:11" x14ac:dyDescent="0.2">
      <c r="A6338" s="115"/>
      <c r="B6338" s="95"/>
      <c r="C6338" s="94"/>
      <c r="D6338" s="95"/>
      <c r="E6338" s="95"/>
      <c r="F6338" s="96"/>
      <c r="G6338" s="97"/>
      <c r="H6338" s="114" t="str">
        <f t="shared" si="88"/>
        <v/>
      </c>
      <c r="I6338" s="17"/>
      <c r="J6338" s="17"/>
      <c r="K6338" s="17"/>
    </row>
    <row r="6339" spans="1:11" x14ac:dyDescent="0.2">
      <c r="A6339" s="115"/>
      <c r="B6339" s="95"/>
      <c r="C6339" s="94"/>
      <c r="D6339" s="95"/>
      <c r="E6339" s="95"/>
      <c r="F6339" s="96"/>
      <c r="G6339" s="97"/>
      <c r="H6339" s="114" t="str">
        <f t="shared" si="88"/>
        <v/>
      </c>
      <c r="I6339" s="17"/>
      <c r="J6339" s="17"/>
      <c r="K6339" s="17"/>
    </row>
    <row r="6340" spans="1:11" x14ac:dyDescent="0.2">
      <c r="A6340" s="115"/>
      <c r="B6340" s="95"/>
      <c r="C6340" s="94"/>
      <c r="D6340" s="95"/>
      <c r="E6340" s="95"/>
      <c r="F6340" s="96"/>
      <c r="G6340" s="97"/>
      <c r="H6340" s="114" t="str">
        <f t="shared" ref="H6340:H6403" si="89">IF(A6340&lt;&gt;"", EOMONTH(A6340, -1) + 1, "")</f>
        <v/>
      </c>
      <c r="I6340" s="17"/>
      <c r="J6340" s="17"/>
      <c r="K6340" s="17"/>
    </row>
    <row r="6341" spans="1:11" x14ac:dyDescent="0.2">
      <c r="A6341" s="115"/>
      <c r="B6341" s="95"/>
      <c r="C6341" s="94"/>
      <c r="D6341" s="95"/>
      <c r="E6341" s="95"/>
      <c r="F6341" s="96"/>
      <c r="G6341" s="97"/>
      <c r="H6341" s="114" t="str">
        <f t="shared" si="89"/>
        <v/>
      </c>
      <c r="I6341" s="17"/>
      <c r="J6341" s="17"/>
      <c r="K6341" s="17"/>
    </row>
    <row r="6342" spans="1:11" x14ac:dyDescent="0.2">
      <c r="A6342" s="115"/>
      <c r="B6342" s="95"/>
      <c r="C6342" s="94"/>
      <c r="D6342" s="95"/>
      <c r="E6342" s="95"/>
      <c r="F6342" s="96"/>
      <c r="G6342" s="97"/>
      <c r="H6342" s="114" t="str">
        <f t="shared" si="89"/>
        <v/>
      </c>
      <c r="I6342" s="17"/>
      <c r="J6342" s="17"/>
      <c r="K6342" s="17"/>
    </row>
    <row r="6343" spans="1:11" x14ac:dyDescent="0.2">
      <c r="A6343" s="115"/>
      <c r="B6343" s="95"/>
      <c r="C6343" s="94"/>
      <c r="D6343" s="95"/>
      <c r="E6343" s="95"/>
      <c r="F6343" s="96"/>
      <c r="G6343" s="97"/>
      <c r="H6343" s="114" t="str">
        <f t="shared" si="89"/>
        <v/>
      </c>
      <c r="I6343" s="17"/>
      <c r="J6343" s="17"/>
      <c r="K6343" s="17"/>
    </row>
    <row r="6344" spans="1:11" x14ac:dyDescent="0.2">
      <c r="A6344" s="115"/>
      <c r="B6344" s="95"/>
      <c r="C6344" s="94"/>
      <c r="D6344" s="95"/>
      <c r="E6344" s="95"/>
      <c r="F6344" s="96"/>
      <c r="G6344" s="97"/>
      <c r="H6344" s="114" t="str">
        <f t="shared" si="89"/>
        <v/>
      </c>
      <c r="I6344" s="17"/>
      <c r="J6344" s="17"/>
      <c r="K6344" s="17"/>
    </row>
    <row r="6345" spans="1:11" x14ac:dyDescent="0.2">
      <c r="A6345" s="115"/>
      <c r="B6345" s="95"/>
      <c r="C6345" s="94"/>
      <c r="D6345" s="95"/>
      <c r="E6345" s="95"/>
      <c r="F6345" s="96"/>
      <c r="G6345" s="97"/>
      <c r="H6345" s="114" t="str">
        <f t="shared" si="89"/>
        <v/>
      </c>
      <c r="I6345" s="17"/>
      <c r="J6345" s="17"/>
      <c r="K6345" s="17"/>
    </row>
    <row r="6346" spans="1:11" x14ac:dyDescent="0.2">
      <c r="A6346" s="115"/>
      <c r="B6346" s="95"/>
      <c r="C6346" s="94"/>
      <c r="D6346" s="95"/>
      <c r="E6346" s="95"/>
      <c r="F6346" s="96"/>
      <c r="G6346" s="97"/>
      <c r="H6346" s="114" t="str">
        <f t="shared" si="89"/>
        <v/>
      </c>
      <c r="I6346" s="17"/>
      <c r="J6346" s="17"/>
      <c r="K6346" s="17"/>
    </row>
    <row r="6347" spans="1:11" x14ac:dyDescent="0.2">
      <c r="A6347" s="115"/>
      <c r="B6347" s="95"/>
      <c r="C6347" s="94"/>
      <c r="D6347" s="95"/>
      <c r="E6347" s="95"/>
      <c r="F6347" s="96"/>
      <c r="G6347" s="97"/>
      <c r="H6347" s="114" t="str">
        <f t="shared" si="89"/>
        <v/>
      </c>
      <c r="I6347" s="17"/>
      <c r="J6347" s="17"/>
      <c r="K6347" s="17"/>
    </row>
    <row r="6348" spans="1:11" x14ac:dyDescent="0.2">
      <c r="A6348" s="115"/>
      <c r="B6348" s="95"/>
      <c r="C6348" s="94"/>
      <c r="D6348" s="95"/>
      <c r="E6348" s="95"/>
      <c r="F6348" s="96"/>
      <c r="G6348" s="97"/>
      <c r="H6348" s="114" t="str">
        <f t="shared" si="89"/>
        <v/>
      </c>
      <c r="I6348" s="17"/>
      <c r="J6348" s="17"/>
      <c r="K6348" s="17"/>
    </row>
    <row r="6349" spans="1:11" x14ac:dyDescent="0.2">
      <c r="A6349" s="115"/>
      <c r="B6349" s="95"/>
      <c r="C6349" s="94"/>
      <c r="D6349" s="95"/>
      <c r="E6349" s="95"/>
      <c r="F6349" s="96"/>
      <c r="G6349" s="97"/>
      <c r="H6349" s="114" t="str">
        <f t="shared" si="89"/>
        <v/>
      </c>
      <c r="I6349" s="17"/>
      <c r="J6349" s="17"/>
      <c r="K6349" s="17"/>
    </row>
    <row r="6350" spans="1:11" x14ac:dyDescent="0.2">
      <c r="A6350" s="115"/>
      <c r="B6350" s="95"/>
      <c r="C6350" s="94"/>
      <c r="D6350" s="95"/>
      <c r="E6350" s="95"/>
      <c r="F6350" s="96"/>
      <c r="G6350" s="97"/>
      <c r="H6350" s="114" t="str">
        <f t="shared" si="89"/>
        <v/>
      </c>
      <c r="I6350" s="17"/>
      <c r="J6350" s="17"/>
      <c r="K6350" s="17"/>
    </row>
    <row r="6351" spans="1:11" x14ac:dyDescent="0.2">
      <c r="A6351" s="115"/>
      <c r="B6351" s="95"/>
      <c r="C6351" s="94"/>
      <c r="D6351" s="95"/>
      <c r="E6351" s="95"/>
      <c r="F6351" s="96"/>
      <c r="G6351" s="97"/>
      <c r="H6351" s="114" t="str">
        <f t="shared" si="89"/>
        <v/>
      </c>
      <c r="I6351" s="17"/>
      <c r="J6351" s="17"/>
      <c r="K6351" s="17"/>
    </row>
    <row r="6352" spans="1:11" x14ac:dyDescent="0.2">
      <c r="A6352" s="115"/>
      <c r="B6352" s="95"/>
      <c r="C6352" s="94"/>
      <c r="D6352" s="95"/>
      <c r="E6352" s="95"/>
      <c r="F6352" s="96"/>
      <c r="G6352" s="97"/>
      <c r="H6352" s="114" t="str">
        <f t="shared" si="89"/>
        <v/>
      </c>
      <c r="I6352" s="17"/>
      <c r="J6352" s="17"/>
      <c r="K6352" s="17"/>
    </row>
    <row r="6353" spans="1:11" x14ac:dyDescent="0.2">
      <c r="A6353" s="115"/>
      <c r="B6353" s="95"/>
      <c r="C6353" s="94"/>
      <c r="D6353" s="95"/>
      <c r="E6353" s="95"/>
      <c r="F6353" s="96"/>
      <c r="G6353" s="97"/>
      <c r="H6353" s="114" t="str">
        <f t="shared" si="89"/>
        <v/>
      </c>
      <c r="I6353" s="17"/>
      <c r="J6353" s="17"/>
      <c r="K6353" s="17"/>
    </row>
    <row r="6354" spans="1:11" x14ac:dyDescent="0.2">
      <c r="A6354" s="115"/>
      <c r="B6354" s="95"/>
      <c r="C6354" s="94"/>
      <c r="D6354" s="95"/>
      <c r="E6354" s="95"/>
      <c r="F6354" s="96"/>
      <c r="G6354" s="97"/>
      <c r="H6354" s="114" t="str">
        <f t="shared" si="89"/>
        <v/>
      </c>
      <c r="I6354" s="17"/>
      <c r="J6354" s="17"/>
      <c r="K6354" s="17"/>
    </row>
    <row r="6355" spans="1:11" x14ac:dyDescent="0.2">
      <c r="A6355" s="115"/>
      <c r="B6355" s="95"/>
      <c r="C6355" s="94"/>
      <c r="D6355" s="95"/>
      <c r="E6355" s="95"/>
      <c r="F6355" s="96"/>
      <c r="G6355" s="97"/>
      <c r="H6355" s="114" t="str">
        <f t="shared" si="89"/>
        <v/>
      </c>
      <c r="I6355" s="17"/>
      <c r="J6355" s="17"/>
      <c r="K6355" s="17"/>
    </row>
    <row r="6356" spans="1:11" x14ac:dyDescent="0.2">
      <c r="A6356" s="115"/>
      <c r="B6356" s="95"/>
      <c r="C6356" s="94"/>
      <c r="D6356" s="95"/>
      <c r="E6356" s="95"/>
      <c r="F6356" s="96"/>
      <c r="G6356" s="97"/>
      <c r="H6356" s="114" t="str">
        <f t="shared" si="89"/>
        <v/>
      </c>
      <c r="I6356" s="17"/>
      <c r="J6356" s="17"/>
      <c r="K6356" s="17"/>
    </row>
    <row r="6357" spans="1:11" x14ac:dyDescent="0.2">
      <c r="A6357" s="115"/>
      <c r="B6357" s="95"/>
      <c r="C6357" s="94"/>
      <c r="D6357" s="95"/>
      <c r="E6357" s="95"/>
      <c r="F6357" s="96"/>
      <c r="G6357" s="97"/>
      <c r="H6357" s="114" t="str">
        <f t="shared" si="89"/>
        <v/>
      </c>
      <c r="I6357" s="17"/>
      <c r="J6357" s="17"/>
      <c r="K6357" s="17"/>
    </row>
    <row r="6358" spans="1:11" x14ac:dyDescent="0.2">
      <c r="A6358" s="115"/>
      <c r="B6358" s="95"/>
      <c r="C6358" s="94"/>
      <c r="D6358" s="95"/>
      <c r="E6358" s="95"/>
      <c r="F6358" s="96"/>
      <c r="G6358" s="97"/>
      <c r="H6358" s="114" t="str">
        <f t="shared" si="89"/>
        <v/>
      </c>
      <c r="I6358" s="17"/>
      <c r="J6358" s="17"/>
      <c r="K6358" s="17"/>
    </row>
    <row r="6359" spans="1:11" x14ac:dyDescent="0.2">
      <c r="A6359" s="115"/>
      <c r="B6359" s="95"/>
      <c r="C6359" s="94"/>
      <c r="D6359" s="95"/>
      <c r="E6359" s="95"/>
      <c r="F6359" s="96"/>
      <c r="G6359" s="97"/>
      <c r="H6359" s="114" t="str">
        <f t="shared" si="89"/>
        <v/>
      </c>
      <c r="I6359" s="17"/>
      <c r="J6359" s="17"/>
      <c r="K6359" s="17"/>
    </row>
    <row r="6360" spans="1:11" x14ac:dyDescent="0.2">
      <c r="A6360" s="115"/>
      <c r="B6360" s="95"/>
      <c r="C6360" s="94"/>
      <c r="D6360" s="95"/>
      <c r="E6360" s="95"/>
      <c r="F6360" s="96"/>
      <c r="G6360" s="97"/>
      <c r="H6360" s="114" t="str">
        <f t="shared" si="89"/>
        <v/>
      </c>
      <c r="I6360" s="17"/>
      <c r="J6360" s="17"/>
      <c r="K6360" s="17"/>
    </row>
    <row r="6361" spans="1:11" x14ac:dyDescent="0.2">
      <c r="A6361" s="115"/>
      <c r="B6361" s="95"/>
      <c r="C6361" s="94"/>
      <c r="D6361" s="95"/>
      <c r="E6361" s="95"/>
      <c r="F6361" s="96"/>
      <c r="G6361" s="97"/>
      <c r="H6361" s="114" t="str">
        <f t="shared" si="89"/>
        <v/>
      </c>
      <c r="I6361" s="17"/>
      <c r="J6361" s="17"/>
      <c r="K6361" s="17"/>
    </row>
    <row r="6362" spans="1:11" x14ac:dyDescent="0.2">
      <c r="A6362" s="115"/>
      <c r="B6362" s="95"/>
      <c r="C6362" s="94"/>
      <c r="D6362" s="95"/>
      <c r="E6362" s="95"/>
      <c r="F6362" s="96"/>
      <c r="G6362" s="97"/>
      <c r="H6362" s="114" t="str">
        <f t="shared" si="89"/>
        <v/>
      </c>
      <c r="I6362" s="17"/>
      <c r="J6362" s="17"/>
      <c r="K6362" s="17"/>
    </row>
    <row r="6363" spans="1:11" x14ac:dyDescent="0.2">
      <c r="A6363" s="115"/>
      <c r="B6363" s="95"/>
      <c r="C6363" s="94"/>
      <c r="D6363" s="95"/>
      <c r="E6363" s="95"/>
      <c r="F6363" s="96"/>
      <c r="G6363" s="97"/>
      <c r="H6363" s="114" t="str">
        <f t="shared" si="89"/>
        <v/>
      </c>
      <c r="I6363" s="17"/>
      <c r="J6363" s="17"/>
      <c r="K6363" s="17"/>
    </row>
    <row r="6364" spans="1:11" x14ac:dyDescent="0.2">
      <c r="A6364" s="115"/>
      <c r="B6364" s="95"/>
      <c r="C6364" s="94"/>
      <c r="D6364" s="95"/>
      <c r="E6364" s="95"/>
      <c r="F6364" s="96"/>
      <c r="G6364" s="97"/>
      <c r="H6364" s="114" t="str">
        <f t="shared" si="89"/>
        <v/>
      </c>
      <c r="I6364" s="17"/>
      <c r="J6364" s="17"/>
      <c r="K6364" s="17"/>
    </row>
    <row r="6365" spans="1:11" x14ac:dyDescent="0.2">
      <c r="A6365" s="115"/>
      <c r="B6365" s="95"/>
      <c r="C6365" s="94"/>
      <c r="D6365" s="95"/>
      <c r="E6365" s="95"/>
      <c r="F6365" s="96"/>
      <c r="G6365" s="97"/>
      <c r="H6365" s="114" t="str">
        <f t="shared" si="89"/>
        <v/>
      </c>
      <c r="I6365" s="17"/>
      <c r="J6365" s="17"/>
      <c r="K6365" s="17"/>
    </row>
    <row r="6366" spans="1:11" x14ac:dyDescent="0.2">
      <c r="A6366" s="115"/>
      <c r="B6366" s="95"/>
      <c r="C6366" s="94"/>
      <c r="D6366" s="95"/>
      <c r="E6366" s="95"/>
      <c r="F6366" s="96"/>
      <c r="G6366" s="97"/>
      <c r="H6366" s="114" t="str">
        <f t="shared" si="89"/>
        <v/>
      </c>
      <c r="I6366" s="17"/>
      <c r="J6366" s="17"/>
      <c r="K6366" s="17"/>
    </row>
    <row r="6367" spans="1:11" x14ac:dyDescent="0.2">
      <c r="A6367" s="115"/>
      <c r="B6367" s="95"/>
      <c r="C6367" s="94"/>
      <c r="D6367" s="95"/>
      <c r="E6367" s="95"/>
      <c r="F6367" s="96"/>
      <c r="G6367" s="97"/>
      <c r="H6367" s="114" t="str">
        <f t="shared" si="89"/>
        <v/>
      </c>
      <c r="I6367" s="17"/>
      <c r="J6367" s="17"/>
      <c r="K6367" s="17"/>
    </row>
    <row r="6368" spans="1:11" x14ac:dyDescent="0.2">
      <c r="A6368" s="115"/>
      <c r="B6368" s="95"/>
      <c r="C6368" s="94"/>
      <c r="D6368" s="95"/>
      <c r="E6368" s="95"/>
      <c r="F6368" s="96"/>
      <c r="G6368" s="97"/>
      <c r="H6368" s="114" t="str">
        <f t="shared" si="89"/>
        <v/>
      </c>
      <c r="I6368" s="17"/>
      <c r="J6368" s="17"/>
      <c r="K6368" s="17"/>
    </row>
    <row r="6369" spans="1:11" x14ac:dyDescent="0.2">
      <c r="A6369" s="115"/>
      <c r="B6369" s="95"/>
      <c r="C6369" s="94"/>
      <c r="D6369" s="95"/>
      <c r="E6369" s="95"/>
      <c r="F6369" s="96"/>
      <c r="G6369" s="97"/>
      <c r="H6369" s="114" t="str">
        <f t="shared" si="89"/>
        <v/>
      </c>
      <c r="I6369" s="17"/>
      <c r="J6369" s="17"/>
      <c r="K6369" s="17"/>
    </row>
    <row r="6370" spans="1:11" x14ac:dyDescent="0.2">
      <c r="A6370" s="115"/>
      <c r="B6370" s="95"/>
      <c r="C6370" s="94"/>
      <c r="D6370" s="95"/>
      <c r="E6370" s="95"/>
      <c r="F6370" s="96"/>
      <c r="G6370" s="97"/>
      <c r="H6370" s="114" t="str">
        <f t="shared" si="89"/>
        <v/>
      </c>
      <c r="I6370" s="17"/>
      <c r="J6370" s="17"/>
      <c r="K6370" s="17"/>
    </row>
    <row r="6371" spans="1:11" x14ac:dyDescent="0.2">
      <c r="A6371" s="115"/>
      <c r="B6371" s="95"/>
      <c r="C6371" s="94"/>
      <c r="D6371" s="95"/>
      <c r="E6371" s="95"/>
      <c r="F6371" s="96"/>
      <c r="G6371" s="97"/>
      <c r="H6371" s="114" t="str">
        <f t="shared" si="89"/>
        <v/>
      </c>
      <c r="I6371" s="17"/>
      <c r="J6371" s="17"/>
      <c r="K6371" s="17"/>
    </row>
    <row r="6372" spans="1:11" x14ac:dyDescent="0.2">
      <c r="A6372" s="115"/>
      <c r="B6372" s="95"/>
      <c r="C6372" s="94"/>
      <c r="D6372" s="95"/>
      <c r="E6372" s="95"/>
      <c r="F6372" s="96"/>
      <c r="G6372" s="97"/>
      <c r="H6372" s="114" t="str">
        <f t="shared" si="89"/>
        <v/>
      </c>
      <c r="I6372" s="17"/>
      <c r="J6372" s="17"/>
      <c r="K6372" s="17"/>
    </row>
    <row r="6373" spans="1:11" x14ac:dyDescent="0.2">
      <c r="A6373" s="115"/>
      <c r="B6373" s="95"/>
      <c r="C6373" s="94"/>
      <c r="D6373" s="95"/>
      <c r="E6373" s="95"/>
      <c r="F6373" s="96"/>
      <c r="G6373" s="97"/>
      <c r="H6373" s="114" t="str">
        <f t="shared" si="89"/>
        <v/>
      </c>
      <c r="I6373" s="17"/>
      <c r="J6373" s="17"/>
      <c r="K6373" s="17"/>
    </row>
    <row r="6374" spans="1:11" x14ac:dyDescent="0.2">
      <c r="A6374" s="115"/>
      <c r="B6374" s="95"/>
      <c r="C6374" s="94"/>
      <c r="D6374" s="95"/>
      <c r="E6374" s="95"/>
      <c r="F6374" s="96"/>
      <c r="G6374" s="97"/>
      <c r="H6374" s="114" t="str">
        <f t="shared" si="89"/>
        <v/>
      </c>
      <c r="I6374" s="17"/>
      <c r="J6374" s="17"/>
      <c r="K6374" s="17"/>
    </row>
    <row r="6375" spans="1:11" x14ac:dyDescent="0.2">
      <c r="A6375" s="115"/>
      <c r="B6375" s="95"/>
      <c r="C6375" s="94"/>
      <c r="D6375" s="95"/>
      <c r="E6375" s="95"/>
      <c r="F6375" s="96"/>
      <c r="G6375" s="97"/>
      <c r="H6375" s="114" t="str">
        <f t="shared" si="89"/>
        <v/>
      </c>
      <c r="I6375" s="17"/>
      <c r="J6375" s="17"/>
      <c r="K6375" s="17"/>
    </row>
    <row r="6376" spans="1:11" x14ac:dyDescent="0.2">
      <c r="A6376" s="115"/>
      <c r="B6376" s="95"/>
      <c r="C6376" s="94"/>
      <c r="D6376" s="95"/>
      <c r="E6376" s="95"/>
      <c r="F6376" s="96"/>
      <c r="G6376" s="97"/>
      <c r="H6376" s="114" t="str">
        <f t="shared" si="89"/>
        <v/>
      </c>
      <c r="I6376" s="17"/>
      <c r="J6376" s="17"/>
      <c r="K6376" s="17"/>
    </row>
    <row r="6377" spans="1:11" x14ac:dyDescent="0.2">
      <c r="A6377" s="115"/>
      <c r="B6377" s="95"/>
      <c r="C6377" s="94"/>
      <c r="D6377" s="95"/>
      <c r="E6377" s="95"/>
      <c r="F6377" s="96"/>
      <c r="G6377" s="97"/>
      <c r="H6377" s="114" t="str">
        <f t="shared" si="89"/>
        <v/>
      </c>
      <c r="I6377" s="17"/>
      <c r="J6377" s="17"/>
      <c r="K6377" s="17"/>
    </row>
    <row r="6378" spans="1:11" x14ac:dyDescent="0.2">
      <c r="A6378" s="115"/>
      <c r="B6378" s="95"/>
      <c r="C6378" s="94"/>
      <c r="D6378" s="95"/>
      <c r="E6378" s="95"/>
      <c r="F6378" s="96"/>
      <c r="G6378" s="97"/>
      <c r="H6378" s="114" t="str">
        <f t="shared" si="89"/>
        <v/>
      </c>
      <c r="I6378" s="17"/>
      <c r="J6378" s="17"/>
      <c r="K6378" s="17"/>
    </row>
    <row r="6379" spans="1:11" x14ac:dyDescent="0.2">
      <c r="A6379" s="115"/>
      <c r="B6379" s="95"/>
      <c r="C6379" s="94"/>
      <c r="D6379" s="95"/>
      <c r="E6379" s="95"/>
      <c r="F6379" s="96"/>
      <c r="G6379" s="97"/>
      <c r="H6379" s="114" t="str">
        <f t="shared" si="89"/>
        <v/>
      </c>
      <c r="I6379" s="17"/>
      <c r="J6379" s="17"/>
      <c r="K6379" s="17"/>
    </row>
    <row r="6380" spans="1:11" x14ac:dyDescent="0.2">
      <c r="A6380" s="115"/>
      <c r="B6380" s="95"/>
      <c r="C6380" s="94"/>
      <c r="D6380" s="95"/>
      <c r="E6380" s="95"/>
      <c r="F6380" s="96"/>
      <c r="G6380" s="97"/>
      <c r="H6380" s="114" t="str">
        <f t="shared" si="89"/>
        <v/>
      </c>
      <c r="I6380" s="17"/>
      <c r="J6380" s="17"/>
      <c r="K6380" s="17"/>
    </row>
    <row r="6381" spans="1:11" x14ac:dyDescent="0.2">
      <c r="A6381" s="115"/>
      <c r="B6381" s="95"/>
      <c r="C6381" s="94"/>
      <c r="D6381" s="95"/>
      <c r="E6381" s="95"/>
      <c r="F6381" s="96"/>
      <c r="G6381" s="97"/>
      <c r="H6381" s="114" t="str">
        <f t="shared" si="89"/>
        <v/>
      </c>
      <c r="I6381" s="17"/>
      <c r="J6381" s="17"/>
      <c r="K6381" s="17"/>
    </row>
    <row r="6382" spans="1:11" x14ac:dyDescent="0.2">
      <c r="A6382" s="115"/>
      <c r="B6382" s="95"/>
      <c r="C6382" s="94"/>
      <c r="D6382" s="95"/>
      <c r="E6382" s="95"/>
      <c r="F6382" s="96"/>
      <c r="G6382" s="97"/>
      <c r="H6382" s="114" t="str">
        <f t="shared" si="89"/>
        <v/>
      </c>
      <c r="I6382" s="17"/>
      <c r="J6382" s="17"/>
      <c r="K6382" s="17"/>
    </row>
    <row r="6383" spans="1:11" x14ac:dyDescent="0.2">
      <c r="A6383" s="115"/>
      <c r="B6383" s="95"/>
      <c r="C6383" s="94"/>
      <c r="D6383" s="95"/>
      <c r="E6383" s="95"/>
      <c r="F6383" s="96"/>
      <c r="G6383" s="97"/>
      <c r="H6383" s="114" t="str">
        <f t="shared" si="89"/>
        <v/>
      </c>
      <c r="I6383" s="17"/>
      <c r="J6383" s="17"/>
      <c r="K6383" s="17"/>
    </row>
    <row r="6384" spans="1:11" x14ac:dyDescent="0.2">
      <c r="A6384" s="115"/>
      <c r="B6384" s="95"/>
      <c r="C6384" s="94"/>
      <c r="D6384" s="95"/>
      <c r="E6384" s="95"/>
      <c r="F6384" s="96"/>
      <c r="G6384" s="97"/>
      <c r="H6384" s="114" t="str">
        <f t="shared" si="89"/>
        <v/>
      </c>
      <c r="I6384" s="17"/>
      <c r="J6384" s="17"/>
      <c r="K6384" s="17"/>
    </row>
    <row r="6385" spans="1:11" x14ac:dyDescent="0.2">
      <c r="A6385" s="115"/>
      <c r="B6385" s="95"/>
      <c r="C6385" s="94"/>
      <c r="D6385" s="95"/>
      <c r="E6385" s="95"/>
      <c r="F6385" s="96"/>
      <c r="G6385" s="97"/>
      <c r="H6385" s="114" t="str">
        <f t="shared" si="89"/>
        <v/>
      </c>
      <c r="I6385" s="17"/>
      <c r="J6385" s="17"/>
      <c r="K6385" s="17"/>
    </row>
    <row r="6386" spans="1:11" x14ac:dyDescent="0.2">
      <c r="A6386" s="115"/>
      <c r="B6386" s="95"/>
      <c r="C6386" s="94"/>
      <c r="D6386" s="95"/>
      <c r="E6386" s="95"/>
      <c r="F6386" s="96"/>
      <c r="G6386" s="97"/>
      <c r="H6386" s="114" t="str">
        <f t="shared" si="89"/>
        <v/>
      </c>
      <c r="I6386" s="17"/>
      <c r="J6386" s="17"/>
      <c r="K6386" s="17"/>
    </row>
    <row r="6387" spans="1:11" x14ac:dyDescent="0.2">
      <c r="A6387" s="115"/>
      <c r="B6387" s="95"/>
      <c r="C6387" s="94"/>
      <c r="D6387" s="95"/>
      <c r="E6387" s="95"/>
      <c r="F6387" s="96"/>
      <c r="G6387" s="97"/>
      <c r="H6387" s="114" t="str">
        <f t="shared" si="89"/>
        <v/>
      </c>
      <c r="I6387" s="17"/>
      <c r="J6387" s="17"/>
      <c r="K6387" s="17"/>
    </row>
    <row r="6388" spans="1:11" x14ac:dyDescent="0.2">
      <c r="A6388" s="115"/>
      <c r="B6388" s="95"/>
      <c r="C6388" s="94"/>
      <c r="D6388" s="95"/>
      <c r="E6388" s="95"/>
      <c r="F6388" s="96"/>
      <c r="G6388" s="97"/>
      <c r="H6388" s="114" t="str">
        <f t="shared" si="89"/>
        <v/>
      </c>
      <c r="I6388" s="17"/>
      <c r="J6388" s="17"/>
      <c r="K6388" s="17"/>
    </row>
    <row r="6389" spans="1:11" x14ac:dyDescent="0.2">
      <c r="A6389" s="115"/>
      <c r="B6389" s="95"/>
      <c r="C6389" s="94"/>
      <c r="D6389" s="95"/>
      <c r="E6389" s="95"/>
      <c r="F6389" s="96"/>
      <c r="G6389" s="97"/>
      <c r="H6389" s="114" t="str">
        <f t="shared" si="89"/>
        <v/>
      </c>
      <c r="I6389" s="17"/>
      <c r="J6389" s="17"/>
      <c r="K6389" s="17"/>
    </row>
    <row r="6390" spans="1:11" x14ac:dyDescent="0.2">
      <c r="A6390" s="115"/>
      <c r="B6390" s="95"/>
      <c r="C6390" s="94"/>
      <c r="D6390" s="95"/>
      <c r="E6390" s="95"/>
      <c r="F6390" s="96"/>
      <c r="G6390" s="97"/>
      <c r="H6390" s="114" t="str">
        <f t="shared" si="89"/>
        <v/>
      </c>
      <c r="I6390" s="17"/>
      <c r="J6390" s="17"/>
      <c r="K6390" s="17"/>
    </row>
    <row r="6391" spans="1:11" x14ac:dyDescent="0.2">
      <c r="A6391" s="115"/>
      <c r="B6391" s="95"/>
      <c r="C6391" s="94"/>
      <c r="D6391" s="95"/>
      <c r="E6391" s="95"/>
      <c r="F6391" s="96"/>
      <c r="G6391" s="97"/>
      <c r="H6391" s="114" t="str">
        <f t="shared" si="89"/>
        <v/>
      </c>
      <c r="I6391" s="17"/>
      <c r="J6391" s="17"/>
      <c r="K6391" s="17"/>
    </row>
    <row r="6392" spans="1:11" x14ac:dyDescent="0.2">
      <c r="A6392" s="115"/>
      <c r="B6392" s="95"/>
      <c r="C6392" s="94"/>
      <c r="D6392" s="95"/>
      <c r="E6392" s="95"/>
      <c r="F6392" s="96"/>
      <c r="G6392" s="97"/>
      <c r="H6392" s="114" t="str">
        <f t="shared" si="89"/>
        <v/>
      </c>
      <c r="I6392" s="17"/>
      <c r="J6392" s="17"/>
      <c r="K6392" s="17"/>
    </row>
    <row r="6393" spans="1:11" x14ac:dyDescent="0.2">
      <c r="A6393" s="115"/>
      <c r="B6393" s="95"/>
      <c r="C6393" s="94"/>
      <c r="D6393" s="95"/>
      <c r="E6393" s="95"/>
      <c r="F6393" s="96"/>
      <c r="G6393" s="97"/>
      <c r="H6393" s="114" t="str">
        <f t="shared" si="89"/>
        <v/>
      </c>
      <c r="I6393" s="17"/>
      <c r="J6393" s="17"/>
      <c r="K6393" s="17"/>
    </row>
    <row r="6394" spans="1:11" x14ac:dyDescent="0.2">
      <c r="A6394" s="115"/>
      <c r="B6394" s="95"/>
      <c r="C6394" s="94"/>
      <c r="D6394" s="95"/>
      <c r="E6394" s="95"/>
      <c r="F6394" s="96"/>
      <c r="G6394" s="97"/>
      <c r="H6394" s="114" t="str">
        <f t="shared" si="89"/>
        <v/>
      </c>
      <c r="I6394" s="17"/>
      <c r="J6394" s="17"/>
      <c r="K6394" s="17"/>
    </row>
    <row r="6395" spans="1:11" x14ac:dyDescent="0.2">
      <c r="A6395" s="115"/>
      <c r="B6395" s="95"/>
      <c r="C6395" s="94"/>
      <c r="D6395" s="95"/>
      <c r="E6395" s="95"/>
      <c r="F6395" s="96"/>
      <c r="G6395" s="97"/>
      <c r="H6395" s="114" t="str">
        <f t="shared" si="89"/>
        <v/>
      </c>
      <c r="I6395" s="17"/>
      <c r="J6395" s="17"/>
      <c r="K6395" s="17"/>
    </row>
    <row r="6396" spans="1:11" x14ac:dyDescent="0.2">
      <c r="A6396" s="115"/>
      <c r="B6396" s="95"/>
      <c r="C6396" s="94"/>
      <c r="D6396" s="95"/>
      <c r="E6396" s="95"/>
      <c r="F6396" s="96"/>
      <c r="G6396" s="97"/>
      <c r="H6396" s="114" t="str">
        <f t="shared" si="89"/>
        <v/>
      </c>
      <c r="I6396" s="17"/>
      <c r="J6396" s="17"/>
      <c r="K6396" s="17"/>
    </row>
    <row r="6397" spans="1:11" x14ac:dyDescent="0.2">
      <c r="A6397" s="115"/>
      <c r="B6397" s="95"/>
      <c r="C6397" s="94"/>
      <c r="D6397" s="95"/>
      <c r="E6397" s="95"/>
      <c r="F6397" s="96"/>
      <c r="G6397" s="97"/>
      <c r="H6397" s="114" t="str">
        <f t="shared" si="89"/>
        <v/>
      </c>
      <c r="I6397" s="17"/>
      <c r="J6397" s="17"/>
      <c r="K6397" s="17"/>
    </row>
    <row r="6398" spans="1:11" x14ac:dyDescent="0.2">
      <c r="A6398" s="115"/>
      <c r="B6398" s="95"/>
      <c r="C6398" s="94"/>
      <c r="D6398" s="95"/>
      <c r="E6398" s="95"/>
      <c r="F6398" s="96"/>
      <c r="G6398" s="97"/>
      <c r="H6398" s="114" t="str">
        <f t="shared" si="89"/>
        <v/>
      </c>
      <c r="I6398" s="17"/>
      <c r="J6398" s="17"/>
      <c r="K6398" s="17"/>
    </row>
    <row r="6399" spans="1:11" x14ac:dyDescent="0.2">
      <c r="A6399" s="115"/>
      <c r="B6399" s="95"/>
      <c r="C6399" s="94"/>
      <c r="D6399" s="95"/>
      <c r="E6399" s="95"/>
      <c r="F6399" s="96"/>
      <c r="G6399" s="97"/>
      <c r="H6399" s="114" t="str">
        <f t="shared" si="89"/>
        <v/>
      </c>
      <c r="I6399" s="17"/>
      <c r="J6399" s="17"/>
      <c r="K6399" s="17"/>
    </row>
    <row r="6400" spans="1:11" x14ac:dyDescent="0.2">
      <c r="A6400" s="115"/>
      <c r="B6400" s="95"/>
      <c r="C6400" s="94"/>
      <c r="D6400" s="95"/>
      <c r="E6400" s="95"/>
      <c r="F6400" s="96"/>
      <c r="G6400" s="97"/>
      <c r="H6400" s="114" t="str">
        <f t="shared" si="89"/>
        <v/>
      </c>
      <c r="I6400" s="17"/>
      <c r="J6400" s="17"/>
      <c r="K6400" s="17"/>
    </row>
    <row r="6401" spans="1:11" x14ac:dyDescent="0.2">
      <c r="A6401" s="115"/>
      <c r="B6401" s="95"/>
      <c r="C6401" s="94"/>
      <c r="D6401" s="95"/>
      <c r="E6401" s="95"/>
      <c r="F6401" s="96"/>
      <c r="G6401" s="97"/>
      <c r="H6401" s="114" t="str">
        <f t="shared" si="89"/>
        <v/>
      </c>
      <c r="I6401" s="17"/>
      <c r="J6401" s="17"/>
      <c r="K6401" s="17"/>
    </row>
    <row r="6402" spans="1:11" x14ac:dyDescent="0.2">
      <c r="A6402" s="115"/>
      <c r="B6402" s="95"/>
      <c r="C6402" s="94"/>
      <c r="D6402" s="95"/>
      <c r="E6402" s="95"/>
      <c r="F6402" s="96"/>
      <c r="G6402" s="97"/>
      <c r="H6402" s="114" t="str">
        <f t="shared" si="89"/>
        <v/>
      </c>
      <c r="I6402" s="17"/>
      <c r="J6402" s="17"/>
      <c r="K6402" s="17"/>
    </row>
    <row r="6403" spans="1:11" x14ac:dyDescent="0.2">
      <c r="A6403" s="115"/>
      <c r="B6403" s="95"/>
      <c r="C6403" s="94"/>
      <c r="D6403" s="95"/>
      <c r="E6403" s="95"/>
      <c r="F6403" s="96"/>
      <c r="G6403" s="97"/>
      <c r="H6403" s="114" t="str">
        <f t="shared" si="89"/>
        <v/>
      </c>
      <c r="I6403" s="17"/>
      <c r="J6403" s="17"/>
      <c r="K6403" s="17"/>
    </row>
    <row r="6404" spans="1:11" x14ac:dyDescent="0.2">
      <c r="A6404" s="115"/>
      <c r="B6404" s="95"/>
      <c r="C6404" s="94"/>
      <c r="D6404" s="95"/>
      <c r="E6404" s="95"/>
      <c r="F6404" s="96"/>
      <c r="G6404" s="97"/>
      <c r="H6404" s="114" t="str">
        <f t="shared" ref="H6404:H6467" si="90">IF(A6404&lt;&gt;"", EOMONTH(A6404, -1) + 1, "")</f>
        <v/>
      </c>
      <c r="I6404" s="17"/>
      <c r="J6404" s="17"/>
      <c r="K6404" s="17"/>
    </row>
    <row r="6405" spans="1:11" x14ac:dyDescent="0.2">
      <c r="A6405" s="115"/>
      <c r="B6405" s="95"/>
      <c r="C6405" s="94"/>
      <c r="D6405" s="95"/>
      <c r="E6405" s="95"/>
      <c r="F6405" s="96"/>
      <c r="G6405" s="97"/>
      <c r="H6405" s="114" t="str">
        <f t="shared" si="90"/>
        <v/>
      </c>
      <c r="I6405" s="17"/>
      <c r="J6405" s="17"/>
      <c r="K6405" s="17"/>
    </row>
    <row r="6406" spans="1:11" x14ac:dyDescent="0.2">
      <c r="A6406" s="115"/>
      <c r="B6406" s="95"/>
      <c r="C6406" s="94"/>
      <c r="D6406" s="95"/>
      <c r="E6406" s="95"/>
      <c r="F6406" s="96"/>
      <c r="G6406" s="97"/>
      <c r="H6406" s="114" t="str">
        <f t="shared" si="90"/>
        <v/>
      </c>
      <c r="I6406" s="17"/>
      <c r="J6406" s="17"/>
      <c r="K6406" s="17"/>
    </row>
    <row r="6407" spans="1:11" x14ac:dyDescent="0.2">
      <c r="A6407" s="115"/>
      <c r="B6407" s="95"/>
      <c r="C6407" s="94"/>
      <c r="D6407" s="95"/>
      <c r="E6407" s="95"/>
      <c r="F6407" s="96"/>
      <c r="G6407" s="97"/>
      <c r="H6407" s="114" t="str">
        <f t="shared" si="90"/>
        <v/>
      </c>
      <c r="I6407" s="17"/>
      <c r="J6407" s="17"/>
      <c r="K6407" s="17"/>
    </row>
    <row r="6408" spans="1:11" x14ac:dyDescent="0.2">
      <c r="A6408" s="115"/>
      <c r="B6408" s="95"/>
      <c r="C6408" s="94"/>
      <c r="D6408" s="95"/>
      <c r="E6408" s="95"/>
      <c r="F6408" s="96"/>
      <c r="G6408" s="97"/>
      <c r="H6408" s="114" t="str">
        <f t="shared" si="90"/>
        <v/>
      </c>
      <c r="I6408" s="17"/>
      <c r="J6408" s="17"/>
      <c r="K6408" s="17"/>
    </row>
    <row r="6409" spans="1:11" x14ac:dyDescent="0.2">
      <c r="A6409" s="115"/>
      <c r="B6409" s="95"/>
      <c r="C6409" s="94"/>
      <c r="D6409" s="95"/>
      <c r="E6409" s="95"/>
      <c r="F6409" s="96"/>
      <c r="G6409" s="97"/>
      <c r="H6409" s="114" t="str">
        <f t="shared" si="90"/>
        <v/>
      </c>
      <c r="I6409" s="17"/>
      <c r="J6409" s="17"/>
      <c r="K6409" s="17"/>
    </row>
    <row r="6410" spans="1:11" x14ac:dyDescent="0.2">
      <c r="A6410" s="115"/>
      <c r="B6410" s="95"/>
      <c r="C6410" s="94"/>
      <c r="D6410" s="95"/>
      <c r="E6410" s="95"/>
      <c r="F6410" s="96"/>
      <c r="G6410" s="97"/>
      <c r="H6410" s="114" t="str">
        <f t="shared" si="90"/>
        <v/>
      </c>
      <c r="I6410" s="17"/>
      <c r="J6410" s="17"/>
      <c r="K6410" s="17"/>
    </row>
    <row r="6411" spans="1:11" x14ac:dyDescent="0.2">
      <c r="A6411" s="115"/>
      <c r="B6411" s="95"/>
      <c r="C6411" s="94"/>
      <c r="D6411" s="95"/>
      <c r="E6411" s="95"/>
      <c r="F6411" s="96"/>
      <c r="G6411" s="97"/>
      <c r="H6411" s="114" t="str">
        <f t="shared" si="90"/>
        <v/>
      </c>
      <c r="I6411" s="17"/>
      <c r="J6411" s="17"/>
      <c r="K6411" s="17"/>
    </row>
    <row r="6412" spans="1:11" x14ac:dyDescent="0.2">
      <c r="A6412" s="115"/>
      <c r="B6412" s="95"/>
      <c r="C6412" s="94"/>
      <c r="D6412" s="95"/>
      <c r="E6412" s="95"/>
      <c r="F6412" s="96"/>
      <c r="G6412" s="97"/>
      <c r="H6412" s="114" t="str">
        <f t="shared" si="90"/>
        <v/>
      </c>
      <c r="I6412" s="17"/>
      <c r="J6412" s="17"/>
      <c r="K6412" s="17"/>
    </row>
    <row r="6413" spans="1:11" x14ac:dyDescent="0.2">
      <c r="A6413" s="115"/>
      <c r="B6413" s="95"/>
      <c r="C6413" s="94"/>
      <c r="D6413" s="95"/>
      <c r="E6413" s="95"/>
      <c r="F6413" s="96"/>
      <c r="G6413" s="97"/>
      <c r="H6413" s="114" t="str">
        <f t="shared" si="90"/>
        <v/>
      </c>
      <c r="I6413" s="17"/>
      <c r="J6413" s="17"/>
      <c r="K6413" s="17"/>
    </row>
    <row r="6414" spans="1:11" x14ac:dyDescent="0.2">
      <c r="A6414" s="115"/>
      <c r="B6414" s="95"/>
      <c r="C6414" s="94"/>
      <c r="D6414" s="95"/>
      <c r="E6414" s="95"/>
      <c r="F6414" s="96"/>
      <c r="G6414" s="97"/>
      <c r="H6414" s="114" t="str">
        <f t="shared" si="90"/>
        <v/>
      </c>
      <c r="I6414" s="17"/>
      <c r="J6414" s="17"/>
      <c r="K6414" s="17"/>
    </row>
    <row r="6415" spans="1:11" x14ac:dyDescent="0.2">
      <c r="A6415" s="115"/>
      <c r="B6415" s="95"/>
      <c r="C6415" s="94"/>
      <c r="D6415" s="95"/>
      <c r="E6415" s="95"/>
      <c r="F6415" s="96"/>
      <c r="G6415" s="97"/>
      <c r="H6415" s="114" t="str">
        <f t="shared" si="90"/>
        <v/>
      </c>
      <c r="I6415" s="17"/>
      <c r="J6415" s="17"/>
      <c r="K6415" s="17"/>
    </row>
    <row r="6416" spans="1:11" x14ac:dyDescent="0.2">
      <c r="A6416" s="115"/>
      <c r="B6416" s="95"/>
      <c r="C6416" s="94"/>
      <c r="D6416" s="95"/>
      <c r="E6416" s="95"/>
      <c r="F6416" s="96"/>
      <c r="G6416" s="97"/>
      <c r="H6416" s="114" t="str">
        <f t="shared" si="90"/>
        <v/>
      </c>
      <c r="I6416" s="17"/>
      <c r="J6416" s="17"/>
      <c r="K6416" s="17"/>
    </row>
    <row r="6417" spans="1:11" x14ac:dyDescent="0.2">
      <c r="A6417" s="115"/>
      <c r="B6417" s="95"/>
      <c r="C6417" s="94"/>
      <c r="D6417" s="95"/>
      <c r="E6417" s="95"/>
      <c r="F6417" s="96"/>
      <c r="G6417" s="97"/>
      <c r="H6417" s="114" t="str">
        <f t="shared" si="90"/>
        <v/>
      </c>
      <c r="I6417" s="17"/>
      <c r="J6417" s="17"/>
      <c r="K6417" s="17"/>
    </row>
    <row r="6418" spans="1:11" x14ac:dyDescent="0.2">
      <c r="A6418" s="115"/>
      <c r="B6418" s="95"/>
      <c r="C6418" s="94"/>
      <c r="D6418" s="95"/>
      <c r="E6418" s="95"/>
      <c r="F6418" s="96"/>
      <c r="G6418" s="97"/>
      <c r="H6418" s="114" t="str">
        <f t="shared" si="90"/>
        <v/>
      </c>
      <c r="I6418" s="17"/>
      <c r="J6418" s="17"/>
      <c r="K6418" s="17"/>
    </row>
    <row r="6419" spans="1:11" x14ac:dyDescent="0.2">
      <c r="A6419" s="115"/>
      <c r="B6419" s="95"/>
      <c r="C6419" s="94"/>
      <c r="D6419" s="95"/>
      <c r="E6419" s="95"/>
      <c r="F6419" s="96"/>
      <c r="G6419" s="97"/>
      <c r="H6419" s="114" t="str">
        <f t="shared" si="90"/>
        <v/>
      </c>
      <c r="I6419" s="17"/>
      <c r="J6419" s="17"/>
      <c r="K6419" s="17"/>
    </row>
    <row r="6420" spans="1:11" x14ac:dyDescent="0.2">
      <c r="A6420" s="115"/>
      <c r="B6420" s="95"/>
      <c r="C6420" s="94"/>
      <c r="D6420" s="95"/>
      <c r="E6420" s="95"/>
      <c r="F6420" s="96"/>
      <c r="G6420" s="97"/>
      <c r="H6420" s="114" t="str">
        <f t="shared" si="90"/>
        <v/>
      </c>
      <c r="I6420" s="17"/>
      <c r="J6420" s="17"/>
      <c r="K6420" s="17"/>
    </row>
    <row r="6421" spans="1:11" x14ac:dyDescent="0.2">
      <c r="A6421" s="115"/>
      <c r="B6421" s="95"/>
      <c r="C6421" s="94"/>
      <c r="D6421" s="95"/>
      <c r="E6421" s="95"/>
      <c r="F6421" s="96"/>
      <c r="G6421" s="97"/>
      <c r="H6421" s="114" t="str">
        <f t="shared" si="90"/>
        <v/>
      </c>
      <c r="I6421" s="17"/>
      <c r="J6421" s="17"/>
      <c r="K6421" s="17"/>
    </row>
    <row r="6422" spans="1:11" x14ac:dyDescent="0.2">
      <c r="A6422" s="115"/>
      <c r="B6422" s="95"/>
      <c r="C6422" s="94"/>
      <c r="D6422" s="95"/>
      <c r="E6422" s="95"/>
      <c r="F6422" s="96"/>
      <c r="G6422" s="97"/>
      <c r="H6422" s="114" t="str">
        <f t="shared" si="90"/>
        <v/>
      </c>
      <c r="I6422" s="17"/>
      <c r="J6422" s="17"/>
      <c r="K6422" s="17"/>
    </row>
    <row r="6423" spans="1:11" x14ac:dyDescent="0.2">
      <c r="A6423" s="115"/>
      <c r="B6423" s="95"/>
      <c r="C6423" s="94"/>
      <c r="D6423" s="95"/>
      <c r="E6423" s="95"/>
      <c r="F6423" s="96"/>
      <c r="G6423" s="97"/>
      <c r="H6423" s="114" t="str">
        <f t="shared" si="90"/>
        <v/>
      </c>
      <c r="I6423" s="17"/>
      <c r="J6423" s="17"/>
      <c r="K6423" s="17"/>
    </row>
    <row r="6424" spans="1:11" x14ac:dyDescent="0.2">
      <c r="A6424" s="115"/>
      <c r="B6424" s="95"/>
      <c r="C6424" s="94"/>
      <c r="D6424" s="95"/>
      <c r="E6424" s="95"/>
      <c r="F6424" s="96"/>
      <c r="G6424" s="97"/>
      <c r="H6424" s="114" t="str">
        <f t="shared" si="90"/>
        <v/>
      </c>
      <c r="I6424" s="17"/>
      <c r="J6424" s="17"/>
      <c r="K6424" s="17"/>
    </row>
    <row r="6425" spans="1:11" x14ac:dyDescent="0.2">
      <c r="A6425" s="115"/>
      <c r="B6425" s="95"/>
      <c r="C6425" s="94"/>
      <c r="D6425" s="95"/>
      <c r="E6425" s="95"/>
      <c r="F6425" s="96"/>
      <c r="G6425" s="97"/>
      <c r="H6425" s="114" t="str">
        <f t="shared" si="90"/>
        <v/>
      </c>
      <c r="I6425" s="17"/>
      <c r="J6425" s="17"/>
      <c r="K6425" s="17"/>
    </row>
    <row r="6426" spans="1:11" x14ac:dyDescent="0.2">
      <c r="A6426" s="115"/>
      <c r="B6426" s="95"/>
      <c r="C6426" s="94"/>
      <c r="D6426" s="95"/>
      <c r="E6426" s="95"/>
      <c r="F6426" s="96"/>
      <c r="G6426" s="97"/>
      <c r="H6426" s="114" t="str">
        <f t="shared" si="90"/>
        <v/>
      </c>
      <c r="I6426" s="17"/>
      <c r="J6426" s="17"/>
      <c r="K6426" s="17"/>
    </row>
    <row r="6427" spans="1:11" x14ac:dyDescent="0.2">
      <c r="A6427" s="115"/>
      <c r="B6427" s="95"/>
      <c r="C6427" s="94"/>
      <c r="D6427" s="95"/>
      <c r="E6427" s="95"/>
      <c r="F6427" s="96"/>
      <c r="G6427" s="97"/>
      <c r="H6427" s="114" t="str">
        <f t="shared" si="90"/>
        <v/>
      </c>
      <c r="I6427" s="17"/>
      <c r="J6427" s="17"/>
      <c r="K6427" s="17"/>
    </row>
    <row r="6428" spans="1:11" x14ac:dyDescent="0.2">
      <c r="A6428" s="115"/>
      <c r="B6428" s="95"/>
      <c r="C6428" s="94"/>
      <c r="D6428" s="95"/>
      <c r="E6428" s="95"/>
      <c r="F6428" s="96"/>
      <c r="G6428" s="97"/>
      <c r="H6428" s="114" t="str">
        <f t="shared" si="90"/>
        <v/>
      </c>
      <c r="I6428" s="17"/>
      <c r="J6428" s="17"/>
      <c r="K6428" s="17"/>
    </row>
    <row r="6429" spans="1:11" x14ac:dyDescent="0.2">
      <c r="A6429" s="115"/>
      <c r="B6429" s="95"/>
      <c r="C6429" s="94"/>
      <c r="D6429" s="95"/>
      <c r="E6429" s="95"/>
      <c r="F6429" s="96"/>
      <c r="G6429" s="97"/>
      <c r="H6429" s="114" t="str">
        <f t="shared" si="90"/>
        <v/>
      </c>
      <c r="I6429" s="17"/>
      <c r="J6429" s="17"/>
      <c r="K6429" s="17"/>
    </row>
    <row r="6430" spans="1:11" x14ac:dyDescent="0.2">
      <c r="A6430" s="115"/>
      <c r="B6430" s="95"/>
      <c r="C6430" s="94"/>
      <c r="D6430" s="95"/>
      <c r="E6430" s="95"/>
      <c r="F6430" s="96"/>
      <c r="G6430" s="97"/>
      <c r="H6430" s="114" t="str">
        <f t="shared" si="90"/>
        <v/>
      </c>
      <c r="I6430" s="17"/>
      <c r="J6430" s="17"/>
      <c r="K6430" s="17"/>
    </row>
    <row r="6431" spans="1:11" x14ac:dyDescent="0.2">
      <c r="A6431" s="115"/>
      <c r="B6431" s="95"/>
      <c r="C6431" s="94"/>
      <c r="D6431" s="95"/>
      <c r="E6431" s="95"/>
      <c r="F6431" s="96"/>
      <c r="G6431" s="97"/>
      <c r="H6431" s="114" t="str">
        <f t="shared" si="90"/>
        <v/>
      </c>
      <c r="I6431" s="17"/>
      <c r="J6431" s="17"/>
      <c r="K6431" s="17"/>
    </row>
    <row r="6432" spans="1:11" x14ac:dyDescent="0.2">
      <c r="A6432" s="115"/>
      <c r="B6432" s="95"/>
      <c r="C6432" s="94"/>
      <c r="D6432" s="95"/>
      <c r="E6432" s="95"/>
      <c r="F6432" s="96"/>
      <c r="G6432" s="97"/>
      <c r="H6432" s="114" t="str">
        <f t="shared" si="90"/>
        <v/>
      </c>
      <c r="I6432" s="17"/>
      <c r="J6432" s="17"/>
      <c r="K6432" s="17"/>
    </row>
    <row r="6433" spans="1:11" x14ac:dyDescent="0.2">
      <c r="A6433" s="115"/>
      <c r="B6433" s="95"/>
      <c r="C6433" s="94"/>
      <c r="D6433" s="95"/>
      <c r="E6433" s="95"/>
      <c r="F6433" s="96"/>
      <c r="G6433" s="97"/>
      <c r="H6433" s="114" t="str">
        <f t="shared" si="90"/>
        <v/>
      </c>
      <c r="I6433" s="17"/>
      <c r="J6433" s="17"/>
      <c r="K6433" s="17"/>
    </row>
    <row r="6434" spans="1:11" x14ac:dyDescent="0.2">
      <c r="A6434" s="115"/>
      <c r="B6434" s="95"/>
      <c r="C6434" s="94"/>
      <c r="D6434" s="95"/>
      <c r="E6434" s="95"/>
      <c r="F6434" s="96"/>
      <c r="G6434" s="97"/>
      <c r="H6434" s="114" t="str">
        <f t="shared" si="90"/>
        <v/>
      </c>
      <c r="I6434" s="17"/>
      <c r="J6434" s="17"/>
      <c r="K6434" s="17"/>
    </row>
    <row r="6435" spans="1:11" x14ac:dyDescent="0.2">
      <c r="A6435" s="115"/>
      <c r="B6435" s="95"/>
      <c r="C6435" s="94"/>
      <c r="D6435" s="95"/>
      <c r="E6435" s="95"/>
      <c r="F6435" s="96"/>
      <c r="G6435" s="97"/>
      <c r="H6435" s="114" t="str">
        <f t="shared" si="90"/>
        <v/>
      </c>
      <c r="I6435" s="17"/>
      <c r="J6435" s="17"/>
      <c r="K6435" s="17"/>
    </row>
    <row r="6436" spans="1:11" x14ac:dyDescent="0.2">
      <c r="A6436" s="115"/>
      <c r="B6436" s="95"/>
      <c r="C6436" s="94"/>
      <c r="D6436" s="95"/>
      <c r="E6436" s="95"/>
      <c r="F6436" s="96"/>
      <c r="G6436" s="97"/>
      <c r="H6436" s="114" t="str">
        <f t="shared" si="90"/>
        <v/>
      </c>
      <c r="I6436" s="17"/>
      <c r="J6436" s="17"/>
      <c r="K6436" s="17"/>
    </row>
    <row r="6437" spans="1:11" x14ac:dyDescent="0.2">
      <c r="A6437" s="115"/>
      <c r="B6437" s="95"/>
      <c r="C6437" s="94"/>
      <c r="D6437" s="95"/>
      <c r="E6437" s="95"/>
      <c r="F6437" s="96"/>
      <c r="G6437" s="97"/>
      <c r="H6437" s="114" t="str">
        <f t="shared" si="90"/>
        <v/>
      </c>
      <c r="I6437" s="17"/>
      <c r="J6437" s="17"/>
      <c r="K6437" s="17"/>
    </row>
    <row r="6438" spans="1:11" x14ac:dyDescent="0.2">
      <c r="A6438" s="115"/>
      <c r="B6438" s="95"/>
      <c r="C6438" s="94"/>
      <c r="D6438" s="95"/>
      <c r="E6438" s="95"/>
      <c r="F6438" s="96"/>
      <c r="G6438" s="97"/>
      <c r="H6438" s="114" t="str">
        <f t="shared" si="90"/>
        <v/>
      </c>
      <c r="I6438" s="17"/>
      <c r="J6438" s="17"/>
      <c r="K6438" s="17"/>
    </row>
    <row r="6439" spans="1:11" x14ac:dyDescent="0.2">
      <c r="A6439" s="115"/>
      <c r="B6439" s="95"/>
      <c r="C6439" s="94"/>
      <c r="D6439" s="95"/>
      <c r="E6439" s="95"/>
      <c r="F6439" s="96"/>
      <c r="G6439" s="97"/>
      <c r="H6439" s="114" t="str">
        <f t="shared" si="90"/>
        <v/>
      </c>
      <c r="I6439" s="17"/>
      <c r="J6439" s="17"/>
      <c r="K6439" s="17"/>
    </row>
    <row r="6440" spans="1:11" x14ac:dyDescent="0.2">
      <c r="A6440" s="115"/>
      <c r="B6440" s="95"/>
      <c r="C6440" s="94"/>
      <c r="D6440" s="95"/>
      <c r="E6440" s="95"/>
      <c r="F6440" s="96"/>
      <c r="G6440" s="97"/>
      <c r="H6440" s="114" t="str">
        <f t="shared" si="90"/>
        <v/>
      </c>
      <c r="I6440" s="17"/>
      <c r="J6440" s="17"/>
      <c r="K6440" s="17"/>
    </row>
    <row r="6441" spans="1:11" x14ac:dyDescent="0.2">
      <c r="A6441" s="115"/>
      <c r="B6441" s="95"/>
      <c r="C6441" s="94"/>
      <c r="D6441" s="95"/>
      <c r="E6441" s="95"/>
      <c r="F6441" s="96"/>
      <c r="G6441" s="97"/>
      <c r="H6441" s="114" t="str">
        <f t="shared" si="90"/>
        <v/>
      </c>
      <c r="I6441" s="17"/>
      <c r="J6441" s="17"/>
      <c r="K6441" s="17"/>
    </row>
    <row r="6442" spans="1:11" x14ac:dyDescent="0.2">
      <c r="A6442" s="115"/>
      <c r="B6442" s="95"/>
      <c r="C6442" s="94"/>
      <c r="D6442" s="95"/>
      <c r="E6442" s="95"/>
      <c r="F6442" s="96"/>
      <c r="G6442" s="97"/>
      <c r="H6442" s="114" t="str">
        <f t="shared" si="90"/>
        <v/>
      </c>
      <c r="I6442" s="17"/>
      <c r="J6442" s="17"/>
      <c r="K6442" s="17"/>
    </row>
    <row r="6443" spans="1:11" x14ac:dyDescent="0.2">
      <c r="A6443" s="115"/>
      <c r="B6443" s="95"/>
      <c r="C6443" s="94"/>
      <c r="D6443" s="95"/>
      <c r="E6443" s="95"/>
      <c r="F6443" s="96"/>
      <c r="G6443" s="97"/>
      <c r="H6443" s="114" t="str">
        <f t="shared" si="90"/>
        <v/>
      </c>
      <c r="I6443" s="17"/>
      <c r="J6443" s="17"/>
      <c r="K6443" s="17"/>
    </row>
    <row r="6444" spans="1:11" x14ac:dyDescent="0.2">
      <c r="A6444" s="115"/>
      <c r="B6444" s="95"/>
      <c r="C6444" s="94"/>
      <c r="D6444" s="95"/>
      <c r="E6444" s="95"/>
      <c r="F6444" s="96"/>
      <c r="G6444" s="97"/>
      <c r="H6444" s="114" t="str">
        <f t="shared" si="90"/>
        <v/>
      </c>
      <c r="I6444" s="17"/>
      <c r="J6444" s="17"/>
      <c r="K6444" s="17"/>
    </row>
    <row r="6445" spans="1:11" x14ac:dyDescent="0.2">
      <c r="A6445" s="115"/>
      <c r="B6445" s="95"/>
      <c r="C6445" s="94"/>
      <c r="D6445" s="95"/>
      <c r="E6445" s="95"/>
      <c r="F6445" s="96"/>
      <c r="G6445" s="97"/>
      <c r="H6445" s="114" t="str">
        <f t="shared" si="90"/>
        <v/>
      </c>
      <c r="I6445" s="17"/>
      <c r="J6445" s="17"/>
      <c r="K6445" s="17"/>
    </row>
    <row r="6446" spans="1:11" x14ac:dyDescent="0.2">
      <c r="A6446" s="115"/>
      <c r="B6446" s="95"/>
      <c r="C6446" s="94"/>
      <c r="D6446" s="95"/>
      <c r="E6446" s="95"/>
      <c r="F6446" s="96"/>
      <c r="G6446" s="97"/>
      <c r="H6446" s="114" t="str">
        <f t="shared" si="90"/>
        <v/>
      </c>
      <c r="I6446" s="17"/>
      <c r="J6446" s="17"/>
      <c r="K6446" s="17"/>
    </row>
    <row r="6447" spans="1:11" x14ac:dyDescent="0.2">
      <c r="A6447" s="115"/>
      <c r="B6447" s="95"/>
      <c r="C6447" s="94"/>
      <c r="D6447" s="95"/>
      <c r="E6447" s="95"/>
      <c r="F6447" s="96"/>
      <c r="G6447" s="97"/>
      <c r="H6447" s="114" t="str">
        <f t="shared" si="90"/>
        <v/>
      </c>
      <c r="I6447" s="17"/>
      <c r="J6447" s="17"/>
      <c r="K6447" s="17"/>
    </row>
    <row r="6448" spans="1:11" x14ac:dyDescent="0.2">
      <c r="A6448" s="115"/>
      <c r="B6448" s="95"/>
      <c r="C6448" s="94"/>
      <c r="D6448" s="95"/>
      <c r="E6448" s="95"/>
      <c r="F6448" s="96"/>
      <c r="G6448" s="97"/>
      <c r="H6448" s="114" t="str">
        <f t="shared" si="90"/>
        <v/>
      </c>
      <c r="I6448" s="17"/>
      <c r="J6448" s="17"/>
      <c r="K6448" s="17"/>
    </row>
    <row r="6449" spans="1:11" x14ac:dyDescent="0.2">
      <c r="A6449" s="115"/>
      <c r="B6449" s="95"/>
      <c r="C6449" s="94"/>
      <c r="D6449" s="95"/>
      <c r="E6449" s="95"/>
      <c r="F6449" s="96"/>
      <c r="G6449" s="97"/>
      <c r="H6449" s="114" t="str">
        <f t="shared" si="90"/>
        <v/>
      </c>
      <c r="I6449" s="17"/>
      <c r="J6449" s="17"/>
      <c r="K6449" s="17"/>
    </row>
    <row r="6450" spans="1:11" x14ac:dyDescent="0.2">
      <c r="A6450" s="115"/>
      <c r="B6450" s="95"/>
      <c r="C6450" s="94"/>
      <c r="D6450" s="95"/>
      <c r="E6450" s="95"/>
      <c r="F6450" s="96"/>
      <c r="G6450" s="97"/>
      <c r="H6450" s="114" t="str">
        <f t="shared" si="90"/>
        <v/>
      </c>
      <c r="I6450" s="17"/>
      <c r="J6450" s="17"/>
      <c r="K6450" s="17"/>
    </row>
    <row r="6451" spans="1:11" x14ac:dyDescent="0.2">
      <c r="A6451" s="115"/>
      <c r="B6451" s="95"/>
      <c r="C6451" s="94"/>
      <c r="D6451" s="95"/>
      <c r="E6451" s="95"/>
      <c r="F6451" s="96"/>
      <c r="G6451" s="97"/>
      <c r="H6451" s="114" t="str">
        <f t="shared" si="90"/>
        <v/>
      </c>
      <c r="I6451" s="17"/>
      <c r="J6451" s="17"/>
      <c r="K6451" s="17"/>
    </row>
    <row r="6452" spans="1:11" x14ac:dyDescent="0.2">
      <c r="A6452" s="115"/>
      <c r="B6452" s="95"/>
      <c r="C6452" s="94"/>
      <c r="D6452" s="95"/>
      <c r="E6452" s="95"/>
      <c r="F6452" s="96"/>
      <c r="G6452" s="97"/>
      <c r="H6452" s="114" t="str">
        <f t="shared" si="90"/>
        <v/>
      </c>
      <c r="I6452" s="17"/>
      <c r="J6452" s="17"/>
      <c r="K6452" s="17"/>
    </row>
    <row r="6453" spans="1:11" x14ac:dyDescent="0.2">
      <c r="A6453" s="115"/>
      <c r="B6453" s="95"/>
      <c r="C6453" s="94"/>
      <c r="D6453" s="95"/>
      <c r="E6453" s="95"/>
      <c r="F6453" s="96"/>
      <c r="G6453" s="97"/>
      <c r="H6453" s="114" t="str">
        <f t="shared" si="90"/>
        <v/>
      </c>
      <c r="I6453" s="17"/>
      <c r="J6453" s="17"/>
      <c r="K6453" s="17"/>
    </row>
    <row r="6454" spans="1:11" x14ac:dyDescent="0.2">
      <c r="A6454" s="115"/>
      <c r="B6454" s="95"/>
      <c r="C6454" s="94"/>
      <c r="D6454" s="95"/>
      <c r="E6454" s="95"/>
      <c r="F6454" s="96"/>
      <c r="G6454" s="97"/>
      <c r="H6454" s="114" t="str">
        <f t="shared" si="90"/>
        <v/>
      </c>
      <c r="I6454" s="17"/>
      <c r="J6454" s="17"/>
      <c r="K6454" s="17"/>
    </row>
    <row r="6455" spans="1:11" x14ac:dyDescent="0.2">
      <c r="A6455" s="115"/>
      <c r="B6455" s="95"/>
      <c r="C6455" s="94"/>
      <c r="D6455" s="95"/>
      <c r="E6455" s="95"/>
      <c r="F6455" s="96"/>
      <c r="G6455" s="97"/>
      <c r="H6455" s="114" t="str">
        <f t="shared" si="90"/>
        <v/>
      </c>
      <c r="I6455" s="17"/>
      <c r="J6455" s="17"/>
      <c r="K6455" s="17"/>
    </row>
    <row r="6456" spans="1:11" x14ac:dyDescent="0.2">
      <c r="A6456" s="115"/>
      <c r="B6456" s="95"/>
      <c r="C6456" s="94"/>
      <c r="D6456" s="95"/>
      <c r="E6456" s="95"/>
      <c r="F6456" s="96"/>
      <c r="G6456" s="97"/>
      <c r="H6456" s="114" t="str">
        <f t="shared" si="90"/>
        <v/>
      </c>
      <c r="I6456" s="17"/>
      <c r="J6456" s="17"/>
      <c r="K6456" s="17"/>
    </row>
    <row r="6457" spans="1:11" x14ac:dyDescent="0.2">
      <c r="A6457" s="115"/>
      <c r="B6457" s="95"/>
      <c r="C6457" s="94"/>
      <c r="D6457" s="95"/>
      <c r="E6457" s="95"/>
      <c r="F6457" s="96"/>
      <c r="G6457" s="97"/>
      <c r="H6457" s="114" t="str">
        <f t="shared" si="90"/>
        <v/>
      </c>
      <c r="I6457" s="17"/>
      <c r="J6457" s="17"/>
      <c r="K6457" s="17"/>
    </row>
    <row r="6458" spans="1:11" x14ac:dyDescent="0.2">
      <c r="A6458" s="115"/>
      <c r="B6458" s="95"/>
      <c r="C6458" s="94"/>
      <c r="D6458" s="95"/>
      <c r="E6458" s="95"/>
      <c r="F6458" s="96"/>
      <c r="G6458" s="97"/>
      <c r="H6458" s="114" t="str">
        <f t="shared" si="90"/>
        <v/>
      </c>
      <c r="I6458" s="17"/>
      <c r="J6458" s="17"/>
      <c r="K6458" s="17"/>
    </row>
    <row r="6459" spans="1:11" x14ac:dyDescent="0.2">
      <c r="A6459" s="115"/>
      <c r="B6459" s="95"/>
      <c r="C6459" s="94"/>
      <c r="D6459" s="95"/>
      <c r="E6459" s="95"/>
      <c r="F6459" s="96"/>
      <c r="G6459" s="97"/>
      <c r="H6459" s="114" t="str">
        <f t="shared" si="90"/>
        <v/>
      </c>
      <c r="I6459" s="17"/>
      <c r="J6459" s="17"/>
      <c r="K6459" s="17"/>
    </row>
    <row r="6460" spans="1:11" x14ac:dyDescent="0.2">
      <c r="A6460" s="115"/>
      <c r="B6460" s="95"/>
      <c r="C6460" s="94"/>
      <c r="D6460" s="95"/>
      <c r="E6460" s="95"/>
      <c r="F6460" s="96"/>
      <c r="G6460" s="97"/>
      <c r="H6460" s="114" t="str">
        <f t="shared" si="90"/>
        <v/>
      </c>
      <c r="I6460" s="17"/>
      <c r="J6460" s="17"/>
      <c r="K6460" s="17"/>
    </row>
    <row r="6461" spans="1:11" x14ac:dyDescent="0.2">
      <c r="A6461" s="115"/>
      <c r="B6461" s="95"/>
      <c r="C6461" s="94"/>
      <c r="D6461" s="95"/>
      <c r="E6461" s="95"/>
      <c r="F6461" s="96"/>
      <c r="G6461" s="97"/>
      <c r="H6461" s="114" t="str">
        <f t="shared" si="90"/>
        <v/>
      </c>
      <c r="I6461" s="17"/>
      <c r="J6461" s="17"/>
      <c r="K6461" s="17"/>
    </row>
    <row r="6462" spans="1:11" x14ac:dyDescent="0.2">
      <c r="A6462" s="115"/>
      <c r="B6462" s="95"/>
      <c r="C6462" s="94"/>
      <c r="D6462" s="95"/>
      <c r="E6462" s="95"/>
      <c r="F6462" s="96"/>
      <c r="G6462" s="97"/>
      <c r="H6462" s="114" t="str">
        <f t="shared" si="90"/>
        <v/>
      </c>
      <c r="I6462" s="17"/>
      <c r="J6462" s="17"/>
      <c r="K6462" s="17"/>
    </row>
    <row r="6463" spans="1:11" x14ac:dyDescent="0.2">
      <c r="A6463" s="115"/>
      <c r="B6463" s="95"/>
      <c r="C6463" s="94"/>
      <c r="D6463" s="95"/>
      <c r="E6463" s="95"/>
      <c r="F6463" s="96"/>
      <c r="G6463" s="97"/>
      <c r="H6463" s="114" t="str">
        <f t="shared" si="90"/>
        <v/>
      </c>
      <c r="I6463" s="17"/>
      <c r="J6463" s="17"/>
      <c r="K6463" s="17"/>
    </row>
    <row r="6464" spans="1:11" x14ac:dyDescent="0.2">
      <c r="A6464" s="115"/>
      <c r="B6464" s="95"/>
      <c r="C6464" s="94"/>
      <c r="D6464" s="95"/>
      <c r="E6464" s="95"/>
      <c r="F6464" s="96"/>
      <c r="G6464" s="97"/>
      <c r="H6464" s="114" t="str">
        <f t="shared" si="90"/>
        <v/>
      </c>
      <c r="I6464" s="17"/>
      <c r="J6464" s="17"/>
      <c r="K6464" s="17"/>
    </row>
    <row r="6465" spans="1:11" x14ac:dyDescent="0.2">
      <c r="A6465" s="115"/>
      <c r="B6465" s="95"/>
      <c r="C6465" s="94"/>
      <c r="D6465" s="95"/>
      <c r="E6465" s="95"/>
      <c r="F6465" s="96"/>
      <c r="G6465" s="97"/>
      <c r="H6465" s="114" t="str">
        <f t="shared" si="90"/>
        <v/>
      </c>
      <c r="I6465" s="17"/>
      <c r="J6465" s="17"/>
      <c r="K6465" s="17"/>
    </row>
    <row r="6466" spans="1:11" x14ac:dyDescent="0.2">
      <c r="A6466" s="115"/>
      <c r="B6466" s="95"/>
      <c r="C6466" s="94"/>
      <c r="D6466" s="95"/>
      <c r="E6466" s="95"/>
      <c r="F6466" s="96"/>
      <c r="G6466" s="97"/>
      <c r="H6466" s="114" t="str">
        <f t="shared" si="90"/>
        <v/>
      </c>
      <c r="I6466" s="17"/>
      <c r="J6466" s="17"/>
      <c r="K6466" s="17"/>
    </row>
    <row r="6467" spans="1:11" x14ac:dyDescent="0.2">
      <c r="A6467" s="115"/>
      <c r="B6467" s="95"/>
      <c r="C6467" s="94"/>
      <c r="D6467" s="95"/>
      <c r="E6467" s="95"/>
      <c r="F6467" s="96"/>
      <c r="G6467" s="97"/>
      <c r="H6467" s="114" t="str">
        <f t="shared" si="90"/>
        <v/>
      </c>
      <c r="I6467" s="17"/>
      <c r="J6467" s="17"/>
      <c r="K6467" s="17"/>
    </row>
    <row r="6468" spans="1:11" x14ac:dyDescent="0.2">
      <c r="A6468" s="115"/>
      <c r="B6468" s="95"/>
      <c r="C6468" s="94"/>
      <c r="D6468" s="95"/>
      <c r="E6468" s="95"/>
      <c r="F6468" s="96"/>
      <c r="G6468" s="97"/>
      <c r="H6468" s="114" t="str">
        <f t="shared" ref="H6468:H6531" si="91">IF(A6468&lt;&gt;"", EOMONTH(A6468, -1) + 1, "")</f>
        <v/>
      </c>
      <c r="I6468" s="17"/>
      <c r="J6468" s="17"/>
      <c r="K6468" s="17"/>
    </row>
    <row r="6469" spans="1:11" x14ac:dyDescent="0.2">
      <c r="A6469" s="115"/>
      <c r="B6469" s="95"/>
      <c r="C6469" s="94"/>
      <c r="D6469" s="95"/>
      <c r="E6469" s="95"/>
      <c r="F6469" s="96"/>
      <c r="G6469" s="97"/>
      <c r="H6469" s="114" t="str">
        <f t="shared" si="91"/>
        <v/>
      </c>
      <c r="I6469" s="17"/>
      <c r="J6469" s="17"/>
      <c r="K6469" s="17"/>
    </row>
    <row r="6470" spans="1:11" x14ac:dyDescent="0.2">
      <c r="A6470" s="115"/>
      <c r="B6470" s="95"/>
      <c r="C6470" s="94"/>
      <c r="D6470" s="95"/>
      <c r="E6470" s="95"/>
      <c r="F6470" s="96"/>
      <c r="G6470" s="97"/>
      <c r="H6470" s="114" t="str">
        <f t="shared" si="91"/>
        <v/>
      </c>
      <c r="I6470" s="17"/>
      <c r="J6470" s="17"/>
      <c r="K6470" s="17"/>
    </row>
    <row r="6471" spans="1:11" x14ac:dyDescent="0.2">
      <c r="A6471" s="115"/>
      <c r="B6471" s="95"/>
      <c r="C6471" s="94"/>
      <c r="D6471" s="95"/>
      <c r="E6471" s="95"/>
      <c r="F6471" s="96"/>
      <c r="G6471" s="97"/>
      <c r="H6471" s="114" t="str">
        <f t="shared" si="91"/>
        <v/>
      </c>
      <c r="I6471" s="17"/>
      <c r="J6471" s="17"/>
      <c r="K6471" s="17"/>
    </row>
    <row r="6472" spans="1:11" x14ac:dyDescent="0.2">
      <c r="A6472" s="115"/>
      <c r="B6472" s="95"/>
      <c r="C6472" s="94"/>
      <c r="D6472" s="95"/>
      <c r="E6472" s="95"/>
      <c r="F6472" s="96"/>
      <c r="G6472" s="97"/>
      <c r="H6472" s="114" t="str">
        <f t="shared" si="91"/>
        <v/>
      </c>
      <c r="I6472" s="17"/>
      <c r="J6472" s="17"/>
      <c r="K6472" s="17"/>
    </row>
    <row r="6473" spans="1:11" x14ac:dyDescent="0.2">
      <c r="A6473" s="115"/>
      <c r="B6473" s="95"/>
      <c r="C6473" s="94"/>
      <c r="D6473" s="95"/>
      <c r="E6473" s="95"/>
      <c r="F6473" s="96"/>
      <c r="G6473" s="97"/>
      <c r="H6473" s="114" t="str">
        <f t="shared" si="91"/>
        <v/>
      </c>
      <c r="I6473" s="17"/>
      <c r="J6473" s="17"/>
      <c r="K6473" s="17"/>
    </row>
    <row r="6474" spans="1:11" x14ac:dyDescent="0.2">
      <c r="A6474" s="115"/>
      <c r="B6474" s="95"/>
      <c r="C6474" s="94"/>
      <c r="D6474" s="95"/>
      <c r="E6474" s="95"/>
      <c r="F6474" s="96"/>
      <c r="G6474" s="97"/>
      <c r="H6474" s="114" t="str">
        <f t="shared" si="91"/>
        <v/>
      </c>
      <c r="I6474" s="17"/>
      <c r="J6474" s="17"/>
      <c r="K6474" s="17"/>
    </row>
    <row r="6475" spans="1:11" x14ac:dyDescent="0.2">
      <c r="A6475" s="115"/>
      <c r="B6475" s="95"/>
      <c r="C6475" s="94"/>
      <c r="D6475" s="95"/>
      <c r="E6475" s="95"/>
      <c r="F6475" s="96"/>
      <c r="G6475" s="97"/>
      <c r="H6475" s="114" t="str">
        <f t="shared" si="91"/>
        <v/>
      </c>
      <c r="I6475" s="17"/>
      <c r="J6475" s="17"/>
      <c r="K6475" s="17"/>
    </row>
    <row r="6476" spans="1:11" x14ac:dyDescent="0.2">
      <c r="A6476" s="115"/>
      <c r="B6476" s="95"/>
      <c r="C6476" s="94"/>
      <c r="D6476" s="95"/>
      <c r="E6476" s="95"/>
      <c r="F6476" s="96"/>
      <c r="G6476" s="97"/>
      <c r="H6476" s="114" t="str">
        <f t="shared" si="91"/>
        <v/>
      </c>
      <c r="I6476" s="17"/>
      <c r="J6476" s="17"/>
      <c r="K6476" s="17"/>
    </row>
    <row r="6477" spans="1:11" x14ac:dyDescent="0.2">
      <c r="A6477" s="115"/>
      <c r="B6477" s="95"/>
      <c r="C6477" s="94"/>
      <c r="D6477" s="95"/>
      <c r="E6477" s="95"/>
      <c r="F6477" s="96"/>
      <c r="G6477" s="97"/>
      <c r="H6477" s="114" t="str">
        <f t="shared" si="91"/>
        <v/>
      </c>
      <c r="I6477" s="17"/>
      <c r="J6477" s="17"/>
      <c r="K6477" s="17"/>
    </row>
    <row r="6478" spans="1:11" x14ac:dyDescent="0.2">
      <c r="A6478" s="115"/>
      <c r="B6478" s="95"/>
      <c r="C6478" s="94"/>
      <c r="D6478" s="95"/>
      <c r="E6478" s="95"/>
      <c r="F6478" s="96"/>
      <c r="G6478" s="97"/>
      <c r="H6478" s="114" t="str">
        <f t="shared" si="91"/>
        <v/>
      </c>
      <c r="I6478" s="17"/>
      <c r="J6478" s="17"/>
      <c r="K6478" s="17"/>
    </row>
    <row r="6479" spans="1:11" x14ac:dyDescent="0.2">
      <c r="A6479" s="115"/>
      <c r="B6479" s="95"/>
      <c r="C6479" s="94"/>
      <c r="D6479" s="95"/>
      <c r="E6479" s="95"/>
      <c r="F6479" s="96"/>
      <c r="G6479" s="97"/>
      <c r="H6479" s="114" t="str">
        <f t="shared" si="91"/>
        <v/>
      </c>
      <c r="I6479" s="17"/>
      <c r="J6479" s="17"/>
      <c r="K6479" s="17"/>
    </row>
    <row r="6480" spans="1:11" x14ac:dyDescent="0.2">
      <c r="A6480" s="115"/>
      <c r="B6480" s="95"/>
      <c r="C6480" s="94"/>
      <c r="D6480" s="95"/>
      <c r="E6480" s="95"/>
      <c r="F6480" s="96"/>
      <c r="G6480" s="97"/>
      <c r="H6480" s="114" t="str">
        <f t="shared" si="91"/>
        <v/>
      </c>
      <c r="I6480" s="17"/>
      <c r="J6480" s="17"/>
      <c r="K6480" s="17"/>
    </row>
    <row r="6481" spans="1:11" x14ac:dyDescent="0.2">
      <c r="A6481" s="115"/>
      <c r="B6481" s="95"/>
      <c r="C6481" s="94"/>
      <c r="D6481" s="95"/>
      <c r="E6481" s="95"/>
      <c r="F6481" s="96"/>
      <c r="G6481" s="97"/>
      <c r="H6481" s="114" t="str">
        <f t="shared" si="91"/>
        <v/>
      </c>
      <c r="I6481" s="17"/>
      <c r="J6481" s="17"/>
      <c r="K6481" s="17"/>
    </row>
    <row r="6482" spans="1:11" x14ac:dyDescent="0.2">
      <c r="A6482" s="115"/>
      <c r="B6482" s="95"/>
      <c r="C6482" s="94"/>
      <c r="D6482" s="95"/>
      <c r="E6482" s="95"/>
      <c r="F6482" s="96"/>
      <c r="G6482" s="97"/>
      <c r="H6482" s="114" t="str">
        <f t="shared" si="91"/>
        <v/>
      </c>
      <c r="I6482" s="17"/>
      <c r="J6482" s="17"/>
      <c r="K6482" s="17"/>
    </row>
    <row r="6483" spans="1:11" x14ac:dyDescent="0.2">
      <c r="A6483" s="115"/>
      <c r="B6483" s="95"/>
      <c r="C6483" s="94"/>
      <c r="D6483" s="95"/>
      <c r="E6483" s="95"/>
      <c r="F6483" s="96"/>
      <c r="G6483" s="97"/>
      <c r="H6483" s="114" t="str">
        <f t="shared" si="91"/>
        <v/>
      </c>
      <c r="I6483" s="17"/>
      <c r="J6483" s="17"/>
      <c r="K6483" s="17"/>
    </row>
    <row r="6484" spans="1:11" x14ac:dyDescent="0.2">
      <c r="A6484" s="115"/>
      <c r="B6484" s="95"/>
      <c r="C6484" s="94"/>
      <c r="D6484" s="95"/>
      <c r="E6484" s="95"/>
      <c r="F6484" s="96"/>
      <c r="G6484" s="97"/>
      <c r="H6484" s="114" t="str">
        <f t="shared" si="91"/>
        <v/>
      </c>
      <c r="I6484" s="17"/>
      <c r="J6484" s="17"/>
      <c r="K6484" s="17"/>
    </row>
    <row r="6485" spans="1:11" x14ac:dyDescent="0.2">
      <c r="A6485" s="115"/>
      <c r="B6485" s="95"/>
      <c r="C6485" s="94"/>
      <c r="D6485" s="95"/>
      <c r="E6485" s="95"/>
      <c r="F6485" s="96"/>
      <c r="G6485" s="97"/>
      <c r="H6485" s="114" t="str">
        <f t="shared" si="91"/>
        <v/>
      </c>
      <c r="I6485" s="17"/>
      <c r="J6485" s="17"/>
      <c r="K6485" s="17"/>
    </row>
    <row r="6486" spans="1:11" x14ac:dyDescent="0.2">
      <c r="A6486" s="115"/>
      <c r="B6486" s="95"/>
      <c r="C6486" s="94"/>
      <c r="D6486" s="95"/>
      <c r="E6486" s="95"/>
      <c r="F6486" s="96"/>
      <c r="G6486" s="97"/>
      <c r="H6486" s="114" t="str">
        <f t="shared" si="91"/>
        <v/>
      </c>
      <c r="I6486" s="17"/>
      <c r="J6486" s="17"/>
      <c r="K6486" s="17"/>
    </row>
    <row r="6487" spans="1:11" x14ac:dyDescent="0.2">
      <c r="A6487" s="115"/>
      <c r="B6487" s="95"/>
      <c r="C6487" s="94"/>
      <c r="D6487" s="95"/>
      <c r="E6487" s="95"/>
      <c r="F6487" s="96"/>
      <c r="G6487" s="97"/>
      <c r="H6487" s="114" t="str">
        <f t="shared" si="91"/>
        <v/>
      </c>
      <c r="I6487" s="17"/>
      <c r="J6487" s="17"/>
      <c r="K6487" s="17"/>
    </row>
    <row r="6488" spans="1:11" x14ac:dyDescent="0.2">
      <c r="A6488" s="115"/>
      <c r="B6488" s="95"/>
      <c r="C6488" s="94"/>
      <c r="D6488" s="95"/>
      <c r="E6488" s="95"/>
      <c r="F6488" s="96"/>
      <c r="G6488" s="97"/>
      <c r="H6488" s="114" t="str">
        <f t="shared" si="91"/>
        <v/>
      </c>
      <c r="I6488" s="17"/>
      <c r="J6488" s="17"/>
      <c r="K6488" s="17"/>
    </row>
    <row r="6489" spans="1:11" x14ac:dyDescent="0.2">
      <c r="A6489" s="115"/>
      <c r="B6489" s="95"/>
      <c r="C6489" s="94"/>
      <c r="D6489" s="95"/>
      <c r="E6489" s="95"/>
      <c r="F6489" s="96"/>
      <c r="G6489" s="97"/>
      <c r="H6489" s="114" t="str">
        <f t="shared" si="91"/>
        <v/>
      </c>
      <c r="I6489" s="17"/>
      <c r="J6489" s="17"/>
      <c r="K6489" s="17"/>
    </row>
    <row r="6490" spans="1:11" x14ac:dyDescent="0.2">
      <c r="A6490" s="115"/>
      <c r="B6490" s="95"/>
      <c r="C6490" s="94"/>
      <c r="D6490" s="95"/>
      <c r="E6490" s="95"/>
      <c r="F6490" s="96"/>
      <c r="G6490" s="97"/>
      <c r="H6490" s="114" t="str">
        <f t="shared" si="91"/>
        <v/>
      </c>
      <c r="I6490" s="17"/>
      <c r="J6490" s="17"/>
      <c r="K6490" s="17"/>
    </row>
    <row r="6491" spans="1:11" x14ac:dyDescent="0.2">
      <c r="A6491" s="115"/>
      <c r="B6491" s="95"/>
      <c r="C6491" s="94"/>
      <c r="D6491" s="95"/>
      <c r="E6491" s="95"/>
      <c r="F6491" s="96"/>
      <c r="G6491" s="97"/>
      <c r="H6491" s="114" t="str">
        <f t="shared" si="91"/>
        <v/>
      </c>
      <c r="I6491" s="17"/>
      <c r="J6491" s="17"/>
      <c r="K6491" s="17"/>
    </row>
    <row r="6492" spans="1:11" x14ac:dyDescent="0.2">
      <c r="A6492" s="115"/>
      <c r="B6492" s="95"/>
      <c r="C6492" s="94"/>
      <c r="D6492" s="95"/>
      <c r="E6492" s="95"/>
      <c r="F6492" s="96"/>
      <c r="G6492" s="97"/>
      <c r="H6492" s="114" t="str">
        <f t="shared" si="91"/>
        <v/>
      </c>
      <c r="I6492" s="17"/>
      <c r="J6492" s="17"/>
      <c r="K6492" s="17"/>
    </row>
    <row r="6493" spans="1:11" x14ac:dyDescent="0.2">
      <c r="A6493" s="115"/>
      <c r="B6493" s="95"/>
      <c r="C6493" s="94"/>
      <c r="D6493" s="95"/>
      <c r="E6493" s="95"/>
      <c r="F6493" s="96"/>
      <c r="G6493" s="97"/>
      <c r="H6493" s="114" t="str">
        <f t="shared" si="91"/>
        <v/>
      </c>
      <c r="I6493" s="17"/>
      <c r="J6493" s="17"/>
      <c r="K6493" s="17"/>
    </row>
    <row r="6494" spans="1:11" x14ac:dyDescent="0.2">
      <c r="A6494" s="115"/>
      <c r="B6494" s="95"/>
      <c r="C6494" s="94"/>
      <c r="D6494" s="95"/>
      <c r="E6494" s="95"/>
      <c r="F6494" s="96"/>
      <c r="G6494" s="97"/>
      <c r="H6494" s="114" t="str">
        <f t="shared" si="91"/>
        <v/>
      </c>
      <c r="I6494" s="17"/>
      <c r="J6494" s="17"/>
      <c r="K6494" s="17"/>
    </row>
    <row r="6495" spans="1:11" x14ac:dyDescent="0.2">
      <c r="A6495" s="115"/>
      <c r="B6495" s="95"/>
      <c r="C6495" s="94"/>
      <c r="D6495" s="95"/>
      <c r="E6495" s="95"/>
      <c r="F6495" s="96"/>
      <c r="G6495" s="97"/>
      <c r="H6495" s="114" t="str">
        <f t="shared" si="91"/>
        <v/>
      </c>
      <c r="I6495" s="17"/>
      <c r="J6495" s="17"/>
      <c r="K6495" s="17"/>
    </row>
    <row r="6496" spans="1:11" x14ac:dyDescent="0.2">
      <c r="A6496" s="115"/>
      <c r="B6496" s="95"/>
      <c r="C6496" s="94"/>
      <c r="D6496" s="95"/>
      <c r="E6496" s="95"/>
      <c r="F6496" s="96"/>
      <c r="G6496" s="97"/>
      <c r="H6496" s="114" t="str">
        <f t="shared" si="91"/>
        <v/>
      </c>
      <c r="I6496" s="17"/>
      <c r="J6496" s="17"/>
      <c r="K6496" s="17"/>
    </row>
    <row r="6497" spans="1:11" x14ac:dyDescent="0.2">
      <c r="A6497" s="115"/>
      <c r="B6497" s="95"/>
      <c r="C6497" s="94"/>
      <c r="D6497" s="95"/>
      <c r="E6497" s="95"/>
      <c r="F6497" s="96"/>
      <c r="G6497" s="97"/>
      <c r="H6497" s="114" t="str">
        <f t="shared" si="91"/>
        <v/>
      </c>
      <c r="I6497" s="17"/>
      <c r="J6497" s="17"/>
      <c r="K6497" s="17"/>
    </row>
    <row r="6498" spans="1:11" x14ac:dyDescent="0.2">
      <c r="A6498" s="115"/>
      <c r="B6498" s="95"/>
      <c r="C6498" s="94"/>
      <c r="D6498" s="95"/>
      <c r="E6498" s="95"/>
      <c r="F6498" s="96"/>
      <c r="G6498" s="97"/>
      <c r="H6498" s="114" t="str">
        <f t="shared" si="91"/>
        <v/>
      </c>
      <c r="I6498" s="17"/>
      <c r="J6498" s="17"/>
      <c r="K6498" s="17"/>
    </row>
    <row r="6499" spans="1:11" x14ac:dyDescent="0.2">
      <c r="A6499" s="115"/>
      <c r="B6499" s="95"/>
      <c r="C6499" s="94"/>
      <c r="D6499" s="95"/>
      <c r="E6499" s="95"/>
      <c r="F6499" s="96"/>
      <c r="G6499" s="97"/>
      <c r="H6499" s="114" t="str">
        <f t="shared" si="91"/>
        <v/>
      </c>
      <c r="I6499" s="17"/>
      <c r="J6499" s="17"/>
      <c r="K6499" s="17"/>
    </row>
    <row r="6500" spans="1:11" x14ac:dyDescent="0.2">
      <c r="A6500" s="115"/>
      <c r="B6500" s="95"/>
      <c r="C6500" s="94"/>
      <c r="D6500" s="95"/>
      <c r="E6500" s="95"/>
      <c r="F6500" s="96"/>
      <c r="G6500" s="97"/>
      <c r="H6500" s="114" t="str">
        <f t="shared" si="91"/>
        <v/>
      </c>
      <c r="I6500" s="17"/>
      <c r="J6500" s="17"/>
      <c r="K6500" s="17"/>
    </row>
    <row r="6501" spans="1:11" x14ac:dyDescent="0.2">
      <c r="A6501" s="115"/>
      <c r="B6501" s="95"/>
      <c r="C6501" s="94"/>
      <c r="D6501" s="95"/>
      <c r="E6501" s="95"/>
      <c r="F6501" s="96"/>
      <c r="G6501" s="97"/>
      <c r="H6501" s="114" t="str">
        <f t="shared" si="91"/>
        <v/>
      </c>
      <c r="I6501" s="17"/>
      <c r="J6501" s="17"/>
      <c r="K6501" s="17"/>
    </row>
    <row r="6502" spans="1:11" x14ac:dyDescent="0.2">
      <c r="A6502" s="115"/>
      <c r="B6502" s="95"/>
      <c r="C6502" s="94"/>
      <c r="D6502" s="95"/>
      <c r="E6502" s="95"/>
      <c r="F6502" s="96"/>
      <c r="G6502" s="97"/>
      <c r="H6502" s="114" t="str">
        <f t="shared" si="91"/>
        <v/>
      </c>
      <c r="I6502" s="17"/>
      <c r="J6502" s="17"/>
      <c r="K6502" s="17"/>
    </row>
    <row r="6503" spans="1:11" x14ac:dyDescent="0.2">
      <c r="A6503" s="115"/>
      <c r="B6503" s="95"/>
      <c r="C6503" s="94"/>
      <c r="D6503" s="95"/>
      <c r="E6503" s="95"/>
      <c r="F6503" s="96"/>
      <c r="G6503" s="97"/>
      <c r="H6503" s="114" t="str">
        <f t="shared" si="91"/>
        <v/>
      </c>
      <c r="I6503" s="17"/>
      <c r="J6503" s="17"/>
      <c r="K6503" s="17"/>
    </row>
    <row r="6504" spans="1:11" x14ac:dyDescent="0.2">
      <c r="A6504" s="115"/>
      <c r="B6504" s="95"/>
      <c r="C6504" s="94"/>
      <c r="D6504" s="95"/>
      <c r="E6504" s="95"/>
      <c r="F6504" s="96"/>
      <c r="G6504" s="97"/>
      <c r="H6504" s="114" t="str">
        <f t="shared" si="91"/>
        <v/>
      </c>
      <c r="I6504" s="17"/>
      <c r="J6504" s="17"/>
      <c r="K6504" s="17"/>
    </row>
    <row r="6505" spans="1:11" x14ac:dyDescent="0.2">
      <c r="A6505" s="115"/>
      <c r="B6505" s="95"/>
      <c r="C6505" s="94"/>
      <c r="D6505" s="95"/>
      <c r="E6505" s="95"/>
      <c r="F6505" s="96"/>
      <c r="G6505" s="97"/>
      <c r="H6505" s="114" t="str">
        <f t="shared" si="91"/>
        <v/>
      </c>
      <c r="I6505" s="17"/>
      <c r="J6505" s="17"/>
      <c r="K6505" s="17"/>
    </row>
    <row r="6506" spans="1:11" x14ac:dyDescent="0.2">
      <c r="A6506" s="115"/>
      <c r="B6506" s="95"/>
      <c r="C6506" s="94"/>
      <c r="D6506" s="95"/>
      <c r="E6506" s="95"/>
      <c r="F6506" s="96"/>
      <c r="G6506" s="97"/>
      <c r="H6506" s="114" t="str">
        <f t="shared" si="91"/>
        <v/>
      </c>
      <c r="I6506" s="17"/>
      <c r="J6506" s="17"/>
      <c r="K6506" s="17"/>
    </row>
    <row r="6507" spans="1:11" x14ac:dyDescent="0.2">
      <c r="A6507" s="115"/>
      <c r="B6507" s="95"/>
      <c r="C6507" s="94"/>
      <c r="D6507" s="95"/>
      <c r="E6507" s="95"/>
      <c r="F6507" s="96"/>
      <c r="G6507" s="97"/>
      <c r="H6507" s="114" t="str">
        <f t="shared" si="91"/>
        <v/>
      </c>
      <c r="I6507" s="17"/>
      <c r="J6507" s="17"/>
      <c r="K6507" s="17"/>
    </row>
    <row r="6508" spans="1:11" x14ac:dyDescent="0.2">
      <c r="A6508" s="115"/>
      <c r="B6508" s="95"/>
      <c r="C6508" s="94"/>
      <c r="D6508" s="95"/>
      <c r="E6508" s="95"/>
      <c r="F6508" s="96"/>
      <c r="G6508" s="97"/>
      <c r="H6508" s="114" t="str">
        <f t="shared" si="91"/>
        <v/>
      </c>
      <c r="I6508" s="17"/>
      <c r="J6508" s="17"/>
      <c r="K6508" s="17"/>
    </row>
    <row r="6509" spans="1:11" x14ac:dyDescent="0.2">
      <c r="A6509" s="115"/>
      <c r="B6509" s="95"/>
      <c r="C6509" s="94"/>
      <c r="D6509" s="95"/>
      <c r="E6509" s="95"/>
      <c r="F6509" s="96"/>
      <c r="G6509" s="97"/>
      <c r="H6509" s="114" t="str">
        <f t="shared" si="91"/>
        <v/>
      </c>
      <c r="I6509" s="17"/>
      <c r="J6509" s="17"/>
      <c r="K6509" s="17"/>
    </row>
    <row r="6510" spans="1:11" x14ac:dyDescent="0.2">
      <c r="A6510" s="115"/>
      <c r="B6510" s="95"/>
      <c r="C6510" s="94"/>
      <c r="D6510" s="95"/>
      <c r="E6510" s="95"/>
      <c r="F6510" s="96"/>
      <c r="G6510" s="97"/>
      <c r="H6510" s="114" t="str">
        <f t="shared" si="91"/>
        <v/>
      </c>
      <c r="I6510" s="17"/>
      <c r="J6510" s="17"/>
      <c r="K6510" s="17"/>
    </row>
    <row r="6511" spans="1:11" x14ac:dyDescent="0.2">
      <c r="A6511" s="115"/>
      <c r="B6511" s="95"/>
      <c r="C6511" s="94"/>
      <c r="D6511" s="95"/>
      <c r="E6511" s="95"/>
      <c r="F6511" s="96"/>
      <c r="G6511" s="97"/>
      <c r="H6511" s="114" t="str">
        <f t="shared" si="91"/>
        <v/>
      </c>
      <c r="I6511" s="17"/>
      <c r="J6511" s="17"/>
      <c r="K6511" s="17"/>
    </row>
    <row r="6512" spans="1:11" x14ac:dyDescent="0.2">
      <c r="A6512" s="115"/>
      <c r="B6512" s="95"/>
      <c r="C6512" s="94"/>
      <c r="D6512" s="95"/>
      <c r="E6512" s="95"/>
      <c r="F6512" s="96"/>
      <c r="G6512" s="97"/>
      <c r="H6512" s="114" t="str">
        <f t="shared" si="91"/>
        <v/>
      </c>
      <c r="I6512" s="17"/>
      <c r="J6512" s="17"/>
      <c r="K6512" s="17"/>
    </row>
    <row r="6513" spans="1:11" x14ac:dyDescent="0.2">
      <c r="A6513" s="115"/>
      <c r="B6513" s="95"/>
      <c r="C6513" s="94"/>
      <c r="D6513" s="95"/>
      <c r="E6513" s="95"/>
      <c r="F6513" s="96"/>
      <c r="G6513" s="97"/>
      <c r="H6513" s="114" t="str">
        <f t="shared" si="91"/>
        <v/>
      </c>
      <c r="I6513" s="17"/>
      <c r="J6513" s="17"/>
      <c r="K6513" s="17"/>
    </row>
    <row r="6514" spans="1:11" x14ac:dyDescent="0.2">
      <c r="A6514" s="115"/>
      <c r="B6514" s="95"/>
      <c r="C6514" s="94"/>
      <c r="D6514" s="95"/>
      <c r="E6514" s="95"/>
      <c r="F6514" s="96"/>
      <c r="G6514" s="97"/>
      <c r="H6514" s="114" t="str">
        <f t="shared" si="91"/>
        <v/>
      </c>
      <c r="I6514" s="17"/>
      <c r="J6514" s="17"/>
      <c r="K6514" s="17"/>
    </row>
    <row r="6515" spans="1:11" x14ac:dyDescent="0.2">
      <c r="A6515" s="115"/>
      <c r="B6515" s="95"/>
      <c r="C6515" s="94"/>
      <c r="D6515" s="95"/>
      <c r="E6515" s="95"/>
      <c r="F6515" s="96"/>
      <c r="G6515" s="97"/>
      <c r="H6515" s="114" t="str">
        <f t="shared" si="91"/>
        <v/>
      </c>
      <c r="I6515" s="17"/>
      <c r="J6515" s="17"/>
      <c r="K6515" s="17"/>
    </row>
    <row r="6516" spans="1:11" x14ac:dyDescent="0.2">
      <c r="A6516" s="115"/>
      <c r="B6516" s="95"/>
      <c r="C6516" s="94"/>
      <c r="D6516" s="95"/>
      <c r="E6516" s="95"/>
      <c r="F6516" s="96"/>
      <c r="G6516" s="97"/>
      <c r="H6516" s="114" t="str">
        <f t="shared" si="91"/>
        <v/>
      </c>
      <c r="I6516" s="17"/>
      <c r="J6516" s="17"/>
      <c r="K6516" s="17"/>
    </row>
    <row r="6517" spans="1:11" x14ac:dyDescent="0.2">
      <c r="A6517" s="115"/>
      <c r="B6517" s="95"/>
      <c r="C6517" s="94"/>
      <c r="D6517" s="95"/>
      <c r="E6517" s="95"/>
      <c r="F6517" s="96"/>
      <c r="G6517" s="97"/>
      <c r="H6517" s="114" t="str">
        <f t="shared" si="91"/>
        <v/>
      </c>
      <c r="I6517" s="17"/>
      <c r="J6517" s="17"/>
      <c r="K6517" s="17"/>
    </row>
    <row r="6518" spans="1:11" x14ac:dyDescent="0.2">
      <c r="A6518" s="115"/>
      <c r="B6518" s="95"/>
      <c r="C6518" s="94"/>
      <c r="D6518" s="95"/>
      <c r="E6518" s="95"/>
      <c r="F6518" s="96"/>
      <c r="G6518" s="97"/>
      <c r="H6518" s="114" t="str">
        <f t="shared" si="91"/>
        <v/>
      </c>
      <c r="I6518" s="17"/>
      <c r="J6518" s="17"/>
      <c r="K6518" s="17"/>
    </row>
    <row r="6519" spans="1:11" x14ac:dyDescent="0.2">
      <c r="A6519" s="115"/>
      <c r="B6519" s="95"/>
      <c r="C6519" s="94"/>
      <c r="D6519" s="95"/>
      <c r="E6519" s="95"/>
      <c r="F6519" s="96"/>
      <c r="G6519" s="97"/>
      <c r="H6519" s="114" t="str">
        <f t="shared" si="91"/>
        <v/>
      </c>
      <c r="I6519" s="17"/>
      <c r="J6519" s="17"/>
      <c r="K6519" s="17"/>
    </row>
    <row r="6520" spans="1:11" x14ac:dyDescent="0.2">
      <c r="A6520" s="115"/>
      <c r="B6520" s="95"/>
      <c r="C6520" s="94"/>
      <c r="D6520" s="95"/>
      <c r="E6520" s="95"/>
      <c r="F6520" s="96"/>
      <c r="G6520" s="97"/>
      <c r="H6520" s="114" t="str">
        <f t="shared" si="91"/>
        <v/>
      </c>
      <c r="I6520" s="17"/>
      <c r="J6520" s="17"/>
      <c r="K6520" s="17"/>
    </row>
    <row r="6521" spans="1:11" x14ac:dyDescent="0.2">
      <c r="A6521" s="115"/>
      <c r="B6521" s="95"/>
      <c r="C6521" s="94"/>
      <c r="D6521" s="95"/>
      <c r="E6521" s="95"/>
      <c r="F6521" s="96"/>
      <c r="G6521" s="97"/>
      <c r="H6521" s="114" t="str">
        <f t="shared" si="91"/>
        <v/>
      </c>
      <c r="I6521" s="17"/>
      <c r="J6521" s="17"/>
      <c r="K6521" s="17"/>
    </row>
    <row r="6522" spans="1:11" x14ac:dyDescent="0.2">
      <c r="A6522" s="115"/>
      <c r="B6522" s="95"/>
      <c r="C6522" s="94"/>
      <c r="D6522" s="95"/>
      <c r="E6522" s="95"/>
      <c r="F6522" s="96"/>
      <c r="G6522" s="97"/>
      <c r="H6522" s="114" t="str">
        <f t="shared" si="91"/>
        <v/>
      </c>
      <c r="I6522" s="17"/>
      <c r="J6522" s="17"/>
      <c r="K6522" s="17"/>
    </row>
    <row r="6523" spans="1:11" x14ac:dyDescent="0.2">
      <c r="A6523" s="115"/>
      <c r="B6523" s="95"/>
      <c r="C6523" s="94"/>
      <c r="D6523" s="95"/>
      <c r="E6523" s="95"/>
      <c r="F6523" s="96"/>
      <c r="G6523" s="97"/>
      <c r="H6523" s="114" t="str">
        <f t="shared" si="91"/>
        <v/>
      </c>
      <c r="I6523" s="17"/>
      <c r="J6523" s="17"/>
      <c r="K6523" s="17"/>
    </row>
    <row r="6524" spans="1:11" x14ac:dyDescent="0.2">
      <c r="A6524" s="115"/>
      <c r="B6524" s="95"/>
      <c r="C6524" s="94"/>
      <c r="D6524" s="95"/>
      <c r="E6524" s="95"/>
      <c r="F6524" s="96"/>
      <c r="G6524" s="97"/>
      <c r="H6524" s="114" t="str">
        <f t="shared" si="91"/>
        <v/>
      </c>
      <c r="I6524" s="17"/>
      <c r="J6524" s="17"/>
      <c r="K6524" s="17"/>
    </row>
    <row r="6525" spans="1:11" x14ac:dyDescent="0.2">
      <c r="A6525" s="115"/>
      <c r="B6525" s="95"/>
      <c r="C6525" s="94"/>
      <c r="D6525" s="95"/>
      <c r="E6525" s="95"/>
      <c r="F6525" s="96"/>
      <c r="G6525" s="97"/>
      <c r="H6525" s="114" t="str">
        <f t="shared" si="91"/>
        <v/>
      </c>
      <c r="I6525" s="17"/>
      <c r="J6525" s="17"/>
      <c r="K6525" s="17"/>
    </row>
    <row r="6526" spans="1:11" x14ac:dyDescent="0.2">
      <c r="A6526" s="115"/>
      <c r="B6526" s="95"/>
      <c r="C6526" s="94"/>
      <c r="D6526" s="95"/>
      <c r="E6526" s="95"/>
      <c r="F6526" s="96"/>
      <c r="G6526" s="97"/>
      <c r="H6526" s="114" t="str">
        <f t="shared" si="91"/>
        <v/>
      </c>
      <c r="I6526" s="17"/>
      <c r="J6526" s="17"/>
      <c r="K6526" s="17"/>
    </row>
    <row r="6527" spans="1:11" x14ac:dyDescent="0.2">
      <c r="A6527" s="115"/>
      <c r="B6527" s="95"/>
      <c r="C6527" s="94"/>
      <c r="D6527" s="95"/>
      <c r="E6527" s="95"/>
      <c r="F6527" s="96"/>
      <c r="G6527" s="97"/>
      <c r="H6527" s="114" t="str">
        <f t="shared" si="91"/>
        <v/>
      </c>
      <c r="I6527" s="17"/>
      <c r="J6527" s="17"/>
      <c r="K6527" s="17"/>
    </row>
    <row r="6528" spans="1:11" x14ac:dyDescent="0.2">
      <c r="A6528" s="115"/>
      <c r="B6528" s="95"/>
      <c r="C6528" s="94"/>
      <c r="D6528" s="95"/>
      <c r="E6528" s="95"/>
      <c r="F6528" s="96"/>
      <c r="G6528" s="97"/>
      <c r="H6528" s="114" t="str">
        <f t="shared" si="91"/>
        <v/>
      </c>
      <c r="I6528" s="17"/>
      <c r="J6528" s="17"/>
      <c r="K6528" s="17"/>
    </row>
    <row r="6529" spans="1:11" x14ac:dyDescent="0.2">
      <c r="A6529" s="115"/>
      <c r="B6529" s="95"/>
      <c r="C6529" s="94"/>
      <c r="D6529" s="95"/>
      <c r="E6529" s="95"/>
      <c r="F6529" s="96"/>
      <c r="G6529" s="97"/>
      <c r="H6529" s="114" t="str">
        <f t="shared" si="91"/>
        <v/>
      </c>
      <c r="I6529" s="17"/>
      <c r="J6529" s="17"/>
      <c r="K6529" s="17"/>
    </row>
    <row r="6530" spans="1:11" x14ac:dyDescent="0.2">
      <c r="A6530" s="115"/>
      <c r="B6530" s="95"/>
      <c r="C6530" s="94"/>
      <c r="D6530" s="95"/>
      <c r="E6530" s="95"/>
      <c r="F6530" s="96"/>
      <c r="G6530" s="97"/>
      <c r="H6530" s="114" t="str">
        <f t="shared" si="91"/>
        <v/>
      </c>
      <c r="I6530" s="17"/>
      <c r="J6530" s="17"/>
      <c r="K6530" s="17"/>
    </row>
    <row r="6531" spans="1:11" x14ac:dyDescent="0.2">
      <c r="A6531" s="115"/>
      <c r="B6531" s="95"/>
      <c r="C6531" s="94"/>
      <c r="D6531" s="95"/>
      <c r="E6531" s="95"/>
      <c r="F6531" s="96"/>
      <c r="G6531" s="97"/>
      <c r="H6531" s="114" t="str">
        <f t="shared" si="91"/>
        <v/>
      </c>
      <c r="I6531" s="17"/>
      <c r="J6531" s="17"/>
      <c r="K6531" s="17"/>
    </row>
    <row r="6532" spans="1:11" x14ac:dyDescent="0.2">
      <c r="A6532" s="115"/>
      <c r="B6532" s="95"/>
      <c r="C6532" s="94"/>
      <c r="D6532" s="95"/>
      <c r="E6532" s="95"/>
      <c r="F6532" s="96"/>
      <c r="G6532" s="97"/>
      <c r="H6532" s="114" t="str">
        <f t="shared" ref="H6532:H6595" si="92">IF(A6532&lt;&gt;"", EOMONTH(A6532, -1) + 1, "")</f>
        <v/>
      </c>
      <c r="I6532" s="17"/>
      <c r="J6532" s="17"/>
      <c r="K6532" s="17"/>
    </row>
    <row r="6533" spans="1:11" x14ac:dyDescent="0.2">
      <c r="A6533" s="115"/>
      <c r="B6533" s="95"/>
      <c r="C6533" s="94"/>
      <c r="D6533" s="95"/>
      <c r="E6533" s="95"/>
      <c r="F6533" s="96"/>
      <c r="G6533" s="97"/>
      <c r="H6533" s="114" t="str">
        <f t="shared" si="92"/>
        <v/>
      </c>
      <c r="I6533" s="17"/>
      <c r="J6533" s="17"/>
      <c r="K6533" s="17"/>
    </row>
    <row r="6534" spans="1:11" x14ac:dyDescent="0.2">
      <c r="A6534" s="115"/>
      <c r="B6534" s="95"/>
      <c r="C6534" s="94"/>
      <c r="D6534" s="95"/>
      <c r="E6534" s="95"/>
      <c r="F6534" s="96"/>
      <c r="G6534" s="97"/>
      <c r="H6534" s="114" t="str">
        <f t="shared" si="92"/>
        <v/>
      </c>
      <c r="I6534" s="17"/>
      <c r="J6534" s="17"/>
      <c r="K6534" s="17"/>
    </row>
    <row r="6535" spans="1:11" x14ac:dyDescent="0.2">
      <c r="A6535" s="115"/>
      <c r="B6535" s="95"/>
      <c r="C6535" s="94"/>
      <c r="D6535" s="95"/>
      <c r="E6535" s="95"/>
      <c r="F6535" s="96"/>
      <c r="G6535" s="97"/>
      <c r="H6535" s="114" t="str">
        <f t="shared" si="92"/>
        <v/>
      </c>
      <c r="I6535" s="17"/>
      <c r="J6535" s="17"/>
      <c r="K6535" s="17"/>
    </row>
    <row r="6536" spans="1:11" x14ac:dyDescent="0.2">
      <c r="A6536" s="115"/>
      <c r="B6536" s="95"/>
      <c r="C6536" s="94"/>
      <c r="D6536" s="95"/>
      <c r="E6536" s="95"/>
      <c r="F6536" s="96"/>
      <c r="G6536" s="97"/>
      <c r="H6536" s="114" t="str">
        <f t="shared" si="92"/>
        <v/>
      </c>
      <c r="I6536" s="17"/>
      <c r="J6536" s="17"/>
      <c r="K6536" s="17"/>
    </row>
    <row r="6537" spans="1:11" x14ac:dyDescent="0.2">
      <c r="A6537" s="115"/>
      <c r="B6537" s="95"/>
      <c r="C6537" s="94"/>
      <c r="D6537" s="95"/>
      <c r="E6537" s="95"/>
      <c r="F6537" s="96"/>
      <c r="G6537" s="97"/>
      <c r="H6537" s="114" t="str">
        <f t="shared" si="92"/>
        <v/>
      </c>
      <c r="I6537" s="17"/>
      <c r="J6537" s="17"/>
      <c r="K6537" s="17"/>
    </row>
    <row r="6538" spans="1:11" x14ac:dyDescent="0.2">
      <c r="A6538" s="115"/>
      <c r="B6538" s="95"/>
      <c r="C6538" s="94"/>
      <c r="D6538" s="95"/>
      <c r="E6538" s="95"/>
      <c r="F6538" s="96"/>
      <c r="G6538" s="97"/>
      <c r="H6538" s="114" t="str">
        <f t="shared" si="92"/>
        <v/>
      </c>
      <c r="I6538" s="17"/>
      <c r="J6538" s="17"/>
      <c r="K6538" s="17"/>
    </row>
    <row r="6539" spans="1:11" x14ac:dyDescent="0.2">
      <c r="A6539" s="115"/>
      <c r="B6539" s="95"/>
      <c r="C6539" s="94"/>
      <c r="D6539" s="95"/>
      <c r="E6539" s="95"/>
      <c r="F6539" s="96"/>
      <c r="G6539" s="97"/>
      <c r="H6539" s="114" t="str">
        <f t="shared" si="92"/>
        <v/>
      </c>
      <c r="I6539" s="17"/>
      <c r="J6539" s="17"/>
      <c r="K6539" s="17"/>
    </row>
    <row r="6540" spans="1:11" x14ac:dyDescent="0.2">
      <c r="A6540" s="115"/>
      <c r="B6540" s="95"/>
      <c r="C6540" s="94"/>
      <c r="D6540" s="95"/>
      <c r="E6540" s="95"/>
      <c r="F6540" s="96"/>
      <c r="G6540" s="97"/>
      <c r="H6540" s="114" t="str">
        <f t="shared" si="92"/>
        <v/>
      </c>
      <c r="I6540" s="17"/>
      <c r="J6540" s="17"/>
      <c r="K6540" s="17"/>
    </row>
    <row r="6541" spans="1:11" x14ac:dyDescent="0.2">
      <c r="A6541" s="115"/>
      <c r="B6541" s="95"/>
      <c r="C6541" s="94"/>
      <c r="D6541" s="95"/>
      <c r="E6541" s="95"/>
      <c r="F6541" s="96"/>
      <c r="G6541" s="97"/>
      <c r="H6541" s="114" t="str">
        <f t="shared" si="92"/>
        <v/>
      </c>
      <c r="I6541" s="17"/>
      <c r="J6541" s="17"/>
      <c r="K6541" s="17"/>
    </row>
    <row r="6542" spans="1:11" x14ac:dyDescent="0.2">
      <c r="A6542" s="115"/>
      <c r="B6542" s="95"/>
      <c r="C6542" s="94"/>
      <c r="D6542" s="95"/>
      <c r="E6542" s="95"/>
      <c r="F6542" s="96"/>
      <c r="G6542" s="97"/>
      <c r="H6542" s="114" t="str">
        <f t="shared" si="92"/>
        <v/>
      </c>
      <c r="I6542" s="17"/>
      <c r="J6542" s="17"/>
      <c r="K6542" s="17"/>
    </row>
    <row r="6543" spans="1:11" x14ac:dyDescent="0.2">
      <c r="A6543" s="115"/>
      <c r="B6543" s="95"/>
      <c r="C6543" s="94"/>
      <c r="D6543" s="95"/>
      <c r="E6543" s="95"/>
      <c r="F6543" s="96"/>
      <c r="G6543" s="97"/>
      <c r="H6543" s="114" t="str">
        <f t="shared" si="92"/>
        <v/>
      </c>
      <c r="I6543" s="17"/>
      <c r="J6543" s="17"/>
      <c r="K6543" s="17"/>
    </row>
    <row r="6544" spans="1:11" x14ac:dyDescent="0.2">
      <c r="A6544" s="115"/>
      <c r="B6544" s="95"/>
      <c r="C6544" s="94"/>
      <c r="D6544" s="95"/>
      <c r="E6544" s="95"/>
      <c r="F6544" s="96"/>
      <c r="G6544" s="97"/>
      <c r="H6544" s="114" t="str">
        <f t="shared" si="92"/>
        <v/>
      </c>
      <c r="I6544" s="17"/>
      <c r="J6544" s="17"/>
      <c r="K6544" s="17"/>
    </row>
    <row r="6545" spans="1:11" x14ac:dyDescent="0.2">
      <c r="A6545" s="115"/>
      <c r="B6545" s="95"/>
      <c r="C6545" s="94"/>
      <c r="D6545" s="95"/>
      <c r="E6545" s="95"/>
      <c r="F6545" s="96"/>
      <c r="G6545" s="97"/>
      <c r="H6545" s="114" t="str">
        <f t="shared" si="92"/>
        <v/>
      </c>
      <c r="I6545" s="17"/>
      <c r="J6545" s="17"/>
      <c r="K6545" s="17"/>
    </row>
    <row r="6546" spans="1:11" x14ac:dyDescent="0.2">
      <c r="A6546" s="115"/>
      <c r="B6546" s="95"/>
      <c r="C6546" s="94"/>
      <c r="D6546" s="95"/>
      <c r="E6546" s="95"/>
      <c r="F6546" s="96"/>
      <c r="G6546" s="97"/>
      <c r="H6546" s="114" t="str">
        <f t="shared" si="92"/>
        <v/>
      </c>
      <c r="I6546" s="17"/>
      <c r="J6546" s="17"/>
      <c r="K6546" s="17"/>
    </row>
    <row r="6547" spans="1:11" x14ac:dyDescent="0.2">
      <c r="A6547" s="115"/>
      <c r="B6547" s="95"/>
      <c r="C6547" s="94"/>
      <c r="D6547" s="95"/>
      <c r="E6547" s="95"/>
      <c r="F6547" s="96"/>
      <c r="G6547" s="97"/>
      <c r="H6547" s="114" t="str">
        <f t="shared" si="92"/>
        <v/>
      </c>
      <c r="I6547" s="17"/>
      <c r="J6547" s="17"/>
      <c r="K6547" s="17"/>
    </row>
    <row r="6548" spans="1:11" x14ac:dyDescent="0.2">
      <c r="A6548" s="115"/>
      <c r="B6548" s="95"/>
      <c r="C6548" s="94"/>
      <c r="D6548" s="95"/>
      <c r="E6548" s="95"/>
      <c r="F6548" s="96"/>
      <c r="G6548" s="97"/>
      <c r="H6548" s="114" t="str">
        <f t="shared" si="92"/>
        <v/>
      </c>
      <c r="I6548" s="17"/>
      <c r="J6548" s="17"/>
      <c r="K6548" s="17"/>
    </row>
    <row r="6549" spans="1:11" x14ac:dyDescent="0.2">
      <c r="A6549" s="115"/>
      <c r="B6549" s="95"/>
      <c r="C6549" s="94"/>
      <c r="D6549" s="95"/>
      <c r="E6549" s="95"/>
      <c r="F6549" s="96"/>
      <c r="G6549" s="97"/>
      <c r="H6549" s="114" t="str">
        <f t="shared" si="92"/>
        <v/>
      </c>
      <c r="I6549" s="17"/>
      <c r="J6549" s="17"/>
      <c r="K6549" s="17"/>
    </row>
    <row r="6550" spans="1:11" x14ac:dyDescent="0.2">
      <c r="A6550" s="115"/>
      <c r="B6550" s="95"/>
      <c r="C6550" s="94"/>
      <c r="D6550" s="95"/>
      <c r="E6550" s="95"/>
      <c r="F6550" s="96"/>
      <c r="G6550" s="97"/>
      <c r="H6550" s="114" t="str">
        <f t="shared" si="92"/>
        <v/>
      </c>
      <c r="I6550" s="17"/>
      <c r="J6550" s="17"/>
      <c r="K6550" s="17"/>
    </row>
    <row r="6551" spans="1:11" x14ac:dyDescent="0.2">
      <c r="A6551" s="115"/>
      <c r="B6551" s="95"/>
      <c r="C6551" s="94"/>
      <c r="D6551" s="95"/>
      <c r="E6551" s="95"/>
      <c r="F6551" s="96"/>
      <c r="G6551" s="97"/>
      <c r="H6551" s="114" t="str">
        <f t="shared" si="92"/>
        <v/>
      </c>
      <c r="I6551" s="17"/>
      <c r="J6551" s="17"/>
      <c r="K6551" s="17"/>
    </row>
    <row r="6552" spans="1:11" x14ac:dyDescent="0.2">
      <c r="A6552" s="115"/>
      <c r="B6552" s="95"/>
      <c r="C6552" s="94"/>
      <c r="D6552" s="95"/>
      <c r="E6552" s="95"/>
      <c r="F6552" s="96"/>
      <c r="G6552" s="97"/>
      <c r="H6552" s="114" t="str">
        <f t="shared" si="92"/>
        <v/>
      </c>
      <c r="I6552" s="17"/>
      <c r="J6552" s="17"/>
      <c r="K6552" s="17"/>
    </row>
    <row r="6553" spans="1:11" x14ac:dyDescent="0.2">
      <c r="A6553" s="115"/>
      <c r="B6553" s="95"/>
      <c r="C6553" s="94"/>
      <c r="D6553" s="95"/>
      <c r="E6553" s="95"/>
      <c r="F6553" s="96"/>
      <c r="G6553" s="97"/>
      <c r="H6553" s="114" t="str">
        <f t="shared" si="92"/>
        <v/>
      </c>
      <c r="I6553" s="17"/>
      <c r="J6553" s="17"/>
      <c r="K6553" s="17"/>
    </row>
    <row r="6554" spans="1:11" x14ac:dyDescent="0.2">
      <c r="A6554" s="115"/>
      <c r="B6554" s="95"/>
      <c r="C6554" s="94"/>
      <c r="D6554" s="95"/>
      <c r="E6554" s="95"/>
      <c r="F6554" s="96"/>
      <c r="G6554" s="97"/>
      <c r="H6554" s="114" t="str">
        <f t="shared" si="92"/>
        <v/>
      </c>
      <c r="I6554" s="17"/>
      <c r="J6554" s="17"/>
      <c r="K6554" s="17"/>
    </row>
    <row r="6555" spans="1:11" x14ac:dyDescent="0.2">
      <c r="A6555" s="115"/>
      <c r="B6555" s="95"/>
      <c r="C6555" s="94"/>
      <c r="D6555" s="95"/>
      <c r="E6555" s="95"/>
      <c r="F6555" s="96"/>
      <c r="G6555" s="97"/>
      <c r="H6555" s="114" t="str">
        <f t="shared" si="92"/>
        <v/>
      </c>
      <c r="I6555" s="17"/>
      <c r="J6555" s="17"/>
      <c r="K6555" s="17"/>
    </row>
    <row r="6556" spans="1:11" x14ac:dyDescent="0.2">
      <c r="A6556" s="115"/>
      <c r="B6556" s="95"/>
      <c r="C6556" s="94"/>
      <c r="D6556" s="95"/>
      <c r="E6556" s="95"/>
      <c r="F6556" s="96"/>
      <c r="G6556" s="97"/>
      <c r="H6556" s="114" t="str">
        <f t="shared" si="92"/>
        <v/>
      </c>
      <c r="I6556" s="17"/>
      <c r="J6556" s="17"/>
      <c r="K6556" s="17"/>
    </row>
    <row r="6557" spans="1:11" x14ac:dyDescent="0.2">
      <c r="A6557" s="115"/>
      <c r="B6557" s="95"/>
      <c r="C6557" s="94"/>
      <c r="D6557" s="95"/>
      <c r="E6557" s="95"/>
      <c r="F6557" s="96"/>
      <c r="G6557" s="97"/>
      <c r="H6557" s="114" t="str">
        <f t="shared" si="92"/>
        <v/>
      </c>
      <c r="I6557" s="17"/>
      <c r="J6557" s="17"/>
      <c r="K6557" s="17"/>
    </row>
    <row r="6558" spans="1:11" x14ac:dyDescent="0.2">
      <c r="A6558" s="115"/>
      <c r="B6558" s="95"/>
      <c r="C6558" s="94"/>
      <c r="D6558" s="95"/>
      <c r="E6558" s="95"/>
      <c r="F6558" s="96"/>
      <c r="G6558" s="97"/>
      <c r="H6558" s="114" t="str">
        <f t="shared" si="92"/>
        <v/>
      </c>
      <c r="I6558" s="17"/>
      <c r="J6558" s="17"/>
      <c r="K6558" s="17"/>
    </row>
    <row r="6559" spans="1:11" x14ac:dyDescent="0.2">
      <c r="A6559" s="115"/>
      <c r="B6559" s="95"/>
      <c r="C6559" s="94"/>
      <c r="D6559" s="95"/>
      <c r="E6559" s="95"/>
      <c r="F6559" s="96"/>
      <c r="G6559" s="97"/>
      <c r="H6559" s="114" t="str">
        <f t="shared" si="92"/>
        <v/>
      </c>
      <c r="I6559" s="17"/>
      <c r="J6559" s="17"/>
      <c r="K6559" s="17"/>
    </row>
    <row r="6560" spans="1:11" x14ac:dyDescent="0.2">
      <c r="A6560" s="115"/>
      <c r="B6560" s="95"/>
      <c r="C6560" s="94"/>
      <c r="D6560" s="95"/>
      <c r="E6560" s="95"/>
      <c r="F6560" s="96"/>
      <c r="G6560" s="97"/>
      <c r="H6560" s="114" t="str">
        <f t="shared" si="92"/>
        <v/>
      </c>
      <c r="I6560" s="17"/>
      <c r="J6560" s="17"/>
      <c r="K6560" s="17"/>
    </row>
    <row r="6561" spans="1:11" x14ac:dyDescent="0.2">
      <c r="A6561" s="115"/>
      <c r="B6561" s="95"/>
      <c r="C6561" s="94"/>
      <c r="D6561" s="95"/>
      <c r="E6561" s="95"/>
      <c r="F6561" s="96"/>
      <c r="G6561" s="97"/>
      <c r="H6561" s="114" t="str">
        <f t="shared" si="92"/>
        <v/>
      </c>
      <c r="I6561" s="17"/>
      <c r="J6561" s="17"/>
      <c r="K6561" s="17"/>
    </row>
    <row r="6562" spans="1:11" x14ac:dyDescent="0.2">
      <c r="A6562" s="115"/>
      <c r="B6562" s="95"/>
      <c r="C6562" s="94"/>
      <c r="D6562" s="95"/>
      <c r="E6562" s="95"/>
      <c r="F6562" s="96"/>
      <c r="G6562" s="97"/>
      <c r="H6562" s="114" t="str">
        <f t="shared" si="92"/>
        <v/>
      </c>
      <c r="I6562" s="17"/>
      <c r="J6562" s="17"/>
      <c r="K6562" s="17"/>
    </row>
    <row r="6563" spans="1:11" x14ac:dyDescent="0.2">
      <c r="A6563" s="115"/>
      <c r="B6563" s="95"/>
      <c r="C6563" s="94"/>
      <c r="D6563" s="95"/>
      <c r="E6563" s="95"/>
      <c r="F6563" s="96"/>
      <c r="G6563" s="97"/>
      <c r="H6563" s="114" t="str">
        <f t="shared" si="92"/>
        <v/>
      </c>
      <c r="I6563" s="17"/>
      <c r="J6563" s="17"/>
      <c r="K6563" s="17"/>
    </row>
    <row r="6564" spans="1:11" x14ac:dyDescent="0.2">
      <c r="A6564" s="115"/>
      <c r="B6564" s="95"/>
      <c r="C6564" s="94"/>
      <c r="D6564" s="95"/>
      <c r="E6564" s="95"/>
      <c r="F6564" s="96"/>
      <c r="G6564" s="97"/>
      <c r="H6564" s="114" t="str">
        <f t="shared" si="92"/>
        <v/>
      </c>
      <c r="I6564" s="17"/>
      <c r="J6564" s="17"/>
      <c r="K6564" s="17"/>
    </row>
    <row r="6565" spans="1:11" x14ac:dyDescent="0.2">
      <c r="A6565" s="115"/>
      <c r="B6565" s="95"/>
      <c r="C6565" s="94"/>
      <c r="D6565" s="95"/>
      <c r="E6565" s="95"/>
      <c r="F6565" s="96"/>
      <c r="G6565" s="97"/>
      <c r="H6565" s="114" t="str">
        <f t="shared" si="92"/>
        <v/>
      </c>
      <c r="I6565" s="17"/>
      <c r="J6565" s="17"/>
      <c r="K6565" s="17"/>
    </row>
    <row r="6566" spans="1:11" x14ac:dyDescent="0.2">
      <c r="A6566" s="115"/>
      <c r="B6566" s="95"/>
      <c r="C6566" s="94"/>
      <c r="D6566" s="95"/>
      <c r="E6566" s="95"/>
      <c r="F6566" s="96"/>
      <c r="G6566" s="97"/>
      <c r="H6566" s="114" t="str">
        <f t="shared" si="92"/>
        <v/>
      </c>
      <c r="I6566" s="17"/>
      <c r="J6566" s="17"/>
      <c r="K6566" s="17"/>
    </row>
    <row r="6567" spans="1:11" x14ac:dyDescent="0.2">
      <c r="A6567" s="115"/>
      <c r="B6567" s="95"/>
      <c r="C6567" s="94"/>
      <c r="D6567" s="95"/>
      <c r="E6567" s="95"/>
      <c r="F6567" s="96"/>
      <c r="G6567" s="97"/>
      <c r="H6567" s="114" t="str">
        <f t="shared" si="92"/>
        <v/>
      </c>
      <c r="I6567" s="17"/>
      <c r="J6567" s="17"/>
      <c r="K6567" s="17"/>
    </row>
    <row r="6568" spans="1:11" x14ac:dyDescent="0.2">
      <c r="A6568" s="115"/>
      <c r="B6568" s="95"/>
      <c r="C6568" s="94"/>
      <c r="D6568" s="95"/>
      <c r="E6568" s="95"/>
      <c r="F6568" s="96"/>
      <c r="G6568" s="97"/>
      <c r="H6568" s="114" t="str">
        <f t="shared" si="92"/>
        <v/>
      </c>
      <c r="I6568" s="17"/>
      <c r="J6568" s="17"/>
      <c r="K6568" s="17"/>
    </row>
    <row r="6569" spans="1:11" x14ac:dyDescent="0.2">
      <c r="A6569" s="115"/>
      <c r="B6569" s="95"/>
      <c r="C6569" s="94"/>
      <c r="D6569" s="95"/>
      <c r="E6569" s="95"/>
      <c r="F6569" s="96"/>
      <c r="G6569" s="97"/>
      <c r="H6569" s="114" t="str">
        <f t="shared" si="92"/>
        <v/>
      </c>
      <c r="I6569" s="17"/>
      <c r="J6569" s="17"/>
      <c r="K6569" s="17"/>
    </row>
    <row r="6570" spans="1:11" x14ac:dyDescent="0.2">
      <c r="A6570" s="115"/>
      <c r="B6570" s="95"/>
      <c r="C6570" s="94"/>
      <c r="D6570" s="95"/>
      <c r="E6570" s="95"/>
      <c r="F6570" s="96"/>
      <c r="G6570" s="97"/>
      <c r="H6570" s="114" t="str">
        <f t="shared" si="92"/>
        <v/>
      </c>
      <c r="I6570" s="17"/>
      <c r="J6570" s="17"/>
      <c r="K6570" s="17"/>
    </row>
    <row r="6571" spans="1:11" x14ac:dyDescent="0.2">
      <c r="A6571" s="115"/>
      <c r="B6571" s="95"/>
      <c r="C6571" s="94"/>
      <c r="D6571" s="95"/>
      <c r="E6571" s="95"/>
      <c r="F6571" s="96"/>
      <c r="G6571" s="97"/>
      <c r="H6571" s="114" t="str">
        <f t="shared" si="92"/>
        <v/>
      </c>
      <c r="I6571" s="17"/>
      <c r="J6571" s="17"/>
      <c r="K6571" s="17"/>
    </row>
    <row r="6572" spans="1:11" x14ac:dyDescent="0.2">
      <c r="A6572" s="115"/>
      <c r="B6572" s="95"/>
      <c r="C6572" s="94"/>
      <c r="D6572" s="95"/>
      <c r="E6572" s="95"/>
      <c r="F6572" s="96"/>
      <c r="G6572" s="97"/>
      <c r="H6572" s="114" t="str">
        <f t="shared" si="92"/>
        <v/>
      </c>
      <c r="I6572" s="17"/>
      <c r="J6572" s="17"/>
      <c r="K6572" s="17"/>
    </row>
    <row r="6573" spans="1:11" x14ac:dyDescent="0.2">
      <c r="A6573" s="115"/>
      <c r="B6573" s="95"/>
      <c r="C6573" s="94"/>
      <c r="D6573" s="95"/>
      <c r="E6573" s="95"/>
      <c r="F6573" s="96"/>
      <c r="G6573" s="97"/>
      <c r="H6573" s="114" t="str">
        <f t="shared" si="92"/>
        <v/>
      </c>
      <c r="I6573" s="17"/>
      <c r="J6573" s="17"/>
      <c r="K6573" s="17"/>
    </row>
    <row r="6574" spans="1:11" x14ac:dyDescent="0.2">
      <c r="A6574" s="115"/>
      <c r="B6574" s="95"/>
      <c r="C6574" s="94"/>
      <c r="D6574" s="95"/>
      <c r="E6574" s="95"/>
      <c r="F6574" s="96"/>
      <c r="G6574" s="97"/>
      <c r="H6574" s="114" t="str">
        <f t="shared" si="92"/>
        <v/>
      </c>
      <c r="I6574" s="17"/>
      <c r="J6574" s="17"/>
      <c r="K6574" s="17"/>
    </row>
    <row r="6575" spans="1:11" x14ac:dyDescent="0.2">
      <c r="A6575" s="115"/>
      <c r="B6575" s="95"/>
      <c r="C6575" s="94"/>
      <c r="D6575" s="95"/>
      <c r="E6575" s="95"/>
      <c r="F6575" s="96"/>
      <c r="G6575" s="97"/>
      <c r="H6575" s="114" t="str">
        <f t="shared" si="92"/>
        <v/>
      </c>
      <c r="I6575" s="17"/>
      <c r="J6575" s="17"/>
      <c r="K6575" s="17"/>
    </row>
    <row r="6576" spans="1:11" x14ac:dyDescent="0.2">
      <c r="A6576" s="115"/>
      <c r="B6576" s="95"/>
      <c r="C6576" s="94"/>
      <c r="D6576" s="95"/>
      <c r="E6576" s="95"/>
      <c r="F6576" s="96"/>
      <c r="G6576" s="97"/>
      <c r="H6576" s="114" t="str">
        <f t="shared" si="92"/>
        <v/>
      </c>
      <c r="I6576" s="17"/>
      <c r="J6576" s="17"/>
      <c r="K6576" s="17"/>
    </row>
    <row r="6577" spans="1:11" x14ac:dyDescent="0.2">
      <c r="A6577" s="115"/>
      <c r="B6577" s="95"/>
      <c r="C6577" s="94"/>
      <c r="D6577" s="95"/>
      <c r="E6577" s="95"/>
      <c r="F6577" s="96"/>
      <c r="G6577" s="97"/>
      <c r="H6577" s="114" t="str">
        <f t="shared" si="92"/>
        <v/>
      </c>
      <c r="I6577" s="17"/>
      <c r="J6577" s="17"/>
      <c r="K6577" s="17"/>
    </row>
    <row r="6578" spans="1:11" x14ac:dyDescent="0.2">
      <c r="A6578" s="115"/>
      <c r="B6578" s="95"/>
      <c r="C6578" s="94"/>
      <c r="D6578" s="95"/>
      <c r="E6578" s="95"/>
      <c r="F6578" s="96"/>
      <c r="G6578" s="97"/>
      <c r="H6578" s="114" t="str">
        <f t="shared" si="92"/>
        <v/>
      </c>
      <c r="I6578" s="17"/>
      <c r="J6578" s="17"/>
      <c r="K6578" s="17"/>
    </row>
    <row r="6579" spans="1:11" x14ac:dyDescent="0.2">
      <c r="A6579" s="115"/>
      <c r="B6579" s="95"/>
      <c r="C6579" s="94"/>
      <c r="D6579" s="95"/>
      <c r="E6579" s="95"/>
      <c r="F6579" s="96"/>
      <c r="G6579" s="97"/>
      <c r="H6579" s="114" t="str">
        <f t="shared" si="92"/>
        <v/>
      </c>
      <c r="I6579" s="17"/>
      <c r="J6579" s="17"/>
      <c r="K6579" s="17"/>
    </row>
    <row r="6580" spans="1:11" x14ac:dyDescent="0.2">
      <c r="A6580" s="115"/>
      <c r="B6580" s="95"/>
      <c r="C6580" s="94"/>
      <c r="D6580" s="95"/>
      <c r="E6580" s="95"/>
      <c r="F6580" s="96"/>
      <c r="G6580" s="97"/>
      <c r="H6580" s="114" t="str">
        <f t="shared" si="92"/>
        <v/>
      </c>
      <c r="I6580" s="17"/>
      <c r="J6580" s="17"/>
      <c r="K6580" s="17"/>
    </row>
    <row r="6581" spans="1:11" x14ac:dyDescent="0.2">
      <c r="A6581" s="115"/>
      <c r="B6581" s="95"/>
      <c r="C6581" s="94"/>
      <c r="D6581" s="95"/>
      <c r="E6581" s="95"/>
      <c r="F6581" s="96"/>
      <c r="G6581" s="97"/>
      <c r="H6581" s="114" t="str">
        <f t="shared" si="92"/>
        <v/>
      </c>
      <c r="I6581" s="17"/>
      <c r="J6581" s="17"/>
      <c r="K6581" s="17"/>
    </row>
    <row r="6582" spans="1:11" x14ac:dyDescent="0.2">
      <c r="A6582" s="115"/>
      <c r="B6582" s="95"/>
      <c r="C6582" s="94"/>
      <c r="D6582" s="95"/>
      <c r="E6582" s="95"/>
      <c r="F6582" s="96"/>
      <c r="G6582" s="97"/>
      <c r="H6582" s="114" t="str">
        <f t="shared" si="92"/>
        <v/>
      </c>
      <c r="I6582" s="17"/>
      <c r="J6582" s="17"/>
      <c r="K6582" s="17"/>
    </row>
    <row r="6583" spans="1:11" x14ac:dyDescent="0.2">
      <c r="A6583" s="115"/>
      <c r="B6583" s="95"/>
      <c r="C6583" s="94"/>
      <c r="D6583" s="95"/>
      <c r="E6583" s="95"/>
      <c r="F6583" s="96"/>
      <c r="G6583" s="97"/>
      <c r="H6583" s="114" t="str">
        <f t="shared" si="92"/>
        <v/>
      </c>
      <c r="I6583" s="17"/>
      <c r="J6583" s="17"/>
      <c r="K6583" s="17"/>
    </row>
    <row r="6584" spans="1:11" x14ac:dyDescent="0.2">
      <c r="A6584" s="115"/>
      <c r="B6584" s="95"/>
      <c r="C6584" s="94"/>
      <c r="D6584" s="95"/>
      <c r="E6584" s="95"/>
      <c r="F6584" s="96"/>
      <c r="G6584" s="97"/>
      <c r="H6584" s="114" t="str">
        <f t="shared" si="92"/>
        <v/>
      </c>
      <c r="I6584" s="17"/>
      <c r="J6584" s="17"/>
      <c r="K6584" s="17"/>
    </row>
    <row r="6585" spans="1:11" x14ac:dyDescent="0.2">
      <c r="A6585" s="115"/>
      <c r="B6585" s="95"/>
      <c r="C6585" s="94"/>
      <c r="D6585" s="95"/>
      <c r="E6585" s="95"/>
      <c r="F6585" s="96"/>
      <c r="G6585" s="97"/>
      <c r="H6585" s="114" t="str">
        <f t="shared" si="92"/>
        <v/>
      </c>
      <c r="I6585" s="17"/>
      <c r="J6585" s="17"/>
      <c r="K6585" s="17"/>
    </row>
    <row r="6586" spans="1:11" x14ac:dyDescent="0.2">
      <c r="A6586" s="115"/>
      <c r="B6586" s="95"/>
      <c r="C6586" s="94"/>
      <c r="D6586" s="95"/>
      <c r="E6586" s="95"/>
      <c r="F6586" s="96"/>
      <c r="G6586" s="97"/>
      <c r="H6586" s="114" t="str">
        <f t="shared" si="92"/>
        <v/>
      </c>
      <c r="I6586" s="17"/>
      <c r="J6586" s="17"/>
      <c r="K6586" s="17"/>
    </row>
    <row r="6587" spans="1:11" x14ac:dyDescent="0.2">
      <c r="A6587" s="115"/>
      <c r="B6587" s="95"/>
      <c r="C6587" s="94"/>
      <c r="D6587" s="95"/>
      <c r="E6587" s="95"/>
      <c r="F6587" s="96"/>
      <c r="G6587" s="97"/>
      <c r="H6587" s="114" t="str">
        <f t="shared" si="92"/>
        <v/>
      </c>
      <c r="I6587" s="17"/>
      <c r="J6587" s="17"/>
      <c r="K6587" s="17"/>
    </row>
    <row r="6588" spans="1:11" x14ac:dyDescent="0.2">
      <c r="A6588" s="115"/>
      <c r="B6588" s="95"/>
      <c r="C6588" s="94"/>
      <c r="D6588" s="95"/>
      <c r="E6588" s="95"/>
      <c r="F6588" s="96"/>
      <c r="G6588" s="97"/>
      <c r="H6588" s="114" t="str">
        <f t="shared" si="92"/>
        <v/>
      </c>
      <c r="I6588" s="17"/>
      <c r="J6588" s="17"/>
      <c r="K6588" s="17"/>
    </row>
    <row r="6589" spans="1:11" x14ac:dyDescent="0.2">
      <c r="A6589" s="115"/>
      <c r="B6589" s="95"/>
      <c r="C6589" s="94"/>
      <c r="D6589" s="95"/>
      <c r="E6589" s="95"/>
      <c r="F6589" s="96"/>
      <c r="G6589" s="97"/>
      <c r="H6589" s="114" t="str">
        <f t="shared" si="92"/>
        <v/>
      </c>
      <c r="I6589" s="17"/>
      <c r="J6589" s="17"/>
      <c r="K6589" s="17"/>
    </row>
    <row r="6590" spans="1:11" x14ac:dyDescent="0.2">
      <c r="A6590" s="115"/>
      <c r="B6590" s="95"/>
      <c r="C6590" s="94"/>
      <c r="D6590" s="95"/>
      <c r="E6590" s="95"/>
      <c r="F6590" s="96"/>
      <c r="G6590" s="97"/>
      <c r="H6590" s="114" t="str">
        <f t="shared" si="92"/>
        <v/>
      </c>
      <c r="I6590" s="17"/>
      <c r="J6590" s="17"/>
      <c r="K6590" s="17"/>
    </row>
    <row r="6591" spans="1:11" x14ac:dyDescent="0.2">
      <c r="A6591" s="115"/>
      <c r="B6591" s="95"/>
      <c r="C6591" s="94"/>
      <c r="D6591" s="95"/>
      <c r="E6591" s="95"/>
      <c r="F6591" s="96"/>
      <c r="G6591" s="97"/>
      <c r="H6591" s="114" t="str">
        <f t="shared" si="92"/>
        <v/>
      </c>
      <c r="I6591" s="17"/>
      <c r="J6591" s="17"/>
      <c r="K6591" s="17"/>
    </row>
    <row r="6592" spans="1:11" x14ac:dyDescent="0.2">
      <c r="A6592" s="115"/>
      <c r="B6592" s="95"/>
      <c r="C6592" s="94"/>
      <c r="D6592" s="95"/>
      <c r="E6592" s="95"/>
      <c r="F6592" s="96"/>
      <c r="G6592" s="97"/>
      <c r="H6592" s="114" t="str">
        <f t="shared" si="92"/>
        <v/>
      </c>
      <c r="I6592" s="17"/>
      <c r="J6592" s="17"/>
      <c r="K6592" s="17"/>
    </row>
    <row r="6593" spans="1:11" x14ac:dyDescent="0.2">
      <c r="A6593" s="115"/>
      <c r="B6593" s="95"/>
      <c r="C6593" s="94"/>
      <c r="D6593" s="95"/>
      <c r="E6593" s="95"/>
      <c r="F6593" s="96"/>
      <c r="G6593" s="97"/>
      <c r="H6593" s="114" t="str">
        <f t="shared" si="92"/>
        <v/>
      </c>
      <c r="I6593" s="17"/>
      <c r="J6593" s="17"/>
      <c r="K6593" s="17"/>
    </row>
    <row r="6594" spans="1:11" x14ac:dyDescent="0.2">
      <c r="A6594" s="115"/>
      <c r="B6594" s="95"/>
      <c r="C6594" s="94"/>
      <c r="D6594" s="95"/>
      <c r="E6594" s="95"/>
      <c r="F6594" s="96"/>
      <c r="G6594" s="97"/>
      <c r="H6594" s="114" t="str">
        <f t="shared" si="92"/>
        <v/>
      </c>
      <c r="I6594" s="17"/>
      <c r="J6594" s="17"/>
      <c r="K6594" s="17"/>
    </row>
    <row r="6595" spans="1:11" x14ac:dyDescent="0.2">
      <c r="A6595" s="115"/>
      <c r="B6595" s="95"/>
      <c r="C6595" s="94"/>
      <c r="D6595" s="95"/>
      <c r="E6595" s="95"/>
      <c r="F6595" s="96"/>
      <c r="G6595" s="97"/>
      <c r="H6595" s="114" t="str">
        <f t="shared" si="92"/>
        <v/>
      </c>
      <c r="I6595" s="17"/>
      <c r="J6595" s="17"/>
      <c r="K6595" s="17"/>
    </row>
    <row r="6596" spans="1:11" x14ac:dyDescent="0.2">
      <c r="A6596" s="115"/>
      <c r="B6596" s="95"/>
      <c r="C6596" s="94"/>
      <c r="D6596" s="95"/>
      <c r="E6596" s="95"/>
      <c r="F6596" s="96"/>
      <c r="G6596" s="97"/>
      <c r="H6596" s="114" t="str">
        <f t="shared" ref="H6596:H6659" si="93">IF(A6596&lt;&gt;"", EOMONTH(A6596, -1) + 1, "")</f>
        <v/>
      </c>
      <c r="I6596" s="17"/>
      <c r="J6596" s="17"/>
      <c r="K6596" s="17"/>
    </row>
    <row r="6597" spans="1:11" x14ac:dyDescent="0.2">
      <c r="A6597" s="115"/>
      <c r="B6597" s="95"/>
      <c r="C6597" s="94"/>
      <c r="D6597" s="95"/>
      <c r="E6597" s="95"/>
      <c r="F6597" s="96"/>
      <c r="G6597" s="97"/>
      <c r="H6597" s="114" t="str">
        <f t="shared" si="93"/>
        <v/>
      </c>
      <c r="I6597" s="17"/>
      <c r="J6597" s="17"/>
      <c r="K6597" s="17"/>
    </row>
    <row r="6598" spans="1:11" x14ac:dyDescent="0.2">
      <c r="A6598" s="115"/>
      <c r="B6598" s="95"/>
      <c r="C6598" s="94"/>
      <c r="D6598" s="95"/>
      <c r="E6598" s="95"/>
      <c r="F6598" s="96"/>
      <c r="G6598" s="97"/>
      <c r="H6598" s="114" t="str">
        <f t="shared" si="93"/>
        <v/>
      </c>
      <c r="I6598" s="17"/>
      <c r="J6598" s="17"/>
      <c r="K6598" s="17"/>
    </row>
    <row r="6599" spans="1:11" x14ac:dyDescent="0.2">
      <c r="A6599" s="115"/>
      <c r="B6599" s="95"/>
      <c r="C6599" s="94"/>
      <c r="D6599" s="95"/>
      <c r="E6599" s="95"/>
      <c r="F6599" s="96"/>
      <c r="G6599" s="97"/>
      <c r="H6599" s="114" t="str">
        <f t="shared" si="93"/>
        <v/>
      </c>
      <c r="I6599" s="17"/>
      <c r="J6599" s="17"/>
      <c r="K6599" s="17"/>
    </row>
    <row r="6600" spans="1:11" x14ac:dyDescent="0.2">
      <c r="A6600" s="115"/>
      <c r="B6600" s="95"/>
      <c r="C6600" s="94"/>
      <c r="D6600" s="95"/>
      <c r="E6600" s="95"/>
      <c r="F6600" s="96"/>
      <c r="G6600" s="97"/>
      <c r="H6600" s="114" t="str">
        <f t="shared" si="93"/>
        <v/>
      </c>
      <c r="I6600" s="17"/>
      <c r="J6600" s="17"/>
      <c r="K6600" s="17"/>
    </row>
    <row r="6601" spans="1:11" x14ac:dyDescent="0.2">
      <c r="A6601" s="115"/>
      <c r="B6601" s="95"/>
      <c r="C6601" s="94"/>
      <c r="D6601" s="95"/>
      <c r="E6601" s="95"/>
      <c r="F6601" s="96"/>
      <c r="G6601" s="97"/>
      <c r="H6601" s="114" t="str">
        <f t="shared" si="93"/>
        <v/>
      </c>
      <c r="I6601" s="17"/>
      <c r="J6601" s="17"/>
      <c r="K6601" s="17"/>
    </row>
    <row r="6602" spans="1:11" x14ac:dyDescent="0.2">
      <c r="A6602" s="115"/>
      <c r="B6602" s="95"/>
      <c r="C6602" s="94"/>
      <c r="D6602" s="95"/>
      <c r="E6602" s="95"/>
      <c r="F6602" s="96"/>
      <c r="G6602" s="97"/>
      <c r="H6602" s="114" t="str">
        <f t="shared" si="93"/>
        <v/>
      </c>
      <c r="I6602" s="17"/>
      <c r="J6602" s="17"/>
      <c r="K6602" s="17"/>
    </row>
    <row r="6603" spans="1:11" x14ac:dyDescent="0.2">
      <c r="A6603" s="115"/>
      <c r="B6603" s="95"/>
      <c r="C6603" s="94"/>
      <c r="D6603" s="95"/>
      <c r="E6603" s="95"/>
      <c r="F6603" s="96"/>
      <c r="G6603" s="97"/>
      <c r="H6603" s="114" t="str">
        <f t="shared" si="93"/>
        <v/>
      </c>
      <c r="I6603" s="17"/>
      <c r="J6603" s="17"/>
      <c r="K6603" s="17"/>
    </row>
    <row r="6604" spans="1:11" x14ac:dyDescent="0.2">
      <c r="A6604" s="115"/>
      <c r="B6604" s="95"/>
      <c r="C6604" s="94"/>
      <c r="D6604" s="95"/>
      <c r="E6604" s="95"/>
      <c r="F6604" s="96"/>
      <c r="G6604" s="97"/>
      <c r="H6604" s="114" t="str">
        <f t="shared" si="93"/>
        <v/>
      </c>
      <c r="I6604" s="17"/>
      <c r="J6604" s="17"/>
      <c r="K6604" s="17"/>
    </row>
    <row r="6605" spans="1:11" x14ac:dyDescent="0.2">
      <c r="A6605" s="115"/>
      <c r="B6605" s="95"/>
      <c r="C6605" s="94"/>
      <c r="D6605" s="95"/>
      <c r="E6605" s="95"/>
      <c r="F6605" s="96"/>
      <c r="G6605" s="97"/>
      <c r="H6605" s="114" t="str">
        <f t="shared" si="93"/>
        <v/>
      </c>
      <c r="I6605" s="17"/>
      <c r="J6605" s="17"/>
      <c r="K6605" s="17"/>
    </row>
    <row r="6606" spans="1:11" x14ac:dyDescent="0.2">
      <c r="A6606" s="115"/>
      <c r="B6606" s="95"/>
      <c r="C6606" s="94"/>
      <c r="D6606" s="95"/>
      <c r="E6606" s="95"/>
      <c r="F6606" s="96"/>
      <c r="G6606" s="97"/>
      <c r="H6606" s="114" t="str">
        <f t="shared" si="93"/>
        <v/>
      </c>
      <c r="I6606" s="17"/>
      <c r="J6606" s="17"/>
      <c r="K6606" s="17"/>
    </row>
    <row r="6607" spans="1:11" x14ac:dyDescent="0.2">
      <c r="A6607" s="115"/>
      <c r="B6607" s="95"/>
      <c r="C6607" s="94"/>
      <c r="D6607" s="95"/>
      <c r="E6607" s="95"/>
      <c r="F6607" s="96"/>
      <c r="G6607" s="97"/>
      <c r="H6607" s="114" t="str">
        <f t="shared" si="93"/>
        <v/>
      </c>
      <c r="I6607" s="17"/>
      <c r="J6607" s="17"/>
      <c r="K6607" s="17"/>
    </row>
    <row r="6608" spans="1:11" x14ac:dyDescent="0.2">
      <c r="A6608" s="115"/>
      <c r="B6608" s="95"/>
      <c r="C6608" s="94"/>
      <c r="D6608" s="95"/>
      <c r="E6608" s="95"/>
      <c r="F6608" s="96"/>
      <c r="G6608" s="97"/>
      <c r="H6608" s="114" t="str">
        <f t="shared" si="93"/>
        <v/>
      </c>
      <c r="I6608" s="17"/>
      <c r="J6608" s="17"/>
      <c r="K6608" s="17"/>
    </row>
    <row r="6609" spans="1:11" x14ac:dyDescent="0.2">
      <c r="A6609" s="115"/>
      <c r="B6609" s="95"/>
      <c r="C6609" s="94"/>
      <c r="D6609" s="95"/>
      <c r="E6609" s="95"/>
      <c r="F6609" s="96"/>
      <c r="G6609" s="97"/>
      <c r="H6609" s="114" t="str">
        <f t="shared" si="93"/>
        <v/>
      </c>
      <c r="I6609" s="17"/>
      <c r="J6609" s="17"/>
      <c r="K6609" s="17"/>
    </row>
    <row r="6610" spans="1:11" x14ac:dyDescent="0.2">
      <c r="A6610" s="115"/>
      <c r="B6610" s="95"/>
      <c r="C6610" s="94"/>
      <c r="D6610" s="95"/>
      <c r="E6610" s="95"/>
      <c r="F6610" s="96"/>
      <c r="G6610" s="97"/>
      <c r="H6610" s="114" t="str">
        <f t="shared" si="93"/>
        <v/>
      </c>
      <c r="I6610" s="17"/>
      <c r="J6610" s="17"/>
      <c r="K6610" s="17"/>
    </row>
    <row r="6611" spans="1:11" x14ac:dyDescent="0.2">
      <c r="A6611" s="115"/>
      <c r="B6611" s="95"/>
      <c r="C6611" s="94"/>
      <c r="D6611" s="95"/>
      <c r="E6611" s="95"/>
      <c r="F6611" s="96"/>
      <c r="G6611" s="97"/>
      <c r="H6611" s="114" t="str">
        <f t="shared" si="93"/>
        <v/>
      </c>
      <c r="I6611" s="17"/>
      <c r="J6611" s="17"/>
      <c r="K6611" s="17"/>
    </row>
    <row r="6612" spans="1:11" x14ac:dyDescent="0.2">
      <c r="A6612" s="115"/>
      <c r="B6612" s="95"/>
      <c r="C6612" s="94"/>
      <c r="D6612" s="95"/>
      <c r="E6612" s="95"/>
      <c r="F6612" s="96"/>
      <c r="G6612" s="97"/>
      <c r="H6612" s="114" t="str">
        <f t="shared" si="93"/>
        <v/>
      </c>
      <c r="I6612" s="17"/>
      <c r="J6612" s="17"/>
      <c r="K6612" s="17"/>
    </row>
    <row r="6613" spans="1:11" x14ac:dyDescent="0.2">
      <c r="A6613" s="115"/>
      <c r="B6613" s="95"/>
      <c r="C6613" s="94"/>
      <c r="D6613" s="95"/>
      <c r="E6613" s="95"/>
      <c r="F6613" s="96"/>
      <c r="G6613" s="97"/>
      <c r="H6613" s="114" t="str">
        <f t="shared" si="93"/>
        <v/>
      </c>
      <c r="I6613" s="17"/>
      <c r="J6613" s="17"/>
      <c r="K6613" s="17"/>
    </row>
    <row r="6614" spans="1:11" x14ac:dyDescent="0.2">
      <c r="A6614" s="115"/>
      <c r="B6614" s="95"/>
      <c r="C6614" s="94"/>
      <c r="D6614" s="95"/>
      <c r="E6614" s="95"/>
      <c r="F6614" s="96"/>
      <c r="G6614" s="97"/>
      <c r="H6614" s="114" t="str">
        <f t="shared" si="93"/>
        <v/>
      </c>
      <c r="I6614" s="17"/>
      <c r="J6614" s="17"/>
      <c r="K6614" s="17"/>
    </row>
    <row r="6615" spans="1:11" x14ac:dyDescent="0.2">
      <c r="A6615" s="115"/>
      <c r="B6615" s="95"/>
      <c r="C6615" s="94"/>
      <c r="D6615" s="95"/>
      <c r="E6615" s="95"/>
      <c r="F6615" s="96"/>
      <c r="G6615" s="97"/>
      <c r="H6615" s="114" t="str">
        <f t="shared" si="93"/>
        <v/>
      </c>
      <c r="I6615" s="17"/>
      <c r="J6615" s="17"/>
      <c r="K6615" s="17"/>
    </row>
    <row r="6616" spans="1:11" x14ac:dyDescent="0.2">
      <c r="A6616" s="115"/>
      <c r="B6616" s="95"/>
      <c r="C6616" s="94"/>
      <c r="D6616" s="95"/>
      <c r="E6616" s="95"/>
      <c r="F6616" s="96"/>
      <c r="G6616" s="97"/>
      <c r="H6616" s="114" t="str">
        <f t="shared" si="93"/>
        <v/>
      </c>
      <c r="I6616" s="17"/>
      <c r="J6616" s="17"/>
      <c r="K6616" s="17"/>
    </row>
    <row r="6617" spans="1:11" x14ac:dyDescent="0.2">
      <c r="A6617" s="115"/>
      <c r="B6617" s="95"/>
      <c r="C6617" s="94"/>
      <c r="D6617" s="95"/>
      <c r="E6617" s="95"/>
      <c r="F6617" s="96"/>
      <c r="G6617" s="97"/>
      <c r="H6617" s="114" t="str">
        <f t="shared" si="93"/>
        <v/>
      </c>
      <c r="I6617" s="17"/>
      <c r="J6617" s="17"/>
      <c r="K6617" s="17"/>
    </row>
    <row r="6618" spans="1:11" x14ac:dyDescent="0.2">
      <c r="A6618" s="115"/>
      <c r="B6618" s="95"/>
      <c r="C6618" s="94"/>
      <c r="D6618" s="95"/>
      <c r="E6618" s="95"/>
      <c r="F6618" s="96"/>
      <c r="G6618" s="97"/>
      <c r="H6618" s="114" t="str">
        <f t="shared" si="93"/>
        <v/>
      </c>
      <c r="I6618" s="17"/>
      <c r="J6618" s="17"/>
      <c r="K6618" s="17"/>
    </row>
    <row r="6619" spans="1:11" x14ac:dyDescent="0.2">
      <c r="A6619" s="115"/>
      <c r="B6619" s="95"/>
      <c r="C6619" s="94"/>
      <c r="D6619" s="95"/>
      <c r="E6619" s="95"/>
      <c r="F6619" s="96"/>
      <c r="G6619" s="97"/>
      <c r="H6619" s="114" t="str">
        <f t="shared" si="93"/>
        <v/>
      </c>
      <c r="I6619" s="17"/>
      <c r="J6619" s="17"/>
      <c r="K6619" s="17"/>
    </row>
    <row r="6620" spans="1:11" x14ac:dyDescent="0.2">
      <c r="A6620" s="115"/>
      <c r="B6620" s="95"/>
      <c r="C6620" s="94"/>
      <c r="D6620" s="95"/>
      <c r="E6620" s="95"/>
      <c r="F6620" s="96"/>
      <c r="G6620" s="97"/>
      <c r="H6620" s="114" t="str">
        <f t="shared" si="93"/>
        <v/>
      </c>
      <c r="I6620" s="17"/>
      <c r="J6620" s="17"/>
      <c r="K6620" s="17"/>
    </row>
    <row r="6621" spans="1:11" x14ac:dyDescent="0.2">
      <c r="A6621" s="115"/>
      <c r="B6621" s="95"/>
      <c r="C6621" s="94"/>
      <c r="D6621" s="95"/>
      <c r="E6621" s="95"/>
      <c r="F6621" s="96"/>
      <c r="G6621" s="97"/>
      <c r="H6621" s="114" t="str">
        <f t="shared" si="93"/>
        <v/>
      </c>
      <c r="I6621" s="17"/>
      <c r="J6621" s="17"/>
      <c r="K6621" s="17"/>
    </row>
    <row r="6622" spans="1:11" x14ac:dyDescent="0.2">
      <c r="A6622" s="115"/>
      <c r="B6622" s="95"/>
      <c r="C6622" s="94"/>
      <c r="D6622" s="95"/>
      <c r="E6622" s="95"/>
      <c r="F6622" s="96"/>
      <c r="G6622" s="97"/>
      <c r="H6622" s="114" t="str">
        <f t="shared" si="93"/>
        <v/>
      </c>
      <c r="I6622" s="17"/>
      <c r="J6622" s="17"/>
      <c r="K6622" s="17"/>
    </row>
    <row r="6623" spans="1:11" x14ac:dyDescent="0.2">
      <c r="A6623" s="115"/>
      <c r="B6623" s="95"/>
      <c r="C6623" s="94"/>
      <c r="D6623" s="95"/>
      <c r="E6623" s="95"/>
      <c r="F6623" s="96"/>
      <c r="G6623" s="97"/>
      <c r="H6623" s="114" t="str">
        <f t="shared" si="93"/>
        <v/>
      </c>
      <c r="I6623" s="17"/>
      <c r="J6623" s="17"/>
      <c r="K6623" s="17"/>
    </row>
    <row r="6624" spans="1:11" x14ac:dyDescent="0.2">
      <c r="A6624" s="115"/>
      <c r="B6624" s="95"/>
      <c r="C6624" s="94"/>
      <c r="D6624" s="95"/>
      <c r="E6624" s="95"/>
      <c r="F6624" s="96"/>
      <c r="G6624" s="97"/>
      <c r="H6624" s="114" t="str">
        <f t="shared" si="93"/>
        <v/>
      </c>
      <c r="I6624" s="17"/>
      <c r="J6624" s="17"/>
      <c r="K6624" s="17"/>
    </row>
    <row r="6625" spans="1:11" x14ac:dyDescent="0.2">
      <c r="A6625" s="115"/>
      <c r="B6625" s="95"/>
      <c r="C6625" s="94"/>
      <c r="D6625" s="95"/>
      <c r="E6625" s="95"/>
      <c r="F6625" s="96"/>
      <c r="G6625" s="97"/>
      <c r="H6625" s="114" t="str">
        <f t="shared" si="93"/>
        <v/>
      </c>
      <c r="I6625" s="17"/>
      <c r="J6625" s="17"/>
      <c r="K6625" s="17"/>
    </row>
    <row r="6626" spans="1:11" x14ac:dyDescent="0.2">
      <c r="A6626" s="115"/>
      <c r="B6626" s="95"/>
      <c r="C6626" s="94"/>
      <c r="D6626" s="95"/>
      <c r="E6626" s="95"/>
      <c r="F6626" s="96"/>
      <c r="G6626" s="97"/>
      <c r="H6626" s="114" t="str">
        <f t="shared" si="93"/>
        <v/>
      </c>
      <c r="I6626" s="17"/>
      <c r="J6626" s="17"/>
      <c r="K6626" s="17"/>
    </row>
    <row r="6627" spans="1:11" x14ac:dyDescent="0.2">
      <c r="A6627" s="115"/>
      <c r="B6627" s="95"/>
      <c r="C6627" s="94"/>
      <c r="D6627" s="95"/>
      <c r="E6627" s="95"/>
      <c r="F6627" s="96"/>
      <c r="G6627" s="97"/>
      <c r="H6627" s="114" t="str">
        <f t="shared" si="93"/>
        <v/>
      </c>
      <c r="I6627" s="17"/>
      <c r="J6627" s="17"/>
      <c r="K6627" s="17"/>
    </row>
    <row r="6628" spans="1:11" x14ac:dyDescent="0.2">
      <c r="A6628" s="115"/>
      <c r="B6628" s="95"/>
      <c r="C6628" s="94"/>
      <c r="D6628" s="95"/>
      <c r="E6628" s="95"/>
      <c r="F6628" s="96"/>
      <c r="G6628" s="97"/>
      <c r="H6628" s="114" t="str">
        <f t="shared" si="93"/>
        <v/>
      </c>
      <c r="I6628" s="17"/>
      <c r="J6628" s="17"/>
      <c r="K6628" s="17"/>
    </row>
    <row r="6629" spans="1:11" x14ac:dyDescent="0.2">
      <c r="A6629" s="115"/>
      <c r="B6629" s="95"/>
      <c r="C6629" s="94"/>
      <c r="D6629" s="95"/>
      <c r="E6629" s="95"/>
      <c r="F6629" s="96"/>
      <c r="G6629" s="97"/>
      <c r="H6629" s="114" t="str">
        <f t="shared" si="93"/>
        <v/>
      </c>
      <c r="I6629" s="17"/>
      <c r="J6629" s="17"/>
      <c r="K6629" s="17"/>
    </row>
    <row r="6630" spans="1:11" x14ac:dyDescent="0.2">
      <c r="A6630" s="115"/>
      <c r="B6630" s="95"/>
      <c r="C6630" s="94"/>
      <c r="D6630" s="95"/>
      <c r="E6630" s="95"/>
      <c r="F6630" s="96"/>
      <c r="G6630" s="97"/>
      <c r="H6630" s="114" t="str">
        <f t="shared" si="93"/>
        <v/>
      </c>
      <c r="I6630" s="17"/>
      <c r="J6630" s="17"/>
      <c r="K6630" s="17"/>
    </row>
    <row r="6631" spans="1:11" x14ac:dyDescent="0.2">
      <c r="A6631" s="115"/>
      <c r="B6631" s="95"/>
      <c r="C6631" s="94"/>
      <c r="D6631" s="95"/>
      <c r="E6631" s="95"/>
      <c r="F6631" s="96"/>
      <c r="G6631" s="97"/>
      <c r="H6631" s="114" t="str">
        <f t="shared" si="93"/>
        <v/>
      </c>
      <c r="I6631" s="17"/>
      <c r="J6631" s="17"/>
      <c r="K6631" s="17"/>
    </row>
    <row r="6632" spans="1:11" x14ac:dyDescent="0.2">
      <c r="A6632" s="115"/>
      <c r="B6632" s="95"/>
      <c r="C6632" s="94"/>
      <c r="D6632" s="95"/>
      <c r="E6632" s="95"/>
      <c r="F6632" s="96"/>
      <c r="G6632" s="97"/>
      <c r="H6632" s="114" t="str">
        <f t="shared" si="93"/>
        <v/>
      </c>
      <c r="I6632" s="17"/>
      <c r="J6632" s="17"/>
      <c r="K6632" s="17"/>
    </row>
    <row r="6633" spans="1:11" x14ac:dyDescent="0.2">
      <c r="A6633" s="115"/>
      <c r="B6633" s="95"/>
      <c r="C6633" s="94"/>
      <c r="D6633" s="95"/>
      <c r="E6633" s="95"/>
      <c r="F6633" s="96"/>
      <c r="G6633" s="97"/>
      <c r="H6633" s="114" t="str">
        <f t="shared" si="93"/>
        <v/>
      </c>
      <c r="I6633" s="17"/>
      <c r="J6633" s="17"/>
      <c r="K6633" s="17"/>
    </row>
    <row r="6634" spans="1:11" x14ac:dyDescent="0.2">
      <c r="A6634" s="115"/>
      <c r="B6634" s="95"/>
      <c r="C6634" s="94"/>
      <c r="D6634" s="95"/>
      <c r="E6634" s="95"/>
      <c r="F6634" s="96"/>
      <c r="G6634" s="97"/>
      <c r="H6634" s="114" t="str">
        <f t="shared" si="93"/>
        <v/>
      </c>
      <c r="I6634" s="17"/>
      <c r="J6634" s="17"/>
      <c r="K6634" s="17"/>
    </row>
    <row r="6635" spans="1:11" x14ac:dyDescent="0.2">
      <c r="A6635" s="115"/>
      <c r="B6635" s="95"/>
      <c r="C6635" s="94"/>
      <c r="D6635" s="95"/>
      <c r="E6635" s="95"/>
      <c r="F6635" s="96"/>
      <c r="G6635" s="97"/>
      <c r="H6635" s="114" t="str">
        <f t="shared" si="93"/>
        <v/>
      </c>
      <c r="I6635" s="17"/>
      <c r="J6635" s="17"/>
      <c r="K6635" s="17"/>
    </row>
    <row r="6636" spans="1:11" x14ac:dyDescent="0.2">
      <c r="A6636" s="115"/>
      <c r="B6636" s="95"/>
      <c r="C6636" s="94"/>
      <c r="D6636" s="95"/>
      <c r="E6636" s="95"/>
      <c r="F6636" s="96"/>
      <c r="G6636" s="97"/>
      <c r="H6636" s="114" t="str">
        <f t="shared" si="93"/>
        <v/>
      </c>
      <c r="I6636" s="17"/>
      <c r="J6636" s="17"/>
      <c r="K6636" s="17"/>
    </row>
    <row r="6637" spans="1:11" x14ac:dyDescent="0.2">
      <c r="A6637" s="115"/>
      <c r="B6637" s="95"/>
      <c r="C6637" s="94"/>
      <c r="D6637" s="95"/>
      <c r="E6637" s="95"/>
      <c r="F6637" s="96"/>
      <c r="G6637" s="97"/>
      <c r="H6637" s="114" t="str">
        <f t="shared" si="93"/>
        <v/>
      </c>
      <c r="I6637" s="17"/>
      <c r="J6637" s="17"/>
      <c r="K6637" s="17"/>
    </row>
    <row r="6638" spans="1:11" x14ac:dyDescent="0.2">
      <c r="A6638" s="115"/>
      <c r="B6638" s="95"/>
      <c r="C6638" s="94"/>
      <c r="D6638" s="95"/>
      <c r="E6638" s="95"/>
      <c r="F6638" s="96"/>
      <c r="G6638" s="97"/>
      <c r="H6638" s="114" t="str">
        <f t="shared" si="93"/>
        <v/>
      </c>
      <c r="I6638" s="17"/>
      <c r="J6638" s="17"/>
      <c r="K6638" s="17"/>
    </row>
    <row r="6639" spans="1:11" x14ac:dyDescent="0.2">
      <c r="A6639" s="115"/>
      <c r="B6639" s="95"/>
      <c r="C6639" s="94"/>
      <c r="D6639" s="95"/>
      <c r="E6639" s="95"/>
      <c r="F6639" s="96"/>
      <c r="G6639" s="97"/>
      <c r="H6639" s="114" t="str">
        <f t="shared" si="93"/>
        <v/>
      </c>
      <c r="I6639" s="17"/>
      <c r="J6639" s="17"/>
      <c r="K6639" s="17"/>
    </row>
    <row r="6640" spans="1:11" x14ac:dyDescent="0.2">
      <c r="A6640" s="115"/>
      <c r="B6640" s="95"/>
      <c r="C6640" s="94"/>
      <c r="D6640" s="95"/>
      <c r="E6640" s="95"/>
      <c r="F6640" s="96"/>
      <c r="G6640" s="97"/>
      <c r="H6640" s="114" t="str">
        <f t="shared" si="93"/>
        <v/>
      </c>
      <c r="I6640" s="17"/>
      <c r="J6640" s="17"/>
      <c r="K6640" s="17"/>
    </row>
    <row r="6641" spans="1:11" x14ac:dyDescent="0.2">
      <c r="A6641" s="115"/>
      <c r="B6641" s="95"/>
      <c r="C6641" s="94"/>
      <c r="D6641" s="95"/>
      <c r="E6641" s="95"/>
      <c r="F6641" s="96"/>
      <c r="G6641" s="97"/>
      <c r="H6641" s="114" t="str">
        <f t="shared" si="93"/>
        <v/>
      </c>
      <c r="I6641" s="17"/>
      <c r="J6641" s="17"/>
      <c r="K6641" s="17"/>
    </row>
    <row r="6642" spans="1:11" x14ac:dyDescent="0.2">
      <c r="A6642" s="115"/>
      <c r="B6642" s="95"/>
      <c r="C6642" s="94"/>
      <c r="D6642" s="95"/>
      <c r="E6642" s="95"/>
      <c r="F6642" s="96"/>
      <c r="G6642" s="97"/>
      <c r="H6642" s="114" t="str">
        <f t="shared" si="93"/>
        <v/>
      </c>
      <c r="I6642" s="17"/>
      <c r="J6642" s="17"/>
      <c r="K6642" s="17"/>
    </row>
    <row r="6643" spans="1:11" x14ac:dyDescent="0.2">
      <c r="A6643" s="115"/>
      <c r="B6643" s="95"/>
      <c r="C6643" s="94"/>
      <c r="D6643" s="95"/>
      <c r="E6643" s="95"/>
      <c r="F6643" s="96"/>
      <c r="G6643" s="97"/>
      <c r="H6643" s="114" t="str">
        <f t="shared" si="93"/>
        <v/>
      </c>
      <c r="I6643" s="17"/>
      <c r="J6643" s="17"/>
      <c r="K6643" s="17"/>
    </row>
    <row r="6644" spans="1:11" x14ac:dyDescent="0.2">
      <c r="A6644" s="115"/>
      <c r="B6644" s="95"/>
      <c r="C6644" s="94"/>
      <c r="D6644" s="95"/>
      <c r="E6644" s="95"/>
      <c r="F6644" s="96"/>
      <c r="G6644" s="97"/>
      <c r="H6644" s="114" t="str">
        <f t="shared" si="93"/>
        <v/>
      </c>
      <c r="I6644" s="17"/>
      <c r="J6644" s="17"/>
      <c r="K6644" s="17"/>
    </row>
    <row r="6645" spans="1:11" x14ac:dyDescent="0.2">
      <c r="A6645" s="115"/>
      <c r="B6645" s="95"/>
      <c r="C6645" s="94"/>
      <c r="D6645" s="95"/>
      <c r="E6645" s="95"/>
      <c r="F6645" s="96"/>
      <c r="G6645" s="97"/>
      <c r="H6645" s="114" t="str">
        <f t="shared" si="93"/>
        <v/>
      </c>
      <c r="I6645" s="17"/>
      <c r="J6645" s="17"/>
      <c r="K6645" s="17"/>
    </row>
    <row r="6646" spans="1:11" x14ac:dyDescent="0.2">
      <c r="A6646" s="115"/>
      <c r="B6646" s="95"/>
      <c r="C6646" s="94"/>
      <c r="D6646" s="95"/>
      <c r="E6646" s="95"/>
      <c r="F6646" s="96"/>
      <c r="G6646" s="97"/>
      <c r="H6646" s="114" t="str">
        <f t="shared" si="93"/>
        <v/>
      </c>
      <c r="I6646" s="17"/>
      <c r="J6646" s="17"/>
      <c r="K6646" s="17"/>
    </row>
    <row r="6647" spans="1:11" x14ac:dyDescent="0.2">
      <c r="A6647" s="115"/>
      <c r="B6647" s="95"/>
      <c r="C6647" s="94"/>
      <c r="D6647" s="95"/>
      <c r="E6647" s="95"/>
      <c r="F6647" s="96"/>
      <c r="G6647" s="97"/>
      <c r="H6647" s="114" t="str">
        <f t="shared" si="93"/>
        <v/>
      </c>
      <c r="I6647" s="17"/>
      <c r="J6647" s="17"/>
      <c r="K6647" s="17"/>
    </row>
    <row r="6648" spans="1:11" x14ac:dyDescent="0.2">
      <c r="A6648" s="115"/>
      <c r="B6648" s="95"/>
      <c r="C6648" s="94"/>
      <c r="D6648" s="95"/>
      <c r="E6648" s="95"/>
      <c r="F6648" s="96"/>
      <c r="G6648" s="97"/>
      <c r="H6648" s="114" t="str">
        <f t="shared" si="93"/>
        <v/>
      </c>
      <c r="I6648" s="17"/>
      <c r="J6648" s="17"/>
      <c r="K6648" s="17"/>
    </row>
    <row r="6649" spans="1:11" x14ac:dyDescent="0.2">
      <c r="A6649" s="115"/>
      <c r="B6649" s="95"/>
      <c r="C6649" s="94"/>
      <c r="D6649" s="95"/>
      <c r="E6649" s="95"/>
      <c r="F6649" s="96"/>
      <c r="G6649" s="97"/>
      <c r="H6649" s="114" t="str">
        <f t="shared" si="93"/>
        <v/>
      </c>
      <c r="I6649" s="17"/>
      <c r="J6649" s="17"/>
      <c r="K6649" s="17"/>
    </row>
    <row r="6650" spans="1:11" x14ac:dyDescent="0.2">
      <c r="A6650" s="115"/>
      <c r="B6650" s="95"/>
      <c r="C6650" s="94"/>
      <c r="D6650" s="95"/>
      <c r="E6650" s="95"/>
      <c r="F6650" s="96"/>
      <c r="G6650" s="97"/>
      <c r="H6650" s="114" t="str">
        <f t="shared" si="93"/>
        <v/>
      </c>
      <c r="I6650" s="17"/>
      <c r="J6650" s="17"/>
      <c r="K6650" s="17"/>
    </row>
    <row r="6651" spans="1:11" x14ac:dyDescent="0.2">
      <c r="A6651" s="115"/>
      <c r="B6651" s="95"/>
      <c r="C6651" s="94"/>
      <c r="D6651" s="95"/>
      <c r="E6651" s="95"/>
      <c r="F6651" s="96"/>
      <c r="G6651" s="97"/>
      <c r="H6651" s="114" t="str">
        <f t="shared" si="93"/>
        <v/>
      </c>
      <c r="I6651" s="17"/>
      <c r="J6651" s="17"/>
      <c r="K6651" s="17"/>
    </row>
    <row r="6652" spans="1:11" x14ac:dyDescent="0.2">
      <c r="A6652" s="115"/>
      <c r="B6652" s="95"/>
      <c r="C6652" s="94"/>
      <c r="D6652" s="95"/>
      <c r="E6652" s="95"/>
      <c r="F6652" s="96"/>
      <c r="G6652" s="97"/>
      <c r="H6652" s="114" t="str">
        <f t="shared" si="93"/>
        <v/>
      </c>
      <c r="I6652" s="17"/>
      <c r="J6652" s="17"/>
      <c r="K6652" s="17"/>
    </row>
    <row r="6653" spans="1:11" x14ac:dyDescent="0.2">
      <c r="A6653" s="115"/>
      <c r="B6653" s="95"/>
      <c r="C6653" s="94"/>
      <c r="D6653" s="95"/>
      <c r="E6653" s="95"/>
      <c r="F6653" s="96"/>
      <c r="G6653" s="97"/>
      <c r="H6653" s="114" t="str">
        <f t="shared" si="93"/>
        <v/>
      </c>
      <c r="I6653" s="17"/>
      <c r="J6653" s="17"/>
      <c r="K6653" s="17"/>
    </row>
    <row r="6654" spans="1:11" x14ac:dyDescent="0.2">
      <c r="A6654" s="115"/>
      <c r="B6654" s="95"/>
      <c r="C6654" s="94"/>
      <c r="D6654" s="95"/>
      <c r="E6654" s="95"/>
      <c r="F6654" s="96"/>
      <c r="G6654" s="97"/>
      <c r="H6654" s="114" t="str">
        <f t="shared" si="93"/>
        <v/>
      </c>
      <c r="I6654" s="17"/>
      <c r="J6654" s="17"/>
      <c r="K6654" s="17"/>
    </row>
    <row r="6655" spans="1:11" x14ac:dyDescent="0.2">
      <c r="A6655" s="115"/>
      <c r="B6655" s="95"/>
      <c r="C6655" s="94"/>
      <c r="D6655" s="95"/>
      <c r="E6655" s="95"/>
      <c r="F6655" s="96"/>
      <c r="G6655" s="97"/>
      <c r="H6655" s="114" t="str">
        <f t="shared" si="93"/>
        <v/>
      </c>
      <c r="I6655" s="17"/>
      <c r="J6655" s="17"/>
      <c r="K6655" s="17"/>
    </row>
    <row r="6656" spans="1:11" x14ac:dyDescent="0.2">
      <c r="A6656" s="115"/>
      <c r="B6656" s="95"/>
      <c r="C6656" s="94"/>
      <c r="D6656" s="95"/>
      <c r="E6656" s="95"/>
      <c r="F6656" s="96"/>
      <c r="G6656" s="97"/>
      <c r="H6656" s="114" t="str">
        <f t="shared" si="93"/>
        <v/>
      </c>
      <c r="I6656" s="17"/>
      <c r="J6656" s="17"/>
      <c r="K6656" s="17"/>
    </row>
    <row r="6657" spans="1:11" x14ac:dyDescent="0.2">
      <c r="A6657" s="115"/>
      <c r="B6657" s="95"/>
      <c r="C6657" s="94"/>
      <c r="D6657" s="95"/>
      <c r="E6657" s="95"/>
      <c r="F6657" s="96"/>
      <c r="G6657" s="97"/>
      <c r="H6657" s="114" t="str">
        <f t="shared" si="93"/>
        <v/>
      </c>
      <c r="I6657" s="17"/>
      <c r="J6657" s="17"/>
      <c r="K6657" s="17"/>
    </row>
    <row r="6658" spans="1:11" x14ac:dyDescent="0.2">
      <c r="A6658" s="115"/>
      <c r="B6658" s="95"/>
      <c r="C6658" s="94"/>
      <c r="D6658" s="95"/>
      <c r="E6658" s="95"/>
      <c r="F6658" s="96"/>
      <c r="G6658" s="97"/>
      <c r="H6658" s="114" t="str">
        <f t="shared" si="93"/>
        <v/>
      </c>
      <c r="I6658" s="17"/>
      <c r="J6658" s="17"/>
      <c r="K6658" s="17"/>
    </row>
    <row r="6659" spans="1:11" x14ac:dyDescent="0.2">
      <c r="A6659" s="115"/>
      <c r="B6659" s="95"/>
      <c r="C6659" s="94"/>
      <c r="D6659" s="95"/>
      <c r="E6659" s="95"/>
      <c r="F6659" s="96"/>
      <c r="G6659" s="97"/>
      <c r="H6659" s="114" t="str">
        <f t="shared" si="93"/>
        <v/>
      </c>
      <c r="I6659" s="17"/>
      <c r="J6659" s="17"/>
      <c r="K6659" s="17"/>
    </row>
    <row r="6660" spans="1:11" x14ac:dyDescent="0.2">
      <c r="A6660" s="115"/>
      <c r="B6660" s="95"/>
      <c r="C6660" s="94"/>
      <c r="D6660" s="95"/>
      <c r="E6660" s="95"/>
      <c r="F6660" s="96"/>
      <c r="G6660" s="97"/>
      <c r="H6660" s="114" t="str">
        <f t="shared" ref="H6660:H6723" si="94">IF(A6660&lt;&gt;"", EOMONTH(A6660, -1) + 1, "")</f>
        <v/>
      </c>
      <c r="I6660" s="17"/>
      <c r="J6660" s="17"/>
      <c r="K6660" s="17"/>
    </row>
    <row r="6661" spans="1:11" x14ac:dyDescent="0.2">
      <c r="A6661" s="115"/>
      <c r="B6661" s="95"/>
      <c r="C6661" s="94"/>
      <c r="D6661" s="95"/>
      <c r="E6661" s="95"/>
      <c r="F6661" s="96"/>
      <c r="G6661" s="97"/>
      <c r="H6661" s="114" t="str">
        <f t="shared" si="94"/>
        <v/>
      </c>
      <c r="I6661" s="17"/>
      <c r="J6661" s="17"/>
      <c r="K6661" s="17"/>
    </row>
    <row r="6662" spans="1:11" x14ac:dyDescent="0.2">
      <c r="A6662" s="115"/>
      <c r="B6662" s="95"/>
      <c r="C6662" s="94"/>
      <c r="D6662" s="95"/>
      <c r="E6662" s="95"/>
      <c r="F6662" s="96"/>
      <c r="G6662" s="97"/>
      <c r="H6662" s="114" t="str">
        <f t="shared" si="94"/>
        <v/>
      </c>
      <c r="I6662" s="17"/>
      <c r="J6662" s="17"/>
      <c r="K6662" s="17"/>
    </row>
    <row r="6663" spans="1:11" x14ac:dyDescent="0.2">
      <c r="A6663" s="115"/>
      <c r="B6663" s="95"/>
      <c r="C6663" s="101"/>
      <c r="D6663" s="95"/>
      <c r="E6663" s="95"/>
      <c r="F6663" s="96"/>
      <c r="G6663" s="97"/>
      <c r="H6663" s="114" t="str">
        <f t="shared" si="94"/>
        <v/>
      </c>
      <c r="I6663" s="17"/>
      <c r="J6663" s="17"/>
      <c r="K6663" s="17"/>
    </row>
    <row r="6664" spans="1:11" x14ac:dyDescent="0.2">
      <c r="A6664" s="115"/>
      <c r="B6664" s="95"/>
      <c r="C6664" s="101"/>
      <c r="D6664" s="95"/>
      <c r="E6664" s="95"/>
      <c r="F6664" s="96"/>
      <c r="G6664" s="97"/>
      <c r="H6664" s="114" t="str">
        <f t="shared" si="94"/>
        <v/>
      </c>
      <c r="I6664" s="17"/>
      <c r="J6664" s="17"/>
      <c r="K6664" s="17"/>
    </row>
    <row r="6665" spans="1:11" x14ac:dyDescent="0.2">
      <c r="A6665" s="115"/>
      <c r="B6665" s="95"/>
      <c r="C6665" s="101"/>
      <c r="D6665" s="95"/>
      <c r="E6665" s="95"/>
      <c r="F6665" s="96"/>
      <c r="G6665" s="97"/>
      <c r="H6665" s="114" t="str">
        <f t="shared" si="94"/>
        <v/>
      </c>
      <c r="I6665" s="17"/>
      <c r="J6665" s="17"/>
      <c r="K6665" s="17"/>
    </row>
    <row r="6666" spans="1:11" x14ac:dyDescent="0.2">
      <c r="A6666" s="115"/>
      <c r="B6666" s="95"/>
      <c r="C6666" s="101"/>
      <c r="D6666" s="95"/>
      <c r="E6666" s="95"/>
      <c r="F6666" s="96"/>
      <c r="G6666" s="97"/>
      <c r="H6666" s="114" t="str">
        <f t="shared" si="94"/>
        <v/>
      </c>
      <c r="I6666" s="17"/>
      <c r="J6666" s="17"/>
      <c r="K6666" s="17"/>
    </row>
    <row r="6667" spans="1:11" x14ac:dyDescent="0.2">
      <c r="A6667" s="115"/>
      <c r="B6667" s="95"/>
      <c r="C6667" s="101"/>
      <c r="D6667" s="95"/>
      <c r="E6667" s="95"/>
      <c r="F6667" s="96"/>
      <c r="G6667" s="97"/>
      <c r="H6667" s="114" t="str">
        <f t="shared" si="94"/>
        <v/>
      </c>
      <c r="I6667" s="17"/>
      <c r="J6667" s="17"/>
      <c r="K6667" s="17"/>
    </row>
    <row r="6668" spans="1:11" x14ac:dyDescent="0.2">
      <c r="A6668" s="115"/>
      <c r="B6668" s="95"/>
      <c r="C6668" s="101"/>
      <c r="D6668" s="95"/>
      <c r="E6668" s="95"/>
      <c r="F6668" s="96"/>
      <c r="G6668" s="97"/>
      <c r="H6668" s="114" t="str">
        <f t="shared" si="94"/>
        <v/>
      </c>
      <c r="I6668" s="17"/>
      <c r="J6668" s="17"/>
      <c r="K6668" s="17"/>
    </row>
    <row r="6669" spans="1:11" x14ac:dyDescent="0.2">
      <c r="A6669" s="115"/>
      <c r="B6669" s="95"/>
      <c r="C6669" s="101"/>
      <c r="D6669" s="95"/>
      <c r="E6669" s="95"/>
      <c r="F6669" s="96"/>
      <c r="G6669" s="97"/>
      <c r="H6669" s="114" t="str">
        <f t="shared" si="94"/>
        <v/>
      </c>
      <c r="I6669" s="17"/>
      <c r="J6669" s="17"/>
      <c r="K6669" s="17"/>
    </row>
    <row r="6670" spans="1:11" x14ac:dyDescent="0.2">
      <c r="A6670" s="115"/>
      <c r="B6670" s="95"/>
      <c r="C6670" s="101"/>
      <c r="D6670" s="95"/>
      <c r="E6670" s="95"/>
      <c r="F6670" s="96"/>
      <c r="G6670" s="97"/>
      <c r="H6670" s="114" t="str">
        <f t="shared" si="94"/>
        <v/>
      </c>
      <c r="I6670" s="17"/>
      <c r="J6670" s="17"/>
      <c r="K6670" s="17"/>
    </row>
    <row r="6671" spans="1:11" x14ac:dyDescent="0.2">
      <c r="A6671" s="115"/>
      <c r="B6671" s="95"/>
      <c r="C6671" s="101"/>
      <c r="D6671" s="95"/>
      <c r="E6671" s="95"/>
      <c r="F6671" s="96"/>
      <c r="G6671" s="97"/>
      <c r="H6671" s="114" t="str">
        <f t="shared" si="94"/>
        <v/>
      </c>
      <c r="I6671" s="17"/>
      <c r="J6671" s="17"/>
      <c r="K6671" s="17"/>
    </row>
    <row r="6672" spans="1:11" x14ac:dyDescent="0.2">
      <c r="A6672" s="115"/>
      <c r="B6672" s="95"/>
      <c r="C6672" s="101"/>
      <c r="D6672" s="95"/>
      <c r="E6672" s="95"/>
      <c r="F6672" s="96"/>
      <c r="G6672" s="97"/>
      <c r="H6672" s="114" t="str">
        <f t="shared" si="94"/>
        <v/>
      </c>
      <c r="I6672" s="17"/>
      <c r="J6672" s="17"/>
      <c r="K6672" s="17"/>
    </row>
    <row r="6673" spans="1:11" x14ac:dyDescent="0.2">
      <c r="A6673" s="115"/>
      <c r="B6673" s="95"/>
      <c r="C6673" s="101"/>
      <c r="D6673" s="95"/>
      <c r="E6673" s="95"/>
      <c r="F6673" s="96"/>
      <c r="G6673" s="97"/>
      <c r="H6673" s="114" t="str">
        <f t="shared" si="94"/>
        <v/>
      </c>
      <c r="I6673" s="17"/>
      <c r="J6673" s="17"/>
      <c r="K6673" s="17"/>
    </row>
    <row r="6674" spans="1:11" x14ac:dyDescent="0.2">
      <c r="A6674" s="115"/>
      <c r="B6674" s="95"/>
      <c r="C6674" s="101"/>
      <c r="D6674" s="95"/>
      <c r="E6674" s="95"/>
      <c r="F6674" s="96"/>
      <c r="G6674" s="97"/>
      <c r="H6674" s="114" t="str">
        <f t="shared" si="94"/>
        <v/>
      </c>
      <c r="I6674" s="17"/>
      <c r="J6674" s="17"/>
      <c r="K6674" s="17"/>
    </row>
    <row r="6675" spans="1:11" x14ac:dyDescent="0.2">
      <c r="A6675" s="115"/>
      <c r="B6675" s="95"/>
      <c r="C6675" s="101"/>
      <c r="D6675" s="95"/>
      <c r="E6675" s="95"/>
      <c r="F6675" s="96"/>
      <c r="G6675" s="97"/>
      <c r="H6675" s="114" t="str">
        <f t="shared" si="94"/>
        <v/>
      </c>
      <c r="I6675" s="17"/>
      <c r="J6675" s="17"/>
      <c r="K6675" s="17"/>
    </row>
    <row r="6676" spans="1:11" x14ac:dyDescent="0.2">
      <c r="A6676" s="115"/>
      <c r="B6676" s="95"/>
      <c r="C6676" s="101"/>
      <c r="D6676" s="95"/>
      <c r="E6676" s="95"/>
      <c r="F6676" s="96"/>
      <c r="G6676" s="97"/>
      <c r="H6676" s="114" t="str">
        <f t="shared" si="94"/>
        <v/>
      </c>
      <c r="I6676" s="17"/>
      <c r="J6676" s="17"/>
      <c r="K6676" s="17"/>
    </row>
    <row r="6677" spans="1:11" x14ac:dyDescent="0.2">
      <c r="A6677" s="115"/>
      <c r="B6677" s="95"/>
      <c r="C6677" s="101"/>
      <c r="D6677" s="95"/>
      <c r="E6677" s="95"/>
      <c r="F6677" s="96"/>
      <c r="G6677" s="97"/>
      <c r="H6677" s="114" t="str">
        <f t="shared" si="94"/>
        <v/>
      </c>
      <c r="I6677" s="17"/>
      <c r="J6677" s="17"/>
      <c r="K6677" s="17"/>
    </row>
    <row r="6678" spans="1:11" x14ac:dyDescent="0.2">
      <c r="A6678" s="115"/>
      <c r="B6678" s="95"/>
      <c r="C6678" s="101"/>
      <c r="D6678" s="95"/>
      <c r="E6678" s="95"/>
      <c r="F6678" s="96"/>
      <c r="G6678" s="97"/>
      <c r="H6678" s="114" t="str">
        <f t="shared" si="94"/>
        <v/>
      </c>
      <c r="I6678" s="17"/>
      <c r="J6678" s="17"/>
      <c r="K6678" s="17"/>
    </row>
    <row r="6679" spans="1:11" x14ac:dyDescent="0.2">
      <c r="A6679" s="115"/>
      <c r="B6679" s="95"/>
      <c r="C6679" s="101"/>
      <c r="D6679" s="95"/>
      <c r="E6679" s="95"/>
      <c r="F6679" s="96"/>
      <c r="G6679" s="97"/>
      <c r="H6679" s="114" t="str">
        <f t="shared" si="94"/>
        <v/>
      </c>
      <c r="I6679" s="17"/>
      <c r="J6679" s="17"/>
      <c r="K6679" s="17"/>
    </row>
    <row r="6680" spans="1:11" x14ac:dyDescent="0.2">
      <c r="A6680" s="115"/>
      <c r="B6680" s="95"/>
      <c r="C6680" s="101"/>
      <c r="D6680" s="95"/>
      <c r="E6680" s="95"/>
      <c r="F6680" s="96"/>
      <c r="G6680" s="97"/>
      <c r="H6680" s="114" t="str">
        <f t="shared" si="94"/>
        <v/>
      </c>
      <c r="I6680" s="17"/>
      <c r="J6680" s="17"/>
      <c r="K6680" s="17"/>
    </row>
    <row r="6681" spans="1:11" x14ac:dyDescent="0.2">
      <c r="A6681" s="115"/>
      <c r="B6681" s="95"/>
      <c r="C6681" s="101"/>
      <c r="D6681" s="95"/>
      <c r="E6681" s="95"/>
      <c r="F6681" s="96"/>
      <c r="G6681" s="97"/>
      <c r="H6681" s="114" t="str">
        <f t="shared" si="94"/>
        <v/>
      </c>
      <c r="I6681" s="17"/>
      <c r="J6681" s="17"/>
      <c r="K6681" s="17"/>
    </row>
    <row r="6682" spans="1:11" x14ac:dyDescent="0.2">
      <c r="A6682" s="115"/>
      <c r="B6682" s="95"/>
      <c r="C6682" s="101"/>
      <c r="D6682" s="95"/>
      <c r="E6682" s="95"/>
      <c r="F6682" s="96"/>
      <c r="G6682" s="97"/>
      <c r="H6682" s="114" t="str">
        <f t="shared" si="94"/>
        <v/>
      </c>
      <c r="I6682" s="17"/>
      <c r="J6682" s="17"/>
      <c r="K6682" s="17"/>
    </row>
    <row r="6683" spans="1:11" x14ac:dyDescent="0.2">
      <c r="A6683" s="115"/>
      <c r="B6683" s="95"/>
      <c r="C6683" s="101"/>
      <c r="D6683" s="95"/>
      <c r="E6683" s="95"/>
      <c r="F6683" s="96"/>
      <c r="G6683" s="97"/>
      <c r="H6683" s="114" t="str">
        <f t="shared" si="94"/>
        <v/>
      </c>
      <c r="I6683" s="17"/>
      <c r="J6683" s="17"/>
      <c r="K6683" s="17"/>
    </row>
    <row r="6684" spans="1:11" x14ac:dyDescent="0.2">
      <c r="A6684" s="115"/>
      <c r="B6684" s="95"/>
      <c r="C6684" s="101"/>
      <c r="D6684" s="95"/>
      <c r="E6684" s="95"/>
      <c r="F6684" s="96"/>
      <c r="G6684" s="97"/>
      <c r="H6684" s="114" t="str">
        <f t="shared" si="94"/>
        <v/>
      </c>
      <c r="I6684" s="17"/>
      <c r="J6684" s="17"/>
      <c r="K6684" s="17"/>
    </row>
    <row r="6685" spans="1:11" x14ac:dyDescent="0.2">
      <c r="A6685" s="115"/>
      <c r="B6685" s="95"/>
      <c r="C6685" s="101"/>
      <c r="D6685" s="95"/>
      <c r="E6685" s="95"/>
      <c r="F6685" s="96"/>
      <c r="G6685" s="97"/>
      <c r="H6685" s="114" t="str">
        <f t="shared" si="94"/>
        <v/>
      </c>
      <c r="I6685" s="17"/>
      <c r="J6685" s="17"/>
      <c r="K6685" s="17"/>
    </row>
    <row r="6686" spans="1:11" x14ac:dyDescent="0.2">
      <c r="A6686" s="115"/>
      <c r="B6686" s="95"/>
      <c r="C6686" s="94"/>
      <c r="D6686" s="95"/>
      <c r="E6686" s="95"/>
      <c r="F6686" s="96"/>
      <c r="G6686" s="97"/>
      <c r="H6686" s="114" t="str">
        <f t="shared" si="94"/>
        <v/>
      </c>
      <c r="I6686" s="17"/>
      <c r="J6686" s="17"/>
      <c r="K6686" s="17"/>
    </row>
    <row r="6687" spans="1:11" x14ac:dyDescent="0.2">
      <c r="A6687" s="115"/>
      <c r="B6687" s="95"/>
      <c r="C6687" s="94"/>
      <c r="D6687" s="95"/>
      <c r="E6687" s="95"/>
      <c r="F6687" s="96"/>
      <c r="G6687" s="97"/>
      <c r="H6687" s="114" t="str">
        <f t="shared" si="94"/>
        <v/>
      </c>
      <c r="I6687" s="17"/>
      <c r="J6687" s="17"/>
      <c r="K6687" s="17"/>
    </row>
    <row r="6688" spans="1:11" x14ac:dyDescent="0.2">
      <c r="A6688" s="115"/>
      <c r="B6688" s="95"/>
      <c r="C6688" s="94"/>
      <c r="D6688" s="95"/>
      <c r="E6688" s="95"/>
      <c r="F6688" s="96"/>
      <c r="G6688" s="97"/>
      <c r="H6688" s="114" t="str">
        <f t="shared" si="94"/>
        <v/>
      </c>
      <c r="I6688" s="17"/>
      <c r="J6688" s="17"/>
      <c r="K6688" s="17"/>
    </row>
    <row r="6689" spans="1:11" x14ac:dyDescent="0.2">
      <c r="A6689" s="115"/>
      <c r="B6689" s="95"/>
      <c r="C6689" s="94"/>
      <c r="D6689" s="95"/>
      <c r="E6689" s="95"/>
      <c r="F6689" s="96"/>
      <c r="G6689" s="97"/>
      <c r="H6689" s="114" t="str">
        <f t="shared" si="94"/>
        <v/>
      </c>
      <c r="I6689" s="17"/>
      <c r="J6689" s="17"/>
      <c r="K6689" s="17"/>
    </row>
    <row r="6690" spans="1:11" x14ac:dyDescent="0.2">
      <c r="A6690" s="115"/>
      <c r="B6690" s="95"/>
      <c r="C6690" s="94"/>
      <c r="D6690" s="95"/>
      <c r="E6690" s="95"/>
      <c r="F6690" s="96"/>
      <c r="G6690" s="97"/>
      <c r="H6690" s="114" t="str">
        <f t="shared" si="94"/>
        <v/>
      </c>
      <c r="I6690" s="17"/>
      <c r="J6690" s="17"/>
      <c r="K6690" s="17"/>
    </row>
    <row r="6691" spans="1:11" x14ac:dyDescent="0.2">
      <c r="A6691" s="115"/>
      <c r="B6691" s="95"/>
      <c r="C6691" s="94"/>
      <c r="D6691" s="95"/>
      <c r="E6691" s="95"/>
      <c r="F6691" s="96"/>
      <c r="G6691" s="97"/>
      <c r="H6691" s="114" t="str">
        <f t="shared" si="94"/>
        <v/>
      </c>
      <c r="I6691" s="17"/>
      <c r="J6691" s="17"/>
      <c r="K6691" s="17"/>
    </row>
    <row r="6692" spans="1:11" x14ac:dyDescent="0.2">
      <c r="A6692" s="115"/>
      <c r="B6692" s="95"/>
      <c r="C6692" s="94"/>
      <c r="D6692" s="95"/>
      <c r="E6692" s="95"/>
      <c r="F6692" s="96"/>
      <c r="G6692" s="97"/>
      <c r="H6692" s="114" t="str">
        <f t="shared" si="94"/>
        <v/>
      </c>
      <c r="I6692" s="17"/>
      <c r="J6692" s="17"/>
      <c r="K6692" s="17"/>
    </row>
    <row r="6693" spans="1:11" x14ac:dyDescent="0.2">
      <c r="A6693" s="115"/>
      <c r="B6693" s="95"/>
      <c r="C6693" s="94"/>
      <c r="D6693" s="95"/>
      <c r="E6693" s="95"/>
      <c r="F6693" s="96"/>
      <c r="G6693" s="97"/>
      <c r="H6693" s="114" t="str">
        <f t="shared" si="94"/>
        <v/>
      </c>
      <c r="I6693" s="17"/>
      <c r="J6693" s="17"/>
      <c r="K6693" s="17"/>
    </row>
    <row r="6694" spans="1:11" x14ac:dyDescent="0.2">
      <c r="A6694" s="115"/>
      <c r="B6694" s="95"/>
      <c r="C6694" s="94"/>
      <c r="D6694" s="95"/>
      <c r="E6694" s="95"/>
      <c r="F6694" s="96"/>
      <c r="G6694" s="97"/>
      <c r="H6694" s="114" t="str">
        <f t="shared" si="94"/>
        <v/>
      </c>
      <c r="I6694" s="17"/>
      <c r="J6694" s="17"/>
      <c r="K6694" s="17"/>
    </row>
    <row r="6695" spans="1:11" x14ac:dyDescent="0.2">
      <c r="A6695" s="115"/>
      <c r="B6695" s="95"/>
      <c r="C6695" s="94"/>
      <c r="D6695" s="95"/>
      <c r="E6695" s="95"/>
      <c r="F6695" s="96"/>
      <c r="G6695" s="97"/>
      <c r="H6695" s="114" t="str">
        <f t="shared" si="94"/>
        <v/>
      </c>
      <c r="I6695" s="17"/>
      <c r="J6695" s="17"/>
      <c r="K6695" s="17"/>
    </row>
    <row r="6696" spans="1:11" x14ac:dyDescent="0.2">
      <c r="A6696" s="115"/>
      <c r="B6696" s="95"/>
      <c r="C6696" s="94"/>
      <c r="D6696" s="95"/>
      <c r="E6696" s="95"/>
      <c r="F6696" s="96"/>
      <c r="G6696" s="97"/>
      <c r="H6696" s="114" t="str">
        <f t="shared" si="94"/>
        <v/>
      </c>
      <c r="I6696" s="17"/>
      <c r="J6696" s="17"/>
      <c r="K6696" s="17"/>
    </row>
    <row r="6697" spans="1:11" x14ac:dyDescent="0.2">
      <c r="A6697" s="115"/>
      <c r="B6697" s="95"/>
      <c r="C6697" s="94"/>
      <c r="D6697" s="95"/>
      <c r="E6697" s="95"/>
      <c r="F6697" s="96"/>
      <c r="G6697" s="97"/>
      <c r="H6697" s="114" t="str">
        <f t="shared" si="94"/>
        <v/>
      </c>
      <c r="I6697" s="17"/>
      <c r="J6697" s="17"/>
      <c r="K6697" s="17"/>
    </row>
    <row r="6698" spans="1:11" x14ac:dyDescent="0.2">
      <c r="A6698" s="115"/>
      <c r="B6698" s="95"/>
      <c r="C6698" s="94"/>
      <c r="D6698" s="95"/>
      <c r="E6698" s="95"/>
      <c r="F6698" s="96"/>
      <c r="G6698" s="97"/>
      <c r="H6698" s="114" t="str">
        <f t="shared" si="94"/>
        <v/>
      </c>
      <c r="I6698" s="17"/>
      <c r="J6698" s="17"/>
      <c r="K6698" s="17"/>
    </row>
    <row r="6699" spans="1:11" x14ac:dyDescent="0.2">
      <c r="A6699" s="115"/>
      <c r="B6699" s="95"/>
      <c r="C6699" s="94"/>
      <c r="D6699" s="95"/>
      <c r="E6699" s="95"/>
      <c r="F6699" s="96"/>
      <c r="G6699" s="97"/>
      <c r="H6699" s="114" t="str">
        <f t="shared" si="94"/>
        <v/>
      </c>
      <c r="I6699" s="17"/>
      <c r="J6699" s="17"/>
      <c r="K6699" s="17"/>
    </row>
    <row r="6700" spans="1:11" x14ac:dyDescent="0.2">
      <c r="A6700" s="115"/>
      <c r="B6700" s="95"/>
      <c r="C6700" s="94"/>
      <c r="D6700" s="95"/>
      <c r="E6700" s="95"/>
      <c r="F6700" s="96"/>
      <c r="G6700" s="97"/>
      <c r="H6700" s="114" t="str">
        <f t="shared" si="94"/>
        <v/>
      </c>
      <c r="I6700" s="17"/>
      <c r="J6700" s="17"/>
      <c r="K6700" s="17"/>
    </row>
    <row r="6701" spans="1:11" x14ac:dyDescent="0.2">
      <c r="A6701" s="115"/>
      <c r="B6701" s="95"/>
      <c r="C6701" s="94"/>
      <c r="D6701" s="95"/>
      <c r="E6701" s="95"/>
      <c r="F6701" s="96"/>
      <c r="G6701" s="97"/>
      <c r="H6701" s="114" t="str">
        <f t="shared" si="94"/>
        <v/>
      </c>
      <c r="I6701" s="17"/>
      <c r="J6701" s="17"/>
      <c r="K6701" s="17"/>
    </row>
    <row r="6702" spans="1:11" x14ac:dyDescent="0.2">
      <c r="A6702" s="115"/>
      <c r="B6702" s="95"/>
      <c r="C6702" s="94"/>
      <c r="D6702" s="95"/>
      <c r="E6702" s="95"/>
      <c r="F6702" s="96"/>
      <c r="G6702" s="97"/>
      <c r="H6702" s="114" t="str">
        <f t="shared" si="94"/>
        <v/>
      </c>
      <c r="I6702" s="17"/>
      <c r="J6702" s="17"/>
      <c r="K6702" s="17"/>
    </row>
    <row r="6703" spans="1:11" x14ac:dyDescent="0.2">
      <c r="A6703" s="115"/>
      <c r="B6703" s="95"/>
      <c r="C6703" s="94"/>
      <c r="D6703" s="95"/>
      <c r="E6703" s="95"/>
      <c r="F6703" s="96"/>
      <c r="G6703" s="97"/>
      <c r="H6703" s="114" t="str">
        <f t="shared" si="94"/>
        <v/>
      </c>
      <c r="I6703" s="17"/>
      <c r="J6703" s="17"/>
      <c r="K6703" s="17"/>
    </row>
    <row r="6704" spans="1:11" x14ac:dyDescent="0.2">
      <c r="A6704" s="115"/>
      <c r="B6704" s="95"/>
      <c r="C6704" s="94"/>
      <c r="D6704" s="95"/>
      <c r="E6704" s="95"/>
      <c r="F6704" s="96"/>
      <c r="G6704" s="97"/>
      <c r="H6704" s="114" t="str">
        <f t="shared" si="94"/>
        <v/>
      </c>
      <c r="I6704" s="17"/>
      <c r="J6704" s="17"/>
      <c r="K6704" s="17"/>
    </row>
    <row r="6705" spans="1:11" x14ac:dyDescent="0.2">
      <c r="A6705" s="115"/>
      <c r="B6705" s="95"/>
      <c r="C6705" s="94"/>
      <c r="D6705" s="95"/>
      <c r="E6705" s="95"/>
      <c r="F6705" s="96"/>
      <c r="G6705" s="97"/>
      <c r="H6705" s="114" t="str">
        <f t="shared" si="94"/>
        <v/>
      </c>
      <c r="I6705" s="17"/>
      <c r="J6705" s="17"/>
      <c r="K6705" s="17"/>
    </row>
    <row r="6706" spans="1:11" x14ac:dyDescent="0.2">
      <c r="A6706" s="115"/>
      <c r="B6706" s="95"/>
      <c r="C6706" s="94"/>
      <c r="D6706" s="95"/>
      <c r="E6706" s="95"/>
      <c r="F6706" s="96"/>
      <c r="G6706" s="97"/>
      <c r="H6706" s="114" t="str">
        <f t="shared" si="94"/>
        <v/>
      </c>
      <c r="I6706" s="17"/>
      <c r="J6706" s="17"/>
      <c r="K6706" s="17"/>
    </row>
    <row r="6707" spans="1:11" x14ac:dyDescent="0.2">
      <c r="A6707" s="115"/>
      <c r="B6707" s="95"/>
      <c r="C6707" s="94"/>
      <c r="D6707" s="95"/>
      <c r="E6707" s="95"/>
      <c r="F6707" s="96"/>
      <c r="G6707" s="97"/>
      <c r="H6707" s="114" t="str">
        <f t="shared" si="94"/>
        <v/>
      </c>
      <c r="I6707" s="17"/>
      <c r="J6707" s="17"/>
      <c r="K6707" s="17"/>
    </row>
    <row r="6708" spans="1:11" x14ac:dyDescent="0.2">
      <c r="A6708" s="115"/>
      <c r="B6708" s="95"/>
      <c r="C6708" s="94"/>
      <c r="D6708" s="95"/>
      <c r="E6708" s="95"/>
      <c r="F6708" s="96"/>
      <c r="G6708" s="97"/>
      <c r="H6708" s="114" t="str">
        <f t="shared" si="94"/>
        <v/>
      </c>
      <c r="I6708" s="17"/>
      <c r="J6708" s="17"/>
      <c r="K6708" s="17"/>
    </row>
    <row r="6709" spans="1:11" x14ac:dyDescent="0.2">
      <c r="A6709" s="115"/>
      <c r="B6709" s="95"/>
      <c r="C6709" s="94"/>
      <c r="D6709" s="95"/>
      <c r="E6709" s="95"/>
      <c r="F6709" s="96"/>
      <c r="G6709" s="97"/>
      <c r="H6709" s="114" t="str">
        <f t="shared" si="94"/>
        <v/>
      </c>
      <c r="I6709" s="17"/>
      <c r="J6709" s="17"/>
      <c r="K6709" s="17"/>
    </row>
    <row r="6710" spans="1:11" x14ac:dyDescent="0.2">
      <c r="A6710" s="115"/>
      <c r="B6710" s="95"/>
      <c r="C6710" s="94"/>
      <c r="D6710" s="95"/>
      <c r="E6710" s="95"/>
      <c r="F6710" s="96"/>
      <c r="G6710" s="97"/>
      <c r="H6710" s="114" t="str">
        <f t="shared" si="94"/>
        <v/>
      </c>
      <c r="I6710" s="17"/>
      <c r="J6710" s="17"/>
      <c r="K6710" s="17"/>
    </row>
    <row r="6711" spans="1:11" x14ac:dyDescent="0.2">
      <c r="A6711" s="115"/>
      <c r="B6711" s="95"/>
      <c r="C6711" s="94"/>
      <c r="D6711" s="95"/>
      <c r="E6711" s="95"/>
      <c r="F6711" s="96"/>
      <c r="G6711" s="97"/>
      <c r="H6711" s="114" t="str">
        <f t="shared" si="94"/>
        <v/>
      </c>
      <c r="I6711" s="17"/>
      <c r="J6711" s="17"/>
      <c r="K6711" s="17"/>
    </row>
    <row r="6712" spans="1:11" x14ac:dyDescent="0.2">
      <c r="A6712" s="115"/>
      <c r="B6712" s="95"/>
      <c r="C6712" s="94"/>
      <c r="D6712" s="95"/>
      <c r="E6712" s="95"/>
      <c r="F6712" s="96"/>
      <c r="G6712" s="97"/>
      <c r="H6712" s="114" t="str">
        <f t="shared" si="94"/>
        <v/>
      </c>
      <c r="I6712" s="17"/>
      <c r="J6712" s="17"/>
      <c r="K6712" s="17"/>
    </row>
    <row r="6713" spans="1:11" x14ac:dyDescent="0.2">
      <c r="A6713" s="115"/>
      <c r="B6713" s="95"/>
      <c r="C6713" s="94"/>
      <c r="D6713" s="95"/>
      <c r="E6713" s="95"/>
      <c r="F6713" s="96"/>
      <c r="G6713" s="97"/>
      <c r="H6713" s="114" t="str">
        <f t="shared" si="94"/>
        <v/>
      </c>
      <c r="I6713" s="17"/>
      <c r="J6713" s="17"/>
      <c r="K6713" s="17"/>
    </row>
    <row r="6714" spans="1:11" x14ac:dyDescent="0.2">
      <c r="A6714" s="115"/>
      <c r="B6714" s="95"/>
      <c r="C6714" s="94"/>
      <c r="D6714" s="95"/>
      <c r="E6714" s="95"/>
      <c r="F6714" s="96"/>
      <c r="G6714" s="97"/>
      <c r="H6714" s="114" t="str">
        <f t="shared" si="94"/>
        <v/>
      </c>
      <c r="I6714" s="17"/>
      <c r="J6714" s="17"/>
      <c r="K6714" s="17"/>
    </row>
    <row r="6715" spans="1:11" x14ac:dyDescent="0.2">
      <c r="A6715" s="115"/>
      <c r="B6715" s="95"/>
      <c r="C6715" s="94"/>
      <c r="D6715" s="95"/>
      <c r="E6715" s="95"/>
      <c r="F6715" s="96"/>
      <c r="G6715" s="97"/>
      <c r="H6715" s="114" t="str">
        <f t="shared" si="94"/>
        <v/>
      </c>
      <c r="I6715" s="17"/>
      <c r="J6715" s="17"/>
      <c r="K6715" s="17"/>
    </row>
    <row r="6716" spans="1:11" x14ac:dyDescent="0.2">
      <c r="A6716" s="115"/>
      <c r="B6716" s="95"/>
      <c r="C6716" s="94"/>
      <c r="D6716" s="95"/>
      <c r="E6716" s="95"/>
      <c r="F6716" s="96"/>
      <c r="G6716" s="97"/>
      <c r="H6716" s="114" t="str">
        <f t="shared" si="94"/>
        <v/>
      </c>
      <c r="I6716" s="17"/>
      <c r="J6716" s="17"/>
      <c r="K6716" s="17"/>
    </row>
    <row r="6717" spans="1:11" x14ac:dyDescent="0.2">
      <c r="A6717" s="115"/>
      <c r="B6717" s="95"/>
      <c r="C6717" s="94"/>
      <c r="D6717" s="95"/>
      <c r="E6717" s="95"/>
      <c r="F6717" s="96"/>
      <c r="G6717" s="97"/>
      <c r="H6717" s="114" t="str">
        <f t="shared" si="94"/>
        <v/>
      </c>
      <c r="I6717" s="17"/>
      <c r="J6717" s="17"/>
      <c r="K6717" s="17"/>
    </row>
    <row r="6718" spans="1:11" x14ac:dyDescent="0.2">
      <c r="A6718" s="115"/>
      <c r="B6718" s="95"/>
      <c r="C6718" s="94"/>
      <c r="D6718" s="95"/>
      <c r="E6718" s="95"/>
      <c r="F6718" s="96"/>
      <c r="G6718" s="97"/>
      <c r="H6718" s="114" t="str">
        <f t="shared" si="94"/>
        <v/>
      </c>
      <c r="I6718" s="17"/>
      <c r="J6718" s="17"/>
      <c r="K6718" s="17"/>
    </row>
    <row r="6719" spans="1:11" x14ac:dyDescent="0.2">
      <c r="A6719" s="115"/>
      <c r="B6719" s="95"/>
      <c r="C6719" s="94"/>
      <c r="D6719" s="95"/>
      <c r="E6719" s="95"/>
      <c r="F6719" s="96"/>
      <c r="G6719" s="97"/>
      <c r="H6719" s="114" t="str">
        <f t="shared" si="94"/>
        <v/>
      </c>
      <c r="I6719" s="17"/>
      <c r="J6719" s="17"/>
      <c r="K6719" s="17"/>
    </row>
    <row r="6720" spans="1:11" x14ac:dyDescent="0.2">
      <c r="A6720" s="115"/>
      <c r="B6720" s="95"/>
      <c r="C6720" s="94"/>
      <c r="D6720" s="95"/>
      <c r="E6720" s="95"/>
      <c r="F6720" s="96"/>
      <c r="G6720" s="97"/>
      <c r="H6720" s="114" t="str">
        <f t="shared" si="94"/>
        <v/>
      </c>
      <c r="I6720" s="17"/>
      <c r="J6720" s="17"/>
      <c r="K6720" s="17"/>
    </row>
    <row r="6721" spans="1:11" x14ac:dyDescent="0.2">
      <c r="A6721" s="115"/>
      <c r="B6721" s="95"/>
      <c r="C6721" s="94"/>
      <c r="D6721" s="95"/>
      <c r="E6721" s="95"/>
      <c r="F6721" s="96"/>
      <c r="G6721" s="97"/>
      <c r="H6721" s="114" t="str">
        <f t="shared" si="94"/>
        <v/>
      </c>
      <c r="I6721" s="17"/>
      <c r="J6721" s="17"/>
      <c r="K6721" s="17"/>
    </row>
    <row r="6722" spans="1:11" x14ac:dyDescent="0.2">
      <c r="A6722" s="115"/>
      <c r="B6722" s="95"/>
      <c r="C6722" s="94"/>
      <c r="D6722" s="95"/>
      <c r="E6722" s="95"/>
      <c r="F6722" s="96"/>
      <c r="G6722" s="97"/>
      <c r="H6722" s="114" t="str">
        <f t="shared" si="94"/>
        <v/>
      </c>
      <c r="I6722" s="17"/>
      <c r="J6722" s="17"/>
      <c r="K6722" s="17"/>
    </row>
    <row r="6723" spans="1:11" x14ac:dyDescent="0.2">
      <c r="A6723" s="115"/>
      <c r="B6723" s="95"/>
      <c r="C6723" s="94"/>
      <c r="D6723" s="95"/>
      <c r="E6723" s="95"/>
      <c r="F6723" s="96"/>
      <c r="G6723" s="97"/>
      <c r="H6723" s="114" t="str">
        <f t="shared" si="94"/>
        <v/>
      </c>
      <c r="I6723" s="17"/>
      <c r="J6723" s="17"/>
      <c r="K6723" s="17"/>
    </row>
    <row r="6724" spans="1:11" x14ac:dyDescent="0.2">
      <c r="A6724" s="115"/>
      <c r="B6724" s="95"/>
      <c r="C6724" s="94"/>
      <c r="D6724" s="95"/>
      <c r="E6724" s="95"/>
      <c r="F6724" s="96"/>
      <c r="G6724" s="97"/>
      <c r="H6724" s="114" t="str">
        <f t="shared" ref="H6724:H6787" si="95">IF(A6724&lt;&gt;"", EOMONTH(A6724, -1) + 1, "")</f>
        <v/>
      </c>
      <c r="I6724" s="17"/>
      <c r="J6724" s="17"/>
      <c r="K6724" s="17"/>
    </row>
    <row r="6725" spans="1:11" x14ac:dyDescent="0.2">
      <c r="A6725" s="115"/>
      <c r="B6725" s="95"/>
      <c r="C6725" s="94"/>
      <c r="D6725" s="95"/>
      <c r="E6725" s="95"/>
      <c r="F6725" s="96"/>
      <c r="G6725" s="97"/>
      <c r="H6725" s="114" t="str">
        <f t="shared" si="95"/>
        <v/>
      </c>
      <c r="I6725" s="17"/>
      <c r="J6725" s="17"/>
      <c r="K6725" s="17"/>
    </row>
    <row r="6726" spans="1:11" x14ac:dyDescent="0.2">
      <c r="A6726" s="115"/>
      <c r="B6726" s="95"/>
      <c r="C6726" s="94"/>
      <c r="D6726" s="95"/>
      <c r="E6726" s="95"/>
      <c r="F6726" s="96"/>
      <c r="G6726" s="97"/>
      <c r="H6726" s="114" t="str">
        <f t="shared" si="95"/>
        <v/>
      </c>
      <c r="I6726" s="17"/>
      <c r="J6726" s="17"/>
      <c r="K6726" s="17"/>
    </row>
    <row r="6727" spans="1:11" x14ac:dyDescent="0.2">
      <c r="A6727" s="115"/>
      <c r="B6727" s="95"/>
      <c r="C6727" s="94"/>
      <c r="D6727" s="95"/>
      <c r="E6727" s="95"/>
      <c r="F6727" s="96"/>
      <c r="G6727" s="97"/>
      <c r="H6727" s="114" t="str">
        <f t="shared" si="95"/>
        <v/>
      </c>
      <c r="I6727" s="17"/>
      <c r="J6727" s="17"/>
      <c r="K6727" s="17"/>
    </row>
    <row r="6728" spans="1:11" x14ac:dyDescent="0.2">
      <c r="A6728" s="115"/>
      <c r="B6728" s="95"/>
      <c r="C6728" s="94"/>
      <c r="D6728" s="95"/>
      <c r="E6728" s="95"/>
      <c r="F6728" s="96"/>
      <c r="G6728" s="97"/>
      <c r="H6728" s="114" t="str">
        <f t="shared" si="95"/>
        <v/>
      </c>
      <c r="I6728" s="17"/>
      <c r="J6728" s="17"/>
      <c r="K6728" s="17"/>
    </row>
    <row r="6729" spans="1:11" x14ac:dyDescent="0.2">
      <c r="A6729" s="115"/>
      <c r="B6729" s="95"/>
      <c r="C6729" s="94"/>
      <c r="D6729" s="95"/>
      <c r="E6729" s="95"/>
      <c r="F6729" s="96"/>
      <c r="G6729" s="97"/>
      <c r="H6729" s="114" t="str">
        <f t="shared" si="95"/>
        <v/>
      </c>
      <c r="I6729" s="17"/>
      <c r="J6729" s="17"/>
      <c r="K6729" s="17"/>
    </row>
    <row r="6730" spans="1:11" x14ac:dyDescent="0.2">
      <c r="A6730" s="115"/>
      <c r="B6730" s="95"/>
      <c r="C6730" s="94"/>
      <c r="D6730" s="95"/>
      <c r="E6730" s="95"/>
      <c r="F6730" s="96"/>
      <c r="G6730" s="97"/>
      <c r="H6730" s="114" t="str">
        <f t="shared" si="95"/>
        <v/>
      </c>
      <c r="I6730" s="17"/>
      <c r="J6730" s="17"/>
      <c r="K6730" s="17"/>
    </row>
    <row r="6731" spans="1:11" x14ac:dyDescent="0.2">
      <c r="A6731" s="115"/>
      <c r="B6731" s="95"/>
      <c r="C6731" s="94"/>
      <c r="D6731" s="95"/>
      <c r="E6731" s="95"/>
      <c r="F6731" s="96"/>
      <c r="G6731" s="97"/>
      <c r="H6731" s="114" t="str">
        <f t="shared" si="95"/>
        <v/>
      </c>
      <c r="I6731" s="17"/>
      <c r="J6731" s="17"/>
      <c r="K6731" s="17"/>
    </row>
    <row r="6732" spans="1:11" x14ac:dyDescent="0.2">
      <c r="A6732" s="115"/>
      <c r="B6732" s="95"/>
      <c r="C6732" s="94"/>
      <c r="D6732" s="95"/>
      <c r="E6732" s="95"/>
      <c r="F6732" s="96"/>
      <c r="G6732" s="97"/>
      <c r="H6732" s="114" t="str">
        <f t="shared" si="95"/>
        <v/>
      </c>
      <c r="I6732" s="17"/>
      <c r="J6732" s="17"/>
      <c r="K6732" s="17"/>
    </row>
    <row r="6733" spans="1:11" x14ac:dyDescent="0.2">
      <c r="A6733" s="115"/>
      <c r="B6733" s="95"/>
      <c r="C6733" s="94"/>
      <c r="D6733" s="95"/>
      <c r="E6733" s="95"/>
      <c r="F6733" s="96"/>
      <c r="G6733" s="97"/>
      <c r="H6733" s="114" t="str">
        <f t="shared" si="95"/>
        <v/>
      </c>
      <c r="I6733" s="17"/>
      <c r="J6733" s="17"/>
      <c r="K6733" s="17"/>
    </row>
    <row r="6734" spans="1:11" x14ac:dyDescent="0.2">
      <c r="A6734" s="115"/>
      <c r="B6734" s="95"/>
      <c r="C6734" s="94"/>
      <c r="D6734" s="95"/>
      <c r="E6734" s="95"/>
      <c r="F6734" s="96"/>
      <c r="G6734" s="97"/>
      <c r="H6734" s="114" t="str">
        <f t="shared" si="95"/>
        <v/>
      </c>
      <c r="I6734" s="17"/>
      <c r="J6734" s="17"/>
      <c r="K6734" s="17"/>
    </row>
    <row r="6735" spans="1:11" x14ac:dyDescent="0.2">
      <c r="A6735" s="115"/>
      <c r="B6735" s="95"/>
      <c r="C6735" s="94"/>
      <c r="D6735" s="95"/>
      <c r="E6735" s="95"/>
      <c r="F6735" s="96"/>
      <c r="G6735" s="97"/>
      <c r="H6735" s="114" t="str">
        <f t="shared" si="95"/>
        <v/>
      </c>
      <c r="I6735" s="17"/>
      <c r="J6735" s="17"/>
      <c r="K6735" s="17"/>
    </row>
    <row r="6736" spans="1:11" x14ac:dyDescent="0.2">
      <c r="A6736" s="115"/>
      <c r="B6736" s="95"/>
      <c r="C6736" s="94"/>
      <c r="D6736" s="95"/>
      <c r="E6736" s="95"/>
      <c r="F6736" s="96"/>
      <c r="G6736" s="97"/>
      <c r="H6736" s="114" t="str">
        <f t="shared" si="95"/>
        <v/>
      </c>
      <c r="I6736" s="17"/>
      <c r="J6736" s="17"/>
      <c r="K6736" s="17"/>
    </row>
    <row r="6737" spans="1:11" x14ac:dyDescent="0.2">
      <c r="A6737" s="115"/>
      <c r="B6737" s="95"/>
      <c r="C6737" s="94"/>
      <c r="D6737" s="95"/>
      <c r="E6737" s="95"/>
      <c r="F6737" s="96"/>
      <c r="G6737" s="97"/>
      <c r="H6737" s="114" t="str">
        <f t="shared" si="95"/>
        <v/>
      </c>
      <c r="I6737" s="17"/>
      <c r="J6737" s="17"/>
      <c r="K6737" s="17"/>
    </row>
    <row r="6738" spans="1:11" x14ac:dyDescent="0.2">
      <c r="A6738" s="115"/>
      <c r="B6738" s="95"/>
      <c r="C6738" s="94"/>
      <c r="D6738" s="95"/>
      <c r="E6738" s="95"/>
      <c r="F6738" s="96"/>
      <c r="G6738" s="97"/>
      <c r="H6738" s="114" t="str">
        <f t="shared" si="95"/>
        <v/>
      </c>
      <c r="I6738" s="17"/>
      <c r="J6738" s="17"/>
      <c r="K6738" s="17"/>
    </row>
    <row r="6739" spans="1:11" x14ac:dyDescent="0.2">
      <c r="A6739" s="115"/>
      <c r="B6739" s="95"/>
      <c r="C6739" s="94"/>
      <c r="D6739" s="95"/>
      <c r="E6739" s="95"/>
      <c r="F6739" s="96"/>
      <c r="G6739" s="97"/>
      <c r="H6739" s="114" t="str">
        <f t="shared" si="95"/>
        <v/>
      </c>
      <c r="I6739" s="17"/>
      <c r="J6739" s="17"/>
      <c r="K6739" s="17"/>
    </row>
    <row r="6740" spans="1:11" x14ac:dyDescent="0.2">
      <c r="A6740" s="115"/>
      <c r="B6740" s="95"/>
      <c r="C6740" s="94"/>
      <c r="D6740" s="95"/>
      <c r="E6740" s="95"/>
      <c r="F6740" s="96"/>
      <c r="G6740" s="97"/>
      <c r="H6740" s="114" t="str">
        <f t="shared" si="95"/>
        <v/>
      </c>
      <c r="I6740" s="17"/>
      <c r="J6740" s="17"/>
      <c r="K6740" s="17"/>
    </row>
    <row r="6741" spans="1:11" x14ac:dyDescent="0.2">
      <c r="A6741" s="115"/>
      <c r="B6741" s="95"/>
      <c r="C6741" s="94"/>
      <c r="D6741" s="95"/>
      <c r="E6741" s="95"/>
      <c r="F6741" s="96"/>
      <c r="G6741" s="97"/>
      <c r="H6741" s="114" t="str">
        <f t="shared" si="95"/>
        <v/>
      </c>
      <c r="I6741" s="17"/>
      <c r="J6741" s="17"/>
      <c r="K6741" s="17"/>
    </row>
    <row r="6742" spans="1:11" x14ac:dyDescent="0.2">
      <c r="A6742" s="115"/>
      <c r="B6742" s="95"/>
      <c r="C6742" s="94"/>
      <c r="D6742" s="95"/>
      <c r="E6742" s="95"/>
      <c r="F6742" s="96"/>
      <c r="G6742" s="97"/>
      <c r="H6742" s="114" t="str">
        <f t="shared" si="95"/>
        <v/>
      </c>
      <c r="I6742" s="17"/>
      <c r="J6742" s="17"/>
      <c r="K6742" s="17"/>
    </row>
    <row r="6743" spans="1:11" x14ac:dyDescent="0.2">
      <c r="A6743" s="115"/>
      <c r="B6743" s="95"/>
      <c r="C6743" s="94"/>
      <c r="D6743" s="95"/>
      <c r="E6743" s="95"/>
      <c r="F6743" s="96"/>
      <c r="G6743" s="97"/>
      <c r="H6743" s="114" t="str">
        <f t="shared" si="95"/>
        <v/>
      </c>
      <c r="I6743" s="17"/>
      <c r="J6743" s="17"/>
      <c r="K6743" s="17"/>
    </row>
    <row r="6744" spans="1:11" x14ac:dyDescent="0.2">
      <c r="A6744" s="115"/>
      <c r="B6744" s="95"/>
      <c r="C6744" s="94"/>
      <c r="D6744" s="95"/>
      <c r="E6744" s="95"/>
      <c r="F6744" s="96"/>
      <c r="G6744" s="97"/>
      <c r="H6744" s="114" t="str">
        <f t="shared" si="95"/>
        <v/>
      </c>
      <c r="I6744" s="17"/>
      <c r="J6744" s="17"/>
      <c r="K6744" s="17"/>
    </row>
    <row r="6745" spans="1:11" x14ac:dyDescent="0.2">
      <c r="A6745" s="115"/>
      <c r="B6745" s="95"/>
      <c r="C6745" s="94"/>
      <c r="D6745" s="95"/>
      <c r="E6745" s="95"/>
      <c r="F6745" s="96"/>
      <c r="G6745" s="97"/>
      <c r="H6745" s="114" t="str">
        <f t="shared" si="95"/>
        <v/>
      </c>
      <c r="I6745" s="17"/>
      <c r="J6745" s="17"/>
      <c r="K6745" s="17"/>
    </row>
    <row r="6746" spans="1:11" x14ac:dyDescent="0.2">
      <c r="A6746" s="115"/>
      <c r="B6746" s="95"/>
      <c r="C6746" s="94"/>
      <c r="D6746" s="95"/>
      <c r="E6746" s="95"/>
      <c r="F6746" s="96"/>
      <c r="G6746" s="97"/>
      <c r="H6746" s="114" t="str">
        <f t="shared" si="95"/>
        <v/>
      </c>
      <c r="I6746" s="17"/>
      <c r="J6746" s="17"/>
      <c r="K6746" s="17"/>
    </row>
    <row r="6747" spans="1:11" x14ac:dyDescent="0.2">
      <c r="A6747" s="115"/>
      <c r="B6747" s="95"/>
      <c r="C6747" s="94"/>
      <c r="D6747" s="95"/>
      <c r="E6747" s="95"/>
      <c r="F6747" s="96"/>
      <c r="G6747" s="97"/>
      <c r="H6747" s="114" t="str">
        <f t="shared" si="95"/>
        <v/>
      </c>
      <c r="I6747" s="17"/>
      <c r="J6747" s="17"/>
      <c r="K6747" s="17"/>
    </row>
    <row r="6748" spans="1:11" x14ac:dyDescent="0.2">
      <c r="A6748" s="115"/>
      <c r="B6748" s="95"/>
      <c r="C6748" s="94"/>
      <c r="D6748" s="95"/>
      <c r="E6748" s="95"/>
      <c r="F6748" s="96"/>
      <c r="G6748" s="97"/>
      <c r="H6748" s="114" t="str">
        <f t="shared" si="95"/>
        <v/>
      </c>
      <c r="I6748" s="17"/>
      <c r="J6748" s="17"/>
      <c r="K6748" s="17"/>
    </row>
    <row r="6749" spans="1:11" x14ac:dyDescent="0.2">
      <c r="A6749" s="115"/>
      <c r="B6749" s="95"/>
      <c r="C6749" s="94"/>
      <c r="D6749" s="95"/>
      <c r="E6749" s="95"/>
      <c r="F6749" s="96"/>
      <c r="G6749" s="97"/>
      <c r="H6749" s="114" t="str">
        <f t="shared" si="95"/>
        <v/>
      </c>
      <c r="I6749" s="17"/>
      <c r="J6749" s="17"/>
      <c r="K6749" s="17"/>
    </row>
    <row r="6750" spans="1:11" x14ac:dyDescent="0.2">
      <c r="A6750" s="115"/>
      <c r="B6750" s="95"/>
      <c r="C6750" s="94"/>
      <c r="D6750" s="95"/>
      <c r="E6750" s="95"/>
      <c r="F6750" s="96"/>
      <c r="G6750" s="97"/>
      <c r="H6750" s="114" t="str">
        <f t="shared" si="95"/>
        <v/>
      </c>
      <c r="I6750" s="17"/>
      <c r="J6750" s="17"/>
      <c r="K6750" s="17"/>
    </row>
    <row r="6751" spans="1:11" x14ac:dyDescent="0.2">
      <c r="A6751" s="115"/>
      <c r="B6751" s="95"/>
      <c r="C6751" s="94"/>
      <c r="D6751" s="95"/>
      <c r="E6751" s="95"/>
      <c r="F6751" s="96"/>
      <c r="G6751" s="97"/>
      <c r="H6751" s="114" t="str">
        <f t="shared" si="95"/>
        <v/>
      </c>
      <c r="I6751" s="17"/>
      <c r="J6751" s="17"/>
      <c r="K6751" s="17"/>
    </row>
    <row r="6752" spans="1:11" x14ac:dyDescent="0.2">
      <c r="A6752" s="115"/>
      <c r="B6752" s="95"/>
      <c r="C6752" s="94"/>
      <c r="D6752" s="95"/>
      <c r="E6752" s="95"/>
      <c r="F6752" s="96"/>
      <c r="G6752" s="97"/>
      <c r="H6752" s="114" t="str">
        <f t="shared" si="95"/>
        <v/>
      </c>
      <c r="I6752" s="17"/>
      <c r="J6752" s="17"/>
      <c r="K6752" s="17"/>
    </row>
    <row r="6753" spans="1:11" x14ac:dyDescent="0.2">
      <c r="A6753" s="115"/>
      <c r="B6753" s="95"/>
      <c r="C6753" s="94"/>
      <c r="D6753" s="95"/>
      <c r="E6753" s="95"/>
      <c r="F6753" s="96"/>
      <c r="G6753" s="97"/>
      <c r="H6753" s="114" t="str">
        <f t="shared" si="95"/>
        <v/>
      </c>
      <c r="I6753" s="17"/>
      <c r="J6753" s="17"/>
      <c r="K6753" s="17"/>
    </row>
    <row r="6754" spans="1:11" x14ac:dyDescent="0.2">
      <c r="A6754" s="115"/>
      <c r="B6754" s="95"/>
      <c r="C6754" s="94"/>
      <c r="D6754" s="95"/>
      <c r="E6754" s="95"/>
      <c r="F6754" s="96"/>
      <c r="G6754" s="97"/>
      <c r="H6754" s="114" t="str">
        <f t="shared" si="95"/>
        <v/>
      </c>
      <c r="I6754" s="17"/>
      <c r="J6754" s="17"/>
      <c r="K6754" s="17"/>
    </row>
    <row r="6755" spans="1:11" x14ac:dyDescent="0.2">
      <c r="A6755" s="115"/>
      <c r="B6755" s="95"/>
      <c r="C6755" s="94"/>
      <c r="D6755" s="95"/>
      <c r="E6755" s="95"/>
      <c r="F6755" s="96"/>
      <c r="G6755" s="97"/>
      <c r="H6755" s="114" t="str">
        <f t="shared" si="95"/>
        <v/>
      </c>
      <c r="I6755" s="17"/>
      <c r="J6755" s="17"/>
      <c r="K6755" s="17"/>
    </row>
    <row r="6756" spans="1:11" x14ac:dyDescent="0.2">
      <c r="A6756" s="115"/>
      <c r="B6756" s="95"/>
      <c r="C6756" s="94"/>
      <c r="D6756" s="95"/>
      <c r="E6756" s="95"/>
      <c r="F6756" s="96"/>
      <c r="G6756" s="97"/>
      <c r="H6756" s="114" t="str">
        <f t="shared" si="95"/>
        <v/>
      </c>
      <c r="I6756" s="17"/>
      <c r="J6756" s="17"/>
      <c r="K6756" s="17"/>
    </row>
    <row r="6757" spans="1:11" x14ac:dyDescent="0.2">
      <c r="A6757" s="115"/>
      <c r="B6757" s="95"/>
      <c r="C6757" s="94"/>
      <c r="D6757" s="95"/>
      <c r="E6757" s="95"/>
      <c r="F6757" s="96"/>
      <c r="G6757" s="97"/>
      <c r="H6757" s="114" t="str">
        <f t="shared" si="95"/>
        <v/>
      </c>
      <c r="I6757" s="17"/>
      <c r="J6757" s="17"/>
      <c r="K6757" s="17"/>
    </row>
    <row r="6758" spans="1:11" x14ac:dyDescent="0.2">
      <c r="A6758" s="115"/>
      <c r="B6758" s="95"/>
      <c r="C6758" s="94"/>
      <c r="D6758" s="95"/>
      <c r="E6758" s="95"/>
      <c r="F6758" s="96"/>
      <c r="G6758" s="97"/>
      <c r="H6758" s="114" t="str">
        <f t="shared" si="95"/>
        <v/>
      </c>
      <c r="I6758" s="17"/>
      <c r="J6758" s="17"/>
      <c r="K6758" s="17"/>
    </row>
    <row r="6759" spans="1:11" x14ac:dyDescent="0.2">
      <c r="A6759" s="115"/>
      <c r="B6759" s="95"/>
      <c r="C6759" s="94"/>
      <c r="D6759" s="95"/>
      <c r="E6759" s="95"/>
      <c r="F6759" s="96"/>
      <c r="G6759" s="97"/>
      <c r="H6759" s="114" t="str">
        <f t="shared" si="95"/>
        <v/>
      </c>
      <c r="I6759" s="17"/>
      <c r="J6759" s="17"/>
      <c r="K6759" s="17"/>
    </row>
    <row r="6760" spans="1:11" x14ac:dyDescent="0.2">
      <c r="A6760" s="115"/>
      <c r="B6760" s="95"/>
      <c r="C6760" s="94"/>
      <c r="D6760" s="95"/>
      <c r="E6760" s="95"/>
      <c r="F6760" s="96"/>
      <c r="G6760" s="97"/>
      <c r="H6760" s="114" t="str">
        <f t="shared" si="95"/>
        <v/>
      </c>
      <c r="I6760" s="17"/>
      <c r="J6760" s="17"/>
      <c r="K6760" s="17"/>
    </row>
    <row r="6761" spans="1:11" x14ac:dyDescent="0.2">
      <c r="A6761" s="115"/>
      <c r="B6761" s="95"/>
      <c r="C6761" s="94"/>
      <c r="D6761" s="95"/>
      <c r="E6761" s="95"/>
      <c r="F6761" s="96"/>
      <c r="G6761" s="97"/>
      <c r="H6761" s="114" t="str">
        <f t="shared" si="95"/>
        <v/>
      </c>
      <c r="I6761" s="17"/>
      <c r="J6761" s="17"/>
      <c r="K6761" s="17"/>
    </row>
    <row r="6762" spans="1:11" x14ac:dyDescent="0.2">
      <c r="A6762" s="115"/>
      <c r="B6762" s="95"/>
      <c r="C6762" s="94"/>
      <c r="D6762" s="95"/>
      <c r="E6762" s="95"/>
      <c r="F6762" s="96"/>
      <c r="G6762" s="97"/>
      <c r="H6762" s="114" t="str">
        <f t="shared" si="95"/>
        <v/>
      </c>
      <c r="I6762" s="17"/>
      <c r="J6762" s="17"/>
      <c r="K6762" s="17"/>
    </row>
    <row r="6763" spans="1:11" x14ac:dyDescent="0.2">
      <c r="A6763" s="115"/>
      <c r="B6763" s="95"/>
      <c r="C6763" s="94"/>
      <c r="D6763" s="95"/>
      <c r="E6763" s="95"/>
      <c r="F6763" s="96"/>
      <c r="G6763" s="97"/>
      <c r="H6763" s="114" t="str">
        <f t="shared" si="95"/>
        <v/>
      </c>
      <c r="I6763" s="17"/>
      <c r="J6763" s="17"/>
      <c r="K6763" s="17"/>
    </row>
    <row r="6764" spans="1:11" x14ac:dyDescent="0.2">
      <c r="A6764" s="115"/>
      <c r="B6764" s="95"/>
      <c r="C6764" s="94"/>
      <c r="D6764" s="95"/>
      <c r="E6764" s="95"/>
      <c r="F6764" s="96"/>
      <c r="G6764" s="97"/>
      <c r="H6764" s="114" t="str">
        <f t="shared" si="95"/>
        <v/>
      </c>
      <c r="I6764" s="17"/>
      <c r="J6764" s="17"/>
      <c r="K6764" s="17"/>
    </row>
    <row r="6765" spans="1:11" x14ac:dyDescent="0.2">
      <c r="A6765" s="115"/>
      <c r="B6765" s="95"/>
      <c r="C6765" s="94"/>
      <c r="D6765" s="95"/>
      <c r="E6765" s="95"/>
      <c r="F6765" s="96"/>
      <c r="G6765" s="97"/>
      <c r="H6765" s="114" t="str">
        <f t="shared" si="95"/>
        <v/>
      </c>
      <c r="I6765" s="17"/>
      <c r="J6765" s="17"/>
      <c r="K6765" s="17"/>
    </row>
    <row r="6766" spans="1:11" x14ac:dyDescent="0.2">
      <c r="A6766" s="115"/>
      <c r="B6766" s="95"/>
      <c r="C6766" s="94"/>
      <c r="D6766" s="95"/>
      <c r="E6766" s="95"/>
      <c r="F6766" s="96"/>
      <c r="G6766" s="97"/>
      <c r="H6766" s="114" t="str">
        <f t="shared" si="95"/>
        <v/>
      </c>
      <c r="I6766" s="17"/>
      <c r="J6766" s="17"/>
      <c r="K6766" s="17"/>
    </row>
    <row r="6767" spans="1:11" x14ac:dyDescent="0.2">
      <c r="A6767" s="115"/>
      <c r="B6767" s="95"/>
      <c r="C6767" s="94"/>
      <c r="D6767" s="95"/>
      <c r="E6767" s="95"/>
      <c r="F6767" s="96"/>
      <c r="G6767" s="97"/>
      <c r="H6767" s="114" t="str">
        <f t="shared" si="95"/>
        <v/>
      </c>
      <c r="I6767" s="17"/>
      <c r="J6767" s="17"/>
      <c r="K6767" s="17"/>
    </row>
    <row r="6768" spans="1:11" x14ac:dyDescent="0.2">
      <c r="A6768" s="115"/>
      <c r="B6768" s="95"/>
      <c r="C6768" s="94"/>
      <c r="D6768" s="95"/>
      <c r="E6768" s="95"/>
      <c r="F6768" s="96"/>
      <c r="G6768" s="97"/>
      <c r="H6768" s="114" t="str">
        <f t="shared" si="95"/>
        <v/>
      </c>
      <c r="I6768" s="17"/>
      <c r="J6768" s="17"/>
      <c r="K6768" s="17"/>
    </row>
    <row r="6769" spans="1:11" x14ac:dyDescent="0.2">
      <c r="A6769" s="115"/>
      <c r="B6769" s="95"/>
      <c r="C6769" s="94"/>
      <c r="D6769" s="95"/>
      <c r="E6769" s="95"/>
      <c r="F6769" s="96"/>
      <c r="G6769" s="97"/>
      <c r="H6769" s="114" t="str">
        <f t="shared" si="95"/>
        <v/>
      </c>
      <c r="I6769" s="17"/>
      <c r="J6769" s="17"/>
      <c r="K6769" s="17"/>
    </row>
    <row r="6770" spans="1:11" x14ac:dyDescent="0.2">
      <c r="A6770" s="115"/>
      <c r="B6770" s="95"/>
      <c r="C6770" s="94"/>
      <c r="D6770" s="95"/>
      <c r="E6770" s="95"/>
      <c r="F6770" s="96"/>
      <c r="G6770" s="97"/>
      <c r="H6770" s="114" t="str">
        <f t="shared" si="95"/>
        <v/>
      </c>
      <c r="I6770" s="17"/>
      <c r="J6770" s="17"/>
      <c r="K6770" s="17"/>
    </row>
    <row r="6771" spans="1:11" x14ac:dyDescent="0.2">
      <c r="A6771" s="115"/>
      <c r="B6771" s="95"/>
      <c r="C6771" s="94"/>
      <c r="D6771" s="95"/>
      <c r="E6771" s="95"/>
      <c r="F6771" s="96"/>
      <c r="G6771" s="97"/>
      <c r="H6771" s="114" t="str">
        <f t="shared" si="95"/>
        <v/>
      </c>
      <c r="I6771" s="17"/>
      <c r="J6771" s="17"/>
      <c r="K6771" s="17"/>
    </row>
    <row r="6772" spans="1:11" x14ac:dyDescent="0.2">
      <c r="A6772" s="115"/>
      <c r="B6772" s="95"/>
      <c r="C6772" s="94"/>
      <c r="D6772" s="95"/>
      <c r="E6772" s="95"/>
      <c r="F6772" s="96"/>
      <c r="G6772" s="97"/>
      <c r="H6772" s="114" t="str">
        <f t="shared" si="95"/>
        <v/>
      </c>
      <c r="I6772" s="17"/>
      <c r="J6772" s="17"/>
      <c r="K6772" s="17"/>
    </row>
    <row r="6773" spans="1:11" x14ac:dyDescent="0.2">
      <c r="A6773" s="115"/>
      <c r="B6773" s="95"/>
      <c r="C6773" s="94"/>
      <c r="D6773" s="95"/>
      <c r="E6773" s="95"/>
      <c r="F6773" s="96"/>
      <c r="G6773" s="97"/>
      <c r="H6773" s="114" t="str">
        <f t="shared" si="95"/>
        <v/>
      </c>
      <c r="I6773" s="17"/>
      <c r="J6773" s="17"/>
      <c r="K6773" s="17"/>
    </row>
    <row r="6774" spans="1:11" x14ac:dyDescent="0.2">
      <c r="A6774" s="115"/>
      <c r="B6774" s="95"/>
      <c r="C6774" s="94"/>
      <c r="D6774" s="95"/>
      <c r="E6774" s="95"/>
      <c r="F6774" s="96"/>
      <c r="G6774" s="97"/>
      <c r="H6774" s="114" t="str">
        <f t="shared" si="95"/>
        <v/>
      </c>
      <c r="I6774" s="17"/>
      <c r="J6774" s="17"/>
      <c r="K6774" s="17"/>
    </row>
    <row r="6775" spans="1:11" x14ac:dyDescent="0.2">
      <c r="A6775" s="115"/>
      <c r="B6775" s="95"/>
      <c r="C6775" s="94"/>
      <c r="D6775" s="95"/>
      <c r="E6775" s="95"/>
      <c r="F6775" s="96"/>
      <c r="G6775" s="97"/>
      <c r="H6775" s="114" t="str">
        <f t="shared" si="95"/>
        <v/>
      </c>
      <c r="I6775" s="17"/>
      <c r="J6775" s="17"/>
      <c r="K6775" s="17"/>
    </row>
    <row r="6776" spans="1:11" x14ac:dyDescent="0.2">
      <c r="A6776" s="115"/>
      <c r="B6776" s="95"/>
      <c r="C6776" s="94"/>
      <c r="D6776" s="95"/>
      <c r="E6776" s="95"/>
      <c r="F6776" s="96"/>
      <c r="G6776" s="97"/>
      <c r="H6776" s="114" t="str">
        <f t="shared" si="95"/>
        <v/>
      </c>
      <c r="I6776" s="17"/>
      <c r="J6776" s="17"/>
      <c r="K6776" s="17"/>
    </row>
    <row r="6777" spans="1:11" x14ac:dyDescent="0.2">
      <c r="A6777" s="115"/>
      <c r="B6777" s="95"/>
      <c r="C6777" s="94"/>
      <c r="D6777" s="95"/>
      <c r="E6777" s="95"/>
      <c r="F6777" s="96"/>
      <c r="G6777" s="97"/>
      <c r="H6777" s="114" t="str">
        <f t="shared" si="95"/>
        <v/>
      </c>
      <c r="I6777" s="17"/>
      <c r="J6777" s="17"/>
      <c r="K6777" s="17"/>
    </row>
    <row r="6778" spans="1:11" x14ac:dyDescent="0.2">
      <c r="A6778" s="115"/>
      <c r="B6778" s="95"/>
      <c r="C6778" s="94"/>
      <c r="D6778" s="95"/>
      <c r="E6778" s="95"/>
      <c r="F6778" s="96"/>
      <c r="G6778" s="97"/>
      <c r="H6778" s="114" t="str">
        <f t="shared" si="95"/>
        <v/>
      </c>
      <c r="I6778" s="17"/>
      <c r="J6778" s="17"/>
      <c r="K6778" s="17"/>
    </row>
    <row r="6779" spans="1:11" x14ac:dyDescent="0.2">
      <c r="A6779" s="115"/>
      <c r="B6779" s="95"/>
      <c r="C6779" s="94"/>
      <c r="D6779" s="95"/>
      <c r="E6779" s="95"/>
      <c r="F6779" s="96"/>
      <c r="G6779" s="97"/>
      <c r="H6779" s="114" t="str">
        <f t="shared" si="95"/>
        <v/>
      </c>
      <c r="I6779" s="17"/>
      <c r="J6779" s="17"/>
      <c r="K6779" s="17"/>
    </row>
    <row r="6780" spans="1:11" x14ac:dyDescent="0.2">
      <c r="A6780" s="115"/>
      <c r="B6780" s="95"/>
      <c r="C6780" s="94"/>
      <c r="D6780" s="95"/>
      <c r="E6780" s="95"/>
      <c r="F6780" s="96"/>
      <c r="G6780" s="97"/>
      <c r="H6780" s="114" t="str">
        <f t="shared" si="95"/>
        <v/>
      </c>
      <c r="I6780" s="17"/>
      <c r="J6780" s="17"/>
      <c r="K6780" s="17"/>
    </row>
    <row r="6781" spans="1:11" x14ac:dyDescent="0.2">
      <c r="A6781" s="115"/>
      <c r="B6781" s="95"/>
      <c r="C6781" s="94"/>
      <c r="D6781" s="95"/>
      <c r="E6781" s="95"/>
      <c r="F6781" s="96"/>
      <c r="G6781" s="97"/>
      <c r="H6781" s="114" t="str">
        <f t="shared" si="95"/>
        <v/>
      </c>
      <c r="I6781" s="17"/>
      <c r="J6781" s="17"/>
      <c r="K6781" s="17"/>
    </row>
    <row r="6782" spans="1:11" x14ac:dyDescent="0.2">
      <c r="A6782" s="115"/>
      <c r="B6782" s="95"/>
      <c r="C6782" s="94"/>
      <c r="D6782" s="95"/>
      <c r="E6782" s="95"/>
      <c r="F6782" s="96"/>
      <c r="G6782" s="97"/>
      <c r="H6782" s="114" t="str">
        <f t="shared" si="95"/>
        <v/>
      </c>
      <c r="I6782" s="17"/>
      <c r="J6782" s="17"/>
      <c r="K6782" s="17"/>
    </row>
    <row r="6783" spans="1:11" x14ac:dyDescent="0.2">
      <c r="A6783" s="115"/>
      <c r="B6783" s="95"/>
      <c r="C6783" s="94"/>
      <c r="D6783" s="95"/>
      <c r="E6783" s="95"/>
      <c r="F6783" s="96"/>
      <c r="G6783" s="97"/>
      <c r="H6783" s="114" t="str">
        <f t="shared" si="95"/>
        <v/>
      </c>
      <c r="I6783" s="17"/>
      <c r="J6783" s="17"/>
      <c r="K6783" s="17"/>
    </row>
    <row r="6784" spans="1:11" x14ac:dyDescent="0.2">
      <c r="A6784" s="115"/>
      <c r="B6784" s="95"/>
      <c r="C6784" s="94"/>
      <c r="D6784" s="95"/>
      <c r="E6784" s="95"/>
      <c r="F6784" s="96"/>
      <c r="G6784" s="97"/>
      <c r="H6784" s="114" t="str">
        <f t="shared" si="95"/>
        <v/>
      </c>
      <c r="I6784" s="17"/>
      <c r="J6784" s="17"/>
      <c r="K6784" s="17"/>
    </row>
    <row r="6785" spans="1:11" x14ac:dyDescent="0.2">
      <c r="A6785" s="115"/>
      <c r="B6785" s="95"/>
      <c r="C6785" s="94"/>
      <c r="D6785" s="95"/>
      <c r="E6785" s="95"/>
      <c r="F6785" s="96"/>
      <c r="G6785" s="97"/>
      <c r="H6785" s="114" t="str">
        <f t="shared" si="95"/>
        <v/>
      </c>
      <c r="I6785" s="17"/>
      <c r="J6785" s="17"/>
      <c r="K6785" s="17"/>
    </row>
    <row r="6786" spans="1:11" x14ac:dyDescent="0.2">
      <c r="A6786" s="115"/>
      <c r="B6786" s="95"/>
      <c r="C6786" s="94"/>
      <c r="D6786" s="95"/>
      <c r="E6786" s="95"/>
      <c r="F6786" s="96"/>
      <c r="G6786" s="97"/>
      <c r="H6786" s="114" t="str">
        <f t="shared" si="95"/>
        <v/>
      </c>
      <c r="I6786" s="17"/>
      <c r="J6786" s="17"/>
      <c r="K6786" s="17"/>
    </row>
    <row r="6787" spans="1:11" x14ac:dyDescent="0.2">
      <c r="A6787" s="115"/>
      <c r="B6787" s="95"/>
      <c r="C6787" s="94"/>
      <c r="D6787" s="95"/>
      <c r="E6787" s="95"/>
      <c r="F6787" s="96"/>
      <c r="G6787" s="97"/>
      <c r="H6787" s="114" t="str">
        <f t="shared" si="95"/>
        <v/>
      </c>
      <c r="I6787" s="17"/>
      <c r="J6787" s="17"/>
      <c r="K6787" s="17"/>
    </row>
    <row r="6788" spans="1:11" x14ac:dyDescent="0.2">
      <c r="A6788" s="115"/>
      <c r="B6788" s="95"/>
      <c r="C6788" s="94"/>
      <c r="D6788" s="95"/>
      <c r="E6788" s="95"/>
      <c r="F6788" s="96"/>
      <c r="G6788" s="97"/>
      <c r="H6788" s="114" t="str">
        <f t="shared" ref="H6788:H6851" si="96">IF(A6788&lt;&gt;"", EOMONTH(A6788, -1) + 1, "")</f>
        <v/>
      </c>
      <c r="I6788" s="17"/>
      <c r="J6788" s="17"/>
      <c r="K6788" s="17"/>
    </row>
    <row r="6789" spans="1:11" x14ac:dyDescent="0.2">
      <c r="A6789" s="115"/>
      <c r="B6789" s="95"/>
      <c r="C6789" s="94"/>
      <c r="D6789" s="95"/>
      <c r="E6789" s="95"/>
      <c r="F6789" s="96"/>
      <c r="G6789" s="97"/>
      <c r="H6789" s="114" t="str">
        <f t="shared" si="96"/>
        <v/>
      </c>
      <c r="I6789" s="17"/>
      <c r="J6789" s="17"/>
      <c r="K6789" s="17"/>
    </row>
    <row r="6790" spans="1:11" x14ac:dyDescent="0.2">
      <c r="A6790" s="115"/>
      <c r="B6790" s="95"/>
      <c r="C6790" s="94"/>
      <c r="D6790" s="95"/>
      <c r="E6790" s="95"/>
      <c r="F6790" s="96"/>
      <c r="G6790" s="97"/>
      <c r="H6790" s="114" t="str">
        <f t="shared" si="96"/>
        <v/>
      </c>
      <c r="I6790" s="17"/>
      <c r="J6790" s="17"/>
      <c r="K6790" s="17"/>
    </row>
    <row r="6791" spans="1:11" x14ac:dyDescent="0.2">
      <c r="A6791" s="115"/>
      <c r="B6791" s="95"/>
      <c r="C6791" s="94"/>
      <c r="D6791" s="95"/>
      <c r="E6791" s="95"/>
      <c r="F6791" s="96"/>
      <c r="G6791" s="97"/>
      <c r="H6791" s="114" t="str">
        <f t="shared" si="96"/>
        <v/>
      </c>
      <c r="I6791" s="17"/>
      <c r="J6791" s="17"/>
      <c r="K6791" s="17"/>
    </row>
    <row r="6792" spans="1:11" x14ac:dyDescent="0.2">
      <c r="A6792" s="115"/>
      <c r="B6792" s="95"/>
      <c r="C6792" s="94"/>
      <c r="D6792" s="95"/>
      <c r="E6792" s="95"/>
      <c r="F6792" s="96"/>
      <c r="G6792" s="97"/>
      <c r="H6792" s="114" t="str">
        <f t="shared" si="96"/>
        <v/>
      </c>
      <c r="I6792" s="17"/>
      <c r="J6792" s="17"/>
      <c r="K6792" s="17"/>
    </row>
    <row r="6793" spans="1:11" x14ac:dyDescent="0.2">
      <c r="A6793" s="115"/>
      <c r="B6793" s="95"/>
      <c r="C6793" s="94"/>
      <c r="D6793" s="95"/>
      <c r="E6793" s="95"/>
      <c r="F6793" s="96"/>
      <c r="G6793" s="97"/>
      <c r="H6793" s="114" t="str">
        <f t="shared" si="96"/>
        <v/>
      </c>
      <c r="I6793" s="17"/>
      <c r="J6793" s="17"/>
      <c r="K6793" s="17"/>
    </row>
    <row r="6794" spans="1:11" x14ac:dyDescent="0.2">
      <c r="A6794" s="115"/>
      <c r="B6794" s="95"/>
      <c r="C6794" s="94"/>
      <c r="D6794" s="95"/>
      <c r="E6794" s="95"/>
      <c r="F6794" s="96"/>
      <c r="G6794" s="97"/>
      <c r="H6794" s="114" t="str">
        <f t="shared" si="96"/>
        <v/>
      </c>
      <c r="I6794" s="17"/>
      <c r="J6794" s="17"/>
      <c r="K6794" s="17"/>
    </row>
    <row r="6795" spans="1:11" x14ac:dyDescent="0.2">
      <c r="A6795" s="115"/>
      <c r="B6795" s="95"/>
      <c r="C6795" s="94"/>
      <c r="D6795" s="95"/>
      <c r="E6795" s="95"/>
      <c r="F6795" s="96"/>
      <c r="G6795" s="97"/>
      <c r="H6795" s="114" t="str">
        <f t="shared" si="96"/>
        <v/>
      </c>
      <c r="I6795" s="17"/>
      <c r="J6795" s="17"/>
      <c r="K6795" s="17"/>
    </row>
    <row r="6796" spans="1:11" x14ac:dyDescent="0.2">
      <c r="A6796" s="115"/>
      <c r="B6796" s="95"/>
      <c r="C6796" s="94"/>
      <c r="D6796" s="95"/>
      <c r="E6796" s="95"/>
      <c r="F6796" s="96"/>
      <c r="G6796" s="97"/>
      <c r="H6796" s="114" t="str">
        <f t="shared" si="96"/>
        <v/>
      </c>
      <c r="I6796" s="17"/>
      <c r="J6796" s="17"/>
      <c r="K6796" s="17"/>
    </row>
    <row r="6797" spans="1:11" x14ac:dyDescent="0.2">
      <c r="A6797" s="115"/>
      <c r="B6797" s="95"/>
      <c r="C6797" s="94"/>
      <c r="D6797" s="95"/>
      <c r="E6797" s="95"/>
      <c r="F6797" s="96"/>
      <c r="G6797" s="97"/>
      <c r="H6797" s="114" t="str">
        <f t="shared" si="96"/>
        <v/>
      </c>
      <c r="I6797" s="17"/>
      <c r="J6797" s="17"/>
      <c r="K6797" s="17"/>
    </row>
    <row r="6798" spans="1:11" x14ac:dyDescent="0.2">
      <c r="A6798" s="115"/>
      <c r="B6798" s="95"/>
      <c r="C6798" s="94"/>
      <c r="D6798" s="95"/>
      <c r="E6798" s="95"/>
      <c r="F6798" s="96"/>
      <c r="G6798" s="97"/>
      <c r="H6798" s="114" t="str">
        <f t="shared" si="96"/>
        <v/>
      </c>
      <c r="I6798" s="17"/>
      <c r="J6798" s="17"/>
      <c r="K6798" s="17"/>
    </row>
    <row r="6799" spans="1:11" x14ac:dyDescent="0.2">
      <c r="A6799" s="115"/>
      <c r="B6799" s="95"/>
      <c r="C6799" s="94"/>
      <c r="D6799" s="95"/>
      <c r="E6799" s="95"/>
      <c r="F6799" s="96"/>
      <c r="G6799" s="97"/>
      <c r="H6799" s="114" t="str">
        <f t="shared" si="96"/>
        <v/>
      </c>
      <c r="I6799" s="17"/>
      <c r="J6799" s="17"/>
      <c r="K6799" s="17"/>
    </row>
    <row r="6800" spans="1:11" x14ac:dyDescent="0.2">
      <c r="A6800" s="115"/>
      <c r="B6800" s="95"/>
      <c r="C6800" s="94"/>
      <c r="D6800" s="95"/>
      <c r="E6800" s="95"/>
      <c r="F6800" s="96"/>
      <c r="G6800" s="97"/>
      <c r="H6800" s="114" t="str">
        <f t="shared" si="96"/>
        <v/>
      </c>
      <c r="I6800" s="17"/>
      <c r="J6800" s="17"/>
      <c r="K6800" s="17"/>
    </row>
    <row r="6801" spans="1:11" x14ac:dyDescent="0.2">
      <c r="A6801" s="115"/>
      <c r="B6801" s="95"/>
      <c r="C6801" s="94"/>
      <c r="D6801" s="95"/>
      <c r="E6801" s="95"/>
      <c r="F6801" s="96"/>
      <c r="G6801" s="97"/>
      <c r="H6801" s="114" t="str">
        <f t="shared" si="96"/>
        <v/>
      </c>
      <c r="I6801" s="17"/>
      <c r="J6801" s="17"/>
      <c r="K6801" s="17"/>
    </row>
    <row r="6802" spans="1:11" x14ac:dyDescent="0.2">
      <c r="A6802" s="115"/>
      <c r="B6802" s="95"/>
      <c r="C6802" s="94"/>
      <c r="D6802" s="95"/>
      <c r="E6802" s="95"/>
      <c r="F6802" s="96"/>
      <c r="G6802" s="97"/>
      <c r="H6802" s="114" t="str">
        <f t="shared" si="96"/>
        <v/>
      </c>
      <c r="I6802" s="17"/>
      <c r="J6802" s="17"/>
      <c r="K6802" s="17"/>
    </row>
    <row r="6803" spans="1:11" x14ac:dyDescent="0.2">
      <c r="A6803" s="115"/>
      <c r="B6803" s="95"/>
      <c r="C6803" s="94"/>
      <c r="D6803" s="95"/>
      <c r="E6803" s="95"/>
      <c r="F6803" s="96"/>
      <c r="G6803" s="97"/>
      <c r="H6803" s="114" t="str">
        <f t="shared" si="96"/>
        <v/>
      </c>
      <c r="I6803" s="17"/>
      <c r="J6803" s="17"/>
      <c r="K6803" s="17"/>
    </row>
    <row r="6804" spans="1:11" x14ac:dyDescent="0.2">
      <c r="A6804" s="115"/>
      <c r="B6804" s="95"/>
      <c r="C6804" s="94"/>
      <c r="D6804" s="95"/>
      <c r="E6804" s="95"/>
      <c r="F6804" s="96"/>
      <c r="G6804" s="97"/>
      <c r="H6804" s="114" t="str">
        <f t="shared" si="96"/>
        <v/>
      </c>
      <c r="I6804" s="17"/>
      <c r="J6804" s="17"/>
      <c r="K6804" s="17"/>
    </row>
    <row r="6805" spans="1:11" x14ac:dyDescent="0.2">
      <c r="A6805" s="115"/>
      <c r="B6805" s="95"/>
      <c r="C6805" s="94"/>
      <c r="D6805" s="95"/>
      <c r="E6805" s="95"/>
      <c r="F6805" s="96"/>
      <c r="G6805" s="97"/>
      <c r="H6805" s="114" t="str">
        <f t="shared" si="96"/>
        <v/>
      </c>
      <c r="I6805" s="17"/>
      <c r="J6805" s="17"/>
      <c r="K6805" s="17"/>
    </row>
    <row r="6806" spans="1:11" x14ac:dyDescent="0.2">
      <c r="A6806" s="115"/>
      <c r="B6806" s="95"/>
      <c r="C6806" s="94"/>
      <c r="D6806" s="95"/>
      <c r="E6806" s="95"/>
      <c r="F6806" s="96"/>
      <c r="G6806" s="97"/>
      <c r="H6806" s="114" t="str">
        <f t="shared" si="96"/>
        <v/>
      </c>
      <c r="I6806" s="17"/>
      <c r="J6806" s="17"/>
      <c r="K6806" s="17"/>
    </row>
    <row r="6807" spans="1:11" x14ac:dyDescent="0.2">
      <c r="A6807" s="115"/>
      <c r="B6807" s="95"/>
      <c r="C6807" s="94"/>
      <c r="D6807" s="95"/>
      <c r="E6807" s="95"/>
      <c r="F6807" s="96"/>
      <c r="G6807" s="97"/>
      <c r="H6807" s="114" t="str">
        <f t="shared" si="96"/>
        <v/>
      </c>
      <c r="I6807" s="17"/>
      <c r="J6807" s="17"/>
      <c r="K6807" s="17"/>
    </row>
    <row r="6808" spans="1:11" x14ac:dyDescent="0.2">
      <c r="A6808" s="115"/>
      <c r="B6808" s="95"/>
      <c r="C6808" s="94"/>
      <c r="D6808" s="95"/>
      <c r="E6808" s="95"/>
      <c r="F6808" s="96"/>
      <c r="G6808" s="97"/>
      <c r="H6808" s="114" t="str">
        <f t="shared" si="96"/>
        <v/>
      </c>
      <c r="I6808" s="17"/>
      <c r="J6808" s="17"/>
      <c r="K6808" s="17"/>
    </row>
    <row r="6809" spans="1:11" x14ac:dyDescent="0.2">
      <c r="A6809" s="115"/>
      <c r="B6809" s="95"/>
      <c r="C6809" s="94"/>
      <c r="D6809" s="95"/>
      <c r="E6809" s="95"/>
      <c r="F6809" s="96"/>
      <c r="G6809" s="97"/>
      <c r="H6809" s="114" t="str">
        <f t="shared" si="96"/>
        <v/>
      </c>
      <c r="I6809" s="17"/>
      <c r="J6809" s="17"/>
      <c r="K6809" s="17"/>
    </row>
    <row r="6810" spans="1:11" x14ac:dyDescent="0.2">
      <c r="A6810" s="115"/>
      <c r="B6810" s="95"/>
      <c r="C6810" s="94"/>
      <c r="D6810" s="95"/>
      <c r="E6810" s="95"/>
      <c r="F6810" s="96"/>
      <c r="G6810" s="97"/>
      <c r="H6810" s="114" t="str">
        <f t="shared" si="96"/>
        <v/>
      </c>
      <c r="I6810" s="17"/>
      <c r="J6810" s="17"/>
      <c r="K6810" s="17"/>
    </row>
    <row r="6811" spans="1:11" x14ac:dyDescent="0.2">
      <c r="A6811" s="115"/>
      <c r="B6811" s="95"/>
      <c r="C6811" s="94"/>
      <c r="D6811" s="95"/>
      <c r="E6811" s="95"/>
      <c r="F6811" s="96"/>
      <c r="G6811" s="97"/>
      <c r="H6811" s="114" t="str">
        <f t="shared" si="96"/>
        <v/>
      </c>
      <c r="I6811" s="17"/>
      <c r="J6811" s="17"/>
      <c r="K6811" s="17"/>
    </row>
    <row r="6812" spans="1:11" x14ac:dyDescent="0.2">
      <c r="A6812" s="115"/>
      <c r="B6812" s="95"/>
      <c r="C6812" s="94"/>
      <c r="D6812" s="95"/>
      <c r="E6812" s="95"/>
      <c r="F6812" s="96"/>
      <c r="G6812" s="97"/>
      <c r="H6812" s="114" t="str">
        <f t="shared" si="96"/>
        <v/>
      </c>
      <c r="I6812" s="17"/>
      <c r="J6812" s="17"/>
      <c r="K6812" s="17"/>
    </row>
    <row r="6813" spans="1:11" x14ac:dyDescent="0.2">
      <c r="A6813" s="115"/>
      <c r="B6813" s="95"/>
      <c r="C6813" s="94"/>
      <c r="D6813" s="95"/>
      <c r="E6813" s="95"/>
      <c r="F6813" s="96"/>
      <c r="G6813" s="97"/>
      <c r="H6813" s="114" t="str">
        <f t="shared" si="96"/>
        <v/>
      </c>
      <c r="I6813" s="17"/>
      <c r="J6813" s="17"/>
      <c r="K6813" s="17"/>
    </row>
    <row r="6814" spans="1:11" x14ac:dyDescent="0.2">
      <c r="A6814" s="115"/>
      <c r="B6814" s="95"/>
      <c r="C6814" s="94"/>
      <c r="D6814" s="95"/>
      <c r="E6814" s="95"/>
      <c r="F6814" s="96"/>
      <c r="G6814" s="97"/>
      <c r="H6814" s="114" t="str">
        <f t="shared" si="96"/>
        <v/>
      </c>
      <c r="I6814" s="17"/>
      <c r="J6814" s="17"/>
      <c r="K6814" s="17"/>
    </row>
    <row r="6815" spans="1:11" x14ac:dyDescent="0.2">
      <c r="A6815" s="115"/>
      <c r="B6815" s="95"/>
      <c r="C6815" s="94"/>
      <c r="D6815" s="95"/>
      <c r="E6815" s="95"/>
      <c r="F6815" s="96"/>
      <c r="G6815" s="97"/>
      <c r="H6815" s="114" t="str">
        <f t="shared" si="96"/>
        <v/>
      </c>
      <c r="I6815" s="17"/>
      <c r="J6815" s="17"/>
      <c r="K6815" s="17"/>
    </row>
    <row r="6816" spans="1:11" x14ac:dyDescent="0.2">
      <c r="A6816" s="115"/>
      <c r="B6816" s="95"/>
      <c r="C6816" s="94"/>
      <c r="D6816" s="95"/>
      <c r="E6816" s="95"/>
      <c r="F6816" s="96"/>
      <c r="G6816" s="97"/>
      <c r="H6816" s="114" t="str">
        <f t="shared" si="96"/>
        <v/>
      </c>
      <c r="I6816" s="17"/>
      <c r="J6816" s="17"/>
      <c r="K6816" s="17"/>
    </row>
    <row r="6817" spans="1:11" x14ac:dyDescent="0.2">
      <c r="A6817" s="115"/>
      <c r="B6817" s="95"/>
      <c r="C6817" s="94"/>
      <c r="D6817" s="95"/>
      <c r="E6817" s="95"/>
      <c r="F6817" s="96"/>
      <c r="G6817" s="97"/>
      <c r="H6817" s="114" t="str">
        <f t="shared" si="96"/>
        <v/>
      </c>
      <c r="I6817" s="17"/>
      <c r="J6817" s="17"/>
      <c r="K6817" s="17"/>
    </row>
    <row r="6818" spans="1:11" x14ac:dyDescent="0.2">
      <c r="A6818" s="115"/>
      <c r="B6818" s="95"/>
      <c r="C6818" s="94"/>
      <c r="D6818" s="95"/>
      <c r="E6818" s="95"/>
      <c r="F6818" s="96"/>
      <c r="G6818" s="97"/>
      <c r="H6818" s="114" t="str">
        <f t="shared" si="96"/>
        <v/>
      </c>
      <c r="I6818" s="17"/>
      <c r="J6818" s="17"/>
      <c r="K6818" s="17"/>
    </row>
    <row r="6819" spans="1:11" x14ac:dyDescent="0.2">
      <c r="A6819" s="115"/>
      <c r="B6819" s="95"/>
      <c r="C6819" s="94"/>
      <c r="D6819" s="95"/>
      <c r="E6819" s="95"/>
      <c r="F6819" s="96"/>
      <c r="G6819" s="97"/>
      <c r="H6819" s="114" t="str">
        <f t="shared" si="96"/>
        <v/>
      </c>
      <c r="I6819" s="17"/>
      <c r="J6819" s="17"/>
      <c r="K6819" s="17"/>
    </row>
    <row r="6820" spans="1:11" x14ac:dyDescent="0.2">
      <c r="A6820" s="115"/>
      <c r="B6820" s="95"/>
      <c r="C6820" s="94"/>
      <c r="D6820" s="95"/>
      <c r="E6820" s="95"/>
      <c r="F6820" s="96"/>
      <c r="G6820" s="97"/>
      <c r="H6820" s="114" t="str">
        <f t="shared" si="96"/>
        <v/>
      </c>
      <c r="I6820" s="17"/>
      <c r="J6820" s="17"/>
      <c r="K6820" s="17"/>
    </row>
    <row r="6821" spans="1:11" x14ac:dyDescent="0.2">
      <c r="A6821" s="115"/>
      <c r="B6821" s="95"/>
      <c r="C6821" s="94"/>
      <c r="D6821" s="95"/>
      <c r="E6821" s="95"/>
      <c r="F6821" s="96"/>
      <c r="G6821" s="97"/>
      <c r="H6821" s="114" t="str">
        <f t="shared" si="96"/>
        <v/>
      </c>
      <c r="I6821" s="17"/>
      <c r="J6821" s="17"/>
      <c r="K6821" s="17"/>
    </row>
    <row r="6822" spans="1:11" x14ac:dyDescent="0.2">
      <c r="A6822" s="115"/>
      <c r="B6822" s="95"/>
      <c r="C6822" s="94"/>
      <c r="D6822" s="95"/>
      <c r="E6822" s="95"/>
      <c r="F6822" s="96"/>
      <c r="G6822" s="97"/>
      <c r="H6822" s="114" t="str">
        <f t="shared" si="96"/>
        <v/>
      </c>
      <c r="I6822" s="17"/>
      <c r="J6822" s="17"/>
      <c r="K6822" s="17"/>
    </row>
    <row r="6823" spans="1:11" x14ac:dyDescent="0.2">
      <c r="A6823" s="115"/>
      <c r="B6823" s="95"/>
      <c r="C6823" s="94"/>
      <c r="D6823" s="95"/>
      <c r="E6823" s="95"/>
      <c r="F6823" s="96"/>
      <c r="G6823" s="97"/>
      <c r="H6823" s="114" t="str">
        <f t="shared" si="96"/>
        <v/>
      </c>
      <c r="I6823" s="17"/>
      <c r="J6823" s="17"/>
      <c r="K6823" s="17"/>
    </row>
    <row r="6824" spans="1:11" x14ac:dyDescent="0.2">
      <c r="A6824" s="115"/>
      <c r="B6824" s="95"/>
      <c r="C6824" s="94"/>
      <c r="D6824" s="95"/>
      <c r="E6824" s="95"/>
      <c r="F6824" s="96"/>
      <c r="G6824" s="97"/>
      <c r="H6824" s="114" t="str">
        <f t="shared" si="96"/>
        <v/>
      </c>
      <c r="I6824" s="17"/>
      <c r="J6824" s="17"/>
      <c r="K6824" s="17"/>
    </row>
    <row r="6825" spans="1:11" x14ac:dyDescent="0.2">
      <c r="A6825" s="115"/>
      <c r="B6825" s="95"/>
      <c r="C6825" s="94"/>
      <c r="D6825" s="95"/>
      <c r="E6825" s="95"/>
      <c r="F6825" s="96"/>
      <c r="G6825" s="97"/>
      <c r="H6825" s="114" t="str">
        <f t="shared" si="96"/>
        <v/>
      </c>
      <c r="I6825" s="17"/>
      <c r="J6825" s="17"/>
      <c r="K6825" s="17"/>
    </row>
    <row r="6826" spans="1:11" x14ac:dyDescent="0.2">
      <c r="A6826" s="115"/>
      <c r="B6826" s="95"/>
      <c r="C6826" s="94"/>
      <c r="D6826" s="95"/>
      <c r="E6826" s="95"/>
      <c r="F6826" s="96"/>
      <c r="G6826" s="97"/>
      <c r="H6826" s="114" t="str">
        <f t="shared" si="96"/>
        <v/>
      </c>
      <c r="I6826" s="17"/>
      <c r="J6826" s="17"/>
      <c r="K6826" s="17"/>
    </row>
    <row r="6827" spans="1:11" x14ac:dyDescent="0.2">
      <c r="A6827" s="115"/>
      <c r="B6827" s="95"/>
      <c r="C6827" s="94"/>
      <c r="D6827" s="95"/>
      <c r="E6827" s="95"/>
      <c r="F6827" s="96"/>
      <c r="G6827" s="97"/>
      <c r="H6827" s="114" t="str">
        <f t="shared" si="96"/>
        <v/>
      </c>
      <c r="I6827" s="17"/>
      <c r="J6827" s="17"/>
      <c r="K6827" s="17"/>
    </row>
    <row r="6828" spans="1:11" x14ac:dyDescent="0.2">
      <c r="A6828" s="115"/>
      <c r="B6828" s="95"/>
      <c r="C6828" s="94"/>
      <c r="D6828" s="95"/>
      <c r="E6828" s="95"/>
      <c r="F6828" s="96"/>
      <c r="G6828" s="97"/>
      <c r="H6828" s="114" t="str">
        <f t="shared" si="96"/>
        <v/>
      </c>
      <c r="I6828" s="17"/>
      <c r="J6828" s="17"/>
      <c r="K6828" s="17"/>
    </row>
    <row r="6829" spans="1:11" x14ac:dyDescent="0.2">
      <c r="A6829" s="115"/>
      <c r="B6829" s="95"/>
      <c r="C6829" s="94"/>
      <c r="D6829" s="95"/>
      <c r="E6829" s="95"/>
      <c r="F6829" s="96"/>
      <c r="G6829" s="97"/>
      <c r="H6829" s="114" t="str">
        <f t="shared" si="96"/>
        <v/>
      </c>
      <c r="I6829" s="17"/>
      <c r="J6829" s="17"/>
      <c r="K6829" s="17"/>
    </row>
    <row r="6830" spans="1:11" x14ac:dyDescent="0.2">
      <c r="A6830" s="115"/>
      <c r="B6830" s="95"/>
      <c r="C6830" s="94"/>
      <c r="D6830" s="95"/>
      <c r="E6830" s="95"/>
      <c r="F6830" s="96"/>
      <c r="G6830" s="97"/>
      <c r="H6830" s="114" t="str">
        <f t="shared" si="96"/>
        <v/>
      </c>
      <c r="I6830" s="17"/>
      <c r="J6830" s="17"/>
      <c r="K6830" s="17"/>
    </row>
    <row r="6831" spans="1:11" x14ac:dyDescent="0.2">
      <c r="A6831" s="115"/>
      <c r="B6831" s="95"/>
      <c r="C6831" s="94"/>
      <c r="D6831" s="95"/>
      <c r="E6831" s="95"/>
      <c r="F6831" s="96"/>
      <c r="G6831" s="97"/>
      <c r="H6831" s="114" t="str">
        <f t="shared" si="96"/>
        <v/>
      </c>
      <c r="I6831" s="17"/>
      <c r="J6831" s="17"/>
      <c r="K6831" s="17"/>
    </row>
    <row r="6832" spans="1:11" x14ac:dyDescent="0.2">
      <c r="A6832" s="115"/>
      <c r="B6832" s="95"/>
      <c r="C6832" s="94"/>
      <c r="D6832" s="95"/>
      <c r="E6832" s="95"/>
      <c r="F6832" s="96"/>
      <c r="G6832" s="97"/>
      <c r="H6832" s="114" t="str">
        <f t="shared" si="96"/>
        <v/>
      </c>
      <c r="I6832" s="17"/>
      <c r="J6832" s="17"/>
      <c r="K6832" s="17"/>
    </row>
    <row r="6833" spans="1:11" x14ac:dyDescent="0.2">
      <c r="A6833" s="115"/>
      <c r="B6833" s="95"/>
      <c r="C6833" s="94"/>
      <c r="D6833" s="95"/>
      <c r="E6833" s="95"/>
      <c r="F6833" s="96"/>
      <c r="G6833" s="97"/>
      <c r="H6833" s="114" t="str">
        <f t="shared" si="96"/>
        <v/>
      </c>
      <c r="I6833" s="17"/>
      <c r="J6833" s="17"/>
      <c r="K6833" s="17"/>
    </row>
    <row r="6834" spans="1:11" x14ac:dyDescent="0.2">
      <c r="A6834" s="115"/>
      <c r="B6834" s="95"/>
      <c r="C6834" s="94"/>
      <c r="D6834" s="95"/>
      <c r="E6834" s="95"/>
      <c r="F6834" s="96"/>
      <c r="G6834" s="97"/>
      <c r="H6834" s="114" t="str">
        <f t="shared" si="96"/>
        <v/>
      </c>
      <c r="I6834" s="17"/>
      <c r="J6834" s="17"/>
      <c r="K6834" s="17"/>
    </row>
    <row r="6835" spans="1:11" x14ac:dyDescent="0.2">
      <c r="A6835" s="115"/>
      <c r="B6835" s="95"/>
      <c r="C6835" s="94"/>
      <c r="D6835" s="95"/>
      <c r="E6835" s="95"/>
      <c r="F6835" s="96"/>
      <c r="G6835" s="97"/>
      <c r="H6835" s="114" t="str">
        <f t="shared" si="96"/>
        <v/>
      </c>
      <c r="I6835" s="17"/>
      <c r="J6835" s="17"/>
      <c r="K6835" s="17"/>
    </row>
    <row r="6836" spans="1:11" x14ac:dyDescent="0.2">
      <c r="A6836" s="115"/>
      <c r="B6836" s="95"/>
      <c r="C6836" s="94"/>
      <c r="D6836" s="95"/>
      <c r="E6836" s="95"/>
      <c r="F6836" s="96"/>
      <c r="G6836" s="97"/>
      <c r="H6836" s="114" t="str">
        <f t="shared" si="96"/>
        <v/>
      </c>
      <c r="I6836" s="17"/>
      <c r="J6836" s="17"/>
      <c r="K6836" s="17"/>
    </row>
    <row r="6837" spans="1:11" x14ac:dyDescent="0.2">
      <c r="A6837" s="115"/>
      <c r="B6837" s="95"/>
      <c r="C6837" s="94"/>
      <c r="D6837" s="95"/>
      <c r="E6837" s="95"/>
      <c r="F6837" s="96"/>
      <c r="G6837" s="97"/>
      <c r="H6837" s="114" t="str">
        <f t="shared" si="96"/>
        <v/>
      </c>
      <c r="I6837" s="17"/>
      <c r="J6837" s="17"/>
      <c r="K6837" s="17"/>
    </row>
    <row r="6838" spans="1:11" x14ac:dyDescent="0.2">
      <c r="A6838" s="115"/>
      <c r="B6838" s="95"/>
      <c r="C6838" s="94"/>
      <c r="D6838" s="95"/>
      <c r="E6838" s="95"/>
      <c r="F6838" s="96"/>
      <c r="G6838" s="97"/>
      <c r="H6838" s="114" t="str">
        <f t="shared" si="96"/>
        <v/>
      </c>
      <c r="I6838" s="17"/>
      <c r="J6838" s="17"/>
      <c r="K6838" s="17"/>
    </row>
    <row r="6839" spans="1:11" x14ac:dyDescent="0.2">
      <c r="A6839" s="115"/>
      <c r="B6839" s="95"/>
      <c r="C6839" s="94"/>
      <c r="D6839" s="95"/>
      <c r="E6839" s="95"/>
      <c r="F6839" s="96"/>
      <c r="G6839" s="97"/>
      <c r="H6839" s="114" t="str">
        <f t="shared" si="96"/>
        <v/>
      </c>
      <c r="I6839" s="17"/>
      <c r="J6839" s="17"/>
      <c r="K6839" s="17"/>
    </row>
    <row r="6840" spans="1:11" x14ac:dyDescent="0.2">
      <c r="A6840" s="115"/>
      <c r="B6840" s="95"/>
      <c r="C6840" s="94"/>
      <c r="D6840" s="95"/>
      <c r="E6840" s="95"/>
      <c r="F6840" s="96"/>
      <c r="G6840" s="97"/>
      <c r="H6840" s="114" t="str">
        <f t="shared" si="96"/>
        <v/>
      </c>
      <c r="I6840" s="17"/>
      <c r="J6840" s="17"/>
      <c r="K6840" s="17"/>
    </row>
    <row r="6841" spans="1:11" x14ac:dyDescent="0.2">
      <c r="A6841" s="115"/>
      <c r="B6841" s="95"/>
      <c r="C6841" s="94"/>
      <c r="D6841" s="95"/>
      <c r="E6841" s="95"/>
      <c r="F6841" s="96"/>
      <c r="G6841" s="97"/>
      <c r="H6841" s="114" t="str">
        <f t="shared" si="96"/>
        <v/>
      </c>
      <c r="I6841" s="17"/>
      <c r="J6841" s="17"/>
      <c r="K6841" s="17"/>
    </row>
    <row r="6842" spans="1:11" x14ac:dyDescent="0.2">
      <c r="A6842" s="115"/>
      <c r="B6842" s="95"/>
      <c r="C6842" s="94"/>
      <c r="D6842" s="95"/>
      <c r="E6842" s="95"/>
      <c r="F6842" s="96"/>
      <c r="G6842" s="97"/>
      <c r="H6842" s="114" t="str">
        <f t="shared" si="96"/>
        <v/>
      </c>
      <c r="I6842" s="17"/>
      <c r="J6842" s="17"/>
      <c r="K6842" s="17"/>
    </row>
    <row r="6843" spans="1:11" x14ac:dyDescent="0.2">
      <c r="A6843" s="115"/>
      <c r="B6843" s="95"/>
      <c r="C6843" s="94"/>
      <c r="D6843" s="95"/>
      <c r="E6843" s="95"/>
      <c r="F6843" s="96"/>
      <c r="G6843" s="97"/>
      <c r="H6843" s="114" t="str">
        <f t="shared" si="96"/>
        <v/>
      </c>
      <c r="I6843" s="17"/>
      <c r="J6843" s="17"/>
      <c r="K6843" s="17"/>
    </row>
    <row r="6844" spans="1:11" x14ac:dyDescent="0.2">
      <c r="A6844" s="115"/>
      <c r="B6844" s="95"/>
      <c r="C6844" s="94"/>
      <c r="D6844" s="95"/>
      <c r="E6844" s="95"/>
      <c r="F6844" s="96"/>
      <c r="G6844" s="97"/>
      <c r="H6844" s="114" t="str">
        <f t="shared" si="96"/>
        <v/>
      </c>
      <c r="I6844" s="17"/>
      <c r="J6844" s="17"/>
      <c r="K6844" s="17"/>
    </row>
    <row r="6845" spans="1:11" x14ac:dyDescent="0.2">
      <c r="A6845" s="115"/>
      <c r="B6845" s="95"/>
      <c r="C6845" s="94"/>
      <c r="D6845" s="95"/>
      <c r="E6845" s="95"/>
      <c r="F6845" s="96"/>
      <c r="G6845" s="97"/>
      <c r="H6845" s="114" t="str">
        <f t="shared" si="96"/>
        <v/>
      </c>
      <c r="I6845" s="17"/>
      <c r="J6845" s="17"/>
      <c r="K6845" s="17"/>
    </row>
    <row r="6846" spans="1:11" x14ac:dyDescent="0.2">
      <c r="A6846" s="115"/>
      <c r="B6846" s="95"/>
      <c r="C6846" s="94"/>
      <c r="D6846" s="95"/>
      <c r="E6846" s="95"/>
      <c r="F6846" s="96"/>
      <c r="G6846" s="97"/>
      <c r="H6846" s="114" t="str">
        <f t="shared" si="96"/>
        <v/>
      </c>
      <c r="I6846" s="17"/>
      <c r="J6846" s="17"/>
      <c r="K6846" s="17"/>
    </row>
    <row r="6847" spans="1:11" x14ac:dyDescent="0.2">
      <c r="A6847" s="115"/>
      <c r="B6847" s="95"/>
      <c r="C6847" s="94"/>
      <c r="D6847" s="95"/>
      <c r="E6847" s="95"/>
      <c r="F6847" s="96"/>
      <c r="G6847" s="97"/>
      <c r="H6847" s="114" t="str">
        <f t="shared" si="96"/>
        <v/>
      </c>
      <c r="I6847" s="17"/>
      <c r="J6847" s="17"/>
      <c r="K6847" s="17"/>
    </row>
    <row r="6848" spans="1:11" x14ac:dyDescent="0.2">
      <c r="A6848" s="115"/>
      <c r="B6848" s="95"/>
      <c r="C6848" s="94"/>
      <c r="D6848" s="95"/>
      <c r="E6848" s="95"/>
      <c r="F6848" s="96"/>
      <c r="G6848" s="97"/>
      <c r="H6848" s="114" t="str">
        <f t="shared" si="96"/>
        <v/>
      </c>
      <c r="I6848" s="17"/>
      <c r="J6848" s="17"/>
      <c r="K6848" s="17"/>
    </row>
    <row r="6849" spans="1:11" x14ac:dyDescent="0.2">
      <c r="A6849" s="115"/>
      <c r="B6849" s="95"/>
      <c r="C6849" s="94"/>
      <c r="D6849" s="95"/>
      <c r="E6849" s="95"/>
      <c r="F6849" s="96"/>
      <c r="G6849" s="97"/>
      <c r="H6849" s="114" t="str">
        <f t="shared" si="96"/>
        <v/>
      </c>
      <c r="I6849" s="17"/>
      <c r="J6849" s="17"/>
      <c r="K6849" s="17"/>
    </row>
    <row r="6850" spans="1:11" x14ac:dyDescent="0.2">
      <c r="A6850" s="115"/>
      <c r="B6850" s="95"/>
      <c r="C6850" s="94"/>
      <c r="D6850" s="95"/>
      <c r="E6850" s="95"/>
      <c r="F6850" s="96"/>
      <c r="G6850" s="97"/>
      <c r="H6850" s="114" t="str">
        <f t="shared" si="96"/>
        <v/>
      </c>
      <c r="I6850" s="17"/>
      <c r="J6850" s="17"/>
      <c r="K6850" s="17"/>
    </row>
    <row r="6851" spans="1:11" x14ac:dyDescent="0.2">
      <c r="A6851" s="115"/>
      <c r="B6851" s="95"/>
      <c r="C6851" s="94"/>
      <c r="D6851" s="95"/>
      <c r="E6851" s="95"/>
      <c r="F6851" s="96"/>
      <c r="G6851" s="97"/>
      <c r="H6851" s="114" t="str">
        <f t="shared" si="96"/>
        <v/>
      </c>
      <c r="I6851" s="17"/>
      <c r="J6851" s="17"/>
      <c r="K6851" s="17"/>
    </row>
    <row r="6852" spans="1:11" x14ac:dyDescent="0.2">
      <c r="A6852" s="115"/>
      <c r="B6852" s="95"/>
      <c r="C6852" s="94"/>
      <c r="D6852" s="95"/>
      <c r="E6852" s="95"/>
      <c r="F6852" s="96"/>
      <c r="G6852" s="97"/>
      <c r="H6852" s="114" t="str">
        <f t="shared" ref="H6852:H6915" si="97">IF(A6852&lt;&gt;"", EOMONTH(A6852, -1) + 1, "")</f>
        <v/>
      </c>
      <c r="I6852" s="17"/>
      <c r="J6852" s="17"/>
      <c r="K6852" s="17"/>
    </row>
    <row r="6853" spans="1:11" x14ac:dyDescent="0.2">
      <c r="A6853" s="115"/>
      <c r="B6853" s="95"/>
      <c r="C6853" s="94"/>
      <c r="D6853" s="95"/>
      <c r="E6853" s="95"/>
      <c r="F6853" s="96"/>
      <c r="G6853" s="97"/>
      <c r="H6853" s="114" t="str">
        <f t="shared" si="97"/>
        <v/>
      </c>
      <c r="I6853" s="17"/>
      <c r="J6853" s="17"/>
      <c r="K6853" s="17"/>
    </row>
    <row r="6854" spans="1:11" x14ac:dyDescent="0.2">
      <c r="A6854" s="115"/>
      <c r="B6854" s="95"/>
      <c r="C6854" s="94"/>
      <c r="D6854" s="95"/>
      <c r="E6854" s="95"/>
      <c r="F6854" s="96"/>
      <c r="G6854" s="97"/>
      <c r="H6854" s="114" t="str">
        <f t="shared" si="97"/>
        <v/>
      </c>
      <c r="I6854" s="17"/>
      <c r="J6854" s="17"/>
      <c r="K6854" s="17"/>
    </row>
    <row r="6855" spans="1:11" x14ac:dyDescent="0.2">
      <c r="A6855" s="115"/>
      <c r="B6855" s="95"/>
      <c r="C6855" s="94"/>
      <c r="D6855" s="95"/>
      <c r="E6855" s="95"/>
      <c r="F6855" s="96"/>
      <c r="G6855" s="97"/>
      <c r="H6855" s="114" t="str">
        <f t="shared" si="97"/>
        <v/>
      </c>
      <c r="I6855" s="17"/>
      <c r="J6855" s="17"/>
      <c r="K6855" s="17"/>
    </row>
    <row r="6856" spans="1:11" x14ac:dyDescent="0.2">
      <c r="A6856" s="115"/>
      <c r="B6856" s="95"/>
      <c r="C6856" s="94"/>
      <c r="D6856" s="95"/>
      <c r="E6856" s="95"/>
      <c r="F6856" s="96"/>
      <c r="G6856" s="97"/>
      <c r="H6856" s="114" t="str">
        <f t="shared" si="97"/>
        <v/>
      </c>
      <c r="I6856" s="17"/>
      <c r="J6856" s="17"/>
      <c r="K6856" s="17"/>
    </row>
    <row r="6857" spans="1:11" x14ac:dyDescent="0.2">
      <c r="A6857" s="115"/>
      <c r="B6857" s="95"/>
      <c r="C6857" s="94"/>
      <c r="D6857" s="95"/>
      <c r="E6857" s="95"/>
      <c r="F6857" s="96"/>
      <c r="G6857" s="97"/>
      <c r="H6857" s="114" t="str">
        <f t="shared" si="97"/>
        <v/>
      </c>
      <c r="I6857" s="17"/>
      <c r="J6857" s="17"/>
      <c r="K6857" s="17"/>
    </row>
    <row r="6858" spans="1:11" x14ac:dyDescent="0.2">
      <c r="A6858" s="115"/>
      <c r="B6858" s="95"/>
      <c r="C6858" s="94"/>
      <c r="D6858" s="95"/>
      <c r="E6858" s="95"/>
      <c r="F6858" s="96"/>
      <c r="G6858" s="97"/>
      <c r="H6858" s="114" t="str">
        <f t="shared" si="97"/>
        <v/>
      </c>
      <c r="I6858" s="17"/>
      <c r="J6858" s="17"/>
      <c r="K6858" s="17"/>
    </row>
    <row r="6859" spans="1:11" x14ac:dyDescent="0.2">
      <c r="A6859" s="115"/>
      <c r="B6859" s="95"/>
      <c r="C6859" s="94"/>
      <c r="D6859" s="95"/>
      <c r="E6859" s="95"/>
      <c r="F6859" s="96"/>
      <c r="G6859" s="97"/>
      <c r="H6859" s="114" t="str">
        <f t="shared" si="97"/>
        <v/>
      </c>
      <c r="I6859" s="17"/>
      <c r="J6859" s="17"/>
      <c r="K6859" s="17"/>
    </row>
    <row r="6860" spans="1:11" x14ac:dyDescent="0.2">
      <c r="A6860" s="115"/>
      <c r="B6860" s="95"/>
      <c r="C6860" s="94"/>
      <c r="D6860" s="95"/>
      <c r="E6860" s="95"/>
      <c r="F6860" s="96"/>
      <c r="G6860" s="97"/>
      <c r="H6860" s="114" t="str">
        <f t="shared" si="97"/>
        <v/>
      </c>
      <c r="I6860" s="17"/>
      <c r="J6860" s="17"/>
      <c r="K6860" s="17"/>
    </row>
    <row r="6861" spans="1:11" x14ac:dyDescent="0.2">
      <c r="A6861" s="115"/>
      <c r="B6861" s="95"/>
      <c r="C6861" s="94"/>
      <c r="D6861" s="95"/>
      <c r="E6861" s="95"/>
      <c r="F6861" s="96"/>
      <c r="G6861" s="97"/>
      <c r="H6861" s="114" t="str">
        <f t="shared" si="97"/>
        <v/>
      </c>
      <c r="I6861" s="17"/>
      <c r="J6861" s="17"/>
      <c r="K6861" s="17"/>
    </row>
    <row r="6862" spans="1:11" x14ac:dyDescent="0.2">
      <c r="A6862" s="115"/>
      <c r="B6862" s="95"/>
      <c r="C6862" s="94"/>
      <c r="D6862" s="95"/>
      <c r="E6862" s="95"/>
      <c r="F6862" s="96"/>
      <c r="G6862" s="97"/>
      <c r="H6862" s="114" t="str">
        <f t="shared" si="97"/>
        <v/>
      </c>
      <c r="I6862" s="17"/>
      <c r="J6862" s="17"/>
      <c r="K6862" s="17"/>
    </row>
    <row r="6863" spans="1:11" x14ac:dyDescent="0.2">
      <c r="A6863" s="115"/>
      <c r="B6863" s="95"/>
      <c r="C6863" s="94"/>
      <c r="D6863" s="95"/>
      <c r="E6863" s="95"/>
      <c r="F6863" s="96"/>
      <c r="G6863" s="97"/>
      <c r="H6863" s="114" t="str">
        <f t="shared" si="97"/>
        <v/>
      </c>
      <c r="I6863" s="17"/>
      <c r="J6863" s="17"/>
      <c r="K6863" s="17"/>
    </row>
    <row r="6864" spans="1:11" x14ac:dyDescent="0.2">
      <c r="A6864" s="115"/>
      <c r="B6864" s="95"/>
      <c r="C6864" s="94"/>
      <c r="D6864" s="95"/>
      <c r="E6864" s="95"/>
      <c r="F6864" s="96"/>
      <c r="G6864" s="97"/>
      <c r="H6864" s="114" t="str">
        <f t="shared" si="97"/>
        <v/>
      </c>
      <c r="I6864" s="17"/>
      <c r="J6864" s="17"/>
      <c r="K6864" s="17"/>
    </row>
    <row r="6865" spans="1:11" x14ac:dyDescent="0.2">
      <c r="A6865" s="115"/>
      <c r="B6865" s="95"/>
      <c r="C6865" s="94"/>
      <c r="D6865" s="95"/>
      <c r="E6865" s="95"/>
      <c r="F6865" s="96"/>
      <c r="G6865" s="97"/>
      <c r="H6865" s="114" t="str">
        <f t="shared" si="97"/>
        <v/>
      </c>
      <c r="I6865" s="17"/>
      <c r="J6865" s="17"/>
      <c r="K6865" s="17"/>
    </row>
    <row r="6866" spans="1:11" x14ac:dyDescent="0.2">
      <c r="A6866" s="115"/>
      <c r="B6866" s="95"/>
      <c r="C6866" s="94"/>
      <c r="D6866" s="95"/>
      <c r="E6866" s="95"/>
      <c r="F6866" s="96"/>
      <c r="G6866" s="97"/>
      <c r="H6866" s="114" t="str">
        <f t="shared" si="97"/>
        <v/>
      </c>
      <c r="I6866" s="17"/>
      <c r="J6866" s="17"/>
      <c r="K6866" s="17"/>
    </row>
    <row r="6867" spans="1:11" x14ac:dyDescent="0.2">
      <c r="A6867" s="115"/>
      <c r="B6867" s="95"/>
      <c r="C6867" s="94"/>
      <c r="D6867" s="95"/>
      <c r="E6867" s="95"/>
      <c r="F6867" s="96"/>
      <c r="G6867" s="97"/>
      <c r="H6867" s="114" t="str">
        <f t="shared" si="97"/>
        <v/>
      </c>
      <c r="I6867" s="17"/>
      <c r="J6867" s="17"/>
      <c r="K6867" s="17"/>
    </row>
    <row r="6868" spans="1:11" x14ac:dyDescent="0.2">
      <c r="A6868" s="115"/>
      <c r="B6868" s="95"/>
      <c r="C6868" s="94"/>
      <c r="D6868" s="95"/>
      <c r="E6868" s="95"/>
      <c r="F6868" s="96"/>
      <c r="G6868" s="97"/>
      <c r="H6868" s="114" t="str">
        <f t="shared" si="97"/>
        <v/>
      </c>
      <c r="I6868" s="17"/>
      <c r="J6868" s="17"/>
      <c r="K6868" s="17"/>
    </row>
    <row r="6869" spans="1:11" x14ac:dyDescent="0.2">
      <c r="A6869" s="115"/>
      <c r="B6869" s="95"/>
      <c r="C6869" s="94"/>
      <c r="D6869" s="95"/>
      <c r="E6869" s="95"/>
      <c r="F6869" s="96"/>
      <c r="G6869" s="97"/>
      <c r="H6869" s="114" t="str">
        <f t="shared" si="97"/>
        <v/>
      </c>
      <c r="I6869" s="17"/>
      <c r="J6869" s="17"/>
      <c r="K6869" s="17"/>
    </row>
    <row r="6870" spans="1:11" x14ac:dyDescent="0.2">
      <c r="A6870" s="115"/>
      <c r="B6870" s="95"/>
      <c r="C6870" s="94"/>
      <c r="D6870" s="95"/>
      <c r="E6870" s="95"/>
      <c r="F6870" s="96"/>
      <c r="G6870" s="97"/>
      <c r="H6870" s="114" t="str">
        <f t="shared" si="97"/>
        <v/>
      </c>
      <c r="I6870" s="17"/>
      <c r="J6870" s="17"/>
      <c r="K6870" s="17"/>
    </row>
    <row r="6871" spans="1:11" x14ac:dyDescent="0.2">
      <c r="A6871" s="115"/>
      <c r="B6871" s="95"/>
      <c r="C6871" s="94"/>
      <c r="D6871" s="95"/>
      <c r="E6871" s="95"/>
      <c r="F6871" s="96"/>
      <c r="G6871" s="97"/>
      <c r="H6871" s="114" t="str">
        <f t="shared" si="97"/>
        <v/>
      </c>
      <c r="I6871" s="17"/>
      <c r="J6871" s="17"/>
      <c r="K6871" s="17"/>
    </row>
    <row r="6872" spans="1:11" x14ac:dyDescent="0.2">
      <c r="A6872" s="115"/>
      <c r="B6872" s="95"/>
      <c r="C6872" s="94"/>
      <c r="D6872" s="95"/>
      <c r="E6872" s="95"/>
      <c r="F6872" s="96"/>
      <c r="G6872" s="97"/>
      <c r="H6872" s="114" t="str">
        <f t="shared" si="97"/>
        <v/>
      </c>
      <c r="I6872" s="17"/>
      <c r="J6872" s="17"/>
      <c r="K6872" s="17"/>
    </row>
    <row r="6873" spans="1:11" x14ac:dyDescent="0.2">
      <c r="A6873" s="115"/>
      <c r="B6873" s="95"/>
      <c r="C6873" s="94"/>
      <c r="D6873" s="95"/>
      <c r="E6873" s="95"/>
      <c r="F6873" s="96"/>
      <c r="G6873" s="97"/>
      <c r="H6873" s="114" t="str">
        <f t="shared" si="97"/>
        <v/>
      </c>
      <c r="I6873" s="17"/>
      <c r="J6873" s="17"/>
      <c r="K6873" s="17"/>
    </row>
    <row r="6874" spans="1:11" x14ac:dyDescent="0.2">
      <c r="A6874" s="115"/>
      <c r="B6874" s="95"/>
      <c r="C6874" s="94"/>
      <c r="D6874" s="95"/>
      <c r="E6874" s="95"/>
      <c r="F6874" s="96"/>
      <c r="G6874" s="97"/>
      <c r="H6874" s="114" t="str">
        <f t="shared" si="97"/>
        <v/>
      </c>
      <c r="I6874" s="17"/>
      <c r="J6874" s="17"/>
      <c r="K6874" s="17"/>
    </row>
    <row r="6875" spans="1:11" x14ac:dyDescent="0.2">
      <c r="A6875" s="115"/>
      <c r="B6875" s="95"/>
      <c r="C6875" s="94"/>
      <c r="D6875" s="95"/>
      <c r="E6875" s="95"/>
      <c r="F6875" s="96"/>
      <c r="G6875" s="97"/>
      <c r="H6875" s="114" t="str">
        <f t="shared" si="97"/>
        <v/>
      </c>
      <c r="I6875" s="17"/>
      <c r="J6875" s="17"/>
      <c r="K6875" s="17"/>
    </row>
    <row r="6876" spans="1:11" x14ac:dyDescent="0.2">
      <c r="A6876" s="115"/>
      <c r="B6876" s="95"/>
      <c r="C6876" s="94"/>
      <c r="D6876" s="95"/>
      <c r="E6876" s="95"/>
      <c r="F6876" s="96"/>
      <c r="G6876" s="97"/>
      <c r="H6876" s="114" t="str">
        <f t="shared" si="97"/>
        <v/>
      </c>
      <c r="I6876" s="17"/>
      <c r="J6876" s="17"/>
      <c r="K6876" s="17"/>
    </row>
    <row r="6877" spans="1:11" x14ac:dyDescent="0.2">
      <c r="A6877" s="115"/>
      <c r="B6877" s="95"/>
      <c r="C6877" s="94"/>
      <c r="D6877" s="95"/>
      <c r="E6877" s="95"/>
      <c r="F6877" s="96"/>
      <c r="G6877" s="97"/>
      <c r="H6877" s="114" t="str">
        <f t="shared" si="97"/>
        <v/>
      </c>
      <c r="I6877" s="17"/>
      <c r="J6877" s="17"/>
      <c r="K6877" s="17"/>
    </row>
    <row r="6878" spans="1:11" x14ac:dyDescent="0.2">
      <c r="A6878" s="115"/>
      <c r="B6878" s="95"/>
      <c r="C6878" s="94"/>
      <c r="D6878" s="95"/>
      <c r="E6878" s="95"/>
      <c r="F6878" s="96"/>
      <c r="G6878" s="97"/>
      <c r="H6878" s="114" t="str">
        <f t="shared" si="97"/>
        <v/>
      </c>
      <c r="I6878" s="17"/>
      <c r="J6878" s="17"/>
      <c r="K6878" s="17"/>
    </row>
    <row r="6879" spans="1:11" x14ac:dyDescent="0.2">
      <c r="A6879" s="115"/>
      <c r="B6879" s="95"/>
      <c r="C6879" s="94"/>
      <c r="D6879" s="95"/>
      <c r="E6879" s="95"/>
      <c r="F6879" s="96"/>
      <c r="G6879" s="97"/>
      <c r="H6879" s="114" t="str">
        <f t="shared" si="97"/>
        <v/>
      </c>
      <c r="I6879" s="17"/>
      <c r="J6879" s="17"/>
      <c r="K6879" s="17"/>
    </row>
    <row r="6880" spans="1:11" x14ac:dyDescent="0.2">
      <c r="A6880" s="115"/>
      <c r="B6880" s="95"/>
      <c r="C6880" s="94"/>
      <c r="D6880" s="95"/>
      <c r="E6880" s="95"/>
      <c r="F6880" s="96"/>
      <c r="G6880" s="97"/>
      <c r="H6880" s="114" t="str">
        <f t="shared" si="97"/>
        <v/>
      </c>
      <c r="I6880" s="17"/>
      <c r="J6880" s="17"/>
      <c r="K6880" s="17"/>
    </row>
    <row r="6881" spans="1:11" x14ac:dyDescent="0.2">
      <c r="A6881" s="115"/>
      <c r="B6881" s="95"/>
      <c r="C6881" s="94"/>
      <c r="D6881" s="95"/>
      <c r="E6881" s="95"/>
      <c r="F6881" s="96"/>
      <c r="G6881" s="97"/>
      <c r="H6881" s="114" t="str">
        <f t="shared" si="97"/>
        <v/>
      </c>
      <c r="I6881" s="17"/>
      <c r="J6881" s="17"/>
      <c r="K6881" s="17"/>
    </row>
    <row r="6882" spans="1:11" x14ac:dyDescent="0.2">
      <c r="A6882" s="115"/>
      <c r="B6882" s="95"/>
      <c r="C6882" s="94"/>
      <c r="D6882" s="95"/>
      <c r="E6882" s="95"/>
      <c r="F6882" s="96"/>
      <c r="G6882" s="97"/>
      <c r="H6882" s="114" t="str">
        <f t="shared" si="97"/>
        <v/>
      </c>
      <c r="I6882" s="17"/>
      <c r="J6882" s="17"/>
      <c r="K6882" s="17"/>
    </row>
    <row r="6883" spans="1:11" x14ac:dyDescent="0.2">
      <c r="A6883" s="115"/>
      <c r="B6883" s="95"/>
      <c r="C6883" s="94"/>
      <c r="D6883" s="95"/>
      <c r="E6883" s="95"/>
      <c r="F6883" s="96"/>
      <c r="G6883" s="97"/>
      <c r="H6883" s="114" t="str">
        <f t="shared" si="97"/>
        <v/>
      </c>
      <c r="I6883" s="17"/>
      <c r="J6883" s="17"/>
      <c r="K6883" s="17"/>
    </row>
    <row r="6884" spans="1:11" x14ac:dyDescent="0.2">
      <c r="A6884" s="115"/>
      <c r="B6884" s="95"/>
      <c r="C6884" s="94"/>
      <c r="D6884" s="95"/>
      <c r="E6884" s="95"/>
      <c r="F6884" s="96"/>
      <c r="G6884" s="97"/>
      <c r="H6884" s="114" t="str">
        <f t="shared" si="97"/>
        <v/>
      </c>
      <c r="I6884" s="17"/>
      <c r="J6884" s="17"/>
      <c r="K6884" s="17"/>
    </row>
    <row r="6885" spans="1:11" x14ac:dyDescent="0.2">
      <c r="A6885" s="115"/>
      <c r="B6885" s="95"/>
      <c r="C6885" s="94"/>
      <c r="D6885" s="95"/>
      <c r="E6885" s="95"/>
      <c r="F6885" s="96"/>
      <c r="G6885" s="97"/>
      <c r="H6885" s="114" t="str">
        <f t="shared" si="97"/>
        <v/>
      </c>
      <c r="I6885" s="17"/>
      <c r="J6885" s="17"/>
      <c r="K6885" s="17"/>
    </row>
    <row r="6886" spans="1:11" x14ac:dyDescent="0.2">
      <c r="A6886" s="115"/>
      <c r="B6886" s="95"/>
      <c r="C6886" s="94"/>
      <c r="D6886" s="95"/>
      <c r="E6886" s="95"/>
      <c r="F6886" s="96"/>
      <c r="G6886" s="97"/>
      <c r="H6886" s="114" t="str">
        <f t="shared" si="97"/>
        <v/>
      </c>
      <c r="I6886" s="17"/>
      <c r="J6886" s="17"/>
      <c r="K6886" s="17"/>
    </row>
    <row r="6887" spans="1:11" x14ac:dyDescent="0.2">
      <c r="A6887" s="115"/>
      <c r="B6887" s="95"/>
      <c r="C6887" s="94"/>
      <c r="D6887" s="95"/>
      <c r="E6887" s="95"/>
      <c r="F6887" s="96"/>
      <c r="G6887" s="97"/>
      <c r="H6887" s="114" t="str">
        <f t="shared" si="97"/>
        <v/>
      </c>
      <c r="I6887" s="17"/>
      <c r="J6887" s="17"/>
      <c r="K6887" s="17"/>
    </row>
    <row r="6888" spans="1:11" x14ac:dyDescent="0.2">
      <c r="A6888" s="115"/>
      <c r="B6888" s="95"/>
      <c r="C6888" s="94"/>
      <c r="D6888" s="95"/>
      <c r="E6888" s="95"/>
      <c r="F6888" s="96"/>
      <c r="G6888" s="97"/>
      <c r="H6888" s="114" t="str">
        <f t="shared" si="97"/>
        <v/>
      </c>
      <c r="I6888" s="17"/>
      <c r="J6888" s="17"/>
      <c r="K6888" s="17"/>
    </row>
    <row r="6889" spans="1:11" x14ac:dyDescent="0.2">
      <c r="A6889" s="115"/>
      <c r="B6889" s="95"/>
      <c r="C6889" s="94"/>
      <c r="D6889" s="95"/>
      <c r="E6889" s="95"/>
      <c r="F6889" s="96"/>
      <c r="G6889" s="97"/>
      <c r="H6889" s="114" t="str">
        <f t="shared" si="97"/>
        <v/>
      </c>
      <c r="I6889" s="17"/>
      <c r="J6889" s="17"/>
      <c r="K6889" s="17"/>
    </row>
    <row r="6890" spans="1:11" x14ac:dyDescent="0.2">
      <c r="A6890" s="115"/>
      <c r="B6890" s="95"/>
      <c r="C6890" s="94"/>
      <c r="D6890" s="95"/>
      <c r="E6890" s="95"/>
      <c r="F6890" s="96"/>
      <c r="G6890" s="97"/>
      <c r="H6890" s="114" t="str">
        <f t="shared" si="97"/>
        <v/>
      </c>
      <c r="I6890" s="17"/>
      <c r="J6890" s="17"/>
      <c r="K6890" s="17"/>
    </row>
    <row r="6891" spans="1:11" x14ac:dyDescent="0.2">
      <c r="A6891" s="115"/>
      <c r="B6891" s="95"/>
      <c r="C6891" s="94"/>
      <c r="D6891" s="95"/>
      <c r="E6891" s="95"/>
      <c r="F6891" s="96"/>
      <c r="G6891" s="97"/>
      <c r="H6891" s="114" t="str">
        <f t="shared" si="97"/>
        <v/>
      </c>
      <c r="I6891" s="17"/>
      <c r="J6891" s="17"/>
      <c r="K6891" s="17"/>
    </row>
    <row r="6892" spans="1:11" x14ac:dyDescent="0.2">
      <c r="A6892" s="115"/>
      <c r="B6892" s="95"/>
      <c r="C6892" s="94"/>
      <c r="D6892" s="95"/>
      <c r="E6892" s="95"/>
      <c r="F6892" s="96"/>
      <c r="G6892" s="97"/>
      <c r="H6892" s="114" t="str">
        <f t="shared" si="97"/>
        <v/>
      </c>
      <c r="I6892" s="17"/>
      <c r="J6892" s="17"/>
      <c r="K6892" s="17"/>
    </row>
    <row r="6893" spans="1:11" x14ac:dyDescent="0.2">
      <c r="A6893" s="115"/>
      <c r="B6893" s="95"/>
      <c r="C6893" s="94"/>
      <c r="D6893" s="95"/>
      <c r="E6893" s="95"/>
      <c r="F6893" s="96"/>
      <c r="G6893" s="97"/>
      <c r="H6893" s="114" t="str">
        <f t="shared" si="97"/>
        <v/>
      </c>
      <c r="I6893" s="17"/>
      <c r="J6893" s="17"/>
      <c r="K6893" s="17"/>
    </row>
    <row r="6894" spans="1:11" x14ac:dyDescent="0.2">
      <c r="A6894" s="115"/>
      <c r="B6894" s="95"/>
      <c r="C6894" s="94"/>
      <c r="D6894" s="95"/>
      <c r="E6894" s="95"/>
      <c r="F6894" s="96"/>
      <c r="G6894" s="97"/>
      <c r="H6894" s="114" t="str">
        <f t="shared" si="97"/>
        <v/>
      </c>
      <c r="I6894" s="17"/>
      <c r="J6894" s="17"/>
      <c r="K6894" s="17"/>
    </row>
    <row r="6895" spans="1:11" x14ac:dyDescent="0.2">
      <c r="A6895" s="115"/>
      <c r="B6895" s="95"/>
      <c r="C6895" s="94"/>
      <c r="D6895" s="95"/>
      <c r="E6895" s="95"/>
      <c r="F6895" s="96"/>
      <c r="G6895" s="97"/>
      <c r="H6895" s="114" t="str">
        <f t="shared" si="97"/>
        <v/>
      </c>
      <c r="I6895" s="17"/>
      <c r="J6895" s="17"/>
      <c r="K6895" s="17"/>
    </row>
    <row r="6896" spans="1:11" x14ac:dyDescent="0.2">
      <c r="A6896" s="115"/>
      <c r="B6896" s="95"/>
      <c r="C6896" s="94"/>
      <c r="D6896" s="95"/>
      <c r="E6896" s="95"/>
      <c r="F6896" s="96"/>
      <c r="G6896" s="97"/>
      <c r="H6896" s="114" t="str">
        <f t="shared" si="97"/>
        <v/>
      </c>
      <c r="I6896" s="17"/>
      <c r="J6896" s="17"/>
      <c r="K6896" s="17"/>
    </row>
    <row r="6897" spans="1:11" x14ac:dyDescent="0.2">
      <c r="A6897" s="115"/>
      <c r="B6897" s="95"/>
      <c r="C6897" s="94"/>
      <c r="D6897" s="95"/>
      <c r="E6897" s="95"/>
      <c r="F6897" s="96"/>
      <c r="G6897" s="97"/>
      <c r="H6897" s="114" t="str">
        <f t="shared" si="97"/>
        <v/>
      </c>
      <c r="I6897" s="17"/>
      <c r="J6897" s="17"/>
      <c r="K6897" s="17"/>
    </row>
    <row r="6898" spans="1:11" x14ac:dyDescent="0.2">
      <c r="A6898" s="115"/>
      <c r="B6898" s="95"/>
      <c r="C6898" s="94"/>
      <c r="D6898" s="95"/>
      <c r="E6898" s="95"/>
      <c r="F6898" s="96"/>
      <c r="G6898" s="97"/>
      <c r="H6898" s="114" t="str">
        <f t="shared" si="97"/>
        <v/>
      </c>
      <c r="I6898" s="17"/>
      <c r="J6898" s="17"/>
      <c r="K6898" s="17"/>
    </row>
    <row r="6899" spans="1:11" x14ac:dyDescent="0.2">
      <c r="A6899" s="115"/>
      <c r="B6899" s="95"/>
      <c r="C6899" s="94"/>
      <c r="D6899" s="95"/>
      <c r="E6899" s="95"/>
      <c r="F6899" s="96"/>
      <c r="G6899" s="97"/>
      <c r="H6899" s="114" t="str">
        <f t="shared" si="97"/>
        <v/>
      </c>
      <c r="I6899" s="17"/>
      <c r="J6899" s="17"/>
      <c r="K6899" s="17"/>
    </row>
    <row r="6900" spans="1:11" x14ac:dyDescent="0.2">
      <c r="A6900" s="115"/>
      <c r="B6900" s="95"/>
      <c r="C6900" s="94"/>
      <c r="D6900" s="95"/>
      <c r="E6900" s="95"/>
      <c r="F6900" s="96"/>
      <c r="G6900" s="97"/>
      <c r="H6900" s="114" t="str">
        <f t="shared" si="97"/>
        <v/>
      </c>
      <c r="I6900" s="17"/>
      <c r="J6900" s="17"/>
      <c r="K6900" s="17"/>
    </row>
    <row r="6901" spans="1:11" x14ac:dyDescent="0.2">
      <c r="A6901" s="115"/>
      <c r="B6901" s="95"/>
      <c r="C6901" s="94"/>
      <c r="D6901" s="95"/>
      <c r="E6901" s="95"/>
      <c r="F6901" s="96"/>
      <c r="G6901" s="97"/>
      <c r="H6901" s="114" t="str">
        <f t="shared" si="97"/>
        <v/>
      </c>
      <c r="I6901" s="17"/>
      <c r="J6901" s="17"/>
      <c r="K6901" s="17"/>
    </row>
    <row r="6902" spans="1:11" x14ac:dyDescent="0.2">
      <c r="A6902" s="115"/>
      <c r="B6902" s="95"/>
      <c r="C6902" s="94"/>
      <c r="D6902" s="95"/>
      <c r="E6902" s="95"/>
      <c r="F6902" s="96"/>
      <c r="G6902" s="97"/>
      <c r="H6902" s="114" t="str">
        <f t="shared" si="97"/>
        <v/>
      </c>
      <c r="I6902" s="17"/>
      <c r="J6902" s="17"/>
      <c r="K6902" s="17"/>
    </row>
    <row r="6903" spans="1:11" x14ac:dyDescent="0.2">
      <c r="A6903" s="115"/>
      <c r="B6903" s="95"/>
      <c r="C6903" s="94"/>
      <c r="D6903" s="95"/>
      <c r="E6903" s="95"/>
      <c r="F6903" s="96"/>
      <c r="G6903" s="97"/>
      <c r="H6903" s="114" t="str">
        <f t="shared" si="97"/>
        <v/>
      </c>
      <c r="I6903" s="17"/>
      <c r="J6903" s="17"/>
      <c r="K6903" s="17"/>
    </row>
    <row r="6904" spans="1:11" x14ac:dyDescent="0.2">
      <c r="A6904" s="115"/>
      <c r="B6904" s="95"/>
      <c r="C6904" s="94"/>
      <c r="D6904" s="95"/>
      <c r="E6904" s="95"/>
      <c r="F6904" s="96"/>
      <c r="G6904" s="97"/>
      <c r="H6904" s="114" t="str">
        <f t="shared" si="97"/>
        <v/>
      </c>
      <c r="I6904" s="17"/>
      <c r="J6904" s="17"/>
      <c r="K6904" s="17"/>
    </row>
    <row r="6905" spans="1:11" x14ac:dyDescent="0.2">
      <c r="A6905" s="115"/>
      <c r="B6905" s="95"/>
      <c r="C6905" s="94"/>
      <c r="D6905" s="95"/>
      <c r="E6905" s="95"/>
      <c r="F6905" s="96"/>
      <c r="G6905" s="97"/>
      <c r="H6905" s="114" t="str">
        <f t="shared" si="97"/>
        <v/>
      </c>
      <c r="I6905" s="17"/>
      <c r="J6905" s="17"/>
      <c r="K6905" s="17"/>
    </row>
    <row r="6906" spans="1:11" x14ac:dyDescent="0.2">
      <c r="A6906" s="115"/>
      <c r="B6906" s="95"/>
      <c r="C6906" s="94"/>
      <c r="D6906" s="95"/>
      <c r="E6906" s="95"/>
      <c r="F6906" s="96"/>
      <c r="G6906" s="97"/>
      <c r="H6906" s="114" t="str">
        <f t="shared" si="97"/>
        <v/>
      </c>
      <c r="I6906" s="17"/>
      <c r="J6906" s="17"/>
      <c r="K6906" s="17"/>
    </row>
    <row r="6907" spans="1:11" x14ac:dyDescent="0.2">
      <c r="A6907" s="115"/>
      <c r="B6907" s="95"/>
      <c r="C6907" s="94"/>
      <c r="D6907" s="95"/>
      <c r="E6907" s="95"/>
      <c r="F6907" s="96"/>
      <c r="G6907" s="97"/>
      <c r="H6907" s="114" t="str">
        <f t="shared" si="97"/>
        <v/>
      </c>
      <c r="I6907" s="17"/>
      <c r="J6907" s="17"/>
      <c r="K6907" s="17"/>
    </row>
    <row r="6908" spans="1:11" x14ac:dyDescent="0.2">
      <c r="A6908" s="115"/>
      <c r="B6908" s="95"/>
      <c r="C6908" s="94"/>
      <c r="D6908" s="95"/>
      <c r="E6908" s="95"/>
      <c r="F6908" s="96"/>
      <c r="G6908" s="97"/>
      <c r="H6908" s="114" t="str">
        <f t="shared" si="97"/>
        <v/>
      </c>
      <c r="I6908" s="17"/>
      <c r="J6908" s="17"/>
      <c r="K6908" s="17"/>
    </row>
    <row r="6909" spans="1:11" x14ac:dyDescent="0.2">
      <c r="A6909" s="115"/>
      <c r="B6909" s="95"/>
      <c r="C6909" s="94"/>
      <c r="D6909" s="95"/>
      <c r="E6909" s="95"/>
      <c r="F6909" s="96"/>
      <c r="G6909" s="97"/>
      <c r="H6909" s="114" t="str">
        <f t="shared" si="97"/>
        <v/>
      </c>
      <c r="I6909" s="17"/>
      <c r="J6909" s="17"/>
      <c r="K6909" s="17"/>
    </row>
    <row r="6910" spans="1:11" x14ac:dyDescent="0.2">
      <c r="A6910" s="115"/>
      <c r="B6910" s="95"/>
      <c r="C6910" s="94"/>
      <c r="D6910" s="95"/>
      <c r="E6910" s="95"/>
      <c r="F6910" s="96"/>
      <c r="G6910" s="97"/>
      <c r="H6910" s="114" t="str">
        <f t="shared" si="97"/>
        <v/>
      </c>
      <c r="I6910" s="17"/>
      <c r="J6910" s="17"/>
      <c r="K6910" s="17"/>
    </row>
    <row r="6911" spans="1:11" x14ac:dyDescent="0.2">
      <c r="A6911" s="115"/>
      <c r="B6911" s="95"/>
      <c r="C6911" s="94"/>
      <c r="D6911" s="95"/>
      <c r="E6911" s="95"/>
      <c r="F6911" s="96"/>
      <c r="G6911" s="97"/>
      <c r="H6911" s="114" t="str">
        <f t="shared" si="97"/>
        <v/>
      </c>
      <c r="I6911" s="17"/>
      <c r="J6911" s="17"/>
      <c r="K6911" s="17"/>
    </row>
    <row r="6912" spans="1:11" x14ac:dyDescent="0.2">
      <c r="A6912" s="115"/>
      <c r="B6912" s="95"/>
      <c r="C6912" s="94"/>
      <c r="D6912" s="95"/>
      <c r="E6912" s="95"/>
      <c r="F6912" s="96"/>
      <c r="G6912" s="97"/>
      <c r="H6912" s="114" t="str">
        <f t="shared" si="97"/>
        <v/>
      </c>
      <c r="I6912" s="17"/>
      <c r="J6912" s="17"/>
      <c r="K6912" s="17"/>
    </row>
    <row r="6913" spans="1:11" x14ac:dyDescent="0.2">
      <c r="A6913" s="115"/>
      <c r="B6913" s="95"/>
      <c r="C6913" s="94"/>
      <c r="D6913" s="95"/>
      <c r="E6913" s="95"/>
      <c r="F6913" s="96"/>
      <c r="G6913" s="97"/>
      <c r="H6913" s="114" t="str">
        <f t="shared" si="97"/>
        <v/>
      </c>
      <c r="I6913" s="17"/>
      <c r="J6913" s="17"/>
      <c r="K6913" s="17"/>
    </row>
    <row r="6914" spans="1:11" x14ac:dyDescent="0.2">
      <c r="A6914" s="115"/>
      <c r="B6914" s="95"/>
      <c r="C6914" s="94"/>
      <c r="D6914" s="95"/>
      <c r="E6914" s="95"/>
      <c r="F6914" s="96"/>
      <c r="G6914" s="97"/>
      <c r="H6914" s="114" t="str">
        <f t="shared" si="97"/>
        <v/>
      </c>
      <c r="I6914" s="17"/>
      <c r="J6914" s="17"/>
      <c r="K6914" s="17"/>
    </row>
    <row r="6915" spans="1:11" x14ac:dyDescent="0.2">
      <c r="A6915" s="115"/>
      <c r="B6915" s="95"/>
      <c r="C6915" s="94"/>
      <c r="D6915" s="95"/>
      <c r="E6915" s="95"/>
      <c r="F6915" s="96"/>
      <c r="G6915" s="97"/>
      <c r="H6915" s="114" t="str">
        <f t="shared" si="97"/>
        <v/>
      </c>
      <c r="I6915" s="17"/>
      <c r="J6915" s="17"/>
      <c r="K6915" s="17"/>
    </row>
    <row r="6916" spans="1:11" x14ac:dyDescent="0.2">
      <c r="A6916" s="115"/>
      <c r="B6916" s="95"/>
      <c r="C6916" s="94"/>
      <c r="D6916" s="95"/>
      <c r="E6916" s="95"/>
      <c r="F6916" s="96"/>
      <c r="G6916" s="97"/>
      <c r="H6916" s="114" t="str">
        <f t="shared" ref="H6916:H6979" si="98">IF(A6916&lt;&gt;"", EOMONTH(A6916, -1) + 1, "")</f>
        <v/>
      </c>
      <c r="I6916" s="17"/>
      <c r="J6916" s="17"/>
      <c r="K6916" s="17"/>
    </row>
    <row r="6917" spans="1:11" x14ac:dyDescent="0.2">
      <c r="A6917" s="115"/>
      <c r="B6917" s="95"/>
      <c r="C6917" s="94"/>
      <c r="D6917" s="95"/>
      <c r="E6917" s="95"/>
      <c r="F6917" s="96"/>
      <c r="G6917" s="97"/>
      <c r="H6917" s="114" t="str">
        <f t="shared" si="98"/>
        <v/>
      </c>
      <c r="I6917" s="17"/>
      <c r="J6917" s="17"/>
      <c r="K6917" s="17"/>
    </row>
    <row r="6918" spans="1:11" x14ac:dyDescent="0.2">
      <c r="A6918" s="115"/>
      <c r="B6918" s="95"/>
      <c r="C6918" s="94"/>
      <c r="D6918" s="95"/>
      <c r="E6918" s="95"/>
      <c r="F6918" s="96"/>
      <c r="G6918" s="97"/>
      <c r="H6918" s="114" t="str">
        <f t="shared" si="98"/>
        <v/>
      </c>
      <c r="I6918" s="17"/>
      <c r="J6918" s="17"/>
      <c r="K6918" s="17"/>
    </row>
    <row r="6919" spans="1:11" x14ac:dyDescent="0.2">
      <c r="A6919" s="115"/>
      <c r="B6919" s="95"/>
      <c r="C6919" s="94"/>
      <c r="D6919" s="95"/>
      <c r="E6919" s="95"/>
      <c r="F6919" s="96"/>
      <c r="G6919" s="97"/>
      <c r="H6919" s="114" t="str">
        <f t="shared" si="98"/>
        <v/>
      </c>
      <c r="I6919" s="17"/>
      <c r="J6919" s="17"/>
      <c r="K6919" s="17"/>
    </row>
    <row r="6920" spans="1:11" x14ac:dyDescent="0.2">
      <c r="A6920" s="115"/>
      <c r="B6920" s="95"/>
      <c r="C6920" s="94"/>
      <c r="D6920" s="95"/>
      <c r="E6920" s="95"/>
      <c r="F6920" s="96"/>
      <c r="G6920" s="97"/>
      <c r="H6920" s="114" t="str">
        <f t="shared" si="98"/>
        <v/>
      </c>
      <c r="I6920" s="17"/>
      <c r="J6920" s="17"/>
      <c r="K6920" s="17"/>
    </row>
    <row r="6921" spans="1:11" x14ac:dyDescent="0.2">
      <c r="A6921" s="115"/>
      <c r="B6921" s="95"/>
      <c r="C6921" s="94"/>
      <c r="D6921" s="95"/>
      <c r="E6921" s="95"/>
      <c r="F6921" s="96"/>
      <c r="G6921" s="97"/>
      <c r="H6921" s="114" t="str">
        <f t="shared" si="98"/>
        <v/>
      </c>
      <c r="I6921" s="17"/>
      <c r="J6921" s="17"/>
      <c r="K6921" s="17"/>
    </row>
    <row r="6922" spans="1:11" x14ac:dyDescent="0.2">
      <c r="A6922" s="115"/>
      <c r="B6922" s="95"/>
      <c r="C6922" s="94"/>
      <c r="D6922" s="95"/>
      <c r="E6922" s="95"/>
      <c r="F6922" s="96"/>
      <c r="G6922" s="97"/>
      <c r="H6922" s="114" t="str">
        <f t="shared" si="98"/>
        <v/>
      </c>
      <c r="I6922" s="17"/>
      <c r="J6922" s="17"/>
      <c r="K6922" s="17"/>
    </row>
    <row r="6923" spans="1:11" x14ac:dyDescent="0.2">
      <c r="A6923" s="115"/>
      <c r="B6923" s="95"/>
      <c r="C6923" s="94"/>
      <c r="D6923" s="95"/>
      <c r="E6923" s="95"/>
      <c r="F6923" s="96"/>
      <c r="G6923" s="97"/>
      <c r="H6923" s="114" t="str">
        <f t="shared" si="98"/>
        <v/>
      </c>
      <c r="I6923" s="17"/>
      <c r="J6923" s="17"/>
      <c r="K6923" s="17"/>
    </row>
    <row r="6924" spans="1:11" x14ac:dyDescent="0.2">
      <c r="A6924" s="115"/>
      <c r="B6924" s="95"/>
      <c r="C6924" s="94"/>
      <c r="D6924" s="95"/>
      <c r="E6924" s="95"/>
      <c r="F6924" s="96"/>
      <c r="G6924" s="97"/>
      <c r="H6924" s="114" t="str">
        <f t="shared" si="98"/>
        <v/>
      </c>
      <c r="I6924" s="17"/>
      <c r="J6924" s="17"/>
      <c r="K6924" s="17"/>
    </row>
    <row r="6925" spans="1:11" x14ac:dyDescent="0.2">
      <c r="A6925" s="115"/>
      <c r="B6925" s="95"/>
      <c r="C6925" s="94"/>
      <c r="D6925" s="95"/>
      <c r="E6925" s="95"/>
      <c r="F6925" s="96"/>
      <c r="G6925" s="97"/>
      <c r="H6925" s="114" t="str">
        <f t="shared" si="98"/>
        <v/>
      </c>
      <c r="I6925" s="17"/>
      <c r="J6925" s="17"/>
      <c r="K6925" s="17"/>
    </row>
    <row r="6926" spans="1:11" x14ac:dyDescent="0.2">
      <c r="A6926" s="115"/>
      <c r="B6926" s="95"/>
      <c r="C6926" s="94"/>
      <c r="D6926" s="95"/>
      <c r="E6926" s="95"/>
      <c r="F6926" s="96"/>
      <c r="G6926" s="97"/>
      <c r="H6926" s="114" t="str">
        <f t="shared" si="98"/>
        <v/>
      </c>
      <c r="I6926" s="17"/>
      <c r="J6926" s="17"/>
      <c r="K6926" s="17"/>
    </row>
    <row r="6927" spans="1:11" x14ac:dyDescent="0.2">
      <c r="A6927" s="115"/>
      <c r="B6927" s="95"/>
      <c r="C6927" s="94"/>
      <c r="D6927" s="95"/>
      <c r="E6927" s="95"/>
      <c r="F6927" s="96"/>
      <c r="G6927" s="97"/>
      <c r="H6927" s="114" t="str">
        <f t="shared" si="98"/>
        <v/>
      </c>
      <c r="I6927" s="17"/>
      <c r="J6927" s="17"/>
      <c r="K6927" s="17"/>
    </row>
    <row r="6928" spans="1:11" x14ac:dyDescent="0.2">
      <c r="A6928" s="115"/>
      <c r="B6928" s="95"/>
      <c r="C6928" s="94"/>
      <c r="D6928" s="95"/>
      <c r="E6928" s="95"/>
      <c r="F6928" s="96"/>
      <c r="G6928" s="97"/>
      <c r="H6928" s="114" t="str">
        <f t="shared" si="98"/>
        <v/>
      </c>
      <c r="I6928" s="17"/>
      <c r="J6928" s="17"/>
      <c r="K6928" s="17"/>
    </row>
    <row r="6929" spans="1:11" x14ac:dyDescent="0.2">
      <c r="A6929" s="115"/>
      <c r="B6929" s="95"/>
      <c r="C6929" s="94"/>
      <c r="D6929" s="95"/>
      <c r="E6929" s="95"/>
      <c r="F6929" s="96"/>
      <c r="G6929" s="97"/>
      <c r="H6929" s="114" t="str">
        <f t="shared" si="98"/>
        <v/>
      </c>
      <c r="I6929" s="17"/>
      <c r="J6929" s="17"/>
      <c r="K6929" s="17"/>
    </row>
    <row r="6930" spans="1:11" x14ac:dyDescent="0.2">
      <c r="A6930" s="115"/>
      <c r="B6930" s="95"/>
      <c r="C6930" s="94"/>
      <c r="D6930" s="95"/>
      <c r="E6930" s="95"/>
      <c r="F6930" s="96"/>
      <c r="G6930" s="97"/>
      <c r="H6930" s="114" t="str">
        <f t="shared" si="98"/>
        <v/>
      </c>
      <c r="I6930" s="17"/>
      <c r="J6930" s="17"/>
      <c r="K6930" s="17"/>
    </row>
    <row r="6931" spans="1:11" x14ac:dyDescent="0.2">
      <c r="A6931" s="115"/>
      <c r="B6931" s="95"/>
      <c r="C6931" s="94"/>
      <c r="D6931" s="95"/>
      <c r="E6931" s="95"/>
      <c r="F6931" s="96"/>
      <c r="G6931" s="97"/>
      <c r="H6931" s="114" t="str">
        <f t="shared" si="98"/>
        <v/>
      </c>
      <c r="I6931" s="17"/>
      <c r="J6931" s="17"/>
      <c r="K6931" s="17"/>
    </row>
    <row r="6932" spans="1:11" x14ac:dyDescent="0.2">
      <c r="A6932" s="115"/>
      <c r="B6932" s="95"/>
      <c r="C6932" s="94"/>
      <c r="D6932" s="95"/>
      <c r="E6932" s="95"/>
      <c r="F6932" s="96"/>
      <c r="G6932" s="97"/>
      <c r="H6932" s="114" t="str">
        <f t="shared" si="98"/>
        <v/>
      </c>
      <c r="I6932" s="17"/>
      <c r="J6932" s="17"/>
      <c r="K6932" s="17"/>
    </row>
    <row r="6933" spans="1:11" x14ac:dyDescent="0.2">
      <c r="A6933" s="115"/>
      <c r="B6933" s="95"/>
      <c r="C6933" s="94"/>
      <c r="D6933" s="95"/>
      <c r="E6933" s="95"/>
      <c r="F6933" s="96"/>
      <c r="G6933" s="97"/>
      <c r="H6933" s="114" t="str">
        <f t="shared" si="98"/>
        <v/>
      </c>
      <c r="I6933" s="17"/>
      <c r="J6933" s="17"/>
      <c r="K6933" s="17"/>
    </row>
    <row r="6934" spans="1:11" x14ac:dyDescent="0.2">
      <c r="A6934" s="115"/>
      <c r="B6934" s="95"/>
      <c r="C6934" s="94"/>
      <c r="D6934" s="95"/>
      <c r="E6934" s="95"/>
      <c r="F6934" s="96"/>
      <c r="G6934" s="97"/>
      <c r="H6934" s="114" t="str">
        <f t="shared" si="98"/>
        <v/>
      </c>
      <c r="I6934" s="17"/>
      <c r="J6934" s="17"/>
      <c r="K6934" s="17"/>
    </row>
    <row r="6935" spans="1:11" x14ac:dyDescent="0.2">
      <c r="A6935" s="115"/>
      <c r="B6935" s="95"/>
      <c r="C6935" s="94"/>
      <c r="D6935" s="95"/>
      <c r="E6935" s="95"/>
      <c r="F6935" s="96"/>
      <c r="G6935" s="97"/>
      <c r="H6935" s="114" t="str">
        <f t="shared" si="98"/>
        <v/>
      </c>
      <c r="I6935" s="17"/>
      <c r="J6935" s="17"/>
      <c r="K6935" s="17"/>
    </row>
    <row r="6936" spans="1:11" x14ac:dyDescent="0.2">
      <c r="A6936" s="115"/>
      <c r="B6936" s="95"/>
      <c r="C6936" s="94"/>
      <c r="D6936" s="95"/>
      <c r="E6936" s="95"/>
      <c r="F6936" s="96"/>
      <c r="G6936" s="97"/>
      <c r="H6936" s="114" t="str">
        <f t="shared" si="98"/>
        <v/>
      </c>
      <c r="I6936" s="17"/>
      <c r="J6936" s="17"/>
      <c r="K6936" s="17"/>
    </row>
    <row r="6937" spans="1:11" x14ac:dyDescent="0.2">
      <c r="A6937" s="115"/>
      <c r="B6937" s="95"/>
      <c r="C6937" s="94"/>
      <c r="D6937" s="95"/>
      <c r="E6937" s="95"/>
      <c r="F6937" s="96"/>
      <c r="G6937" s="97"/>
      <c r="H6937" s="114" t="str">
        <f t="shared" si="98"/>
        <v/>
      </c>
      <c r="I6937" s="17"/>
      <c r="J6937" s="17"/>
      <c r="K6937" s="17"/>
    </row>
    <row r="6938" spans="1:11" x14ac:dyDescent="0.2">
      <c r="A6938" s="115"/>
      <c r="B6938" s="95"/>
      <c r="C6938" s="94"/>
      <c r="D6938" s="95"/>
      <c r="E6938" s="95"/>
      <c r="F6938" s="96"/>
      <c r="G6938" s="97"/>
      <c r="H6938" s="114" t="str">
        <f t="shared" si="98"/>
        <v/>
      </c>
      <c r="I6938" s="17"/>
      <c r="J6938" s="17"/>
      <c r="K6938" s="17"/>
    </row>
    <row r="6939" spans="1:11" x14ac:dyDescent="0.2">
      <c r="A6939" s="115"/>
      <c r="B6939" s="95"/>
      <c r="C6939" s="94"/>
      <c r="D6939" s="95"/>
      <c r="E6939" s="95"/>
      <c r="F6939" s="96"/>
      <c r="G6939" s="97"/>
      <c r="H6939" s="114" t="str">
        <f t="shared" si="98"/>
        <v/>
      </c>
      <c r="I6939" s="17"/>
      <c r="J6939" s="17"/>
      <c r="K6939" s="17"/>
    </row>
    <row r="6940" spans="1:11" x14ac:dyDescent="0.2">
      <c r="A6940" s="115"/>
      <c r="B6940" s="95"/>
      <c r="C6940" s="94"/>
      <c r="D6940" s="95"/>
      <c r="E6940" s="95"/>
      <c r="F6940" s="96"/>
      <c r="G6940" s="97"/>
      <c r="H6940" s="114" t="str">
        <f t="shared" si="98"/>
        <v/>
      </c>
      <c r="I6940" s="17"/>
      <c r="J6940" s="17"/>
      <c r="K6940" s="17"/>
    </row>
    <row r="6941" spans="1:11" x14ac:dyDescent="0.2">
      <c r="A6941" s="115"/>
      <c r="B6941" s="95"/>
      <c r="C6941" s="94"/>
      <c r="D6941" s="95"/>
      <c r="E6941" s="95"/>
      <c r="F6941" s="96"/>
      <c r="G6941" s="97"/>
      <c r="H6941" s="114" t="str">
        <f t="shared" si="98"/>
        <v/>
      </c>
      <c r="I6941" s="17"/>
      <c r="J6941" s="17"/>
      <c r="K6941" s="17"/>
    </row>
    <row r="6942" spans="1:11" x14ac:dyDescent="0.2">
      <c r="A6942" s="115"/>
      <c r="B6942" s="95"/>
      <c r="C6942" s="94"/>
      <c r="D6942" s="95"/>
      <c r="E6942" s="95"/>
      <c r="F6942" s="96"/>
      <c r="G6942" s="97"/>
      <c r="H6942" s="114" t="str">
        <f t="shared" si="98"/>
        <v/>
      </c>
      <c r="I6942" s="17"/>
      <c r="J6942" s="17"/>
      <c r="K6942" s="17"/>
    </row>
    <row r="6943" spans="1:11" x14ac:dyDescent="0.2">
      <c r="A6943" s="115"/>
      <c r="B6943" s="95"/>
      <c r="C6943" s="94"/>
      <c r="D6943" s="95"/>
      <c r="E6943" s="95"/>
      <c r="F6943" s="96"/>
      <c r="G6943" s="97"/>
      <c r="H6943" s="114" t="str">
        <f t="shared" si="98"/>
        <v/>
      </c>
      <c r="I6943" s="17"/>
      <c r="J6943" s="17"/>
      <c r="K6943" s="17"/>
    </row>
    <row r="6944" spans="1:11" x14ac:dyDescent="0.2">
      <c r="A6944" s="115"/>
      <c r="B6944" s="95"/>
      <c r="C6944" s="94"/>
      <c r="D6944" s="95"/>
      <c r="E6944" s="95"/>
      <c r="F6944" s="96"/>
      <c r="G6944" s="97"/>
      <c r="H6944" s="114" t="str">
        <f t="shared" si="98"/>
        <v/>
      </c>
      <c r="I6944" s="17"/>
      <c r="J6944" s="17"/>
      <c r="K6944" s="17"/>
    </row>
    <row r="6945" spans="1:11" x14ac:dyDescent="0.2">
      <c r="A6945" s="115"/>
      <c r="B6945" s="95"/>
      <c r="C6945" s="94"/>
      <c r="D6945" s="95"/>
      <c r="E6945" s="95"/>
      <c r="F6945" s="96"/>
      <c r="G6945" s="97"/>
      <c r="H6945" s="114" t="str">
        <f t="shared" si="98"/>
        <v/>
      </c>
      <c r="I6945" s="17"/>
      <c r="J6945" s="17"/>
      <c r="K6945" s="17"/>
    </row>
    <row r="6946" spans="1:11" x14ac:dyDescent="0.2">
      <c r="A6946" s="115"/>
      <c r="B6946" s="95"/>
      <c r="C6946" s="94"/>
      <c r="D6946" s="95"/>
      <c r="E6946" s="95"/>
      <c r="F6946" s="96"/>
      <c r="G6946" s="97"/>
      <c r="H6946" s="114" t="str">
        <f t="shared" si="98"/>
        <v/>
      </c>
      <c r="I6946" s="17"/>
      <c r="J6946" s="17"/>
      <c r="K6946" s="17"/>
    </row>
    <row r="6947" spans="1:11" x14ac:dyDescent="0.2">
      <c r="A6947" s="115"/>
      <c r="B6947" s="95"/>
      <c r="C6947" s="94"/>
      <c r="D6947" s="95"/>
      <c r="E6947" s="95"/>
      <c r="F6947" s="96"/>
      <c r="G6947" s="97"/>
      <c r="H6947" s="114" t="str">
        <f t="shared" si="98"/>
        <v/>
      </c>
      <c r="I6947" s="17"/>
      <c r="J6947" s="17"/>
      <c r="K6947" s="17"/>
    </row>
    <row r="6948" spans="1:11" x14ac:dyDescent="0.2">
      <c r="A6948" s="115"/>
      <c r="B6948" s="95"/>
      <c r="C6948" s="94"/>
      <c r="D6948" s="95"/>
      <c r="E6948" s="95"/>
      <c r="F6948" s="96"/>
      <c r="G6948" s="97"/>
      <c r="H6948" s="114" t="str">
        <f t="shared" si="98"/>
        <v/>
      </c>
      <c r="I6948" s="17"/>
      <c r="J6948" s="17"/>
      <c r="K6948" s="17"/>
    </row>
    <row r="6949" spans="1:11" x14ac:dyDescent="0.2">
      <c r="A6949" s="115"/>
      <c r="B6949" s="95"/>
      <c r="C6949" s="94"/>
      <c r="D6949" s="95"/>
      <c r="E6949" s="95"/>
      <c r="F6949" s="96"/>
      <c r="G6949" s="97"/>
      <c r="H6949" s="114" t="str">
        <f t="shared" si="98"/>
        <v/>
      </c>
      <c r="I6949" s="17"/>
      <c r="J6949" s="17"/>
      <c r="K6949" s="17"/>
    </row>
    <row r="6950" spans="1:11" x14ac:dyDescent="0.2">
      <c r="A6950" s="115"/>
      <c r="B6950" s="95"/>
      <c r="C6950" s="94"/>
      <c r="D6950" s="95"/>
      <c r="E6950" s="95"/>
      <c r="F6950" s="96"/>
      <c r="G6950" s="97"/>
      <c r="H6950" s="114" t="str">
        <f t="shared" si="98"/>
        <v/>
      </c>
      <c r="I6950" s="17"/>
      <c r="J6950" s="17"/>
      <c r="K6950" s="17"/>
    </row>
    <row r="6951" spans="1:11" x14ac:dyDescent="0.2">
      <c r="A6951" s="115"/>
      <c r="B6951" s="95"/>
      <c r="C6951" s="94"/>
      <c r="D6951" s="95"/>
      <c r="E6951" s="95"/>
      <c r="F6951" s="96"/>
      <c r="G6951" s="97"/>
      <c r="H6951" s="114" t="str">
        <f t="shared" si="98"/>
        <v/>
      </c>
      <c r="I6951" s="17"/>
      <c r="J6951" s="17"/>
      <c r="K6951" s="17"/>
    </row>
    <row r="6952" spans="1:11" x14ac:dyDescent="0.2">
      <c r="A6952" s="115"/>
      <c r="B6952" s="95"/>
      <c r="C6952" s="94"/>
      <c r="D6952" s="95"/>
      <c r="E6952" s="95"/>
      <c r="F6952" s="96"/>
      <c r="G6952" s="97"/>
      <c r="H6952" s="114" t="str">
        <f t="shared" si="98"/>
        <v/>
      </c>
      <c r="I6952" s="17"/>
      <c r="J6952" s="17"/>
      <c r="K6952" s="17"/>
    </row>
    <row r="6953" spans="1:11" x14ac:dyDescent="0.2">
      <c r="A6953" s="115"/>
      <c r="B6953" s="95"/>
      <c r="C6953" s="94"/>
      <c r="D6953" s="95"/>
      <c r="E6953" s="95"/>
      <c r="F6953" s="96"/>
      <c r="G6953" s="97"/>
      <c r="H6953" s="114" t="str">
        <f t="shared" si="98"/>
        <v/>
      </c>
      <c r="I6953" s="17"/>
      <c r="J6953" s="17"/>
      <c r="K6953" s="17"/>
    </row>
    <row r="6954" spans="1:11" x14ac:dyDescent="0.2">
      <c r="A6954" s="115"/>
      <c r="B6954" s="95"/>
      <c r="C6954" s="94"/>
      <c r="D6954" s="95"/>
      <c r="E6954" s="95"/>
      <c r="F6954" s="96"/>
      <c r="G6954" s="97"/>
      <c r="H6954" s="114" t="str">
        <f t="shared" si="98"/>
        <v/>
      </c>
      <c r="I6954" s="17"/>
      <c r="J6954" s="17"/>
      <c r="K6954" s="17"/>
    </row>
    <row r="6955" spans="1:11" x14ac:dyDescent="0.2">
      <c r="A6955" s="115"/>
      <c r="B6955" s="95"/>
      <c r="C6955" s="94"/>
      <c r="D6955" s="95"/>
      <c r="E6955" s="95"/>
      <c r="F6955" s="96"/>
      <c r="G6955" s="97"/>
      <c r="H6955" s="114" t="str">
        <f t="shared" si="98"/>
        <v/>
      </c>
      <c r="I6955" s="17"/>
      <c r="J6955" s="17"/>
      <c r="K6955" s="17"/>
    </row>
    <row r="6956" spans="1:11" x14ac:dyDescent="0.2">
      <c r="A6956" s="115"/>
      <c r="B6956" s="95"/>
      <c r="C6956" s="94"/>
      <c r="D6956" s="95"/>
      <c r="E6956" s="95"/>
      <c r="F6956" s="96"/>
      <c r="G6956" s="97"/>
      <c r="H6956" s="114" t="str">
        <f t="shared" si="98"/>
        <v/>
      </c>
      <c r="I6956" s="17"/>
      <c r="J6956" s="17"/>
      <c r="K6956" s="17"/>
    </row>
    <row r="6957" spans="1:11" x14ac:dyDescent="0.2">
      <c r="A6957" s="115"/>
      <c r="B6957" s="95"/>
      <c r="C6957" s="94"/>
      <c r="D6957" s="95"/>
      <c r="E6957" s="95"/>
      <c r="F6957" s="96"/>
      <c r="G6957" s="97"/>
      <c r="H6957" s="114" t="str">
        <f t="shared" si="98"/>
        <v/>
      </c>
      <c r="I6957" s="17"/>
      <c r="J6957" s="17"/>
      <c r="K6957" s="17"/>
    </row>
    <row r="6958" spans="1:11" x14ac:dyDescent="0.2">
      <c r="A6958" s="115"/>
      <c r="B6958" s="95"/>
      <c r="C6958" s="94"/>
      <c r="D6958" s="95"/>
      <c r="E6958" s="95"/>
      <c r="F6958" s="96"/>
      <c r="G6958" s="97"/>
      <c r="H6958" s="114" t="str">
        <f t="shared" si="98"/>
        <v/>
      </c>
      <c r="I6958" s="17"/>
      <c r="J6958" s="17"/>
      <c r="K6958" s="17"/>
    </row>
    <row r="6959" spans="1:11" x14ac:dyDescent="0.2">
      <c r="A6959" s="115"/>
      <c r="B6959" s="95"/>
      <c r="C6959" s="94"/>
      <c r="D6959" s="95"/>
      <c r="E6959" s="95"/>
      <c r="F6959" s="96"/>
      <c r="G6959" s="97"/>
      <c r="H6959" s="114" t="str">
        <f t="shared" si="98"/>
        <v/>
      </c>
      <c r="I6959" s="17"/>
      <c r="J6959" s="17"/>
      <c r="K6959" s="17"/>
    </row>
    <row r="6960" spans="1:11" x14ac:dyDescent="0.2">
      <c r="A6960" s="115"/>
      <c r="B6960" s="95"/>
      <c r="C6960" s="94"/>
      <c r="D6960" s="95"/>
      <c r="E6960" s="95"/>
      <c r="F6960" s="96"/>
      <c r="G6960" s="97"/>
      <c r="H6960" s="114" t="str">
        <f t="shared" si="98"/>
        <v/>
      </c>
      <c r="I6960" s="17"/>
      <c r="J6960" s="17"/>
      <c r="K6960" s="17"/>
    </row>
    <row r="6961" spans="1:11" x14ac:dyDescent="0.2">
      <c r="A6961" s="115"/>
      <c r="B6961" s="95"/>
      <c r="C6961" s="94"/>
      <c r="D6961" s="95"/>
      <c r="E6961" s="95"/>
      <c r="F6961" s="96"/>
      <c r="G6961" s="97"/>
      <c r="H6961" s="114" t="str">
        <f t="shared" si="98"/>
        <v/>
      </c>
      <c r="I6961" s="17"/>
      <c r="J6961" s="17"/>
      <c r="K6961" s="17"/>
    </row>
    <row r="6962" spans="1:11" x14ac:dyDescent="0.2">
      <c r="A6962" s="115"/>
      <c r="B6962" s="95"/>
      <c r="C6962" s="94"/>
      <c r="D6962" s="95"/>
      <c r="E6962" s="95"/>
      <c r="F6962" s="96"/>
      <c r="G6962" s="97"/>
      <c r="H6962" s="114" t="str">
        <f t="shared" si="98"/>
        <v/>
      </c>
      <c r="I6962" s="17"/>
      <c r="J6962" s="17"/>
      <c r="K6962" s="17"/>
    </row>
    <row r="6963" spans="1:11" x14ac:dyDescent="0.2">
      <c r="A6963" s="115"/>
      <c r="B6963" s="95"/>
      <c r="C6963" s="94"/>
      <c r="D6963" s="95"/>
      <c r="E6963" s="95"/>
      <c r="F6963" s="96"/>
      <c r="G6963" s="97"/>
      <c r="H6963" s="114" t="str">
        <f t="shared" si="98"/>
        <v/>
      </c>
      <c r="I6963" s="17"/>
      <c r="J6963" s="17"/>
      <c r="K6963" s="17"/>
    </row>
    <row r="6964" spans="1:11" x14ac:dyDescent="0.2">
      <c r="A6964" s="115"/>
      <c r="B6964" s="95"/>
      <c r="C6964" s="94"/>
      <c r="D6964" s="95"/>
      <c r="E6964" s="95"/>
      <c r="F6964" s="96"/>
      <c r="G6964" s="97"/>
      <c r="H6964" s="114" t="str">
        <f t="shared" si="98"/>
        <v/>
      </c>
      <c r="I6964" s="17"/>
      <c r="J6964" s="17"/>
      <c r="K6964" s="17"/>
    </row>
    <row r="6965" spans="1:11" x14ac:dyDescent="0.2">
      <c r="A6965" s="115"/>
      <c r="B6965" s="95"/>
      <c r="C6965" s="94"/>
      <c r="D6965" s="95"/>
      <c r="E6965" s="95"/>
      <c r="F6965" s="96"/>
      <c r="G6965" s="97"/>
      <c r="H6965" s="114" t="str">
        <f t="shared" si="98"/>
        <v/>
      </c>
      <c r="I6965" s="17"/>
      <c r="J6965" s="17"/>
      <c r="K6965" s="17"/>
    </row>
    <row r="6966" spans="1:11" x14ac:dyDescent="0.2">
      <c r="A6966" s="115"/>
      <c r="B6966" s="95"/>
      <c r="C6966" s="94"/>
      <c r="D6966" s="95"/>
      <c r="E6966" s="95"/>
      <c r="F6966" s="96"/>
      <c r="G6966" s="97"/>
      <c r="H6966" s="114" t="str">
        <f t="shared" si="98"/>
        <v/>
      </c>
      <c r="I6966" s="17"/>
      <c r="J6966" s="17"/>
      <c r="K6966" s="17"/>
    </row>
    <row r="6967" spans="1:11" x14ac:dyDescent="0.2">
      <c r="A6967" s="115"/>
      <c r="B6967" s="95"/>
      <c r="C6967" s="94"/>
      <c r="D6967" s="95"/>
      <c r="E6967" s="95"/>
      <c r="F6967" s="96"/>
      <c r="G6967" s="97"/>
      <c r="H6967" s="114" t="str">
        <f t="shared" si="98"/>
        <v/>
      </c>
      <c r="I6967" s="17"/>
      <c r="J6967" s="17"/>
      <c r="K6967" s="17"/>
    </row>
    <row r="6968" spans="1:11" x14ac:dyDescent="0.2">
      <c r="A6968" s="115"/>
      <c r="B6968" s="95"/>
      <c r="C6968" s="94"/>
      <c r="D6968" s="95"/>
      <c r="E6968" s="95"/>
      <c r="F6968" s="96"/>
      <c r="G6968" s="97"/>
      <c r="H6968" s="114" t="str">
        <f t="shared" si="98"/>
        <v/>
      </c>
      <c r="I6968" s="17"/>
      <c r="J6968" s="17"/>
      <c r="K6968" s="17"/>
    </row>
    <row r="6969" spans="1:11" x14ac:dyDescent="0.2">
      <c r="A6969" s="115"/>
      <c r="B6969" s="95"/>
      <c r="C6969" s="94"/>
      <c r="D6969" s="95"/>
      <c r="E6969" s="95"/>
      <c r="F6969" s="96"/>
      <c r="G6969" s="97"/>
      <c r="H6969" s="114" t="str">
        <f t="shared" si="98"/>
        <v/>
      </c>
      <c r="I6969" s="17"/>
      <c r="J6969" s="17"/>
      <c r="K6969" s="17"/>
    </row>
    <row r="6970" spans="1:11" x14ac:dyDescent="0.2">
      <c r="A6970" s="115"/>
      <c r="B6970" s="95"/>
      <c r="C6970" s="94"/>
      <c r="D6970" s="95"/>
      <c r="E6970" s="95"/>
      <c r="F6970" s="96"/>
      <c r="G6970" s="97"/>
      <c r="H6970" s="114" t="str">
        <f t="shared" si="98"/>
        <v/>
      </c>
      <c r="I6970" s="17"/>
      <c r="J6970" s="17"/>
      <c r="K6970" s="17"/>
    </row>
    <row r="6971" spans="1:11" x14ac:dyDescent="0.2">
      <c r="A6971" s="115"/>
      <c r="B6971" s="95"/>
      <c r="C6971" s="94"/>
      <c r="D6971" s="95"/>
      <c r="E6971" s="95"/>
      <c r="F6971" s="96"/>
      <c r="G6971" s="97"/>
      <c r="H6971" s="114" t="str">
        <f t="shared" si="98"/>
        <v/>
      </c>
      <c r="I6971" s="17"/>
      <c r="J6971" s="17"/>
      <c r="K6971" s="17"/>
    </row>
    <row r="6972" spans="1:11" x14ac:dyDescent="0.2">
      <c r="A6972" s="115"/>
      <c r="B6972" s="95"/>
      <c r="C6972" s="94"/>
      <c r="D6972" s="95"/>
      <c r="E6972" s="95"/>
      <c r="F6972" s="96"/>
      <c r="G6972" s="97"/>
      <c r="H6972" s="114" t="str">
        <f t="shared" si="98"/>
        <v/>
      </c>
      <c r="I6972" s="17"/>
      <c r="J6972" s="17"/>
      <c r="K6972" s="17"/>
    </row>
    <row r="6973" spans="1:11" x14ac:dyDescent="0.2">
      <c r="A6973" s="115"/>
      <c r="B6973" s="95"/>
      <c r="C6973" s="94"/>
      <c r="D6973" s="95"/>
      <c r="E6973" s="95"/>
      <c r="F6973" s="96"/>
      <c r="G6973" s="97"/>
      <c r="H6973" s="114" t="str">
        <f t="shared" si="98"/>
        <v/>
      </c>
      <c r="I6973" s="17"/>
      <c r="J6973" s="17"/>
      <c r="K6973" s="17"/>
    </row>
    <row r="6974" spans="1:11" x14ac:dyDescent="0.2">
      <c r="A6974" s="115"/>
      <c r="B6974" s="95"/>
      <c r="C6974" s="94"/>
      <c r="D6974" s="95"/>
      <c r="E6974" s="95"/>
      <c r="F6974" s="96"/>
      <c r="G6974" s="97"/>
      <c r="H6974" s="114" t="str">
        <f t="shared" si="98"/>
        <v/>
      </c>
      <c r="I6974" s="17"/>
      <c r="J6974" s="17"/>
      <c r="K6974" s="17"/>
    </row>
    <row r="6975" spans="1:11" x14ac:dyDescent="0.2">
      <c r="A6975" s="115"/>
      <c r="B6975" s="95"/>
      <c r="C6975" s="94"/>
      <c r="D6975" s="95"/>
      <c r="E6975" s="95"/>
      <c r="F6975" s="96"/>
      <c r="G6975" s="97"/>
      <c r="H6975" s="114" t="str">
        <f t="shared" si="98"/>
        <v/>
      </c>
      <c r="I6975" s="17"/>
      <c r="J6975" s="17"/>
      <c r="K6975" s="17"/>
    </row>
    <row r="6976" spans="1:11" x14ac:dyDescent="0.2">
      <c r="A6976" s="115"/>
      <c r="B6976" s="95"/>
      <c r="C6976" s="94"/>
      <c r="D6976" s="95"/>
      <c r="E6976" s="95"/>
      <c r="F6976" s="96"/>
      <c r="G6976" s="97"/>
      <c r="H6976" s="114" t="str">
        <f t="shared" si="98"/>
        <v/>
      </c>
      <c r="I6976" s="17"/>
      <c r="J6976" s="17"/>
      <c r="K6976" s="17"/>
    </row>
    <row r="6977" spans="1:11" x14ac:dyDescent="0.2">
      <c r="A6977" s="115"/>
      <c r="B6977" s="95"/>
      <c r="C6977" s="94"/>
      <c r="D6977" s="95"/>
      <c r="E6977" s="95"/>
      <c r="F6977" s="96"/>
      <c r="G6977" s="97"/>
      <c r="H6977" s="114" t="str">
        <f t="shared" si="98"/>
        <v/>
      </c>
      <c r="I6977" s="17"/>
      <c r="J6977" s="17"/>
      <c r="K6977" s="17"/>
    </row>
    <row r="6978" spans="1:11" x14ac:dyDescent="0.2">
      <c r="A6978" s="115"/>
      <c r="B6978" s="95"/>
      <c r="C6978" s="94"/>
      <c r="D6978" s="95"/>
      <c r="E6978" s="95"/>
      <c r="F6978" s="96"/>
      <c r="G6978" s="97"/>
      <c r="H6978" s="114" t="str">
        <f t="shared" si="98"/>
        <v/>
      </c>
      <c r="I6978" s="17"/>
      <c r="J6978" s="17"/>
      <c r="K6978" s="17"/>
    </row>
    <row r="6979" spans="1:11" x14ac:dyDescent="0.2">
      <c r="A6979" s="115"/>
      <c r="B6979" s="95"/>
      <c r="C6979" s="94"/>
      <c r="D6979" s="95"/>
      <c r="E6979" s="95"/>
      <c r="F6979" s="96"/>
      <c r="G6979" s="97"/>
      <c r="H6979" s="114" t="str">
        <f t="shared" si="98"/>
        <v/>
      </c>
      <c r="I6979" s="17"/>
      <c r="J6979" s="17"/>
      <c r="K6979" s="17"/>
    </row>
    <row r="6980" spans="1:11" x14ac:dyDescent="0.2">
      <c r="A6980" s="115"/>
      <c r="B6980" s="95"/>
      <c r="C6980" s="94"/>
      <c r="D6980" s="95"/>
      <c r="E6980" s="95"/>
      <c r="F6980" s="96"/>
      <c r="G6980" s="97"/>
      <c r="H6980" s="114" t="str">
        <f t="shared" ref="H6980:H7000" si="99">IF(A6980&lt;&gt;"", EOMONTH(A6980, -1) + 1, "")</f>
        <v/>
      </c>
      <c r="I6980" s="17"/>
      <c r="J6980" s="17"/>
      <c r="K6980" s="17"/>
    </row>
    <row r="6981" spans="1:11" x14ac:dyDescent="0.2">
      <c r="A6981" s="115"/>
      <c r="B6981" s="95"/>
      <c r="C6981" s="94"/>
      <c r="D6981" s="95"/>
      <c r="E6981" s="95"/>
      <c r="F6981" s="96"/>
      <c r="G6981" s="97"/>
      <c r="H6981" s="114" t="str">
        <f t="shared" si="99"/>
        <v/>
      </c>
      <c r="I6981" s="17"/>
      <c r="J6981" s="17"/>
      <c r="K6981" s="17"/>
    </row>
    <row r="6982" spans="1:11" x14ac:dyDescent="0.2">
      <c r="A6982" s="115"/>
      <c r="B6982" s="95"/>
      <c r="C6982" s="94"/>
      <c r="D6982" s="95"/>
      <c r="E6982" s="95"/>
      <c r="F6982" s="96"/>
      <c r="G6982" s="97"/>
      <c r="H6982" s="114" t="str">
        <f t="shared" si="99"/>
        <v/>
      </c>
      <c r="I6982" s="17"/>
      <c r="J6982" s="17"/>
      <c r="K6982" s="17"/>
    </row>
    <row r="6983" spans="1:11" x14ac:dyDescent="0.2">
      <c r="A6983" s="115"/>
      <c r="B6983" s="95"/>
      <c r="C6983" s="94"/>
      <c r="D6983" s="95"/>
      <c r="E6983" s="95"/>
      <c r="F6983" s="96"/>
      <c r="G6983" s="97"/>
      <c r="H6983" s="114" t="str">
        <f t="shared" si="99"/>
        <v/>
      </c>
      <c r="I6983" s="17"/>
      <c r="J6983" s="17"/>
      <c r="K6983" s="17"/>
    </row>
    <row r="6984" spans="1:11" x14ac:dyDescent="0.2">
      <c r="A6984" s="115"/>
      <c r="B6984" s="95"/>
      <c r="C6984" s="94"/>
      <c r="D6984" s="95"/>
      <c r="E6984" s="95"/>
      <c r="F6984" s="96"/>
      <c r="G6984" s="97"/>
      <c r="H6984" s="114" t="str">
        <f t="shared" si="99"/>
        <v/>
      </c>
      <c r="I6984" s="17"/>
      <c r="J6984" s="17"/>
      <c r="K6984" s="17"/>
    </row>
    <row r="6985" spans="1:11" x14ac:dyDescent="0.2">
      <c r="A6985" s="115"/>
      <c r="B6985" s="95"/>
      <c r="C6985" s="94"/>
      <c r="D6985" s="95"/>
      <c r="E6985" s="95"/>
      <c r="F6985" s="96"/>
      <c r="G6985" s="97"/>
      <c r="H6985" s="114" t="str">
        <f t="shared" si="99"/>
        <v/>
      </c>
      <c r="I6985" s="17"/>
      <c r="J6985" s="17"/>
      <c r="K6985" s="17"/>
    </row>
    <row r="6986" spans="1:11" x14ac:dyDescent="0.2">
      <c r="A6986" s="115"/>
      <c r="B6986" s="95"/>
      <c r="C6986" s="94"/>
      <c r="D6986" s="95"/>
      <c r="E6986" s="95"/>
      <c r="F6986" s="96"/>
      <c r="G6986" s="97"/>
      <c r="H6986" s="114" t="str">
        <f t="shared" si="99"/>
        <v/>
      </c>
      <c r="I6986" s="17"/>
      <c r="J6986" s="17"/>
      <c r="K6986" s="17"/>
    </row>
    <row r="6987" spans="1:11" x14ac:dyDescent="0.2">
      <c r="A6987" s="115"/>
      <c r="B6987" s="95"/>
      <c r="C6987" s="94"/>
      <c r="D6987" s="95"/>
      <c r="E6987" s="95"/>
      <c r="F6987" s="96"/>
      <c r="G6987" s="97"/>
      <c r="H6987" s="114" t="str">
        <f t="shared" si="99"/>
        <v/>
      </c>
      <c r="I6987" s="17"/>
      <c r="J6987" s="17"/>
      <c r="K6987" s="17"/>
    </row>
    <row r="6988" spans="1:11" x14ac:dyDescent="0.2">
      <c r="A6988" s="115"/>
      <c r="B6988" s="95"/>
      <c r="C6988" s="94"/>
      <c r="D6988" s="95"/>
      <c r="E6988" s="95"/>
      <c r="F6988" s="96"/>
      <c r="G6988" s="97"/>
      <c r="H6988" s="114" t="str">
        <f t="shared" si="99"/>
        <v/>
      </c>
      <c r="I6988" s="17"/>
      <c r="J6988" s="17"/>
      <c r="K6988" s="17"/>
    </row>
    <row r="6989" spans="1:11" x14ac:dyDescent="0.2">
      <c r="A6989" s="115"/>
      <c r="B6989" s="95"/>
      <c r="C6989" s="94"/>
      <c r="D6989" s="95"/>
      <c r="E6989" s="95"/>
      <c r="F6989" s="96"/>
      <c r="G6989" s="97"/>
      <c r="H6989" s="114" t="str">
        <f t="shared" si="99"/>
        <v/>
      </c>
      <c r="I6989" s="17"/>
      <c r="J6989" s="17"/>
      <c r="K6989" s="17"/>
    </row>
    <row r="6990" spans="1:11" x14ac:dyDescent="0.2">
      <c r="A6990" s="115"/>
      <c r="B6990" s="95"/>
      <c r="C6990" s="94"/>
      <c r="D6990" s="95"/>
      <c r="E6990" s="95"/>
      <c r="F6990" s="96"/>
      <c r="G6990" s="97"/>
      <c r="H6990" s="114" t="str">
        <f t="shared" si="99"/>
        <v/>
      </c>
      <c r="I6990" s="17"/>
      <c r="J6990" s="17"/>
      <c r="K6990" s="17"/>
    </row>
    <row r="6991" spans="1:11" x14ac:dyDescent="0.2">
      <c r="A6991" s="115"/>
      <c r="B6991" s="95"/>
      <c r="C6991" s="94"/>
      <c r="D6991" s="95"/>
      <c r="E6991" s="95"/>
      <c r="F6991" s="96"/>
      <c r="G6991" s="97"/>
      <c r="H6991" s="114" t="str">
        <f t="shared" si="99"/>
        <v/>
      </c>
      <c r="I6991" s="17"/>
      <c r="J6991" s="17"/>
      <c r="K6991" s="17"/>
    </row>
    <row r="6992" spans="1:11" x14ac:dyDescent="0.2">
      <c r="A6992" s="115"/>
      <c r="B6992" s="95"/>
      <c r="C6992" s="94"/>
      <c r="D6992" s="95"/>
      <c r="E6992" s="95"/>
      <c r="F6992" s="96"/>
      <c r="G6992" s="97"/>
      <c r="H6992" s="114" t="str">
        <f t="shared" si="99"/>
        <v/>
      </c>
      <c r="I6992" s="17"/>
      <c r="J6992" s="17"/>
      <c r="K6992" s="17"/>
    </row>
    <row r="6993" spans="1:11" x14ac:dyDescent="0.2">
      <c r="A6993" s="115"/>
      <c r="B6993" s="95"/>
      <c r="C6993" s="94"/>
      <c r="D6993" s="95"/>
      <c r="E6993" s="95"/>
      <c r="F6993" s="96"/>
      <c r="G6993" s="97"/>
      <c r="H6993" s="114" t="str">
        <f t="shared" si="99"/>
        <v/>
      </c>
      <c r="I6993" s="17"/>
      <c r="J6993" s="17"/>
      <c r="K6993" s="17"/>
    </row>
    <row r="6994" spans="1:11" x14ac:dyDescent="0.2">
      <c r="A6994" s="115"/>
      <c r="B6994" s="95"/>
      <c r="C6994" s="94"/>
      <c r="D6994" s="95"/>
      <c r="E6994" s="95"/>
      <c r="F6994" s="96"/>
      <c r="G6994" s="97"/>
      <c r="H6994" s="114" t="str">
        <f t="shared" si="99"/>
        <v/>
      </c>
      <c r="I6994" s="17"/>
      <c r="J6994" s="17"/>
      <c r="K6994" s="17"/>
    </row>
    <row r="6995" spans="1:11" x14ac:dyDescent="0.2">
      <c r="A6995" s="115"/>
      <c r="B6995" s="95"/>
      <c r="C6995" s="94"/>
      <c r="D6995" s="95"/>
      <c r="E6995" s="95"/>
      <c r="F6995" s="96"/>
      <c r="G6995" s="97"/>
      <c r="H6995" s="114" t="str">
        <f t="shared" si="99"/>
        <v/>
      </c>
      <c r="I6995" s="17"/>
      <c r="J6995" s="17"/>
      <c r="K6995" s="17"/>
    </row>
    <row r="6996" spans="1:11" x14ac:dyDescent="0.2">
      <c r="A6996" s="115"/>
      <c r="B6996" s="95"/>
      <c r="C6996" s="94"/>
      <c r="D6996" s="95"/>
      <c r="E6996" s="95"/>
      <c r="F6996" s="96"/>
      <c r="G6996" s="97"/>
      <c r="H6996" s="114" t="str">
        <f t="shared" si="99"/>
        <v/>
      </c>
      <c r="I6996" s="17"/>
      <c r="J6996" s="17"/>
      <c r="K6996" s="17"/>
    </row>
    <row r="6997" spans="1:11" x14ac:dyDescent="0.2">
      <c r="A6997" s="115"/>
      <c r="B6997" s="95"/>
      <c r="C6997" s="94"/>
      <c r="D6997" s="95"/>
      <c r="E6997" s="95"/>
      <c r="F6997" s="96"/>
      <c r="G6997" s="97"/>
      <c r="H6997" s="114" t="str">
        <f t="shared" si="99"/>
        <v/>
      </c>
      <c r="I6997" s="17"/>
      <c r="J6997" s="17"/>
      <c r="K6997" s="17"/>
    </row>
    <row r="6998" spans="1:11" x14ac:dyDescent="0.2">
      <c r="A6998" s="115"/>
      <c r="B6998" s="95"/>
      <c r="C6998" s="94"/>
      <c r="D6998" s="95"/>
      <c r="E6998" s="95"/>
      <c r="F6998" s="96"/>
      <c r="G6998" s="97"/>
      <c r="H6998" s="114" t="str">
        <f t="shared" si="99"/>
        <v/>
      </c>
      <c r="I6998" s="17"/>
      <c r="J6998" s="17"/>
      <c r="K6998" s="17"/>
    </row>
    <row r="6999" spans="1:11" x14ac:dyDescent="0.2">
      <c r="A6999" s="115"/>
      <c r="B6999" s="95"/>
      <c r="C6999" s="94"/>
      <c r="D6999" s="95"/>
      <c r="E6999" s="95"/>
      <c r="F6999" s="96"/>
      <c r="G6999" s="97"/>
      <c r="H6999" s="114" t="str">
        <f t="shared" si="99"/>
        <v/>
      </c>
      <c r="I6999" s="17"/>
      <c r="J6999" s="17"/>
      <c r="K6999" s="17"/>
    </row>
    <row r="7000" spans="1:11" x14ac:dyDescent="0.2">
      <c r="A7000" s="440"/>
      <c r="B7000" s="95"/>
      <c r="C7000" s="94"/>
      <c r="D7000" s="95"/>
      <c r="E7000" s="95"/>
      <c r="F7000" s="96"/>
      <c r="G7000" s="97"/>
      <c r="H7000" s="114" t="str">
        <f t="shared" si="99"/>
        <v/>
      </c>
      <c r="I7000" s="17"/>
      <c r="J7000" s="17"/>
      <c r="K7000" s="17"/>
    </row>
    <row r="7001" spans="1:11" x14ac:dyDescent="0.2">
      <c r="A7001"/>
      <c r="B7001"/>
      <c r="H7001"/>
      <c r="I7001" s="17"/>
      <c r="J7001" s="17"/>
      <c r="K7001" s="17"/>
    </row>
    <row r="7002" spans="1:11" x14ac:dyDescent="0.2">
      <c r="A7002"/>
      <c r="B7002"/>
      <c r="H7002"/>
      <c r="I7002" s="17"/>
      <c r="J7002" s="17"/>
      <c r="K7002" s="17"/>
    </row>
    <row r="7003" spans="1:11" x14ac:dyDescent="0.2">
      <c r="A7003"/>
      <c r="B7003"/>
      <c r="H7003"/>
      <c r="I7003" s="17"/>
      <c r="J7003" s="17"/>
      <c r="K7003" s="17"/>
    </row>
    <row r="7004" spans="1:11" x14ac:dyDescent="0.2">
      <c r="A7004"/>
      <c r="B7004"/>
      <c r="H7004"/>
      <c r="I7004" s="17"/>
      <c r="J7004" s="17"/>
      <c r="K7004" s="17"/>
    </row>
    <row r="7005" spans="1:11" x14ac:dyDescent="0.2">
      <c r="A7005"/>
      <c r="B7005"/>
      <c r="H7005"/>
      <c r="I7005" s="17"/>
      <c r="J7005" s="17"/>
      <c r="K7005" s="17"/>
    </row>
    <row r="7006" spans="1:11" x14ac:dyDescent="0.2">
      <c r="A7006"/>
      <c r="B7006"/>
      <c r="H7006"/>
      <c r="I7006" s="17"/>
      <c r="J7006" s="17"/>
      <c r="K7006" s="17"/>
    </row>
    <row r="7007" spans="1:11" x14ac:dyDescent="0.2">
      <c r="A7007"/>
      <c r="B7007"/>
      <c r="H7007"/>
      <c r="I7007" s="17"/>
      <c r="J7007" s="17"/>
      <c r="K7007" s="17"/>
    </row>
    <row r="7008" spans="1:11" x14ac:dyDescent="0.2">
      <c r="A7008"/>
      <c r="B7008"/>
      <c r="H7008"/>
      <c r="I7008" s="17"/>
      <c r="J7008" s="17"/>
      <c r="K7008" s="17"/>
    </row>
    <row r="7009" spans="1:11" x14ac:dyDescent="0.2">
      <c r="A7009"/>
      <c r="B7009"/>
      <c r="H7009"/>
      <c r="I7009" s="17"/>
      <c r="J7009" s="17"/>
      <c r="K7009" s="17"/>
    </row>
    <row r="7010" spans="1:11" x14ac:dyDescent="0.2">
      <c r="A7010"/>
      <c r="B7010"/>
      <c r="H7010"/>
      <c r="I7010" s="17"/>
      <c r="J7010" s="17"/>
      <c r="K7010" s="17"/>
    </row>
    <row r="7011" spans="1:11" x14ac:dyDescent="0.2">
      <c r="A7011"/>
      <c r="B7011"/>
      <c r="H7011"/>
      <c r="I7011" s="17"/>
      <c r="J7011" s="17"/>
      <c r="K7011" s="17"/>
    </row>
    <row r="7012" spans="1:11" x14ac:dyDescent="0.2">
      <c r="A7012"/>
      <c r="B7012"/>
      <c r="H7012"/>
      <c r="I7012" s="17"/>
      <c r="J7012" s="17"/>
      <c r="K7012" s="17"/>
    </row>
    <row r="7013" spans="1:11" x14ac:dyDescent="0.2">
      <c r="A7013"/>
      <c r="B7013"/>
      <c r="H7013"/>
      <c r="I7013" s="17"/>
      <c r="J7013" s="17"/>
      <c r="K7013" s="17"/>
    </row>
    <row r="7014" spans="1:11" x14ac:dyDescent="0.2">
      <c r="A7014"/>
      <c r="B7014"/>
      <c r="H7014"/>
      <c r="I7014" s="17"/>
      <c r="J7014" s="17"/>
      <c r="K7014" s="17"/>
    </row>
    <row r="7015" spans="1:11" x14ac:dyDescent="0.2">
      <c r="A7015"/>
      <c r="B7015"/>
      <c r="H7015"/>
      <c r="I7015" s="17"/>
      <c r="J7015" s="17"/>
      <c r="K7015" s="17"/>
    </row>
    <row r="7016" spans="1:11" x14ac:dyDescent="0.2">
      <c r="A7016"/>
      <c r="B7016"/>
      <c r="H7016"/>
      <c r="I7016" s="17"/>
      <c r="J7016" s="17"/>
      <c r="K7016" s="17"/>
    </row>
    <row r="7017" spans="1:11" x14ac:dyDescent="0.2">
      <c r="A7017"/>
      <c r="B7017"/>
      <c r="H7017"/>
      <c r="I7017" s="17"/>
      <c r="J7017" s="17"/>
      <c r="K7017" s="17"/>
    </row>
    <row r="7018" spans="1:11" x14ac:dyDescent="0.2">
      <c r="A7018"/>
      <c r="B7018"/>
      <c r="H7018"/>
      <c r="I7018" s="17"/>
      <c r="J7018" s="17"/>
      <c r="K7018" s="17"/>
    </row>
    <row r="7019" spans="1:11" x14ac:dyDescent="0.2">
      <c r="A7019"/>
      <c r="B7019"/>
      <c r="H7019"/>
      <c r="I7019" s="17"/>
      <c r="J7019" s="17"/>
      <c r="K7019" s="17"/>
    </row>
    <row r="7020" spans="1:11" x14ac:dyDescent="0.2">
      <c r="A7020"/>
      <c r="B7020"/>
      <c r="H7020"/>
      <c r="I7020" s="17"/>
      <c r="J7020" s="17"/>
      <c r="K7020" s="17"/>
    </row>
    <row r="7021" spans="1:11" x14ac:dyDescent="0.2">
      <c r="A7021"/>
      <c r="B7021"/>
      <c r="H7021"/>
      <c r="I7021" s="17"/>
      <c r="J7021" s="17"/>
      <c r="K7021" s="17"/>
    </row>
    <row r="7022" spans="1:11" x14ac:dyDescent="0.2">
      <c r="A7022"/>
      <c r="B7022"/>
      <c r="H7022"/>
      <c r="I7022" s="17"/>
      <c r="J7022" s="17"/>
      <c r="K7022" s="17"/>
    </row>
    <row r="7023" spans="1:11" x14ac:dyDescent="0.2">
      <c r="A7023"/>
      <c r="B7023"/>
      <c r="H7023"/>
      <c r="I7023" s="17"/>
      <c r="J7023" s="17"/>
      <c r="K7023" s="17"/>
    </row>
    <row r="7024" spans="1:11" x14ac:dyDescent="0.2">
      <c r="A7024"/>
      <c r="B7024"/>
      <c r="H7024"/>
      <c r="I7024" s="17"/>
      <c r="J7024" s="17"/>
      <c r="K7024" s="17"/>
    </row>
    <row r="7025" spans="1:11" x14ac:dyDescent="0.2">
      <c r="A7025"/>
      <c r="B7025"/>
      <c r="H7025"/>
      <c r="I7025" s="17"/>
      <c r="J7025" s="17"/>
      <c r="K7025" s="17"/>
    </row>
    <row r="7026" spans="1:11" x14ac:dyDescent="0.2">
      <c r="A7026"/>
      <c r="B7026"/>
      <c r="H7026"/>
      <c r="I7026" s="17"/>
      <c r="J7026" s="17"/>
      <c r="K7026" s="17"/>
    </row>
    <row r="7027" spans="1:11" x14ac:dyDescent="0.2">
      <c r="A7027"/>
      <c r="B7027"/>
      <c r="H7027"/>
      <c r="I7027" s="17"/>
      <c r="J7027" s="17"/>
      <c r="K7027" s="17"/>
    </row>
    <row r="7028" spans="1:11" x14ac:dyDescent="0.2">
      <c r="A7028"/>
      <c r="B7028"/>
      <c r="H7028"/>
      <c r="I7028" s="17"/>
      <c r="J7028" s="17"/>
      <c r="K7028" s="17"/>
    </row>
    <row r="7029" spans="1:11" x14ac:dyDescent="0.2">
      <c r="A7029"/>
      <c r="B7029"/>
      <c r="H7029"/>
      <c r="I7029" s="17"/>
      <c r="J7029" s="17"/>
      <c r="K7029" s="17"/>
    </row>
    <row r="7030" spans="1:11" x14ac:dyDescent="0.2">
      <c r="A7030"/>
      <c r="B7030"/>
      <c r="H7030"/>
      <c r="I7030" s="17"/>
      <c r="J7030" s="17"/>
      <c r="K7030" s="17"/>
    </row>
    <row r="7031" spans="1:11" x14ac:dyDescent="0.2">
      <c r="A7031"/>
      <c r="B7031"/>
      <c r="H7031"/>
      <c r="I7031" s="17"/>
      <c r="J7031" s="17"/>
      <c r="K7031" s="17"/>
    </row>
    <row r="7032" spans="1:11" x14ac:dyDescent="0.2">
      <c r="A7032"/>
      <c r="B7032"/>
      <c r="H7032"/>
      <c r="I7032" s="17"/>
      <c r="J7032" s="17"/>
      <c r="K7032" s="17"/>
    </row>
    <row r="7033" spans="1:11" x14ac:dyDescent="0.2">
      <c r="A7033"/>
      <c r="B7033"/>
      <c r="H7033"/>
      <c r="I7033" s="17"/>
      <c r="J7033" s="17"/>
      <c r="K7033" s="17"/>
    </row>
    <row r="7034" spans="1:11" x14ac:dyDescent="0.2">
      <c r="A7034"/>
      <c r="B7034"/>
      <c r="H7034"/>
      <c r="I7034" s="17"/>
      <c r="J7034" s="17"/>
      <c r="K7034" s="17"/>
    </row>
    <row r="7035" spans="1:11" x14ac:dyDescent="0.2">
      <c r="A7035"/>
      <c r="B7035"/>
      <c r="H7035"/>
      <c r="I7035" s="17"/>
      <c r="J7035" s="17"/>
      <c r="K7035" s="17"/>
    </row>
    <row r="7036" spans="1:11" x14ac:dyDescent="0.2">
      <c r="A7036"/>
      <c r="B7036"/>
      <c r="H7036"/>
      <c r="I7036" s="17"/>
      <c r="J7036" s="17"/>
      <c r="K7036" s="17"/>
    </row>
    <row r="7037" spans="1:11" x14ac:dyDescent="0.2">
      <c r="A7037"/>
      <c r="B7037"/>
      <c r="H7037"/>
      <c r="I7037" s="17"/>
      <c r="J7037" s="17"/>
      <c r="K7037" s="17"/>
    </row>
    <row r="7038" spans="1:11" x14ac:dyDescent="0.2">
      <c r="A7038"/>
      <c r="B7038"/>
      <c r="H7038"/>
      <c r="I7038" s="17"/>
      <c r="J7038" s="17"/>
      <c r="K7038" s="17"/>
    </row>
    <row r="7039" spans="1:11" x14ac:dyDescent="0.2">
      <c r="A7039"/>
      <c r="B7039"/>
      <c r="H7039"/>
      <c r="I7039" s="17"/>
      <c r="J7039" s="17"/>
      <c r="K7039" s="17"/>
    </row>
    <row r="7040" spans="1:11" x14ac:dyDescent="0.2">
      <c r="A7040"/>
      <c r="B7040"/>
      <c r="H7040"/>
      <c r="I7040" s="17"/>
      <c r="J7040" s="17"/>
      <c r="K7040" s="17"/>
    </row>
    <row r="7041" spans="1:11" x14ac:dyDescent="0.2">
      <c r="A7041"/>
      <c r="B7041"/>
      <c r="H7041"/>
      <c r="I7041" s="17"/>
      <c r="J7041" s="17"/>
      <c r="K7041" s="17"/>
    </row>
    <row r="7042" spans="1:11" x14ac:dyDescent="0.2">
      <c r="A7042"/>
      <c r="B7042"/>
      <c r="H7042"/>
      <c r="I7042" s="17"/>
      <c r="J7042" s="17"/>
      <c r="K7042" s="17"/>
    </row>
    <row r="7043" spans="1:11" x14ac:dyDescent="0.2">
      <c r="A7043"/>
      <c r="B7043"/>
      <c r="H7043"/>
      <c r="I7043" s="17"/>
      <c r="J7043" s="17"/>
      <c r="K7043" s="17"/>
    </row>
    <row r="7044" spans="1:11" x14ac:dyDescent="0.2">
      <c r="A7044"/>
      <c r="B7044"/>
      <c r="H7044"/>
      <c r="I7044" s="17"/>
      <c r="J7044" s="17"/>
      <c r="K7044" s="17"/>
    </row>
    <row r="7045" spans="1:11" x14ac:dyDescent="0.2">
      <c r="A7045"/>
      <c r="B7045"/>
      <c r="H7045"/>
      <c r="I7045" s="17"/>
      <c r="J7045" s="17"/>
      <c r="K7045" s="17"/>
    </row>
    <row r="7046" spans="1:11" x14ac:dyDescent="0.2">
      <c r="A7046"/>
      <c r="B7046"/>
      <c r="H7046"/>
      <c r="I7046" s="17"/>
      <c r="J7046" s="17"/>
      <c r="K7046" s="17"/>
    </row>
    <row r="7047" spans="1:11" x14ac:dyDescent="0.2">
      <c r="A7047"/>
      <c r="B7047"/>
      <c r="H7047"/>
      <c r="I7047" s="17"/>
      <c r="J7047" s="17"/>
      <c r="K7047" s="17"/>
    </row>
    <row r="7048" spans="1:11" x14ac:dyDescent="0.2">
      <c r="A7048"/>
      <c r="B7048"/>
      <c r="H7048"/>
      <c r="I7048" s="17"/>
      <c r="J7048" s="17"/>
      <c r="K7048" s="17"/>
    </row>
    <row r="7049" spans="1:11" x14ac:dyDescent="0.2">
      <c r="A7049"/>
      <c r="B7049"/>
      <c r="H7049"/>
      <c r="I7049" s="17"/>
      <c r="J7049" s="17"/>
      <c r="K7049" s="17"/>
    </row>
    <row r="7050" spans="1:11" x14ac:dyDescent="0.2">
      <c r="A7050"/>
      <c r="B7050"/>
      <c r="H7050"/>
      <c r="I7050" s="17"/>
      <c r="J7050" s="17"/>
      <c r="K7050" s="17"/>
    </row>
    <row r="7051" spans="1:11" x14ac:dyDescent="0.2">
      <c r="A7051"/>
      <c r="B7051"/>
      <c r="H7051"/>
      <c r="I7051" s="17"/>
      <c r="J7051" s="17"/>
      <c r="K7051" s="17"/>
    </row>
    <row r="7052" spans="1:11" x14ac:dyDescent="0.2">
      <c r="A7052"/>
      <c r="B7052"/>
      <c r="H7052"/>
      <c r="I7052" s="17"/>
      <c r="J7052" s="17"/>
      <c r="K7052" s="17"/>
    </row>
    <row r="7053" spans="1:11" x14ac:dyDescent="0.2">
      <c r="A7053"/>
      <c r="B7053"/>
      <c r="H7053"/>
      <c r="I7053" s="17"/>
      <c r="J7053" s="17"/>
      <c r="K7053" s="17"/>
    </row>
    <row r="7054" spans="1:11" x14ac:dyDescent="0.2">
      <c r="A7054"/>
      <c r="B7054"/>
      <c r="H7054"/>
      <c r="I7054" s="17"/>
      <c r="J7054" s="17"/>
      <c r="K7054" s="17"/>
    </row>
    <row r="7055" spans="1:11" x14ac:dyDescent="0.2">
      <c r="A7055"/>
      <c r="B7055"/>
      <c r="H7055"/>
      <c r="I7055" s="17"/>
      <c r="J7055" s="17"/>
      <c r="K7055" s="17"/>
    </row>
    <row r="7056" spans="1:11" x14ac:dyDescent="0.2">
      <c r="A7056"/>
      <c r="B7056"/>
      <c r="H7056"/>
      <c r="I7056" s="17"/>
      <c r="J7056" s="17"/>
      <c r="K7056" s="17"/>
    </row>
    <row r="7057" spans="1:11" x14ac:dyDescent="0.2">
      <c r="A7057"/>
      <c r="B7057"/>
      <c r="H7057"/>
      <c r="I7057" s="17"/>
      <c r="J7057" s="17"/>
      <c r="K7057" s="17"/>
    </row>
    <row r="7058" spans="1:11" x14ac:dyDescent="0.2">
      <c r="A7058"/>
      <c r="B7058"/>
      <c r="H7058"/>
      <c r="I7058" s="17"/>
      <c r="J7058" s="17"/>
      <c r="K7058" s="17"/>
    </row>
    <row r="7059" spans="1:11" x14ac:dyDescent="0.2">
      <c r="A7059"/>
      <c r="B7059"/>
      <c r="H7059"/>
      <c r="I7059" s="17"/>
      <c r="J7059" s="17"/>
      <c r="K7059" s="17"/>
    </row>
    <row r="7060" spans="1:11" x14ac:dyDescent="0.2">
      <c r="A7060"/>
      <c r="B7060"/>
      <c r="H7060"/>
      <c r="I7060" s="17"/>
      <c r="J7060" s="17"/>
      <c r="K7060" s="17"/>
    </row>
    <row r="7061" spans="1:11" x14ac:dyDescent="0.2">
      <c r="A7061"/>
      <c r="B7061"/>
      <c r="H7061"/>
      <c r="I7061" s="17"/>
      <c r="J7061" s="17"/>
      <c r="K7061" s="17"/>
    </row>
    <row r="7062" spans="1:11" x14ac:dyDescent="0.2">
      <c r="A7062"/>
      <c r="B7062"/>
      <c r="H7062"/>
      <c r="I7062" s="17"/>
      <c r="J7062" s="17"/>
      <c r="K7062" s="17"/>
    </row>
    <row r="7063" spans="1:11" x14ac:dyDescent="0.2">
      <c r="A7063"/>
      <c r="B7063"/>
      <c r="H7063"/>
      <c r="I7063" s="17"/>
      <c r="J7063" s="17"/>
      <c r="K7063" s="17"/>
    </row>
    <row r="7064" spans="1:11" x14ac:dyDescent="0.2">
      <c r="A7064"/>
      <c r="B7064"/>
      <c r="H7064"/>
      <c r="I7064" s="17"/>
      <c r="J7064" s="17"/>
      <c r="K7064" s="17"/>
    </row>
    <row r="7065" spans="1:11" x14ac:dyDescent="0.2">
      <c r="A7065"/>
      <c r="B7065"/>
      <c r="H7065"/>
      <c r="I7065" s="17"/>
      <c r="J7065" s="17"/>
      <c r="K7065" s="17"/>
    </row>
    <row r="7066" spans="1:11" x14ac:dyDescent="0.2">
      <c r="A7066"/>
      <c r="B7066"/>
      <c r="H7066"/>
      <c r="I7066" s="17"/>
      <c r="J7066" s="17"/>
      <c r="K7066" s="17"/>
    </row>
    <row r="7067" spans="1:11" x14ac:dyDescent="0.2">
      <c r="A7067"/>
      <c r="B7067"/>
      <c r="H7067"/>
      <c r="I7067" s="17"/>
      <c r="J7067" s="17"/>
      <c r="K7067" s="17"/>
    </row>
    <row r="7068" spans="1:11" x14ac:dyDescent="0.2">
      <c r="A7068"/>
      <c r="B7068"/>
      <c r="H7068"/>
      <c r="I7068" s="17"/>
      <c r="J7068" s="17"/>
      <c r="K7068" s="17"/>
    </row>
    <row r="7069" spans="1:11" x14ac:dyDescent="0.2">
      <c r="A7069"/>
      <c r="B7069"/>
      <c r="H7069"/>
      <c r="I7069" s="17"/>
      <c r="J7069" s="17"/>
      <c r="K7069" s="17"/>
    </row>
    <row r="7070" spans="1:11" x14ac:dyDescent="0.2">
      <c r="A7070"/>
      <c r="B7070"/>
      <c r="H7070"/>
      <c r="I7070" s="17"/>
      <c r="J7070" s="17"/>
      <c r="K7070" s="17"/>
    </row>
    <row r="7071" spans="1:11" x14ac:dyDescent="0.2">
      <c r="A7071"/>
      <c r="B7071"/>
      <c r="H7071"/>
      <c r="I7071" s="17"/>
      <c r="J7071" s="17"/>
      <c r="K7071" s="17"/>
    </row>
    <row r="7072" spans="1:11" x14ac:dyDescent="0.2">
      <c r="A7072"/>
      <c r="B7072"/>
      <c r="H7072"/>
      <c r="I7072" s="17"/>
      <c r="J7072" s="17"/>
      <c r="K7072" s="17"/>
    </row>
    <row r="7073" spans="1:11" x14ac:dyDescent="0.2">
      <c r="A7073"/>
      <c r="B7073"/>
      <c r="H7073"/>
      <c r="I7073" s="17"/>
      <c r="J7073" s="17"/>
      <c r="K7073" s="17"/>
    </row>
    <row r="7074" spans="1:11" x14ac:dyDescent="0.2">
      <c r="A7074"/>
      <c r="B7074"/>
      <c r="H7074"/>
      <c r="I7074" s="17"/>
      <c r="J7074" s="17"/>
      <c r="K7074" s="17"/>
    </row>
    <row r="7075" spans="1:11" x14ac:dyDescent="0.2">
      <c r="A7075"/>
      <c r="B7075"/>
      <c r="H7075"/>
      <c r="I7075" s="17"/>
      <c r="J7075" s="17"/>
      <c r="K7075" s="17"/>
    </row>
    <row r="7076" spans="1:11" x14ac:dyDescent="0.2">
      <c r="A7076"/>
      <c r="B7076"/>
      <c r="H7076"/>
      <c r="I7076" s="17"/>
      <c r="J7076" s="17"/>
      <c r="K7076" s="17"/>
    </row>
    <row r="7077" spans="1:11" x14ac:dyDescent="0.2">
      <c r="A7077"/>
      <c r="B7077"/>
      <c r="H7077"/>
      <c r="I7077" s="17"/>
      <c r="J7077" s="17"/>
      <c r="K7077" s="17"/>
    </row>
    <row r="7078" spans="1:11" x14ac:dyDescent="0.2">
      <c r="A7078"/>
      <c r="B7078"/>
      <c r="H7078"/>
      <c r="I7078" s="17"/>
      <c r="J7078" s="17"/>
      <c r="K7078" s="17"/>
    </row>
    <row r="7079" spans="1:11" x14ac:dyDescent="0.2">
      <c r="A7079"/>
      <c r="B7079"/>
      <c r="H7079"/>
      <c r="I7079" s="17"/>
      <c r="J7079" s="17"/>
      <c r="K7079" s="17"/>
    </row>
    <row r="7080" spans="1:11" x14ac:dyDescent="0.2">
      <c r="A7080"/>
      <c r="B7080"/>
      <c r="H7080"/>
      <c r="I7080" s="17"/>
      <c r="J7080" s="17"/>
      <c r="K7080" s="17"/>
    </row>
    <row r="7081" spans="1:11" x14ac:dyDescent="0.2">
      <c r="A7081"/>
      <c r="B7081"/>
      <c r="H7081"/>
      <c r="I7081" s="17"/>
      <c r="J7081" s="17"/>
      <c r="K7081" s="17"/>
    </row>
    <row r="7082" spans="1:11" x14ac:dyDescent="0.2">
      <c r="A7082"/>
      <c r="B7082"/>
      <c r="H7082"/>
      <c r="I7082" s="17"/>
      <c r="J7082" s="17"/>
      <c r="K7082" s="17"/>
    </row>
    <row r="7083" spans="1:11" x14ac:dyDescent="0.2">
      <c r="A7083"/>
      <c r="B7083"/>
      <c r="H7083"/>
      <c r="I7083" s="17"/>
      <c r="J7083" s="17"/>
      <c r="K7083" s="17"/>
    </row>
    <row r="7084" spans="1:11" x14ac:dyDescent="0.2">
      <c r="A7084"/>
      <c r="B7084"/>
      <c r="H7084"/>
      <c r="I7084" s="17"/>
      <c r="J7084" s="17"/>
      <c r="K7084" s="17"/>
    </row>
    <row r="7085" spans="1:11" x14ac:dyDescent="0.2">
      <c r="A7085"/>
      <c r="B7085"/>
      <c r="H7085"/>
      <c r="I7085" s="17"/>
      <c r="J7085" s="17"/>
      <c r="K7085" s="17"/>
    </row>
    <row r="7086" spans="1:11" x14ac:dyDescent="0.2">
      <c r="A7086"/>
      <c r="B7086"/>
      <c r="H7086"/>
      <c r="I7086" s="17"/>
      <c r="J7086" s="17"/>
      <c r="K7086" s="17"/>
    </row>
    <row r="7087" spans="1:11" x14ac:dyDescent="0.2">
      <c r="A7087"/>
      <c r="B7087"/>
      <c r="H7087"/>
      <c r="I7087" s="17"/>
      <c r="J7087" s="17"/>
      <c r="K7087" s="17"/>
    </row>
    <row r="7088" spans="1:11" x14ac:dyDescent="0.2">
      <c r="A7088"/>
      <c r="B7088"/>
      <c r="H7088"/>
      <c r="I7088" s="17"/>
      <c r="J7088" s="17"/>
      <c r="K7088" s="17"/>
    </row>
    <row r="7089" spans="1:11" x14ac:dyDescent="0.2">
      <c r="A7089"/>
      <c r="B7089"/>
      <c r="H7089"/>
      <c r="I7089" s="17"/>
      <c r="J7089" s="17"/>
      <c r="K7089" s="17"/>
    </row>
    <row r="7090" spans="1:11" x14ac:dyDescent="0.2">
      <c r="A7090"/>
      <c r="B7090"/>
      <c r="H7090"/>
      <c r="I7090" s="17"/>
      <c r="J7090" s="17"/>
      <c r="K7090" s="17"/>
    </row>
    <row r="7091" spans="1:11" x14ac:dyDescent="0.2">
      <c r="A7091"/>
      <c r="B7091"/>
      <c r="H7091"/>
      <c r="I7091" s="17"/>
      <c r="J7091" s="17"/>
      <c r="K7091" s="17"/>
    </row>
    <row r="7092" spans="1:11" x14ac:dyDescent="0.2">
      <c r="A7092"/>
      <c r="B7092"/>
      <c r="H7092"/>
      <c r="I7092" s="17"/>
      <c r="J7092" s="17"/>
      <c r="K7092" s="17"/>
    </row>
    <row r="7093" spans="1:11" x14ac:dyDescent="0.2">
      <c r="A7093"/>
      <c r="B7093"/>
      <c r="H7093"/>
      <c r="I7093" s="17"/>
      <c r="J7093" s="17"/>
      <c r="K7093" s="17"/>
    </row>
    <row r="7094" spans="1:11" x14ac:dyDescent="0.2">
      <c r="A7094"/>
      <c r="B7094"/>
      <c r="H7094"/>
      <c r="I7094" s="17"/>
      <c r="J7094" s="17"/>
      <c r="K7094" s="17"/>
    </row>
    <row r="7095" spans="1:11" x14ac:dyDescent="0.2">
      <c r="A7095"/>
      <c r="B7095"/>
      <c r="H7095"/>
      <c r="I7095" s="17"/>
      <c r="J7095" s="17"/>
      <c r="K7095" s="17"/>
    </row>
    <row r="7096" spans="1:11" x14ac:dyDescent="0.2">
      <c r="A7096"/>
      <c r="B7096"/>
      <c r="H7096"/>
      <c r="I7096" s="17"/>
      <c r="J7096" s="17"/>
      <c r="K7096" s="17"/>
    </row>
    <row r="7097" spans="1:11" x14ac:dyDescent="0.2">
      <c r="A7097"/>
      <c r="B7097"/>
      <c r="H7097"/>
      <c r="I7097" s="17"/>
      <c r="J7097" s="17"/>
      <c r="K7097" s="17"/>
    </row>
    <row r="7098" spans="1:11" x14ac:dyDescent="0.2">
      <c r="A7098"/>
      <c r="B7098"/>
      <c r="H7098"/>
      <c r="I7098" s="17"/>
      <c r="J7098" s="17"/>
      <c r="K7098" s="17"/>
    </row>
    <row r="7099" spans="1:11" x14ac:dyDescent="0.2">
      <c r="A7099"/>
      <c r="B7099"/>
      <c r="H7099"/>
      <c r="I7099" s="17"/>
      <c r="J7099" s="17"/>
      <c r="K7099" s="17"/>
    </row>
    <row r="7100" spans="1:11" x14ac:dyDescent="0.2">
      <c r="A7100"/>
      <c r="B7100"/>
      <c r="H7100"/>
      <c r="I7100" s="17"/>
      <c r="J7100" s="17"/>
      <c r="K7100" s="17"/>
    </row>
    <row r="7101" spans="1:11" x14ac:dyDescent="0.2">
      <c r="A7101"/>
      <c r="B7101"/>
      <c r="H7101"/>
      <c r="I7101" s="17"/>
      <c r="J7101" s="17"/>
      <c r="K7101" s="17"/>
    </row>
    <row r="7102" spans="1:11" x14ac:dyDescent="0.2">
      <c r="A7102"/>
      <c r="B7102"/>
      <c r="H7102"/>
      <c r="I7102" s="17"/>
      <c r="J7102" s="17"/>
      <c r="K7102" s="17"/>
    </row>
    <row r="7103" spans="1:11" x14ac:dyDescent="0.2">
      <c r="A7103"/>
      <c r="B7103"/>
      <c r="H7103"/>
      <c r="I7103" s="17"/>
      <c r="J7103" s="17"/>
      <c r="K7103" s="17"/>
    </row>
    <row r="7104" spans="1:11" x14ac:dyDescent="0.2">
      <c r="A7104"/>
      <c r="B7104"/>
      <c r="H7104"/>
      <c r="I7104" s="17"/>
      <c r="J7104" s="17"/>
      <c r="K7104" s="17"/>
    </row>
    <row r="7105" spans="1:11" x14ac:dyDescent="0.2">
      <c r="A7105"/>
      <c r="B7105"/>
      <c r="H7105"/>
      <c r="I7105" s="17"/>
      <c r="J7105" s="17"/>
      <c r="K7105" s="17"/>
    </row>
    <row r="7106" spans="1:11" x14ac:dyDescent="0.2">
      <c r="A7106"/>
      <c r="B7106"/>
      <c r="H7106"/>
      <c r="I7106" s="17"/>
      <c r="J7106" s="17"/>
      <c r="K7106" s="17"/>
    </row>
    <row r="7107" spans="1:11" x14ac:dyDescent="0.2">
      <c r="A7107"/>
      <c r="B7107"/>
      <c r="H7107"/>
      <c r="I7107" s="17"/>
      <c r="J7107" s="17"/>
      <c r="K7107" s="17"/>
    </row>
    <row r="7108" spans="1:11" x14ac:dyDescent="0.2">
      <c r="A7108"/>
      <c r="B7108"/>
      <c r="H7108"/>
      <c r="I7108" s="17"/>
      <c r="J7108" s="17"/>
      <c r="K7108" s="17"/>
    </row>
    <row r="7109" spans="1:11" x14ac:dyDescent="0.2">
      <c r="A7109"/>
      <c r="B7109"/>
      <c r="H7109"/>
      <c r="I7109" s="17"/>
      <c r="J7109" s="17"/>
      <c r="K7109" s="17"/>
    </row>
    <row r="7110" spans="1:11" x14ac:dyDescent="0.2">
      <c r="A7110"/>
      <c r="B7110"/>
      <c r="H7110"/>
      <c r="I7110" s="17"/>
      <c r="J7110" s="17"/>
      <c r="K7110" s="17"/>
    </row>
    <row r="7111" spans="1:11" x14ac:dyDescent="0.2">
      <c r="A7111"/>
      <c r="B7111"/>
      <c r="H7111"/>
      <c r="I7111" s="17"/>
      <c r="J7111" s="17"/>
      <c r="K7111" s="17"/>
    </row>
    <row r="7112" spans="1:11" x14ac:dyDescent="0.2">
      <c r="A7112"/>
      <c r="B7112"/>
      <c r="H7112"/>
      <c r="I7112" s="17"/>
      <c r="J7112" s="17"/>
      <c r="K7112" s="17"/>
    </row>
    <row r="7113" spans="1:11" x14ac:dyDescent="0.2">
      <c r="A7113"/>
      <c r="B7113"/>
      <c r="H7113"/>
      <c r="I7113" s="17"/>
      <c r="J7113" s="17"/>
      <c r="K7113" s="17"/>
    </row>
    <row r="7114" spans="1:11" x14ac:dyDescent="0.2">
      <c r="A7114"/>
      <c r="B7114"/>
      <c r="H7114"/>
      <c r="I7114" s="17"/>
      <c r="J7114" s="17"/>
      <c r="K7114" s="17"/>
    </row>
    <row r="7115" spans="1:11" x14ac:dyDescent="0.2">
      <c r="A7115"/>
      <c r="B7115"/>
      <c r="H7115"/>
      <c r="I7115" s="17"/>
      <c r="J7115" s="17"/>
      <c r="K7115" s="17"/>
    </row>
    <row r="7116" spans="1:11" x14ac:dyDescent="0.2">
      <c r="A7116"/>
      <c r="B7116"/>
      <c r="H7116"/>
      <c r="I7116" s="17"/>
      <c r="J7116" s="17"/>
      <c r="K7116" s="17"/>
    </row>
    <row r="7117" spans="1:11" x14ac:dyDescent="0.2">
      <c r="A7117"/>
      <c r="B7117"/>
      <c r="H7117"/>
      <c r="I7117" s="17"/>
      <c r="J7117" s="17"/>
      <c r="K7117" s="17"/>
    </row>
    <row r="7118" spans="1:11" x14ac:dyDescent="0.2">
      <c r="A7118"/>
      <c r="B7118"/>
      <c r="H7118"/>
      <c r="I7118" s="17"/>
      <c r="J7118" s="17"/>
      <c r="K7118" s="17"/>
    </row>
    <row r="7119" spans="1:11" x14ac:dyDescent="0.2">
      <c r="A7119"/>
      <c r="B7119"/>
      <c r="H7119"/>
      <c r="I7119" s="17"/>
      <c r="J7119" s="17"/>
      <c r="K7119" s="17"/>
    </row>
    <row r="7120" spans="1:11" x14ac:dyDescent="0.2">
      <c r="A7120"/>
      <c r="B7120"/>
      <c r="H7120"/>
      <c r="I7120" s="17"/>
      <c r="J7120" s="17"/>
      <c r="K7120" s="17"/>
    </row>
    <row r="7121" spans="1:11" x14ac:dyDescent="0.2">
      <c r="A7121"/>
      <c r="B7121"/>
      <c r="H7121"/>
      <c r="I7121" s="17"/>
      <c r="J7121" s="17"/>
      <c r="K7121" s="17"/>
    </row>
    <row r="7122" spans="1:11" x14ac:dyDescent="0.2">
      <c r="A7122"/>
      <c r="B7122"/>
      <c r="H7122"/>
      <c r="I7122" s="17"/>
      <c r="J7122" s="17"/>
      <c r="K7122" s="17"/>
    </row>
    <row r="7123" spans="1:11" x14ac:dyDescent="0.2">
      <c r="A7123"/>
      <c r="B7123"/>
      <c r="H7123"/>
      <c r="I7123" s="17"/>
      <c r="J7123" s="17"/>
      <c r="K7123" s="17"/>
    </row>
    <row r="7124" spans="1:11" x14ac:dyDescent="0.2">
      <c r="A7124"/>
      <c r="B7124"/>
      <c r="H7124"/>
      <c r="I7124" s="17"/>
      <c r="J7124" s="17"/>
      <c r="K7124" s="17"/>
    </row>
    <row r="7125" spans="1:11" x14ac:dyDescent="0.2">
      <c r="A7125"/>
      <c r="B7125"/>
      <c r="H7125"/>
      <c r="I7125" s="17"/>
      <c r="J7125" s="17"/>
      <c r="K7125" s="17"/>
    </row>
    <row r="7126" spans="1:11" x14ac:dyDescent="0.2">
      <c r="A7126"/>
      <c r="B7126"/>
      <c r="H7126"/>
      <c r="I7126" s="17"/>
      <c r="J7126" s="17"/>
      <c r="K7126" s="17"/>
    </row>
    <row r="7127" spans="1:11" x14ac:dyDescent="0.2">
      <c r="A7127"/>
      <c r="B7127"/>
      <c r="H7127"/>
      <c r="I7127" s="17"/>
      <c r="J7127" s="17"/>
      <c r="K7127" s="17"/>
    </row>
    <row r="7128" spans="1:11" x14ac:dyDescent="0.2">
      <c r="A7128"/>
      <c r="B7128"/>
      <c r="H7128"/>
      <c r="I7128" s="17"/>
      <c r="J7128" s="17"/>
      <c r="K7128" s="17"/>
    </row>
    <row r="7129" spans="1:11" x14ac:dyDescent="0.2">
      <c r="A7129"/>
      <c r="B7129"/>
      <c r="H7129"/>
      <c r="I7129" s="17"/>
      <c r="J7129" s="17"/>
      <c r="K7129" s="17"/>
    </row>
    <row r="7130" spans="1:11" x14ac:dyDescent="0.2">
      <c r="A7130"/>
      <c r="B7130"/>
      <c r="H7130"/>
      <c r="I7130" s="17"/>
      <c r="J7130" s="17"/>
      <c r="K7130" s="17"/>
    </row>
    <row r="7131" spans="1:11" x14ac:dyDescent="0.2">
      <c r="A7131"/>
      <c r="B7131"/>
      <c r="H7131"/>
      <c r="I7131" s="17"/>
      <c r="J7131" s="17"/>
      <c r="K7131" s="17"/>
    </row>
    <row r="7132" spans="1:11" x14ac:dyDescent="0.2">
      <c r="A7132"/>
      <c r="B7132"/>
      <c r="H7132"/>
      <c r="I7132" s="17"/>
      <c r="J7132" s="17"/>
      <c r="K7132" s="17"/>
    </row>
    <row r="7133" spans="1:11" x14ac:dyDescent="0.2">
      <c r="A7133"/>
      <c r="B7133"/>
      <c r="H7133"/>
      <c r="I7133" s="17"/>
      <c r="J7133" s="17"/>
      <c r="K7133" s="17"/>
    </row>
    <row r="7134" spans="1:11" x14ac:dyDescent="0.2">
      <c r="A7134"/>
      <c r="B7134"/>
      <c r="H7134"/>
      <c r="I7134" s="17"/>
      <c r="J7134" s="17"/>
      <c r="K7134" s="17"/>
    </row>
    <row r="7135" spans="1:11" x14ac:dyDescent="0.2">
      <c r="A7135"/>
      <c r="B7135"/>
      <c r="H7135"/>
      <c r="I7135" s="17"/>
      <c r="J7135" s="17"/>
      <c r="K7135" s="17"/>
    </row>
    <row r="7136" spans="1:11" x14ac:dyDescent="0.2">
      <c r="A7136"/>
      <c r="B7136"/>
      <c r="H7136"/>
      <c r="I7136" s="17"/>
      <c r="J7136" s="17"/>
      <c r="K7136" s="17"/>
    </row>
    <row r="7137" spans="1:11" x14ac:dyDescent="0.2">
      <c r="A7137"/>
      <c r="B7137"/>
      <c r="H7137"/>
      <c r="I7137" s="17"/>
      <c r="J7137" s="17"/>
      <c r="K7137" s="17"/>
    </row>
    <row r="7138" spans="1:11" x14ac:dyDescent="0.2">
      <c r="A7138"/>
      <c r="B7138"/>
      <c r="H7138"/>
      <c r="I7138" s="17"/>
      <c r="J7138" s="17"/>
      <c r="K7138" s="17"/>
    </row>
    <row r="7139" spans="1:11" x14ac:dyDescent="0.2">
      <c r="A7139"/>
      <c r="B7139"/>
      <c r="H7139"/>
      <c r="I7139" s="17"/>
      <c r="J7139" s="17"/>
      <c r="K7139" s="17"/>
    </row>
    <row r="7140" spans="1:11" x14ac:dyDescent="0.2">
      <c r="A7140"/>
      <c r="B7140"/>
      <c r="H7140"/>
      <c r="I7140" s="17"/>
      <c r="J7140" s="17"/>
      <c r="K7140" s="17"/>
    </row>
    <row r="7141" spans="1:11" x14ac:dyDescent="0.2">
      <c r="A7141"/>
      <c r="B7141"/>
      <c r="H7141"/>
      <c r="I7141" s="17"/>
      <c r="J7141" s="17"/>
      <c r="K7141" s="17"/>
    </row>
    <row r="7142" spans="1:11" x14ac:dyDescent="0.2">
      <c r="A7142"/>
      <c r="B7142"/>
      <c r="H7142"/>
      <c r="I7142" s="17"/>
      <c r="J7142" s="17"/>
      <c r="K7142" s="17"/>
    </row>
    <row r="7143" spans="1:11" x14ac:dyDescent="0.2">
      <c r="A7143"/>
      <c r="B7143"/>
      <c r="H7143"/>
      <c r="I7143" s="17"/>
      <c r="J7143" s="17"/>
      <c r="K7143" s="17"/>
    </row>
    <row r="7144" spans="1:11" x14ac:dyDescent="0.2">
      <c r="A7144"/>
      <c r="B7144"/>
      <c r="H7144"/>
      <c r="I7144" s="17"/>
      <c r="J7144" s="17"/>
      <c r="K7144" s="17"/>
    </row>
    <row r="7145" spans="1:11" x14ac:dyDescent="0.2">
      <c r="A7145"/>
      <c r="B7145"/>
      <c r="H7145"/>
      <c r="I7145" s="17"/>
      <c r="J7145" s="17"/>
      <c r="K7145" s="17"/>
    </row>
    <row r="7146" spans="1:11" x14ac:dyDescent="0.2">
      <c r="A7146"/>
      <c r="B7146"/>
      <c r="H7146"/>
      <c r="I7146" s="17"/>
      <c r="J7146" s="17"/>
      <c r="K7146" s="17"/>
    </row>
    <row r="7147" spans="1:11" x14ac:dyDescent="0.2">
      <c r="A7147"/>
      <c r="B7147"/>
      <c r="H7147"/>
      <c r="I7147" s="17"/>
      <c r="J7147" s="17"/>
      <c r="K7147" s="17"/>
    </row>
    <row r="7148" spans="1:11" x14ac:dyDescent="0.2">
      <c r="A7148"/>
      <c r="B7148"/>
      <c r="H7148"/>
      <c r="I7148" s="17"/>
      <c r="J7148" s="17"/>
      <c r="K7148" s="17"/>
    </row>
    <row r="7149" spans="1:11" x14ac:dyDescent="0.2">
      <c r="A7149"/>
      <c r="B7149"/>
      <c r="H7149"/>
      <c r="I7149" s="17"/>
      <c r="J7149" s="17"/>
      <c r="K7149" s="17"/>
    </row>
    <row r="7150" spans="1:11" x14ac:dyDescent="0.2">
      <c r="A7150"/>
      <c r="B7150"/>
      <c r="H7150"/>
      <c r="I7150" s="17"/>
      <c r="J7150" s="17"/>
      <c r="K7150" s="17"/>
    </row>
    <row r="7151" spans="1:11" x14ac:dyDescent="0.2">
      <c r="A7151"/>
      <c r="B7151"/>
      <c r="H7151"/>
      <c r="I7151" s="17"/>
      <c r="J7151" s="17"/>
      <c r="K7151" s="17"/>
    </row>
    <row r="7152" spans="1:11" x14ac:dyDescent="0.2">
      <c r="A7152"/>
      <c r="B7152"/>
      <c r="H7152"/>
      <c r="I7152" s="17"/>
      <c r="J7152" s="17"/>
      <c r="K7152" s="17"/>
    </row>
    <row r="7153" spans="1:11" x14ac:dyDescent="0.2">
      <c r="A7153"/>
      <c r="B7153"/>
      <c r="H7153"/>
      <c r="I7153" s="17"/>
      <c r="J7153" s="17"/>
      <c r="K7153" s="17"/>
    </row>
    <row r="7154" spans="1:11" x14ac:dyDescent="0.2">
      <c r="A7154"/>
      <c r="B7154"/>
      <c r="H7154"/>
      <c r="I7154" s="17"/>
      <c r="J7154" s="17"/>
      <c r="K7154" s="17"/>
    </row>
    <row r="7155" spans="1:11" x14ac:dyDescent="0.2">
      <c r="A7155"/>
      <c r="B7155"/>
      <c r="H7155"/>
      <c r="I7155" s="17"/>
      <c r="J7155" s="17"/>
      <c r="K7155" s="17"/>
    </row>
    <row r="7156" spans="1:11" x14ac:dyDescent="0.2">
      <c r="A7156"/>
      <c r="B7156"/>
      <c r="H7156"/>
      <c r="I7156" s="17"/>
      <c r="J7156" s="17"/>
      <c r="K7156" s="17"/>
    </row>
    <row r="7157" spans="1:11" x14ac:dyDescent="0.2">
      <c r="A7157"/>
      <c r="B7157"/>
      <c r="H7157"/>
      <c r="I7157" s="17"/>
      <c r="J7157" s="17"/>
      <c r="K7157" s="17"/>
    </row>
    <row r="7158" spans="1:11" x14ac:dyDescent="0.2">
      <c r="A7158"/>
      <c r="B7158"/>
      <c r="H7158"/>
      <c r="I7158" s="17"/>
      <c r="J7158" s="17"/>
      <c r="K7158" s="17"/>
    </row>
    <row r="7159" spans="1:11" x14ac:dyDescent="0.2">
      <c r="A7159"/>
      <c r="B7159"/>
      <c r="H7159"/>
      <c r="I7159" s="17"/>
      <c r="J7159" s="17"/>
      <c r="K7159" s="17"/>
    </row>
    <row r="7160" spans="1:11" x14ac:dyDescent="0.2">
      <c r="A7160"/>
      <c r="B7160"/>
      <c r="H7160"/>
      <c r="I7160" s="17"/>
      <c r="J7160" s="17"/>
      <c r="K7160" s="17"/>
    </row>
    <row r="7161" spans="1:11" x14ac:dyDescent="0.2">
      <c r="A7161"/>
      <c r="B7161"/>
      <c r="H7161"/>
      <c r="I7161" s="17"/>
      <c r="J7161" s="17"/>
      <c r="K7161" s="17"/>
    </row>
    <row r="7162" spans="1:11" x14ac:dyDescent="0.2">
      <c r="A7162"/>
      <c r="B7162"/>
      <c r="H7162"/>
      <c r="I7162" s="17"/>
      <c r="J7162" s="17"/>
      <c r="K7162" s="17"/>
    </row>
    <row r="7163" spans="1:11" x14ac:dyDescent="0.2">
      <c r="A7163"/>
      <c r="B7163"/>
      <c r="H7163"/>
      <c r="I7163" s="17"/>
      <c r="J7163" s="17"/>
      <c r="K7163" s="17"/>
    </row>
    <row r="7164" spans="1:11" x14ac:dyDescent="0.2">
      <c r="A7164"/>
      <c r="B7164"/>
      <c r="H7164"/>
      <c r="I7164" s="17"/>
      <c r="J7164" s="17"/>
      <c r="K7164" s="17"/>
    </row>
    <row r="7165" spans="1:11" x14ac:dyDescent="0.2">
      <c r="A7165"/>
      <c r="B7165"/>
      <c r="H7165"/>
      <c r="I7165" s="17"/>
      <c r="J7165" s="17"/>
      <c r="K7165" s="17"/>
    </row>
    <row r="7166" spans="1:11" x14ac:dyDescent="0.2">
      <c r="A7166"/>
      <c r="B7166"/>
      <c r="H7166"/>
      <c r="I7166" s="17"/>
      <c r="J7166" s="17"/>
      <c r="K7166" s="17"/>
    </row>
    <row r="7167" spans="1:11" x14ac:dyDescent="0.2">
      <c r="A7167"/>
      <c r="B7167"/>
      <c r="H7167"/>
      <c r="I7167" s="17"/>
      <c r="J7167" s="17"/>
      <c r="K7167" s="17"/>
    </row>
    <row r="7168" spans="1:11" x14ac:dyDescent="0.2">
      <c r="A7168"/>
      <c r="B7168"/>
      <c r="H7168"/>
      <c r="I7168" s="17"/>
      <c r="J7168" s="17"/>
      <c r="K7168" s="17"/>
    </row>
    <row r="7169" spans="1:11" x14ac:dyDescent="0.2">
      <c r="A7169"/>
      <c r="B7169"/>
      <c r="H7169"/>
      <c r="I7169" s="17"/>
      <c r="J7169" s="17"/>
      <c r="K7169" s="17"/>
    </row>
    <row r="7170" spans="1:11" x14ac:dyDescent="0.2">
      <c r="A7170"/>
      <c r="B7170"/>
      <c r="H7170"/>
      <c r="I7170" s="17"/>
      <c r="J7170" s="17"/>
      <c r="K7170" s="17"/>
    </row>
    <row r="7171" spans="1:11" x14ac:dyDescent="0.2">
      <c r="A7171"/>
      <c r="B7171"/>
      <c r="H7171"/>
      <c r="I7171" s="17"/>
      <c r="J7171" s="17"/>
      <c r="K7171" s="17"/>
    </row>
    <row r="7172" spans="1:11" x14ac:dyDescent="0.2">
      <c r="A7172"/>
      <c r="B7172"/>
      <c r="H7172"/>
      <c r="I7172" s="17"/>
      <c r="J7172" s="17"/>
      <c r="K7172" s="17"/>
    </row>
    <row r="7173" spans="1:11" x14ac:dyDescent="0.2">
      <c r="A7173"/>
      <c r="B7173"/>
      <c r="H7173"/>
      <c r="I7173" s="17"/>
      <c r="J7173" s="17"/>
      <c r="K7173" s="17"/>
    </row>
    <row r="7174" spans="1:11" x14ac:dyDescent="0.2">
      <c r="A7174"/>
      <c r="B7174"/>
      <c r="H7174"/>
      <c r="I7174" s="17"/>
      <c r="J7174" s="17"/>
      <c r="K7174" s="17"/>
    </row>
    <row r="7175" spans="1:11" x14ac:dyDescent="0.2">
      <c r="A7175"/>
      <c r="B7175"/>
      <c r="H7175"/>
      <c r="I7175" s="17"/>
      <c r="J7175" s="17"/>
      <c r="K7175" s="17"/>
    </row>
    <row r="7176" spans="1:11" x14ac:dyDescent="0.2">
      <c r="A7176"/>
      <c r="B7176"/>
      <c r="H7176"/>
      <c r="I7176" s="17"/>
      <c r="J7176" s="17"/>
      <c r="K7176" s="17"/>
    </row>
    <row r="7177" spans="1:11" x14ac:dyDescent="0.2">
      <c r="A7177"/>
      <c r="B7177"/>
      <c r="H7177"/>
      <c r="I7177" s="17"/>
      <c r="J7177" s="17"/>
      <c r="K7177" s="17"/>
    </row>
    <row r="7178" spans="1:11" x14ac:dyDescent="0.2">
      <c r="A7178"/>
      <c r="B7178"/>
      <c r="H7178"/>
      <c r="I7178" s="17"/>
      <c r="J7178" s="17"/>
      <c r="K7178" s="17"/>
    </row>
    <row r="7179" spans="1:11" x14ac:dyDescent="0.2">
      <c r="A7179"/>
      <c r="B7179"/>
      <c r="H7179"/>
      <c r="I7179" s="17"/>
      <c r="J7179" s="17"/>
      <c r="K7179" s="17"/>
    </row>
    <row r="7180" spans="1:11" x14ac:dyDescent="0.2">
      <c r="A7180"/>
      <c r="B7180"/>
      <c r="H7180"/>
      <c r="I7180" s="17"/>
      <c r="J7180" s="17"/>
      <c r="K7180" s="17"/>
    </row>
    <row r="7181" spans="1:11" x14ac:dyDescent="0.2">
      <c r="A7181"/>
      <c r="B7181"/>
      <c r="H7181"/>
      <c r="I7181" s="17"/>
      <c r="J7181" s="17"/>
      <c r="K7181" s="17"/>
    </row>
    <row r="7182" spans="1:11" x14ac:dyDescent="0.2">
      <c r="A7182"/>
      <c r="B7182"/>
      <c r="H7182"/>
      <c r="I7182" s="17"/>
      <c r="J7182" s="17"/>
      <c r="K7182" s="17"/>
    </row>
    <row r="7183" spans="1:11" x14ac:dyDescent="0.2">
      <c r="A7183"/>
      <c r="B7183"/>
      <c r="H7183"/>
      <c r="I7183" s="17"/>
      <c r="J7183" s="17"/>
      <c r="K7183" s="17"/>
    </row>
    <row r="7184" spans="1:11" x14ac:dyDescent="0.2">
      <c r="A7184"/>
      <c r="B7184"/>
      <c r="H7184"/>
      <c r="I7184" s="17"/>
      <c r="J7184" s="17"/>
      <c r="K7184" s="17"/>
    </row>
    <row r="7185" spans="1:11" x14ac:dyDescent="0.2">
      <c r="A7185"/>
      <c r="B7185"/>
      <c r="H7185"/>
      <c r="I7185" s="17"/>
      <c r="J7185" s="17"/>
      <c r="K7185" s="17"/>
    </row>
    <row r="7186" spans="1:11" x14ac:dyDescent="0.2">
      <c r="A7186"/>
      <c r="B7186"/>
      <c r="H7186"/>
      <c r="I7186" s="17"/>
      <c r="J7186" s="17"/>
      <c r="K7186" s="17"/>
    </row>
    <row r="7187" spans="1:11" x14ac:dyDescent="0.2">
      <c r="A7187"/>
      <c r="B7187"/>
      <c r="H7187"/>
      <c r="I7187" s="17"/>
      <c r="J7187" s="17"/>
      <c r="K7187" s="17"/>
    </row>
    <row r="7188" spans="1:11" x14ac:dyDescent="0.2">
      <c r="A7188"/>
      <c r="B7188"/>
      <c r="H7188"/>
      <c r="I7188" s="17"/>
      <c r="J7188" s="17"/>
      <c r="K7188" s="17"/>
    </row>
    <row r="7189" spans="1:11" x14ac:dyDescent="0.2">
      <c r="A7189"/>
      <c r="B7189"/>
      <c r="H7189"/>
      <c r="I7189" s="17"/>
      <c r="J7189" s="17"/>
      <c r="K7189" s="17"/>
    </row>
    <row r="7190" spans="1:11" x14ac:dyDescent="0.2">
      <c r="A7190"/>
      <c r="B7190"/>
      <c r="H7190"/>
      <c r="I7190" s="17"/>
      <c r="J7190" s="17"/>
      <c r="K7190" s="17"/>
    </row>
    <row r="7191" spans="1:11" x14ac:dyDescent="0.2">
      <c r="A7191"/>
      <c r="B7191"/>
      <c r="H7191"/>
      <c r="I7191" s="17"/>
      <c r="J7191" s="17"/>
      <c r="K7191" s="17"/>
    </row>
    <row r="7192" spans="1:11" x14ac:dyDescent="0.2">
      <c r="A7192"/>
      <c r="B7192"/>
      <c r="H7192"/>
      <c r="I7192" s="17"/>
      <c r="J7192" s="17"/>
      <c r="K7192" s="17"/>
    </row>
    <row r="7193" spans="1:11" x14ac:dyDescent="0.2">
      <c r="A7193"/>
      <c r="B7193"/>
      <c r="H7193"/>
      <c r="I7193" s="17"/>
      <c r="J7193" s="17"/>
      <c r="K7193" s="17"/>
    </row>
    <row r="7194" spans="1:11" x14ac:dyDescent="0.2">
      <c r="A7194"/>
      <c r="B7194"/>
      <c r="H7194"/>
      <c r="I7194" s="17"/>
      <c r="J7194" s="17"/>
      <c r="K7194" s="17"/>
    </row>
    <row r="7195" spans="1:11" x14ac:dyDescent="0.2">
      <c r="A7195"/>
      <c r="B7195"/>
      <c r="H7195"/>
      <c r="I7195" s="17"/>
      <c r="J7195" s="17"/>
      <c r="K7195" s="17"/>
    </row>
    <row r="7196" spans="1:11" x14ac:dyDescent="0.2">
      <c r="A7196"/>
      <c r="B7196"/>
      <c r="H7196"/>
      <c r="I7196" s="17"/>
      <c r="J7196" s="17"/>
      <c r="K7196" s="17"/>
    </row>
    <row r="7197" spans="1:11" x14ac:dyDescent="0.2">
      <c r="A7197"/>
      <c r="B7197"/>
      <c r="H7197"/>
      <c r="I7197" s="17"/>
      <c r="J7197" s="17"/>
      <c r="K7197" s="17"/>
    </row>
    <row r="7198" spans="1:11" x14ac:dyDescent="0.2">
      <c r="A7198"/>
      <c r="B7198"/>
      <c r="H7198"/>
      <c r="I7198" s="17"/>
      <c r="J7198" s="17"/>
      <c r="K7198" s="17"/>
    </row>
    <row r="7199" spans="1:11" x14ac:dyDescent="0.2">
      <c r="A7199"/>
      <c r="B7199"/>
      <c r="H7199"/>
      <c r="I7199" s="17"/>
      <c r="J7199" s="17"/>
      <c r="K7199" s="17"/>
    </row>
    <row r="7200" spans="1:11" x14ac:dyDescent="0.2">
      <c r="A7200"/>
      <c r="B7200"/>
      <c r="H7200"/>
      <c r="I7200" s="17"/>
      <c r="J7200" s="17"/>
      <c r="K7200" s="17"/>
    </row>
    <row r="7201" spans="1:11" x14ac:dyDescent="0.2">
      <c r="A7201"/>
      <c r="B7201"/>
      <c r="H7201"/>
      <c r="I7201" s="17"/>
      <c r="J7201" s="17"/>
      <c r="K7201" s="17"/>
    </row>
    <row r="7202" spans="1:11" x14ac:dyDescent="0.2">
      <c r="A7202"/>
      <c r="B7202"/>
      <c r="H7202"/>
      <c r="I7202" s="17"/>
      <c r="J7202" s="17"/>
      <c r="K7202" s="17"/>
    </row>
    <row r="7203" spans="1:11" x14ac:dyDescent="0.2">
      <c r="A7203"/>
      <c r="B7203"/>
      <c r="H7203"/>
      <c r="I7203" s="17"/>
      <c r="J7203" s="17"/>
      <c r="K7203" s="17"/>
    </row>
    <row r="7204" spans="1:11" x14ac:dyDescent="0.2">
      <c r="A7204"/>
      <c r="B7204"/>
      <c r="H7204"/>
      <c r="I7204" s="17"/>
      <c r="J7204" s="17"/>
      <c r="K7204" s="17"/>
    </row>
    <row r="7205" spans="1:11" x14ac:dyDescent="0.2">
      <c r="A7205"/>
      <c r="B7205"/>
      <c r="H7205"/>
      <c r="I7205" s="17"/>
      <c r="J7205" s="17"/>
      <c r="K7205" s="17"/>
    </row>
    <row r="7206" spans="1:11" x14ac:dyDescent="0.2">
      <c r="A7206"/>
      <c r="B7206"/>
      <c r="H7206"/>
      <c r="I7206" s="17"/>
      <c r="J7206" s="17"/>
      <c r="K7206" s="17"/>
    </row>
    <row r="7207" spans="1:11" x14ac:dyDescent="0.2">
      <c r="A7207"/>
      <c r="B7207"/>
      <c r="H7207"/>
      <c r="I7207" s="17"/>
      <c r="J7207" s="17"/>
      <c r="K7207" s="17"/>
    </row>
    <row r="7208" spans="1:11" x14ac:dyDescent="0.2">
      <c r="A7208"/>
      <c r="B7208"/>
      <c r="H7208"/>
      <c r="I7208" s="17"/>
      <c r="J7208" s="17"/>
      <c r="K7208" s="17"/>
    </row>
    <row r="7209" spans="1:11" x14ac:dyDescent="0.2">
      <c r="A7209"/>
      <c r="B7209"/>
      <c r="H7209"/>
      <c r="I7209" s="17"/>
      <c r="J7209" s="17"/>
      <c r="K7209" s="17"/>
    </row>
    <row r="7210" spans="1:11" x14ac:dyDescent="0.2">
      <c r="A7210"/>
      <c r="B7210"/>
      <c r="H7210"/>
      <c r="I7210" s="17"/>
      <c r="J7210" s="17"/>
      <c r="K7210" s="17"/>
    </row>
    <row r="7211" spans="1:11" x14ac:dyDescent="0.2">
      <c r="A7211"/>
      <c r="B7211"/>
      <c r="H7211"/>
      <c r="I7211" s="17"/>
      <c r="J7211" s="17"/>
      <c r="K7211" s="17"/>
    </row>
    <row r="7212" spans="1:11" x14ac:dyDescent="0.2">
      <c r="A7212"/>
      <c r="B7212"/>
      <c r="H7212"/>
      <c r="I7212" s="17"/>
      <c r="J7212" s="17"/>
      <c r="K7212" s="17"/>
    </row>
    <row r="7213" spans="1:11" x14ac:dyDescent="0.2">
      <c r="A7213"/>
      <c r="B7213"/>
      <c r="H7213"/>
      <c r="I7213" s="17"/>
      <c r="J7213" s="17"/>
      <c r="K7213" s="17"/>
    </row>
    <row r="7214" spans="1:11" x14ac:dyDescent="0.2">
      <c r="A7214"/>
      <c r="B7214"/>
      <c r="H7214"/>
      <c r="I7214" s="17"/>
      <c r="J7214" s="17"/>
      <c r="K7214" s="17"/>
    </row>
    <row r="7215" spans="1:11" x14ac:dyDescent="0.2">
      <c r="A7215"/>
      <c r="B7215"/>
      <c r="H7215"/>
      <c r="I7215" s="17"/>
      <c r="J7215" s="17"/>
      <c r="K7215" s="17"/>
    </row>
    <row r="7216" spans="1:11" x14ac:dyDescent="0.2">
      <c r="A7216"/>
      <c r="B7216"/>
      <c r="H7216"/>
      <c r="I7216" s="17"/>
      <c r="J7216" s="17"/>
      <c r="K7216" s="17"/>
    </row>
    <row r="7217" spans="1:11" x14ac:dyDescent="0.2">
      <c r="A7217"/>
      <c r="B7217"/>
      <c r="H7217"/>
      <c r="I7217" s="17"/>
      <c r="J7217" s="17"/>
      <c r="K7217" s="17"/>
    </row>
    <row r="7218" spans="1:11" x14ac:dyDescent="0.2">
      <c r="A7218"/>
      <c r="B7218"/>
      <c r="H7218"/>
      <c r="I7218" s="17"/>
      <c r="J7218" s="17"/>
      <c r="K7218" s="17"/>
    </row>
    <row r="7219" spans="1:11" x14ac:dyDescent="0.2">
      <c r="A7219"/>
      <c r="B7219"/>
      <c r="H7219"/>
      <c r="I7219" s="17"/>
      <c r="J7219" s="17"/>
      <c r="K7219" s="17"/>
    </row>
    <row r="7220" spans="1:11" x14ac:dyDescent="0.2">
      <c r="A7220"/>
      <c r="B7220"/>
      <c r="H7220"/>
      <c r="I7220" s="17"/>
      <c r="J7220" s="17"/>
      <c r="K7220" s="17"/>
    </row>
    <row r="7221" spans="1:11" x14ac:dyDescent="0.2">
      <c r="A7221"/>
      <c r="B7221"/>
      <c r="H7221"/>
      <c r="I7221" s="17"/>
      <c r="J7221" s="17"/>
      <c r="K7221" s="17"/>
    </row>
    <row r="7222" spans="1:11" x14ac:dyDescent="0.2">
      <c r="A7222"/>
      <c r="B7222"/>
      <c r="H7222"/>
      <c r="I7222" s="17"/>
      <c r="J7222" s="17"/>
      <c r="K7222" s="17"/>
    </row>
    <row r="7223" spans="1:11" x14ac:dyDescent="0.2">
      <c r="A7223"/>
      <c r="B7223"/>
      <c r="H7223"/>
      <c r="I7223" s="17"/>
      <c r="J7223" s="17"/>
      <c r="K7223" s="17"/>
    </row>
    <row r="7224" spans="1:11" x14ac:dyDescent="0.2">
      <c r="A7224"/>
      <c r="B7224"/>
      <c r="H7224"/>
      <c r="I7224" s="17"/>
      <c r="J7224" s="17"/>
      <c r="K7224" s="17"/>
    </row>
    <row r="7225" spans="1:11" x14ac:dyDescent="0.2">
      <c r="A7225"/>
      <c r="B7225"/>
      <c r="H7225"/>
      <c r="I7225" s="17"/>
      <c r="J7225" s="17"/>
      <c r="K7225" s="17"/>
    </row>
    <row r="7226" spans="1:11" x14ac:dyDescent="0.2">
      <c r="A7226"/>
      <c r="B7226"/>
      <c r="H7226"/>
      <c r="I7226" s="17"/>
      <c r="J7226" s="17"/>
      <c r="K7226" s="17"/>
    </row>
    <row r="7227" spans="1:11" x14ac:dyDescent="0.2">
      <c r="A7227"/>
      <c r="B7227"/>
      <c r="H7227"/>
      <c r="I7227" s="17"/>
      <c r="J7227" s="17"/>
      <c r="K7227" s="17"/>
    </row>
    <row r="7228" spans="1:11" x14ac:dyDescent="0.2">
      <c r="A7228"/>
      <c r="B7228"/>
      <c r="H7228"/>
      <c r="I7228" s="17"/>
      <c r="J7228" s="17"/>
      <c r="K7228" s="17"/>
    </row>
    <row r="7229" spans="1:11" x14ac:dyDescent="0.2">
      <c r="A7229"/>
      <c r="B7229"/>
      <c r="H7229"/>
      <c r="I7229" s="17"/>
      <c r="J7229" s="17"/>
      <c r="K7229" s="17"/>
    </row>
    <row r="7230" spans="1:11" x14ac:dyDescent="0.2">
      <c r="A7230"/>
      <c r="B7230"/>
      <c r="H7230"/>
      <c r="I7230" s="17"/>
      <c r="J7230" s="17"/>
      <c r="K7230" s="17"/>
    </row>
    <row r="7231" spans="1:11" x14ac:dyDescent="0.2">
      <c r="A7231"/>
      <c r="B7231"/>
      <c r="H7231"/>
      <c r="I7231" s="17"/>
      <c r="J7231" s="17"/>
      <c r="K7231" s="17"/>
    </row>
    <row r="7232" spans="1:11" x14ac:dyDescent="0.2">
      <c r="A7232"/>
      <c r="B7232"/>
      <c r="H7232"/>
      <c r="I7232" s="17"/>
      <c r="J7232" s="17"/>
      <c r="K7232" s="17"/>
    </row>
    <row r="7233" spans="1:11" x14ac:dyDescent="0.2">
      <c r="A7233"/>
      <c r="B7233"/>
      <c r="H7233"/>
      <c r="I7233" s="17"/>
      <c r="J7233" s="17"/>
      <c r="K7233" s="17"/>
    </row>
    <row r="7234" spans="1:11" x14ac:dyDescent="0.2">
      <c r="A7234"/>
      <c r="B7234"/>
      <c r="H7234"/>
      <c r="I7234" s="17"/>
      <c r="J7234" s="17"/>
      <c r="K7234" s="17"/>
    </row>
    <row r="7235" spans="1:11" x14ac:dyDescent="0.2">
      <c r="A7235"/>
      <c r="B7235"/>
      <c r="H7235"/>
      <c r="I7235" s="17"/>
      <c r="J7235" s="17"/>
      <c r="K7235" s="17"/>
    </row>
    <row r="7236" spans="1:11" x14ac:dyDescent="0.2">
      <c r="A7236"/>
      <c r="B7236"/>
      <c r="H7236"/>
      <c r="I7236" s="17"/>
      <c r="J7236" s="17"/>
      <c r="K7236" s="17"/>
    </row>
    <row r="7237" spans="1:11" x14ac:dyDescent="0.2">
      <c r="A7237"/>
      <c r="B7237"/>
      <c r="H7237"/>
      <c r="I7237" s="17"/>
      <c r="J7237" s="17"/>
      <c r="K7237" s="17"/>
    </row>
    <row r="7238" spans="1:11" x14ac:dyDescent="0.2">
      <c r="A7238"/>
      <c r="B7238"/>
      <c r="H7238"/>
      <c r="I7238" s="17"/>
      <c r="J7238" s="17"/>
      <c r="K7238" s="17"/>
    </row>
    <row r="7239" spans="1:11" x14ac:dyDescent="0.2">
      <c r="A7239"/>
      <c r="B7239"/>
      <c r="H7239"/>
      <c r="I7239" s="17"/>
      <c r="J7239" s="17"/>
      <c r="K7239" s="17"/>
    </row>
    <row r="7240" spans="1:11" x14ac:dyDescent="0.2">
      <c r="A7240"/>
      <c r="B7240"/>
      <c r="H7240"/>
      <c r="I7240" s="17"/>
      <c r="J7240" s="17"/>
      <c r="K7240" s="17"/>
    </row>
    <row r="7241" spans="1:11" x14ac:dyDescent="0.2">
      <c r="A7241"/>
      <c r="B7241"/>
      <c r="H7241"/>
      <c r="I7241" s="17"/>
      <c r="J7241" s="17"/>
      <c r="K7241" s="17"/>
    </row>
    <row r="7242" spans="1:11" x14ac:dyDescent="0.2">
      <c r="A7242"/>
      <c r="B7242"/>
      <c r="H7242"/>
      <c r="I7242" s="17"/>
      <c r="J7242" s="17"/>
      <c r="K7242" s="17"/>
    </row>
    <row r="7243" spans="1:11" x14ac:dyDescent="0.2">
      <c r="A7243"/>
      <c r="B7243"/>
      <c r="H7243"/>
      <c r="I7243" s="17"/>
      <c r="J7243" s="17"/>
      <c r="K7243" s="17"/>
    </row>
    <row r="7244" spans="1:11" x14ac:dyDescent="0.2">
      <c r="A7244"/>
      <c r="B7244"/>
      <c r="H7244"/>
      <c r="I7244" s="17"/>
      <c r="J7244" s="17"/>
      <c r="K7244" s="17"/>
    </row>
    <row r="7245" spans="1:11" x14ac:dyDescent="0.2">
      <c r="A7245"/>
      <c r="B7245"/>
      <c r="H7245"/>
      <c r="I7245" s="17"/>
      <c r="J7245" s="17"/>
      <c r="K7245" s="17"/>
    </row>
    <row r="7246" spans="1:11" x14ac:dyDescent="0.2">
      <c r="A7246"/>
      <c r="B7246"/>
      <c r="H7246"/>
      <c r="I7246" s="17"/>
      <c r="J7246" s="17"/>
      <c r="K7246" s="17"/>
    </row>
    <row r="7247" spans="1:11" x14ac:dyDescent="0.2">
      <c r="A7247"/>
      <c r="B7247"/>
      <c r="H7247"/>
      <c r="I7247" s="17"/>
      <c r="J7247" s="17"/>
      <c r="K7247" s="17"/>
    </row>
    <row r="7248" spans="1:11" x14ac:dyDescent="0.2">
      <c r="A7248"/>
      <c r="B7248"/>
      <c r="H7248"/>
      <c r="I7248" s="17"/>
      <c r="J7248" s="17"/>
      <c r="K7248" s="17"/>
    </row>
    <row r="7249" spans="1:11" x14ac:dyDescent="0.2">
      <c r="A7249"/>
      <c r="B7249"/>
      <c r="H7249"/>
      <c r="I7249" s="17"/>
      <c r="J7249" s="17"/>
      <c r="K7249" s="17"/>
    </row>
    <row r="7250" spans="1:11" x14ac:dyDescent="0.2">
      <c r="A7250"/>
      <c r="B7250"/>
      <c r="H7250"/>
      <c r="I7250" s="17"/>
      <c r="J7250" s="17"/>
      <c r="K7250" s="17"/>
    </row>
    <row r="7251" spans="1:11" x14ac:dyDescent="0.2">
      <c r="A7251"/>
      <c r="B7251"/>
      <c r="H7251"/>
      <c r="I7251" s="17"/>
      <c r="J7251" s="17"/>
      <c r="K7251" s="17"/>
    </row>
    <row r="7252" spans="1:11" x14ac:dyDescent="0.2">
      <c r="A7252"/>
      <c r="B7252"/>
      <c r="H7252"/>
      <c r="I7252" s="17"/>
      <c r="J7252" s="17"/>
      <c r="K7252" s="17"/>
    </row>
    <row r="7253" spans="1:11" x14ac:dyDescent="0.2">
      <c r="A7253"/>
      <c r="B7253"/>
      <c r="H7253"/>
      <c r="I7253" s="17"/>
      <c r="J7253" s="17"/>
      <c r="K7253" s="17"/>
    </row>
    <row r="7254" spans="1:11" x14ac:dyDescent="0.2">
      <c r="A7254"/>
      <c r="B7254"/>
      <c r="H7254"/>
      <c r="I7254" s="17"/>
      <c r="J7254" s="17"/>
      <c r="K7254" s="17"/>
    </row>
    <row r="7255" spans="1:11" x14ac:dyDescent="0.2">
      <c r="A7255"/>
      <c r="B7255"/>
      <c r="H7255"/>
      <c r="I7255" s="17"/>
      <c r="J7255" s="17"/>
      <c r="K7255" s="17"/>
    </row>
    <row r="7256" spans="1:11" x14ac:dyDescent="0.2">
      <c r="A7256"/>
      <c r="B7256"/>
      <c r="H7256"/>
      <c r="I7256" s="17"/>
      <c r="J7256" s="17"/>
      <c r="K7256" s="17"/>
    </row>
    <row r="7257" spans="1:11" x14ac:dyDescent="0.2">
      <c r="A7257"/>
      <c r="B7257"/>
      <c r="H7257"/>
      <c r="I7257" s="17"/>
      <c r="J7257" s="17"/>
      <c r="K7257" s="17"/>
    </row>
    <row r="7258" spans="1:11" x14ac:dyDescent="0.2">
      <c r="A7258"/>
      <c r="B7258"/>
      <c r="H7258"/>
      <c r="I7258" s="17"/>
      <c r="J7258" s="17"/>
      <c r="K7258" s="17"/>
    </row>
    <row r="7259" spans="1:11" x14ac:dyDescent="0.2">
      <c r="A7259"/>
      <c r="B7259"/>
      <c r="H7259"/>
      <c r="I7259" s="17"/>
      <c r="J7259" s="17"/>
      <c r="K7259" s="17"/>
    </row>
    <row r="7260" spans="1:11" x14ac:dyDescent="0.2">
      <c r="A7260"/>
      <c r="B7260"/>
      <c r="H7260"/>
      <c r="I7260" s="17"/>
      <c r="J7260" s="17"/>
      <c r="K7260" s="17"/>
    </row>
    <row r="7261" spans="1:11" x14ac:dyDescent="0.2">
      <c r="A7261"/>
      <c r="B7261"/>
      <c r="H7261"/>
      <c r="I7261" s="17"/>
      <c r="J7261" s="17"/>
      <c r="K7261" s="17"/>
    </row>
    <row r="7262" spans="1:11" x14ac:dyDescent="0.2">
      <c r="A7262"/>
      <c r="B7262"/>
      <c r="H7262"/>
      <c r="I7262" s="17"/>
      <c r="J7262" s="17"/>
      <c r="K7262" s="17"/>
    </row>
    <row r="7263" spans="1:11" x14ac:dyDescent="0.2">
      <c r="A7263"/>
      <c r="B7263"/>
      <c r="H7263"/>
      <c r="I7263" s="17"/>
      <c r="J7263" s="17"/>
      <c r="K7263" s="17"/>
    </row>
    <row r="7264" spans="1:11" x14ac:dyDescent="0.2">
      <c r="A7264"/>
      <c r="B7264"/>
      <c r="H7264"/>
      <c r="I7264" s="17"/>
      <c r="J7264" s="17"/>
      <c r="K7264" s="17"/>
    </row>
    <row r="7265" spans="1:11" x14ac:dyDescent="0.2">
      <c r="A7265"/>
      <c r="B7265"/>
      <c r="H7265"/>
      <c r="I7265" s="17"/>
      <c r="J7265" s="17"/>
      <c r="K7265" s="17"/>
    </row>
    <row r="7266" spans="1:11" x14ac:dyDescent="0.2">
      <c r="A7266"/>
      <c r="B7266"/>
      <c r="H7266"/>
      <c r="I7266" s="17"/>
      <c r="J7266" s="17"/>
      <c r="K7266" s="17"/>
    </row>
    <row r="7267" spans="1:11" x14ac:dyDescent="0.2">
      <c r="A7267"/>
      <c r="B7267"/>
      <c r="H7267"/>
      <c r="I7267" s="17"/>
      <c r="J7267" s="17"/>
      <c r="K7267" s="17"/>
    </row>
    <row r="7268" spans="1:11" x14ac:dyDescent="0.2">
      <c r="A7268"/>
      <c r="B7268"/>
      <c r="H7268"/>
      <c r="I7268" s="17"/>
      <c r="J7268" s="17"/>
      <c r="K7268" s="17"/>
    </row>
    <row r="7269" spans="1:11" x14ac:dyDescent="0.2">
      <c r="A7269"/>
      <c r="B7269"/>
      <c r="H7269"/>
      <c r="I7269" s="17"/>
      <c r="J7269" s="17"/>
      <c r="K7269" s="17"/>
    </row>
    <row r="7270" spans="1:11" x14ac:dyDescent="0.2">
      <c r="A7270"/>
      <c r="B7270"/>
      <c r="H7270"/>
      <c r="I7270" s="17"/>
      <c r="J7270" s="17"/>
      <c r="K7270" s="17"/>
    </row>
    <row r="7271" spans="1:11" x14ac:dyDescent="0.2">
      <c r="A7271"/>
      <c r="B7271"/>
      <c r="H7271"/>
      <c r="I7271" s="17"/>
      <c r="J7271" s="17"/>
      <c r="K7271" s="17"/>
    </row>
    <row r="7272" spans="1:11" x14ac:dyDescent="0.2">
      <c r="A7272"/>
      <c r="B7272"/>
      <c r="H7272"/>
      <c r="I7272" s="17"/>
      <c r="J7272" s="17"/>
      <c r="K7272" s="17"/>
    </row>
    <row r="7273" spans="1:11" x14ac:dyDescent="0.2">
      <c r="A7273"/>
      <c r="B7273"/>
      <c r="H7273"/>
      <c r="I7273" s="17"/>
      <c r="J7273" s="17"/>
      <c r="K7273" s="17"/>
    </row>
    <row r="7274" spans="1:11" x14ac:dyDescent="0.2">
      <c r="A7274"/>
      <c r="B7274"/>
      <c r="H7274"/>
      <c r="I7274" s="17"/>
      <c r="J7274" s="17"/>
      <c r="K7274" s="17"/>
    </row>
    <row r="7275" spans="1:11" x14ac:dyDescent="0.2">
      <c r="A7275"/>
      <c r="B7275"/>
      <c r="H7275"/>
      <c r="I7275" s="17"/>
      <c r="J7275" s="17"/>
      <c r="K7275" s="17"/>
    </row>
    <row r="7276" spans="1:11" x14ac:dyDescent="0.2">
      <c r="A7276"/>
      <c r="B7276"/>
      <c r="H7276"/>
      <c r="I7276" s="17"/>
      <c r="J7276" s="17"/>
      <c r="K7276" s="17"/>
    </row>
    <row r="7277" spans="1:11" x14ac:dyDescent="0.2">
      <c r="A7277"/>
      <c r="B7277"/>
      <c r="H7277"/>
      <c r="I7277" s="17"/>
      <c r="J7277" s="17"/>
      <c r="K7277" s="17"/>
    </row>
    <row r="7278" spans="1:11" x14ac:dyDescent="0.2">
      <c r="A7278"/>
      <c r="B7278"/>
      <c r="H7278"/>
      <c r="I7278" s="17"/>
      <c r="J7278" s="17"/>
      <c r="K7278" s="17"/>
    </row>
    <row r="7279" spans="1:11" x14ac:dyDescent="0.2">
      <c r="A7279"/>
      <c r="B7279"/>
      <c r="H7279"/>
      <c r="I7279" s="17"/>
      <c r="J7279" s="17"/>
      <c r="K7279" s="17"/>
    </row>
    <row r="7280" spans="1:11" x14ac:dyDescent="0.2">
      <c r="A7280"/>
      <c r="B7280"/>
      <c r="H7280"/>
      <c r="I7280" s="17"/>
      <c r="J7280" s="17"/>
      <c r="K7280" s="17"/>
    </row>
    <row r="7281" spans="1:11" x14ac:dyDescent="0.2">
      <c r="A7281"/>
      <c r="B7281"/>
      <c r="H7281"/>
      <c r="I7281" s="17"/>
      <c r="J7281" s="17"/>
      <c r="K7281" s="17"/>
    </row>
    <row r="7282" spans="1:11" x14ac:dyDescent="0.2">
      <c r="A7282"/>
      <c r="B7282"/>
      <c r="H7282"/>
      <c r="I7282" s="17"/>
      <c r="J7282" s="17"/>
      <c r="K7282" s="17"/>
    </row>
    <row r="7283" spans="1:11" x14ac:dyDescent="0.2">
      <c r="A7283"/>
      <c r="B7283"/>
      <c r="H7283"/>
      <c r="I7283" s="17"/>
      <c r="J7283" s="17"/>
      <c r="K7283" s="17"/>
    </row>
    <row r="7284" spans="1:11" x14ac:dyDescent="0.2">
      <c r="A7284"/>
      <c r="B7284"/>
      <c r="H7284"/>
      <c r="I7284" s="17"/>
      <c r="J7284" s="17"/>
      <c r="K7284" s="17"/>
    </row>
    <row r="7285" spans="1:11" x14ac:dyDescent="0.2">
      <c r="A7285"/>
      <c r="B7285"/>
      <c r="H7285"/>
      <c r="I7285" s="17"/>
      <c r="J7285" s="17"/>
      <c r="K7285" s="17"/>
    </row>
    <row r="7286" spans="1:11" x14ac:dyDescent="0.2">
      <c r="A7286"/>
      <c r="B7286"/>
      <c r="H7286"/>
      <c r="I7286" s="17"/>
      <c r="J7286" s="17"/>
      <c r="K7286" s="17"/>
    </row>
    <row r="7287" spans="1:11" x14ac:dyDescent="0.2">
      <c r="A7287"/>
      <c r="B7287"/>
      <c r="H7287"/>
      <c r="I7287" s="17"/>
      <c r="J7287" s="17"/>
      <c r="K7287" s="17"/>
    </row>
    <row r="7288" spans="1:11" x14ac:dyDescent="0.2">
      <c r="A7288"/>
      <c r="B7288"/>
      <c r="H7288"/>
      <c r="I7288" s="17"/>
      <c r="J7288" s="17"/>
      <c r="K7288" s="17"/>
    </row>
    <row r="7289" spans="1:11" x14ac:dyDescent="0.2">
      <c r="A7289"/>
      <c r="B7289"/>
      <c r="H7289"/>
      <c r="I7289" s="17"/>
      <c r="J7289" s="17"/>
      <c r="K7289" s="17"/>
    </row>
    <row r="7290" spans="1:11" x14ac:dyDescent="0.2">
      <c r="A7290"/>
      <c r="B7290"/>
      <c r="H7290"/>
      <c r="I7290" s="17"/>
      <c r="J7290" s="17"/>
      <c r="K7290" s="17"/>
    </row>
    <row r="7291" spans="1:11" x14ac:dyDescent="0.2">
      <c r="A7291"/>
      <c r="B7291"/>
      <c r="H7291"/>
      <c r="I7291" s="17"/>
      <c r="J7291" s="17"/>
      <c r="K7291" s="17"/>
    </row>
    <row r="7292" spans="1:11" x14ac:dyDescent="0.2">
      <c r="A7292"/>
      <c r="B7292"/>
      <c r="H7292"/>
      <c r="I7292" s="17"/>
      <c r="J7292" s="17"/>
      <c r="K7292" s="17"/>
    </row>
    <row r="7293" spans="1:11" x14ac:dyDescent="0.2">
      <c r="A7293"/>
      <c r="B7293"/>
      <c r="H7293"/>
      <c r="I7293" s="17"/>
      <c r="J7293" s="17"/>
      <c r="K7293" s="17"/>
    </row>
    <row r="7294" spans="1:11" x14ac:dyDescent="0.2">
      <c r="A7294"/>
      <c r="B7294"/>
      <c r="H7294"/>
      <c r="I7294" s="17"/>
      <c r="J7294" s="17"/>
      <c r="K7294" s="17"/>
    </row>
    <row r="7295" spans="1:11" x14ac:dyDescent="0.2">
      <c r="A7295"/>
      <c r="B7295"/>
      <c r="H7295"/>
      <c r="I7295" s="17"/>
      <c r="J7295" s="17"/>
      <c r="K7295" s="17"/>
    </row>
    <row r="7296" spans="1:11" x14ac:dyDescent="0.2">
      <c r="A7296"/>
      <c r="B7296"/>
      <c r="H7296"/>
      <c r="I7296" s="17"/>
      <c r="J7296" s="17"/>
      <c r="K7296" s="17"/>
    </row>
    <row r="7297" spans="1:11" x14ac:dyDescent="0.2">
      <c r="A7297"/>
      <c r="B7297"/>
      <c r="H7297"/>
      <c r="I7297" s="17"/>
      <c r="J7297" s="17"/>
      <c r="K7297" s="17"/>
    </row>
    <row r="7298" spans="1:11" x14ac:dyDescent="0.2">
      <c r="A7298"/>
      <c r="B7298"/>
      <c r="H7298"/>
      <c r="I7298" s="17"/>
      <c r="J7298" s="17"/>
      <c r="K7298" s="17"/>
    </row>
    <row r="7299" spans="1:11" x14ac:dyDescent="0.2">
      <c r="A7299"/>
      <c r="B7299"/>
      <c r="H7299"/>
      <c r="I7299" s="17"/>
      <c r="J7299" s="17"/>
      <c r="K7299" s="17"/>
    </row>
    <row r="7300" spans="1:11" x14ac:dyDescent="0.2">
      <c r="A7300"/>
      <c r="B7300"/>
      <c r="H7300"/>
      <c r="I7300" s="17"/>
      <c r="J7300" s="17"/>
      <c r="K7300" s="17"/>
    </row>
    <row r="7301" spans="1:11" x14ac:dyDescent="0.2">
      <c r="A7301"/>
      <c r="B7301"/>
      <c r="H7301"/>
      <c r="I7301" s="17"/>
      <c r="J7301" s="17"/>
      <c r="K7301" s="17"/>
    </row>
    <row r="7302" spans="1:11" x14ac:dyDescent="0.2">
      <c r="A7302"/>
      <c r="B7302"/>
      <c r="H7302"/>
      <c r="I7302" s="17"/>
      <c r="J7302" s="17"/>
      <c r="K7302" s="17"/>
    </row>
    <row r="7303" spans="1:11" x14ac:dyDescent="0.2">
      <c r="A7303"/>
      <c r="B7303"/>
      <c r="H7303"/>
      <c r="I7303" s="17"/>
      <c r="J7303" s="17"/>
      <c r="K7303" s="17"/>
    </row>
    <row r="7304" spans="1:11" x14ac:dyDescent="0.2">
      <c r="A7304"/>
      <c r="B7304"/>
      <c r="H7304"/>
      <c r="I7304" s="17"/>
      <c r="J7304" s="17"/>
      <c r="K7304" s="17"/>
    </row>
    <row r="7305" spans="1:11" x14ac:dyDescent="0.2">
      <c r="A7305"/>
      <c r="B7305"/>
      <c r="H7305"/>
      <c r="I7305" s="17"/>
      <c r="J7305" s="17"/>
      <c r="K7305" s="17"/>
    </row>
    <row r="7306" spans="1:11" x14ac:dyDescent="0.2">
      <c r="A7306"/>
      <c r="B7306"/>
      <c r="H7306"/>
      <c r="I7306" s="17"/>
      <c r="J7306" s="17"/>
      <c r="K7306" s="17"/>
    </row>
    <row r="7307" spans="1:11" x14ac:dyDescent="0.2">
      <c r="A7307"/>
      <c r="B7307"/>
      <c r="H7307"/>
      <c r="I7307" s="17"/>
      <c r="J7307" s="17"/>
      <c r="K7307" s="17"/>
    </row>
    <row r="7308" spans="1:11" x14ac:dyDescent="0.2">
      <c r="A7308"/>
      <c r="B7308"/>
      <c r="H7308"/>
      <c r="I7308" s="17"/>
      <c r="J7308" s="17"/>
      <c r="K7308" s="17"/>
    </row>
    <row r="7309" spans="1:11" x14ac:dyDescent="0.2">
      <c r="A7309"/>
      <c r="B7309"/>
      <c r="H7309"/>
      <c r="I7309" s="17"/>
      <c r="J7309" s="17"/>
      <c r="K7309" s="17"/>
    </row>
    <row r="7310" spans="1:11" x14ac:dyDescent="0.2">
      <c r="A7310"/>
      <c r="B7310"/>
      <c r="H7310"/>
      <c r="I7310" s="17"/>
      <c r="J7310" s="17"/>
      <c r="K7310" s="17"/>
    </row>
    <row r="7311" spans="1:11" x14ac:dyDescent="0.2">
      <c r="A7311"/>
      <c r="B7311"/>
      <c r="H7311"/>
      <c r="I7311" s="17"/>
      <c r="J7311" s="17"/>
      <c r="K7311" s="17"/>
    </row>
    <row r="7312" spans="1:11" x14ac:dyDescent="0.2">
      <c r="A7312"/>
      <c r="B7312"/>
      <c r="H7312"/>
      <c r="I7312" s="17"/>
      <c r="J7312" s="17"/>
      <c r="K7312" s="17"/>
    </row>
    <row r="7313" spans="1:11" x14ac:dyDescent="0.2">
      <c r="A7313"/>
      <c r="B7313"/>
      <c r="H7313"/>
      <c r="I7313" s="17"/>
      <c r="J7313" s="17"/>
      <c r="K7313" s="17"/>
    </row>
    <row r="7314" spans="1:11" x14ac:dyDescent="0.2">
      <c r="A7314"/>
      <c r="B7314"/>
      <c r="H7314"/>
      <c r="I7314" s="17"/>
      <c r="J7314" s="17"/>
      <c r="K7314" s="17"/>
    </row>
    <row r="7315" spans="1:11" x14ac:dyDescent="0.2">
      <c r="A7315"/>
      <c r="B7315"/>
      <c r="H7315"/>
      <c r="I7315" s="17"/>
      <c r="J7315" s="17"/>
      <c r="K7315" s="17"/>
    </row>
    <row r="7316" spans="1:11" x14ac:dyDescent="0.2">
      <c r="A7316"/>
      <c r="B7316"/>
      <c r="H7316"/>
      <c r="I7316" s="17"/>
      <c r="J7316" s="17"/>
      <c r="K7316" s="17"/>
    </row>
    <row r="7317" spans="1:11" x14ac:dyDescent="0.2">
      <c r="A7317"/>
      <c r="B7317"/>
      <c r="H7317"/>
      <c r="I7317" s="17"/>
      <c r="J7317" s="17"/>
      <c r="K7317" s="17"/>
    </row>
    <row r="7318" spans="1:11" x14ac:dyDescent="0.2">
      <c r="A7318"/>
      <c r="B7318"/>
      <c r="H7318"/>
      <c r="I7318" s="17"/>
      <c r="J7318" s="17"/>
      <c r="K7318" s="17"/>
    </row>
    <row r="7319" spans="1:11" x14ac:dyDescent="0.2">
      <c r="A7319"/>
      <c r="B7319"/>
      <c r="H7319"/>
      <c r="I7319" s="17"/>
      <c r="J7319" s="17"/>
      <c r="K7319" s="17"/>
    </row>
    <row r="7320" spans="1:11" x14ac:dyDescent="0.2">
      <c r="A7320"/>
      <c r="B7320"/>
      <c r="H7320"/>
      <c r="I7320" s="17"/>
      <c r="J7320" s="17"/>
      <c r="K7320" s="17"/>
    </row>
    <row r="7321" spans="1:11" x14ac:dyDescent="0.2">
      <c r="A7321"/>
      <c r="B7321"/>
      <c r="H7321"/>
      <c r="I7321" s="17"/>
      <c r="J7321" s="17"/>
      <c r="K7321" s="17"/>
    </row>
    <row r="7322" spans="1:11" x14ac:dyDescent="0.2">
      <c r="A7322"/>
      <c r="B7322"/>
      <c r="H7322"/>
      <c r="I7322" s="17"/>
      <c r="J7322" s="17"/>
      <c r="K7322" s="17"/>
    </row>
    <row r="7323" spans="1:11" x14ac:dyDescent="0.2">
      <c r="A7323"/>
      <c r="B7323"/>
      <c r="H7323"/>
      <c r="I7323" s="17"/>
      <c r="J7323" s="17"/>
      <c r="K7323" s="17"/>
    </row>
    <row r="7324" spans="1:11" x14ac:dyDescent="0.2">
      <c r="A7324"/>
      <c r="B7324"/>
      <c r="H7324"/>
      <c r="I7324" s="17"/>
      <c r="J7324" s="17"/>
      <c r="K7324" s="17"/>
    </row>
    <row r="7325" spans="1:11" x14ac:dyDescent="0.2">
      <c r="A7325"/>
      <c r="B7325"/>
      <c r="H7325"/>
      <c r="I7325" s="17"/>
      <c r="J7325" s="17"/>
      <c r="K7325" s="17"/>
    </row>
    <row r="7326" spans="1:11" x14ac:dyDescent="0.2">
      <c r="A7326"/>
      <c r="B7326"/>
      <c r="H7326"/>
      <c r="I7326" s="17"/>
      <c r="J7326" s="17"/>
      <c r="K7326" s="17"/>
    </row>
    <row r="7327" spans="1:11" x14ac:dyDescent="0.2">
      <c r="A7327"/>
      <c r="B7327"/>
      <c r="H7327"/>
      <c r="I7327" s="17"/>
      <c r="J7327" s="17"/>
      <c r="K7327" s="17"/>
    </row>
    <row r="7328" spans="1:11" x14ac:dyDescent="0.2">
      <c r="A7328"/>
      <c r="B7328"/>
      <c r="H7328"/>
      <c r="I7328" s="17"/>
      <c r="J7328" s="17"/>
      <c r="K7328" s="17"/>
    </row>
    <row r="7329" spans="1:11" x14ac:dyDescent="0.2">
      <c r="A7329"/>
      <c r="B7329"/>
      <c r="H7329"/>
      <c r="I7329" s="17"/>
      <c r="J7329" s="17"/>
      <c r="K7329" s="17"/>
    </row>
    <row r="7330" spans="1:11" x14ac:dyDescent="0.2">
      <c r="A7330"/>
      <c r="B7330"/>
      <c r="H7330"/>
      <c r="I7330" s="17"/>
      <c r="J7330" s="17"/>
      <c r="K7330" s="17"/>
    </row>
    <row r="7331" spans="1:11" x14ac:dyDescent="0.2">
      <c r="A7331"/>
      <c r="B7331"/>
      <c r="H7331"/>
      <c r="I7331" s="17"/>
      <c r="J7331" s="17"/>
      <c r="K7331" s="17"/>
    </row>
    <row r="7332" spans="1:11" x14ac:dyDescent="0.2">
      <c r="A7332"/>
      <c r="B7332"/>
      <c r="H7332"/>
      <c r="I7332" s="17"/>
      <c r="J7332" s="17"/>
      <c r="K7332" s="17"/>
    </row>
    <row r="7333" spans="1:11" x14ac:dyDescent="0.2">
      <c r="A7333"/>
      <c r="B7333"/>
      <c r="H7333"/>
      <c r="I7333" s="17"/>
      <c r="J7333" s="17"/>
      <c r="K7333" s="17"/>
    </row>
    <row r="7334" spans="1:11" x14ac:dyDescent="0.2">
      <c r="A7334"/>
      <c r="B7334"/>
      <c r="H7334"/>
      <c r="I7334" s="17"/>
      <c r="J7334" s="17"/>
      <c r="K7334" s="17"/>
    </row>
    <row r="7335" spans="1:11" x14ac:dyDescent="0.2">
      <c r="A7335"/>
      <c r="B7335"/>
      <c r="H7335"/>
      <c r="I7335" s="17"/>
      <c r="J7335" s="17"/>
      <c r="K7335" s="17"/>
    </row>
    <row r="7336" spans="1:11" x14ac:dyDescent="0.2">
      <c r="A7336"/>
      <c r="B7336"/>
      <c r="H7336"/>
      <c r="I7336" s="17"/>
      <c r="J7336" s="17"/>
      <c r="K7336" s="17"/>
    </row>
    <row r="7337" spans="1:11" x14ac:dyDescent="0.2">
      <c r="A7337"/>
      <c r="B7337"/>
      <c r="H7337"/>
      <c r="I7337" s="17"/>
      <c r="J7337" s="17"/>
      <c r="K7337" s="17"/>
    </row>
    <row r="7338" spans="1:11" x14ac:dyDescent="0.2">
      <c r="A7338"/>
      <c r="B7338"/>
      <c r="H7338"/>
      <c r="I7338" s="17"/>
      <c r="J7338" s="17"/>
      <c r="K7338" s="17"/>
    </row>
    <row r="7339" spans="1:11" x14ac:dyDescent="0.2">
      <c r="A7339"/>
      <c r="B7339"/>
      <c r="H7339"/>
      <c r="I7339" s="17"/>
      <c r="J7339" s="17"/>
      <c r="K7339" s="17"/>
    </row>
    <row r="7340" spans="1:11" x14ac:dyDescent="0.2">
      <c r="A7340"/>
      <c r="B7340"/>
      <c r="H7340"/>
      <c r="I7340" s="17"/>
      <c r="J7340" s="17"/>
      <c r="K7340" s="17"/>
    </row>
    <row r="7341" spans="1:11" x14ac:dyDescent="0.2">
      <c r="A7341"/>
      <c r="B7341"/>
      <c r="H7341"/>
      <c r="I7341" s="17"/>
      <c r="J7341" s="17"/>
      <c r="K7341" s="17"/>
    </row>
    <row r="7342" spans="1:11" x14ac:dyDescent="0.2">
      <c r="A7342"/>
      <c r="B7342"/>
      <c r="H7342"/>
      <c r="I7342" s="17"/>
      <c r="J7342" s="17"/>
      <c r="K7342" s="17"/>
    </row>
    <row r="7343" spans="1:11" x14ac:dyDescent="0.2">
      <c r="A7343"/>
      <c r="B7343"/>
      <c r="H7343"/>
      <c r="I7343" s="17"/>
      <c r="J7343" s="17"/>
      <c r="K7343" s="17"/>
    </row>
    <row r="7344" spans="1:11" x14ac:dyDescent="0.2">
      <c r="A7344"/>
      <c r="B7344"/>
      <c r="H7344"/>
      <c r="I7344" s="17"/>
      <c r="J7344" s="17"/>
      <c r="K7344" s="17"/>
    </row>
    <row r="7345" spans="1:11" x14ac:dyDescent="0.2">
      <c r="A7345"/>
      <c r="B7345"/>
      <c r="H7345"/>
      <c r="I7345" s="17"/>
      <c r="J7345" s="17"/>
      <c r="K7345" s="17"/>
    </row>
    <row r="7346" spans="1:11" x14ac:dyDescent="0.2">
      <c r="A7346"/>
      <c r="B7346"/>
      <c r="H7346"/>
      <c r="I7346" s="17"/>
      <c r="J7346" s="17"/>
      <c r="K7346" s="17"/>
    </row>
    <row r="7347" spans="1:11" x14ac:dyDescent="0.2">
      <c r="A7347"/>
      <c r="B7347"/>
      <c r="H7347"/>
      <c r="I7347" s="17"/>
      <c r="J7347" s="17"/>
      <c r="K7347" s="17"/>
    </row>
    <row r="7348" spans="1:11" x14ac:dyDescent="0.2">
      <c r="A7348"/>
      <c r="B7348"/>
      <c r="H7348"/>
      <c r="I7348" s="17"/>
      <c r="J7348" s="17"/>
      <c r="K7348" s="17"/>
    </row>
    <row r="7349" spans="1:11" x14ac:dyDescent="0.2">
      <c r="A7349"/>
      <c r="B7349"/>
      <c r="H7349"/>
      <c r="I7349" s="17"/>
      <c r="J7349" s="17"/>
      <c r="K7349" s="17"/>
    </row>
    <row r="7350" spans="1:11" x14ac:dyDescent="0.2">
      <c r="A7350"/>
      <c r="B7350"/>
      <c r="H7350"/>
      <c r="I7350" s="17"/>
      <c r="J7350" s="17"/>
      <c r="K7350" s="17"/>
    </row>
    <row r="7351" spans="1:11" x14ac:dyDescent="0.2">
      <c r="A7351"/>
      <c r="B7351"/>
      <c r="H7351"/>
      <c r="I7351" s="17"/>
      <c r="J7351" s="17"/>
      <c r="K7351" s="17"/>
    </row>
    <row r="7352" spans="1:11" x14ac:dyDescent="0.2">
      <c r="A7352"/>
      <c r="B7352"/>
      <c r="H7352"/>
      <c r="I7352" s="17"/>
      <c r="J7352" s="17"/>
      <c r="K7352" s="17"/>
    </row>
    <row r="7353" spans="1:11" x14ac:dyDescent="0.2">
      <c r="A7353"/>
      <c r="B7353"/>
      <c r="H7353"/>
      <c r="I7353" s="17"/>
      <c r="J7353" s="17"/>
      <c r="K7353" s="17"/>
    </row>
    <row r="7354" spans="1:11" x14ac:dyDescent="0.2">
      <c r="A7354"/>
      <c r="B7354"/>
      <c r="H7354"/>
      <c r="I7354" s="17"/>
      <c r="J7354" s="17"/>
      <c r="K7354" s="17"/>
    </row>
    <row r="7355" spans="1:11" x14ac:dyDescent="0.2">
      <c r="A7355"/>
      <c r="B7355"/>
      <c r="H7355"/>
      <c r="I7355" s="17"/>
      <c r="J7355" s="17"/>
      <c r="K7355" s="17"/>
    </row>
    <row r="7356" spans="1:11" x14ac:dyDescent="0.2">
      <c r="A7356"/>
      <c r="B7356"/>
      <c r="H7356"/>
      <c r="I7356" s="17"/>
      <c r="J7356" s="17"/>
      <c r="K7356" s="17"/>
    </row>
    <row r="7357" spans="1:11" x14ac:dyDescent="0.2">
      <c r="A7357"/>
      <c r="B7357"/>
      <c r="H7357"/>
      <c r="I7357" s="17"/>
      <c r="J7357" s="17"/>
      <c r="K7357" s="17"/>
    </row>
    <row r="7358" spans="1:11" x14ac:dyDescent="0.2">
      <c r="A7358"/>
      <c r="B7358"/>
      <c r="H7358"/>
      <c r="I7358" s="17"/>
      <c r="J7358" s="17"/>
      <c r="K7358" s="17"/>
    </row>
    <row r="7359" spans="1:11" x14ac:dyDescent="0.2">
      <c r="A7359"/>
      <c r="B7359"/>
      <c r="H7359"/>
      <c r="I7359" s="17"/>
      <c r="J7359" s="17"/>
      <c r="K7359" s="17"/>
    </row>
    <row r="7360" spans="1:11" x14ac:dyDescent="0.2">
      <c r="A7360"/>
      <c r="B7360"/>
      <c r="H7360"/>
      <c r="I7360" s="17"/>
      <c r="J7360" s="17"/>
      <c r="K7360" s="17"/>
    </row>
    <row r="7361" spans="1:11" x14ac:dyDescent="0.2">
      <c r="A7361"/>
      <c r="B7361"/>
      <c r="H7361"/>
      <c r="I7361" s="17"/>
      <c r="J7361" s="17"/>
      <c r="K7361" s="17"/>
    </row>
    <row r="7362" spans="1:11" x14ac:dyDescent="0.2">
      <c r="A7362"/>
      <c r="B7362"/>
      <c r="H7362"/>
      <c r="I7362" s="17"/>
      <c r="J7362" s="17"/>
      <c r="K7362" s="17"/>
    </row>
    <row r="7363" spans="1:11" x14ac:dyDescent="0.2">
      <c r="A7363"/>
      <c r="B7363"/>
      <c r="H7363"/>
      <c r="I7363" s="17"/>
      <c r="J7363" s="17"/>
      <c r="K7363" s="17"/>
    </row>
    <row r="7364" spans="1:11" x14ac:dyDescent="0.2">
      <c r="A7364"/>
      <c r="B7364"/>
      <c r="H7364"/>
      <c r="I7364" s="17"/>
      <c r="J7364" s="17"/>
      <c r="K7364" s="17"/>
    </row>
    <row r="7365" spans="1:11" x14ac:dyDescent="0.2">
      <c r="A7365"/>
      <c r="B7365"/>
      <c r="H7365"/>
      <c r="I7365" s="17"/>
      <c r="J7365" s="17"/>
      <c r="K7365" s="17"/>
    </row>
    <row r="7366" spans="1:11" x14ac:dyDescent="0.2">
      <c r="A7366"/>
      <c r="B7366"/>
      <c r="H7366"/>
      <c r="I7366" s="17"/>
      <c r="J7366" s="17"/>
      <c r="K7366" s="17"/>
    </row>
    <row r="7367" spans="1:11" x14ac:dyDescent="0.2">
      <c r="A7367"/>
      <c r="B7367"/>
      <c r="H7367"/>
      <c r="I7367" s="17"/>
      <c r="J7367" s="17"/>
      <c r="K7367" s="17"/>
    </row>
    <row r="7368" spans="1:11" x14ac:dyDescent="0.2">
      <c r="A7368"/>
      <c r="B7368"/>
      <c r="H7368"/>
      <c r="I7368" s="17"/>
      <c r="J7368" s="17"/>
      <c r="K7368" s="17"/>
    </row>
    <row r="7369" spans="1:11" x14ac:dyDescent="0.2">
      <c r="A7369"/>
      <c r="B7369"/>
      <c r="H7369"/>
      <c r="I7369" s="17"/>
      <c r="J7369" s="17"/>
      <c r="K7369" s="17"/>
    </row>
    <row r="7370" spans="1:11" x14ac:dyDescent="0.2">
      <c r="A7370"/>
      <c r="B7370"/>
      <c r="H7370"/>
      <c r="I7370" s="17"/>
      <c r="J7370" s="17"/>
      <c r="K7370" s="17"/>
    </row>
    <row r="7371" spans="1:11" x14ac:dyDescent="0.2">
      <c r="A7371"/>
      <c r="B7371"/>
      <c r="H7371"/>
      <c r="I7371" s="17"/>
      <c r="J7371" s="17"/>
      <c r="K7371" s="17"/>
    </row>
    <row r="7372" spans="1:11" x14ac:dyDescent="0.2">
      <c r="A7372"/>
      <c r="B7372"/>
      <c r="H7372"/>
      <c r="I7372" s="17"/>
      <c r="J7372" s="17"/>
      <c r="K7372" s="17"/>
    </row>
    <row r="7373" spans="1:11" x14ac:dyDescent="0.2">
      <c r="A7373"/>
      <c r="B7373"/>
      <c r="H7373"/>
      <c r="I7373" s="17"/>
      <c r="J7373" s="17"/>
      <c r="K7373" s="17"/>
    </row>
    <row r="7374" spans="1:11" x14ac:dyDescent="0.2">
      <c r="A7374"/>
      <c r="B7374"/>
      <c r="H7374"/>
      <c r="I7374" s="17"/>
      <c r="J7374" s="17"/>
      <c r="K7374" s="17"/>
    </row>
    <row r="7375" spans="1:11" x14ac:dyDescent="0.2">
      <c r="A7375"/>
      <c r="B7375"/>
      <c r="H7375"/>
      <c r="I7375" s="17"/>
      <c r="J7375" s="17"/>
      <c r="K7375" s="17"/>
    </row>
    <row r="7376" spans="1:11" x14ac:dyDescent="0.2">
      <c r="A7376"/>
      <c r="B7376"/>
      <c r="H7376"/>
      <c r="I7376" s="17"/>
      <c r="J7376" s="17"/>
      <c r="K7376" s="17"/>
    </row>
    <row r="7377" spans="1:11" x14ac:dyDescent="0.2">
      <c r="A7377"/>
      <c r="B7377"/>
      <c r="H7377"/>
      <c r="I7377" s="17"/>
      <c r="J7377" s="17"/>
      <c r="K7377" s="17"/>
    </row>
    <row r="7378" spans="1:11" x14ac:dyDescent="0.2">
      <c r="A7378"/>
      <c r="B7378"/>
      <c r="H7378"/>
      <c r="I7378" s="17"/>
      <c r="J7378" s="17"/>
      <c r="K7378" s="17"/>
    </row>
    <row r="7379" spans="1:11" x14ac:dyDescent="0.2">
      <c r="A7379"/>
      <c r="B7379"/>
      <c r="H7379"/>
      <c r="I7379" s="17"/>
      <c r="J7379" s="17"/>
      <c r="K7379" s="17"/>
    </row>
    <row r="7380" spans="1:11" x14ac:dyDescent="0.2">
      <c r="A7380"/>
      <c r="B7380"/>
      <c r="H7380"/>
      <c r="I7380" s="17"/>
      <c r="J7380" s="17"/>
      <c r="K7380" s="17"/>
    </row>
    <row r="7381" spans="1:11" x14ac:dyDescent="0.2">
      <c r="A7381"/>
      <c r="B7381"/>
      <c r="H7381"/>
      <c r="I7381" s="17"/>
      <c r="J7381" s="17"/>
      <c r="K7381" s="17"/>
    </row>
    <row r="7382" spans="1:11" x14ac:dyDescent="0.2">
      <c r="A7382"/>
      <c r="B7382"/>
      <c r="H7382"/>
      <c r="I7382" s="17"/>
      <c r="J7382" s="17"/>
      <c r="K7382" s="17"/>
    </row>
    <row r="7383" spans="1:11" x14ac:dyDescent="0.2">
      <c r="A7383"/>
      <c r="B7383"/>
      <c r="H7383"/>
      <c r="I7383" s="17"/>
      <c r="J7383" s="17"/>
      <c r="K7383" s="17"/>
    </row>
    <row r="7384" spans="1:11" x14ac:dyDescent="0.2">
      <c r="A7384"/>
      <c r="B7384"/>
      <c r="H7384"/>
      <c r="I7384" s="17"/>
      <c r="J7384" s="17"/>
      <c r="K7384" s="17"/>
    </row>
    <row r="7385" spans="1:11" x14ac:dyDescent="0.2">
      <c r="A7385"/>
      <c r="B7385"/>
      <c r="H7385"/>
      <c r="I7385" s="17"/>
      <c r="J7385" s="17"/>
      <c r="K7385" s="17"/>
    </row>
    <row r="7386" spans="1:11" x14ac:dyDescent="0.2">
      <c r="A7386"/>
      <c r="B7386"/>
      <c r="H7386"/>
      <c r="I7386" s="17"/>
      <c r="J7386" s="17"/>
      <c r="K7386" s="17"/>
    </row>
    <row r="7387" spans="1:11" x14ac:dyDescent="0.2">
      <c r="A7387"/>
      <c r="B7387"/>
      <c r="H7387"/>
      <c r="I7387" s="17"/>
      <c r="J7387" s="17"/>
      <c r="K7387" s="17"/>
    </row>
    <row r="7388" spans="1:11" x14ac:dyDescent="0.2">
      <c r="A7388"/>
      <c r="B7388"/>
      <c r="H7388"/>
      <c r="I7388" s="17"/>
      <c r="J7388" s="17"/>
      <c r="K7388" s="17"/>
    </row>
    <row r="7389" spans="1:11" x14ac:dyDescent="0.2">
      <c r="A7389"/>
      <c r="B7389"/>
      <c r="H7389"/>
      <c r="I7389" s="17"/>
      <c r="J7389" s="17"/>
      <c r="K7389" s="17"/>
    </row>
    <row r="7390" spans="1:11" x14ac:dyDescent="0.2">
      <c r="A7390"/>
      <c r="B7390"/>
      <c r="H7390"/>
      <c r="I7390" s="17"/>
      <c r="J7390" s="17"/>
      <c r="K7390" s="17"/>
    </row>
    <row r="7391" spans="1:11" x14ac:dyDescent="0.2">
      <c r="A7391"/>
      <c r="B7391"/>
      <c r="H7391"/>
      <c r="I7391" s="17"/>
      <c r="J7391" s="17"/>
      <c r="K7391" s="17"/>
    </row>
    <row r="7392" spans="1:11" x14ac:dyDescent="0.2">
      <c r="A7392"/>
      <c r="B7392"/>
      <c r="H7392"/>
      <c r="I7392" s="17"/>
      <c r="J7392" s="17"/>
      <c r="K7392" s="17"/>
    </row>
    <row r="7393" spans="1:11" x14ac:dyDescent="0.2">
      <c r="A7393"/>
      <c r="B7393"/>
      <c r="H7393"/>
      <c r="I7393" s="17"/>
      <c r="J7393" s="17"/>
      <c r="K7393" s="17"/>
    </row>
    <row r="7394" spans="1:11" x14ac:dyDescent="0.2">
      <c r="A7394"/>
      <c r="B7394"/>
      <c r="H7394"/>
      <c r="I7394" s="17"/>
      <c r="J7394" s="17"/>
      <c r="K7394" s="17"/>
    </row>
    <row r="7395" spans="1:11" x14ac:dyDescent="0.2">
      <c r="A7395"/>
      <c r="B7395"/>
      <c r="H7395"/>
      <c r="I7395" s="17"/>
      <c r="J7395" s="17"/>
      <c r="K7395" s="17"/>
    </row>
    <row r="7396" spans="1:11" x14ac:dyDescent="0.2">
      <c r="A7396"/>
      <c r="B7396"/>
      <c r="H7396"/>
      <c r="I7396" s="17"/>
      <c r="J7396" s="17"/>
      <c r="K7396" s="17"/>
    </row>
    <row r="7397" spans="1:11" x14ac:dyDescent="0.2">
      <c r="A7397"/>
      <c r="B7397"/>
      <c r="H7397"/>
      <c r="I7397" s="17"/>
      <c r="J7397" s="17"/>
      <c r="K7397" s="17"/>
    </row>
    <row r="7398" spans="1:11" x14ac:dyDescent="0.2">
      <c r="A7398"/>
      <c r="B7398"/>
      <c r="H7398"/>
      <c r="I7398" s="17"/>
      <c r="J7398" s="17"/>
      <c r="K7398" s="17"/>
    </row>
    <row r="7399" spans="1:11" x14ac:dyDescent="0.2">
      <c r="A7399"/>
      <c r="B7399"/>
      <c r="H7399"/>
      <c r="I7399" s="17"/>
      <c r="J7399" s="17"/>
      <c r="K7399" s="17"/>
    </row>
    <row r="7400" spans="1:11" x14ac:dyDescent="0.2">
      <c r="A7400"/>
      <c r="B7400"/>
      <c r="H7400"/>
      <c r="I7400" s="17"/>
      <c r="J7400" s="17"/>
      <c r="K7400" s="17"/>
    </row>
    <row r="7401" spans="1:11" x14ac:dyDescent="0.2">
      <c r="A7401"/>
      <c r="B7401"/>
      <c r="H7401"/>
      <c r="I7401" s="17"/>
      <c r="J7401" s="17"/>
      <c r="K7401" s="17"/>
    </row>
    <row r="7402" spans="1:11" x14ac:dyDescent="0.2">
      <c r="A7402"/>
      <c r="B7402"/>
      <c r="H7402"/>
      <c r="I7402" s="17"/>
      <c r="J7402" s="17"/>
      <c r="K7402" s="17"/>
    </row>
    <row r="7403" spans="1:11" x14ac:dyDescent="0.2">
      <c r="A7403"/>
      <c r="B7403"/>
      <c r="H7403"/>
      <c r="I7403" s="17"/>
      <c r="J7403" s="17"/>
      <c r="K7403" s="17"/>
    </row>
    <row r="7404" spans="1:11" x14ac:dyDescent="0.2">
      <c r="A7404"/>
      <c r="B7404"/>
      <c r="H7404"/>
      <c r="I7404" s="17"/>
      <c r="J7404" s="17"/>
      <c r="K7404" s="17"/>
    </row>
    <row r="7405" spans="1:11" x14ac:dyDescent="0.2">
      <c r="A7405"/>
      <c r="B7405"/>
      <c r="H7405"/>
      <c r="I7405" s="17"/>
      <c r="J7405" s="17"/>
      <c r="K7405" s="17"/>
    </row>
    <row r="7406" spans="1:11" x14ac:dyDescent="0.2">
      <c r="A7406"/>
      <c r="B7406"/>
      <c r="H7406"/>
      <c r="I7406" s="17"/>
      <c r="J7406" s="17"/>
      <c r="K7406" s="17"/>
    </row>
    <row r="7407" spans="1:11" x14ac:dyDescent="0.2">
      <c r="A7407"/>
      <c r="B7407"/>
      <c r="H7407"/>
      <c r="I7407" s="17"/>
      <c r="J7407" s="17"/>
      <c r="K7407" s="17"/>
    </row>
    <row r="7408" spans="1:11" x14ac:dyDescent="0.2">
      <c r="A7408"/>
      <c r="B7408"/>
      <c r="H7408"/>
      <c r="I7408" s="17"/>
      <c r="J7408" s="17"/>
      <c r="K7408" s="17"/>
    </row>
    <row r="7409" spans="1:11" x14ac:dyDescent="0.2">
      <c r="A7409"/>
      <c r="B7409"/>
      <c r="H7409"/>
      <c r="I7409" s="17"/>
      <c r="J7409" s="17"/>
      <c r="K7409" s="17"/>
    </row>
    <row r="7410" spans="1:11" x14ac:dyDescent="0.2">
      <c r="A7410"/>
      <c r="B7410"/>
      <c r="H7410"/>
      <c r="I7410" s="17"/>
      <c r="J7410" s="17"/>
      <c r="K7410" s="17"/>
    </row>
    <row r="7411" spans="1:11" x14ac:dyDescent="0.2">
      <c r="A7411"/>
      <c r="B7411"/>
      <c r="H7411"/>
      <c r="I7411" s="17"/>
      <c r="J7411" s="17"/>
      <c r="K7411" s="17"/>
    </row>
    <row r="7412" spans="1:11" x14ac:dyDescent="0.2">
      <c r="A7412"/>
      <c r="B7412"/>
      <c r="H7412"/>
      <c r="I7412" s="17"/>
      <c r="J7412" s="17"/>
      <c r="K7412" s="17"/>
    </row>
    <row r="7413" spans="1:11" x14ac:dyDescent="0.2">
      <c r="A7413"/>
      <c r="B7413"/>
      <c r="H7413"/>
      <c r="I7413" s="17"/>
      <c r="J7413" s="17"/>
      <c r="K7413" s="17"/>
    </row>
    <row r="7414" spans="1:11" x14ac:dyDescent="0.2">
      <c r="A7414"/>
      <c r="B7414"/>
      <c r="H7414"/>
      <c r="I7414" s="17"/>
      <c r="J7414" s="17"/>
      <c r="K7414" s="17"/>
    </row>
    <row r="7415" spans="1:11" x14ac:dyDescent="0.2">
      <c r="A7415"/>
      <c r="B7415"/>
      <c r="H7415"/>
      <c r="I7415" s="17"/>
      <c r="J7415" s="17"/>
      <c r="K7415" s="17"/>
    </row>
    <row r="7416" spans="1:11" x14ac:dyDescent="0.2">
      <c r="A7416"/>
      <c r="B7416"/>
      <c r="H7416"/>
      <c r="I7416" s="17"/>
      <c r="J7416" s="17"/>
      <c r="K7416" s="17"/>
    </row>
    <row r="7417" spans="1:11" x14ac:dyDescent="0.2">
      <c r="A7417"/>
      <c r="B7417"/>
      <c r="H7417"/>
      <c r="I7417" s="17"/>
      <c r="J7417" s="17"/>
      <c r="K7417" s="17"/>
    </row>
    <row r="7418" spans="1:11" x14ac:dyDescent="0.2">
      <c r="A7418"/>
      <c r="B7418"/>
      <c r="H7418"/>
      <c r="I7418" s="17"/>
      <c r="J7418" s="17"/>
      <c r="K7418" s="17"/>
    </row>
    <row r="7419" spans="1:11" x14ac:dyDescent="0.2">
      <c r="A7419"/>
      <c r="B7419"/>
      <c r="H7419"/>
      <c r="I7419" s="17"/>
      <c r="J7419" s="17"/>
      <c r="K7419" s="17"/>
    </row>
    <row r="7420" spans="1:11" x14ac:dyDescent="0.2">
      <c r="A7420"/>
      <c r="B7420"/>
      <c r="H7420"/>
      <c r="I7420" s="17"/>
      <c r="J7420" s="17"/>
      <c r="K7420" s="17"/>
    </row>
    <row r="7421" spans="1:11" x14ac:dyDescent="0.2">
      <c r="A7421"/>
      <c r="B7421"/>
      <c r="H7421"/>
      <c r="I7421" s="17"/>
      <c r="J7421" s="17"/>
      <c r="K7421" s="17"/>
    </row>
    <row r="7422" spans="1:11" x14ac:dyDescent="0.2">
      <c r="A7422"/>
      <c r="B7422"/>
      <c r="H7422"/>
      <c r="I7422" s="17"/>
      <c r="J7422" s="17"/>
      <c r="K7422" s="17"/>
    </row>
    <row r="7423" spans="1:11" x14ac:dyDescent="0.2">
      <c r="A7423"/>
      <c r="B7423"/>
      <c r="H7423"/>
      <c r="I7423" s="17"/>
      <c r="J7423" s="17"/>
      <c r="K7423" s="17"/>
    </row>
    <row r="7424" spans="1:11" x14ac:dyDescent="0.2">
      <c r="A7424"/>
      <c r="B7424"/>
      <c r="H7424"/>
      <c r="I7424" s="17"/>
      <c r="J7424" s="17"/>
      <c r="K7424" s="17"/>
    </row>
    <row r="7425" spans="1:11" x14ac:dyDescent="0.2">
      <c r="A7425"/>
      <c r="B7425"/>
      <c r="H7425"/>
      <c r="I7425" s="17"/>
      <c r="J7425" s="17"/>
      <c r="K7425" s="17"/>
    </row>
    <row r="7426" spans="1:11" x14ac:dyDescent="0.2">
      <c r="A7426"/>
      <c r="B7426"/>
      <c r="H7426"/>
      <c r="I7426" s="17"/>
      <c r="J7426" s="17"/>
      <c r="K7426" s="17"/>
    </row>
    <row r="7427" spans="1:11" x14ac:dyDescent="0.2">
      <c r="A7427"/>
      <c r="B7427"/>
      <c r="H7427"/>
      <c r="I7427" s="17"/>
      <c r="J7427" s="17"/>
      <c r="K7427" s="17"/>
    </row>
    <row r="7428" spans="1:11" x14ac:dyDescent="0.2">
      <c r="A7428"/>
      <c r="B7428"/>
      <c r="H7428"/>
      <c r="I7428" s="17"/>
      <c r="J7428" s="17"/>
      <c r="K7428" s="17"/>
    </row>
    <row r="7429" spans="1:11" x14ac:dyDescent="0.2">
      <c r="A7429"/>
      <c r="B7429"/>
      <c r="H7429"/>
      <c r="I7429" s="17"/>
      <c r="J7429" s="17"/>
      <c r="K7429" s="17"/>
    </row>
    <row r="7430" spans="1:11" x14ac:dyDescent="0.2">
      <c r="A7430"/>
      <c r="B7430"/>
      <c r="H7430"/>
      <c r="I7430" s="17"/>
      <c r="J7430" s="17"/>
      <c r="K7430" s="17"/>
    </row>
    <row r="7431" spans="1:11" x14ac:dyDescent="0.2">
      <c r="A7431"/>
      <c r="B7431"/>
      <c r="H7431"/>
      <c r="I7431" s="17"/>
      <c r="J7431" s="17"/>
      <c r="K7431" s="17"/>
    </row>
    <row r="7432" spans="1:11" x14ac:dyDescent="0.2">
      <c r="A7432"/>
      <c r="B7432"/>
      <c r="H7432"/>
      <c r="I7432" s="17"/>
      <c r="J7432" s="17"/>
      <c r="K7432" s="17"/>
    </row>
    <row r="7433" spans="1:11" x14ac:dyDescent="0.2">
      <c r="A7433"/>
      <c r="B7433"/>
      <c r="H7433"/>
      <c r="I7433" s="17"/>
      <c r="J7433" s="17"/>
      <c r="K7433" s="17"/>
    </row>
    <row r="7434" spans="1:11" x14ac:dyDescent="0.2">
      <c r="A7434"/>
      <c r="B7434"/>
      <c r="H7434"/>
      <c r="I7434" s="17"/>
      <c r="J7434" s="17"/>
      <c r="K7434" s="17"/>
    </row>
    <row r="7435" spans="1:11" x14ac:dyDescent="0.2">
      <c r="A7435"/>
      <c r="B7435"/>
      <c r="H7435"/>
      <c r="I7435" s="17"/>
      <c r="J7435" s="17"/>
      <c r="K7435" s="17"/>
    </row>
    <row r="7436" spans="1:11" x14ac:dyDescent="0.2">
      <c r="A7436"/>
      <c r="B7436"/>
      <c r="H7436"/>
      <c r="I7436" s="17"/>
      <c r="J7436" s="17"/>
      <c r="K7436" s="17"/>
    </row>
    <row r="7437" spans="1:11" x14ac:dyDescent="0.2">
      <c r="A7437"/>
      <c r="B7437"/>
      <c r="H7437"/>
      <c r="I7437" s="17"/>
      <c r="J7437" s="17"/>
      <c r="K7437" s="17"/>
    </row>
    <row r="7438" spans="1:11" x14ac:dyDescent="0.2">
      <c r="A7438"/>
      <c r="B7438"/>
      <c r="H7438"/>
      <c r="I7438" s="17"/>
      <c r="J7438" s="17"/>
      <c r="K7438" s="17"/>
    </row>
    <row r="7439" spans="1:11" x14ac:dyDescent="0.2">
      <c r="A7439"/>
      <c r="B7439"/>
      <c r="H7439"/>
      <c r="I7439" s="17"/>
      <c r="J7439" s="17"/>
      <c r="K7439" s="17"/>
    </row>
    <row r="7440" spans="1:11" x14ac:dyDescent="0.2">
      <c r="A7440"/>
      <c r="B7440"/>
      <c r="H7440"/>
      <c r="I7440" s="17"/>
      <c r="J7440" s="17"/>
      <c r="K7440" s="17"/>
    </row>
    <row r="7441" spans="1:11" x14ac:dyDescent="0.2">
      <c r="A7441"/>
      <c r="B7441"/>
      <c r="H7441"/>
      <c r="I7441" s="17"/>
      <c r="J7441" s="17"/>
      <c r="K7441" s="17"/>
    </row>
    <row r="7442" spans="1:11" x14ac:dyDescent="0.2">
      <c r="A7442"/>
      <c r="B7442"/>
      <c r="H7442"/>
      <c r="I7442" s="17"/>
      <c r="J7442" s="17"/>
      <c r="K7442" s="17"/>
    </row>
    <row r="7443" spans="1:11" x14ac:dyDescent="0.2">
      <c r="A7443"/>
      <c r="B7443"/>
      <c r="H7443"/>
      <c r="I7443" s="17"/>
      <c r="J7443" s="17"/>
      <c r="K7443" s="17"/>
    </row>
    <row r="7444" spans="1:11" x14ac:dyDescent="0.2">
      <c r="A7444"/>
      <c r="B7444"/>
      <c r="H7444"/>
      <c r="I7444" s="17"/>
      <c r="J7444" s="17"/>
      <c r="K7444" s="17"/>
    </row>
    <row r="7445" spans="1:11" x14ac:dyDescent="0.2">
      <c r="A7445"/>
      <c r="B7445"/>
      <c r="H7445"/>
      <c r="I7445" s="17"/>
      <c r="J7445" s="17"/>
      <c r="K7445" s="17"/>
    </row>
    <row r="7446" spans="1:11" x14ac:dyDescent="0.2">
      <c r="A7446"/>
      <c r="B7446"/>
      <c r="H7446"/>
      <c r="I7446" s="17"/>
      <c r="J7446" s="17"/>
      <c r="K7446" s="17"/>
    </row>
    <row r="7447" spans="1:11" x14ac:dyDescent="0.2">
      <c r="A7447"/>
      <c r="B7447"/>
      <c r="H7447"/>
      <c r="I7447" s="17"/>
      <c r="J7447" s="17"/>
      <c r="K7447" s="17"/>
    </row>
    <row r="7448" spans="1:11" x14ac:dyDescent="0.2">
      <c r="A7448"/>
      <c r="B7448"/>
      <c r="H7448"/>
      <c r="I7448" s="17"/>
      <c r="J7448" s="17"/>
      <c r="K7448" s="17"/>
    </row>
    <row r="7449" spans="1:11" x14ac:dyDescent="0.2">
      <c r="A7449"/>
      <c r="B7449"/>
      <c r="H7449"/>
      <c r="I7449" s="17"/>
      <c r="J7449" s="17"/>
      <c r="K7449" s="17"/>
    </row>
    <row r="7450" spans="1:11" x14ac:dyDescent="0.2">
      <c r="A7450"/>
      <c r="B7450"/>
      <c r="H7450"/>
      <c r="I7450" s="17"/>
      <c r="J7450" s="17"/>
      <c r="K7450" s="17"/>
    </row>
    <row r="7451" spans="1:11" x14ac:dyDescent="0.2">
      <c r="A7451"/>
      <c r="B7451"/>
      <c r="H7451"/>
      <c r="I7451" s="17"/>
      <c r="J7451" s="17"/>
      <c r="K7451" s="17"/>
    </row>
    <row r="7452" spans="1:11" x14ac:dyDescent="0.2">
      <c r="A7452"/>
      <c r="B7452"/>
      <c r="H7452"/>
      <c r="I7452" s="17"/>
      <c r="J7452" s="17"/>
      <c r="K7452" s="17"/>
    </row>
    <row r="7453" spans="1:11" x14ac:dyDescent="0.2">
      <c r="A7453"/>
      <c r="B7453"/>
      <c r="H7453"/>
      <c r="I7453" s="17"/>
      <c r="J7453" s="17"/>
      <c r="K7453" s="17"/>
    </row>
    <row r="7454" spans="1:11" x14ac:dyDescent="0.2">
      <c r="A7454"/>
      <c r="B7454"/>
      <c r="H7454"/>
      <c r="I7454" s="17"/>
      <c r="J7454" s="17"/>
      <c r="K7454" s="17"/>
    </row>
    <row r="7455" spans="1:11" x14ac:dyDescent="0.2">
      <c r="A7455"/>
      <c r="B7455"/>
      <c r="H7455"/>
      <c r="I7455" s="17"/>
      <c r="J7455" s="17"/>
      <c r="K7455" s="17"/>
    </row>
    <row r="7456" spans="1:11" x14ac:dyDescent="0.2">
      <c r="A7456"/>
      <c r="B7456"/>
      <c r="H7456"/>
      <c r="I7456" s="17"/>
      <c r="J7456" s="17"/>
      <c r="K7456" s="17"/>
    </row>
    <row r="7457" spans="1:11" x14ac:dyDescent="0.2">
      <c r="A7457"/>
      <c r="B7457"/>
      <c r="H7457"/>
      <c r="I7457" s="17"/>
      <c r="J7457" s="17"/>
      <c r="K7457" s="17"/>
    </row>
    <row r="7458" spans="1:11" x14ac:dyDescent="0.2">
      <c r="A7458"/>
      <c r="B7458"/>
      <c r="H7458"/>
      <c r="I7458" s="17"/>
      <c r="J7458" s="17"/>
      <c r="K7458" s="17"/>
    </row>
    <row r="7459" spans="1:11" x14ac:dyDescent="0.2">
      <c r="A7459"/>
      <c r="B7459"/>
      <c r="H7459"/>
      <c r="I7459" s="17"/>
      <c r="J7459" s="17"/>
      <c r="K7459" s="17"/>
    </row>
    <row r="7460" spans="1:11" x14ac:dyDescent="0.2">
      <c r="A7460"/>
      <c r="B7460"/>
      <c r="H7460"/>
      <c r="I7460" s="17"/>
      <c r="J7460" s="17"/>
      <c r="K7460" s="17"/>
    </row>
    <row r="7461" spans="1:11" x14ac:dyDescent="0.2">
      <c r="A7461"/>
      <c r="B7461"/>
      <c r="H7461"/>
      <c r="I7461" s="17"/>
      <c r="J7461" s="17"/>
      <c r="K7461" s="17"/>
    </row>
    <row r="7462" spans="1:11" x14ac:dyDescent="0.2">
      <c r="A7462"/>
      <c r="B7462"/>
      <c r="H7462"/>
      <c r="I7462" s="17"/>
      <c r="J7462" s="17"/>
      <c r="K7462" s="17"/>
    </row>
    <row r="7463" spans="1:11" x14ac:dyDescent="0.2">
      <c r="A7463"/>
      <c r="B7463"/>
      <c r="H7463"/>
      <c r="I7463" s="17"/>
      <c r="J7463" s="17"/>
      <c r="K7463" s="17"/>
    </row>
    <row r="7464" spans="1:11" x14ac:dyDescent="0.2">
      <c r="A7464"/>
      <c r="B7464"/>
      <c r="H7464"/>
      <c r="I7464" s="17"/>
      <c r="J7464" s="17"/>
      <c r="K7464" s="17"/>
    </row>
    <row r="7465" spans="1:11" x14ac:dyDescent="0.2">
      <c r="A7465"/>
      <c r="B7465"/>
      <c r="H7465"/>
      <c r="I7465" s="17"/>
      <c r="J7465" s="17"/>
      <c r="K7465" s="17"/>
    </row>
    <row r="7466" spans="1:11" x14ac:dyDescent="0.2">
      <c r="A7466"/>
      <c r="B7466"/>
      <c r="H7466"/>
      <c r="I7466" s="17"/>
      <c r="J7466" s="17"/>
      <c r="K7466" s="17"/>
    </row>
    <row r="7467" spans="1:11" x14ac:dyDescent="0.2">
      <c r="A7467"/>
      <c r="B7467"/>
      <c r="H7467"/>
      <c r="I7467" s="17"/>
      <c r="J7467" s="17"/>
      <c r="K7467" s="17"/>
    </row>
    <row r="7468" spans="1:11" x14ac:dyDescent="0.2">
      <c r="A7468"/>
      <c r="B7468"/>
      <c r="H7468"/>
      <c r="I7468" s="17"/>
      <c r="J7468" s="17"/>
      <c r="K7468" s="17"/>
    </row>
    <row r="7469" spans="1:11" x14ac:dyDescent="0.2">
      <c r="A7469"/>
      <c r="B7469"/>
      <c r="H7469"/>
      <c r="I7469" s="17"/>
      <c r="J7469" s="17"/>
      <c r="K7469" s="17"/>
    </row>
    <row r="7470" spans="1:11" x14ac:dyDescent="0.2">
      <c r="A7470"/>
      <c r="B7470"/>
      <c r="H7470"/>
      <c r="I7470" s="17"/>
      <c r="J7470" s="17"/>
      <c r="K7470" s="17"/>
    </row>
    <row r="7471" spans="1:11" x14ac:dyDescent="0.2">
      <c r="A7471"/>
      <c r="B7471"/>
      <c r="H7471"/>
      <c r="I7471" s="17"/>
      <c r="J7471" s="17"/>
      <c r="K7471" s="17"/>
    </row>
    <row r="7472" spans="1:11" x14ac:dyDescent="0.2">
      <c r="A7472"/>
      <c r="B7472"/>
      <c r="H7472"/>
      <c r="I7472" s="17"/>
      <c r="J7472" s="17"/>
      <c r="K7472" s="17"/>
    </row>
    <row r="7473" spans="1:11" x14ac:dyDescent="0.2">
      <c r="A7473"/>
      <c r="B7473"/>
      <c r="H7473"/>
      <c r="I7473" s="17"/>
      <c r="J7473" s="17"/>
      <c r="K7473" s="17"/>
    </row>
    <row r="7474" spans="1:11" x14ac:dyDescent="0.2">
      <c r="A7474"/>
      <c r="B7474"/>
      <c r="H7474"/>
      <c r="I7474" s="17"/>
      <c r="J7474" s="17"/>
      <c r="K7474" s="17"/>
    </row>
    <row r="7475" spans="1:11" x14ac:dyDescent="0.2">
      <c r="A7475"/>
      <c r="B7475"/>
      <c r="H7475"/>
      <c r="I7475" s="17"/>
      <c r="J7475" s="17"/>
      <c r="K7475" s="17"/>
    </row>
    <row r="7476" spans="1:11" x14ac:dyDescent="0.2">
      <c r="A7476"/>
      <c r="B7476"/>
      <c r="H7476"/>
      <c r="I7476" s="17"/>
      <c r="J7476" s="17"/>
      <c r="K7476" s="17"/>
    </row>
    <row r="7477" spans="1:11" x14ac:dyDescent="0.2">
      <c r="A7477"/>
      <c r="B7477"/>
      <c r="H7477"/>
      <c r="I7477" s="17"/>
      <c r="J7477" s="17"/>
      <c r="K7477" s="17"/>
    </row>
    <row r="7478" spans="1:11" x14ac:dyDescent="0.2">
      <c r="A7478"/>
      <c r="B7478"/>
      <c r="H7478"/>
      <c r="I7478" s="17"/>
      <c r="J7478" s="17"/>
      <c r="K7478" s="17"/>
    </row>
    <row r="7479" spans="1:11" x14ac:dyDescent="0.2">
      <c r="A7479"/>
      <c r="B7479"/>
      <c r="H7479"/>
      <c r="I7479" s="17"/>
      <c r="J7479" s="17"/>
      <c r="K7479" s="17"/>
    </row>
    <row r="7480" spans="1:11" x14ac:dyDescent="0.2">
      <c r="A7480"/>
      <c r="B7480"/>
      <c r="H7480"/>
      <c r="I7480" s="17"/>
      <c r="J7480" s="17"/>
      <c r="K7480" s="17"/>
    </row>
    <row r="7481" spans="1:11" x14ac:dyDescent="0.2">
      <c r="A7481"/>
      <c r="B7481"/>
      <c r="H7481"/>
      <c r="I7481" s="17"/>
      <c r="J7481" s="17"/>
      <c r="K7481" s="17"/>
    </row>
    <row r="7482" spans="1:11" x14ac:dyDescent="0.2">
      <c r="A7482"/>
      <c r="B7482"/>
      <c r="H7482"/>
      <c r="I7482" s="17"/>
      <c r="J7482" s="17"/>
      <c r="K7482" s="17"/>
    </row>
    <row r="7483" spans="1:11" x14ac:dyDescent="0.2">
      <c r="A7483"/>
      <c r="B7483"/>
      <c r="H7483"/>
      <c r="I7483" s="17"/>
      <c r="J7483" s="17"/>
      <c r="K7483" s="17"/>
    </row>
    <row r="7484" spans="1:11" x14ac:dyDescent="0.2">
      <c r="A7484"/>
      <c r="B7484"/>
      <c r="H7484"/>
      <c r="I7484" s="17"/>
      <c r="J7484" s="17"/>
      <c r="K7484" s="17"/>
    </row>
    <row r="7485" spans="1:11" x14ac:dyDescent="0.2">
      <c r="A7485"/>
      <c r="B7485"/>
      <c r="H7485"/>
      <c r="I7485" s="17"/>
      <c r="J7485" s="17"/>
      <c r="K7485" s="17"/>
    </row>
    <row r="7486" spans="1:11" x14ac:dyDescent="0.2">
      <c r="A7486"/>
      <c r="B7486"/>
      <c r="H7486"/>
      <c r="I7486" s="17"/>
      <c r="J7486" s="17"/>
      <c r="K7486" s="17"/>
    </row>
    <row r="7487" spans="1:11" x14ac:dyDescent="0.2">
      <c r="A7487"/>
      <c r="B7487"/>
      <c r="H7487"/>
      <c r="I7487" s="17"/>
      <c r="J7487" s="17"/>
      <c r="K7487" s="17"/>
    </row>
    <row r="7488" spans="1:11" x14ac:dyDescent="0.2">
      <c r="A7488"/>
      <c r="B7488"/>
      <c r="H7488"/>
      <c r="I7488" s="17"/>
      <c r="J7488" s="17"/>
      <c r="K7488" s="17"/>
    </row>
    <row r="7489" spans="1:11" x14ac:dyDescent="0.2">
      <c r="A7489"/>
      <c r="B7489"/>
      <c r="H7489"/>
      <c r="I7489" s="17"/>
      <c r="J7489" s="17"/>
      <c r="K7489" s="17"/>
    </row>
    <row r="7490" spans="1:11" x14ac:dyDescent="0.2">
      <c r="A7490"/>
      <c r="B7490"/>
      <c r="H7490"/>
      <c r="I7490" s="17"/>
      <c r="J7490" s="17"/>
      <c r="K7490" s="17"/>
    </row>
    <row r="7491" spans="1:11" x14ac:dyDescent="0.2">
      <c r="A7491"/>
      <c r="B7491"/>
      <c r="H7491"/>
      <c r="I7491" s="17"/>
      <c r="J7491" s="17"/>
      <c r="K7491" s="17"/>
    </row>
    <row r="7492" spans="1:11" x14ac:dyDescent="0.2">
      <c r="A7492"/>
      <c r="B7492"/>
      <c r="H7492"/>
      <c r="I7492" s="17"/>
      <c r="J7492" s="17"/>
      <c r="K7492" s="17"/>
    </row>
    <row r="7493" spans="1:11" x14ac:dyDescent="0.2">
      <c r="A7493"/>
      <c r="B7493"/>
      <c r="H7493"/>
      <c r="I7493" s="17"/>
      <c r="J7493" s="17"/>
      <c r="K7493" s="17"/>
    </row>
    <row r="7494" spans="1:11" x14ac:dyDescent="0.2">
      <c r="A7494"/>
      <c r="B7494"/>
      <c r="H7494"/>
      <c r="I7494" s="17"/>
      <c r="J7494" s="17"/>
      <c r="K7494" s="17"/>
    </row>
    <row r="7495" spans="1:11" x14ac:dyDescent="0.2">
      <c r="A7495"/>
      <c r="B7495"/>
      <c r="H7495"/>
      <c r="I7495" s="17"/>
      <c r="J7495" s="17"/>
      <c r="K7495" s="17"/>
    </row>
    <row r="7496" spans="1:11" x14ac:dyDescent="0.2">
      <c r="A7496"/>
      <c r="B7496"/>
      <c r="H7496"/>
      <c r="I7496" s="17"/>
      <c r="J7496" s="17"/>
      <c r="K7496" s="17"/>
    </row>
    <row r="7497" spans="1:11" x14ac:dyDescent="0.2">
      <c r="A7497"/>
      <c r="B7497"/>
      <c r="H7497"/>
      <c r="I7497" s="17"/>
      <c r="J7497" s="17"/>
      <c r="K7497" s="17"/>
    </row>
    <row r="7498" spans="1:11" x14ac:dyDescent="0.2">
      <c r="A7498"/>
      <c r="B7498"/>
      <c r="H7498"/>
      <c r="I7498" s="17"/>
      <c r="J7498" s="17"/>
      <c r="K7498" s="17"/>
    </row>
    <row r="7499" spans="1:11" x14ac:dyDescent="0.2">
      <c r="A7499"/>
      <c r="B7499"/>
      <c r="H7499"/>
      <c r="I7499" s="17"/>
      <c r="J7499" s="17"/>
      <c r="K7499" s="17"/>
    </row>
    <row r="7500" spans="1:11" x14ac:dyDescent="0.2">
      <c r="A7500"/>
      <c r="B7500"/>
      <c r="H7500"/>
      <c r="I7500" s="17"/>
      <c r="J7500" s="17"/>
      <c r="K7500" s="17"/>
    </row>
    <row r="7501" spans="1:11" x14ac:dyDescent="0.2">
      <c r="A7501"/>
      <c r="B7501"/>
      <c r="H7501"/>
      <c r="I7501" s="17"/>
      <c r="J7501" s="17"/>
      <c r="K7501" s="17"/>
    </row>
    <row r="7502" spans="1:11" x14ac:dyDescent="0.2">
      <c r="A7502"/>
      <c r="B7502"/>
      <c r="H7502"/>
      <c r="I7502" s="17"/>
      <c r="J7502" s="17"/>
      <c r="K7502" s="17"/>
    </row>
    <row r="7503" spans="1:11" x14ac:dyDescent="0.2">
      <c r="A7503"/>
      <c r="B7503"/>
      <c r="H7503"/>
      <c r="I7503" s="17"/>
      <c r="J7503" s="17"/>
      <c r="K7503" s="17"/>
    </row>
    <row r="7504" spans="1:11" x14ac:dyDescent="0.2">
      <c r="A7504"/>
      <c r="B7504"/>
      <c r="H7504"/>
      <c r="I7504" s="17"/>
      <c r="J7504" s="17"/>
      <c r="K7504" s="17"/>
    </row>
    <row r="7505" spans="1:11" x14ac:dyDescent="0.2">
      <c r="A7505"/>
      <c r="B7505"/>
      <c r="H7505"/>
      <c r="I7505" s="17"/>
      <c r="J7505" s="17"/>
      <c r="K7505" s="17"/>
    </row>
    <row r="7506" spans="1:11" x14ac:dyDescent="0.2">
      <c r="A7506"/>
      <c r="B7506"/>
      <c r="H7506"/>
      <c r="I7506" s="17"/>
      <c r="J7506" s="17"/>
      <c r="K7506" s="17"/>
    </row>
    <row r="7507" spans="1:11" x14ac:dyDescent="0.2">
      <c r="A7507"/>
      <c r="B7507"/>
      <c r="H7507"/>
      <c r="I7507" s="17"/>
      <c r="J7507" s="17"/>
      <c r="K7507" s="17"/>
    </row>
    <row r="7508" spans="1:11" x14ac:dyDescent="0.2">
      <c r="A7508"/>
      <c r="B7508"/>
      <c r="H7508"/>
      <c r="I7508" s="17"/>
      <c r="J7508" s="17"/>
      <c r="K7508" s="17"/>
    </row>
    <row r="7509" spans="1:11" x14ac:dyDescent="0.2">
      <c r="A7509"/>
      <c r="B7509"/>
      <c r="H7509"/>
      <c r="I7509" s="17"/>
      <c r="J7509" s="17"/>
      <c r="K7509" s="17"/>
    </row>
    <row r="7510" spans="1:11" x14ac:dyDescent="0.2">
      <c r="A7510"/>
      <c r="B7510"/>
      <c r="H7510"/>
      <c r="I7510" s="17"/>
      <c r="J7510" s="17"/>
      <c r="K7510" s="17"/>
    </row>
    <row r="7511" spans="1:11" x14ac:dyDescent="0.2">
      <c r="A7511"/>
      <c r="B7511"/>
      <c r="H7511"/>
      <c r="I7511" s="17"/>
      <c r="J7511" s="17"/>
      <c r="K7511" s="17"/>
    </row>
    <row r="7512" spans="1:11" x14ac:dyDescent="0.2">
      <c r="A7512"/>
      <c r="B7512"/>
      <c r="H7512"/>
      <c r="I7512" s="17"/>
      <c r="J7512" s="17"/>
      <c r="K7512" s="17"/>
    </row>
    <row r="7513" spans="1:11" x14ac:dyDescent="0.2">
      <c r="A7513"/>
      <c r="B7513"/>
      <c r="H7513"/>
      <c r="I7513" s="17"/>
      <c r="J7513" s="17"/>
      <c r="K7513" s="17"/>
    </row>
    <row r="7514" spans="1:11" x14ac:dyDescent="0.2">
      <c r="A7514"/>
      <c r="B7514"/>
      <c r="H7514"/>
      <c r="I7514" s="17"/>
      <c r="J7514" s="17"/>
      <c r="K7514" s="17"/>
    </row>
    <row r="7515" spans="1:11" x14ac:dyDescent="0.2">
      <c r="A7515"/>
      <c r="B7515"/>
      <c r="H7515"/>
      <c r="I7515" s="17"/>
      <c r="J7515" s="17"/>
      <c r="K7515" s="17"/>
    </row>
    <row r="7516" spans="1:11" x14ac:dyDescent="0.2">
      <c r="A7516"/>
      <c r="B7516"/>
      <c r="H7516"/>
      <c r="I7516" s="17"/>
      <c r="J7516" s="17"/>
      <c r="K7516" s="17"/>
    </row>
    <row r="7517" spans="1:11" x14ac:dyDescent="0.2">
      <c r="A7517"/>
      <c r="B7517"/>
      <c r="H7517"/>
      <c r="I7517" s="17"/>
      <c r="J7517" s="17"/>
      <c r="K7517" s="17"/>
    </row>
    <row r="7518" spans="1:11" x14ac:dyDescent="0.2">
      <c r="A7518"/>
      <c r="B7518"/>
      <c r="H7518"/>
      <c r="I7518" s="17"/>
      <c r="J7518" s="17"/>
      <c r="K7518" s="17"/>
    </row>
    <row r="7519" spans="1:11" x14ac:dyDescent="0.2">
      <c r="A7519"/>
      <c r="B7519"/>
      <c r="H7519"/>
      <c r="I7519" s="17"/>
      <c r="J7519" s="17"/>
      <c r="K7519" s="17"/>
    </row>
    <row r="7520" spans="1:11" x14ac:dyDescent="0.2">
      <c r="A7520"/>
      <c r="B7520"/>
      <c r="H7520"/>
      <c r="I7520" s="17"/>
      <c r="J7520" s="17"/>
      <c r="K7520" s="17"/>
    </row>
    <row r="7521" spans="1:11" x14ac:dyDescent="0.2">
      <c r="A7521"/>
      <c r="B7521"/>
      <c r="H7521"/>
      <c r="I7521" s="17"/>
      <c r="J7521" s="17"/>
      <c r="K7521" s="17"/>
    </row>
    <row r="7522" spans="1:11" x14ac:dyDescent="0.2">
      <c r="A7522"/>
      <c r="B7522"/>
      <c r="H7522"/>
      <c r="I7522" s="17"/>
      <c r="J7522" s="17"/>
      <c r="K7522" s="17"/>
    </row>
    <row r="7523" spans="1:11" x14ac:dyDescent="0.2">
      <c r="A7523"/>
      <c r="B7523"/>
      <c r="H7523"/>
      <c r="I7523" s="17"/>
      <c r="J7523" s="17"/>
      <c r="K7523" s="17"/>
    </row>
    <row r="7524" spans="1:11" x14ac:dyDescent="0.2">
      <c r="A7524"/>
      <c r="B7524"/>
      <c r="H7524"/>
      <c r="I7524" s="17"/>
      <c r="J7524" s="17"/>
      <c r="K7524" s="17"/>
    </row>
    <row r="7525" spans="1:11" x14ac:dyDescent="0.2">
      <c r="A7525"/>
      <c r="B7525"/>
      <c r="H7525"/>
      <c r="I7525" s="17"/>
      <c r="J7525" s="17"/>
      <c r="K7525" s="17"/>
    </row>
    <row r="7526" spans="1:11" x14ac:dyDescent="0.2">
      <c r="A7526"/>
      <c r="B7526"/>
      <c r="H7526"/>
      <c r="I7526" s="17"/>
      <c r="J7526" s="17"/>
      <c r="K7526" s="17"/>
    </row>
    <row r="7527" spans="1:11" x14ac:dyDescent="0.2">
      <c r="A7527"/>
      <c r="B7527"/>
      <c r="H7527"/>
      <c r="I7527" s="17"/>
      <c r="J7527" s="17"/>
      <c r="K7527" s="17"/>
    </row>
    <row r="7528" spans="1:11" x14ac:dyDescent="0.2">
      <c r="A7528"/>
      <c r="B7528"/>
      <c r="H7528"/>
      <c r="I7528" s="17"/>
      <c r="J7528" s="17"/>
      <c r="K7528" s="17"/>
    </row>
    <row r="7529" spans="1:11" x14ac:dyDescent="0.2">
      <c r="A7529"/>
      <c r="B7529"/>
      <c r="H7529"/>
      <c r="I7529" s="17"/>
      <c r="J7529" s="17"/>
      <c r="K7529" s="17"/>
    </row>
    <row r="7530" spans="1:11" x14ac:dyDescent="0.2">
      <c r="A7530"/>
      <c r="B7530"/>
      <c r="H7530"/>
      <c r="I7530" s="17"/>
      <c r="J7530" s="17"/>
      <c r="K7530" s="17"/>
    </row>
    <row r="7531" spans="1:11" x14ac:dyDescent="0.2">
      <c r="A7531"/>
      <c r="B7531"/>
      <c r="H7531"/>
      <c r="I7531" s="17"/>
      <c r="J7531" s="17"/>
      <c r="K7531" s="17"/>
    </row>
    <row r="7532" spans="1:11" x14ac:dyDescent="0.2">
      <c r="A7532"/>
      <c r="B7532"/>
      <c r="H7532"/>
      <c r="I7532" s="17"/>
      <c r="J7532" s="17"/>
      <c r="K7532" s="17"/>
    </row>
    <row r="7533" spans="1:11" x14ac:dyDescent="0.2">
      <c r="A7533"/>
      <c r="B7533"/>
      <c r="H7533"/>
      <c r="I7533" s="17"/>
      <c r="J7533" s="17"/>
      <c r="K7533" s="17"/>
    </row>
    <row r="7534" spans="1:11" x14ac:dyDescent="0.2">
      <c r="A7534"/>
      <c r="B7534"/>
      <c r="H7534"/>
      <c r="I7534" s="17"/>
      <c r="J7534" s="17"/>
      <c r="K7534" s="17"/>
    </row>
    <row r="7535" spans="1:11" x14ac:dyDescent="0.2">
      <c r="A7535"/>
      <c r="B7535"/>
      <c r="H7535"/>
      <c r="I7535" s="17"/>
      <c r="J7535" s="17"/>
      <c r="K7535" s="17"/>
    </row>
    <row r="7536" spans="1:11" x14ac:dyDescent="0.2">
      <c r="A7536"/>
      <c r="B7536"/>
      <c r="H7536"/>
      <c r="I7536" s="17"/>
      <c r="J7536" s="17"/>
      <c r="K7536" s="17"/>
    </row>
    <row r="7537" spans="1:11" x14ac:dyDescent="0.2">
      <c r="A7537"/>
      <c r="B7537"/>
      <c r="H7537"/>
      <c r="I7537" s="17"/>
      <c r="J7537" s="17"/>
      <c r="K7537" s="17"/>
    </row>
    <row r="7538" spans="1:11" x14ac:dyDescent="0.2">
      <c r="A7538"/>
      <c r="B7538"/>
      <c r="H7538"/>
      <c r="I7538" s="17"/>
      <c r="J7538" s="17"/>
      <c r="K7538" s="17"/>
    </row>
    <row r="7539" spans="1:11" x14ac:dyDescent="0.2">
      <c r="A7539"/>
      <c r="B7539"/>
      <c r="H7539"/>
      <c r="I7539" s="17"/>
      <c r="J7539" s="17"/>
      <c r="K7539" s="17"/>
    </row>
    <row r="7540" spans="1:11" x14ac:dyDescent="0.2">
      <c r="A7540"/>
      <c r="B7540"/>
      <c r="H7540"/>
      <c r="I7540" s="17"/>
      <c r="J7540" s="17"/>
      <c r="K7540" s="17"/>
    </row>
    <row r="7541" spans="1:11" x14ac:dyDescent="0.2">
      <c r="A7541"/>
      <c r="B7541"/>
      <c r="H7541"/>
      <c r="I7541" s="17"/>
      <c r="J7541" s="17"/>
      <c r="K7541" s="17"/>
    </row>
    <row r="7542" spans="1:11" x14ac:dyDescent="0.2">
      <c r="A7542"/>
      <c r="B7542"/>
      <c r="H7542"/>
      <c r="I7542" s="17"/>
      <c r="J7542" s="17"/>
      <c r="K7542" s="17"/>
    </row>
    <row r="7543" spans="1:11" x14ac:dyDescent="0.2">
      <c r="A7543"/>
      <c r="B7543"/>
      <c r="H7543"/>
      <c r="I7543" s="17"/>
      <c r="J7543" s="17"/>
      <c r="K7543" s="17"/>
    </row>
    <row r="7544" spans="1:11" x14ac:dyDescent="0.2">
      <c r="A7544"/>
      <c r="B7544"/>
      <c r="H7544"/>
      <c r="I7544" s="17"/>
      <c r="J7544" s="17"/>
      <c r="K7544" s="17"/>
    </row>
    <row r="7545" spans="1:11" x14ac:dyDescent="0.2">
      <c r="A7545"/>
      <c r="B7545"/>
      <c r="H7545"/>
      <c r="I7545" s="17"/>
      <c r="J7545" s="17"/>
      <c r="K7545" s="17"/>
    </row>
    <row r="7546" spans="1:11" x14ac:dyDescent="0.2">
      <c r="A7546"/>
      <c r="B7546"/>
      <c r="H7546"/>
      <c r="I7546" s="17"/>
      <c r="J7546" s="17"/>
      <c r="K7546" s="17"/>
    </row>
    <row r="7547" spans="1:11" x14ac:dyDescent="0.2">
      <c r="A7547"/>
      <c r="B7547"/>
      <c r="H7547"/>
      <c r="I7547" s="17"/>
      <c r="J7547" s="17"/>
      <c r="K7547" s="17"/>
    </row>
    <row r="7548" spans="1:11" x14ac:dyDescent="0.2">
      <c r="A7548"/>
      <c r="B7548"/>
      <c r="H7548"/>
      <c r="I7548" s="17"/>
      <c r="J7548" s="17"/>
      <c r="K7548" s="17"/>
    </row>
    <row r="7549" spans="1:11" x14ac:dyDescent="0.2">
      <c r="A7549"/>
      <c r="B7549"/>
      <c r="H7549"/>
      <c r="I7549" s="17"/>
      <c r="J7549" s="17"/>
      <c r="K7549" s="17"/>
    </row>
    <row r="7550" spans="1:11" x14ac:dyDescent="0.2">
      <c r="A7550"/>
      <c r="B7550"/>
      <c r="H7550"/>
      <c r="I7550" s="17"/>
      <c r="J7550" s="17"/>
      <c r="K7550" s="17"/>
    </row>
    <row r="7551" spans="1:11" x14ac:dyDescent="0.2">
      <c r="A7551"/>
      <c r="B7551"/>
      <c r="H7551"/>
      <c r="I7551" s="17"/>
      <c r="J7551" s="17"/>
      <c r="K7551" s="17"/>
    </row>
    <row r="7552" spans="1:11" x14ac:dyDescent="0.2">
      <c r="A7552"/>
      <c r="B7552"/>
      <c r="H7552"/>
      <c r="I7552" s="17"/>
      <c r="J7552" s="17"/>
      <c r="K7552" s="17"/>
    </row>
    <row r="7553" spans="1:11" x14ac:dyDescent="0.2">
      <c r="A7553"/>
      <c r="B7553"/>
      <c r="H7553"/>
      <c r="I7553" s="17"/>
      <c r="J7553" s="17"/>
      <c r="K7553" s="17"/>
    </row>
    <row r="7554" spans="1:11" x14ac:dyDescent="0.2">
      <c r="A7554"/>
      <c r="B7554"/>
      <c r="H7554"/>
      <c r="I7554" s="17"/>
      <c r="J7554" s="17"/>
      <c r="K7554" s="17"/>
    </row>
    <row r="7555" spans="1:11" x14ac:dyDescent="0.2">
      <c r="A7555"/>
      <c r="B7555"/>
      <c r="H7555"/>
      <c r="I7555" s="17"/>
      <c r="J7555" s="17"/>
      <c r="K7555" s="17"/>
    </row>
    <row r="7556" spans="1:11" x14ac:dyDescent="0.2">
      <c r="A7556"/>
      <c r="B7556"/>
      <c r="H7556"/>
      <c r="I7556" s="17"/>
      <c r="J7556" s="17"/>
      <c r="K7556" s="17"/>
    </row>
    <row r="7557" spans="1:11" x14ac:dyDescent="0.2">
      <c r="A7557"/>
      <c r="B7557"/>
      <c r="H7557"/>
      <c r="I7557" s="17"/>
      <c r="J7557" s="17"/>
      <c r="K7557" s="17"/>
    </row>
    <row r="7558" spans="1:11" x14ac:dyDescent="0.2">
      <c r="A7558"/>
      <c r="B7558"/>
      <c r="H7558"/>
      <c r="I7558" s="17"/>
      <c r="J7558" s="17"/>
      <c r="K7558" s="17"/>
    </row>
    <row r="7559" spans="1:11" x14ac:dyDescent="0.2">
      <c r="A7559"/>
      <c r="B7559"/>
      <c r="H7559"/>
      <c r="I7559" s="17"/>
      <c r="J7559" s="17"/>
      <c r="K7559" s="17"/>
    </row>
    <row r="7560" spans="1:11" x14ac:dyDescent="0.2">
      <c r="A7560"/>
      <c r="B7560"/>
      <c r="H7560"/>
      <c r="I7560" s="17"/>
      <c r="J7560" s="17"/>
      <c r="K7560" s="17"/>
    </row>
    <row r="7561" spans="1:11" x14ac:dyDescent="0.2">
      <c r="A7561"/>
      <c r="B7561"/>
      <c r="H7561"/>
      <c r="I7561" s="17"/>
      <c r="J7561" s="17"/>
      <c r="K7561" s="17"/>
    </row>
    <row r="7562" spans="1:11" x14ac:dyDescent="0.2">
      <c r="A7562"/>
      <c r="B7562"/>
      <c r="H7562"/>
      <c r="I7562" s="17"/>
      <c r="J7562" s="17"/>
      <c r="K7562" s="17"/>
    </row>
    <row r="7563" spans="1:11" x14ac:dyDescent="0.2">
      <c r="A7563"/>
      <c r="B7563"/>
      <c r="H7563"/>
      <c r="I7563" s="17"/>
      <c r="J7563" s="17"/>
      <c r="K7563" s="17"/>
    </row>
    <row r="7564" spans="1:11" x14ac:dyDescent="0.2">
      <c r="A7564"/>
      <c r="B7564"/>
      <c r="H7564"/>
      <c r="I7564" s="17"/>
      <c r="J7564" s="17"/>
      <c r="K7564" s="17"/>
    </row>
    <row r="7565" spans="1:11" x14ac:dyDescent="0.2">
      <c r="A7565"/>
      <c r="B7565"/>
      <c r="H7565"/>
      <c r="I7565" s="17"/>
      <c r="J7565" s="17"/>
      <c r="K7565" s="17"/>
    </row>
    <row r="7566" spans="1:11" x14ac:dyDescent="0.2">
      <c r="A7566"/>
      <c r="B7566"/>
      <c r="H7566"/>
      <c r="I7566" s="17"/>
      <c r="J7566" s="17"/>
      <c r="K7566" s="17"/>
    </row>
    <row r="7567" spans="1:11" x14ac:dyDescent="0.2">
      <c r="A7567"/>
      <c r="B7567"/>
      <c r="H7567"/>
      <c r="I7567" s="17"/>
      <c r="J7567" s="17"/>
      <c r="K7567" s="17"/>
    </row>
    <row r="7568" spans="1:11" x14ac:dyDescent="0.2">
      <c r="A7568"/>
      <c r="B7568"/>
      <c r="H7568"/>
      <c r="I7568" s="17"/>
      <c r="J7568" s="17"/>
      <c r="K7568" s="17"/>
    </row>
    <row r="7569" spans="1:11" x14ac:dyDescent="0.2">
      <c r="A7569"/>
      <c r="B7569"/>
      <c r="H7569"/>
      <c r="I7569" s="17"/>
      <c r="J7569" s="17"/>
      <c r="K7569" s="17"/>
    </row>
    <row r="7570" spans="1:11" x14ac:dyDescent="0.2">
      <c r="A7570"/>
      <c r="B7570"/>
      <c r="H7570"/>
      <c r="I7570" s="17"/>
      <c r="J7570" s="17"/>
      <c r="K7570" s="17"/>
    </row>
    <row r="7571" spans="1:11" x14ac:dyDescent="0.2">
      <c r="A7571"/>
      <c r="B7571"/>
      <c r="H7571"/>
      <c r="I7571" s="17"/>
      <c r="J7571" s="17"/>
      <c r="K7571" s="17"/>
    </row>
    <row r="7572" spans="1:11" x14ac:dyDescent="0.2">
      <c r="A7572"/>
      <c r="B7572"/>
      <c r="H7572"/>
      <c r="I7572" s="17"/>
      <c r="J7572" s="17"/>
      <c r="K7572" s="17"/>
    </row>
    <row r="7573" spans="1:11" x14ac:dyDescent="0.2">
      <c r="A7573"/>
      <c r="B7573"/>
      <c r="H7573"/>
      <c r="I7573" s="17"/>
      <c r="J7573" s="17"/>
      <c r="K7573" s="17"/>
    </row>
    <row r="7574" spans="1:11" x14ac:dyDescent="0.2">
      <c r="A7574"/>
      <c r="B7574"/>
      <c r="H7574"/>
      <c r="I7574" s="17"/>
      <c r="J7574" s="17"/>
      <c r="K7574" s="17"/>
    </row>
    <row r="7575" spans="1:11" x14ac:dyDescent="0.2">
      <c r="A7575"/>
      <c r="B7575"/>
      <c r="H7575"/>
      <c r="I7575" s="17"/>
      <c r="J7575" s="17"/>
      <c r="K7575" s="17"/>
    </row>
    <row r="7576" spans="1:11" x14ac:dyDescent="0.2">
      <c r="A7576"/>
      <c r="B7576"/>
      <c r="H7576"/>
      <c r="I7576" s="17"/>
      <c r="J7576" s="17"/>
      <c r="K7576" s="17"/>
    </row>
    <row r="7577" spans="1:11" x14ac:dyDescent="0.2">
      <c r="A7577"/>
      <c r="B7577"/>
      <c r="H7577"/>
      <c r="I7577" s="17"/>
      <c r="J7577" s="17"/>
      <c r="K7577" s="17"/>
    </row>
    <row r="7578" spans="1:11" x14ac:dyDescent="0.2">
      <c r="A7578"/>
      <c r="B7578"/>
      <c r="H7578"/>
      <c r="I7578" s="17"/>
      <c r="J7578" s="17"/>
      <c r="K7578" s="17"/>
    </row>
    <row r="7579" spans="1:11" x14ac:dyDescent="0.2">
      <c r="A7579"/>
      <c r="B7579"/>
      <c r="H7579"/>
      <c r="I7579" s="17"/>
      <c r="J7579" s="17"/>
      <c r="K7579" s="17"/>
    </row>
    <row r="7580" spans="1:11" x14ac:dyDescent="0.2">
      <c r="A7580"/>
      <c r="B7580"/>
      <c r="H7580"/>
      <c r="I7580" s="17"/>
      <c r="J7580" s="17"/>
      <c r="K7580" s="17"/>
    </row>
    <row r="7581" spans="1:11" x14ac:dyDescent="0.2">
      <c r="A7581"/>
      <c r="B7581"/>
      <c r="H7581"/>
      <c r="I7581" s="17"/>
      <c r="J7581" s="17"/>
      <c r="K7581" s="17"/>
    </row>
    <row r="7582" spans="1:11" x14ac:dyDescent="0.2">
      <c r="A7582"/>
      <c r="B7582"/>
      <c r="H7582"/>
      <c r="I7582" s="17"/>
      <c r="J7582" s="17"/>
      <c r="K7582" s="17"/>
    </row>
    <row r="7583" spans="1:11" x14ac:dyDescent="0.2">
      <c r="A7583"/>
      <c r="B7583"/>
      <c r="H7583"/>
      <c r="I7583" s="17"/>
      <c r="J7583" s="17"/>
      <c r="K7583" s="17"/>
    </row>
    <row r="7584" spans="1:11" x14ac:dyDescent="0.2">
      <c r="A7584"/>
      <c r="B7584"/>
      <c r="H7584"/>
      <c r="I7584" s="17"/>
      <c r="J7584" s="17"/>
      <c r="K7584" s="17"/>
    </row>
    <row r="7585" spans="1:11" x14ac:dyDescent="0.2">
      <c r="A7585"/>
      <c r="B7585"/>
      <c r="H7585"/>
      <c r="I7585" s="17"/>
      <c r="J7585" s="17"/>
      <c r="K7585" s="17"/>
    </row>
    <row r="7586" spans="1:11" x14ac:dyDescent="0.2">
      <c r="A7586"/>
      <c r="B7586"/>
      <c r="H7586"/>
      <c r="I7586" s="17"/>
      <c r="J7586" s="17"/>
      <c r="K7586" s="17"/>
    </row>
    <row r="7587" spans="1:11" x14ac:dyDescent="0.2">
      <c r="A7587"/>
      <c r="B7587"/>
      <c r="H7587"/>
      <c r="I7587" s="17"/>
      <c r="J7587" s="17"/>
      <c r="K7587" s="17"/>
    </row>
    <row r="7588" spans="1:11" x14ac:dyDescent="0.2">
      <c r="A7588"/>
      <c r="B7588"/>
      <c r="H7588"/>
      <c r="I7588" s="17"/>
      <c r="J7588" s="17"/>
      <c r="K7588" s="17"/>
    </row>
    <row r="7589" spans="1:11" x14ac:dyDescent="0.2">
      <c r="A7589"/>
      <c r="B7589"/>
      <c r="H7589"/>
      <c r="I7589" s="17"/>
      <c r="J7589" s="17"/>
      <c r="K7589" s="17"/>
    </row>
    <row r="7590" spans="1:11" x14ac:dyDescent="0.2">
      <c r="A7590"/>
      <c r="B7590"/>
      <c r="H7590"/>
      <c r="I7590" s="17"/>
      <c r="J7590" s="17"/>
      <c r="K7590" s="17"/>
    </row>
    <row r="7591" spans="1:11" x14ac:dyDescent="0.2">
      <c r="A7591"/>
      <c r="B7591"/>
      <c r="H7591"/>
      <c r="I7591" s="17"/>
      <c r="J7591" s="17"/>
      <c r="K7591" s="17"/>
    </row>
    <row r="7592" spans="1:11" x14ac:dyDescent="0.2">
      <c r="A7592"/>
      <c r="B7592"/>
      <c r="H7592"/>
      <c r="I7592" s="17"/>
      <c r="J7592" s="17"/>
      <c r="K7592" s="17"/>
    </row>
    <row r="7593" spans="1:11" x14ac:dyDescent="0.2">
      <c r="A7593"/>
      <c r="B7593"/>
      <c r="H7593"/>
      <c r="I7593" s="17"/>
      <c r="J7593" s="17"/>
      <c r="K7593" s="17"/>
    </row>
    <row r="7594" spans="1:11" x14ac:dyDescent="0.2">
      <c r="A7594"/>
      <c r="B7594"/>
      <c r="H7594"/>
      <c r="I7594" s="17"/>
      <c r="J7594" s="17"/>
      <c r="K7594" s="17"/>
    </row>
    <row r="7595" spans="1:11" x14ac:dyDescent="0.2">
      <c r="A7595"/>
      <c r="B7595"/>
      <c r="H7595"/>
      <c r="I7595" s="17"/>
      <c r="J7595" s="17"/>
      <c r="K7595" s="17"/>
    </row>
    <row r="7596" spans="1:11" x14ac:dyDescent="0.2">
      <c r="A7596"/>
      <c r="B7596"/>
      <c r="H7596"/>
      <c r="I7596" s="17"/>
      <c r="J7596" s="17"/>
      <c r="K7596" s="17"/>
    </row>
    <row r="7597" spans="1:11" x14ac:dyDescent="0.2">
      <c r="A7597"/>
      <c r="B7597"/>
      <c r="H7597"/>
      <c r="I7597" s="17"/>
      <c r="J7597" s="17"/>
      <c r="K7597" s="17"/>
    </row>
    <row r="7598" spans="1:11" x14ac:dyDescent="0.2">
      <c r="A7598"/>
      <c r="B7598"/>
      <c r="H7598"/>
      <c r="I7598" s="17"/>
      <c r="J7598" s="17"/>
      <c r="K7598" s="17"/>
    </row>
    <row r="7599" spans="1:11" x14ac:dyDescent="0.2">
      <c r="A7599"/>
      <c r="B7599"/>
      <c r="H7599"/>
      <c r="I7599" s="17"/>
      <c r="J7599" s="17"/>
      <c r="K7599" s="17"/>
    </row>
    <row r="7600" spans="1:11" x14ac:dyDescent="0.2">
      <c r="A7600"/>
      <c r="B7600"/>
      <c r="H7600"/>
      <c r="I7600" s="17"/>
      <c r="J7600" s="17"/>
      <c r="K7600" s="17"/>
    </row>
    <row r="7601" spans="1:11" x14ac:dyDescent="0.2">
      <c r="A7601"/>
      <c r="B7601"/>
      <c r="H7601"/>
      <c r="I7601" s="17"/>
      <c r="J7601" s="17"/>
      <c r="K7601" s="17"/>
    </row>
    <row r="7602" spans="1:11" x14ac:dyDescent="0.2">
      <c r="A7602"/>
      <c r="B7602"/>
      <c r="H7602"/>
      <c r="I7602" s="17"/>
      <c r="J7602" s="17"/>
      <c r="K7602" s="17"/>
    </row>
    <row r="7603" spans="1:11" x14ac:dyDescent="0.2">
      <c r="A7603"/>
      <c r="B7603"/>
      <c r="H7603"/>
      <c r="I7603" s="17"/>
      <c r="J7603" s="17"/>
      <c r="K7603" s="17"/>
    </row>
    <row r="7604" spans="1:11" x14ac:dyDescent="0.2">
      <c r="A7604"/>
      <c r="B7604"/>
      <c r="H7604"/>
      <c r="I7604" s="17"/>
      <c r="J7604" s="17"/>
      <c r="K7604" s="17"/>
    </row>
    <row r="7605" spans="1:11" x14ac:dyDescent="0.2">
      <c r="A7605"/>
      <c r="B7605"/>
      <c r="H7605"/>
      <c r="I7605" s="17"/>
      <c r="J7605" s="17"/>
      <c r="K7605" s="17"/>
    </row>
    <row r="7606" spans="1:11" x14ac:dyDescent="0.2">
      <c r="A7606"/>
      <c r="B7606"/>
      <c r="H7606"/>
      <c r="I7606" s="17"/>
      <c r="J7606" s="17"/>
      <c r="K7606" s="17"/>
    </row>
    <row r="7607" spans="1:11" x14ac:dyDescent="0.2">
      <c r="A7607"/>
      <c r="B7607"/>
      <c r="H7607"/>
      <c r="I7607" s="17"/>
      <c r="J7607" s="17"/>
      <c r="K7607" s="17"/>
    </row>
    <row r="7608" spans="1:11" x14ac:dyDescent="0.2">
      <c r="A7608"/>
      <c r="B7608"/>
      <c r="H7608"/>
      <c r="I7608" s="17"/>
      <c r="J7608" s="17"/>
      <c r="K7608" s="17"/>
    </row>
    <row r="7609" spans="1:11" x14ac:dyDescent="0.2">
      <c r="A7609"/>
      <c r="B7609"/>
      <c r="H7609"/>
      <c r="I7609" s="17"/>
      <c r="J7609" s="17"/>
      <c r="K7609" s="17"/>
    </row>
    <row r="7610" spans="1:11" x14ac:dyDescent="0.2">
      <c r="A7610"/>
      <c r="B7610"/>
      <c r="H7610"/>
      <c r="I7610" s="17"/>
      <c r="J7610" s="17"/>
      <c r="K7610" s="17"/>
    </row>
    <row r="7611" spans="1:11" x14ac:dyDescent="0.2">
      <c r="A7611"/>
      <c r="B7611"/>
      <c r="H7611"/>
      <c r="I7611" s="17"/>
      <c r="J7611" s="17"/>
      <c r="K7611" s="17"/>
    </row>
    <row r="7612" spans="1:11" x14ac:dyDescent="0.2">
      <c r="A7612"/>
      <c r="B7612"/>
      <c r="H7612"/>
      <c r="I7612" s="17"/>
      <c r="J7612" s="17"/>
      <c r="K7612" s="17"/>
    </row>
    <row r="7613" spans="1:11" x14ac:dyDescent="0.2">
      <c r="A7613"/>
      <c r="B7613"/>
      <c r="H7613"/>
      <c r="I7613" s="17"/>
      <c r="J7613" s="17"/>
      <c r="K7613" s="17"/>
    </row>
    <row r="7614" spans="1:11" x14ac:dyDescent="0.2">
      <c r="A7614"/>
      <c r="B7614"/>
      <c r="H7614"/>
      <c r="I7614" s="17"/>
      <c r="J7614" s="17"/>
      <c r="K7614" s="17"/>
    </row>
    <row r="7615" spans="1:11" x14ac:dyDescent="0.2">
      <c r="A7615"/>
      <c r="B7615"/>
      <c r="H7615"/>
      <c r="I7615" s="17"/>
      <c r="J7615" s="17"/>
      <c r="K7615" s="17"/>
    </row>
    <row r="7616" spans="1:11" x14ac:dyDescent="0.2">
      <c r="A7616"/>
      <c r="B7616"/>
      <c r="H7616"/>
      <c r="I7616" s="17"/>
      <c r="J7616" s="17"/>
      <c r="K7616" s="17"/>
    </row>
    <row r="7617" spans="1:11" x14ac:dyDescent="0.2">
      <c r="A7617"/>
      <c r="B7617"/>
      <c r="H7617"/>
      <c r="I7617" s="17"/>
      <c r="J7617" s="17"/>
      <c r="K7617" s="17"/>
    </row>
    <row r="7618" spans="1:11" x14ac:dyDescent="0.2">
      <c r="A7618"/>
      <c r="B7618"/>
      <c r="H7618"/>
      <c r="I7618" s="17"/>
      <c r="J7618" s="17"/>
      <c r="K7618" s="17"/>
    </row>
    <row r="7619" spans="1:11" x14ac:dyDescent="0.2">
      <c r="A7619"/>
      <c r="B7619"/>
      <c r="H7619"/>
      <c r="I7619" s="17"/>
      <c r="J7619" s="17"/>
      <c r="K7619" s="17"/>
    </row>
    <row r="7620" spans="1:11" x14ac:dyDescent="0.2">
      <c r="A7620"/>
      <c r="B7620"/>
      <c r="H7620"/>
      <c r="I7620" s="17"/>
      <c r="J7620" s="17"/>
      <c r="K7620" s="17"/>
    </row>
    <row r="7621" spans="1:11" x14ac:dyDescent="0.2">
      <c r="A7621"/>
      <c r="B7621"/>
      <c r="H7621"/>
      <c r="I7621" s="17"/>
      <c r="J7621" s="17"/>
      <c r="K7621" s="17"/>
    </row>
    <row r="7622" spans="1:11" x14ac:dyDescent="0.2">
      <c r="A7622"/>
      <c r="B7622"/>
      <c r="H7622"/>
      <c r="I7622" s="17"/>
      <c r="J7622" s="17"/>
      <c r="K7622" s="17"/>
    </row>
    <row r="7623" spans="1:11" x14ac:dyDescent="0.2">
      <c r="A7623"/>
      <c r="B7623"/>
      <c r="H7623"/>
      <c r="I7623" s="17"/>
      <c r="J7623" s="17"/>
      <c r="K7623" s="17"/>
    </row>
    <row r="7624" spans="1:11" x14ac:dyDescent="0.2">
      <c r="A7624"/>
      <c r="B7624"/>
      <c r="H7624"/>
      <c r="I7624" s="17"/>
      <c r="J7624" s="17"/>
      <c r="K7624" s="17"/>
    </row>
    <row r="7625" spans="1:11" x14ac:dyDescent="0.2">
      <c r="A7625"/>
      <c r="B7625"/>
      <c r="H7625"/>
      <c r="I7625" s="17"/>
      <c r="J7625" s="17"/>
      <c r="K7625" s="17"/>
    </row>
    <row r="7626" spans="1:11" x14ac:dyDescent="0.2">
      <c r="A7626"/>
      <c r="B7626"/>
      <c r="H7626"/>
      <c r="I7626" s="17"/>
      <c r="J7626" s="17"/>
      <c r="K7626" s="17"/>
    </row>
    <row r="7627" spans="1:11" x14ac:dyDescent="0.2">
      <c r="A7627"/>
      <c r="B7627"/>
      <c r="H7627"/>
      <c r="I7627" s="17"/>
      <c r="J7627" s="17"/>
      <c r="K7627" s="17"/>
    </row>
    <row r="7628" spans="1:11" x14ac:dyDescent="0.2">
      <c r="A7628"/>
      <c r="B7628"/>
      <c r="H7628"/>
      <c r="I7628" s="17"/>
      <c r="J7628" s="17"/>
      <c r="K7628" s="17"/>
    </row>
    <row r="7629" spans="1:11" x14ac:dyDescent="0.2">
      <c r="A7629"/>
      <c r="B7629"/>
      <c r="H7629"/>
      <c r="I7629" s="17"/>
      <c r="J7629" s="17"/>
      <c r="K7629" s="17"/>
    </row>
    <row r="7630" spans="1:11" x14ac:dyDescent="0.2">
      <c r="A7630"/>
      <c r="B7630"/>
      <c r="H7630"/>
      <c r="I7630" s="17"/>
      <c r="J7630" s="17"/>
      <c r="K7630" s="17"/>
    </row>
    <row r="7631" spans="1:11" x14ac:dyDescent="0.2">
      <c r="A7631"/>
      <c r="B7631"/>
      <c r="H7631"/>
      <c r="I7631" s="17"/>
      <c r="J7631" s="17"/>
      <c r="K7631" s="17"/>
    </row>
    <row r="7632" spans="1:11" x14ac:dyDescent="0.2">
      <c r="A7632"/>
      <c r="B7632"/>
      <c r="H7632"/>
      <c r="I7632" s="17"/>
      <c r="J7632" s="17"/>
      <c r="K7632" s="17"/>
    </row>
    <row r="7633" spans="1:11" x14ac:dyDescent="0.2">
      <c r="A7633"/>
      <c r="B7633"/>
      <c r="H7633"/>
      <c r="I7633" s="17"/>
      <c r="J7633" s="17"/>
      <c r="K7633" s="17"/>
    </row>
    <row r="7634" spans="1:11" x14ac:dyDescent="0.2">
      <c r="A7634"/>
      <c r="B7634"/>
      <c r="H7634"/>
      <c r="I7634" s="17"/>
      <c r="J7634" s="17"/>
      <c r="K7634" s="17"/>
    </row>
    <row r="7635" spans="1:11" x14ac:dyDescent="0.2">
      <c r="A7635"/>
      <c r="B7635"/>
      <c r="H7635"/>
      <c r="I7635" s="17"/>
      <c r="J7635" s="17"/>
      <c r="K7635" s="17"/>
    </row>
    <row r="7636" spans="1:11" x14ac:dyDescent="0.2">
      <c r="A7636"/>
      <c r="B7636"/>
      <c r="H7636"/>
      <c r="I7636" s="17"/>
      <c r="J7636" s="17"/>
      <c r="K7636" s="17"/>
    </row>
    <row r="7637" spans="1:11" x14ac:dyDescent="0.2">
      <c r="A7637"/>
      <c r="B7637"/>
      <c r="H7637"/>
      <c r="I7637" s="17"/>
      <c r="J7637" s="17"/>
      <c r="K7637" s="17"/>
    </row>
    <row r="7638" spans="1:11" x14ac:dyDescent="0.2">
      <c r="A7638"/>
      <c r="B7638"/>
      <c r="H7638"/>
      <c r="I7638" s="17"/>
      <c r="J7638" s="17"/>
      <c r="K7638" s="17"/>
    </row>
    <row r="7639" spans="1:11" x14ac:dyDescent="0.2">
      <c r="A7639"/>
      <c r="B7639"/>
      <c r="H7639"/>
      <c r="I7639" s="17"/>
      <c r="J7639" s="17"/>
      <c r="K7639" s="17"/>
    </row>
    <row r="7640" spans="1:11" x14ac:dyDescent="0.2">
      <c r="A7640"/>
      <c r="B7640"/>
      <c r="H7640"/>
      <c r="I7640" s="17"/>
      <c r="J7640" s="17"/>
      <c r="K7640" s="17"/>
    </row>
    <row r="7641" spans="1:11" x14ac:dyDescent="0.2">
      <c r="A7641"/>
      <c r="B7641"/>
      <c r="H7641"/>
      <c r="I7641" s="17"/>
      <c r="J7641" s="17"/>
      <c r="K7641" s="17"/>
    </row>
    <row r="7642" spans="1:11" x14ac:dyDescent="0.2">
      <c r="A7642"/>
      <c r="B7642"/>
      <c r="H7642"/>
      <c r="I7642" s="17"/>
      <c r="J7642" s="17"/>
      <c r="K7642" s="17"/>
    </row>
    <row r="7643" spans="1:11" x14ac:dyDescent="0.2">
      <c r="A7643"/>
      <c r="B7643"/>
      <c r="H7643"/>
      <c r="I7643" s="17"/>
      <c r="J7643" s="17"/>
      <c r="K7643" s="17"/>
    </row>
    <row r="7644" spans="1:11" x14ac:dyDescent="0.2">
      <c r="A7644"/>
      <c r="B7644"/>
      <c r="H7644"/>
      <c r="I7644" s="17"/>
      <c r="J7644" s="17"/>
      <c r="K7644" s="17"/>
    </row>
    <row r="7645" spans="1:11" x14ac:dyDescent="0.2">
      <c r="A7645"/>
      <c r="B7645"/>
      <c r="H7645"/>
      <c r="I7645" s="17"/>
      <c r="J7645" s="17"/>
      <c r="K7645" s="17"/>
    </row>
    <row r="7646" spans="1:11" x14ac:dyDescent="0.2">
      <c r="A7646"/>
      <c r="B7646"/>
      <c r="H7646"/>
      <c r="I7646" s="17"/>
      <c r="J7646" s="17"/>
      <c r="K7646" s="17"/>
    </row>
    <row r="7647" spans="1:11" x14ac:dyDescent="0.2">
      <c r="A7647"/>
      <c r="B7647"/>
      <c r="H7647"/>
      <c r="I7647" s="17"/>
      <c r="J7647" s="17"/>
      <c r="K7647" s="17"/>
    </row>
    <row r="7648" spans="1:11" x14ac:dyDescent="0.2">
      <c r="A7648"/>
      <c r="B7648"/>
      <c r="H7648"/>
      <c r="I7648" s="17"/>
      <c r="J7648" s="17"/>
      <c r="K7648" s="17"/>
    </row>
    <row r="7649" spans="1:11" x14ac:dyDescent="0.2">
      <c r="A7649"/>
      <c r="B7649"/>
      <c r="H7649"/>
      <c r="I7649" s="17"/>
      <c r="J7649" s="17"/>
      <c r="K7649" s="17"/>
    </row>
    <row r="7650" spans="1:11" x14ac:dyDescent="0.2">
      <c r="A7650"/>
      <c r="B7650"/>
      <c r="H7650"/>
      <c r="I7650" s="17"/>
      <c r="J7650" s="17"/>
      <c r="K7650" s="17"/>
    </row>
    <row r="7651" spans="1:11" x14ac:dyDescent="0.2">
      <c r="A7651"/>
      <c r="B7651"/>
      <c r="H7651"/>
      <c r="I7651" s="17"/>
      <c r="J7651" s="17"/>
      <c r="K7651" s="17"/>
    </row>
    <row r="7652" spans="1:11" x14ac:dyDescent="0.2">
      <c r="A7652"/>
      <c r="B7652"/>
      <c r="H7652"/>
      <c r="I7652" s="17"/>
      <c r="J7652" s="17"/>
      <c r="K7652" s="17"/>
    </row>
    <row r="7653" spans="1:11" x14ac:dyDescent="0.2">
      <c r="A7653"/>
      <c r="B7653"/>
      <c r="H7653"/>
      <c r="I7653" s="17"/>
      <c r="J7653" s="17"/>
      <c r="K7653" s="17"/>
    </row>
    <row r="7654" spans="1:11" x14ac:dyDescent="0.2">
      <c r="A7654"/>
      <c r="B7654"/>
      <c r="H7654"/>
      <c r="I7654" s="17"/>
      <c r="J7654" s="17"/>
      <c r="K7654" s="17"/>
    </row>
    <row r="7655" spans="1:11" x14ac:dyDescent="0.2">
      <c r="A7655"/>
      <c r="B7655"/>
      <c r="H7655"/>
      <c r="I7655" s="17"/>
      <c r="J7655" s="17"/>
      <c r="K7655" s="17"/>
    </row>
    <row r="7656" spans="1:11" x14ac:dyDescent="0.2">
      <c r="A7656"/>
      <c r="B7656"/>
      <c r="H7656"/>
      <c r="I7656" s="17"/>
      <c r="J7656" s="17"/>
      <c r="K7656" s="17"/>
    </row>
    <row r="7657" spans="1:11" x14ac:dyDescent="0.2">
      <c r="A7657"/>
      <c r="B7657"/>
      <c r="H7657"/>
      <c r="I7657" s="17"/>
      <c r="J7657" s="17"/>
      <c r="K7657" s="17"/>
    </row>
    <row r="7658" spans="1:11" x14ac:dyDescent="0.2">
      <c r="A7658"/>
      <c r="B7658"/>
      <c r="H7658"/>
      <c r="I7658" s="17"/>
      <c r="J7658" s="17"/>
      <c r="K7658" s="17"/>
    </row>
    <row r="7659" spans="1:11" x14ac:dyDescent="0.2">
      <c r="A7659"/>
      <c r="B7659"/>
      <c r="H7659"/>
      <c r="I7659" s="17"/>
      <c r="J7659" s="17"/>
      <c r="K7659" s="17"/>
    </row>
    <row r="7660" spans="1:11" x14ac:dyDescent="0.2">
      <c r="A7660"/>
      <c r="B7660"/>
      <c r="H7660"/>
      <c r="I7660" s="17"/>
      <c r="J7660" s="17"/>
      <c r="K7660" s="17"/>
    </row>
    <row r="7661" spans="1:11" x14ac:dyDescent="0.2">
      <c r="A7661"/>
      <c r="B7661"/>
      <c r="H7661"/>
      <c r="I7661" s="17"/>
      <c r="J7661" s="17"/>
      <c r="K7661" s="17"/>
    </row>
    <row r="7662" spans="1:11" x14ac:dyDescent="0.2">
      <c r="A7662"/>
      <c r="B7662"/>
      <c r="H7662"/>
      <c r="I7662" s="17"/>
      <c r="J7662" s="17"/>
      <c r="K7662" s="17"/>
    </row>
    <row r="7663" spans="1:11" x14ac:dyDescent="0.2">
      <c r="A7663"/>
      <c r="B7663"/>
      <c r="H7663"/>
      <c r="I7663" s="17"/>
      <c r="J7663" s="17"/>
      <c r="K7663" s="17"/>
    </row>
    <row r="7664" spans="1:11" x14ac:dyDescent="0.2">
      <c r="A7664"/>
      <c r="B7664"/>
      <c r="H7664"/>
      <c r="I7664" s="17"/>
      <c r="J7664" s="17"/>
      <c r="K7664" s="17"/>
    </row>
    <row r="7665" spans="1:11" x14ac:dyDescent="0.2">
      <c r="A7665"/>
      <c r="B7665"/>
      <c r="H7665"/>
      <c r="I7665" s="17"/>
      <c r="J7665" s="17"/>
      <c r="K7665" s="17"/>
    </row>
    <row r="7666" spans="1:11" x14ac:dyDescent="0.2">
      <c r="A7666"/>
      <c r="B7666"/>
      <c r="H7666"/>
      <c r="I7666" s="17"/>
      <c r="J7666" s="17"/>
      <c r="K7666" s="17"/>
    </row>
    <row r="7667" spans="1:11" x14ac:dyDescent="0.2">
      <c r="A7667"/>
      <c r="B7667"/>
      <c r="H7667"/>
      <c r="I7667" s="17"/>
      <c r="J7667" s="17"/>
      <c r="K7667" s="17"/>
    </row>
    <row r="7668" spans="1:11" x14ac:dyDescent="0.2">
      <c r="A7668"/>
      <c r="B7668"/>
      <c r="H7668"/>
      <c r="I7668" s="17"/>
      <c r="J7668" s="17"/>
      <c r="K7668" s="17"/>
    </row>
    <row r="7669" spans="1:11" x14ac:dyDescent="0.2">
      <c r="A7669"/>
      <c r="B7669"/>
      <c r="H7669"/>
      <c r="I7669" s="17"/>
      <c r="J7669" s="17"/>
      <c r="K7669" s="17"/>
    </row>
    <row r="7670" spans="1:11" x14ac:dyDescent="0.2">
      <c r="A7670"/>
      <c r="B7670"/>
      <c r="H7670"/>
      <c r="I7670" s="17"/>
      <c r="J7670" s="17"/>
      <c r="K7670" s="17"/>
    </row>
    <row r="7671" spans="1:11" x14ac:dyDescent="0.2">
      <c r="A7671"/>
      <c r="B7671"/>
      <c r="H7671"/>
      <c r="I7671" s="17"/>
      <c r="J7671" s="17"/>
      <c r="K7671" s="17"/>
    </row>
    <row r="7672" spans="1:11" x14ac:dyDescent="0.2">
      <c r="A7672"/>
      <c r="B7672"/>
      <c r="H7672"/>
      <c r="I7672" s="17"/>
      <c r="J7672" s="17"/>
      <c r="K7672" s="17"/>
    </row>
    <row r="7673" spans="1:11" x14ac:dyDescent="0.2">
      <c r="A7673"/>
      <c r="B7673"/>
      <c r="H7673"/>
      <c r="I7673" s="17"/>
      <c r="J7673" s="17"/>
      <c r="K7673" s="17"/>
    </row>
    <row r="7674" spans="1:11" x14ac:dyDescent="0.2">
      <c r="A7674"/>
      <c r="B7674"/>
      <c r="H7674"/>
      <c r="I7674" s="17"/>
      <c r="J7674" s="17"/>
      <c r="K7674" s="17"/>
    </row>
    <row r="7675" spans="1:11" x14ac:dyDescent="0.2">
      <c r="A7675"/>
      <c r="B7675"/>
      <c r="H7675"/>
      <c r="I7675" s="17"/>
      <c r="J7675" s="17"/>
      <c r="K7675" s="17"/>
    </row>
    <row r="7676" spans="1:11" x14ac:dyDescent="0.2">
      <c r="A7676"/>
      <c r="B7676"/>
      <c r="H7676"/>
      <c r="I7676" s="17"/>
      <c r="J7676" s="17"/>
      <c r="K7676" s="17"/>
    </row>
    <row r="7677" spans="1:11" x14ac:dyDescent="0.2">
      <c r="A7677"/>
      <c r="B7677"/>
      <c r="H7677"/>
      <c r="I7677" s="17"/>
      <c r="J7677" s="17"/>
      <c r="K7677" s="17"/>
    </row>
    <row r="7678" spans="1:11" x14ac:dyDescent="0.2">
      <c r="A7678"/>
      <c r="B7678"/>
      <c r="H7678"/>
      <c r="I7678" s="17"/>
      <c r="J7678" s="17"/>
      <c r="K7678" s="17"/>
    </row>
    <row r="7679" spans="1:11" x14ac:dyDescent="0.2">
      <c r="A7679"/>
      <c r="B7679"/>
      <c r="H7679"/>
      <c r="I7679" s="17"/>
      <c r="J7679" s="17"/>
      <c r="K7679" s="17"/>
    </row>
    <row r="7680" spans="1:11" x14ac:dyDescent="0.2">
      <c r="A7680"/>
      <c r="B7680"/>
      <c r="H7680"/>
      <c r="I7680" s="17"/>
      <c r="J7680" s="17"/>
      <c r="K7680" s="17"/>
    </row>
    <row r="7681" spans="1:11" x14ac:dyDescent="0.2">
      <c r="A7681"/>
      <c r="B7681"/>
      <c r="H7681"/>
      <c r="I7681" s="17"/>
      <c r="J7681" s="17"/>
      <c r="K7681" s="17"/>
    </row>
    <row r="7682" spans="1:11" x14ac:dyDescent="0.2">
      <c r="A7682"/>
      <c r="B7682"/>
      <c r="H7682"/>
      <c r="I7682" s="17"/>
      <c r="J7682" s="17"/>
      <c r="K7682" s="17"/>
    </row>
    <row r="7683" spans="1:11" x14ac:dyDescent="0.2">
      <c r="A7683"/>
      <c r="B7683"/>
      <c r="H7683"/>
      <c r="I7683" s="17"/>
      <c r="J7683" s="17"/>
      <c r="K7683" s="17"/>
    </row>
    <row r="7684" spans="1:11" x14ac:dyDescent="0.2">
      <c r="A7684"/>
      <c r="B7684"/>
      <c r="H7684"/>
      <c r="I7684" s="17"/>
      <c r="J7684" s="17"/>
      <c r="K7684" s="17"/>
    </row>
    <row r="7685" spans="1:11" x14ac:dyDescent="0.2">
      <c r="A7685"/>
      <c r="B7685"/>
      <c r="H7685"/>
      <c r="I7685" s="17"/>
      <c r="J7685" s="17"/>
      <c r="K7685" s="17"/>
    </row>
    <row r="7686" spans="1:11" x14ac:dyDescent="0.2">
      <c r="A7686"/>
      <c r="B7686"/>
      <c r="H7686"/>
      <c r="I7686" s="17"/>
      <c r="J7686" s="17"/>
      <c r="K7686" s="17"/>
    </row>
    <row r="7687" spans="1:11" x14ac:dyDescent="0.2">
      <c r="A7687"/>
      <c r="B7687"/>
      <c r="H7687"/>
      <c r="I7687" s="17"/>
      <c r="J7687" s="17"/>
      <c r="K7687" s="17"/>
    </row>
    <row r="7688" spans="1:11" x14ac:dyDescent="0.2">
      <c r="A7688"/>
      <c r="B7688"/>
      <c r="H7688"/>
      <c r="I7688" s="17"/>
      <c r="J7688" s="17"/>
      <c r="K7688" s="17"/>
    </row>
    <row r="7689" spans="1:11" x14ac:dyDescent="0.2">
      <c r="A7689"/>
      <c r="B7689"/>
      <c r="H7689"/>
      <c r="I7689" s="17"/>
      <c r="J7689" s="17"/>
      <c r="K7689" s="17"/>
    </row>
    <row r="7690" spans="1:11" x14ac:dyDescent="0.2">
      <c r="A7690"/>
      <c r="B7690"/>
      <c r="H7690"/>
      <c r="I7690" s="17"/>
      <c r="J7690" s="17"/>
      <c r="K7690" s="17"/>
    </row>
    <row r="7691" spans="1:11" x14ac:dyDescent="0.2">
      <c r="A7691"/>
      <c r="B7691"/>
      <c r="H7691"/>
      <c r="I7691" s="17"/>
      <c r="J7691" s="17"/>
      <c r="K7691" s="17"/>
    </row>
    <row r="7692" spans="1:11" x14ac:dyDescent="0.2">
      <c r="A7692"/>
      <c r="B7692"/>
      <c r="H7692"/>
      <c r="I7692" s="17"/>
      <c r="J7692" s="17"/>
      <c r="K7692" s="17"/>
    </row>
    <row r="7693" spans="1:11" x14ac:dyDescent="0.2">
      <c r="A7693"/>
      <c r="B7693"/>
      <c r="H7693"/>
      <c r="I7693" s="17"/>
      <c r="J7693" s="17"/>
      <c r="K7693" s="17"/>
    </row>
    <row r="7694" spans="1:11" x14ac:dyDescent="0.2">
      <c r="A7694"/>
      <c r="B7694"/>
      <c r="H7694"/>
      <c r="I7694" s="17"/>
      <c r="J7694" s="17"/>
      <c r="K7694" s="17"/>
    </row>
    <row r="7695" spans="1:11" x14ac:dyDescent="0.2">
      <c r="A7695"/>
      <c r="B7695"/>
      <c r="H7695"/>
      <c r="I7695" s="17"/>
      <c r="J7695" s="17"/>
      <c r="K7695" s="17"/>
    </row>
    <row r="7696" spans="1:11" x14ac:dyDescent="0.2">
      <c r="A7696"/>
      <c r="B7696"/>
      <c r="H7696"/>
      <c r="I7696" s="17"/>
      <c r="J7696" s="17"/>
      <c r="K7696" s="17"/>
    </row>
    <row r="7697" spans="1:11" x14ac:dyDescent="0.2">
      <c r="A7697"/>
      <c r="B7697"/>
      <c r="H7697"/>
      <c r="I7697" s="17"/>
      <c r="J7697" s="17"/>
      <c r="K7697" s="17"/>
    </row>
    <row r="7698" spans="1:11" x14ac:dyDescent="0.2">
      <c r="A7698"/>
      <c r="B7698"/>
      <c r="H7698"/>
      <c r="I7698" s="17"/>
      <c r="J7698" s="17"/>
      <c r="K7698" s="17"/>
    </row>
    <row r="7699" spans="1:11" x14ac:dyDescent="0.2">
      <c r="A7699"/>
      <c r="B7699"/>
      <c r="H7699"/>
      <c r="I7699" s="17"/>
      <c r="J7699" s="17"/>
      <c r="K7699" s="17"/>
    </row>
    <row r="7700" spans="1:11" x14ac:dyDescent="0.2">
      <c r="A7700"/>
      <c r="B7700"/>
      <c r="H7700"/>
      <c r="I7700" s="17"/>
      <c r="J7700" s="17"/>
      <c r="K7700" s="17"/>
    </row>
    <row r="7701" spans="1:11" x14ac:dyDescent="0.2">
      <c r="A7701"/>
      <c r="B7701"/>
      <c r="H7701"/>
      <c r="I7701" s="17"/>
      <c r="J7701" s="17"/>
      <c r="K7701" s="17"/>
    </row>
    <row r="7702" spans="1:11" x14ac:dyDescent="0.2">
      <c r="A7702"/>
      <c r="B7702"/>
      <c r="H7702"/>
      <c r="I7702" s="17"/>
      <c r="J7702" s="17"/>
      <c r="K7702" s="17"/>
    </row>
    <row r="7703" spans="1:11" x14ac:dyDescent="0.2">
      <c r="A7703"/>
      <c r="B7703"/>
      <c r="H7703"/>
      <c r="I7703" s="17"/>
      <c r="J7703" s="17"/>
      <c r="K7703" s="17"/>
    </row>
    <row r="7704" spans="1:11" x14ac:dyDescent="0.2">
      <c r="A7704"/>
      <c r="B7704"/>
      <c r="H7704"/>
      <c r="I7704" s="17"/>
      <c r="J7704" s="17"/>
      <c r="K7704" s="17"/>
    </row>
    <row r="7705" spans="1:11" x14ac:dyDescent="0.2">
      <c r="A7705"/>
      <c r="B7705"/>
      <c r="H7705"/>
      <c r="I7705" s="17"/>
      <c r="J7705" s="17"/>
      <c r="K7705" s="17"/>
    </row>
    <row r="7706" spans="1:11" x14ac:dyDescent="0.2">
      <c r="A7706"/>
      <c r="B7706"/>
      <c r="H7706"/>
      <c r="I7706" s="17"/>
      <c r="J7706" s="17"/>
      <c r="K7706" s="17"/>
    </row>
    <row r="7707" spans="1:11" x14ac:dyDescent="0.2">
      <c r="A7707"/>
      <c r="B7707"/>
      <c r="H7707"/>
      <c r="I7707" s="17"/>
      <c r="J7707" s="17"/>
      <c r="K7707" s="17"/>
    </row>
    <row r="7708" spans="1:11" x14ac:dyDescent="0.2">
      <c r="A7708"/>
      <c r="B7708"/>
      <c r="H7708"/>
      <c r="I7708" s="17"/>
      <c r="J7708" s="17"/>
      <c r="K7708" s="17"/>
    </row>
    <row r="7709" spans="1:11" x14ac:dyDescent="0.2">
      <c r="A7709"/>
      <c r="B7709"/>
      <c r="H7709"/>
      <c r="I7709" s="17"/>
      <c r="J7709" s="17"/>
      <c r="K7709" s="17"/>
    </row>
    <row r="7710" spans="1:11" x14ac:dyDescent="0.2">
      <c r="A7710"/>
      <c r="B7710"/>
      <c r="H7710"/>
      <c r="I7710" s="17"/>
      <c r="J7710" s="17"/>
      <c r="K7710" s="17"/>
    </row>
    <row r="7711" spans="1:11" x14ac:dyDescent="0.2">
      <c r="A7711"/>
      <c r="B7711"/>
      <c r="H7711"/>
      <c r="I7711" s="17"/>
      <c r="J7711" s="17"/>
      <c r="K7711" s="17"/>
    </row>
    <row r="7712" spans="1:11" x14ac:dyDescent="0.2">
      <c r="A7712"/>
      <c r="B7712"/>
      <c r="H7712"/>
      <c r="I7712" s="17"/>
      <c r="J7712" s="17"/>
      <c r="K7712" s="17"/>
    </row>
    <row r="7713" spans="1:11" x14ac:dyDescent="0.2">
      <c r="A7713"/>
      <c r="B7713"/>
      <c r="H7713"/>
      <c r="I7713" s="17"/>
      <c r="J7713" s="17"/>
      <c r="K7713" s="17"/>
    </row>
    <row r="7714" spans="1:11" x14ac:dyDescent="0.2">
      <c r="A7714"/>
      <c r="B7714"/>
      <c r="H7714"/>
      <c r="I7714" s="17"/>
      <c r="J7714" s="17"/>
      <c r="K7714" s="17"/>
    </row>
    <row r="7715" spans="1:11" x14ac:dyDescent="0.2">
      <c r="A7715"/>
      <c r="B7715"/>
      <c r="H7715"/>
      <c r="I7715" s="17"/>
      <c r="J7715" s="17"/>
      <c r="K7715" s="17"/>
    </row>
    <row r="7716" spans="1:11" x14ac:dyDescent="0.2">
      <c r="A7716"/>
      <c r="B7716"/>
      <c r="H7716"/>
      <c r="I7716" s="17"/>
      <c r="J7716" s="17"/>
      <c r="K7716" s="17"/>
    </row>
    <row r="7717" spans="1:11" x14ac:dyDescent="0.2">
      <c r="A7717"/>
      <c r="B7717"/>
      <c r="H7717"/>
      <c r="I7717" s="17"/>
      <c r="J7717" s="17"/>
      <c r="K7717" s="17"/>
    </row>
    <row r="7718" spans="1:11" x14ac:dyDescent="0.2">
      <c r="A7718"/>
      <c r="B7718"/>
      <c r="H7718"/>
      <c r="I7718" s="17"/>
      <c r="J7718" s="17"/>
      <c r="K7718" s="17"/>
    </row>
    <row r="7719" spans="1:11" x14ac:dyDescent="0.2">
      <c r="A7719"/>
      <c r="B7719"/>
      <c r="H7719"/>
      <c r="I7719" s="17"/>
      <c r="J7719" s="17"/>
      <c r="K7719" s="17"/>
    </row>
    <row r="7720" spans="1:11" x14ac:dyDescent="0.2">
      <c r="A7720"/>
      <c r="B7720"/>
      <c r="H7720"/>
      <c r="I7720" s="17"/>
      <c r="J7720" s="17"/>
      <c r="K7720" s="17"/>
    </row>
    <row r="7721" spans="1:11" x14ac:dyDescent="0.2">
      <c r="A7721"/>
      <c r="B7721"/>
      <c r="H7721"/>
      <c r="I7721" s="17"/>
      <c r="J7721" s="17"/>
      <c r="K7721" s="17"/>
    </row>
    <row r="7722" spans="1:11" x14ac:dyDescent="0.2">
      <c r="A7722"/>
      <c r="B7722"/>
      <c r="H7722"/>
      <c r="I7722" s="17"/>
      <c r="J7722" s="17"/>
      <c r="K7722" s="17"/>
    </row>
    <row r="7723" spans="1:11" x14ac:dyDescent="0.2">
      <c r="A7723"/>
      <c r="B7723"/>
      <c r="H7723"/>
      <c r="I7723" s="17"/>
      <c r="J7723" s="17"/>
      <c r="K7723" s="17"/>
    </row>
    <row r="7724" spans="1:11" x14ac:dyDescent="0.2">
      <c r="A7724"/>
      <c r="B7724"/>
      <c r="H7724"/>
      <c r="I7724" s="17"/>
      <c r="J7724" s="17"/>
      <c r="K7724" s="17"/>
    </row>
    <row r="7725" spans="1:11" x14ac:dyDescent="0.2">
      <c r="A7725"/>
      <c r="B7725"/>
      <c r="H7725"/>
      <c r="I7725" s="17"/>
      <c r="J7725" s="17"/>
      <c r="K7725" s="17"/>
    </row>
    <row r="7726" spans="1:11" x14ac:dyDescent="0.2">
      <c r="A7726"/>
      <c r="B7726"/>
      <c r="H7726"/>
      <c r="I7726" s="17"/>
      <c r="J7726" s="17"/>
      <c r="K7726" s="17"/>
    </row>
    <row r="7727" spans="1:11" x14ac:dyDescent="0.2">
      <c r="A7727"/>
      <c r="B7727"/>
      <c r="H7727"/>
      <c r="I7727" s="17"/>
      <c r="J7727" s="17"/>
      <c r="K7727" s="17"/>
    </row>
    <row r="7728" spans="1:11" x14ac:dyDescent="0.2">
      <c r="A7728"/>
      <c r="B7728"/>
      <c r="H7728"/>
      <c r="I7728" s="17"/>
      <c r="J7728" s="17"/>
      <c r="K7728" s="17"/>
    </row>
    <row r="7729" spans="1:11" x14ac:dyDescent="0.2">
      <c r="A7729"/>
      <c r="B7729"/>
      <c r="H7729"/>
      <c r="I7729" s="17"/>
      <c r="J7729" s="17"/>
      <c r="K7729" s="17"/>
    </row>
    <row r="7730" spans="1:11" x14ac:dyDescent="0.2">
      <c r="A7730"/>
      <c r="B7730"/>
      <c r="H7730"/>
      <c r="I7730" s="17"/>
      <c r="J7730" s="17"/>
      <c r="K7730" s="17"/>
    </row>
    <row r="7731" spans="1:11" x14ac:dyDescent="0.2">
      <c r="A7731"/>
      <c r="B7731"/>
      <c r="H7731"/>
      <c r="I7731" s="17"/>
      <c r="J7731" s="17"/>
      <c r="K7731" s="17"/>
    </row>
    <row r="7732" spans="1:11" x14ac:dyDescent="0.2">
      <c r="A7732"/>
      <c r="B7732"/>
      <c r="H7732"/>
      <c r="I7732" s="17"/>
      <c r="J7732" s="17"/>
      <c r="K7732" s="17"/>
    </row>
    <row r="7733" spans="1:11" x14ac:dyDescent="0.2">
      <c r="A7733"/>
      <c r="B7733"/>
      <c r="H7733"/>
      <c r="I7733" s="17"/>
      <c r="J7733" s="17"/>
      <c r="K7733" s="17"/>
    </row>
    <row r="7734" spans="1:11" x14ac:dyDescent="0.2">
      <c r="A7734"/>
      <c r="B7734"/>
      <c r="H7734"/>
      <c r="I7734" s="17"/>
      <c r="J7734" s="17"/>
      <c r="K7734" s="17"/>
    </row>
    <row r="7735" spans="1:11" x14ac:dyDescent="0.2">
      <c r="A7735"/>
      <c r="B7735"/>
      <c r="H7735"/>
      <c r="I7735" s="17"/>
      <c r="J7735" s="17"/>
      <c r="K7735" s="17"/>
    </row>
    <row r="7736" spans="1:11" x14ac:dyDescent="0.2">
      <c r="A7736"/>
      <c r="B7736"/>
      <c r="H7736"/>
      <c r="I7736" s="17"/>
      <c r="J7736" s="17"/>
      <c r="K7736" s="17"/>
    </row>
    <row r="7737" spans="1:11" x14ac:dyDescent="0.2">
      <c r="A7737"/>
      <c r="B7737"/>
      <c r="H7737"/>
      <c r="I7737" s="17"/>
      <c r="J7737" s="17"/>
      <c r="K7737" s="17"/>
    </row>
    <row r="7738" spans="1:11" x14ac:dyDescent="0.2">
      <c r="A7738"/>
      <c r="B7738"/>
      <c r="H7738"/>
      <c r="I7738" s="17"/>
      <c r="J7738" s="17"/>
      <c r="K7738" s="17"/>
    </row>
    <row r="7739" spans="1:11" x14ac:dyDescent="0.2">
      <c r="A7739"/>
      <c r="B7739"/>
      <c r="H7739"/>
      <c r="I7739" s="17"/>
      <c r="J7739" s="17"/>
      <c r="K7739" s="17"/>
    </row>
    <row r="7740" spans="1:11" x14ac:dyDescent="0.2">
      <c r="A7740"/>
      <c r="B7740"/>
      <c r="H7740"/>
      <c r="I7740" s="17"/>
      <c r="J7740" s="17"/>
      <c r="K7740" s="17"/>
    </row>
    <row r="7741" spans="1:11" x14ac:dyDescent="0.2">
      <c r="A7741"/>
      <c r="B7741"/>
      <c r="H7741"/>
      <c r="I7741" s="17"/>
      <c r="J7741" s="17"/>
      <c r="K7741" s="17"/>
    </row>
    <row r="7742" spans="1:11" x14ac:dyDescent="0.2">
      <c r="A7742"/>
      <c r="B7742"/>
      <c r="H7742"/>
      <c r="I7742" s="17"/>
      <c r="J7742" s="17"/>
      <c r="K7742" s="17"/>
    </row>
    <row r="7743" spans="1:11" x14ac:dyDescent="0.2">
      <c r="A7743"/>
      <c r="B7743"/>
      <c r="H7743"/>
      <c r="I7743" s="17"/>
      <c r="J7743" s="17"/>
      <c r="K7743" s="17"/>
    </row>
    <row r="7744" spans="1:11" x14ac:dyDescent="0.2">
      <c r="A7744"/>
      <c r="B7744"/>
      <c r="H7744"/>
      <c r="I7744" s="17"/>
      <c r="J7744" s="17"/>
      <c r="K7744" s="17"/>
    </row>
    <row r="7745" spans="1:11" x14ac:dyDescent="0.2">
      <c r="A7745"/>
      <c r="B7745"/>
      <c r="H7745"/>
      <c r="I7745" s="17"/>
      <c r="J7745" s="17"/>
      <c r="K7745" s="17"/>
    </row>
    <row r="7746" spans="1:11" x14ac:dyDescent="0.2">
      <c r="A7746"/>
      <c r="B7746"/>
      <c r="H7746"/>
      <c r="I7746" s="17"/>
      <c r="J7746" s="17"/>
      <c r="K7746" s="17"/>
    </row>
    <row r="7747" spans="1:11" x14ac:dyDescent="0.2">
      <c r="A7747"/>
      <c r="B7747"/>
      <c r="H7747"/>
      <c r="I7747" s="17"/>
      <c r="J7747" s="17"/>
      <c r="K7747" s="17"/>
    </row>
    <row r="7748" spans="1:11" x14ac:dyDescent="0.2">
      <c r="A7748"/>
      <c r="B7748"/>
      <c r="H7748"/>
      <c r="I7748" s="17"/>
      <c r="J7748" s="17"/>
      <c r="K7748" s="17"/>
    </row>
    <row r="7749" spans="1:11" x14ac:dyDescent="0.2">
      <c r="A7749"/>
      <c r="B7749"/>
      <c r="H7749"/>
      <c r="I7749" s="17"/>
      <c r="J7749" s="17"/>
      <c r="K7749" s="17"/>
    </row>
    <row r="7750" spans="1:11" x14ac:dyDescent="0.2">
      <c r="A7750"/>
      <c r="B7750"/>
      <c r="H7750"/>
      <c r="I7750" s="17"/>
      <c r="J7750" s="17"/>
      <c r="K7750" s="17"/>
    </row>
    <row r="7751" spans="1:11" x14ac:dyDescent="0.2">
      <c r="A7751"/>
      <c r="B7751"/>
      <c r="H7751"/>
      <c r="I7751" s="17"/>
      <c r="J7751" s="17"/>
      <c r="K7751" s="17"/>
    </row>
    <row r="7752" spans="1:11" x14ac:dyDescent="0.2">
      <c r="A7752"/>
      <c r="B7752"/>
      <c r="H7752"/>
      <c r="I7752" s="17"/>
      <c r="J7752" s="17"/>
      <c r="K7752" s="17"/>
    </row>
    <row r="7753" spans="1:11" x14ac:dyDescent="0.2">
      <c r="A7753"/>
      <c r="B7753"/>
      <c r="H7753"/>
      <c r="I7753" s="17"/>
      <c r="J7753" s="17"/>
      <c r="K7753" s="17"/>
    </row>
    <row r="7754" spans="1:11" x14ac:dyDescent="0.2">
      <c r="A7754"/>
      <c r="B7754"/>
      <c r="H7754"/>
      <c r="I7754" s="17"/>
      <c r="J7754" s="17"/>
      <c r="K7754" s="17"/>
    </row>
    <row r="7755" spans="1:11" x14ac:dyDescent="0.2">
      <c r="A7755"/>
      <c r="B7755"/>
      <c r="H7755"/>
      <c r="I7755" s="17"/>
      <c r="J7755" s="17"/>
      <c r="K7755" s="17"/>
    </row>
    <row r="7756" spans="1:11" x14ac:dyDescent="0.2">
      <c r="A7756"/>
      <c r="B7756"/>
      <c r="H7756"/>
      <c r="I7756" s="17"/>
      <c r="J7756" s="17"/>
      <c r="K7756" s="17"/>
    </row>
    <row r="7757" spans="1:11" x14ac:dyDescent="0.2">
      <c r="A7757"/>
      <c r="B7757"/>
      <c r="H7757"/>
      <c r="I7757" s="17"/>
      <c r="J7757" s="17"/>
      <c r="K7757" s="17"/>
    </row>
    <row r="7758" spans="1:11" x14ac:dyDescent="0.2">
      <c r="A7758"/>
      <c r="B7758"/>
      <c r="H7758"/>
      <c r="I7758" s="17"/>
      <c r="J7758" s="17"/>
      <c r="K7758" s="17"/>
    </row>
    <row r="7759" spans="1:11" x14ac:dyDescent="0.2">
      <c r="A7759"/>
      <c r="B7759"/>
      <c r="H7759"/>
      <c r="I7759" s="17"/>
      <c r="J7759" s="17"/>
      <c r="K7759" s="17"/>
    </row>
    <row r="7760" spans="1:11" x14ac:dyDescent="0.2">
      <c r="A7760"/>
      <c r="B7760"/>
      <c r="H7760"/>
      <c r="I7760" s="17"/>
      <c r="J7760" s="17"/>
      <c r="K7760" s="17"/>
    </row>
    <row r="7761" spans="1:11" x14ac:dyDescent="0.2">
      <c r="A7761"/>
      <c r="B7761"/>
      <c r="H7761"/>
      <c r="I7761" s="17"/>
      <c r="J7761" s="17"/>
      <c r="K7761" s="17"/>
    </row>
    <row r="7762" spans="1:11" x14ac:dyDescent="0.2">
      <c r="A7762"/>
      <c r="B7762"/>
      <c r="H7762"/>
      <c r="I7762" s="17"/>
      <c r="J7762" s="17"/>
      <c r="K7762" s="17"/>
    </row>
    <row r="7763" spans="1:11" x14ac:dyDescent="0.2">
      <c r="A7763"/>
      <c r="B7763"/>
      <c r="H7763"/>
      <c r="I7763" s="17"/>
      <c r="J7763" s="17"/>
      <c r="K7763" s="17"/>
    </row>
    <row r="7764" spans="1:11" x14ac:dyDescent="0.2">
      <c r="A7764"/>
      <c r="B7764"/>
      <c r="H7764"/>
      <c r="I7764" s="17"/>
      <c r="J7764" s="17"/>
      <c r="K7764" s="17"/>
    </row>
    <row r="7765" spans="1:11" x14ac:dyDescent="0.2">
      <c r="A7765"/>
      <c r="B7765"/>
      <c r="H7765"/>
      <c r="I7765" s="17"/>
      <c r="J7765" s="17"/>
      <c r="K7765" s="17"/>
    </row>
    <row r="7766" spans="1:11" x14ac:dyDescent="0.2">
      <c r="A7766"/>
      <c r="B7766"/>
      <c r="H7766"/>
      <c r="I7766" s="17"/>
      <c r="J7766" s="17"/>
      <c r="K7766" s="17"/>
    </row>
    <row r="7767" spans="1:11" x14ac:dyDescent="0.2">
      <c r="A7767"/>
      <c r="B7767"/>
      <c r="H7767"/>
      <c r="I7767" s="17"/>
      <c r="J7767" s="17"/>
      <c r="K7767" s="17"/>
    </row>
    <row r="7768" spans="1:11" x14ac:dyDescent="0.2">
      <c r="A7768"/>
      <c r="B7768"/>
      <c r="H7768"/>
      <c r="I7768" s="17"/>
      <c r="J7768" s="17"/>
      <c r="K7768" s="17"/>
    </row>
    <row r="7769" spans="1:11" x14ac:dyDescent="0.2">
      <c r="A7769"/>
      <c r="B7769"/>
      <c r="H7769"/>
      <c r="I7769" s="17"/>
      <c r="J7769" s="17"/>
      <c r="K7769" s="17"/>
    </row>
    <row r="7770" spans="1:11" x14ac:dyDescent="0.2">
      <c r="A7770"/>
      <c r="B7770"/>
      <c r="H7770"/>
      <c r="I7770" s="17"/>
      <c r="J7770" s="17"/>
      <c r="K7770" s="17"/>
    </row>
    <row r="7771" spans="1:11" x14ac:dyDescent="0.2">
      <c r="A7771"/>
      <c r="B7771"/>
      <c r="H7771"/>
      <c r="I7771" s="17"/>
      <c r="J7771" s="17"/>
      <c r="K7771" s="17"/>
    </row>
    <row r="7772" spans="1:11" x14ac:dyDescent="0.2">
      <c r="A7772"/>
      <c r="B7772"/>
      <c r="H7772"/>
      <c r="I7772" s="17"/>
      <c r="J7772" s="17"/>
      <c r="K7772" s="17"/>
    </row>
    <row r="7773" spans="1:11" x14ac:dyDescent="0.2">
      <c r="A7773"/>
      <c r="B7773"/>
      <c r="H7773"/>
      <c r="I7773" s="17"/>
      <c r="J7773" s="17"/>
      <c r="K7773" s="17"/>
    </row>
    <row r="7774" spans="1:11" x14ac:dyDescent="0.2">
      <c r="A7774"/>
      <c r="B7774"/>
      <c r="H7774"/>
      <c r="I7774" s="17"/>
      <c r="J7774" s="17"/>
      <c r="K7774" s="17"/>
    </row>
    <row r="7775" spans="1:11" x14ac:dyDescent="0.2">
      <c r="A7775"/>
      <c r="B7775"/>
      <c r="H7775"/>
      <c r="I7775" s="17"/>
      <c r="J7775" s="17"/>
      <c r="K7775" s="17"/>
    </row>
    <row r="7776" spans="1:11" x14ac:dyDescent="0.2">
      <c r="A7776"/>
      <c r="B7776"/>
      <c r="H7776"/>
      <c r="I7776" s="17"/>
      <c r="J7776" s="17"/>
      <c r="K7776" s="17"/>
    </row>
    <row r="7777" spans="1:11" x14ac:dyDescent="0.2">
      <c r="A7777"/>
      <c r="B7777"/>
      <c r="H7777"/>
      <c r="I7777" s="17"/>
      <c r="J7777" s="17"/>
      <c r="K7777" s="17"/>
    </row>
    <row r="7778" spans="1:11" x14ac:dyDescent="0.2">
      <c r="A7778"/>
      <c r="B7778"/>
      <c r="H7778"/>
      <c r="I7778" s="17"/>
      <c r="J7778" s="17"/>
      <c r="K7778" s="17"/>
    </row>
    <row r="7779" spans="1:11" x14ac:dyDescent="0.2">
      <c r="A7779"/>
      <c r="B7779"/>
      <c r="H7779"/>
      <c r="I7779" s="17"/>
      <c r="J7779" s="17"/>
      <c r="K7779" s="17"/>
    </row>
    <row r="7780" spans="1:11" x14ac:dyDescent="0.2">
      <c r="A7780"/>
      <c r="B7780"/>
      <c r="H7780"/>
      <c r="I7780" s="17"/>
      <c r="J7780" s="17"/>
      <c r="K7780" s="17"/>
    </row>
    <row r="7781" spans="1:11" x14ac:dyDescent="0.2">
      <c r="A7781"/>
      <c r="B7781"/>
      <c r="H7781"/>
      <c r="I7781" s="17"/>
      <c r="J7781" s="17"/>
      <c r="K7781" s="17"/>
    </row>
    <row r="7782" spans="1:11" x14ac:dyDescent="0.2">
      <c r="A7782"/>
      <c r="B7782"/>
      <c r="H7782"/>
      <c r="I7782" s="17"/>
      <c r="J7782" s="17"/>
      <c r="K7782" s="17"/>
    </row>
    <row r="7783" spans="1:11" x14ac:dyDescent="0.2">
      <c r="A7783"/>
      <c r="B7783"/>
      <c r="H7783"/>
      <c r="I7783" s="17"/>
      <c r="J7783" s="17"/>
      <c r="K7783" s="17"/>
    </row>
    <row r="7784" spans="1:11" x14ac:dyDescent="0.2">
      <c r="A7784"/>
      <c r="B7784"/>
      <c r="H7784"/>
      <c r="I7784" s="17"/>
      <c r="J7784" s="17"/>
      <c r="K7784" s="17"/>
    </row>
    <row r="7785" spans="1:11" x14ac:dyDescent="0.2">
      <c r="A7785"/>
      <c r="B7785"/>
      <c r="H7785"/>
      <c r="I7785" s="17"/>
      <c r="J7785" s="17"/>
      <c r="K7785" s="17"/>
    </row>
    <row r="7786" spans="1:11" x14ac:dyDescent="0.2">
      <c r="A7786"/>
      <c r="B7786"/>
      <c r="H7786"/>
      <c r="I7786" s="17"/>
      <c r="J7786" s="17"/>
      <c r="K7786" s="17"/>
    </row>
    <row r="7787" spans="1:11" x14ac:dyDescent="0.2">
      <c r="A7787"/>
      <c r="B7787"/>
      <c r="H7787"/>
      <c r="I7787" s="17"/>
      <c r="J7787" s="17"/>
      <c r="K7787" s="17"/>
    </row>
    <row r="7788" spans="1:11" x14ac:dyDescent="0.2">
      <c r="A7788"/>
      <c r="B7788"/>
      <c r="H7788"/>
      <c r="I7788" s="17"/>
      <c r="J7788" s="17"/>
      <c r="K7788" s="17"/>
    </row>
    <row r="7789" spans="1:11" x14ac:dyDescent="0.2">
      <c r="A7789"/>
      <c r="B7789"/>
      <c r="H7789"/>
      <c r="I7789" s="17"/>
      <c r="J7789" s="17"/>
      <c r="K7789" s="17"/>
    </row>
    <row r="7790" spans="1:11" x14ac:dyDescent="0.2">
      <c r="A7790"/>
      <c r="B7790"/>
      <c r="H7790"/>
      <c r="I7790" s="17"/>
      <c r="J7790" s="17"/>
      <c r="K7790" s="17"/>
    </row>
    <row r="7791" spans="1:11" x14ac:dyDescent="0.2">
      <c r="A7791"/>
      <c r="B7791"/>
      <c r="H7791"/>
      <c r="I7791" s="17"/>
      <c r="J7791" s="17"/>
      <c r="K7791" s="17"/>
    </row>
    <row r="7792" spans="1:11" x14ac:dyDescent="0.2">
      <c r="A7792"/>
      <c r="B7792"/>
      <c r="H7792"/>
      <c r="I7792" s="17"/>
      <c r="J7792" s="17"/>
      <c r="K7792" s="17"/>
    </row>
    <row r="7793" spans="1:11" x14ac:dyDescent="0.2">
      <c r="A7793"/>
      <c r="B7793"/>
      <c r="H7793"/>
      <c r="I7793" s="17"/>
      <c r="J7793" s="17"/>
      <c r="K7793" s="17"/>
    </row>
    <row r="7794" spans="1:11" x14ac:dyDescent="0.2">
      <c r="A7794"/>
      <c r="B7794"/>
      <c r="H7794"/>
      <c r="I7794" s="17"/>
      <c r="J7794" s="17"/>
      <c r="K7794" s="17"/>
    </row>
    <row r="7795" spans="1:11" x14ac:dyDescent="0.2">
      <c r="A7795"/>
      <c r="B7795"/>
      <c r="H7795"/>
      <c r="I7795" s="17"/>
      <c r="J7795" s="17"/>
      <c r="K7795" s="17"/>
    </row>
    <row r="7796" spans="1:11" x14ac:dyDescent="0.2">
      <c r="A7796"/>
      <c r="B7796"/>
      <c r="H7796"/>
      <c r="I7796" s="17"/>
      <c r="J7796" s="17"/>
      <c r="K7796" s="17"/>
    </row>
    <row r="7797" spans="1:11" x14ac:dyDescent="0.2">
      <c r="A7797"/>
      <c r="B7797"/>
      <c r="H7797"/>
      <c r="I7797" s="17"/>
      <c r="J7797" s="17"/>
      <c r="K7797" s="17"/>
    </row>
    <row r="7798" spans="1:11" x14ac:dyDescent="0.2">
      <c r="A7798"/>
      <c r="B7798"/>
      <c r="H7798"/>
      <c r="I7798" s="17"/>
      <c r="J7798" s="17"/>
      <c r="K7798" s="17"/>
    </row>
    <row r="7799" spans="1:11" x14ac:dyDescent="0.2">
      <c r="A7799"/>
      <c r="B7799"/>
      <c r="H7799"/>
      <c r="I7799" s="17"/>
      <c r="J7799" s="17"/>
      <c r="K7799" s="17"/>
    </row>
    <row r="7800" spans="1:11" x14ac:dyDescent="0.2">
      <c r="A7800"/>
      <c r="B7800"/>
      <c r="H7800"/>
      <c r="I7800" s="17"/>
      <c r="J7800" s="17"/>
      <c r="K7800" s="17"/>
    </row>
    <row r="7801" spans="1:11" x14ac:dyDescent="0.2">
      <c r="A7801"/>
      <c r="B7801"/>
      <c r="H7801"/>
      <c r="I7801" s="17"/>
      <c r="J7801" s="17"/>
      <c r="K7801" s="17"/>
    </row>
    <row r="7802" spans="1:11" x14ac:dyDescent="0.2">
      <c r="A7802"/>
      <c r="B7802"/>
      <c r="H7802"/>
      <c r="I7802" s="17"/>
      <c r="J7802" s="17"/>
      <c r="K7802" s="17"/>
    </row>
    <row r="7803" spans="1:11" x14ac:dyDescent="0.2">
      <c r="A7803"/>
      <c r="B7803"/>
      <c r="H7803"/>
      <c r="I7803" s="17"/>
      <c r="J7803" s="17"/>
      <c r="K7803" s="17"/>
    </row>
    <row r="7804" spans="1:11" x14ac:dyDescent="0.2">
      <c r="A7804"/>
      <c r="B7804"/>
      <c r="H7804"/>
      <c r="I7804" s="17"/>
      <c r="J7804" s="17"/>
      <c r="K7804" s="17"/>
    </row>
    <row r="7805" spans="1:11" x14ac:dyDescent="0.2">
      <c r="A7805"/>
      <c r="B7805"/>
      <c r="H7805"/>
      <c r="I7805" s="17"/>
      <c r="J7805" s="17"/>
      <c r="K7805" s="17"/>
    </row>
    <row r="7806" spans="1:11" x14ac:dyDescent="0.2">
      <c r="A7806"/>
      <c r="B7806"/>
      <c r="H7806"/>
      <c r="I7806" s="17"/>
      <c r="J7806" s="17"/>
      <c r="K7806" s="17"/>
    </row>
    <row r="7807" spans="1:11" x14ac:dyDescent="0.2">
      <c r="A7807"/>
      <c r="B7807"/>
      <c r="H7807"/>
      <c r="I7807" s="17"/>
      <c r="J7807" s="17"/>
      <c r="K7807" s="17"/>
    </row>
    <row r="7808" spans="1:11" x14ac:dyDescent="0.2">
      <c r="A7808"/>
      <c r="B7808"/>
      <c r="H7808"/>
      <c r="I7808" s="17"/>
      <c r="J7808" s="17"/>
      <c r="K7808" s="17"/>
    </row>
    <row r="7809" spans="1:11" x14ac:dyDescent="0.2">
      <c r="A7809"/>
      <c r="B7809"/>
      <c r="H7809"/>
      <c r="I7809" s="17"/>
      <c r="J7809" s="17"/>
      <c r="K7809" s="17"/>
    </row>
    <row r="7810" spans="1:11" x14ac:dyDescent="0.2">
      <c r="A7810"/>
      <c r="B7810"/>
      <c r="H7810"/>
      <c r="I7810" s="17"/>
      <c r="J7810" s="17"/>
      <c r="K7810" s="17"/>
    </row>
    <row r="7811" spans="1:11" x14ac:dyDescent="0.2">
      <c r="A7811"/>
      <c r="B7811"/>
      <c r="H7811"/>
      <c r="I7811" s="17"/>
      <c r="J7811" s="17"/>
      <c r="K7811" s="17"/>
    </row>
    <row r="7812" spans="1:11" x14ac:dyDescent="0.2">
      <c r="A7812"/>
      <c r="B7812"/>
      <c r="H7812"/>
      <c r="I7812" s="17"/>
      <c r="J7812" s="17"/>
      <c r="K7812" s="17"/>
    </row>
    <row r="7813" spans="1:11" x14ac:dyDescent="0.2">
      <c r="A7813"/>
      <c r="B7813"/>
      <c r="H7813"/>
      <c r="I7813" s="17"/>
      <c r="J7813" s="17"/>
      <c r="K7813" s="17"/>
    </row>
    <row r="7814" spans="1:11" x14ac:dyDescent="0.2">
      <c r="A7814"/>
      <c r="B7814"/>
      <c r="H7814"/>
      <c r="I7814" s="17"/>
      <c r="J7814" s="17"/>
      <c r="K7814" s="17"/>
    </row>
    <row r="7815" spans="1:11" x14ac:dyDescent="0.2">
      <c r="A7815"/>
      <c r="B7815"/>
      <c r="H7815"/>
      <c r="I7815" s="17"/>
      <c r="J7815" s="17"/>
      <c r="K7815" s="17"/>
    </row>
    <row r="7816" spans="1:11" x14ac:dyDescent="0.2">
      <c r="A7816"/>
      <c r="B7816"/>
      <c r="H7816"/>
      <c r="I7816" s="17"/>
      <c r="J7816" s="17"/>
      <c r="K7816" s="17"/>
    </row>
    <row r="7817" spans="1:11" x14ac:dyDescent="0.2">
      <c r="A7817"/>
      <c r="B7817"/>
      <c r="H7817"/>
      <c r="I7817" s="17"/>
      <c r="J7817" s="17"/>
      <c r="K7817" s="17"/>
    </row>
    <row r="7818" spans="1:11" x14ac:dyDescent="0.2">
      <c r="A7818"/>
      <c r="B7818"/>
      <c r="H7818"/>
      <c r="I7818" s="17"/>
      <c r="J7818" s="17"/>
      <c r="K7818" s="17"/>
    </row>
    <row r="7819" spans="1:11" x14ac:dyDescent="0.2">
      <c r="A7819"/>
      <c r="B7819"/>
      <c r="H7819"/>
      <c r="I7819" s="17"/>
      <c r="J7819" s="17"/>
      <c r="K7819" s="17"/>
    </row>
    <row r="7820" spans="1:11" x14ac:dyDescent="0.2">
      <c r="A7820"/>
      <c r="B7820"/>
      <c r="H7820"/>
      <c r="I7820" s="17"/>
      <c r="J7820" s="17"/>
      <c r="K7820" s="17"/>
    </row>
    <row r="7821" spans="1:11" x14ac:dyDescent="0.2">
      <c r="A7821"/>
      <c r="B7821"/>
      <c r="H7821"/>
      <c r="I7821" s="17"/>
      <c r="J7821" s="17"/>
      <c r="K7821" s="17"/>
    </row>
    <row r="7822" spans="1:11" x14ac:dyDescent="0.2">
      <c r="A7822"/>
      <c r="B7822"/>
      <c r="H7822"/>
      <c r="I7822" s="17"/>
      <c r="J7822" s="17"/>
      <c r="K7822" s="17"/>
    </row>
    <row r="7823" spans="1:11" x14ac:dyDescent="0.2">
      <c r="A7823"/>
      <c r="B7823"/>
      <c r="H7823"/>
      <c r="I7823" s="17"/>
      <c r="J7823" s="17"/>
      <c r="K7823" s="17"/>
    </row>
    <row r="7824" spans="1:11" x14ac:dyDescent="0.2">
      <c r="A7824"/>
      <c r="B7824"/>
      <c r="H7824"/>
      <c r="I7824" s="17"/>
      <c r="J7824" s="17"/>
      <c r="K7824" s="17"/>
    </row>
    <row r="7825" spans="1:11" x14ac:dyDescent="0.2">
      <c r="A7825"/>
      <c r="B7825"/>
      <c r="H7825"/>
      <c r="I7825" s="17"/>
      <c r="J7825" s="17"/>
      <c r="K7825" s="17"/>
    </row>
    <row r="7826" spans="1:11" x14ac:dyDescent="0.2">
      <c r="A7826"/>
      <c r="B7826"/>
      <c r="H7826"/>
      <c r="I7826" s="17"/>
      <c r="J7826" s="17"/>
      <c r="K7826" s="17"/>
    </row>
    <row r="7827" spans="1:11" x14ac:dyDescent="0.2">
      <c r="A7827"/>
      <c r="B7827"/>
      <c r="H7827"/>
      <c r="I7827" s="17"/>
      <c r="J7827" s="17"/>
      <c r="K7827" s="17"/>
    </row>
    <row r="7828" spans="1:11" x14ac:dyDescent="0.2">
      <c r="A7828"/>
      <c r="B7828"/>
      <c r="H7828"/>
      <c r="I7828" s="17"/>
      <c r="J7828" s="17"/>
      <c r="K7828" s="17"/>
    </row>
    <row r="7829" spans="1:11" x14ac:dyDescent="0.2">
      <c r="A7829"/>
      <c r="B7829"/>
      <c r="H7829"/>
      <c r="I7829" s="17"/>
      <c r="J7829" s="17"/>
      <c r="K7829" s="17"/>
    </row>
    <row r="7830" spans="1:11" x14ac:dyDescent="0.2">
      <c r="A7830"/>
      <c r="B7830"/>
      <c r="H7830"/>
      <c r="I7830" s="17"/>
      <c r="J7830" s="17"/>
      <c r="K7830" s="17"/>
    </row>
    <row r="7831" spans="1:11" x14ac:dyDescent="0.2">
      <c r="A7831"/>
      <c r="B7831"/>
      <c r="H7831"/>
      <c r="I7831" s="17"/>
      <c r="J7831" s="17"/>
      <c r="K7831" s="17"/>
    </row>
    <row r="7832" spans="1:11" x14ac:dyDescent="0.2">
      <c r="A7832"/>
      <c r="B7832"/>
      <c r="H7832"/>
      <c r="I7832" s="17"/>
      <c r="J7832" s="17"/>
      <c r="K7832" s="17"/>
    </row>
    <row r="7833" spans="1:11" x14ac:dyDescent="0.2">
      <c r="A7833"/>
      <c r="B7833"/>
      <c r="H7833"/>
      <c r="I7833" s="17"/>
      <c r="J7833" s="17"/>
      <c r="K7833" s="17"/>
    </row>
    <row r="7834" spans="1:11" x14ac:dyDescent="0.2">
      <c r="A7834"/>
      <c r="B7834"/>
      <c r="H7834"/>
      <c r="I7834" s="17"/>
      <c r="J7834" s="17"/>
      <c r="K7834" s="17"/>
    </row>
    <row r="7835" spans="1:11" x14ac:dyDescent="0.2">
      <c r="A7835"/>
      <c r="B7835"/>
      <c r="H7835"/>
      <c r="I7835" s="17"/>
      <c r="J7835" s="17"/>
      <c r="K7835" s="17"/>
    </row>
    <row r="7836" spans="1:11" x14ac:dyDescent="0.2">
      <c r="A7836"/>
      <c r="B7836"/>
      <c r="H7836"/>
      <c r="I7836" s="17"/>
      <c r="J7836" s="17"/>
      <c r="K7836" s="17"/>
    </row>
    <row r="7837" spans="1:11" x14ac:dyDescent="0.2">
      <c r="A7837"/>
      <c r="B7837"/>
      <c r="H7837"/>
      <c r="I7837" s="17"/>
      <c r="J7837" s="17"/>
      <c r="K7837" s="17"/>
    </row>
    <row r="7838" spans="1:11" x14ac:dyDescent="0.2">
      <c r="A7838"/>
      <c r="B7838"/>
      <c r="H7838"/>
      <c r="I7838" s="17"/>
      <c r="J7838" s="17"/>
      <c r="K7838" s="17"/>
    </row>
    <row r="7839" spans="1:11" x14ac:dyDescent="0.2">
      <c r="A7839"/>
      <c r="B7839"/>
      <c r="H7839"/>
      <c r="I7839" s="17"/>
      <c r="J7839" s="17"/>
      <c r="K7839" s="17"/>
    </row>
    <row r="7840" spans="1:11" x14ac:dyDescent="0.2">
      <c r="A7840"/>
      <c r="B7840"/>
      <c r="H7840"/>
      <c r="I7840" s="17"/>
      <c r="J7840" s="17"/>
      <c r="K7840" s="17"/>
    </row>
    <row r="7841" spans="1:11" x14ac:dyDescent="0.2">
      <c r="A7841"/>
      <c r="B7841"/>
      <c r="H7841"/>
      <c r="I7841" s="17"/>
      <c r="J7841" s="17"/>
      <c r="K7841" s="17"/>
    </row>
    <row r="7842" spans="1:11" x14ac:dyDescent="0.2">
      <c r="A7842"/>
      <c r="B7842"/>
      <c r="H7842"/>
      <c r="I7842" s="17"/>
      <c r="J7842" s="17"/>
      <c r="K7842" s="17"/>
    </row>
    <row r="7843" spans="1:11" x14ac:dyDescent="0.2">
      <c r="A7843"/>
      <c r="B7843"/>
      <c r="H7843"/>
      <c r="I7843" s="17"/>
      <c r="J7843" s="17"/>
      <c r="K7843" s="17"/>
    </row>
    <row r="7844" spans="1:11" x14ac:dyDescent="0.2">
      <c r="A7844"/>
      <c r="B7844"/>
      <c r="H7844"/>
      <c r="I7844" s="17"/>
      <c r="J7844" s="17"/>
      <c r="K7844" s="17"/>
    </row>
    <row r="7845" spans="1:11" x14ac:dyDescent="0.2">
      <c r="A7845"/>
      <c r="B7845"/>
      <c r="H7845"/>
      <c r="I7845" s="17"/>
      <c r="J7845" s="17"/>
      <c r="K7845" s="17"/>
    </row>
    <row r="7846" spans="1:11" x14ac:dyDescent="0.2">
      <c r="A7846"/>
      <c r="B7846"/>
      <c r="H7846"/>
      <c r="I7846" s="17"/>
      <c r="J7846" s="17"/>
      <c r="K7846" s="17"/>
    </row>
    <row r="7847" spans="1:11" x14ac:dyDescent="0.2">
      <c r="A7847"/>
      <c r="B7847"/>
      <c r="H7847"/>
      <c r="I7847" s="17"/>
      <c r="J7847" s="17"/>
      <c r="K7847" s="17"/>
    </row>
    <row r="7848" spans="1:11" x14ac:dyDescent="0.2">
      <c r="A7848"/>
      <c r="B7848"/>
      <c r="H7848"/>
      <c r="I7848" s="17"/>
      <c r="J7848" s="17"/>
      <c r="K7848" s="17"/>
    </row>
    <row r="7849" spans="1:11" x14ac:dyDescent="0.2">
      <c r="A7849"/>
      <c r="B7849"/>
      <c r="H7849"/>
      <c r="I7849" s="17"/>
      <c r="J7849" s="17"/>
      <c r="K7849" s="17"/>
    </row>
    <row r="7850" spans="1:11" x14ac:dyDescent="0.2">
      <c r="A7850"/>
      <c r="B7850"/>
      <c r="H7850"/>
      <c r="I7850" s="17"/>
      <c r="J7850" s="17"/>
      <c r="K7850" s="17"/>
    </row>
    <row r="7851" spans="1:11" x14ac:dyDescent="0.2">
      <c r="A7851"/>
      <c r="B7851"/>
      <c r="H7851"/>
      <c r="I7851" s="17"/>
      <c r="J7851" s="17"/>
      <c r="K7851" s="17"/>
    </row>
    <row r="7852" spans="1:11" x14ac:dyDescent="0.2">
      <c r="A7852"/>
      <c r="B7852"/>
      <c r="H7852"/>
      <c r="I7852" s="17"/>
      <c r="J7852" s="17"/>
      <c r="K7852" s="17"/>
    </row>
    <row r="7853" spans="1:11" x14ac:dyDescent="0.2">
      <c r="A7853"/>
      <c r="B7853"/>
      <c r="H7853"/>
      <c r="I7853" s="17"/>
      <c r="J7853" s="17"/>
      <c r="K7853" s="17"/>
    </row>
    <row r="7854" spans="1:11" x14ac:dyDescent="0.2">
      <c r="A7854"/>
      <c r="B7854"/>
      <c r="H7854"/>
      <c r="I7854" s="17"/>
      <c r="J7854" s="17"/>
      <c r="K7854" s="17"/>
    </row>
    <row r="7855" spans="1:11" x14ac:dyDescent="0.2">
      <c r="A7855"/>
      <c r="B7855"/>
      <c r="H7855"/>
      <c r="I7855" s="17"/>
      <c r="J7855" s="17"/>
      <c r="K7855" s="17"/>
    </row>
    <row r="7856" spans="1:11" x14ac:dyDescent="0.2">
      <c r="A7856"/>
      <c r="B7856"/>
      <c r="H7856"/>
      <c r="I7856" s="17"/>
      <c r="J7856" s="17"/>
      <c r="K7856" s="17"/>
    </row>
    <row r="7857" spans="1:11" x14ac:dyDescent="0.2">
      <c r="A7857"/>
      <c r="B7857"/>
      <c r="H7857"/>
      <c r="I7857" s="17"/>
      <c r="J7857" s="17"/>
      <c r="K7857" s="17"/>
    </row>
    <row r="7858" spans="1:11" x14ac:dyDescent="0.2">
      <c r="A7858"/>
      <c r="B7858"/>
      <c r="H7858"/>
      <c r="I7858" s="17"/>
      <c r="J7858" s="17"/>
      <c r="K7858" s="17"/>
    </row>
    <row r="7859" spans="1:11" x14ac:dyDescent="0.2">
      <c r="A7859"/>
      <c r="B7859"/>
      <c r="H7859"/>
      <c r="I7859" s="17"/>
      <c r="J7859" s="17"/>
      <c r="K7859" s="17"/>
    </row>
    <row r="7860" spans="1:11" x14ac:dyDescent="0.2">
      <c r="A7860"/>
      <c r="B7860"/>
      <c r="H7860"/>
      <c r="I7860" s="17"/>
      <c r="J7860" s="17"/>
      <c r="K7860" s="17"/>
    </row>
    <row r="7861" spans="1:11" x14ac:dyDescent="0.2">
      <c r="A7861"/>
      <c r="B7861"/>
      <c r="H7861"/>
      <c r="I7861" s="17"/>
      <c r="J7861" s="17"/>
      <c r="K7861" s="17"/>
    </row>
    <row r="7862" spans="1:11" x14ac:dyDescent="0.2">
      <c r="A7862"/>
      <c r="B7862"/>
      <c r="H7862"/>
      <c r="I7862" s="17"/>
      <c r="J7862" s="17"/>
      <c r="K7862" s="17"/>
    </row>
    <row r="7863" spans="1:11" x14ac:dyDescent="0.2">
      <c r="A7863"/>
      <c r="B7863"/>
      <c r="H7863"/>
      <c r="I7863" s="17"/>
      <c r="J7863" s="17"/>
      <c r="K7863" s="17"/>
    </row>
    <row r="7864" spans="1:11" x14ac:dyDescent="0.2">
      <c r="A7864"/>
      <c r="B7864"/>
      <c r="H7864"/>
      <c r="I7864" s="17"/>
      <c r="J7864" s="17"/>
      <c r="K7864" s="17"/>
    </row>
    <row r="7865" spans="1:11" x14ac:dyDescent="0.2">
      <c r="A7865"/>
      <c r="B7865"/>
      <c r="H7865"/>
      <c r="I7865" s="17"/>
      <c r="J7865" s="17"/>
      <c r="K7865" s="17"/>
    </row>
    <row r="7866" spans="1:11" x14ac:dyDescent="0.2">
      <c r="A7866"/>
      <c r="B7866"/>
      <c r="H7866"/>
      <c r="I7866" s="17"/>
      <c r="J7866" s="17"/>
      <c r="K7866" s="17"/>
    </row>
    <row r="7867" spans="1:11" x14ac:dyDescent="0.2">
      <c r="A7867"/>
      <c r="B7867"/>
      <c r="H7867"/>
      <c r="I7867" s="17"/>
      <c r="J7867" s="17"/>
      <c r="K7867" s="17"/>
    </row>
    <row r="7868" spans="1:11" x14ac:dyDescent="0.2">
      <c r="A7868"/>
      <c r="B7868"/>
      <c r="H7868"/>
      <c r="I7868" s="17"/>
      <c r="J7868" s="17"/>
      <c r="K7868" s="17"/>
    </row>
    <row r="7869" spans="1:11" x14ac:dyDescent="0.2">
      <c r="A7869"/>
      <c r="B7869"/>
      <c r="H7869"/>
      <c r="I7869" s="17"/>
      <c r="J7869" s="17"/>
      <c r="K7869" s="17"/>
    </row>
    <row r="7870" spans="1:11" x14ac:dyDescent="0.2">
      <c r="A7870"/>
      <c r="B7870"/>
      <c r="H7870"/>
      <c r="I7870" s="17"/>
      <c r="J7870" s="17"/>
      <c r="K7870" s="17"/>
    </row>
    <row r="7871" spans="1:11" x14ac:dyDescent="0.2">
      <c r="A7871"/>
      <c r="B7871"/>
      <c r="H7871"/>
      <c r="I7871" s="17"/>
      <c r="J7871" s="17"/>
      <c r="K7871" s="17"/>
    </row>
    <row r="7872" spans="1:11" x14ac:dyDescent="0.2">
      <c r="A7872"/>
      <c r="B7872"/>
      <c r="H7872"/>
      <c r="I7872" s="17"/>
      <c r="J7872" s="17"/>
      <c r="K7872" s="17"/>
    </row>
    <row r="7873" spans="1:11" x14ac:dyDescent="0.2">
      <c r="A7873"/>
      <c r="B7873"/>
      <c r="H7873"/>
      <c r="I7873" s="17"/>
      <c r="J7873" s="17"/>
      <c r="K7873" s="17"/>
    </row>
    <row r="7874" spans="1:11" x14ac:dyDescent="0.2">
      <c r="A7874"/>
      <c r="B7874"/>
      <c r="H7874"/>
      <c r="I7874" s="17"/>
      <c r="J7874" s="17"/>
      <c r="K7874" s="17"/>
    </row>
    <row r="7875" spans="1:11" x14ac:dyDescent="0.2">
      <c r="A7875"/>
      <c r="B7875"/>
      <c r="H7875"/>
      <c r="I7875" s="17"/>
      <c r="J7875" s="17"/>
      <c r="K7875" s="17"/>
    </row>
    <row r="7876" spans="1:11" x14ac:dyDescent="0.2">
      <c r="A7876"/>
      <c r="B7876"/>
      <c r="H7876"/>
      <c r="I7876" s="17"/>
      <c r="J7876" s="17"/>
      <c r="K7876" s="17"/>
    </row>
    <row r="7877" spans="1:11" x14ac:dyDescent="0.2">
      <c r="A7877"/>
      <c r="B7877"/>
      <c r="H7877"/>
      <c r="I7877" s="17"/>
      <c r="J7877" s="17"/>
      <c r="K7877" s="17"/>
    </row>
    <row r="7878" spans="1:11" x14ac:dyDescent="0.2">
      <c r="A7878"/>
      <c r="B7878"/>
      <c r="H7878"/>
      <c r="I7878" s="17"/>
      <c r="J7878" s="17"/>
      <c r="K7878" s="17"/>
    </row>
    <row r="7879" spans="1:11" x14ac:dyDescent="0.2">
      <c r="A7879"/>
      <c r="B7879"/>
      <c r="H7879"/>
      <c r="I7879" s="17"/>
      <c r="J7879" s="17"/>
      <c r="K7879" s="17"/>
    </row>
    <row r="7880" spans="1:11" x14ac:dyDescent="0.2">
      <c r="A7880"/>
      <c r="B7880"/>
      <c r="H7880"/>
      <c r="I7880" s="17"/>
      <c r="J7880" s="17"/>
      <c r="K7880" s="17"/>
    </row>
    <row r="7881" spans="1:11" x14ac:dyDescent="0.2">
      <c r="A7881"/>
      <c r="B7881"/>
      <c r="H7881"/>
      <c r="I7881" s="17"/>
      <c r="J7881" s="17"/>
      <c r="K7881" s="17"/>
    </row>
    <row r="7882" spans="1:11" x14ac:dyDescent="0.2">
      <c r="A7882"/>
      <c r="B7882"/>
      <c r="H7882"/>
      <c r="I7882" s="17"/>
      <c r="J7882" s="17"/>
      <c r="K7882" s="17"/>
    </row>
    <row r="7883" spans="1:11" x14ac:dyDescent="0.2">
      <c r="A7883"/>
      <c r="B7883"/>
      <c r="H7883"/>
      <c r="I7883" s="17"/>
      <c r="J7883" s="17"/>
      <c r="K7883" s="17"/>
    </row>
    <row r="7884" spans="1:11" x14ac:dyDescent="0.2">
      <c r="A7884"/>
      <c r="B7884"/>
      <c r="H7884"/>
      <c r="I7884" s="17"/>
      <c r="J7884" s="17"/>
      <c r="K7884" s="17"/>
    </row>
    <row r="7885" spans="1:11" x14ac:dyDescent="0.2">
      <c r="A7885"/>
      <c r="B7885"/>
      <c r="H7885"/>
      <c r="I7885" s="17"/>
      <c r="J7885" s="17"/>
      <c r="K7885" s="17"/>
    </row>
    <row r="7886" spans="1:11" x14ac:dyDescent="0.2">
      <c r="A7886"/>
      <c r="B7886"/>
      <c r="H7886"/>
      <c r="I7886" s="17"/>
      <c r="J7886" s="17"/>
      <c r="K7886" s="17"/>
    </row>
    <row r="7887" spans="1:11" x14ac:dyDescent="0.2">
      <c r="A7887"/>
      <c r="B7887"/>
      <c r="H7887"/>
      <c r="I7887" s="17"/>
      <c r="J7887" s="17"/>
      <c r="K7887" s="17"/>
    </row>
    <row r="7888" spans="1:11" x14ac:dyDescent="0.2">
      <c r="A7888"/>
      <c r="B7888"/>
      <c r="H7888"/>
      <c r="I7888" s="17"/>
      <c r="J7888" s="17"/>
      <c r="K7888" s="17"/>
    </row>
    <row r="7889" spans="1:11" x14ac:dyDescent="0.2">
      <c r="A7889"/>
      <c r="B7889"/>
      <c r="H7889"/>
      <c r="I7889" s="17"/>
      <c r="J7889" s="17"/>
      <c r="K7889" s="17"/>
    </row>
    <row r="7890" spans="1:11" x14ac:dyDescent="0.2">
      <c r="A7890"/>
      <c r="B7890"/>
      <c r="H7890"/>
      <c r="I7890" s="17"/>
      <c r="J7890" s="17"/>
      <c r="K7890" s="17"/>
    </row>
    <row r="7891" spans="1:11" x14ac:dyDescent="0.2">
      <c r="A7891"/>
      <c r="B7891"/>
      <c r="H7891"/>
      <c r="I7891" s="17"/>
      <c r="J7891" s="17"/>
      <c r="K7891" s="17"/>
    </row>
    <row r="7892" spans="1:11" x14ac:dyDescent="0.2">
      <c r="A7892"/>
      <c r="B7892"/>
      <c r="H7892"/>
      <c r="I7892" s="17"/>
      <c r="J7892" s="17"/>
      <c r="K7892" s="17"/>
    </row>
    <row r="7893" spans="1:11" x14ac:dyDescent="0.2">
      <c r="A7893"/>
      <c r="B7893"/>
      <c r="H7893"/>
      <c r="I7893" s="17"/>
      <c r="J7893" s="17"/>
      <c r="K7893" s="17"/>
    </row>
    <row r="7894" spans="1:11" x14ac:dyDescent="0.2">
      <c r="A7894"/>
      <c r="B7894"/>
      <c r="H7894"/>
      <c r="I7894" s="17"/>
      <c r="J7894" s="17"/>
      <c r="K7894" s="17"/>
    </row>
    <row r="7895" spans="1:11" x14ac:dyDescent="0.2">
      <c r="A7895"/>
      <c r="B7895"/>
      <c r="H7895"/>
      <c r="I7895" s="17"/>
      <c r="J7895" s="17"/>
      <c r="K7895" s="17"/>
    </row>
    <row r="7896" spans="1:11" x14ac:dyDescent="0.2">
      <c r="A7896"/>
      <c r="B7896"/>
      <c r="H7896"/>
      <c r="I7896" s="17"/>
      <c r="J7896" s="17"/>
      <c r="K7896" s="17"/>
    </row>
    <row r="7897" spans="1:11" x14ac:dyDescent="0.2">
      <c r="A7897"/>
      <c r="B7897"/>
      <c r="H7897"/>
      <c r="I7897" s="17"/>
      <c r="J7897" s="17"/>
      <c r="K7897" s="17"/>
    </row>
    <row r="7898" spans="1:11" x14ac:dyDescent="0.2">
      <c r="A7898"/>
      <c r="B7898"/>
      <c r="H7898"/>
      <c r="I7898" s="17"/>
      <c r="J7898" s="17"/>
      <c r="K7898" s="17"/>
    </row>
    <row r="7899" spans="1:11" x14ac:dyDescent="0.2">
      <c r="A7899"/>
      <c r="B7899"/>
      <c r="H7899"/>
      <c r="I7899" s="17"/>
      <c r="J7899" s="17"/>
      <c r="K7899" s="17"/>
    </row>
    <row r="7900" spans="1:11" x14ac:dyDescent="0.2">
      <c r="A7900"/>
      <c r="B7900"/>
      <c r="H7900"/>
      <c r="I7900" s="17"/>
      <c r="J7900" s="17"/>
      <c r="K7900" s="17"/>
    </row>
    <row r="7901" spans="1:11" x14ac:dyDescent="0.2">
      <c r="A7901"/>
      <c r="B7901"/>
      <c r="H7901"/>
      <c r="I7901" s="17"/>
      <c r="J7901" s="17"/>
      <c r="K7901" s="17"/>
    </row>
    <row r="7902" spans="1:11" x14ac:dyDescent="0.2">
      <c r="A7902"/>
      <c r="B7902"/>
      <c r="H7902"/>
      <c r="I7902" s="17"/>
      <c r="J7902" s="17"/>
      <c r="K7902" s="17"/>
    </row>
    <row r="7903" spans="1:11" x14ac:dyDescent="0.2">
      <c r="A7903"/>
      <c r="B7903"/>
      <c r="H7903"/>
      <c r="I7903" s="17"/>
      <c r="J7903" s="17"/>
      <c r="K7903" s="17"/>
    </row>
    <row r="7904" spans="1:11" x14ac:dyDescent="0.2">
      <c r="A7904"/>
      <c r="B7904"/>
      <c r="H7904"/>
      <c r="I7904" s="17"/>
      <c r="J7904" s="17"/>
      <c r="K7904" s="17"/>
    </row>
    <row r="7905" spans="1:11" x14ac:dyDescent="0.2">
      <c r="A7905"/>
      <c r="B7905"/>
      <c r="H7905"/>
      <c r="I7905" s="17"/>
      <c r="J7905" s="17"/>
      <c r="K7905" s="17"/>
    </row>
    <row r="7906" spans="1:11" x14ac:dyDescent="0.2">
      <c r="A7906"/>
      <c r="B7906"/>
      <c r="H7906"/>
      <c r="I7906" s="17"/>
      <c r="J7906" s="17"/>
      <c r="K7906" s="17"/>
    </row>
    <row r="7907" spans="1:11" x14ac:dyDescent="0.2">
      <c r="A7907"/>
      <c r="B7907"/>
      <c r="H7907"/>
      <c r="I7907" s="17"/>
      <c r="J7907" s="17"/>
      <c r="K7907" s="17"/>
    </row>
    <row r="7908" spans="1:11" x14ac:dyDescent="0.2">
      <c r="A7908"/>
      <c r="B7908"/>
      <c r="H7908"/>
      <c r="I7908" s="17"/>
      <c r="J7908" s="17"/>
      <c r="K7908" s="17"/>
    </row>
    <row r="7909" spans="1:11" x14ac:dyDescent="0.2">
      <c r="A7909"/>
      <c r="B7909"/>
      <c r="H7909"/>
      <c r="I7909" s="17"/>
      <c r="J7909" s="17"/>
      <c r="K7909" s="17"/>
    </row>
    <row r="7910" spans="1:11" x14ac:dyDescent="0.2">
      <c r="A7910"/>
      <c r="B7910"/>
      <c r="H7910"/>
      <c r="I7910" s="17"/>
      <c r="J7910" s="17"/>
      <c r="K7910" s="17"/>
    </row>
    <row r="7911" spans="1:11" x14ac:dyDescent="0.2">
      <c r="A7911"/>
      <c r="B7911"/>
      <c r="H7911"/>
      <c r="I7911" s="17"/>
      <c r="J7911" s="17"/>
      <c r="K7911" s="17"/>
    </row>
    <row r="7912" spans="1:11" x14ac:dyDescent="0.2">
      <c r="A7912"/>
      <c r="B7912"/>
      <c r="H7912"/>
      <c r="I7912" s="17"/>
      <c r="J7912" s="17"/>
      <c r="K7912" s="17"/>
    </row>
    <row r="7913" spans="1:11" x14ac:dyDescent="0.2">
      <c r="A7913"/>
      <c r="B7913"/>
      <c r="H7913"/>
      <c r="I7913" s="17"/>
      <c r="J7913" s="17"/>
      <c r="K7913" s="17"/>
    </row>
    <row r="7914" spans="1:11" x14ac:dyDescent="0.2">
      <c r="A7914"/>
      <c r="B7914"/>
      <c r="H7914"/>
      <c r="I7914" s="17"/>
      <c r="J7914" s="17"/>
      <c r="K7914" s="17"/>
    </row>
    <row r="7915" spans="1:11" x14ac:dyDescent="0.2">
      <c r="A7915"/>
      <c r="B7915"/>
      <c r="H7915"/>
      <c r="I7915" s="17"/>
      <c r="J7915" s="17"/>
      <c r="K7915" s="17"/>
    </row>
    <row r="7916" spans="1:11" x14ac:dyDescent="0.2">
      <c r="A7916"/>
      <c r="B7916"/>
      <c r="H7916"/>
      <c r="I7916" s="17"/>
      <c r="J7916" s="17"/>
      <c r="K7916" s="17"/>
    </row>
    <row r="7917" spans="1:11" x14ac:dyDescent="0.2">
      <c r="A7917"/>
      <c r="B7917"/>
      <c r="H7917"/>
      <c r="I7917" s="17"/>
      <c r="J7917" s="17"/>
      <c r="K7917" s="17"/>
    </row>
    <row r="7918" spans="1:11" x14ac:dyDescent="0.2">
      <c r="A7918"/>
      <c r="B7918"/>
      <c r="H7918"/>
      <c r="I7918" s="17"/>
      <c r="J7918" s="17"/>
      <c r="K7918" s="17"/>
    </row>
    <row r="7919" spans="1:11" x14ac:dyDescent="0.2">
      <c r="A7919"/>
      <c r="B7919"/>
      <c r="H7919"/>
      <c r="I7919" s="17"/>
      <c r="J7919" s="17"/>
      <c r="K7919" s="17"/>
    </row>
    <row r="7920" spans="1:11" x14ac:dyDescent="0.2">
      <c r="A7920"/>
      <c r="B7920"/>
      <c r="H7920"/>
      <c r="I7920" s="17"/>
      <c r="J7920" s="17"/>
      <c r="K7920" s="17"/>
    </row>
    <row r="7921" spans="1:11" x14ac:dyDescent="0.2">
      <c r="A7921"/>
      <c r="B7921"/>
      <c r="H7921"/>
      <c r="I7921" s="17"/>
      <c r="J7921" s="17"/>
      <c r="K7921" s="17"/>
    </row>
    <row r="7922" spans="1:11" x14ac:dyDescent="0.2">
      <c r="A7922"/>
      <c r="B7922"/>
      <c r="H7922"/>
      <c r="I7922" s="17"/>
      <c r="J7922" s="17"/>
      <c r="K7922" s="17"/>
    </row>
    <row r="7923" spans="1:11" x14ac:dyDescent="0.2">
      <c r="A7923"/>
      <c r="B7923"/>
      <c r="H7923"/>
      <c r="I7923" s="17"/>
      <c r="J7923" s="17"/>
      <c r="K7923" s="17"/>
    </row>
    <row r="7924" spans="1:11" x14ac:dyDescent="0.2">
      <c r="A7924"/>
      <c r="B7924"/>
      <c r="H7924"/>
      <c r="I7924" s="17"/>
      <c r="J7924" s="17"/>
      <c r="K7924" s="17"/>
    </row>
    <row r="7925" spans="1:11" x14ac:dyDescent="0.2">
      <c r="A7925"/>
      <c r="B7925"/>
      <c r="H7925"/>
      <c r="I7925" s="17"/>
      <c r="J7925" s="17"/>
      <c r="K7925" s="17"/>
    </row>
    <row r="7926" spans="1:11" x14ac:dyDescent="0.2">
      <c r="A7926"/>
      <c r="B7926"/>
      <c r="H7926"/>
      <c r="I7926" s="17"/>
      <c r="J7926" s="17"/>
      <c r="K7926" s="17"/>
    </row>
    <row r="7927" spans="1:11" x14ac:dyDescent="0.2">
      <c r="A7927"/>
      <c r="B7927"/>
      <c r="H7927"/>
      <c r="I7927" s="17"/>
      <c r="J7927" s="17"/>
      <c r="K7927" s="17"/>
    </row>
    <row r="7928" spans="1:11" x14ac:dyDescent="0.2">
      <c r="A7928"/>
      <c r="B7928"/>
      <c r="H7928"/>
      <c r="I7928" s="17"/>
      <c r="J7928" s="17"/>
      <c r="K7928" s="17"/>
    </row>
    <row r="7929" spans="1:11" x14ac:dyDescent="0.2">
      <c r="A7929"/>
      <c r="B7929"/>
      <c r="H7929"/>
      <c r="I7929" s="17"/>
      <c r="J7929" s="17"/>
      <c r="K7929" s="17"/>
    </row>
    <row r="7930" spans="1:11" x14ac:dyDescent="0.2">
      <c r="A7930"/>
      <c r="B7930"/>
      <c r="H7930"/>
      <c r="I7930" s="17"/>
      <c r="J7930" s="17"/>
      <c r="K7930" s="17"/>
    </row>
    <row r="7931" spans="1:11" x14ac:dyDescent="0.2">
      <c r="A7931"/>
      <c r="B7931"/>
      <c r="H7931"/>
      <c r="I7931" s="17"/>
      <c r="J7931" s="17"/>
      <c r="K7931" s="17"/>
    </row>
    <row r="7932" spans="1:11" x14ac:dyDescent="0.2">
      <c r="A7932"/>
      <c r="B7932"/>
      <c r="H7932"/>
      <c r="I7932" s="17"/>
      <c r="J7932" s="17"/>
      <c r="K7932" s="17"/>
    </row>
    <row r="7933" spans="1:11" x14ac:dyDescent="0.2">
      <c r="A7933"/>
      <c r="B7933"/>
      <c r="H7933"/>
      <c r="I7933" s="17"/>
      <c r="J7933" s="17"/>
      <c r="K7933" s="17"/>
    </row>
    <row r="7934" spans="1:11" x14ac:dyDescent="0.2">
      <c r="A7934"/>
      <c r="B7934"/>
      <c r="H7934"/>
      <c r="I7934" s="17"/>
      <c r="J7934" s="17"/>
      <c r="K7934" s="17"/>
    </row>
    <row r="7935" spans="1:11" x14ac:dyDescent="0.2">
      <c r="A7935"/>
      <c r="B7935"/>
      <c r="H7935"/>
      <c r="I7935" s="17"/>
      <c r="J7935" s="17"/>
      <c r="K7935" s="17"/>
    </row>
    <row r="7936" spans="1:11" x14ac:dyDescent="0.2">
      <c r="A7936"/>
      <c r="B7936"/>
      <c r="H7936"/>
      <c r="I7936" s="17"/>
      <c r="J7936" s="17"/>
      <c r="K7936" s="17"/>
    </row>
    <row r="7937" spans="1:11" x14ac:dyDescent="0.2">
      <c r="A7937"/>
      <c r="B7937"/>
      <c r="H7937"/>
      <c r="I7937" s="17"/>
      <c r="J7937" s="17"/>
      <c r="K7937" s="17"/>
    </row>
    <row r="7938" spans="1:11" x14ac:dyDescent="0.2">
      <c r="A7938"/>
      <c r="B7938"/>
      <c r="H7938"/>
      <c r="I7938" s="17"/>
      <c r="J7938" s="17"/>
      <c r="K7938" s="17"/>
    </row>
    <row r="7939" spans="1:11" x14ac:dyDescent="0.2">
      <c r="A7939"/>
      <c r="B7939"/>
      <c r="H7939"/>
      <c r="I7939" s="17"/>
      <c r="J7939" s="17"/>
      <c r="K7939" s="17"/>
    </row>
    <row r="7940" spans="1:11" x14ac:dyDescent="0.2">
      <c r="A7940"/>
      <c r="B7940"/>
      <c r="H7940"/>
      <c r="I7940" s="17"/>
      <c r="J7940" s="17"/>
      <c r="K7940" s="17"/>
    </row>
    <row r="7941" spans="1:11" x14ac:dyDescent="0.2">
      <c r="A7941"/>
      <c r="B7941"/>
      <c r="H7941"/>
      <c r="I7941" s="17"/>
      <c r="J7941" s="17"/>
      <c r="K7941" s="17"/>
    </row>
    <row r="7942" spans="1:11" x14ac:dyDescent="0.2">
      <c r="A7942"/>
      <c r="B7942"/>
      <c r="H7942"/>
      <c r="I7942" s="17"/>
      <c r="J7942" s="17"/>
      <c r="K7942" s="17"/>
    </row>
    <row r="7943" spans="1:11" x14ac:dyDescent="0.2">
      <c r="A7943"/>
      <c r="B7943"/>
      <c r="H7943"/>
      <c r="I7943" s="17"/>
      <c r="J7943" s="17"/>
      <c r="K7943" s="17"/>
    </row>
    <row r="7944" spans="1:11" x14ac:dyDescent="0.2">
      <c r="A7944"/>
      <c r="B7944"/>
      <c r="H7944"/>
      <c r="I7944" s="17"/>
      <c r="J7944" s="17"/>
      <c r="K7944" s="17"/>
    </row>
    <row r="7945" spans="1:11" x14ac:dyDescent="0.2">
      <c r="A7945"/>
      <c r="B7945"/>
      <c r="H7945"/>
      <c r="I7945" s="17"/>
      <c r="J7945" s="17"/>
      <c r="K7945" s="17"/>
    </row>
    <row r="7946" spans="1:11" x14ac:dyDescent="0.2">
      <c r="A7946"/>
      <c r="B7946"/>
      <c r="H7946"/>
      <c r="I7946" s="17"/>
      <c r="J7946" s="17"/>
      <c r="K7946" s="17"/>
    </row>
    <row r="7947" spans="1:11" x14ac:dyDescent="0.2">
      <c r="A7947"/>
      <c r="B7947"/>
      <c r="H7947"/>
      <c r="I7947" s="17"/>
      <c r="J7947" s="17"/>
      <c r="K7947" s="17"/>
    </row>
    <row r="7948" spans="1:11" x14ac:dyDescent="0.2">
      <c r="A7948"/>
      <c r="B7948"/>
      <c r="H7948"/>
      <c r="I7948" s="17"/>
      <c r="J7948" s="17"/>
      <c r="K7948" s="17"/>
    </row>
    <row r="7949" spans="1:11" x14ac:dyDescent="0.2">
      <c r="A7949"/>
      <c r="B7949"/>
      <c r="H7949"/>
      <c r="I7949" s="17"/>
      <c r="J7949" s="17"/>
      <c r="K7949" s="17"/>
    </row>
    <row r="7950" spans="1:11" x14ac:dyDescent="0.2">
      <c r="A7950"/>
      <c r="B7950"/>
      <c r="H7950"/>
      <c r="I7950" s="17"/>
      <c r="J7950" s="17"/>
      <c r="K7950" s="17"/>
    </row>
    <row r="7951" spans="1:11" x14ac:dyDescent="0.2">
      <c r="A7951"/>
      <c r="B7951"/>
      <c r="H7951"/>
      <c r="I7951" s="17"/>
      <c r="J7951" s="17"/>
      <c r="K7951" s="17"/>
    </row>
    <row r="7952" spans="1:11" x14ac:dyDescent="0.2">
      <c r="A7952"/>
      <c r="B7952"/>
      <c r="H7952"/>
      <c r="I7952" s="17"/>
      <c r="J7952" s="17"/>
      <c r="K7952" s="17"/>
    </row>
    <row r="7953" spans="1:11" x14ac:dyDescent="0.2">
      <c r="A7953"/>
      <c r="B7953"/>
      <c r="H7953"/>
      <c r="I7953" s="17"/>
      <c r="J7953" s="17"/>
      <c r="K7953" s="17"/>
    </row>
    <row r="7954" spans="1:11" x14ac:dyDescent="0.2">
      <c r="A7954"/>
      <c r="B7954"/>
      <c r="H7954"/>
      <c r="I7954" s="17"/>
      <c r="J7954" s="17"/>
      <c r="K7954" s="17"/>
    </row>
    <row r="7955" spans="1:11" x14ac:dyDescent="0.2">
      <c r="A7955"/>
      <c r="B7955"/>
      <c r="H7955"/>
      <c r="I7955" s="17"/>
      <c r="J7955" s="17"/>
      <c r="K7955" s="17"/>
    </row>
    <row r="7956" spans="1:11" x14ac:dyDescent="0.2">
      <c r="A7956"/>
      <c r="B7956"/>
      <c r="H7956"/>
      <c r="I7956" s="17"/>
      <c r="J7956" s="17"/>
      <c r="K7956" s="17"/>
    </row>
    <row r="7957" spans="1:11" x14ac:dyDescent="0.2">
      <c r="A7957"/>
      <c r="B7957"/>
      <c r="H7957"/>
      <c r="I7957" s="17"/>
      <c r="J7957" s="17"/>
      <c r="K7957" s="17"/>
    </row>
    <row r="7958" spans="1:11" x14ac:dyDescent="0.2">
      <c r="A7958"/>
      <c r="B7958"/>
      <c r="H7958"/>
      <c r="I7958" s="17"/>
      <c r="J7958" s="17"/>
      <c r="K7958" s="17"/>
    </row>
    <row r="7959" spans="1:11" x14ac:dyDescent="0.2">
      <c r="A7959"/>
      <c r="B7959"/>
      <c r="H7959"/>
      <c r="I7959" s="17"/>
      <c r="J7959" s="17"/>
      <c r="K7959" s="17"/>
    </row>
    <row r="7960" spans="1:11" x14ac:dyDescent="0.2">
      <c r="A7960"/>
      <c r="B7960"/>
      <c r="H7960"/>
      <c r="I7960" s="17"/>
      <c r="J7960" s="17"/>
      <c r="K7960" s="17"/>
    </row>
    <row r="7961" spans="1:11" x14ac:dyDescent="0.2">
      <c r="A7961"/>
      <c r="B7961"/>
      <c r="H7961"/>
      <c r="I7961" s="17"/>
      <c r="J7961" s="17"/>
      <c r="K7961" s="17"/>
    </row>
    <row r="7962" spans="1:11" x14ac:dyDescent="0.2">
      <c r="A7962"/>
      <c r="B7962"/>
      <c r="H7962"/>
      <c r="I7962" s="17"/>
      <c r="J7962" s="17"/>
      <c r="K7962" s="17"/>
    </row>
    <row r="7963" spans="1:11" x14ac:dyDescent="0.2">
      <c r="A7963"/>
      <c r="B7963"/>
      <c r="H7963"/>
      <c r="I7963" s="17"/>
      <c r="J7963" s="17"/>
      <c r="K7963" s="17"/>
    </row>
    <row r="7964" spans="1:11" x14ac:dyDescent="0.2">
      <c r="A7964"/>
      <c r="B7964"/>
      <c r="H7964"/>
      <c r="I7964" s="17"/>
      <c r="J7964" s="17"/>
      <c r="K7964" s="17"/>
    </row>
    <row r="7965" spans="1:11" x14ac:dyDescent="0.2">
      <c r="A7965"/>
      <c r="B7965"/>
      <c r="H7965"/>
      <c r="I7965" s="17"/>
      <c r="J7965" s="17"/>
      <c r="K7965" s="17"/>
    </row>
    <row r="7966" spans="1:11" x14ac:dyDescent="0.2">
      <c r="A7966"/>
      <c r="B7966"/>
      <c r="H7966"/>
      <c r="I7966" s="17"/>
      <c r="J7966" s="17"/>
      <c r="K7966" s="17"/>
    </row>
    <row r="7967" spans="1:11" x14ac:dyDescent="0.2">
      <c r="A7967"/>
      <c r="B7967"/>
      <c r="H7967"/>
      <c r="I7967" s="17"/>
      <c r="J7967" s="17"/>
      <c r="K7967" s="17"/>
    </row>
    <row r="7968" spans="1:11" x14ac:dyDescent="0.2">
      <c r="A7968"/>
      <c r="B7968"/>
      <c r="H7968"/>
      <c r="I7968" s="17"/>
      <c r="J7968" s="17"/>
      <c r="K7968" s="17"/>
    </row>
    <row r="7969" spans="1:11" x14ac:dyDescent="0.2">
      <c r="A7969"/>
      <c r="B7969"/>
      <c r="H7969"/>
      <c r="I7969" s="17"/>
      <c r="J7969" s="17"/>
      <c r="K7969" s="17"/>
    </row>
    <row r="7970" spans="1:11" x14ac:dyDescent="0.2">
      <c r="A7970"/>
      <c r="B7970"/>
      <c r="H7970"/>
      <c r="I7970" s="17"/>
      <c r="J7970" s="17"/>
      <c r="K7970" s="17"/>
    </row>
    <row r="7971" spans="1:11" x14ac:dyDescent="0.2">
      <c r="A7971"/>
      <c r="B7971"/>
      <c r="H7971"/>
      <c r="I7971" s="17"/>
      <c r="J7971" s="17"/>
      <c r="K7971" s="17"/>
    </row>
    <row r="7972" spans="1:11" x14ac:dyDescent="0.2">
      <c r="A7972"/>
      <c r="B7972"/>
      <c r="H7972"/>
      <c r="I7972" s="17"/>
      <c r="J7972" s="17"/>
      <c r="K7972" s="17"/>
    </row>
    <row r="7973" spans="1:11" x14ac:dyDescent="0.2">
      <c r="A7973"/>
      <c r="B7973"/>
      <c r="H7973"/>
      <c r="I7973" s="17"/>
      <c r="J7973" s="17"/>
      <c r="K7973" s="17"/>
    </row>
    <row r="7974" spans="1:11" x14ac:dyDescent="0.2">
      <c r="A7974"/>
      <c r="B7974"/>
      <c r="H7974"/>
      <c r="I7974" s="17"/>
      <c r="J7974" s="17"/>
      <c r="K7974" s="17"/>
    </row>
    <row r="7975" spans="1:11" x14ac:dyDescent="0.2">
      <c r="A7975"/>
      <c r="B7975"/>
      <c r="H7975"/>
      <c r="I7975" s="17"/>
      <c r="J7975" s="17"/>
      <c r="K7975" s="17"/>
    </row>
    <row r="7976" spans="1:11" x14ac:dyDescent="0.2">
      <c r="A7976"/>
      <c r="B7976"/>
      <c r="H7976"/>
      <c r="I7976" s="17"/>
      <c r="J7976" s="17"/>
      <c r="K7976" s="17"/>
    </row>
    <row r="7977" spans="1:11" x14ac:dyDescent="0.2">
      <c r="A7977"/>
      <c r="B7977"/>
      <c r="H7977"/>
      <c r="I7977" s="17"/>
      <c r="J7977" s="17"/>
      <c r="K7977" s="17"/>
    </row>
    <row r="7978" spans="1:11" x14ac:dyDescent="0.2">
      <c r="A7978"/>
      <c r="B7978"/>
      <c r="H7978"/>
      <c r="I7978" s="17"/>
      <c r="J7978" s="17"/>
      <c r="K7978" s="17"/>
    </row>
    <row r="7979" spans="1:11" x14ac:dyDescent="0.2">
      <c r="A7979"/>
      <c r="B7979"/>
      <c r="H7979"/>
      <c r="I7979" s="17"/>
      <c r="J7979" s="17"/>
      <c r="K7979" s="17"/>
    </row>
    <row r="7980" spans="1:11" x14ac:dyDescent="0.2">
      <c r="A7980"/>
      <c r="B7980"/>
      <c r="H7980"/>
      <c r="I7980" s="17"/>
      <c r="J7980" s="17"/>
      <c r="K7980" s="17"/>
    </row>
    <row r="7981" spans="1:11" x14ac:dyDescent="0.2">
      <c r="A7981"/>
      <c r="B7981"/>
      <c r="H7981"/>
      <c r="I7981" s="17"/>
      <c r="J7981" s="17"/>
      <c r="K7981" s="17"/>
    </row>
    <row r="7982" spans="1:11" x14ac:dyDescent="0.2">
      <c r="A7982"/>
      <c r="B7982"/>
      <c r="H7982"/>
      <c r="I7982" s="17"/>
      <c r="J7982" s="17"/>
      <c r="K7982" s="17"/>
    </row>
    <row r="7983" spans="1:11" x14ac:dyDescent="0.2">
      <c r="A7983"/>
      <c r="B7983"/>
      <c r="H7983"/>
      <c r="I7983" s="17"/>
      <c r="J7983" s="17"/>
      <c r="K7983" s="17"/>
    </row>
    <row r="7984" spans="1:11" x14ac:dyDescent="0.2">
      <c r="A7984"/>
      <c r="B7984"/>
      <c r="H7984"/>
      <c r="I7984" s="17"/>
      <c r="J7984" s="17"/>
      <c r="K7984" s="17"/>
    </row>
    <row r="7985" spans="1:11" x14ac:dyDescent="0.2">
      <c r="A7985"/>
      <c r="B7985"/>
      <c r="H7985"/>
      <c r="I7985" s="17"/>
      <c r="J7985" s="17"/>
      <c r="K7985" s="17"/>
    </row>
    <row r="7986" spans="1:11" x14ac:dyDescent="0.2">
      <c r="A7986"/>
      <c r="B7986"/>
      <c r="H7986"/>
      <c r="I7986" s="17"/>
      <c r="J7986" s="17"/>
      <c r="K7986" s="17"/>
    </row>
    <row r="7987" spans="1:11" x14ac:dyDescent="0.2">
      <c r="A7987"/>
      <c r="B7987"/>
      <c r="H7987"/>
      <c r="I7987" s="17"/>
      <c r="J7987" s="17"/>
      <c r="K7987" s="17"/>
    </row>
    <row r="7988" spans="1:11" x14ac:dyDescent="0.2">
      <c r="A7988"/>
      <c r="B7988"/>
      <c r="H7988"/>
      <c r="I7988" s="17"/>
      <c r="J7988" s="17"/>
      <c r="K7988" s="17"/>
    </row>
    <row r="7989" spans="1:11" x14ac:dyDescent="0.2">
      <c r="A7989"/>
      <c r="B7989"/>
      <c r="H7989"/>
      <c r="I7989" s="17"/>
      <c r="J7989" s="17"/>
      <c r="K7989" s="17"/>
    </row>
    <row r="7990" spans="1:11" x14ac:dyDescent="0.2">
      <c r="A7990"/>
      <c r="B7990"/>
      <c r="H7990"/>
      <c r="I7990" s="17"/>
      <c r="J7990" s="17"/>
      <c r="K7990" s="17"/>
    </row>
    <row r="7991" spans="1:11" x14ac:dyDescent="0.2">
      <c r="A7991"/>
      <c r="B7991"/>
      <c r="H7991"/>
      <c r="I7991" s="17"/>
      <c r="J7991" s="17"/>
      <c r="K7991" s="17"/>
    </row>
    <row r="7992" spans="1:11" x14ac:dyDescent="0.2">
      <c r="A7992"/>
      <c r="B7992"/>
      <c r="H7992"/>
      <c r="I7992" s="17"/>
      <c r="J7992" s="17"/>
      <c r="K7992" s="17"/>
    </row>
    <row r="7993" spans="1:11" x14ac:dyDescent="0.2">
      <c r="A7993"/>
      <c r="B7993"/>
      <c r="H7993"/>
      <c r="I7993" s="17"/>
      <c r="J7993" s="17"/>
      <c r="K7993" s="17"/>
    </row>
    <row r="7994" spans="1:11" x14ac:dyDescent="0.2">
      <c r="A7994"/>
      <c r="B7994"/>
      <c r="H7994"/>
      <c r="I7994" s="17"/>
      <c r="J7994" s="17"/>
      <c r="K7994" s="17"/>
    </row>
    <row r="7995" spans="1:11" x14ac:dyDescent="0.2">
      <c r="A7995"/>
      <c r="B7995"/>
      <c r="H7995"/>
      <c r="I7995" s="17"/>
      <c r="J7995" s="17"/>
      <c r="K7995" s="17"/>
    </row>
    <row r="7996" spans="1:11" x14ac:dyDescent="0.2">
      <c r="A7996"/>
      <c r="B7996"/>
      <c r="H7996"/>
      <c r="I7996" s="17"/>
      <c r="J7996" s="17"/>
      <c r="K7996" s="17"/>
    </row>
    <row r="7997" spans="1:11" x14ac:dyDescent="0.2">
      <c r="A7997"/>
      <c r="B7997"/>
      <c r="H7997"/>
      <c r="I7997" s="17"/>
      <c r="J7997" s="17"/>
      <c r="K7997" s="17"/>
    </row>
    <row r="7998" spans="1:11" x14ac:dyDescent="0.2">
      <c r="A7998"/>
      <c r="B7998"/>
      <c r="H7998"/>
      <c r="I7998" s="17"/>
      <c r="J7998" s="17"/>
      <c r="K7998" s="17"/>
    </row>
    <row r="7999" spans="1:11" x14ac:dyDescent="0.2">
      <c r="A7999"/>
      <c r="B7999"/>
      <c r="H7999"/>
      <c r="I7999" s="17"/>
      <c r="J7999" s="17"/>
      <c r="K7999" s="17"/>
    </row>
    <row r="8000" spans="1:11" x14ac:dyDescent="0.2">
      <c r="A8000"/>
      <c r="B8000"/>
      <c r="H8000"/>
      <c r="I8000" s="17"/>
      <c r="J8000" s="17"/>
      <c r="K8000" s="17"/>
    </row>
    <row r="8001" spans="1:11" x14ac:dyDescent="0.2">
      <c r="A8001"/>
      <c r="B8001"/>
      <c r="H8001"/>
      <c r="I8001" s="17"/>
      <c r="J8001" s="17"/>
      <c r="K8001" s="17"/>
    </row>
    <row r="8002" spans="1:11" x14ac:dyDescent="0.2">
      <c r="A8002"/>
      <c r="B8002"/>
      <c r="H8002"/>
      <c r="I8002" s="17"/>
      <c r="J8002" s="17"/>
      <c r="K8002" s="17"/>
    </row>
    <row r="8003" spans="1:11" x14ac:dyDescent="0.2">
      <c r="A8003"/>
      <c r="B8003"/>
      <c r="H8003"/>
      <c r="I8003" s="17"/>
      <c r="J8003" s="17"/>
      <c r="K8003" s="17"/>
    </row>
    <row r="8004" spans="1:11" x14ac:dyDescent="0.2">
      <c r="A8004"/>
      <c r="B8004"/>
      <c r="H8004"/>
      <c r="I8004" s="17"/>
      <c r="J8004" s="17"/>
      <c r="K8004" s="17"/>
    </row>
    <row r="8005" spans="1:11" x14ac:dyDescent="0.2">
      <c r="A8005"/>
      <c r="B8005"/>
      <c r="H8005"/>
      <c r="I8005" s="17"/>
      <c r="J8005" s="17"/>
      <c r="K8005" s="17"/>
    </row>
    <row r="8006" spans="1:11" x14ac:dyDescent="0.2">
      <c r="A8006"/>
      <c r="B8006"/>
      <c r="H8006"/>
      <c r="I8006" s="17"/>
      <c r="J8006" s="17"/>
      <c r="K8006" s="17"/>
    </row>
    <row r="8007" spans="1:11" x14ac:dyDescent="0.2">
      <c r="A8007"/>
      <c r="B8007"/>
      <c r="H8007"/>
      <c r="I8007" s="17"/>
      <c r="J8007" s="17"/>
      <c r="K8007" s="17"/>
    </row>
    <row r="8008" spans="1:11" x14ac:dyDescent="0.2">
      <c r="A8008"/>
      <c r="B8008"/>
      <c r="H8008"/>
      <c r="I8008" s="17"/>
      <c r="J8008" s="17"/>
      <c r="K8008" s="17"/>
    </row>
    <row r="8009" spans="1:11" x14ac:dyDescent="0.2">
      <c r="A8009"/>
      <c r="B8009"/>
      <c r="H8009"/>
      <c r="I8009" s="17"/>
      <c r="J8009" s="17"/>
      <c r="K8009" s="17"/>
    </row>
    <row r="8010" spans="1:11" x14ac:dyDescent="0.2">
      <c r="A8010"/>
      <c r="B8010"/>
      <c r="H8010"/>
      <c r="I8010" s="17"/>
      <c r="J8010" s="17"/>
      <c r="K8010" s="17"/>
    </row>
    <row r="8011" spans="1:11" x14ac:dyDescent="0.2">
      <c r="A8011"/>
      <c r="B8011"/>
      <c r="H8011"/>
      <c r="I8011" s="17"/>
      <c r="J8011" s="17"/>
      <c r="K8011" s="17"/>
    </row>
    <row r="8012" spans="1:11" x14ac:dyDescent="0.2">
      <c r="A8012"/>
      <c r="B8012"/>
      <c r="H8012"/>
      <c r="I8012" s="17"/>
      <c r="J8012" s="17"/>
      <c r="K8012" s="17"/>
    </row>
    <row r="8013" spans="1:11" x14ac:dyDescent="0.2">
      <c r="A8013"/>
      <c r="B8013"/>
      <c r="H8013"/>
      <c r="I8013" s="17"/>
      <c r="J8013" s="17"/>
      <c r="K8013" s="17"/>
    </row>
    <row r="8014" spans="1:11" x14ac:dyDescent="0.2">
      <c r="A8014"/>
      <c r="B8014"/>
      <c r="H8014"/>
      <c r="I8014" s="17"/>
      <c r="J8014" s="17"/>
      <c r="K8014" s="17"/>
    </row>
    <row r="8015" spans="1:11" x14ac:dyDescent="0.2">
      <c r="A8015"/>
      <c r="B8015"/>
      <c r="H8015"/>
      <c r="I8015" s="17"/>
      <c r="J8015" s="17"/>
      <c r="K8015" s="17"/>
    </row>
    <row r="8016" spans="1:11" x14ac:dyDescent="0.2">
      <c r="A8016"/>
      <c r="B8016"/>
      <c r="H8016"/>
      <c r="I8016" s="17"/>
      <c r="J8016" s="17"/>
      <c r="K8016" s="17"/>
    </row>
    <row r="8017" spans="1:11" x14ac:dyDescent="0.2">
      <c r="A8017"/>
      <c r="B8017"/>
      <c r="H8017"/>
      <c r="I8017" s="17"/>
      <c r="J8017" s="17"/>
      <c r="K8017" s="17"/>
    </row>
    <row r="8018" spans="1:11" x14ac:dyDescent="0.2">
      <c r="A8018"/>
      <c r="B8018"/>
      <c r="H8018"/>
      <c r="I8018" s="17"/>
      <c r="J8018" s="17"/>
      <c r="K8018" s="17"/>
    </row>
    <row r="8019" spans="1:11" x14ac:dyDescent="0.2">
      <c r="A8019"/>
      <c r="B8019"/>
      <c r="H8019"/>
      <c r="I8019" s="17"/>
      <c r="J8019" s="17"/>
      <c r="K8019" s="17"/>
    </row>
    <row r="8020" spans="1:11" x14ac:dyDescent="0.2">
      <c r="A8020"/>
      <c r="B8020"/>
      <c r="H8020"/>
      <c r="I8020" s="17"/>
      <c r="J8020" s="17"/>
      <c r="K8020" s="17"/>
    </row>
    <row r="8021" spans="1:11" x14ac:dyDescent="0.2">
      <c r="A8021"/>
      <c r="B8021"/>
      <c r="H8021"/>
      <c r="I8021" s="17"/>
      <c r="J8021" s="17"/>
      <c r="K8021" s="17"/>
    </row>
    <row r="8022" spans="1:11" x14ac:dyDescent="0.2">
      <c r="A8022"/>
      <c r="B8022"/>
      <c r="H8022"/>
      <c r="I8022" s="17"/>
      <c r="J8022" s="17"/>
      <c r="K8022" s="17"/>
    </row>
    <row r="8023" spans="1:11" x14ac:dyDescent="0.2">
      <c r="A8023"/>
      <c r="B8023"/>
      <c r="H8023"/>
      <c r="I8023" s="17"/>
      <c r="J8023" s="17"/>
      <c r="K8023" s="17"/>
    </row>
    <row r="8024" spans="1:11" x14ac:dyDescent="0.2">
      <c r="A8024"/>
      <c r="B8024"/>
      <c r="H8024"/>
      <c r="I8024" s="17"/>
      <c r="J8024" s="17"/>
      <c r="K8024" s="17"/>
    </row>
    <row r="8025" spans="1:11" x14ac:dyDescent="0.2">
      <c r="A8025"/>
      <c r="B8025"/>
      <c r="H8025"/>
      <c r="I8025" s="17"/>
      <c r="J8025" s="17"/>
      <c r="K8025" s="17"/>
    </row>
    <row r="8026" spans="1:11" x14ac:dyDescent="0.2">
      <c r="A8026"/>
      <c r="B8026"/>
      <c r="H8026"/>
      <c r="I8026" s="17"/>
      <c r="J8026" s="17"/>
      <c r="K8026" s="17"/>
    </row>
    <row r="8027" spans="1:11" x14ac:dyDescent="0.2">
      <c r="A8027"/>
      <c r="B8027"/>
      <c r="H8027"/>
      <c r="I8027" s="17"/>
      <c r="J8027" s="17"/>
      <c r="K8027" s="17"/>
    </row>
    <row r="8028" spans="1:11" x14ac:dyDescent="0.2">
      <c r="A8028"/>
      <c r="B8028"/>
      <c r="H8028"/>
      <c r="I8028" s="17"/>
      <c r="J8028" s="17"/>
      <c r="K8028" s="17"/>
    </row>
    <row r="8029" spans="1:11" x14ac:dyDescent="0.2">
      <c r="A8029"/>
      <c r="B8029"/>
      <c r="H8029"/>
      <c r="I8029" s="17"/>
      <c r="J8029" s="17"/>
      <c r="K8029" s="17"/>
    </row>
    <row r="8030" spans="1:11" x14ac:dyDescent="0.2">
      <c r="A8030"/>
      <c r="B8030"/>
      <c r="H8030"/>
      <c r="I8030" s="17"/>
      <c r="J8030" s="17"/>
      <c r="K8030" s="17"/>
    </row>
    <row r="8031" spans="1:11" x14ac:dyDescent="0.2">
      <c r="A8031"/>
      <c r="B8031"/>
      <c r="H8031"/>
      <c r="I8031" s="17"/>
      <c r="J8031" s="17"/>
      <c r="K8031" s="17"/>
    </row>
    <row r="8032" spans="1:11" x14ac:dyDescent="0.2">
      <c r="A8032"/>
      <c r="B8032"/>
      <c r="H8032"/>
      <c r="I8032" s="17"/>
      <c r="J8032" s="17"/>
      <c r="K8032" s="17"/>
    </row>
    <row r="8033" spans="1:11" x14ac:dyDescent="0.2">
      <c r="A8033"/>
      <c r="B8033"/>
      <c r="H8033"/>
      <c r="I8033" s="17"/>
      <c r="J8033" s="17"/>
      <c r="K8033" s="17"/>
    </row>
    <row r="8034" spans="1:11" x14ac:dyDescent="0.2">
      <c r="A8034"/>
      <c r="B8034"/>
      <c r="H8034"/>
      <c r="I8034" s="17"/>
      <c r="J8034" s="17"/>
      <c r="K8034" s="17"/>
    </row>
    <row r="8035" spans="1:11" x14ac:dyDescent="0.2">
      <c r="A8035"/>
      <c r="B8035"/>
      <c r="H8035"/>
      <c r="I8035" s="17"/>
      <c r="J8035" s="17"/>
      <c r="K8035" s="17"/>
    </row>
    <row r="8036" spans="1:11" x14ac:dyDescent="0.2">
      <c r="A8036"/>
      <c r="B8036"/>
      <c r="H8036"/>
      <c r="I8036" s="17"/>
      <c r="J8036" s="17"/>
      <c r="K8036" s="17"/>
    </row>
    <row r="8037" spans="1:11" x14ac:dyDescent="0.2">
      <c r="A8037"/>
      <c r="B8037"/>
      <c r="H8037"/>
      <c r="I8037" s="17"/>
      <c r="J8037" s="17"/>
      <c r="K8037" s="17"/>
    </row>
    <row r="8038" spans="1:11" x14ac:dyDescent="0.2">
      <c r="A8038"/>
      <c r="B8038"/>
      <c r="H8038"/>
      <c r="I8038" s="17"/>
      <c r="J8038" s="17"/>
      <c r="K8038" s="17"/>
    </row>
    <row r="8039" spans="1:11" x14ac:dyDescent="0.2">
      <c r="A8039"/>
      <c r="B8039"/>
      <c r="H8039"/>
      <c r="I8039" s="17"/>
      <c r="J8039" s="17"/>
      <c r="K8039" s="17"/>
    </row>
    <row r="8040" spans="1:11" x14ac:dyDescent="0.2">
      <c r="A8040"/>
      <c r="B8040"/>
      <c r="H8040"/>
      <c r="I8040" s="17"/>
      <c r="J8040" s="17"/>
      <c r="K8040" s="17"/>
    </row>
    <row r="8041" spans="1:11" x14ac:dyDescent="0.2">
      <c r="A8041"/>
      <c r="B8041"/>
      <c r="H8041"/>
      <c r="I8041" s="17"/>
      <c r="J8041" s="17"/>
      <c r="K8041" s="17"/>
    </row>
    <row r="8042" spans="1:11" x14ac:dyDescent="0.2">
      <c r="A8042"/>
      <c r="B8042"/>
      <c r="H8042"/>
      <c r="I8042" s="17"/>
      <c r="J8042" s="17"/>
      <c r="K8042" s="17"/>
    </row>
    <row r="8043" spans="1:11" x14ac:dyDescent="0.2">
      <c r="A8043"/>
      <c r="B8043"/>
      <c r="H8043"/>
      <c r="I8043" s="17"/>
      <c r="J8043" s="17"/>
      <c r="K8043" s="17"/>
    </row>
    <row r="8044" spans="1:11" x14ac:dyDescent="0.2">
      <c r="A8044"/>
      <c r="B8044"/>
      <c r="H8044"/>
      <c r="I8044" s="17"/>
      <c r="J8044" s="17"/>
      <c r="K8044" s="17"/>
    </row>
    <row r="8045" spans="1:11" x14ac:dyDescent="0.2">
      <c r="A8045"/>
      <c r="B8045"/>
      <c r="H8045"/>
      <c r="I8045" s="17"/>
      <c r="J8045" s="17"/>
      <c r="K8045" s="17"/>
    </row>
    <row r="8046" spans="1:11" x14ac:dyDescent="0.2">
      <c r="A8046"/>
      <c r="B8046"/>
      <c r="H8046"/>
      <c r="I8046" s="17"/>
      <c r="J8046" s="17"/>
      <c r="K8046" s="17"/>
    </row>
    <row r="8047" spans="1:11" x14ac:dyDescent="0.2">
      <c r="A8047"/>
      <c r="B8047"/>
      <c r="H8047"/>
      <c r="I8047" s="17"/>
      <c r="J8047" s="17"/>
      <c r="K8047" s="17"/>
    </row>
    <row r="8048" spans="1:11" x14ac:dyDescent="0.2">
      <c r="A8048"/>
      <c r="B8048"/>
      <c r="H8048"/>
      <c r="I8048" s="17"/>
      <c r="J8048" s="17"/>
      <c r="K8048" s="17"/>
    </row>
    <row r="8049" spans="1:11" x14ac:dyDescent="0.2">
      <c r="A8049"/>
      <c r="B8049"/>
      <c r="H8049"/>
      <c r="I8049" s="17"/>
      <c r="J8049" s="17"/>
      <c r="K8049" s="17"/>
    </row>
    <row r="8050" spans="1:11" x14ac:dyDescent="0.2">
      <c r="A8050"/>
      <c r="B8050"/>
      <c r="H8050"/>
      <c r="I8050" s="17"/>
      <c r="J8050" s="17"/>
      <c r="K8050" s="17"/>
    </row>
    <row r="8051" spans="1:11" x14ac:dyDescent="0.2">
      <c r="A8051"/>
      <c r="B8051"/>
      <c r="H8051"/>
      <c r="I8051" s="17"/>
      <c r="J8051" s="17"/>
      <c r="K8051" s="17"/>
    </row>
    <row r="8052" spans="1:11" x14ac:dyDescent="0.2">
      <c r="A8052"/>
      <c r="B8052"/>
      <c r="H8052"/>
      <c r="I8052" s="17"/>
      <c r="J8052" s="17"/>
      <c r="K8052" s="17"/>
    </row>
    <row r="8053" spans="1:11" x14ac:dyDescent="0.2">
      <c r="A8053"/>
      <c r="B8053"/>
      <c r="H8053"/>
      <c r="I8053" s="17"/>
      <c r="J8053" s="17"/>
      <c r="K8053" s="17"/>
    </row>
    <row r="8054" spans="1:11" x14ac:dyDescent="0.2">
      <c r="A8054"/>
      <c r="B8054"/>
      <c r="H8054"/>
      <c r="I8054" s="17"/>
      <c r="J8054" s="17"/>
      <c r="K8054" s="17"/>
    </row>
    <row r="8055" spans="1:11" x14ac:dyDescent="0.2">
      <c r="A8055"/>
      <c r="B8055"/>
      <c r="H8055"/>
      <c r="I8055" s="17"/>
      <c r="J8055" s="17"/>
      <c r="K8055" s="17"/>
    </row>
    <row r="8056" spans="1:11" x14ac:dyDescent="0.2">
      <c r="A8056"/>
      <c r="B8056"/>
      <c r="H8056"/>
      <c r="I8056" s="17"/>
      <c r="J8056" s="17"/>
      <c r="K8056" s="17"/>
    </row>
    <row r="8057" spans="1:11" x14ac:dyDescent="0.2">
      <c r="A8057"/>
      <c r="B8057"/>
      <c r="H8057"/>
      <c r="I8057" s="17"/>
      <c r="J8057" s="17"/>
      <c r="K8057" s="17"/>
    </row>
    <row r="8058" spans="1:11" x14ac:dyDescent="0.2">
      <c r="A8058"/>
      <c r="B8058"/>
      <c r="H8058"/>
      <c r="I8058" s="17"/>
      <c r="J8058" s="17"/>
      <c r="K8058" s="17"/>
    </row>
    <row r="8059" spans="1:11" x14ac:dyDescent="0.2">
      <c r="A8059"/>
      <c r="B8059"/>
      <c r="H8059"/>
      <c r="I8059" s="17"/>
      <c r="J8059" s="17"/>
      <c r="K8059" s="17"/>
    </row>
    <row r="8060" spans="1:11" x14ac:dyDescent="0.2">
      <c r="A8060"/>
      <c r="B8060"/>
      <c r="H8060"/>
      <c r="I8060" s="17"/>
      <c r="J8060" s="17"/>
      <c r="K8060" s="17"/>
    </row>
    <row r="8061" spans="1:11" x14ac:dyDescent="0.2">
      <c r="A8061"/>
      <c r="B8061"/>
      <c r="H8061"/>
      <c r="I8061" s="17"/>
      <c r="J8061" s="17"/>
      <c r="K8061" s="17"/>
    </row>
    <row r="8062" spans="1:11" x14ac:dyDescent="0.2">
      <c r="A8062"/>
      <c r="B8062"/>
      <c r="H8062"/>
      <c r="I8062" s="17"/>
      <c r="J8062" s="17"/>
      <c r="K8062" s="17"/>
    </row>
    <row r="8063" spans="1:11" x14ac:dyDescent="0.2">
      <c r="A8063"/>
      <c r="B8063"/>
      <c r="H8063"/>
      <c r="I8063" s="17"/>
      <c r="J8063" s="17"/>
      <c r="K8063" s="17"/>
    </row>
    <row r="8064" spans="1:11" x14ac:dyDescent="0.2">
      <c r="A8064"/>
      <c r="B8064"/>
      <c r="H8064"/>
      <c r="I8064" s="17"/>
      <c r="J8064" s="17"/>
      <c r="K8064" s="17"/>
    </row>
    <row r="8065" spans="1:11" x14ac:dyDescent="0.2">
      <c r="A8065"/>
      <c r="B8065"/>
      <c r="H8065"/>
      <c r="I8065" s="17"/>
      <c r="J8065" s="17"/>
      <c r="K8065" s="17"/>
    </row>
    <row r="8066" spans="1:11" x14ac:dyDescent="0.2">
      <c r="A8066"/>
      <c r="B8066"/>
      <c r="H8066"/>
      <c r="I8066" s="17"/>
      <c r="J8066" s="17"/>
      <c r="K8066" s="17"/>
    </row>
    <row r="8067" spans="1:11" x14ac:dyDescent="0.2">
      <c r="A8067"/>
      <c r="B8067"/>
      <c r="H8067"/>
      <c r="I8067" s="17"/>
      <c r="J8067" s="17"/>
      <c r="K8067" s="17"/>
    </row>
    <row r="8068" spans="1:11" x14ac:dyDescent="0.2">
      <c r="A8068"/>
      <c r="B8068"/>
      <c r="H8068"/>
      <c r="I8068" s="17"/>
      <c r="J8068" s="17"/>
      <c r="K8068" s="17"/>
    </row>
    <row r="8069" spans="1:11" x14ac:dyDescent="0.2">
      <c r="A8069"/>
      <c r="B8069"/>
      <c r="H8069"/>
      <c r="I8069" s="17"/>
      <c r="J8069" s="17"/>
      <c r="K8069" s="17"/>
    </row>
    <row r="8070" spans="1:11" x14ac:dyDescent="0.2">
      <c r="A8070"/>
      <c r="B8070"/>
      <c r="H8070"/>
      <c r="I8070" s="17"/>
      <c r="J8070" s="17"/>
      <c r="K8070" s="17"/>
    </row>
    <row r="8071" spans="1:11" x14ac:dyDescent="0.2">
      <c r="A8071"/>
      <c r="B8071"/>
      <c r="H8071"/>
      <c r="I8071" s="17"/>
      <c r="J8071" s="17"/>
      <c r="K8071" s="17"/>
    </row>
    <row r="8072" spans="1:11" x14ac:dyDescent="0.2">
      <c r="A8072"/>
      <c r="B8072"/>
      <c r="H8072"/>
      <c r="I8072" s="17"/>
      <c r="J8072" s="17"/>
      <c r="K8072" s="17"/>
    </row>
    <row r="8073" spans="1:11" x14ac:dyDescent="0.2">
      <c r="A8073"/>
      <c r="B8073"/>
      <c r="H8073"/>
      <c r="I8073" s="17"/>
      <c r="J8073" s="17"/>
      <c r="K8073" s="17"/>
    </row>
    <row r="8074" spans="1:11" x14ac:dyDescent="0.2">
      <c r="A8074"/>
      <c r="B8074"/>
      <c r="H8074"/>
      <c r="I8074" s="17"/>
      <c r="J8074" s="17"/>
      <c r="K8074" s="17"/>
    </row>
    <row r="8075" spans="1:11" x14ac:dyDescent="0.2">
      <c r="A8075"/>
      <c r="B8075"/>
      <c r="H8075"/>
      <c r="I8075" s="17"/>
      <c r="J8075" s="17"/>
      <c r="K8075" s="17"/>
    </row>
    <row r="8076" spans="1:11" x14ac:dyDescent="0.2">
      <c r="A8076"/>
      <c r="B8076"/>
      <c r="H8076"/>
      <c r="I8076" s="17"/>
      <c r="J8076" s="17"/>
      <c r="K8076" s="17"/>
    </row>
    <row r="8077" spans="1:11" x14ac:dyDescent="0.2">
      <c r="A8077"/>
      <c r="B8077"/>
      <c r="H8077"/>
      <c r="I8077" s="17"/>
      <c r="J8077" s="17"/>
      <c r="K8077" s="17"/>
    </row>
    <row r="8078" spans="1:11" x14ac:dyDescent="0.2">
      <c r="A8078"/>
      <c r="B8078"/>
      <c r="H8078"/>
      <c r="I8078" s="17"/>
      <c r="J8078" s="17"/>
      <c r="K8078" s="17"/>
    </row>
    <row r="8079" spans="1:11" x14ac:dyDescent="0.2">
      <c r="A8079"/>
      <c r="B8079"/>
      <c r="H8079"/>
      <c r="I8079" s="17"/>
      <c r="J8079" s="17"/>
      <c r="K8079" s="17"/>
    </row>
    <row r="8080" spans="1:11" x14ac:dyDescent="0.2">
      <c r="A8080"/>
      <c r="B8080"/>
      <c r="H8080"/>
      <c r="I8080" s="17"/>
      <c r="J8080" s="17"/>
      <c r="K8080" s="17"/>
    </row>
    <row r="8081" spans="1:11" x14ac:dyDescent="0.2">
      <c r="A8081"/>
      <c r="B8081"/>
      <c r="H8081"/>
      <c r="I8081" s="17"/>
      <c r="J8081" s="17"/>
      <c r="K8081" s="17"/>
    </row>
    <row r="8082" spans="1:11" x14ac:dyDescent="0.2">
      <c r="A8082"/>
      <c r="B8082"/>
      <c r="H8082"/>
      <c r="I8082" s="17"/>
      <c r="J8082" s="17"/>
      <c r="K8082" s="17"/>
    </row>
    <row r="8083" spans="1:11" x14ac:dyDescent="0.2">
      <c r="A8083"/>
      <c r="B8083"/>
      <c r="H8083"/>
      <c r="I8083" s="17"/>
      <c r="J8083" s="17"/>
      <c r="K8083" s="17"/>
    </row>
    <row r="8084" spans="1:11" x14ac:dyDescent="0.2">
      <c r="A8084"/>
      <c r="B8084"/>
      <c r="H8084"/>
      <c r="I8084" s="17"/>
      <c r="J8084" s="17"/>
      <c r="K8084" s="17"/>
    </row>
    <row r="8085" spans="1:11" x14ac:dyDescent="0.2">
      <c r="A8085"/>
      <c r="B8085"/>
      <c r="H8085"/>
      <c r="I8085" s="17"/>
      <c r="J8085" s="17"/>
      <c r="K8085" s="17"/>
    </row>
    <row r="8086" spans="1:11" x14ac:dyDescent="0.2">
      <c r="A8086"/>
      <c r="B8086"/>
      <c r="H8086"/>
      <c r="I8086" s="17"/>
      <c r="J8086" s="17"/>
      <c r="K8086" s="17"/>
    </row>
    <row r="8087" spans="1:11" x14ac:dyDescent="0.2">
      <c r="A8087"/>
      <c r="B8087"/>
      <c r="H8087"/>
      <c r="I8087" s="17"/>
      <c r="J8087" s="17"/>
      <c r="K8087" s="17"/>
    </row>
    <row r="8088" spans="1:11" x14ac:dyDescent="0.2">
      <c r="A8088"/>
      <c r="B8088"/>
      <c r="H8088"/>
      <c r="I8088" s="17"/>
      <c r="J8088" s="17"/>
      <c r="K8088" s="17"/>
    </row>
    <row r="8089" spans="1:11" x14ac:dyDescent="0.2">
      <c r="A8089"/>
      <c r="B8089"/>
      <c r="H8089"/>
      <c r="I8089" s="17"/>
      <c r="J8089" s="17"/>
      <c r="K8089" s="17"/>
    </row>
    <row r="8090" spans="1:11" x14ac:dyDescent="0.2">
      <c r="A8090"/>
      <c r="B8090"/>
      <c r="H8090"/>
      <c r="I8090" s="17"/>
      <c r="J8090" s="17"/>
      <c r="K8090" s="17"/>
    </row>
    <row r="8091" spans="1:11" x14ac:dyDescent="0.2">
      <c r="A8091"/>
      <c r="B8091"/>
      <c r="H8091"/>
      <c r="I8091" s="17"/>
      <c r="J8091" s="17"/>
      <c r="K8091" s="17"/>
    </row>
    <row r="8092" spans="1:11" x14ac:dyDescent="0.2">
      <c r="A8092"/>
      <c r="B8092"/>
      <c r="H8092"/>
      <c r="I8092" s="17"/>
      <c r="J8092" s="17"/>
      <c r="K8092" s="17"/>
    </row>
    <row r="8093" spans="1:11" x14ac:dyDescent="0.2">
      <c r="A8093"/>
      <c r="B8093"/>
      <c r="H8093"/>
      <c r="I8093" s="17"/>
      <c r="J8093" s="17"/>
      <c r="K8093" s="17"/>
    </row>
    <row r="8094" spans="1:11" x14ac:dyDescent="0.2">
      <c r="A8094"/>
      <c r="B8094"/>
      <c r="H8094"/>
      <c r="I8094" s="17"/>
      <c r="J8094" s="17"/>
      <c r="K8094" s="17"/>
    </row>
    <row r="8095" spans="1:11" x14ac:dyDescent="0.2">
      <c r="A8095"/>
      <c r="B8095"/>
      <c r="H8095"/>
      <c r="I8095" s="17"/>
      <c r="J8095" s="17"/>
      <c r="K8095" s="17"/>
    </row>
    <row r="8096" spans="1:11" x14ac:dyDescent="0.2">
      <c r="A8096"/>
      <c r="B8096"/>
      <c r="H8096"/>
      <c r="I8096" s="17"/>
      <c r="J8096" s="17"/>
      <c r="K8096" s="17"/>
    </row>
    <row r="8097" spans="1:11" x14ac:dyDescent="0.2">
      <c r="A8097"/>
      <c r="B8097"/>
      <c r="H8097"/>
      <c r="I8097" s="17"/>
      <c r="J8097" s="17"/>
      <c r="K8097" s="17"/>
    </row>
    <row r="8098" spans="1:11" x14ac:dyDescent="0.2">
      <c r="A8098"/>
      <c r="B8098"/>
      <c r="H8098"/>
      <c r="I8098" s="17"/>
      <c r="J8098" s="17"/>
      <c r="K8098" s="17"/>
    </row>
    <row r="8099" spans="1:11" x14ac:dyDescent="0.2">
      <c r="A8099"/>
      <c r="B8099"/>
      <c r="H8099"/>
      <c r="I8099" s="17"/>
      <c r="J8099" s="17"/>
      <c r="K8099" s="17"/>
    </row>
    <row r="8100" spans="1:11" x14ac:dyDescent="0.2">
      <c r="A8100"/>
      <c r="B8100"/>
      <c r="H8100"/>
      <c r="I8100" s="17"/>
      <c r="J8100" s="17"/>
      <c r="K8100" s="17"/>
    </row>
    <row r="8101" spans="1:11" x14ac:dyDescent="0.2">
      <c r="A8101"/>
      <c r="B8101"/>
      <c r="H8101"/>
      <c r="I8101" s="17"/>
      <c r="J8101" s="17"/>
      <c r="K8101" s="17"/>
    </row>
    <row r="8102" spans="1:11" x14ac:dyDescent="0.2">
      <c r="A8102"/>
      <c r="B8102"/>
      <c r="H8102"/>
      <c r="I8102" s="17"/>
      <c r="J8102" s="17"/>
      <c r="K8102" s="17"/>
    </row>
    <row r="8103" spans="1:11" x14ac:dyDescent="0.2">
      <c r="A8103"/>
      <c r="B8103"/>
      <c r="H8103"/>
      <c r="I8103" s="17"/>
      <c r="J8103" s="17"/>
      <c r="K8103" s="17"/>
    </row>
    <row r="8104" spans="1:11" x14ac:dyDescent="0.2">
      <c r="A8104"/>
      <c r="B8104"/>
      <c r="H8104"/>
      <c r="I8104" s="17"/>
      <c r="J8104" s="17"/>
      <c r="K8104" s="17"/>
    </row>
    <row r="8105" spans="1:11" x14ac:dyDescent="0.2">
      <c r="A8105"/>
      <c r="B8105"/>
      <c r="H8105"/>
      <c r="I8105" s="17"/>
      <c r="J8105" s="17"/>
      <c r="K8105" s="17"/>
    </row>
    <row r="8106" spans="1:11" x14ac:dyDescent="0.2">
      <c r="A8106"/>
      <c r="B8106"/>
      <c r="H8106"/>
      <c r="I8106" s="17"/>
      <c r="J8106" s="17"/>
      <c r="K8106" s="17"/>
    </row>
    <row r="8107" spans="1:11" x14ac:dyDescent="0.2">
      <c r="A8107"/>
      <c r="B8107"/>
      <c r="H8107"/>
      <c r="I8107" s="17"/>
      <c r="J8107" s="17"/>
      <c r="K8107" s="17"/>
    </row>
    <row r="8108" spans="1:11" x14ac:dyDescent="0.2">
      <c r="A8108"/>
      <c r="B8108"/>
      <c r="H8108"/>
      <c r="I8108" s="17"/>
      <c r="J8108" s="17"/>
      <c r="K8108" s="17"/>
    </row>
    <row r="8109" spans="1:11" x14ac:dyDescent="0.2">
      <c r="A8109"/>
      <c r="B8109"/>
      <c r="H8109"/>
      <c r="I8109" s="17"/>
      <c r="J8109" s="17"/>
      <c r="K8109" s="17"/>
    </row>
    <row r="8110" spans="1:11" x14ac:dyDescent="0.2">
      <c r="A8110"/>
      <c r="B8110"/>
      <c r="H8110"/>
      <c r="I8110" s="17"/>
      <c r="J8110" s="17"/>
      <c r="K8110" s="17"/>
    </row>
    <row r="8111" spans="1:11" x14ac:dyDescent="0.2">
      <c r="A8111"/>
      <c r="B8111"/>
      <c r="H8111"/>
      <c r="I8111" s="17"/>
      <c r="J8111" s="17"/>
      <c r="K8111" s="17"/>
    </row>
    <row r="8112" spans="1:11" x14ac:dyDescent="0.2">
      <c r="A8112"/>
      <c r="B8112"/>
      <c r="H8112"/>
      <c r="I8112" s="17"/>
      <c r="J8112" s="17"/>
      <c r="K8112" s="17"/>
    </row>
    <row r="8113" spans="1:11" x14ac:dyDescent="0.2">
      <c r="A8113"/>
      <c r="B8113"/>
      <c r="H8113"/>
      <c r="I8113" s="17"/>
      <c r="J8113" s="17"/>
      <c r="K8113" s="17"/>
    </row>
    <row r="8114" spans="1:11" x14ac:dyDescent="0.2">
      <c r="A8114"/>
      <c r="B8114"/>
      <c r="H8114"/>
      <c r="I8114" s="17"/>
      <c r="J8114" s="17"/>
      <c r="K8114" s="17"/>
    </row>
    <row r="8115" spans="1:11" x14ac:dyDescent="0.2">
      <c r="A8115"/>
      <c r="B8115"/>
      <c r="H8115"/>
      <c r="I8115" s="17"/>
      <c r="J8115" s="17"/>
      <c r="K8115" s="17"/>
    </row>
    <row r="8116" spans="1:11" x14ac:dyDescent="0.2">
      <c r="A8116"/>
      <c r="B8116"/>
      <c r="H8116"/>
      <c r="I8116" s="17"/>
      <c r="J8116" s="17"/>
      <c r="K8116" s="17"/>
    </row>
    <row r="8117" spans="1:11" x14ac:dyDescent="0.2">
      <c r="A8117"/>
      <c r="B8117"/>
      <c r="H8117"/>
      <c r="I8117" s="17"/>
      <c r="J8117" s="17"/>
      <c r="K8117" s="17"/>
    </row>
    <row r="8118" spans="1:11" x14ac:dyDescent="0.2">
      <c r="A8118"/>
      <c r="B8118"/>
      <c r="H8118"/>
      <c r="I8118" s="17"/>
      <c r="J8118" s="17"/>
      <c r="K8118" s="17"/>
    </row>
    <row r="8119" spans="1:11" x14ac:dyDescent="0.2">
      <c r="A8119"/>
      <c r="B8119"/>
      <c r="H8119"/>
      <c r="I8119" s="17"/>
      <c r="J8119" s="17"/>
      <c r="K8119" s="17"/>
    </row>
    <row r="8120" spans="1:11" x14ac:dyDescent="0.2">
      <c r="A8120"/>
      <c r="B8120"/>
      <c r="H8120"/>
      <c r="I8120" s="17"/>
      <c r="J8120" s="17"/>
      <c r="K8120" s="17"/>
    </row>
    <row r="8121" spans="1:11" x14ac:dyDescent="0.2">
      <c r="A8121"/>
      <c r="B8121"/>
      <c r="H8121"/>
      <c r="I8121" s="17"/>
      <c r="J8121" s="17"/>
      <c r="K8121" s="17"/>
    </row>
    <row r="8122" spans="1:11" x14ac:dyDescent="0.2">
      <c r="A8122"/>
      <c r="B8122"/>
      <c r="H8122"/>
      <c r="I8122" s="17"/>
      <c r="J8122" s="17"/>
      <c r="K8122" s="17"/>
    </row>
    <row r="8123" spans="1:11" x14ac:dyDescent="0.2">
      <c r="A8123"/>
      <c r="B8123"/>
      <c r="H8123"/>
      <c r="I8123" s="17"/>
      <c r="J8123" s="17"/>
      <c r="K8123" s="17"/>
    </row>
    <row r="8124" spans="1:11" x14ac:dyDescent="0.2">
      <c r="A8124"/>
      <c r="B8124"/>
      <c r="H8124"/>
      <c r="I8124" s="17"/>
      <c r="J8124" s="17"/>
      <c r="K8124" s="17"/>
    </row>
    <row r="8125" spans="1:11" x14ac:dyDescent="0.2">
      <c r="A8125"/>
      <c r="B8125"/>
      <c r="H8125"/>
      <c r="I8125" s="17"/>
      <c r="J8125" s="17"/>
      <c r="K8125" s="17"/>
    </row>
    <row r="8126" spans="1:11" x14ac:dyDescent="0.2">
      <c r="A8126"/>
      <c r="B8126"/>
      <c r="H8126"/>
      <c r="I8126" s="17"/>
      <c r="J8126" s="17"/>
      <c r="K8126" s="17"/>
    </row>
    <row r="8127" spans="1:11" x14ac:dyDescent="0.2">
      <c r="A8127"/>
      <c r="B8127"/>
      <c r="H8127"/>
      <c r="I8127" s="17"/>
      <c r="J8127" s="17"/>
      <c r="K8127" s="17"/>
    </row>
    <row r="8128" spans="1:11" x14ac:dyDescent="0.2">
      <c r="A8128"/>
      <c r="B8128"/>
      <c r="H8128"/>
      <c r="I8128" s="17"/>
      <c r="J8128" s="17"/>
      <c r="K8128" s="17"/>
    </row>
    <row r="8129" spans="1:11" x14ac:dyDescent="0.2">
      <c r="A8129"/>
      <c r="B8129"/>
      <c r="H8129"/>
      <c r="I8129" s="17"/>
      <c r="J8129" s="17"/>
      <c r="K8129" s="17"/>
    </row>
    <row r="8130" spans="1:11" x14ac:dyDescent="0.2">
      <c r="A8130"/>
      <c r="B8130"/>
      <c r="H8130"/>
      <c r="I8130" s="17"/>
      <c r="J8130" s="17"/>
      <c r="K8130" s="17"/>
    </row>
    <row r="8131" spans="1:11" x14ac:dyDescent="0.2">
      <c r="A8131"/>
      <c r="B8131"/>
      <c r="H8131"/>
      <c r="I8131" s="17"/>
      <c r="J8131" s="17"/>
      <c r="K8131" s="17"/>
    </row>
    <row r="8132" spans="1:11" x14ac:dyDescent="0.2">
      <c r="A8132"/>
      <c r="B8132"/>
      <c r="H8132"/>
      <c r="I8132" s="17"/>
      <c r="J8132" s="17"/>
      <c r="K8132" s="17"/>
    </row>
    <row r="8133" spans="1:11" x14ac:dyDescent="0.2">
      <c r="A8133"/>
      <c r="B8133"/>
      <c r="H8133"/>
      <c r="I8133" s="17"/>
      <c r="J8133" s="17"/>
      <c r="K8133" s="17"/>
    </row>
    <row r="8134" spans="1:11" x14ac:dyDescent="0.2">
      <c r="A8134"/>
      <c r="B8134"/>
      <c r="H8134"/>
      <c r="I8134" s="17"/>
      <c r="J8134" s="17"/>
      <c r="K8134" s="17"/>
    </row>
    <row r="8135" spans="1:11" x14ac:dyDescent="0.2">
      <c r="A8135"/>
      <c r="B8135"/>
      <c r="H8135"/>
      <c r="I8135" s="17"/>
      <c r="J8135" s="17"/>
      <c r="K8135" s="17"/>
    </row>
    <row r="8136" spans="1:11" x14ac:dyDescent="0.2">
      <c r="A8136"/>
      <c r="B8136"/>
      <c r="H8136"/>
      <c r="I8136" s="17"/>
      <c r="J8136" s="17"/>
      <c r="K8136" s="17"/>
    </row>
    <row r="8137" spans="1:11" x14ac:dyDescent="0.2">
      <c r="A8137"/>
      <c r="B8137"/>
      <c r="H8137"/>
      <c r="I8137" s="17"/>
      <c r="J8137" s="17"/>
      <c r="K8137" s="17"/>
    </row>
    <row r="8138" spans="1:11" x14ac:dyDescent="0.2">
      <c r="A8138"/>
      <c r="B8138"/>
      <c r="H8138"/>
      <c r="I8138" s="17"/>
      <c r="J8138" s="17"/>
      <c r="K8138" s="17"/>
    </row>
    <row r="8139" spans="1:11" x14ac:dyDescent="0.2">
      <c r="A8139"/>
      <c r="B8139"/>
      <c r="H8139"/>
      <c r="I8139" s="17"/>
      <c r="J8139" s="17"/>
      <c r="K8139" s="17"/>
    </row>
    <row r="8140" spans="1:11" x14ac:dyDescent="0.2">
      <c r="A8140"/>
      <c r="B8140"/>
      <c r="H8140"/>
      <c r="I8140" s="17"/>
      <c r="J8140" s="17"/>
      <c r="K8140" s="17"/>
    </row>
    <row r="8141" spans="1:11" x14ac:dyDescent="0.2">
      <c r="A8141"/>
      <c r="B8141"/>
      <c r="H8141"/>
      <c r="I8141" s="17"/>
      <c r="J8141" s="17"/>
      <c r="K8141" s="17"/>
    </row>
    <row r="8142" spans="1:11" x14ac:dyDescent="0.2">
      <c r="A8142"/>
      <c r="B8142"/>
      <c r="H8142"/>
      <c r="I8142" s="17"/>
      <c r="J8142" s="17"/>
      <c r="K8142" s="17"/>
    </row>
    <row r="8143" spans="1:11" x14ac:dyDescent="0.2">
      <c r="A8143"/>
      <c r="B8143"/>
      <c r="H8143"/>
      <c r="I8143" s="17"/>
      <c r="J8143" s="17"/>
      <c r="K8143" s="17"/>
    </row>
    <row r="8144" spans="1:11" x14ac:dyDescent="0.2">
      <c r="A8144"/>
      <c r="B8144"/>
      <c r="H8144"/>
      <c r="I8144" s="17"/>
      <c r="J8144" s="17"/>
      <c r="K8144" s="17"/>
    </row>
    <row r="8145" spans="1:11" x14ac:dyDescent="0.2">
      <c r="A8145"/>
      <c r="B8145"/>
      <c r="H8145"/>
      <c r="I8145" s="17"/>
      <c r="J8145" s="17"/>
      <c r="K8145" s="17"/>
    </row>
    <row r="8146" spans="1:11" x14ac:dyDescent="0.2">
      <c r="A8146"/>
      <c r="B8146"/>
      <c r="H8146"/>
      <c r="I8146" s="17"/>
      <c r="J8146" s="17"/>
      <c r="K8146" s="17"/>
    </row>
    <row r="8147" spans="1:11" x14ac:dyDescent="0.2">
      <c r="A8147"/>
      <c r="B8147"/>
      <c r="H8147"/>
      <c r="I8147" s="17"/>
      <c r="J8147" s="17"/>
      <c r="K8147" s="17"/>
    </row>
    <row r="8148" spans="1:11" x14ac:dyDescent="0.2">
      <c r="A8148"/>
      <c r="B8148"/>
      <c r="H8148"/>
      <c r="I8148" s="17"/>
      <c r="J8148" s="17"/>
      <c r="K8148" s="17"/>
    </row>
    <row r="8149" spans="1:11" x14ac:dyDescent="0.2">
      <c r="A8149"/>
      <c r="B8149"/>
      <c r="H8149"/>
      <c r="I8149" s="17"/>
      <c r="J8149" s="17"/>
      <c r="K8149" s="17"/>
    </row>
    <row r="8150" spans="1:11" x14ac:dyDescent="0.2">
      <c r="A8150"/>
      <c r="B8150"/>
      <c r="H8150"/>
      <c r="I8150" s="17"/>
      <c r="J8150" s="17"/>
      <c r="K8150" s="17"/>
    </row>
    <row r="8151" spans="1:11" x14ac:dyDescent="0.2">
      <c r="A8151"/>
      <c r="B8151"/>
      <c r="H8151"/>
      <c r="I8151" s="17"/>
      <c r="J8151" s="17"/>
      <c r="K8151" s="17"/>
    </row>
    <row r="8152" spans="1:11" x14ac:dyDescent="0.2">
      <c r="A8152"/>
      <c r="B8152"/>
      <c r="H8152"/>
      <c r="I8152" s="17"/>
      <c r="J8152" s="17"/>
      <c r="K8152" s="17"/>
    </row>
    <row r="8153" spans="1:11" x14ac:dyDescent="0.2">
      <c r="A8153"/>
      <c r="B8153"/>
      <c r="H8153"/>
      <c r="I8153" s="17"/>
      <c r="J8153" s="17"/>
      <c r="K8153" s="17"/>
    </row>
    <row r="8154" spans="1:11" x14ac:dyDescent="0.2">
      <c r="A8154"/>
      <c r="B8154"/>
      <c r="H8154"/>
      <c r="I8154" s="17"/>
      <c r="J8154" s="17"/>
      <c r="K8154" s="17"/>
    </row>
    <row r="8155" spans="1:11" x14ac:dyDescent="0.2">
      <c r="A8155"/>
      <c r="B8155"/>
      <c r="H8155"/>
      <c r="I8155" s="17"/>
      <c r="J8155" s="17"/>
      <c r="K8155" s="17"/>
    </row>
    <row r="8156" spans="1:11" x14ac:dyDescent="0.2">
      <c r="A8156"/>
      <c r="B8156"/>
      <c r="H8156"/>
      <c r="I8156" s="17"/>
      <c r="J8156" s="17"/>
      <c r="K8156" s="17"/>
    </row>
    <row r="8157" spans="1:11" x14ac:dyDescent="0.2">
      <c r="A8157"/>
      <c r="B8157"/>
      <c r="H8157"/>
      <c r="I8157" s="17"/>
      <c r="J8157" s="17"/>
      <c r="K8157" s="17"/>
    </row>
    <row r="8158" spans="1:11" x14ac:dyDescent="0.2">
      <c r="A8158"/>
      <c r="B8158"/>
      <c r="H8158"/>
      <c r="I8158" s="17"/>
      <c r="J8158" s="17"/>
      <c r="K8158" s="17"/>
    </row>
    <row r="8159" spans="1:11" x14ac:dyDescent="0.2">
      <c r="A8159"/>
      <c r="B8159"/>
      <c r="H8159"/>
      <c r="I8159" s="17"/>
      <c r="J8159" s="17"/>
      <c r="K8159" s="17"/>
    </row>
    <row r="8160" spans="1:11" x14ac:dyDescent="0.2">
      <c r="A8160"/>
      <c r="B8160"/>
      <c r="H8160"/>
      <c r="I8160" s="17"/>
      <c r="J8160" s="17"/>
      <c r="K8160" s="17"/>
    </row>
    <row r="8161" spans="1:11" x14ac:dyDescent="0.2">
      <c r="A8161"/>
      <c r="B8161"/>
      <c r="H8161"/>
      <c r="I8161" s="17"/>
      <c r="J8161" s="17"/>
      <c r="K8161" s="17"/>
    </row>
    <row r="8162" spans="1:11" x14ac:dyDescent="0.2">
      <c r="A8162"/>
      <c r="B8162"/>
      <c r="H8162"/>
      <c r="I8162" s="17"/>
      <c r="J8162" s="17"/>
      <c r="K8162" s="17"/>
    </row>
    <row r="8163" spans="1:11" x14ac:dyDescent="0.2">
      <c r="A8163"/>
      <c r="B8163"/>
      <c r="H8163"/>
      <c r="I8163" s="17"/>
      <c r="J8163" s="17"/>
      <c r="K8163" s="17"/>
    </row>
    <row r="8164" spans="1:11" x14ac:dyDescent="0.2">
      <c r="A8164"/>
      <c r="B8164"/>
      <c r="H8164"/>
      <c r="I8164" s="17"/>
      <c r="J8164" s="17"/>
      <c r="K8164" s="17"/>
    </row>
    <row r="8165" spans="1:11" x14ac:dyDescent="0.2">
      <c r="A8165"/>
      <c r="B8165"/>
      <c r="H8165"/>
      <c r="I8165" s="17"/>
      <c r="J8165" s="17"/>
      <c r="K8165" s="17"/>
    </row>
    <row r="8166" spans="1:11" x14ac:dyDescent="0.2">
      <c r="A8166"/>
      <c r="B8166"/>
      <c r="H8166"/>
      <c r="I8166" s="17"/>
      <c r="J8166" s="17"/>
      <c r="K8166" s="17"/>
    </row>
    <row r="8167" spans="1:11" x14ac:dyDescent="0.2">
      <c r="A8167"/>
      <c r="B8167"/>
      <c r="H8167"/>
      <c r="I8167" s="17"/>
      <c r="J8167" s="17"/>
      <c r="K8167" s="17"/>
    </row>
    <row r="8168" spans="1:11" x14ac:dyDescent="0.2">
      <c r="A8168"/>
      <c r="B8168"/>
      <c r="H8168"/>
      <c r="I8168" s="17"/>
      <c r="J8168" s="17"/>
      <c r="K8168" s="17"/>
    </row>
    <row r="8169" spans="1:11" x14ac:dyDescent="0.2">
      <c r="A8169"/>
      <c r="B8169"/>
      <c r="H8169"/>
      <c r="I8169" s="17"/>
      <c r="J8169" s="17"/>
      <c r="K8169" s="17"/>
    </row>
    <row r="8170" spans="1:11" x14ac:dyDescent="0.2">
      <c r="A8170"/>
      <c r="B8170"/>
      <c r="H8170"/>
      <c r="I8170" s="17"/>
      <c r="J8170" s="17"/>
      <c r="K8170" s="17"/>
    </row>
    <row r="8171" spans="1:11" x14ac:dyDescent="0.2">
      <c r="A8171"/>
      <c r="B8171"/>
      <c r="H8171"/>
      <c r="I8171" s="17"/>
      <c r="J8171" s="17"/>
      <c r="K8171" s="17"/>
    </row>
    <row r="8172" spans="1:11" x14ac:dyDescent="0.2">
      <c r="A8172"/>
      <c r="B8172"/>
      <c r="H8172"/>
      <c r="I8172" s="17"/>
      <c r="J8172" s="17"/>
      <c r="K8172" s="17"/>
    </row>
    <row r="8173" spans="1:11" x14ac:dyDescent="0.2">
      <c r="A8173"/>
      <c r="B8173"/>
      <c r="H8173"/>
      <c r="I8173" s="17"/>
      <c r="J8173" s="17"/>
      <c r="K8173" s="17"/>
    </row>
    <row r="8174" spans="1:11" x14ac:dyDescent="0.2">
      <c r="A8174"/>
      <c r="B8174"/>
      <c r="H8174"/>
      <c r="I8174" s="17"/>
      <c r="J8174" s="17"/>
      <c r="K8174" s="17"/>
    </row>
    <row r="8175" spans="1:11" x14ac:dyDescent="0.2">
      <c r="A8175"/>
      <c r="B8175"/>
      <c r="H8175"/>
      <c r="I8175" s="17"/>
      <c r="J8175" s="17"/>
      <c r="K8175" s="17"/>
    </row>
    <row r="8176" spans="1:11" x14ac:dyDescent="0.2">
      <c r="A8176"/>
      <c r="B8176"/>
      <c r="H8176"/>
      <c r="I8176" s="17"/>
      <c r="J8176" s="17"/>
      <c r="K8176" s="17"/>
    </row>
    <row r="8177" spans="1:11" x14ac:dyDescent="0.2">
      <c r="A8177"/>
      <c r="B8177"/>
      <c r="H8177"/>
      <c r="I8177" s="17"/>
      <c r="J8177" s="17"/>
      <c r="K8177" s="17"/>
    </row>
    <row r="8178" spans="1:11" x14ac:dyDescent="0.2">
      <c r="A8178"/>
      <c r="B8178"/>
      <c r="H8178"/>
      <c r="I8178" s="17"/>
      <c r="J8178" s="17"/>
      <c r="K8178" s="17"/>
    </row>
    <row r="8179" spans="1:11" x14ac:dyDescent="0.2">
      <c r="A8179"/>
      <c r="B8179"/>
      <c r="H8179"/>
      <c r="I8179" s="17"/>
      <c r="J8179" s="17"/>
      <c r="K8179" s="17"/>
    </row>
    <row r="8180" spans="1:11" x14ac:dyDescent="0.2">
      <c r="A8180"/>
      <c r="B8180"/>
      <c r="H8180"/>
      <c r="I8180" s="17"/>
      <c r="J8180" s="17"/>
      <c r="K8180" s="17"/>
    </row>
    <row r="8181" spans="1:11" x14ac:dyDescent="0.2">
      <c r="A8181"/>
      <c r="B8181"/>
      <c r="H8181"/>
      <c r="I8181" s="17"/>
      <c r="J8181" s="17"/>
      <c r="K8181" s="17"/>
    </row>
    <row r="8182" spans="1:11" x14ac:dyDescent="0.2">
      <c r="A8182"/>
      <c r="B8182"/>
      <c r="H8182"/>
      <c r="I8182" s="17"/>
      <c r="J8182" s="17"/>
      <c r="K8182" s="17"/>
    </row>
    <row r="8183" spans="1:11" x14ac:dyDescent="0.2">
      <c r="A8183"/>
      <c r="B8183"/>
      <c r="H8183"/>
      <c r="I8183" s="17"/>
      <c r="J8183" s="17"/>
      <c r="K8183" s="17"/>
    </row>
    <row r="8184" spans="1:11" x14ac:dyDescent="0.2">
      <c r="A8184"/>
      <c r="B8184"/>
      <c r="H8184"/>
      <c r="I8184" s="17"/>
      <c r="J8184" s="17"/>
      <c r="K8184" s="17"/>
    </row>
    <row r="8185" spans="1:11" x14ac:dyDescent="0.2">
      <c r="A8185"/>
      <c r="B8185"/>
      <c r="H8185"/>
      <c r="I8185" s="17"/>
      <c r="J8185" s="17"/>
      <c r="K8185" s="17"/>
    </row>
    <row r="8186" spans="1:11" x14ac:dyDescent="0.2">
      <c r="A8186"/>
      <c r="B8186"/>
      <c r="H8186"/>
      <c r="I8186" s="17"/>
      <c r="J8186" s="17"/>
      <c r="K8186" s="17"/>
    </row>
    <row r="8187" spans="1:11" x14ac:dyDescent="0.2">
      <c r="A8187"/>
      <c r="B8187"/>
      <c r="H8187"/>
      <c r="I8187" s="17"/>
      <c r="J8187" s="17"/>
      <c r="K8187" s="17"/>
    </row>
    <row r="8188" spans="1:11" x14ac:dyDescent="0.2">
      <c r="A8188"/>
      <c r="B8188"/>
      <c r="H8188"/>
      <c r="I8188" s="17"/>
      <c r="J8188" s="17"/>
      <c r="K8188" s="17"/>
    </row>
    <row r="8189" spans="1:11" x14ac:dyDescent="0.2">
      <c r="A8189"/>
      <c r="B8189"/>
      <c r="H8189"/>
      <c r="I8189" s="17"/>
      <c r="J8189" s="17"/>
      <c r="K8189" s="17"/>
    </row>
    <row r="8190" spans="1:11" x14ac:dyDescent="0.2">
      <c r="A8190"/>
      <c r="B8190"/>
      <c r="H8190"/>
      <c r="I8190" s="17"/>
      <c r="J8190" s="17"/>
      <c r="K8190" s="17"/>
    </row>
    <row r="8191" spans="1:11" x14ac:dyDescent="0.2">
      <c r="A8191"/>
      <c r="B8191"/>
      <c r="H8191"/>
      <c r="I8191" s="17"/>
      <c r="J8191" s="17"/>
      <c r="K8191" s="17"/>
    </row>
    <row r="8192" spans="1:11" x14ac:dyDescent="0.2">
      <c r="A8192"/>
      <c r="B8192"/>
      <c r="H8192"/>
      <c r="I8192" s="17"/>
      <c r="J8192" s="17"/>
      <c r="K8192" s="17"/>
    </row>
    <row r="8193" spans="1:11" x14ac:dyDescent="0.2">
      <c r="A8193"/>
      <c r="B8193"/>
      <c r="H8193"/>
      <c r="I8193" s="17"/>
      <c r="J8193" s="17"/>
      <c r="K8193" s="17"/>
    </row>
    <row r="8194" spans="1:11" x14ac:dyDescent="0.2">
      <c r="A8194"/>
      <c r="B8194"/>
      <c r="H8194"/>
      <c r="I8194" s="17"/>
      <c r="J8194" s="17"/>
      <c r="K8194" s="17"/>
    </row>
    <row r="8195" spans="1:11" x14ac:dyDescent="0.2">
      <c r="A8195"/>
      <c r="B8195"/>
      <c r="H8195"/>
      <c r="I8195" s="17"/>
      <c r="J8195" s="17"/>
      <c r="K8195" s="17"/>
    </row>
    <row r="8196" spans="1:11" x14ac:dyDescent="0.2">
      <c r="A8196"/>
      <c r="B8196"/>
      <c r="H8196"/>
      <c r="I8196" s="17"/>
      <c r="J8196" s="17"/>
      <c r="K8196" s="17"/>
    </row>
    <row r="8197" spans="1:11" x14ac:dyDescent="0.2">
      <c r="A8197"/>
      <c r="B8197"/>
      <c r="H8197"/>
      <c r="I8197" s="17"/>
      <c r="J8197" s="17"/>
      <c r="K8197" s="17"/>
    </row>
    <row r="8198" spans="1:11" x14ac:dyDescent="0.2">
      <c r="A8198"/>
      <c r="B8198"/>
      <c r="H8198"/>
      <c r="I8198" s="17"/>
      <c r="J8198" s="17"/>
      <c r="K8198" s="17"/>
    </row>
    <row r="8199" spans="1:11" x14ac:dyDescent="0.2">
      <c r="A8199"/>
      <c r="B8199"/>
      <c r="H8199"/>
      <c r="I8199" s="17"/>
      <c r="J8199" s="17"/>
      <c r="K8199" s="17"/>
    </row>
    <row r="8200" spans="1:11" x14ac:dyDescent="0.2">
      <c r="A8200"/>
      <c r="B8200"/>
      <c r="H8200"/>
      <c r="I8200" s="17"/>
      <c r="J8200" s="17"/>
      <c r="K8200" s="17"/>
    </row>
    <row r="8201" spans="1:11" x14ac:dyDescent="0.2">
      <c r="A8201"/>
      <c r="B8201"/>
      <c r="H8201"/>
      <c r="I8201" s="17"/>
      <c r="J8201" s="17"/>
      <c r="K8201" s="17"/>
    </row>
    <row r="8202" spans="1:11" x14ac:dyDescent="0.2">
      <c r="A8202"/>
      <c r="B8202"/>
      <c r="H8202"/>
      <c r="I8202" s="17"/>
      <c r="J8202" s="17"/>
      <c r="K8202" s="17"/>
    </row>
    <row r="8203" spans="1:11" x14ac:dyDescent="0.2">
      <c r="A8203"/>
      <c r="B8203"/>
      <c r="H8203"/>
      <c r="I8203" s="17"/>
      <c r="J8203" s="17"/>
      <c r="K8203" s="17"/>
    </row>
    <row r="8204" spans="1:11" x14ac:dyDescent="0.2">
      <c r="A8204"/>
      <c r="B8204"/>
      <c r="H8204"/>
      <c r="I8204" s="17"/>
      <c r="J8204" s="17"/>
      <c r="K8204" s="17"/>
    </row>
    <row r="8205" spans="1:11" x14ac:dyDescent="0.2">
      <c r="A8205"/>
      <c r="B8205"/>
      <c r="H8205"/>
      <c r="I8205" s="17"/>
      <c r="J8205" s="17"/>
      <c r="K8205" s="17"/>
    </row>
    <row r="8206" spans="1:11" x14ac:dyDescent="0.2">
      <c r="A8206"/>
      <c r="B8206"/>
      <c r="H8206"/>
      <c r="I8206" s="17"/>
      <c r="J8206" s="17"/>
      <c r="K8206" s="17"/>
    </row>
    <row r="8207" spans="1:11" x14ac:dyDescent="0.2">
      <c r="A8207"/>
      <c r="B8207"/>
      <c r="H8207"/>
      <c r="I8207" s="17"/>
      <c r="J8207" s="17"/>
      <c r="K8207" s="17"/>
    </row>
    <row r="8208" spans="1:11" x14ac:dyDescent="0.2">
      <c r="A8208"/>
      <c r="B8208"/>
      <c r="H8208"/>
      <c r="I8208" s="17"/>
      <c r="J8208" s="17"/>
      <c r="K8208" s="17"/>
    </row>
    <row r="8209" spans="1:11" x14ac:dyDescent="0.2">
      <c r="A8209"/>
      <c r="B8209"/>
      <c r="H8209"/>
      <c r="I8209" s="17"/>
      <c r="J8209" s="17"/>
      <c r="K8209" s="17"/>
    </row>
    <row r="8210" spans="1:11" x14ac:dyDescent="0.2">
      <c r="A8210"/>
      <c r="B8210"/>
      <c r="H8210"/>
      <c r="I8210" s="17"/>
      <c r="J8210" s="17"/>
      <c r="K8210" s="17"/>
    </row>
    <row r="8211" spans="1:11" x14ac:dyDescent="0.2">
      <c r="A8211"/>
      <c r="B8211"/>
      <c r="H8211"/>
      <c r="I8211" s="17"/>
      <c r="J8211" s="17"/>
      <c r="K8211" s="17"/>
    </row>
    <row r="8212" spans="1:11" x14ac:dyDescent="0.2">
      <c r="A8212"/>
      <c r="B8212"/>
      <c r="H8212"/>
      <c r="I8212" s="17"/>
      <c r="J8212" s="17"/>
      <c r="K8212" s="17"/>
    </row>
    <row r="8213" spans="1:11" x14ac:dyDescent="0.2">
      <c r="A8213"/>
      <c r="B8213"/>
      <c r="H8213"/>
      <c r="I8213" s="17"/>
      <c r="J8213" s="17"/>
      <c r="K8213" s="17"/>
    </row>
    <row r="8214" spans="1:11" x14ac:dyDescent="0.2">
      <c r="A8214"/>
      <c r="B8214"/>
      <c r="H8214"/>
      <c r="I8214" s="17"/>
      <c r="J8214" s="17"/>
      <c r="K8214" s="17"/>
    </row>
    <row r="8215" spans="1:11" x14ac:dyDescent="0.2">
      <c r="A8215"/>
      <c r="B8215"/>
      <c r="H8215"/>
      <c r="I8215" s="17"/>
      <c r="J8215" s="17"/>
      <c r="K8215" s="17"/>
    </row>
    <row r="8216" spans="1:11" x14ac:dyDescent="0.2">
      <c r="A8216"/>
      <c r="B8216"/>
      <c r="H8216"/>
      <c r="I8216" s="17"/>
      <c r="J8216" s="17"/>
      <c r="K8216" s="17"/>
    </row>
    <row r="8217" spans="1:11" x14ac:dyDescent="0.2">
      <c r="A8217"/>
      <c r="B8217"/>
      <c r="H8217"/>
      <c r="I8217" s="17"/>
      <c r="J8217" s="17"/>
      <c r="K8217" s="17"/>
    </row>
    <row r="8218" spans="1:11" x14ac:dyDescent="0.2">
      <c r="A8218"/>
      <c r="B8218"/>
      <c r="H8218"/>
      <c r="I8218" s="17"/>
      <c r="J8218" s="17"/>
      <c r="K8218" s="17"/>
    </row>
    <row r="8219" spans="1:11" x14ac:dyDescent="0.2">
      <c r="A8219"/>
      <c r="B8219"/>
      <c r="H8219"/>
      <c r="I8219" s="17"/>
      <c r="J8219" s="17"/>
      <c r="K8219" s="17"/>
    </row>
    <row r="8220" spans="1:11" x14ac:dyDescent="0.2">
      <c r="A8220"/>
      <c r="B8220"/>
      <c r="H8220"/>
      <c r="I8220" s="17"/>
      <c r="J8220" s="17"/>
      <c r="K8220" s="17"/>
    </row>
    <row r="8221" spans="1:11" x14ac:dyDescent="0.2">
      <c r="A8221"/>
      <c r="B8221"/>
      <c r="H8221"/>
      <c r="I8221" s="17"/>
      <c r="J8221" s="17"/>
      <c r="K8221" s="17"/>
    </row>
    <row r="8222" spans="1:11" x14ac:dyDescent="0.2">
      <c r="A8222"/>
      <c r="B8222"/>
      <c r="H8222"/>
      <c r="I8222" s="17"/>
      <c r="J8222" s="17"/>
      <c r="K8222" s="17"/>
    </row>
    <row r="8223" spans="1:11" x14ac:dyDescent="0.2">
      <c r="A8223"/>
      <c r="B8223"/>
      <c r="H8223"/>
      <c r="I8223" s="17"/>
      <c r="J8223" s="17"/>
      <c r="K8223" s="17"/>
    </row>
    <row r="8224" spans="1:11" x14ac:dyDescent="0.2">
      <c r="A8224"/>
      <c r="B8224"/>
      <c r="H8224"/>
      <c r="I8224" s="17"/>
      <c r="J8224" s="17"/>
      <c r="K8224" s="17"/>
    </row>
    <row r="8225" spans="1:11" x14ac:dyDescent="0.2">
      <c r="A8225"/>
      <c r="B8225"/>
      <c r="H8225"/>
      <c r="I8225" s="17"/>
      <c r="J8225" s="17"/>
      <c r="K8225" s="17"/>
    </row>
    <row r="8226" spans="1:11" x14ac:dyDescent="0.2">
      <c r="A8226"/>
      <c r="B8226"/>
      <c r="H8226"/>
      <c r="I8226" s="17"/>
      <c r="J8226" s="17"/>
      <c r="K8226" s="17"/>
    </row>
    <row r="8227" spans="1:11" x14ac:dyDescent="0.2">
      <c r="A8227"/>
      <c r="B8227"/>
      <c r="H8227"/>
      <c r="I8227" s="17"/>
      <c r="J8227" s="17"/>
      <c r="K8227" s="17"/>
    </row>
    <row r="8228" spans="1:11" x14ac:dyDescent="0.2">
      <c r="A8228"/>
      <c r="B8228"/>
      <c r="H8228"/>
      <c r="I8228" s="17"/>
      <c r="J8228" s="17"/>
      <c r="K8228" s="17"/>
    </row>
    <row r="8229" spans="1:11" x14ac:dyDescent="0.2">
      <c r="A8229"/>
      <c r="B8229"/>
      <c r="H8229"/>
      <c r="I8229" s="17"/>
      <c r="J8229" s="17"/>
      <c r="K8229" s="17"/>
    </row>
    <row r="8230" spans="1:11" x14ac:dyDescent="0.2">
      <c r="A8230"/>
      <c r="B8230"/>
      <c r="H8230"/>
      <c r="I8230" s="17"/>
      <c r="J8230" s="17"/>
      <c r="K8230" s="17"/>
    </row>
    <row r="8231" spans="1:11" x14ac:dyDescent="0.2">
      <c r="A8231"/>
      <c r="B8231"/>
      <c r="H8231"/>
      <c r="I8231" s="17"/>
      <c r="J8231" s="17"/>
      <c r="K8231" s="17"/>
    </row>
    <row r="8232" spans="1:11" x14ac:dyDescent="0.2">
      <c r="A8232"/>
      <c r="B8232"/>
      <c r="H8232"/>
      <c r="I8232" s="17"/>
      <c r="J8232" s="17"/>
      <c r="K8232" s="17"/>
    </row>
    <row r="8233" spans="1:11" x14ac:dyDescent="0.2">
      <c r="A8233"/>
      <c r="B8233"/>
      <c r="H8233"/>
      <c r="I8233" s="17"/>
      <c r="J8233" s="17"/>
      <c r="K8233" s="17"/>
    </row>
    <row r="8234" spans="1:11" x14ac:dyDescent="0.2">
      <c r="A8234"/>
      <c r="B8234"/>
      <c r="H8234"/>
      <c r="I8234" s="17"/>
      <c r="J8234" s="17"/>
      <c r="K8234" s="17"/>
    </row>
    <row r="8235" spans="1:11" x14ac:dyDescent="0.2">
      <c r="A8235"/>
      <c r="B8235"/>
      <c r="H8235"/>
      <c r="I8235" s="17"/>
      <c r="J8235" s="17"/>
      <c r="K8235" s="17"/>
    </row>
    <row r="8236" spans="1:11" x14ac:dyDescent="0.2">
      <c r="A8236"/>
      <c r="B8236"/>
      <c r="H8236"/>
      <c r="I8236" s="17"/>
      <c r="J8236" s="17"/>
      <c r="K8236" s="17"/>
    </row>
    <row r="8237" spans="1:11" x14ac:dyDescent="0.2">
      <c r="A8237"/>
      <c r="B8237"/>
      <c r="H8237"/>
      <c r="I8237" s="17"/>
      <c r="J8237" s="17"/>
      <c r="K8237" s="17"/>
    </row>
    <row r="8238" spans="1:11" x14ac:dyDescent="0.2">
      <c r="A8238"/>
      <c r="B8238"/>
      <c r="H8238"/>
      <c r="I8238" s="17"/>
      <c r="J8238" s="17"/>
      <c r="K8238" s="17"/>
    </row>
    <row r="8239" spans="1:11" x14ac:dyDescent="0.2">
      <c r="A8239"/>
      <c r="B8239"/>
      <c r="H8239"/>
      <c r="I8239" s="17"/>
      <c r="J8239" s="17"/>
      <c r="K8239" s="17"/>
    </row>
    <row r="8240" spans="1:11" x14ac:dyDescent="0.2">
      <c r="A8240"/>
      <c r="B8240"/>
      <c r="H8240"/>
      <c r="I8240" s="17"/>
      <c r="J8240" s="17"/>
      <c r="K8240" s="17"/>
    </row>
    <row r="8241" spans="1:11" x14ac:dyDescent="0.2">
      <c r="A8241"/>
      <c r="B8241"/>
      <c r="H8241"/>
      <c r="I8241" s="17"/>
      <c r="J8241" s="17"/>
      <c r="K8241" s="17"/>
    </row>
    <row r="8242" spans="1:11" x14ac:dyDescent="0.2">
      <c r="A8242"/>
      <c r="B8242"/>
      <c r="H8242"/>
      <c r="I8242" s="17"/>
      <c r="J8242" s="17"/>
      <c r="K8242" s="17"/>
    </row>
    <row r="8243" spans="1:11" x14ac:dyDescent="0.2">
      <c r="A8243"/>
      <c r="B8243"/>
      <c r="H8243"/>
      <c r="I8243" s="17"/>
      <c r="J8243" s="17"/>
      <c r="K8243" s="17"/>
    </row>
    <row r="8244" spans="1:11" x14ac:dyDescent="0.2">
      <c r="A8244"/>
      <c r="B8244"/>
      <c r="H8244"/>
      <c r="I8244" s="17"/>
      <c r="J8244" s="17"/>
      <c r="K8244" s="17"/>
    </row>
    <row r="8245" spans="1:11" x14ac:dyDescent="0.2">
      <c r="A8245"/>
      <c r="B8245"/>
      <c r="H8245"/>
      <c r="I8245" s="17"/>
      <c r="J8245" s="17"/>
      <c r="K8245" s="17"/>
    </row>
    <row r="8246" spans="1:11" x14ac:dyDescent="0.2">
      <c r="A8246"/>
      <c r="B8246"/>
      <c r="H8246"/>
      <c r="I8246" s="17"/>
      <c r="J8246" s="17"/>
      <c r="K8246" s="17"/>
    </row>
    <row r="8247" spans="1:11" x14ac:dyDescent="0.2">
      <c r="A8247"/>
      <c r="B8247"/>
      <c r="H8247"/>
      <c r="I8247" s="17"/>
      <c r="J8247" s="17"/>
      <c r="K8247" s="17"/>
    </row>
    <row r="8248" spans="1:11" x14ac:dyDescent="0.2">
      <c r="A8248"/>
      <c r="B8248"/>
      <c r="H8248"/>
      <c r="I8248" s="17"/>
      <c r="J8248" s="17"/>
      <c r="K8248" s="17"/>
    </row>
    <row r="8249" spans="1:11" x14ac:dyDescent="0.2">
      <c r="A8249"/>
      <c r="B8249"/>
      <c r="H8249"/>
      <c r="I8249" s="17"/>
      <c r="J8249" s="17"/>
      <c r="K8249" s="17"/>
    </row>
    <row r="8250" spans="1:11" x14ac:dyDescent="0.2">
      <c r="A8250"/>
      <c r="B8250"/>
      <c r="H8250"/>
      <c r="I8250" s="17"/>
      <c r="J8250" s="17"/>
      <c r="K8250" s="17"/>
    </row>
    <row r="8251" spans="1:11" x14ac:dyDescent="0.2">
      <c r="A8251"/>
      <c r="B8251"/>
      <c r="H8251"/>
      <c r="I8251" s="17"/>
      <c r="J8251" s="17"/>
      <c r="K8251" s="17"/>
    </row>
    <row r="8252" spans="1:11" x14ac:dyDescent="0.2">
      <c r="A8252"/>
      <c r="B8252"/>
      <c r="H8252"/>
      <c r="I8252" s="17"/>
      <c r="J8252" s="17"/>
      <c r="K8252" s="17"/>
    </row>
    <row r="8253" spans="1:11" x14ac:dyDescent="0.2">
      <c r="A8253"/>
      <c r="B8253"/>
      <c r="H8253"/>
      <c r="I8253" s="17"/>
      <c r="J8253" s="17"/>
      <c r="K8253" s="17"/>
    </row>
    <row r="8254" spans="1:11" x14ac:dyDescent="0.2">
      <c r="A8254"/>
      <c r="B8254"/>
      <c r="H8254"/>
      <c r="I8254" s="17"/>
      <c r="J8254" s="17"/>
      <c r="K8254" s="17"/>
    </row>
    <row r="8255" spans="1:11" x14ac:dyDescent="0.2">
      <c r="A8255"/>
      <c r="B8255"/>
      <c r="H8255"/>
      <c r="I8255" s="17"/>
      <c r="J8255" s="17"/>
      <c r="K8255" s="17"/>
    </row>
    <row r="8256" spans="1:11" x14ac:dyDescent="0.2">
      <c r="A8256"/>
      <c r="B8256"/>
      <c r="H8256"/>
      <c r="I8256" s="17"/>
      <c r="J8256" s="17"/>
      <c r="K8256" s="17"/>
    </row>
    <row r="8257" spans="1:11" x14ac:dyDescent="0.2">
      <c r="A8257"/>
      <c r="B8257"/>
      <c r="H8257"/>
      <c r="I8257" s="17"/>
      <c r="J8257" s="17"/>
      <c r="K8257" s="17"/>
    </row>
    <row r="8258" spans="1:11" x14ac:dyDescent="0.2">
      <c r="A8258"/>
      <c r="B8258"/>
      <c r="H8258"/>
      <c r="I8258" s="17"/>
      <c r="J8258" s="17"/>
      <c r="K8258" s="17"/>
    </row>
    <row r="8259" spans="1:11" x14ac:dyDescent="0.2">
      <c r="A8259"/>
      <c r="B8259"/>
      <c r="H8259"/>
      <c r="I8259" s="17"/>
      <c r="J8259" s="17"/>
      <c r="K8259" s="17"/>
    </row>
    <row r="8260" spans="1:11" x14ac:dyDescent="0.2">
      <c r="A8260"/>
      <c r="B8260"/>
      <c r="H8260"/>
      <c r="I8260" s="17"/>
      <c r="J8260" s="17"/>
      <c r="K8260" s="17"/>
    </row>
    <row r="8261" spans="1:11" x14ac:dyDescent="0.2">
      <c r="A8261"/>
      <c r="B8261"/>
      <c r="H8261"/>
      <c r="I8261" s="17"/>
      <c r="J8261" s="17"/>
      <c r="K8261" s="17"/>
    </row>
    <row r="8262" spans="1:11" x14ac:dyDescent="0.2">
      <c r="A8262"/>
      <c r="B8262"/>
      <c r="H8262"/>
      <c r="I8262" s="17"/>
      <c r="J8262" s="17"/>
      <c r="K8262" s="17"/>
    </row>
    <row r="8263" spans="1:11" x14ac:dyDescent="0.2">
      <c r="A8263"/>
      <c r="B8263"/>
      <c r="H8263"/>
      <c r="I8263" s="17"/>
      <c r="J8263" s="17"/>
      <c r="K8263" s="17"/>
    </row>
    <row r="8264" spans="1:11" x14ac:dyDescent="0.2">
      <c r="A8264"/>
      <c r="B8264"/>
      <c r="H8264"/>
      <c r="I8264" s="17"/>
      <c r="J8264" s="17"/>
      <c r="K8264" s="17"/>
    </row>
    <row r="8265" spans="1:11" x14ac:dyDescent="0.2">
      <c r="A8265"/>
      <c r="B8265"/>
      <c r="H8265"/>
      <c r="I8265" s="17"/>
      <c r="J8265" s="17"/>
      <c r="K8265" s="17"/>
    </row>
    <row r="8266" spans="1:11" x14ac:dyDescent="0.2">
      <c r="A8266"/>
      <c r="B8266"/>
      <c r="H8266"/>
      <c r="I8266" s="17"/>
      <c r="J8266" s="17"/>
      <c r="K8266" s="17"/>
    </row>
    <row r="8267" spans="1:11" x14ac:dyDescent="0.2">
      <c r="A8267"/>
      <c r="B8267"/>
      <c r="H8267"/>
      <c r="I8267" s="17"/>
      <c r="J8267" s="17"/>
      <c r="K8267" s="17"/>
    </row>
    <row r="8268" spans="1:11" x14ac:dyDescent="0.2">
      <c r="A8268"/>
      <c r="B8268"/>
      <c r="H8268"/>
      <c r="I8268" s="17"/>
      <c r="J8268" s="17"/>
      <c r="K8268" s="17"/>
    </row>
    <row r="8269" spans="1:11" x14ac:dyDescent="0.2">
      <c r="A8269"/>
      <c r="B8269"/>
      <c r="H8269"/>
      <c r="I8269" s="17"/>
      <c r="J8269" s="17"/>
      <c r="K8269" s="17"/>
    </row>
    <row r="8270" spans="1:11" x14ac:dyDescent="0.2">
      <c r="A8270"/>
      <c r="B8270"/>
      <c r="H8270"/>
      <c r="I8270" s="17"/>
      <c r="J8270" s="17"/>
      <c r="K8270" s="17"/>
    </row>
    <row r="8271" spans="1:11" x14ac:dyDescent="0.2">
      <c r="A8271"/>
      <c r="B8271"/>
      <c r="H8271"/>
      <c r="I8271" s="17"/>
      <c r="J8271" s="17"/>
      <c r="K8271" s="17"/>
    </row>
    <row r="8272" spans="1:11" x14ac:dyDescent="0.2">
      <c r="A8272"/>
      <c r="B8272"/>
      <c r="H8272"/>
      <c r="I8272" s="17"/>
      <c r="J8272" s="17"/>
      <c r="K8272" s="17"/>
    </row>
    <row r="8273" spans="1:11" x14ac:dyDescent="0.2">
      <c r="A8273"/>
      <c r="B8273"/>
      <c r="H8273"/>
      <c r="I8273" s="17"/>
      <c r="J8273" s="17"/>
      <c r="K8273" s="17"/>
    </row>
    <row r="8274" spans="1:11" x14ac:dyDescent="0.2">
      <c r="A8274"/>
      <c r="B8274"/>
      <c r="H8274"/>
      <c r="I8274" s="17"/>
      <c r="J8274" s="17"/>
      <c r="K8274" s="17"/>
    </row>
    <row r="8275" spans="1:11" x14ac:dyDescent="0.2">
      <c r="A8275"/>
      <c r="B8275"/>
      <c r="H8275"/>
      <c r="I8275" s="17"/>
      <c r="J8275" s="17"/>
      <c r="K8275" s="17"/>
    </row>
    <row r="8276" spans="1:11" x14ac:dyDescent="0.2">
      <c r="A8276"/>
      <c r="B8276"/>
      <c r="H8276"/>
      <c r="I8276" s="17"/>
      <c r="J8276" s="17"/>
      <c r="K8276" s="17"/>
    </row>
    <row r="8277" spans="1:11" x14ac:dyDescent="0.2">
      <c r="A8277"/>
      <c r="B8277"/>
      <c r="H8277"/>
      <c r="I8277" s="17"/>
      <c r="J8277" s="17"/>
      <c r="K8277" s="17"/>
    </row>
    <row r="8278" spans="1:11" x14ac:dyDescent="0.2">
      <c r="A8278"/>
      <c r="B8278"/>
      <c r="H8278"/>
      <c r="I8278" s="17"/>
      <c r="J8278" s="17"/>
      <c r="K8278" s="17"/>
    </row>
    <row r="8279" spans="1:11" x14ac:dyDescent="0.2">
      <c r="A8279"/>
      <c r="B8279"/>
      <c r="H8279"/>
      <c r="I8279" s="17"/>
      <c r="J8279" s="17"/>
      <c r="K8279" s="17"/>
    </row>
    <row r="8280" spans="1:11" x14ac:dyDescent="0.2">
      <c r="A8280"/>
      <c r="B8280"/>
      <c r="H8280"/>
      <c r="I8280" s="17"/>
      <c r="J8280" s="17"/>
      <c r="K8280" s="17"/>
    </row>
    <row r="8281" spans="1:11" x14ac:dyDescent="0.2">
      <c r="A8281"/>
      <c r="B8281"/>
      <c r="H8281"/>
      <c r="I8281" s="17"/>
      <c r="J8281" s="17"/>
      <c r="K8281" s="17"/>
    </row>
    <row r="8282" spans="1:11" x14ac:dyDescent="0.2">
      <c r="A8282"/>
      <c r="B8282"/>
      <c r="H8282"/>
      <c r="I8282" s="17"/>
      <c r="J8282" s="17"/>
      <c r="K8282" s="17"/>
    </row>
    <row r="8283" spans="1:11" x14ac:dyDescent="0.2">
      <c r="A8283"/>
      <c r="B8283"/>
      <c r="H8283"/>
      <c r="I8283" s="17"/>
      <c r="J8283" s="17"/>
      <c r="K8283" s="17"/>
    </row>
    <row r="8284" spans="1:11" x14ac:dyDescent="0.2">
      <c r="A8284"/>
      <c r="B8284"/>
      <c r="H8284"/>
      <c r="I8284" s="17"/>
      <c r="J8284" s="17"/>
      <c r="K8284" s="17"/>
    </row>
    <row r="8285" spans="1:11" x14ac:dyDescent="0.2">
      <c r="A8285"/>
      <c r="B8285"/>
      <c r="H8285"/>
      <c r="I8285" s="17"/>
      <c r="J8285" s="17"/>
      <c r="K8285" s="17"/>
    </row>
    <row r="8286" spans="1:11" x14ac:dyDescent="0.2">
      <c r="A8286"/>
      <c r="B8286"/>
      <c r="H8286"/>
      <c r="I8286" s="17"/>
      <c r="J8286" s="17"/>
      <c r="K8286" s="17"/>
    </row>
    <row r="8287" spans="1:11" x14ac:dyDescent="0.2">
      <c r="A8287"/>
      <c r="B8287"/>
      <c r="H8287"/>
      <c r="I8287" s="17"/>
      <c r="J8287" s="17"/>
      <c r="K8287" s="17"/>
    </row>
    <row r="8288" spans="1:11" x14ac:dyDescent="0.2">
      <c r="A8288"/>
      <c r="B8288"/>
      <c r="H8288"/>
      <c r="I8288" s="17"/>
      <c r="J8288" s="17"/>
      <c r="K8288" s="17"/>
    </row>
    <row r="8289" spans="1:11" x14ac:dyDescent="0.2">
      <c r="A8289"/>
      <c r="B8289"/>
      <c r="H8289"/>
      <c r="I8289" s="17"/>
      <c r="J8289" s="17"/>
      <c r="K8289" s="17"/>
    </row>
    <row r="8290" spans="1:11" x14ac:dyDescent="0.2">
      <c r="A8290"/>
      <c r="B8290"/>
      <c r="H8290"/>
      <c r="I8290" s="17"/>
      <c r="J8290" s="17"/>
      <c r="K8290" s="17"/>
    </row>
    <row r="8291" spans="1:11" x14ac:dyDescent="0.2">
      <c r="A8291"/>
      <c r="B8291"/>
      <c r="H8291"/>
      <c r="I8291" s="17"/>
      <c r="J8291" s="17"/>
      <c r="K8291" s="17"/>
    </row>
    <row r="8292" spans="1:11" x14ac:dyDescent="0.2">
      <c r="A8292"/>
      <c r="B8292"/>
      <c r="H8292"/>
      <c r="I8292" s="17"/>
      <c r="J8292" s="17"/>
      <c r="K8292" s="17"/>
    </row>
    <row r="8293" spans="1:11" x14ac:dyDescent="0.2">
      <c r="A8293"/>
      <c r="B8293"/>
      <c r="H8293"/>
      <c r="I8293" s="17"/>
      <c r="J8293" s="17"/>
      <c r="K8293" s="17"/>
    </row>
    <row r="8294" spans="1:11" x14ac:dyDescent="0.2">
      <c r="A8294"/>
      <c r="B8294"/>
      <c r="H8294"/>
      <c r="I8294" s="17"/>
      <c r="J8294" s="17"/>
      <c r="K8294" s="17"/>
    </row>
    <row r="8295" spans="1:11" x14ac:dyDescent="0.2">
      <c r="A8295"/>
      <c r="B8295"/>
      <c r="H8295"/>
      <c r="I8295" s="17"/>
      <c r="J8295" s="17"/>
      <c r="K8295" s="17"/>
    </row>
    <row r="8296" spans="1:11" x14ac:dyDescent="0.2">
      <c r="A8296"/>
      <c r="B8296"/>
      <c r="H8296"/>
      <c r="I8296" s="17"/>
      <c r="J8296" s="17"/>
      <c r="K8296" s="17"/>
    </row>
    <row r="8297" spans="1:11" x14ac:dyDescent="0.2">
      <c r="A8297"/>
      <c r="B8297"/>
      <c r="H8297"/>
      <c r="I8297" s="17"/>
      <c r="J8297" s="17"/>
      <c r="K8297" s="17"/>
    </row>
    <row r="8298" spans="1:11" x14ac:dyDescent="0.2">
      <c r="A8298"/>
      <c r="B8298"/>
      <c r="H8298"/>
      <c r="I8298" s="17"/>
      <c r="J8298" s="17"/>
      <c r="K8298" s="17"/>
    </row>
    <row r="8299" spans="1:11" x14ac:dyDescent="0.2">
      <c r="A8299"/>
      <c r="B8299"/>
      <c r="H8299"/>
      <c r="I8299" s="17"/>
      <c r="J8299" s="17"/>
      <c r="K8299" s="17"/>
    </row>
    <row r="8300" spans="1:11" x14ac:dyDescent="0.2">
      <c r="A8300"/>
      <c r="B8300"/>
      <c r="H8300"/>
      <c r="I8300" s="17"/>
      <c r="J8300" s="17"/>
      <c r="K8300" s="17"/>
    </row>
    <row r="8301" spans="1:11" x14ac:dyDescent="0.2">
      <c r="A8301"/>
      <c r="B8301"/>
      <c r="H8301"/>
      <c r="I8301" s="17"/>
      <c r="J8301" s="17"/>
      <c r="K8301" s="17"/>
    </row>
    <row r="8302" spans="1:11" x14ac:dyDescent="0.2">
      <c r="A8302"/>
      <c r="B8302"/>
      <c r="H8302"/>
      <c r="I8302" s="17"/>
      <c r="J8302" s="17"/>
      <c r="K8302" s="17"/>
    </row>
    <row r="8303" spans="1:11" x14ac:dyDescent="0.2">
      <c r="A8303"/>
      <c r="B8303"/>
      <c r="H8303"/>
      <c r="I8303" s="17"/>
      <c r="J8303" s="17"/>
      <c r="K8303" s="17"/>
    </row>
    <row r="8304" spans="1:11" x14ac:dyDescent="0.2">
      <c r="A8304"/>
      <c r="B8304"/>
      <c r="H8304"/>
      <c r="I8304" s="17"/>
      <c r="J8304" s="17"/>
      <c r="K8304" s="17"/>
    </row>
    <row r="8305" spans="1:11" x14ac:dyDescent="0.2">
      <c r="A8305"/>
      <c r="B8305"/>
      <c r="H8305"/>
      <c r="I8305" s="17"/>
      <c r="J8305" s="17"/>
      <c r="K8305" s="17"/>
    </row>
    <row r="8306" spans="1:11" x14ac:dyDescent="0.2">
      <c r="A8306"/>
      <c r="B8306"/>
      <c r="H8306"/>
      <c r="I8306" s="17"/>
      <c r="J8306" s="17"/>
      <c r="K8306" s="17"/>
    </row>
    <row r="8307" spans="1:11" x14ac:dyDescent="0.2">
      <c r="A8307"/>
      <c r="B8307"/>
      <c r="H8307"/>
      <c r="I8307" s="17"/>
      <c r="J8307" s="17"/>
      <c r="K8307" s="17"/>
    </row>
    <row r="8308" spans="1:11" x14ac:dyDescent="0.2">
      <c r="A8308"/>
      <c r="B8308"/>
      <c r="H8308"/>
      <c r="I8308" s="17"/>
      <c r="J8308" s="17"/>
      <c r="K8308" s="17"/>
    </row>
    <row r="8309" spans="1:11" x14ac:dyDescent="0.2">
      <c r="A8309"/>
      <c r="B8309"/>
      <c r="H8309"/>
      <c r="I8309" s="17"/>
      <c r="J8309" s="17"/>
      <c r="K8309" s="17"/>
    </row>
    <row r="8310" spans="1:11" x14ac:dyDescent="0.2">
      <c r="A8310"/>
      <c r="B8310"/>
      <c r="H8310"/>
      <c r="I8310" s="17"/>
      <c r="J8310" s="17"/>
      <c r="K8310" s="17"/>
    </row>
    <row r="8311" spans="1:11" x14ac:dyDescent="0.2">
      <c r="A8311"/>
      <c r="B8311"/>
      <c r="H8311"/>
      <c r="I8311" s="17"/>
      <c r="J8311" s="17"/>
      <c r="K8311" s="17"/>
    </row>
    <row r="8312" spans="1:11" x14ac:dyDescent="0.2">
      <c r="A8312"/>
      <c r="B8312"/>
      <c r="H8312"/>
      <c r="I8312" s="17"/>
      <c r="J8312" s="17"/>
      <c r="K8312" s="17"/>
    </row>
    <row r="8313" spans="1:11" x14ac:dyDescent="0.2">
      <c r="A8313"/>
      <c r="B8313"/>
      <c r="H8313"/>
      <c r="I8313" s="17"/>
      <c r="J8313" s="17"/>
      <c r="K8313" s="17"/>
    </row>
    <row r="8314" spans="1:11" x14ac:dyDescent="0.2">
      <c r="A8314"/>
      <c r="B8314"/>
      <c r="H8314"/>
      <c r="I8314" s="17"/>
      <c r="J8314" s="17"/>
      <c r="K8314" s="17"/>
    </row>
    <row r="8315" spans="1:11" x14ac:dyDescent="0.2">
      <c r="A8315"/>
      <c r="B8315"/>
      <c r="H8315"/>
      <c r="I8315" s="17"/>
      <c r="J8315" s="17"/>
      <c r="K8315" s="17"/>
    </row>
    <row r="8316" spans="1:11" x14ac:dyDescent="0.2">
      <c r="A8316"/>
      <c r="B8316"/>
      <c r="H8316"/>
      <c r="I8316" s="17"/>
      <c r="J8316" s="17"/>
      <c r="K8316" s="17"/>
    </row>
    <row r="8317" spans="1:11" x14ac:dyDescent="0.2">
      <c r="A8317"/>
      <c r="B8317"/>
      <c r="H8317"/>
      <c r="I8317" s="17"/>
      <c r="J8317" s="17"/>
      <c r="K8317" s="17"/>
    </row>
    <row r="8318" spans="1:11" x14ac:dyDescent="0.2">
      <c r="A8318"/>
      <c r="B8318"/>
      <c r="H8318"/>
      <c r="I8318" s="17"/>
      <c r="J8318" s="17"/>
      <c r="K8318" s="17"/>
    </row>
    <row r="8319" spans="1:11" x14ac:dyDescent="0.2">
      <c r="A8319"/>
      <c r="B8319"/>
      <c r="H8319"/>
      <c r="I8319" s="17"/>
      <c r="J8319" s="17"/>
      <c r="K8319" s="17"/>
    </row>
    <row r="8320" spans="1:11" x14ac:dyDescent="0.2">
      <c r="A8320"/>
      <c r="B8320"/>
      <c r="H8320"/>
      <c r="I8320" s="17"/>
      <c r="J8320" s="17"/>
      <c r="K8320" s="17"/>
    </row>
    <row r="8321" spans="1:11" x14ac:dyDescent="0.2">
      <c r="A8321"/>
      <c r="B8321"/>
      <c r="H8321"/>
      <c r="I8321" s="17"/>
      <c r="J8321" s="17"/>
      <c r="K8321" s="17"/>
    </row>
    <row r="8322" spans="1:11" x14ac:dyDescent="0.2">
      <c r="A8322"/>
      <c r="B8322"/>
      <c r="H8322"/>
      <c r="I8322" s="17"/>
      <c r="J8322" s="17"/>
      <c r="K8322" s="17"/>
    </row>
    <row r="8323" spans="1:11" x14ac:dyDescent="0.2">
      <c r="A8323"/>
      <c r="B8323"/>
      <c r="H8323"/>
      <c r="I8323" s="17"/>
      <c r="J8323" s="17"/>
      <c r="K8323" s="17"/>
    </row>
    <row r="8324" spans="1:11" x14ac:dyDescent="0.2">
      <c r="A8324"/>
      <c r="B8324"/>
      <c r="H8324"/>
      <c r="I8324" s="17"/>
      <c r="J8324" s="17"/>
      <c r="K8324" s="17"/>
    </row>
    <row r="8325" spans="1:11" x14ac:dyDescent="0.2">
      <c r="A8325"/>
      <c r="B8325"/>
      <c r="H8325"/>
      <c r="I8325" s="17"/>
      <c r="J8325" s="17"/>
      <c r="K8325" s="17"/>
    </row>
    <row r="8326" spans="1:11" x14ac:dyDescent="0.2">
      <c r="A8326"/>
      <c r="B8326"/>
      <c r="H8326"/>
      <c r="I8326" s="17"/>
      <c r="J8326" s="17"/>
      <c r="K8326" s="17"/>
    </row>
    <row r="8327" spans="1:11" x14ac:dyDescent="0.2">
      <c r="A8327"/>
      <c r="B8327"/>
      <c r="H8327"/>
      <c r="I8327" s="17"/>
      <c r="J8327" s="17"/>
      <c r="K8327" s="17"/>
    </row>
    <row r="8328" spans="1:11" x14ac:dyDescent="0.2">
      <c r="A8328"/>
      <c r="B8328"/>
      <c r="H8328"/>
      <c r="I8328" s="17"/>
      <c r="J8328" s="17"/>
      <c r="K8328" s="17"/>
    </row>
    <row r="8329" spans="1:11" x14ac:dyDescent="0.2">
      <c r="A8329"/>
      <c r="B8329"/>
      <c r="H8329"/>
      <c r="I8329" s="17"/>
      <c r="J8329" s="17"/>
      <c r="K8329" s="17"/>
    </row>
    <row r="8330" spans="1:11" x14ac:dyDescent="0.2">
      <c r="A8330"/>
      <c r="B8330"/>
      <c r="H8330"/>
      <c r="I8330" s="17"/>
      <c r="J8330" s="17"/>
      <c r="K8330" s="17"/>
    </row>
    <row r="8331" spans="1:11" x14ac:dyDescent="0.2">
      <c r="A8331"/>
      <c r="B8331"/>
      <c r="H8331"/>
      <c r="I8331" s="17"/>
      <c r="J8331" s="17"/>
      <c r="K8331" s="17"/>
    </row>
    <row r="8332" spans="1:11" x14ac:dyDescent="0.2">
      <c r="A8332"/>
      <c r="B8332"/>
      <c r="H8332"/>
      <c r="I8332" s="17"/>
      <c r="J8332" s="17"/>
      <c r="K8332" s="17"/>
    </row>
    <row r="8333" spans="1:11" x14ac:dyDescent="0.2">
      <c r="A8333"/>
      <c r="B8333"/>
      <c r="H8333"/>
      <c r="I8333" s="17"/>
      <c r="J8333" s="17"/>
      <c r="K8333" s="17"/>
    </row>
    <row r="8334" spans="1:11" x14ac:dyDescent="0.2">
      <c r="A8334"/>
      <c r="B8334"/>
      <c r="H8334"/>
      <c r="I8334" s="17"/>
      <c r="J8334" s="17"/>
      <c r="K8334" s="17"/>
    </row>
    <row r="8335" spans="1:11" x14ac:dyDescent="0.2">
      <c r="A8335"/>
      <c r="B8335"/>
      <c r="H8335"/>
      <c r="I8335" s="17"/>
      <c r="J8335" s="17"/>
      <c r="K8335" s="17"/>
    </row>
    <row r="8336" spans="1:11" x14ac:dyDescent="0.2">
      <c r="A8336"/>
      <c r="B8336"/>
      <c r="H8336"/>
      <c r="I8336" s="17"/>
      <c r="J8336" s="17"/>
      <c r="K8336" s="17"/>
    </row>
    <row r="8337" spans="1:11" x14ac:dyDescent="0.2">
      <c r="A8337"/>
      <c r="B8337"/>
      <c r="H8337"/>
      <c r="I8337" s="17"/>
      <c r="J8337" s="17"/>
      <c r="K8337" s="17"/>
    </row>
    <row r="8338" spans="1:11" x14ac:dyDescent="0.2">
      <c r="A8338"/>
      <c r="B8338"/>
      <c r="H8338"/>
      <c r="I8338" s="17"/>
      <c r="J8338" s="17"/>
      <c r="K8338" s="17"/>
    </row>
    <row r="8339" spans="1:11" x14ac:dyDescent="0.2">
      <c r="A8339"/>
      <c r="B8339"/>
      <c r="H8339"/>
      <c r="I8339" s="17"/>
      <c r="J8339" s="17"/>
      <c r="K8339" s="17"/>
    </row>
    <row r="8340" spans="1:11" x14ac:dyDescent="0.2">
      <c r="A8340"/>
      <c r="B8340"/>
      <c r="H8340"/>
      <c r="I8340" s="17"/>
      <c r="J8340" s="17"/>
      <c r="K8340" s="17"/>
    </row>
    <row r="8341" spans="1:11" x14ac:dyDescent="0.2">
      <c r="A8341"/>
      <c r="B8341"/>
      <c r="H8341"/>
      <c r="I8341" s="17"/>
      <c r="J8341" s="17"/>
      <c r="K8341" s="17"/>
    </row>
    <row r="8342" spans="1:11" x14ac:dyDescent="0.2">
      <c r="A8342"/>
      <c r="B8342"/>
      <c r="H8342"/>
      <c r="I8342" s="17"/>
      <c r="J8342" s="17"/>
      <c r="K8342" s="17"/>
    </row>
    <row r="8343" spans="1:11" x14ac:dyDescent="0.2">
      <c r="A8343"/>
      <c r="B8343"/>
      <c r="H8343"/>
      <c r="I8343" s="17"/>
      <c r="J8343" s="17"/>
      <c r="K8343" s="17"/>
    </row>
    <row r="8344" spans="1:11" x14ac:dyDescent="0.2">
      <c r="A8344"/>
      <c r="B8344"/>
      <c r="H8344"/>
      <c r="I8344" s="17"/>
      <c r="J8344" s="17"/>
      <c r="K8344" s="17"/>
    </row>
    <row r="8345" spans="1:11" x14ac:dyDescent="0.2">
      <c r="A8345"/>
      <c r="B8345"/>
      <c r="H8345"/>
      <c r="I8345" s="17"/>
      <c r="J8345" s="17"/>
      <c r="K8345" s="17"/>
    </row>
    <row r="8346" spans="1:11" x14ac:dyDescent="0.2">
      <c r="A8346"/>
      <c r="B8346"/>
      <c r="H8346"/>
      <c r="I8346" s="17"/>
      <c r="J8346" s="17"/>
      <c r="K8346" s="17"/>
    </row>
    <row r="8347" spans="1:11" x14ac:dyDescent="0.2">
      <c r="A8347"/>
      <c r="B8347"/>
      <c r="H8347"/>
      <c r="I8347" s="17"/>
      <c r="J8347" s="17"/>
      <c r="K8347" s="17"/>
    </row>
    <row r="8348" spans="1:11" x14ac:dyDescent="0.2">
      <c r="A8348"/>
      <c r="B8348"/>
      <c r="H8348"/>
      <c r="I8348" s="17"/>
      <c r="J8348" s="17"/>
      <c r="K8348" s="17"/>
    </row>
    <row r="8349" spans="1:11" x14ac:dyDescent="0.2">
      <c r="A8349"/>
      <c r="B8349"/>
      <c r="H8349"/>
      <c r="I8349" s="17"/>
      <c r="J8349" s="17"/>
      <c r="K8349" s="17"/>
    </row>
    <row r="8350" spans="1:11" x14ac:dyDescent="0.2">
      <c r="A8350"/>
      <c r="B8350"/>
      <c r="H8350"/>
      <c r="I8350" s="17"/>
      <c r="J8350" s="17"/>
      <c r="K8350" s="17"/>
    </row>
    <row r="8351" spans="1:11" x14ac:dyDescent="0.2">
      <c r="A8351"/>
      <c r="B8351"/>
      <c r="H8351"/>
      <c r="I8351" s="17"/>
      <c r="J8351" s="17"/>
      <c r="K8351" s="17"/>
    </row>
    <row r="8352" spans="1:11" x14ac:dyDescent="0.2">
      <c r="A8352"/>
      <c r="B8352"/>
      <c r="H8352"/>
      <c r="I8352" s="17"/>
      <c r="J8352" s="17"/>
      <c r="K8352" s="17"/>
    </row>
    <row r="8353" spans="1:11" x14ac:dyDescent="0.2">
      <c r="A8353"/>
      <c r="B8353"/>
      <c r="H8353"/>
      <c r="I8353" s="17"/>
      <c r="J8353" s="17"/>
      <c r="K8353" s="17"/>
    </row>
    <row r="8354" spans="1:11" x14ac:dyDescent="0.2">
      <c r="A8354"/>
      <c r="B8354"/>
      <c r="H8354"/>
      <c r="I8354" s="17"/>
      <c r="J8354" s="17"/>
      <c r="K8354" s="17"/>
    </row>
    <row r="8355" spans="1:11" x14ac:dyDescent="0.2">
      <c r="A8355"/>
      <c r="B8355"/>
      <c r="H8355"/>
      <c r="I8355" s="17"/>
      <c r="J8355" s="17"/>
      <c r="K8355" s="17"/>
    </row>
    <row r="8356" spans="1:11" x14ac:dyDescent="0.2">
      <c r="A8356"/>
      <c r="B8356"/>
      <c r="H8356"/>
      <c r="I8356" s="17"/>
      <c r="J8356" s="17"/>
      <c r="K8356" s="17"/>
    </row>
    <row r="8357" spans="1:11" x14ac:dyDescent="0.2">
      <c r="A8357"/>
      <c r="B8357"/>
      <c r="H8357"/>
      <c r="I8357" s="17"/>
      <c r="J8357" s="17"/>
      <c r="K8357" s="17"/>
    </row>
    <row r="8358" spans="1:11" x14ac:dyDescent="0.2">
      <c r="A8358"/>
      <c r="B8358"/>
      <c r="H8358"/>
      <c r="I8358" s="17"/>
      <c r="J8358" s="17"/>
      <c r="K8358" s="17"/>
    </row>
    <row r="8359" spans="1:11" x14ac:dyDescent="0.2">
      <c r="A8359"/>
      <c r="B8359"/>
      <c r="H8359"/>
      <c r="I8359" s="17"/>
      <c r="J8359" s="17"/>
      <c r="K8359" s="17"/>
    </row>
    <row r="8360" spans="1:11" x14ac:dyDescent="0.2">
      <c r="A8360"/>
      <c r="B8360"/>
      <c r="H8360"/>
      <c r="I8360" s="17"/>
      <c r="J8360" s="17"/>
      <c r="K8360" s="17"/>
    </row>
    <row r="8361" spans="1:11" x14ac:dyDescent="0.2">
      <c r="A8361"/>
      <c r="B8361"/>
      <c r="H8361"/>
      <c r="I8361" s="17"/>
      <c r="J8361" s="17"/>
      <c r="K8361" s="17"/>
    </row>
    <row r="8362" spans="1:11" x14ac:dyDescent="0.2">
      <c r="A8362"/>
      <c r="B8362"/>
      <c r="H8362"/>
      <c r="I8362" s="17"/>
      <c r="J8362" s="17"/>
      <c r="K8362" s="17"/>
    </row>
    <row r="8363" spans="1:11" x14ac:dyDescent="0.2">
      <c r="A8363"/>
      <c r="B8363"/>
      <c r="H8363"/>
      <c r="I8363" s="17"/>
      <c r="J8363" s="17"/>
      <c r="K8363" s="17"/>
    </row>
    <row r="8364" spans="1:11" x14ac:dyDescent="0.2">
      <c r="A8364"/>
      <c r="B8364"/>
      <c r="H8364"/>
      <c r="I8364" s="17"/>
      <c r="J8364" s="17"/>
      <c r="K8364" s="17"/>
    </row>
    <row r="8365" spans="1:11" x14ac:dyDescent="0.2">
      <c r="A8365"/>
      <c r="B8365"/>
      <c r="H8365"/>
      <c r="I8365" s="17"/>
      <c r="J8365" s="17"/>
      <c r="K8365" s="17"/>
    </row>
    <row r="8366" spans="1:11" x14ac:dyDescent="0.2">
      <c r="A8366"/>
      <c r="B8366"/>
      <c r="H8366"/>
      <c r="I8366" s="17"/>
      <c r="J8366" s="17"/>
      <c r="K8366" s="17"/>
    </row>
    <row r="8367" spans="1:11" x14ac:dyDescent="0.2">
      <c r="A8367"/>
      <c r="B8367"/>
      <c r="H8367"/>
      <c r="I8367" s="17"/>
      <c r="J8367" s="17"/>
      <c r="K8367" s="17"/>
    </row>
    <row r="8368" spans="1:11" x14ac:dyDescent="0.2">
      <c r="A8368"/>
      <c r="B8368"/>
      <c r="H8368"/>
      <c r="I8368" s="17"/>
      <c r="J8368" s="17"/>
      <c r="K8368" s="17"/>
    </row>
    <row r="8369" spans="1:11" x14ac:dyDescent="0.2">
      <c r="A8369"/>
      <c r="B8369"/>
      <c r="H8369"/>
      <c r="I8369" s="17"/>
      <c r="J8369" s="17"/>
      <c r="K8369" s="17"/>
    </row>
    <row r="8370" spans="1:11" x14ac:dyDescent="0.2">
      <c r="A8370"/>
      <c r="B8370"/>
      <c r="H8370"/>
      <c r="I8370" s="17"/>
      <c r="J8370" s="17"/>
      <c r="K8370" s="17"/>
    </row>
    <row r="8371" spans="1:11" x14ac:dyDescent="0.2">
      <c r="A8371"/>
      <c r="B8371"/>
      <c r="H8371"/>
      <c r="I8371" s="17"/>
      <c r="J8371" s="17"/>
      <c r="K8371" s="17"/>
    </row>
    <row r="8372" spans="1:11" x14ac:dyDescent="0.2">
      <c r="A8372"/>
      <c r="B8372"/>
      <c r="H8372"/>
      <c r="I8372" s="17"/>
      <c r="J8372" s="17"/>
      <c r="K8372" s="17"/>
    </row>
    <row r="8373" spans="1:11" x14ac:dyDescent="0.2">
      <c r="A8373"/>
      <c r="B8373"/>
      <c r="H8373"/>
      <c r="I8373" s="17"/>
      <c r="J8373" s="17"/>
      <c r="K8373" s="17"/>
    </row>
    <row r="8374" spans="1:11" x14ac:dyDescent="0.2">
      <c r="A8374"/>
      <c r="B8374"/>
      <c r="H8374"/>
      <c r="I8374" s="17"/>
      <c r="J8374" s="17"/>
      <c r="K8374" s="17"/>
    </row>
    <row r="8375" spans="1:11" x14ac:dyDescent="0.2">
      <c r="A8375"/>
      <c r="B8375"/>
      <c r="H8375"/>
      <c r="I8375" s="17"/>
      <c r="J8375" s="17"/>
      <c r="K8375" s="17"/>
    </row>
    <row r="8376" spans="1:11" x14ac:dyDescent="0.2">
      <c r="A8376"/>
      <c r="B8376"/>
      <c r="H8376"/>
      <c r="I8376" s="17"/>
      <c r="J8376" s="17"/>
      <c r="K8376" s="17"/>
    </row>
    <row r="8377" spans="1:11" x14ac:dyDescent="0.2">
      <c r="A8377"/>
      <c r="B8377"/>
      <c r="H8377"/>
      <c r="I8377" s="17"/>
      <c r="J8377" s="17"/>
      <c r="K8377" s="17"/>
    </row>
    <row r="8378" spans="1:11" x14ac:dyDescent="0.2">
      <c r="A8378"/>
      <c r="B8378"/>
      <c r="H8378"/>
      <c r="I8378" s="17"/>
      <c r="J8378" s="17"/>
      <c r="K8378" s="17"/>
    </row>
    <row r="8379" spans="1:11" x14ac:dyDescent="0.2">
      <c r="A8379"/>
      <c r="B8379"/>
      <c r="H8379"/>
      <c r="I8379" s="17"/>
      <c r="J8379" s="17"/>
      <c r="K8379" s="17"/>
    </row>
    <row r="8380" spans="1:11" x14ac:dyDescent="0.2">
      <c r="A8380"/>
      <c r="B8380"/>
      <c r="H8380"/>
      <c r="I8380" s="17"/>
      <c r="J8380" s="17"/>
      <c r="K8380" s="17"/>
    </row>
    <row r="8381" spans="1:11" x14ac:dyDescent="0.2">
      <c r="A8381"/>
      <c r="B8381"/>
      <c r="H8381"/>
      <c r="I8381" s="17"/>
      <c r="J8381" s="17"/>
      <c r="K8381" s="17"/>
    </row>
    <row r="8382" spans="1:11" x14ac:dyDescent="0.2">
      <c r="A8382"/>
      <c r="B8382"/>
      <c r="H8382"/>
      <c r="I8382" s="17"/>
      <c r="J8382" s="17"/>
      <c r="K8382" s="17"/>
    </row>
    <row r="8383" spans="1:11" x14ac:dyDescent="0.2">
      <c r="A8383"/>
      <c r="B8383"/>
      <c r="H8383"/>
      <c r="I8383" s="17"/>
      <c r="J8383" s="17"/>
      <c r="K8383" s="17"/>
    </row>
    <row r="8384" spans="1:11" x14ac:dyDescent="0.2">
      <c r="A8384"/>
      <c r="B8384"/>
      <c r="H8384"/>
      <c r="I8384" s="17"/>
      <c r="J8384" s="17"/>
      <c r="K8384" s="17"/>
    </row>
    <row r="8385" spans="1:11" x14ac:dyDescent="0.2">
      <c r="A8385"/>
      <c r="B8385"/>
      <c r="H8385"/>
      <c r="I8385" s="17"/>
      <c r="J8385" s="17"/>
      <c r="K8385" s="17"/>
    </row>
    <row r="8386" spans="1:11" x14ac:dyDescent="0.2">
      <c r="A8386"/>
      <c r="B8386"/>
      <c r="H8386"/>
      <c r="I8386" s="17"/>
      <c r="J8386" s="17"/>
      <c r="K8386" s="17"/>
    </row>
    <row r="8387" spans="1:11" x14ac:dyDescent="0.2">
      <c r="A8387"/>
      <c r="B8387"/>
      <c r="H8387"/>
      <c r="I8387" s="17"/>
      <c r="J8387" s="17"/>
      <c r="K8387" s="17"/>
    </row>
    <row r="8388" spans="1:11" x14ac:dyDescent="0.2">
      <c r="A8388"/>
      <c r="B8388"/>
      <c r="H8388"/>
      <c r="I8388" s="17"/>
      <c r="J8388" s="17"/>
      <c r="K8388" s="17"/>
    </row>
    <row r="8389" spans="1:11" x14ac:dyDescent="0.2">
      <c r="A8389"/>
      <c r="B8389"/>
      <c r="H8389"/>
      <c r="I8389" s="17"/>
      <c r="J8389" s="17"/>
      <c r="K8389" s="17"/>
    </row>
    <row r="8390" spans="1:11" x14ac:dyDescent="0.2">
      <c r="A8390"/>
      <c r="B8390"/>
      <c r="H8390"/>
      <c r="I8390" s="17"/>
      <c r="J8390" s="17"/>
      <c r="K8390" s="17"/>
    </row>
    <row r="8391" spans="1:11" x14ac:dyDescent="0.2">
      <c r="A8391"/>
      <c r="B8391"/>
      <c r="H8391"/>
      <c r="I8391" s="17"/>
      <c r="J8391" s="17"/>
      <c r="K8391" s="17"/>
    </row>
    <row r="8392" spans="1:11" x14ac:dyDescent="0.2">
      <c r="A8392"/>
      <c r="B8392"/>
      <c r="H8392"/>
      <c r="I8392" s="17"/>
      <c r="J8392" s="17"/>
      <c r="K8392" s="17"/>
    </row>
    <row r="8393" spans="1:11" x14ac:dyDescent="0.2">
      <c r="A8393"/>
      <c r="B8393"/>
      <c r="H8393"/>
      <c r="I8393" s="17"/>
      <c r="J8393" s="17"/>
      <c r="K8393" s="17"/>
    </row>
    <row r="8394" spans="1:11" x14ac:dyDescent="0.2">
      <c r="A8394"/>
      <c r="B8394"/>
      <c r="H8394"/>
      <c r="I8394" s="17"/>
      <c r="J8394" s="17"/>
      <c r="K8394" s="17"/>
    </row>
    <row r="8395" spans="1:11" x14ac:dyDescent="0.2">
      <c r="A8395"/>
      <c r="B8395"/>
      <c r="H8395"/>
      <c r="I8395" s="17"/>
      <c r="J8395" s="17"/>
      <c r="K8395" s="17"/>
    </row>
    <row r="8396" spans="1:11" x14ac:dyDescent="0.2">
      <c r="A8396"/>
      <c r="B8396"/>
      <c r="H8396"/>
      <c r="I8396" s="17"/>
      <c r="J8396" s="17"/>
      <c r="K8396" s="17"/>
    </row>
    <row r="8397" spans="1:11" x14ac:dyDescent="0.2">
      <c r="A8397"/>
      <c r="B8397"/>
      <c r="H8397"/>
      <c r="I8397" s="17"/>
      <c r="J8397" s="17"/>
      <c r="K8397" s="17"/>
    </row>
    <row r="8398" spans="1:11" x14ac:dyDescent="0.2">
      <c r="A8398"/>
      <c r="B8398"/>
      <c r="H8398"/>
      <c r="I8398" s="17"/>
      <c r="J8398" s="17"/>
      <c r="K8398" s="17"/>
    </row>
    <row r="8399" spans="1:11" x14ac:dyDescent="0.2">
      <c r="A8399"/>
      <c r="B8399"/>
      <c r="H8399"/>
      <c r="I8399" s="17"/>
      <c r="J8399" s="17"/>
      <c r="K8399" s="17"/>
    </row>
    <row r="8400" spans="1:11" x14ac:dyDescent="0.2">
      <c r="A8400"/>
      <c r="B8400"/>
      <c r="H8400"/>
      <c r="I8400" s="17"/>
      <c r="J8400" s="17"/>
      <c r="K8400" s="17"/>
    </row>
    <row r="8401" spans="1:11" x14ac:dyDescent="0.2">
      <c r="A8401"/>
      <c r="B8401"/>
      <c r="H8401"/>
      <c r="I8401" s="17"/>
      <c r="J8401" s="17"/>
      <c r="K8401" s="17"/>
    </row>
    <row r="8402" spans="1:11" x14ac:dyDescent="0.2">
      <c r="A8402"/>
      <c r="B8402"/>
      <c r="H8402"/>
      <c r="I8402" s="17"/>
      <c r="J8402" s="17"/>
      <c r="K8402" s="17"/>
    </row>
    <row r="8403" spans="1:11" x14ac:dyDescent="0.2">
      <c r="A8403"/>
      <c r="B8403"/>
      <c r="H8403"/>
      <c r="I8403" s="17"/>
      <c r="J8403" s="17"/>
      <c r="K8403" s="17"/>
    </row>
    <row r="8404" spans="1:11" x14ac:dyDescent="0.2">
      <c r="A8404"/>
      <c r="B8404"/>
      <c r="H8404"/>
      <c r="I8404" s="17"/>
      <c r="J8404" s="17"/>
      <c r="K8404" s="17"/>
    </row>
    <row r="8405" spans="1:11" x14ac:dyDescent="0.2">
      <c r="A8405"/>
      <c r="B8405"/>
      <c r="H8405"/>
      <c r="I8405" s="17"/>
      <c r="J8405" s="17"/>
      <c r="K8405" s="17"/>
    </row>
    <row r="8406" spans="1:11" x14ac:dyDescent="0.2">
      <c r="A8406"/>
      <c r="B8406"/>
      <c r="H8406"/>
      <c r="I8406" s="17"/>
      <c r="J8406" s="17"/>
      <c r="K8406" s="17"/>
    </row>
    <row r="8407" spans="1:11" x14ac:dyDescent="0.2">
      <c r="A8407"/>
      <c r="B8407"/>
      <c r="H8407"/>
      <c r="I8407" s="17"/>
      <c r="J8407" s="17"/>
      <c r="K8407" s="17"/>
    </row>
    <row r="8408" spans="1:11" x14ac:dyDescent="0.2">
      <c r="A8408"/>
      <c r="B8408"/>
      <c r="H8408"/>
      <c r="I8408" s="17"/>
      <c r="J8408" s="17"/>
      <c r="K8408" s="17"/>
    </row>
    <row r="8409" spans="1:11" x14ac:dyDescent="0.2">
      <c r="A8409"/>
      <c r="B8409"/>
      <c r="H8409"/>
      <c r="I8409" s="17"/>
      <c r="J8409" s="17"/>
      <c r="K8409" s="17"/>
    </row>
    <row r="8410" spans="1:11" x14ac:dyDescent="0.2">
      <c r="A8410"/>
      <c r="B8410"/>
      <c r="H8410"/>
      <c r="I8410" s="17"/>
      <c r="J8410" s="17"/>
      <c r="K8410" s="17"/>
    </row>
    <row r="8411" spans="1:11" x14ac:dyDescent="0.2">
      <c r="A8411"/>
      <c r="B8411"/>
      <c r="H8411"/>
      <c r="I8411" s="17"/>
      <c r="J8411" s="17"/>
      <c r="K8411" s="17"/>
    </row>
    <row r="8412" spans="1:11" x14ac:dyDescent="0.2">
      <c r="A8412"/>
      <c r="B8412"/>
      <c r="H8412"/>
      <c r="I8412" s="17"/>
      <c r="J8412" s="17"/>
      <c r="K8412" s="17"/>
    </row>
    <row r="8413" spans="1:11" x14ac:dyDescent="0.2">
      <c r="A8413"/>
      <c r="B8413"/>
      <c r="H8413"/>
      <c r="I8413" s="17"/>
      <c r="J8413" s="17"/>
      <c r="K8413" s="17"/>
    </row>
    <row r="8414" spans="1:11" x14ac:dyDescent="0.2">
      <c r="A8414"/>
      <c r="B8414"/>
      <c r="H8414"/>
      <c r="I8414" s="17"/>
      <c r="J8414" s="17"/>
      <c r="K8414" s="17"/>
    </row>
    <row r="8415" spans="1:11" x14ac:dyDescent="0.2">
      <c r="A8415"/>
      <c r="B8415"/>
      <c r="H8415"/>
      <c r="I8415" s="17"/>
      <c r="J8415" s="17"/>
      <c r="K8415" s="17"/>
    </row>
    <row r="8416" spans="1:11" x14ac:dyDescent="0.2">
      <c r="A8416"/>
      <c r="B8416"/>
      <c r="H8416"/>
      <c r="I8416" s="17"/>
      <c r="J8416" s="17"/>
      <c r="K8416" s="17"/>
    </row>
    <row r="8417" spans="1:11" x14ac:dyDescent="0.2">
      <c r="A8417"/>
      <c r="B8417"/>
      <c r="H8417"/>
      <c r="I8417" s="17"/>
      <c r="J8417" s="17"/>
      <c r="K8417" s="17"/>
    </row>
    <row r="8418" spans="1:11" x14ac:dyDescent="0.2">
      <c r="A8418"/>
      <c r="B8418"/>
      <c r="H8418"/>
      <c r="I8418" s="17"/>
      <c r="J8418" s="17"/>
      <c r="K8418" s="17"/>
    </row>
    <row r="8419" spans="1:11" x14ac:dyDescent="0.2">
      <c r="A8419"/>
      <c r="B8419"/>
      <c r="H8419"/>
      <c r="I8419" s="17"/>
      <c r="J8419" s="17"/>
      <c r="K8419" s="17"/>
    </row>
    <row r="8420" spans="1:11" x14ac:dyDescent="0.2">
      <c r="A8420"/>
      <c r="B8420"/>
      <c r="H8420"/>
      <c r="I8420" s="17"/>
      <c r="J8420" s="17"/>
      <c r="K8420" s="17"/>
    </row>
    <row r="8421" spans="1:11" x14ac:dyDescent="0.2">
      <c r="A8421"/>
      <c r="B8421"/>
      <c r="H8421"/>
      <c r="I8421" s="17"/>
      <c r="J8421" s="17"/>
      <c r="K8421" s="17"/>
    </row>
    <row r="8422" spans="1:11" x14ac:dyDescent="0.2">
      <c r="A8422"/>
      <c r="B8422"/>
      <c r="H8422"/>
      <c r="I8422" s="17"/>
      <c r="J8422" s="17"/>
      <c r="K8422" s="17"/>
    </row>
    <row r="8423" spans="1:11" x14ac:dyDescent="0.2">
      <c r="A8423"/>
      <c r="B8423"/>
      <c r="H8423"/>
      <c r="I8423" s="17"/>
      <c r="J8423" s="17"/>
      <c r="K8423" s="17"/>
    </row>
    <row r="8424" spans="1:11" x14ac:dyDescent="0.2">
      <c r="A8424"/>
      <c r="B8424"/>
      <c r="H8424"/>
      <c r="I8424" s="17"/>
      <c r="J8424" s="17"/>
      <c r="K8424" s="17"/>
    </row>
    <row r="8425" spans="1:11" x14ac:dyDescent="0.2">
      <c r="A8425"/>
      <c r="B8425"/>
      <c r="H8425"/>
      <c r="I8425" s="17"/>
      <c r="J8425" s="17"/>
      <c r="K8425" s="17"/>
    </row>
    <row r="8426" spans="1:11" x14ac:dyDescent="0.2">
      <c r="A8426"/>
      <c r="B8426"/>
      <c r="H8426"/>
      <c r="I8426" s="17"/>
      <c r="J8426" s="17"/>
      <c r="K8426" s="17"/>
    </row>
    <row r="8427" spans="1:11" x14ac:dyDescent="0.2">
      <c r="A8427"/>
      <c r="B8427"/>
      <c r="H8427"/>
      <c r="I8427" s="17"/>
      <c r="J8427" s="17"/>
      <c r="K8427" s="17"/>
    </row>
    <row r="8428" spans="1:11" x14ac:dyDescent="0.2">
      <c r="A8428"/>
      <c r="B8428"/>
      <c r="H8428"/>
      <c r="I8428" s="17"/>
      <c r="J8428" s="17"/>
      <c r="K8428" s="17"/>
    </row>
    <row r="8429" spans="1:11" x14ac:dyDescent="0.2">
      <c r="A8429"/>
      <c r="B8429"/>
      <c r="H8429"/>
      <c r="I8429" s="17"/>
      <c r="J8429" s="17"/>
      <c r="K8429" s="17"/>
    </row>
    <row r="8430" spans="1:11" x14ac:dyDescent="0.2">
      <c r="A8430"/>
      <c r="B8430"/>
      <c r="H8430"/>
      <c r="I8430" s="17"/>
      <c r="J8430" s="17"/>
      <c r="K8430" s="17"/>
    </row>
    <row r="8431" spans="1:11" x14ac:dyDescent="0.2">
      <c r="A8431"/>
      <c r="B8431"/>
      <c r="H8431"/>
      <c r="I8431" s="17"/>
      <c r="J8431" s="17"/>
      <c r="K8431" s="17"/>
    </row>
    <row r="8432" spans="1:11" x14ac:dyDescent="0.2">
      <c r="A8432"/>
      <c r="B8432"/>
      <c r="H8432"/>
      <c r="I8432" s="17"/>
      <c r="J8432" s="17"/>
      <c r="K8432" s="17"/>
    </row>
    <row r="8433" spans="1:11" x14ac:dyDescent="0.2">
      <c r="A8433"/>
      <c r="B8433"/>
      <c r="H8433"/>
      <c r="I8433" s="17"/>
      <c r="J8433" s="17"/>
      <c r="K8433" s="17"/>
    </row>
    <row r="8434" spans="1:11" x14ac:dyDescent="0.2">
      <c r="A8434"/>
      <c r="B8434"/>
      <c r="H8434"/>
      <c r="I8434" s="17"/>
      <c r="J8434" s="17"/>
      <c r="K8434" s="17"/>
    </row>
    <row r="8435" spans="1:11" x14ac:dyDescent="0.2">
      <c r="A8435"/>
      <c r="B8435"/>
      <c r="H8435"/>
      <c r="I8435" s="17"/>
      <c r="J8435" s="17"/>
      <c r="K8435" s="17"/>
    </row>
    <row r="8436" spans="1:11" x14ac:dyDescent="0.2">
      <c r="A8436"/>
      <c r="B8436"/>
      <c r="H8436"/>
      <c r="I8436" s="17"/>
      <c r="J8436" s="17"/>
      <c r="K8436" s="17"/>
    </row>
    <row r="8437" spans="1:11" x14ac:dyDescent="0.2">
      <c r="A8437"/>
      <c r="B8437"/>
      <c r="H8437"/>
      <c r="I8437" s="17"/>
      <c r="J8437" s="17"/>
      <c r="K8437" s="17"/>
    </row>
    <row r="8438" spans="1:11" x14ac:dyDescent="0.2">
      <c r="A8438"/>
      <c r="B8438"/>
      <c r="H8438"/>
      <c r="I8438" s="17"/>
      <c r="J8438" s="17"/>
      <c r="K8438" s="17"/>
    </row>
    <row r="8439" spans="1:11" x14ac:dyDescent="0.2">
      <c r="A8439"/>
      <c r="B8439"/>
      <c r="H8439"/>
      <c r="I8439" s="17"/>
      <c r="J8439" s="17"/>
      <c r="K8439" s="17"/>
    </row>
    <row r="8440" spans="1:11" x14ac:dyDescent="0.2">
      <c r="A8440"/>
      <c r="B8440"/>
      <c r="H8440"/>
      <c r="I8440" s="17"/>
      <c r="J8440" s="17"/>
      <c r="K8440" s="17"/>
    </row>
    <row r="8441" spans="1:11" x14ac:dyDescent="0.2">
      <c r="A8441"/>
      <c r="B8441"/>
      <c r="H8441"/>
      <c r="I8441" s="17"/>
      <c r="J8441" s="17"/>
      <c r="K8441" s="17"/>
    </row>
    <row r="8442" spans="1:11" x14ac:dyDescent="0.2">
      <c r="A8442"/>
      <c r="B8442"/>
      <c r="H8442"/>
      <c r="I8442" s="17"/>
      <c r="J8442" s="17"/>
      <c r="K8442" s="17"/>
    </row>
    <row r="8443" spans="1:11" x14ac:dyDescent="0.2">
      <c r="A8443"/>
      <c r="B8443"/>
      <c r="H8443"/>
      <c r="I8443" s="17"/>
      <c r="J8443" s="17"/>
      <c r="K8443" s="17"/>
    </row>
    <row r="8444" spans="1:11" x14ac:dyDescent="0.2">
      <c r="A8444"/>
      <c r="B8444"/>
      <c r="H8444"/>
      <c r="I8444" s="17"/>
      <c r="J8444" s="17"/>
      <c r="K8444" s="17"/>
    </row>
    <row r="8445" spans="1:11" x14ac:dyDescent="0.2">
      <c r="A8445"/>
      <c r="B8445"/>
      <c r="H8445"/>
      <c r="I8445" s="17"/>
      <c r="J8445" s="17"/>
      <c r="K8445" s="17"/>
    </row>
    <row r="8446" spans="1:11" x14ac:dyDescent="0.2">
      <c r="A8446"/>
      <c r="B8446"/>
      <c r="H8446"/>
      <c r="I8446" s="17"/>
      <c r="J8446" s="17"/>
      <c r="K8446" s="17"/>
    </row>
    <row r="8447" spans="1:11" x14ac:dyDescent="0.2">
      <c r="A8447"/>
      <c r="B8447"/>
      <c r="H8447"/>
      <c r="I8447" s="17"/>
      <c r="J8447" s="17"/>
      <c r="K8447" s="17"/>
    </row>
    <row r="8448" spans="1:11" x14ac:dyDescent="0.2">
      <c r="A8448"/>
      <c r="B8448"/>
      <c r="H8448"/>
      <c r="I8448" s="17"/>
      <c r="J8448" s="17"/>
      <c r="K8448" s="17"/>
    </row>
    <row r="8449" spans="1:11" x14ac:dyDescent="0.2">
      <c r="A8449"/>
      <c r="B8449"/>
      <c r="H8449"/>
      <c r="I8449" s="17"/>
      <c r="J8449" s="17"/>
      <c r="K8449" s="17"/>
    </row>
    <row r="8450" spans="1:11" x14ac:dyDescent="0.2">
      <c r="A8450"/>
      <c r="B8450"/>
      <c r="H8450"/>
      <c r="I8450" s="17"/>
      <c r="J8450" s="17"/>
      <c r="K8450" s="17"/>
    </row>
    <row r="8451" spans="1:11" x14ac:dyDescent="0.2">
      <c r="A8451"/>
      <c r="B8451"/>
      <c r="H8451"/>
      <c r="I8451" s="17"/>
      <c r="J8451" s="17"/>
      <c r="K8451" s="17"/>
    </row>
    <row r="8452" spans="1:11" x14ac:dyDescent="0.2">
      <c r="A8452"/>
      <c r="B8452"/>
      <c r="H8452"/>
      <c r="I8452" s="17"/>
      <c r="J8452" s="17"/>
      <c r="K8452" s="17"/>
    </row>
    <row r="8453" spans="1:11" x14ac:dyDescent="0.2">
      <c r="A8453"/>
      <c r="B8453"/>
      <c r="H8453"/>
      <c r="I8453" s="17"/>
      <c r="J8453" s="17"/>
      <c r="K8453" s="17"/>
    </row>
    <row r="8454" spans="1:11" x14ac:dyDescent="0.2">
      <c r="A8454"/>
      <c r="B8454"/>
      <c r="H8454"/>
      <c r="I8454" s="17"/>
      <c r="J8454" s="17"/>
      <c r="K8454" s="17"/>
    </row>
    <row r="8455" spans="1:11" x14ac:dyDescent="0.2">
      <c r="A8455"/>
      <c r="B8455"/>
      <c r="H8455"/>
      <c r="I8455" s="17"/>
      <c r="J8455" s="17"/>
      <c r="K8455" s="17"/>
    </row>
    <row r="8456" spans="1:11" x14ac:dyDescent="0.2">
      <c r="A8456"/>
      <c r="B8456"/>
      <c r="H8456"/>
      <c r="I8456" s="17"/>
      <c r="J8456" s="17"/>
      <c r="K8456" s="17"/>
    </row>
    <row r="8457" spans="1:11" x14ac:dyDescent="0.2">
      <c r="A8457"/>
      <c r="B8457"/>
      <c r="H8457"/>
      <c r="I8457" s="17"/>
      <c r="J8457" s="17"/>
      <c r="K8457" s="17"/>
    </row>
    <row r="8458" spans="1:11" x14ac:dyDescent="0.2">
      <c r="A8458"/>
      <c r="B8458"/>
      <c r="H8458"/>
      <c r="I8458" s="17"/>
      <c r="J8458" s="17"/>
      <c r="K8458" s="17"/>
    </row>
    <row r="8459" spans="1:11" x14ac:dyDescent="0.2">
      <c r="A8459"/>
      <c r="B8459"/>
      <c r="H8459"/>
      <c r="I8459" s="17"/>
      <c r="J8459" s="17"/>
      <c r="K8459" s="17"/>
    </row>
    <row r="8460" spans="1:11" x14ac:dyDescent="0.2">
      <c r="A8460"/>
      <c r="B8460"/>
      <c r="H8460"/>
      <c r="I8460" s="17"/>
      <c r="J8460" s="17"/>
      <c r="K8460" s="17"/>
    </row>
    <row r="8461" spans="1:11" x14ac:dyDescent="0.2">
      <c r="A8461"/>
      <c r="B8461"/>
      <c r="H8461"/>
      <c r="I8461" s="17"/>
      <c r="J8461" s="17"/>
      <c r="K8461" s="17"/>
    </row>
    <row r="8462" spans="1:11" x14ac:dyDescent="0.2">
      <c r="A8462"/>
      <c r="B8462"/>
      <c r="H8462"/>
      <c r="I8462" s="17"/>
      <c r="J8462" s="17"/>
      <c r="K8462" s="17"/>
    </row>
    <row r="8463" spans="1:11" x14ac:dyDescent="0.2">
      <c r="A8463"/>
      <c r="B8463"/>
      <c r="H8463"/>
      <c r="I8463" s="17"/>
      <c r="J8463" s="17"/>
      <c r="K8463" s="17"/>
    </row>
    <row r="8464" spans="1:11" x14ac:dyDescent="0.2">
      <c r="A8464"/>
      <c r="B8464"/>
      <c r="H8464"/>
      <c r="I8464" s="17"/>
      <c r="J8464" s="17"/>
      <c r="K8464" s="17"/>
    </row>
    <row r="8465" spans="1:11" x14ac:dyDescent="0.2">
      <c r="A8465"/>
      <c r="B8465"/>
      <c r="H8465"/>
      <c r="I8465" s="17"/>
      <c r="J8465" s="17"/>
      <c r="K8465" s="17"/>
    </row>
    <row r="8466" spans="1:11" x14ac:dyDescent="0.2">
      <c r="A8466"/>
      <c r="B8466"/>
      <c r="H8466"/>
      <c r="I8466" s="17"/>
      <c r="J8466" s="17"/>
      <c r="K8466" s="17"/>
    </row>
    <row r="8467" spans="1:11" x14ac:dyDescent="0.2">
      <c r="A8467"/>
      <c r="B8467"/>
      <c r="H8467"/>
      <c r="I8467" s="17"/>
      <c r="J8467" s="17"/>
      <c r="K8467" s="17"/>
    </row>
    <row r="8468" spans="1:11" x14ac:dyDescent="0.2">
      <c r="A8468"/>
      <c r="B8468"/>
      <c r="H8468"/>
      <c r="I8468" s="17"/>
      <c r="J8468" s="17"/>
      <c r="K8468" s="17"/>
    </row>
    <row r="8469" spans="1:11" x14ac:dyDescent="0.2">
      <c r="A8469"/>
      <c r="B8469"/>
      <c r="H8469"/>
      <c r="I8469" s="17"/>
      <c r="J8469" s="17"/>
      <c r="K8469" s="17"/>
    </row>
    <row r="8470" spans="1:11" x14ac:dyDescent="0.2">
      <c r="A8470"/>
      <c r="B8470"/>
      <c r="H8470"/>
      <c r="I8470" s="17"/>
      <c r="J8470" s="17"/>
      <c r="K8470" s="17"/>
    </row>
    <row r="8471" spans="1:11" x14ac:dyDescent="0.2">
      <c r="A8471"/>
      <c r="B8471"/>
      <c r="H8471"/>
      <c r="I8471" s="17"/>
      <c r="J8471" s="17"/>
      <c r="K8471" s="17"/>
    </row>
    <row r="8472" spans="1:11" x14ac:dyDescent="0.2">
      <c r="A8472"/>
      <c r="B8472"/>
      <c r="H8472"/>
      <c r="I8472" s="17"/>
      <c r="J8472" s="17"/>
      <c r="K8472" s="17"/>
    </row>
    <row r="8473" spans="1:11" x14ac:dyDescent="0.2">
      <c r="A8473"/>
      <c r="B8473"/>
      <c r="H8473"/>
      <c r="I8473" s="17"/>
      <c r="J8473" s="17"/>
      <c r="K8473" s="17"/>
    </row>
    <row r="8474" spans="1:11" x14ac:dyDescent="0.2">
      <c r="A8474"/>
      <c r="B8474"/>
      <c r="H8474"/>
      <c r="I8474" s="17"/>
      <c r="J8474" s="17"/>
      <c r="K8474" s="17"/>
    </row>
    <row r="8475" spans="1:11" x14ac:dyDescent="0.2">
      <c r="A8475"/>
      <c r="B8475"/>
      <c r="H8475"/>
      <c r="I8475" s="17"/>
      <c r="J8475" s="17"/>
      <c r="K8475" s="17"/>
    </row>
    <row r="8476" spans="1:11" x14ac:dyDescent="0.2">
      <c r="A8476"/>
      <c r="B8476"/>
      <c r="H8476"/>
      <c r="I8476" s="17"/>
      <c r="J8476" s="17"/>
      <c r="K8476" s="17"/>
    </row>
    <row r="8477" spans="1:11" x14ac:dyDescent="0.2">
      <c r="A8477"/>
      <c r="B8477"/>
      <c r="H8477"/>
      <c r="I8477" s="17"/>
      <c r="J8477" s="17"/>
      <c r="K8477" s="17"/>
    </row>
    <row r="8478" spans="1:11" x14ac:dyDescent="0.2">
      <c r="A8478"/>
      <c r="B8478"/>
      <c r="H8478"/>
      <c r="I8478" s="17"/>
      <c r="J8478" s="17"/>
      <c r="K8478" s="17"/>
    </row>
    <row r="8479" spans="1:11" x14ac:dyDescent="0.2">
      <c r="A8479"/>
      <c r="B8479"/>
      <c r="H8479"/>
      <c r="I8479" s="17"/>
      <c r="J8479" s="17"/>
      <c r="K8479" s="17"/>
    </row>
    <row r="8480" spans="1:11" x14ac:dyDescent="0.2">
      <c r="A8480"/>
      <c r="B8480"/>
      <c r="H8480"/>
      <c r="I8480" s="17"/>
      <c r="J8480" s="17"/>
      <c r="K8480" s="17"/>
    </row>
    <row r="8481" spans="1:11" x14ac:dyDescent="0.2">
      <c r="A8481"/>
      <c r="B8481"/>
      <c r="H8481"/>
      <c r="I8481" s="17"/>
      <c r="J8481" s="17"/>
      <c r="K8481" s="17"/>
    </row>
    <row r="8482" spans="1:11" x14ac:dyDescent="0.2">
      <c r="A8482"/>
      <c r="B8482"/>
      <c r="H8482"/>
      <c r="I8482" s="17"/>
      <c r="J8482" s="17"/>
      <c r="K8482" s="17"/>
    </row>
    <row r="8483" spans="1:11" x14ac:dyDescent="0.2">
      <c r="A8483"/>
      <c r="B8483"/>
      <c r="H8483"/>
      <c r="I8483" s="17"/>
      <c r="J8483" s="17"/>
      <c r="K8483" s="17"/>
    </row>
    <row r="8484" spans="1:11" x14ac:dyDescent="0.2">
      <c r="A8484"/>
      <c r="B8484"/>
      <c r="H8484"/>
      <c r="I8484" s="17"/>
      <c r="J8484" s="17"/>
      <c r="K8484" s="17"/>
    </row>
    <row r="8485" spans="1:11" x14ac:dyDescent="0.2">
      <c r="A8485"/>
      <c r="B8485"/>
      <c r="H8485"/>
      <c r="I8485" s="17"/>
      <c r="J8485" s="17"/>
      <c r="K8485" s="17"/>
    </row>
    <row r="8486" spans="1:11" x14ac:dyDescent="0.2">
      <c r="A8486"/>
      <c r="B8486"/>
      <c r="H8486"/>
      <c r="I8486" s="17"/>
      <c r="J8486" s="17"/>
      <c r="K8486" s="17"/>
    </row>
    <row r="8487" spans="1:11" x14ac:dyDescent="0.2">
      <c r="A8487"/>
      <c r="B8487"/>
      <c r="H8487"/>
      <c r="I8487" s="17"/>
      <c r="J8487" s="17"/>
      <c r="K8487" s="17"/>
    </row>
    <row r="8488" spans="1:11" x14ac:dyDescent="0.2">
      <c r="A8488"/>
      <c r="B8488"/>
      <c r="H8488"/>
      <c r="I8488" s="17"/>
      <c r="J8488" s="17"/>
      <c r="K8488" s="17"/>
    </row>
    <row r="8489" spans="1:11" x14ac:dyDescent="0.2">
      <c r="A8489"/>
      <c r="B8489"/>
      <c r="H8489"/>
      <c r="I8489" s="17"/>
      <c r="J8489" s="17"/>
      <c r="K8489" s="17"/>
    </row>
    <row r="8490" spans="1:11" x14ac:dyDescent="0.2">
      <c r="A8490"/>
      <c r="B8490"/>
      <c r="H8490"/>
      <c r="I8490" s="17"/>
      <c r="J8490" s="17"/>
      <c r="K8490" s="17"/>
    </row>
    <row r="8491" spans="1:11" x14ac:dyDescent="0.2">
      <c r="A8491"/>
      <c r="B8491"/>
      <c r="H8491"/>
      <c r="I8491" s="17"/>
      <c r="J8491" s="17"/>
      <c r="K8491" s="17"/>
    </row>
    <row r="8492" spans="1:11" x14ac:dyDescent="0.2">
      <c r="A8492"/>
      <c r="B8492"/>
      <c r="H8492"/>
      <c r="I8492" s="17"/>
      <c r="J8492" s="17"/>
      <c r="K8492" s="17"/>
    </row>
    <row r="8493" spans="1:11" x14ac:dyDescent="0.2">
      <c r="A8493"/>
      <c r="B8493"/>
      <c r="H8493"/>
      <c r="I8493" s="17"/>
      <c r="J8493" s="17"/>
      <c r="K8493" s="17"/>
    </row>
    <row r="8494" spans="1:11" x14ac:dyDescent="0.2">
      <c r="A8494"/>
      <c r="B8494"/>
      <c r="H8494"/>
      <c r="I8494" s="17"/>
      <c r="J8494" s="17"/>
      <c r="K8494" s="17"/>
    </row>
    <row r="8495" spans="1:11" x14ac:dyDescent="0.2">
      <c r="A8495"/>
      <c r="B8495"/>
      <c r="H8495"/>
      <c r="I8495" s="17"/>
      <c r="J8495" s="17"/>
      <c r="K8495" s="17"/>
    </row>
    <row r="8496" spans="1:11" x14ac:dyDescent="0.2">
      <c r="A8496"/>
      <c r="B8496"/>
      <c r="H8496"/>
      <c r="I8496" s="17"/>
      <c r="J8496" s="17"/>
      <c r="K8496" s="17"/>
    </row>
    <row r="8497" spans="1:11" x14ac:dyDescent="0.2">
      <c r="A8497"/>
      <c r="B8497"/>
      <c r="H8497"/>
      <c r="I8497" s="17"/>
      <c r="J8497" s="17"/>
      <c r="K8497" s="17"/>
    </row>
    <row r="8498" spans="1:11" x14ac:dyDescent="0.2">
      <c r="A8498"/>
      <c r="B8498"/>
      <c r="H8498"/>
      <c r="I8498" s="17"/>
      <c r="J8498" s="17"/>
      <c r="K8498" s="17"/>
    </row>
    <row r="8499" spans="1:11" x14ac:dyDescent="0.2">
      <c r="A8499"/>
      <c r="B8499"/>
      <c r="H8499"/>
      <c r="I8499" s="17"/>
      <c r="J8499" s="17"/>
      <c r="K8499" s="17"/>
    </row>
    <row r="8500" spans="1:11" x14ac:dyDescent="0.2">
      <c r="A8500"/>
      <c r="B8500"/>
      <c r="H8500"/>
      <c r="I8500" s="17"/>
      <c r="J8500" s="17"/>
      <c r="K8500" s="17"/>
    </row>
  </sheetData>
  <sheetProtection formatCells="0" formatColumns="0" formatRows="0" insertRows="0" deleteRows="0" sort="0" autoFilter="0"/>
  <phoneticPr fontId="11" type="noConversion"/>
  <conditionalFormatting sqref="A3:A7000">
    <cfRule type="expression" dxfId="1658" priority="1">
      <formula>AND(A3=A2, B3&lt;&gt;"")</formula>
    </cfRule>
  </conditionalFormatting>
  <hyperlinks>
    <hyperlink ref="K1" location="Index!A1" display="→ Index" xr:uid="{EB64318D-A855-3347-BDB0-1ADBD26E7DE0}"/>
  </hyperlinks>
  <pageMargins left="0.7" right="0.7" top="0.75" bottom="0.75" header="0.3" footer="0.3"/>
  <pageSetup paperSize="9" orientation="portrait" horizontalDpi="0" verticalDpi="0"/>
  <ignoredErrors>
    <ignoredError sqref="B1" numberStoredAsText="1"/>
    <ignoredError sqref="F1" calculatedColumn="1"/>
  </ignoredErrors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A05C-BFEE-5F45-A831-DF3CC78106DA}">
  <sheetPr codeName="Sheet24">
    <pageSetUpPr fitToPage="1"/>
  </sheetPr>
  <dimension ref="A1:K1637"/>
  <sheetViews>
    <sheetView zoomScale="150" zoomScaleNormal="150" workbookViewId="0">
      <selection activeCell="K1" sqref="K1"/>
    </sheetView>
  </sheetViews>
  <sheetFormatPr baseColWidth="10" defaultColWidth="10.83203125" defaultRowHeight="16" x14ac:dyDescent="0.2"/>
  <cols>
    <col min="1" max="1" width="62.5" bestFit="1" customWidth="1"/>
    <col min="2" max="2" width="19.33203125" bestFit="1" customWidth="1"/>
    <col min="3" max="3" width="20" bestFit="1" customWidth="1"/>
  </cols>
  <sheetData>
    <row r="1" spans="1:11" ht="18" x14ac:dyDescent="0.2">
      <c r="A1" s="116" t="s">
        <v>3</v>
      </c>
      <c r="B1" s="117" t="s">
        <v>918</v>
      </c>
      <c r="C1" s="17"/>
      <c r="D1" s="17"/>
      <c r="E1" s="17"/>
      <c r="F1" s="17"/>
      <c r="G1" s="17"/>
      <c r="H1" s="17"/>
      <c r="I1" s="17"/>
      <c r="J1" s="17"/>
      <c r="K1" s="18" t="s">
        <v>1288</v>
      </c>
    </row>
    <row r="2" spans="1:11" ht="15" x14ac:dyDescent="0.2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</row>
    <row r="3" spans="1:11" ht="20" x14ac:dyDescent="0.2">
      <c r="A3" s="118" t="s">
        <v>20</v>
      </c>
      <c r="B3" s="118" t="s">
        <v>11</v>
      </c>
      <c r="C3" s="118" t="s">
        <v>10</v>
      </c>
      <c r="D3" s="17"/>
      <c r="E3" s="17"/>
      <c r="F3" s="17"/>
      <c r="G3" s="17"/>
      <c r="H3" s="17"/>
      <c r="I3" s="17"/>
      <c r="J3" s="17"/>
      <c r="K3" s="17"/>
    </row>
    <row r="4" spans="1:11" s="4" customFormat="1" ht="18" x14ac:dyDescent="0.2">
      <c r="A4" s="119" t="s">
        <v>8</v>
      </c>
      <c r="B4" s="477"/>
      <c r="C4" s="477"/>
      <c r="D4" s="120"/>
      <c r="E4" s="120"/>
      <c r="F4" s="120"/>
      <c r="G4" s="120"/>
      <c r="H4" s="120"/>
      <c r="I4" s="120"/>
      <c r="J4" s="120"/>
      <c r="K4" s="120"/>
    </row>
    <row r="5" spans="1:11" ht="18" x14ac:dyDescent="0.2">
      <c r="A5" s="121" t="s">
        <v>8</v>
      </c>
      <c r="B5" s="117"/>
      <c r="C5" s="477"/>
      <c r="D5" s="17"/>
      <c r="E5" s="17"/>
      <c r="F5" s="17"/>
      <c r="G5" s="17"/>
      <c r="H5" s="17"/>
      <c r="I5" s="17"/>
      <c r="J5" s="17"/>
      <c r="K5" s="17"/>
    </row>
    <row r="6" spans="1:11" s="4" customFormat="1" ht="18" x14ac:dyDescent="0.2">
      <c r="A6" s="122">
        <v>46262</v>
      </c>
      <c r="B6" s="117">
        <v>5084118.9399999995</v>
      </c>
      <c r="C6" s="117">
        <v>50878.25</v>
      </c>
      <c r="D6" s="120"/>
      <c r="E6" s="120"/>
      <c r="F6" s="120"/>
      <c r="G6" s="120"/>
      <c r="H6" s="120"/>
      <c r="I6" s="120"/>
      <c r="J6" s="120"/>
      <c r="K6" s="120"/>
    </row>
    <row r="7" spans="1:11" ht="18" x14ac:dyDescent="0.2">
      <c r="A7" s="121" t="s">
        <v>54</v>
      </c>
      <c r="B7" s="117">
        <v>4583.67</v>
      </c>
      <c r="C7" s="117">
        <v>45.5</v>
      </c>
      <c r="D7" s="17"/>
      <c r="E7" s="17"/>
      <c r="F7" s="17"/>
      <c r="G7" s="17"/>
      <c r="H7" s="17"/>
      <c r="I7" s="17"/>
      <c r="J7" s="17"/>
      <c r="K7" s="17"/>
    </row>
    <row r="8" spans="1:11" ht="18" x14ac:dyDescent="0.2">
      <c r="A8" s="121" t="s">
        <v>57</v>
      </c>
      <c r="B8" s="117">
        <v>4220</v>
      </c>
      <c r="C8" s="117">
        <v>41.89</v>
      </c>
      <c r="D8" s="17"/>
      <c r="E8" s="17"/>
      <c r="F8" s="17"/>
      <c r="G8" s="17"/>
      <c r="H8" s="17"/>
      <c r="I8" s="17"/>
      <c r="J8" s="17"/>
      <c r="K8" s="17"/>
    </row>
    <row r="9" spans="1:11" ht="18" x14ac:dyDescent="0.2">
      <c r="A9" s="121" t="s">
        <v>56</v>
      </c>
      <c r="B9" s="117">
        <v>2014.8</v>
      </c>
      <c r="C9" s="117">
        <v>20</v>
      </c>
      <c r="D9" s="17"/>
      <c r="E9" s="17"/>
      <c r="F9" s="17"/>
      <c r="G9" s="17"/>
      <c r="H9" s="17"/>
      <c r="I9" s="17"/>
      <c r="J9" s="17"/>
      <c r="K9" s="17"/>
    </row>
    <row r="10" spans="1:11" ht="18" x14ac:dyDescent="0.2">
      <c r="A10" s="121" t="s">
        <v>152</v>
      </c>
      <c r="B10" s="117">
        <v>151599.9</v>
      </c>
      <c r="C10" s="117">
        <v>1504.86</v>
      </c>
      <c r="D10" s="17"/>
      <c r="E10" s="17"/>
      <c r="F10" s="17"/>
      <c r="G10" s="17"/>
      <c r="H10" s="17"/>
      <c r="I10" s="17"/>
      <c r="J10" s="17"/>
      <c r="K10" s="17"/>
    </row>
    <row r="11" spans="1:11" ht="18" x14ac:dyDescent="0.2">
      <c r="A11" s="121" t="s">
        <v>58</v>
      </c>
      <c r="B11" s="117">
        <v>205000</v>
      </c>
      <c r="C11" s="117">
        <v>2034.94</v>
      </c>
      <c r="D11" s="17"/>
      <c r="E11" s="17"/>
      <c r="F11" s="17"/>
      <c r="G11" s="17"/>
      <c r="H11" s="17"/>
      <c r="I11" s="17"/>
      <c r="J11" s="17"/>
      <c r="K11" s="17"/>
    </row>
    <row r="12" spans="1:11" ht="18" x14ac:dyDescent="0.2">
      <c r="A12" s="121" t="s">
        <v>95</v>
      </c>
      <c r="B12" s="117">
        <v>99326.62</v>
      </c>
      <c r="C12" s="117">
        <v>985.97</v>
      </c>
      <c r="D12" s="17"/>
      <c r="E12" s="17"/>
      <c r="F12" s="17"/>
      <c r="G12" s="17"/>
      <c r="H12" s="17"/>
      <c r="I12" s="17"/>
      <c r="J12" s="17"/>
      <c r="K12" s="17"/>
    </row>
    <row r="13" spans="1:11" ht="18" x14ac:dyDescent="0.2">
      <c r="A13" s="121" t="s">
        <v>199</v>
      </c>
      <c r="B13" s="117">
        <v>34251.599999999999</v>
      </c>
      <c r="C13" s="117">
        <v>340</v>
      </c>
      <c r="D13" s="17"/>
      <c r="E13" s="17"/>
      <c r="F13" s="17"/>
      <c r="G13" s="17"/>
      <c r="H13" s="17"/>
      <c r="I13" s="17"/>
      <c r="J13" s="17"/>
      <c r="K13" s="17"/>
    </row>
    <row r="14" spans="1:11" ht="18" x14ac:dyDescent="0.2">
      <c r="A14" s="121" t="s">
        <v>52</v>
      </c>
      <c r="B14" s="117">
        <v>1791000</v>
      </c>
      <c r="C14" s="117">
        <v>18000</v>
      </c>
      <c r="D14" s="17"/>
      <c r="E14" s="17"/>
      <c r="F14" s="17"/>
      <c r="G14" s="17"/>
      <c r="H14" s="17"/>
      <c r="I14" s="17"/>
      <c r="J14" s="17"/>
      <c r="K14" s="17"/>
    </row>
    <row r="15" spans="1:11" ht="18" x14ac:dyDescent="0.2">
      <c r="A15" s="121" t="s">
        <v>96</v>
      </c>
      <c r="B15" s="117">
        <v>203215.55</v>
      </c>
      <c r="C15" s="117">
        <v>2027.29</v>
      </c>
      <c r="D15" s="17"/>
      <c r="E15" s="17"/>
      <c r="F15" s="17"/>
      <c r="G15" s="17"/>
      <c r="H15" s="17"/>
      <c r="I15" s="17"/>
      <c r="J15" s="17"/>
      <c r="K15" s="17"/>
    </row>
    <row r="16" spans="1:11" ht="18" x14ac:dyDescent="0.2">
      <c r="A16" s="121" t="s">
        <v>714</v>
      </c>
      <c r="B16" s="117">
        <v>2014.8</v>
      </c>
      <c r="C16" s="117">
        <v>20</v>
      </c>
      <c r="D16" s="17"/>
      <c r="E16" s="17"/>
      <c r="F16" s="17"/>
      <c r="G16" s="17"/>
      <c r="H16" s="17"/>
      <c r="I16" s="17"/>
      <c r="J16" s="17"/>
      <c r="K16" s="17"/>
    </row>
    <row r="17" spans="1:11" ht="18" x14ac:dyDescent="0.2">
      <c r="A17" s="121" t="s">
        <v>1786</v>
      </c>
      <c r="B17" s="117">
        <v>109200</v>
      </c>
      <c r="C17" s="117">
        <v>1084.1999999999994</v>
      </c>
      <c r="D17" s="17"/>
      <c r="E17" s="17"/>
      <c r="F17" s="17"/>
      <c r="G17" s="17"/>
      <c r="H17" s="17"/>
      <c r="I17" s="17"/>
      <c r="J17" s="17"/>
      <c r="K17" s="17"/>
    </row>
    <row r="18" spans="1:11" ht="18" x14ac:dyDescent="0.2">
      <c r="A18" s="121" t="s">
        <v>2364</v>
      </c>
      <c r="B18" s="117">
        <v>522</v>
      </c>
      <c r="C18" s="117">
        <v>5.18</v>
      </c>
      <c r="D18" s="17"/>
      <c r="E18" s="17"/>
      <c r="F18" s="17"/>
      <c r="G18" s="17"/>
      <c r="H18" s="17"/>
      <c r="I18" s="17"/>
      <c r="J18" s="17"/>
      <c r="K18" s="17"/>
    </row>
    <row r="19" spans="1:11" ht="18" x14ac:dyDescent="0.2">
      <c r="A19" s="121" t="s">
        <v>2450</v>
      </c>
      <c r="B19" s="117">
        <v>27410</v>
      </c>
      <c r="C19" s="117">
        <v>272.08999999999997</v>
      </c>
      <c r="D19" s="17"/>
      <c r="E19" s="17"/>
      <c r="F19" s="17"/>
      <c r="G19" s="17"/>
      <c r="H19" s="17"/>
      <c r="I19" s="17"/>
      <c r="J19" s="17"/>
      <c r="K19" s="17"/>
    </row>
    <row r="20" spans="1:11" ht="18" x14ac:dyDescent="0.2">
      <c r="A20" s="121" t="s">
        <v>2611</v>
      </c>
      <c r="B20" s="117">
        <v>20000</v>
      </c>
      <c r="C20" s="117">
        <v>198.53</v>
      </c>
      <c r="D20" s="17"/>
      <c r="E20" s="17"/>
      <c r="F20" s="17"/>
      <c r="G20" s="17"/>
      <c r="H20" s="17"/>
      <c r="I20" s="17"/>
      <c r="J20" s="17"/>
      <c r="K20" s="17"/>
    </row>
    <row r="21" spans="1:11" ht="18" x14ac:dyDescent="0.2">
      <c r="A21" s="121" t="s">
        <v>3083</v>
      </c>
      <c r="B21" s="117">
        <v>30000</v>
      </c>
      <c r="C21" s="117">
        <v>297.8</v>
      </c>
      <c r="D21" s="17"/>
      <c r="E21" s="17"/>
      <c r="F21" s="17"/>
      <c r="G21" s="17"/>
      <c r="H21" s="17"/>
      <c r="I21" s="17"/>
      <c r="J21" s="17"/>
      <c r="K21" s="17"/>
    </row>
    <row r="22" spans="1:11" ht="18" x14ac:dyDescent="0.2">
      <c r="A22" s="121" t="s">
        <v>3806</v>
      </c>
      <c r="B22" s="117">
        <v>2399760</v>
      </c>
      <c r="C22" s="117">
        <v>24000</v>
      </c>
      <c r="D22" s="17"/>
      <c r="E22" s="17"/>
      <c r="F22" s="17"/>
      <c r="G22" s="17"/>
      <c r="H22" s="17"/>
      <c r="I22" s="17"/>
      <c r="J22" s="17"/>
      <c r="K22" s="17"/>
    </row>
    <row r="23" spans="1:11" ht="18" x14ac:dyDescent="0.2">
      <c r="A23" s="122">
        <v>46261</v>
      </c>
      <c r="B23" s="117">
        <v>3830326.1799999997</v>
      </c>
      <c r="C23" s="117">
        <v>38303.81</v>
      </c>
      <c r="D23" s="17"/>
      <c r="E23" s="17"/>
      <c r="F23" s="17"/>
      <c r="G23" s="17"/>
      <c r="H23" s="17"/>
      <c r="I23" s="17"/>
      <c r="J23" s="17"/>
      <c r="K23" s="17"/>
    </row>
    <row r="24" spans="1:11" ht="18" x14ac:dyDescent="0.2">
      <c r="A24" s="121" t="s">
        <v>54</v>
      </c>
      <c r="B24" s="117">
        <v>51045.96</v>
      </c>
      <c r="C24" s="117">
        <v>506.71</v>
      </c>
      <c r="D24" s="17"/>
      <c r="E24" s="17"/>
      <c r="F24" s="17"/>
      <c r="G24" s="17"/>
      <c r="H24" s="17"/>
      <c r="I24" s="17"/>
      <c r="J24" s="17"/>
      <c r="K24" s="17"/>
    </row>
    <row r="25" spans="1:11" ht="18" x14ac:dyDescent="0.2">
      <c r="A25" s="121" t="s">
        <v>57</v>
      </c>
      <c r="B25" s="117">
        <v>23978.12</v>
      </c>
      <c r="C25" s="117">
        <v>238.02</v>
      </c>
      <c r="D25" s="17"/>
      <c r="E25" s="17"/>
      <c r="F25" s="17"/>
      <c r="G25" s="17"/>
      <c r="H25" s="17"/>
      <c r="I25" s="17"/>
      <c r="J25" s="17"/>
      <c r="K25" s="17"/>
    </row>
    <row r="26" spans="1:11" ht="18" x14ac:dyDescent="0.2">
      <c r="A26" s="121" t="s">
        <v>56</v>
      </c>
      <c r="B26" s="117">
        <v>10138.469999999999</v>
      </c>
      <c r="C26" s="117">
        <v>100.64</v>
      </c>
      <c r="D26" s="17"/>
      <c r="E26" s="17"/>
      <c r="F26" s="17"/>
      <c r="G26" s="17"/>
      <c r="H26" s="17"/>
      <c r="I26" s="17"/>
      <c r="J26" s="17"/>
      <c r="K26" s="17"/>
    </row>
    <row r="27" spans="1:11" ht="18" x14ac:dyDescent="0.2">
      <c r="A27" s="121" t="s">
        <v>257</v>
      </c>
      <c r="B27" s="117">
        <v>9000</v>
      </c>
      <c r="C27" s="117">
        <v>89.34</v>
      </c>
      <c r="D27" s="17"/>
      <c r="E27" s="17"/>
      <c r="F27" s="17"/>
      <c r="G27" s="17"/>
      <c r="H27" s="17"/>
      <c r="I27" s="17"/>
      <c r="J27" s="17"/>
      <c r="K27" s="17"/>
    </row>
    <row r="28" spans="1:11" ht="18" x14ac:dyDescent="0.2">
      <c r="A28" s="121" t="s">
        <v>152</v>
      </c>
      <c r="B28" s="117">
        <v>69715.34</v>
      </c>
      <c r="C28" s="117">
        <v>692.03</v>
      </c>
      <c r="D28" s="17"/>
      <c r="E28" s="17"/>
      <c r="F28" s="17"/>
      <c r="G28" s="17"/>
      <c r="H28" s="17"/>
      <c r="I28" s="17"/>
      <c r="J28" s="17"/>
      <c r="K28" s="17"/>
    </row>
    <row r="29" spans="1:11" ht="18" x14ac:dyDescent="0.2">
      <c r="A29" s="121" t="s">
        <v>58</v>
      </c>
      <c r="B29" s="117">
        <v>258400</v>
      </c>
      <c r="C29" s="117">
        <v>2565.02</v>
      </c>
      <c r="D29" s="17"/>
      <c r="E29" s="17"/>
      <c r="F29" s="17"/>
      <c r="G29" s="17"/>
      <c r="H29" s="17"/>
      <c r="I29" s="17"/>
      <c r="J29" s="17"/>
      <c r="K29" s="17"/>
    </row>
    <row r="30" spans="1:11" ht="18" x14ac:dyDescent="0.2">
      <c r="A30" s="121" t="s">
        <v>95</v>
      </c>
      <c r="B30" s="117">
        <v>108276.36</v>
      </c>
      <c r="C30" s="117">
        <v>1074.81</v>
      </c>
      <c r="D30" s="17"/>
      <c r="E30" s="17"/>
      <c r="F30" s="17"/>
      <c r="G30" s="17"/>
      <c r="H30" s="17"/>
      <c r="I30" s="17"/>
      <c r="J30" s="17"/>
      <c r="K30" s="17"/>
    </row>
    <row r="31" spans="1:11" ht="18" x14ac:dyDescent="0.2">
      <c r="A31" s="121" t="s">
        <v>501</v>
      </c>
      <c r="B31" s="117">
        <v>120888</v>
      </c>
      <c r="C31" s="117">
        <v>1200</v>
      </c>
      <c r="D31" s="17"/>
      <c r="E31" s="17"/>
      <c r="F31" s="17"/>
      <c r="G31" s="17"/>
      <c r="H31" s="17"/>
      <c r="I31" s="17"/>
      <c r="J31" s="17"/>
      <c r="K31" s="17"/>
    </row>
    <row r="32" spans="1:11" ht="18" x14ac:dyDescent="0.2">
      <c r="A32" s="121" t="s">
        <v>52</v>
      </c>
      <c r="B32" s="117">
        <v>1194000</v>
      </c>
      <c r="C32" s="117">
        <v>12000</v>
      </c>
      <c r="D32" s="17"/>
      <c r="E32" s="17"/>
      <c r="F32" s="17"/>
      <c r="G32" s="17"/>
      <c r="H32" s="17"/>
      <c r="I32" s="17"/>
      <c r="J32" s="17"/>
      <c r="K32" s="17"/>
    </row>
    <row r="33" spans="1:11" ht="18" x14ac:dyDescent="0.2">
      <c r="A33" s="121" t="s">
        <v>714</v>
      </c>
      <c r="B33" s="117">
        <v>13740.93</v>
      </c>
      <c r="C33" s="117">
        <v>136.4</v>
      </c>
      <c r="D33" s="17"/>
      <c r="E33" s="17"/>
      <c r="F33" s="17"/>
      <c r="G33" s="17"/>
      <c r="H33" s="17"/>
      <c r="I33" s="17"/>
      <c r="J33" s="17"/>
      <c r="K33" s="17"/>
    </row>
    <row r="34" spans="1:11" ht="18" x14ac:dyDescent="0.2">
      <c r="A34" s="121" t="s">
        <v>1786</v>
      </c>
      <c r="B34" s="117">
        <v>92400</v>
      </c>
      <c r="C34" s="117">
        <v>917.39999999999952</v>
      </c>
      <c r="D34" s="17"/>
      <c r="E34" s="17"/>
      <c r="F34" s="17"/>
      <c r="G34" s="17"/>
      <c r="H34" s="17"/>
      <c r="I34" s="17"/>
      <c r="J34" s="17"/>
      <c r="K34" s="17"/>
    </row>
    <row r="35" spans="1:11" ht="18" x14ac:dyDescent="0.2">
      <c r="A35" s="121" t="s">
        <v>2450</v>
      </c>
      <c r="B35" s="117">
        <v>48775</v>
      </c>
      <c r="C35" s="117">
        <v>484.17</v>
      </c>
      <c r="D35" s="17"/>
      <c r="E35" s="17"/>
      <c r="F35" s="17"/>
      <c r="G35" s="17"/>
      <c r="H35" s="17"/>
      <c r="I35" s="17"/>
      <c r="J35" s="17"/>
      <c r="K35" s="17"/>
    </row>
    <row r="36" spans="1:11" ht="18" x14ac:dyDescent="0.2">
      <c r="A36" s="121" t="s">
        <v>2570</v>
      </c>
      <c r="B36" s="117">
        <v>20148</v>
      </c>
      <c r="C36" s="117">
        <v>200</v>
      </c>
      <c r="D36" s="17"/>
      <c r="E36" s="17"/>
      <c r="F36" s="17"/>
      <c r="G36" s="17"/>
      <c r="H36" s="17"/>
      <c r="I36" s="17"/>
      <c r="J36" s="17"/>
      <c r="K36" s="17"/>
    </row>
    <row r="37" spans="1:11" ht="18" x14ac:dyDescent="0.2">
      <c r="A37" s="121" t="s">
        <v>2611</v>
      </c>
      <c r="B37" s="117">
        <v>10000</v>
      </c>
      <c r="C37" s="117">
        <v>99.27</v>
      </c>
      <c r="D37" s="17"/>
      <c r="E37" s="17"/>
      <c r="F37" s="17"/>
      <c r="G37" s="17"/>
      <c r="H37" s="17"/>
      <c r="I37" s="17"/>
      <c r="J37" s="17"/>
      <c r="K37" s="17"/>
    </row>
    <row r="38" spans="1:11" ht="18" x14ac:dyDescent="0.2">
      <c r="A38" s="121" t="s">
        <v>3806</v>
      </c>
      <c r="B38" s="117">
        <v>1799820</v>
      </c>
      <c r="C38" s="117">
        <v>18000</v>
      </c>
      <c r="D38" s="17"/>
      <c r="E38" s="17"/>
      <c r="F38" s="17"/>
      <c r="G38" s="17"/>
      <c r="H38" s="17"/>
      <c r="I38" s="17"/>
      <c r="J38" s="17"/>
      <c r="K38" s="17"/>
    </row>
    <row r="39" spans="1:11" ht="18" x14ac:dyDescent="0.2">
      <c r="A39" s="122">
        <v>46260</v>
      </c>
      <c r="B39" s="117">
        <v>7648795.1699999999</v>
      </c>
      <c r="C39" s="117">
        <v>76631.820000000007</v>
      </c>
      <c r="D39" s="17"/>
      <c r="E39" s="17"/>
      <c r="F39" s="17"/>
      <c r="G39" s="17"/>
      <c r="H39" s="17"/>
      <c r="I39" s="17"/>
      <c r="J39" s="17"/>
      <c r="K39" s="17"/>
    </row>
    <row r="40" spans="1:11" ht="18" x14ac:dyDescent="0.2">
      <c r="A40" s="121" t="s">
        <v>53</v>
      </c>
      <c r="B40" s="117">
        <v>5301.94</v>
      </c>
      <c r="C40" s="117">
        <v>52.63</v>
      </c>
      <c r="D40" s="17"/>
      <c r="E40" s="17"/>
      <c r="F40" s="17"/>
      <c r="G40" s="17"/>
      <c r="H40" s="17"/>
      <c r="I40" s="17"/>
      <c r="J40" s="17"/>
      <c r="K40" s="17"/>
    </row>
    <row r="41" spans="1:11" ht="18" x14ac:dyDescent="0.2">
      <c r="A41" s="121" t="s">
        <v>143</v>
      </c>
      <c r="B41" s="117">
        <v>1194000</v>
      </c>
      <c r="C41" s="117">
        <v>12000</v>
      </c>
      <c r="D41" s="17"/>
      <c r="E41" s="17"/>
      <c r="F41" s="17"/>
      <c r="G41" s="17"/>
      <c r="H41" s="17"/>
      <c r="I41" s="17"/>
      <c r="J41" s="17"/>
      <c r="K41" s="17"/>
    </row>
    <row r="42" spans="1:11" ht="18" x14ac:dyDescent="0.2">
      <c r="A42" s="121" t="s">
        <v>57</v>
      </c>
      <c r="B42" s="117">
        <v>80289.78</v>
      </c>
      <c r="C42" s="117">
        <v>797</v>
      </c>
      <c r="D42" s="17"/>
      <c r="E42" s="17"/>
      <c r="F42" s="17"/>
      <c r="G42" s="17"/>
      <c r="H42" s="17"/>
      <c r="I42" s="17"/>
      <c r="J42" s="17"/>
      <c r="K42" s="17"/>
    </row>
    <row r="43" spans="1:11" ht="18" x14ac:dyDescent="0.2">
      <c r="A43" s="121" t="s">
        <v>56</v>
      </c>
      <c r="B43" s="117">
        <v>5645.46</v>
      </c>
      <c r="C43" s="117">
        <v>56.04</v>
      </c>
      <c r="D43" s="17"/>
      <c r="E43" s="17"/>
      <c r="F43" s="17"/>
      <c r="G43" s="17"/>
      <c r="H43" s="17"/>
      <c r="I43" s="17"/>
      <c r="J43" s="17"/>
      <c r="K43" s="17"/>
    </row>
    <row r="44" spans="1:11" ht="18" x14ac:dyDescent="0.2">
      <c r="A44" s="121" t="s">
        <v>152</v>
      </c>
      <c r="B44" s="117">
        <v>101011</v>
      </c>
      <c r="C44" s="117">
        <v>1002.69</v>
      </c>
      <c r="D44" s="17"/>
      <c r="E44" s="17"/>
      <c r="F44" s="17"/>
      <c r="G44" s="17"/>
      <c r="H44" s="17"/>
      <c r="I44" s="17"/>
      <c r="J44" s="17"/>
      <c r="K44" s="17"/>
    </row>
    <row r="45" spans="1:11" ht="18" x14ac:dyDescent="0.2">
      <c r="A45" s="121" t="s">
        <v>58</v>
      </c>
      <c r="B45" s="117">
        <v>240400</v>
      </c>
      <c r="C45" s="117">
        <v>2386.34</v>
      </c>
      <c r="D45" s="17"/>
      <c r="E45" s="17"/>
      <c r="F45" s="17"/>
      <c r="G45" s="17"/>
      <c r="H45" s="17"/>
      <c r="I45" s="17"/>
      <c r="J45" s="17"/>
      <c r="K45" s="17"/>
    </row>
    <row r="46" spans="1:11" ht="18" x14ac:dyDescent="0.2">
      <c r="A46" s="121" t="s">
        <v>95</v>
      </c>
      <c r="B46" s="117">
        <v>231183.19</v>
      </c>
      <c r="C46" s="117">
        <v>2294.85</v>
      </c>
      <c r="D46" s="17"/>
      <c r="E46" s="17"/>
      <c r="F46" s="17"/>
      <c r="G46" s="17"/>
      <c r="H46" s="17"/>
      <c r="I46" s="17"/>
      <c r="J46" s="17"/>
      <c r="K46" s="17"/>
    </row>
    <row r="47" spans="1:11" ht="18" x14ac:dyDescent="0.2">
      <c r="A47" s="121" t="s">
        <v>51</v>
      </c>
      <c r="B47" s="117">
        <v>1194000</v>
      </c>
      <c r="C47" s="117">
        <v>12000</v>
      </c>
      <c r="D47" s="17"/>
      <c r="E47" s="17"/>
      <c r="F47" s="17"/>
      <c r="G47" s="17"/>
      <c r="H47" s="17"/>
      <c r="I47" s="17"/>
      <c r="J47" s="17"/>
      <c r="K47" s="17"/>
    </row>
    <row r="48" spans="1:11" ht="18" x14ac:dyDescent="0.2">
      <c r="A48" s="121" t="s">
        <v>52</v>
      </c>
      <c r="B48" s="117">
        <v>1791000</v>
      </c>
      <c r="C48" s="117">
        <v>18000</v>
      </c>
      <c r="D48" s="17"/>
      <c r="E48" s="17"/>
      <c r="F48" s="17"/>
      <c r="G48" s="17"/>
      <c r="H48" s="17"/>
      <c r="I48" s="17"/>
      <c r="J48" s="17"/>
      <c r="K48" s="17"/>
    </row>
    <row r="49" spans="1:11" ht="18" x14ac:dyDescent="0.2">
      <c r="A49" s="121" t="s">
        <v>96</v>
      </c>
      <c r="B49" s="117">
        <v>200480</v>
      </c>
      <c r="C49" s="117">
        <v>2000</v>
      </c>
      <c r="D49" s="17"/>
      <c r="E49" s="17"/>
      <c r="F49" s="17"/>
      <c r="G49" s="17"/>
      <c r="H49" s="17"/>
      <c r="I49" s="17"/>
      <c r="J49" s="17"/>
      <c r="K49" s="17"/>
    </row>
    <row r="50" spans="1:11" ht="18" x14ac:dyDescent="0.2">
      <c r="A50" s="121" t="s">
        <v>714</v>
      </c>
      <c r="B50" s="117">
        <v>4514.8</v>
      </c>
      <c r="C50" s="117">
        <v>44.82</v>
      </c>
      <c r="D50" s="17"/>
      <c r="E50" s="17"/>
      <c r="F50" s="17"/>
      <c r="G50" s="17"/>
      <c r="H50" s="17"/>
      <c r="I50" s="17"/>
      <c r="J50" s="17"/>
      <c r="K50" s="17"/>
    </row>
    <row r="51" spans="1:11" ht="18" x14ac:dyDescent="0.2">
      <c r="A51" s="121" t="s">
        <v>1786</v>
      </c>
      <c r="B51" s="117">
        <v>64400</v>
      </c>
      <c r="C51" s="117">
        <v>639.4</v>
      </c>
      <c r="D51" s="17"/>
      <c r="E51" s="17"/>
      <c r="F51" s="17"/>
      <c r="G51" s="17"/>
      <c r="H51" s="17"/>
      <c r="I51" s="17"/>
      <c r="J51" s="17"/>
      <c r="K51" s="17"/>
    </row>
    <row r="52" spans="1:11" ht="18" x14ac:dyDescent="0.2">
      <c r="A52" s="121" t="s">
        <v>2364</v>
      </c>
      <c r="B52" s="117">
        <v>470</v>
      </c>
      <c r="C52" s="117">
        <v>4.67</v>
      </c>
      <c r="D52" s="17"/>
      <c r="E52" s="17"/>
      <c r="F52" s="17"/>
      <c r="G52" s="17"/>
      <c r="H52" s="17"/>
      <c r="I52" s="17"/>
      <c r="J52" s="17"/>
      <c r="K52" s="17"/>
    </row>
    <row r="53" spans="1:11" ht="18" x14ac:dyDescent="0.2">
      <c r="A53" s="121" t="s">
        <v>2450</v>
      </c>
      <c r="B53" s="117">
        <v>22043</v>
      </c>
      <c r="C53" s="117">
        <v>218.81</v>
      </c>
      <c r="D53" s="17"/>
      <c r="E53" s="17"/>
      <c r="F53" s="17"/>
      <c r="G53" s="17"/>
      <c r="H53" s="17"/>
      <c r="I53" s="17"/>
      <c r="J53" s="17"/>
      <c r="K53" s="17"/>
    </row>
    <row r="54" spans="1:11" ht="18" x14ac:dyDescent="0.2">
      <c r="A54" s="121" t="s">
        <v>2570</v>
      </c>
      <c r="B54" s="117">
        <v>94296</v>
      </c>
      <c r="C54" s="117">
        <v>936.04000000000019</v>
      </c>
      <c r="D54" s="17"/>
      <c r="E54" s="17"/>
      <c r="F54" s="17"/>
      <c r="G54" s="17"/>
      <c r="H54" s="17"/>
      <c r="I54" s="17"/>
      <c r="J54" s="17"/>
      <c r="K54" s="17"/>
    </row>
    <row r="55" spans="1:11" ht="18" x14ac:dyDescent="0.2">
      <c r="A55" s="121" t="s">
        <v>2611</v>
      </c>
      <c r="B55" s="117">
        <v>20000</v>
      </c>
      <c r="C55" s="117">
        <v>198.53</v>
      </c>
      <c r="D55" s="17"/>
      <c r="E55" s="17"/>
      <c r="F55" s="17"/>
      <c r="G55" s="17"/>
      <c r="H55" s="17"/>
      <c r="I55" s="17"/>
      <c r="J55" s="17"/>
      <c r="K55" s="17"/>
    </row>
    <row r="56" spans="1:11" ht="18" x14ac:dyDescent="0.2">
      <c r="A56" s="121" t="s">
        <v>3806</v>
      </c>
      <c r="B56" s="117">
        <v>2399760</v>
      </c>
      <c r="C56" s="117">
        <v>24000</v>
      </c>
      <c r="D56" s="17"/>
      <c r="E56" s="17"/>
      <c r="F56" s="17"/>
      <c r="G56" s="17"/>
      <c r="H56" s="17"/>
      <c r="I56" s="17"/>
      <c r="J56" s="17"/>
      <c r="K56" s="17"/>
    </row>
    <row r="57" spans="1:11" ht="18" x14ac:dyDescent="0.2">
      <c r="A57" s="122">
        <v>46259</v>
      </c>
      <c r="B57" s="117">
        <v>674284.14999999991</v>
      </c>
      <c r="C57" s="117">
        <v>6693.37</v>
      </c>
      <c r="D57" s="17"/>
      <c r="E57" s="17"/>
      <c r="F57" s="17"/>
      <c r="G57" s="17"/>
      <c r="H57" s="17"/>
      <c r="I57" s="17"/>
      <c r="J57" s="17"/>
      <c r="K57" s="17"/>
    </row>
    <row r="58" spans="1:11" ht="18" x14ac:dyDescent="0.2">
      <c r="A58" s="121" t="s">
        <v>57</v>
      </c>
      <c r="B58" s="117">
        <v>23472.42</v>
      </c>
      <c r="C58" s="117">
        <v>233</v>
      </c>
      <c r="D58" s="17"/>
      <c r="E58" s="17"/>
      <c r="F58" s="17"/>
      <c r="G58" s="17"/>
      <c r="H58" s="17"/>
      <c r="I58" s="17"/>
      <c r="J58" s="17"/>
      <c r="K58" s="17"/>
    </row>
    <row r="59" spans="1:11" ht="18" x14ac:dyDescent="0.2">
      <c r="A59" s="121" t="s">
        <v>56</v>
      </c>
      <c r="B59" s="117">
        <v>3022.2</v>
      </c>
      <c r="C59" s="117">
        <v>30</v>
      </c>
      <c r="D59" s="17"/>
      <c r="E59" s="17"/>
      <c r="F59" s="17"/>
      <c r="G59" s="17"/>
      <c r="H59" s="17"/>
      <c r="I59" s="17"/>
      <c r="J59" s="17"/>
      <c r="K59" s="17"/>
    </row>
    <row r="60" spans="1:11" ht="18" x14ac:dyDescent="0.2">
      <c r="A60" s="121" t="s">
        <v>152</v>
      </c>
      <c r="B60" s="117">
        <v>91822.56</v>
      </c>
      <c r="C60" s="117">
        <v>911.48</v>
      </c>
      <c r="D60" s="17"/>
      <c r="E60" s="17"/>
      <c r="F60" s="17"/>
      <c r="G60" s="17"/>
      <c r="H60" s="17"/>
      <c r="I60" s="17"/>
      <c r="J60" s="17"/>
      <c r="K60" s="17"/>
    </row>
    <row r="61" spans="1:11" ht="18" x14ac:dyDescent="0.2">
      <c r="A61" s="121" t="s">
        <v>58</v>
      </c>
      <c r="B61" s="117">
        <v>184114.8</v>
      </c>
      <c r="C61" s="117">
        <v>1827.62</v>
      </c>
      <c r="D61" s="17"/>
      <c r="E61" s="17"/>
      <c r="F61" s="17"/>
      <c r="G61" s="17"/>
      <c r="H61" s="17"/>
      <c r="I61" s="17"/>
      <c r="J61" s="17"/>
      <c r="K61" s="17"/>
    </row>
    <row r="62" spans="1:11" ht="18" x14ac:dyDescent="0.2">
      <c r="A62" s="121" t="s">
        <v>95</v>
      </c>
      <c r="B62" s="117">
        <v>159314.26999999999</v>
      </c>
      <c r="C62" s="117">
        <v>1581.44</v>
      </c>
      <c r="D62" s="17"/>
      <c r="E62" s="17"/>
      <c r="F62" s="17"/>
      <c r="G62" s="17"/>
      <c r="H62" s="17"/>
      <c r="I62" s="17"/>
      <c r="J62" s="17"/>
      <c r="K62" s="17"/>
    </row>
    <row r="63" spans="1:11" ht="18" x14ac:dyDescent="0.2">
      <c r="A63" s="121" t="s">
        <v>136</v>
      </c>
      <c r="B63" s="117">
        <v>3800.92</v>
      </c>
      <c r="C63" s="117">
        <v>37.729999999999997</v>
      </c>
      <c r="D63" s="17"/>
      <c r="E63" s="17"/>
      <c r="F63" s="17"/>
      <c r="G63" s="17"/>
      <c r="H63" s="17"/>
      <c r="I63" s="17"/>
      <c r="J63" s="17"/>
      <c r="K63" s="17"/>
    </row>
    <row r="64" spans="1:11" ht="18" x14ac:dyDescent="0.2">
      <c r="A64" s="121" t="s">
        <v>199</v>
      </c>
      <c r="B64" s="117">
        <v>24700.44</v>
      </c>
      <c r="C64" s="117">
        <v>245.19</v>
      </c>
      <c r="D64" s="17"/>
      <c r="E64" s="17"/>
      <c r="F64" s="17"/>
      <c r="G64" s="17"/>
      <c r="H64" s="17"/>
      <c r="I64" s="17"/>
      <c r="J64" s="17"/>
      <c r="K64" s="17"/>
    </row>
    <row r="65" spans="1:11" ht="18" x14ac:dyDescent="0.2">
      <c r="A65" s="121" t="s">
        <v>714</v>
      </c>
      <c r="B65" s="117">
        <v>21759.84</v>
      </c>
      <c r="C65" s="117">
        <v>216</v>
      </c>
      <c r="D65" s="17"/>
      <c r="E65" s="17"/>
      <c r="F65" s="17"/>
      <c r="G65" s="17"/>
      <c r="H65" s="17"/>
      <c r="I65" s="17"/>
      <c r="J65" s="17"/>
      <c r="K65" s="17"/>
    </row>
    <row r="66" spans="1:11" ht="18" x14ac:dyDescent="0.2">
      <c r="A66" s="121" t="s">
        <v>1786</v>
      </c>
      <c r="B66" s="117">
        <v>30800</v>
      </c>
      <c r="C66" s="117">
        <v>305.80000000000007</v>
      </c>
      <c r="D66" s="17"/>
      <c r="E66" s="17"/>
      <c r="F66" s="17"/>
      <c r="G66" s="17"/>
      <c r="H66" s="17"/>
      <c r="I66" s="17"/>
      <c r="J66" s="17"/>
      <c r="K66" s="17"/>
    </row>
    <row r="67" spans="1:11" ht="18" x14ac:dyDescent="0.2">
      <c r="A67" s="121" t="s">
        <v>2364</v>
      </c>
      <c r="B67" s="117">
        <v>1000</v>
      </c>
      <c r="C67" s="117">
        <v>9.93</v>
      </c>
      <c r="D67" s="17"/>
      <c r="E67" s="17"/>
      <c r="F67" s="17"/>
      <c r="G67" s="17"/>
      <c r="H67" s="17"/>
      <c r="I67" s="17"/>
      <c r="J67" s="17"/>
      <c r="K67" s="17"/>
    </row>
    <row r="68" spans="1:11" ht="18" x14ac:dyDescent="0.2">
      <c r="A68" s="121" t="s">
        <v>2450</v>
      </c>
      <c r="B68" s="117">
        <v>110328.7</v>
      </c>
      <c r="C68" s="117">
        <v>1095.18</v>
      </c>
      <c r="D68" s="17"/>
      <c r="E68" s="17"/>
      <c r="F68" s="17"/>
      <c r="G68" s="17"/>
      <c r="H68" s="17"/>
      <c r="I68" s="17"/>
      <c r="J68" s="17"/>
      <c r="K68" s="17"/>
    </row>
    <row r="69" spans="1:11" ht="18" x14ac:dyDescent="0.2">
      <c r="A69" s="121" t="s">
        <v>2570</v>
      </c>
      <c r="B69" s="117">
        <v>20148</v>
      </c>
      <c r="C69" s="117">
        <v>200</v>
      </c>
      <c r="D69" s="17"/>
      <c r="E69" s="17"/>
      <c r="F69" s="17"/>
      <c r="G69" s="17"/>
      <c r="H69" s="17"/>
      <c r="I69" s="17"/>
      <c r="J69" s="17"/>
      <c r="K69" s="17"/>
    </row>
    <row r="70" spans="1:11" ht="18" x14ac:dyDescent="0.2">
      <c r="A70" s="122">
        <v>46258</v>
      </c>
      <c r="B70" s="117">
        <v>5006133.38</v>
      </c>
      <c r="C70" s="117">
        <v>50220.53</v>
      </c>
      <c r="D70" s="17"/>
      <c r="E70" s="17"/>
      <c r="F70" s="17"/>
      <c r="G70" s="17"/>
      <c r="H70" s="17"/>
      <c r="I70" s="17"/>
      <c r="J70" s="17"/>
      <c r="K70" s="17"/>
    </row>
    <row r="71" spans="1:11" ht="18" x14ac:dyDescent="0.2">
      <c r="A71" s="121" t="s">
        <v>143</v>
      </c>
      <c r="B71" s="117">
        <v>1194000</v>
      </c>
      <c r="C71" s="117">
        <v>12000</v>
      </c>
      <c r="D71" s="17"/>
      <c r="E71" s="17"/>
      <c r="F71" s="17"/>
      <c r="G71" s="17"/>
      <c r="H71" s="17"/>
      <c r="I71" s="17"/>
      <c r="J71" s="17"/>
      <c r="K71" s="17"/>
    </row>
    <row r="72" spans="1:11" ht="18" x14ac:dyDescent="0.2">
      <c r="A72" s="121" t="s">
        <v>57</v>
      </c>
      <c r="B72" s="117">
        <v>13300</v>
      </c>
      <c r="C72" s="117">
        <v>132.02000000000001</v>
      </c>
      <c r="D72" s="17"/>
      <c r="E72" s="17"/>
      <c r="F72" s="17"/>
      <c r="G72" s="17"/>
      <c r="H72" s="17"/>
      <c r="I72" s="17"/>
      <c r="J72" s="17"/>
      <c r="K72" s="17"/>
    </row>
    <row r="73" spans="1:11" ht="18" x14ac:dyDescent="0.2">
      <c r="A73" s="121" t="s">
        <v>56</v>
      </c>
      <c r="B73" s="117">
        <v>10385.280000000001</v>
      </c>
      <c r="C73" s="117">
        <v>103.09</v>
      </c>
      <c r="D73" s="17"/>
      <c r="E73" s="17"/>
      <c r="F73" s="17"/>
      <c r="G73" s="17"/>
      <c r="H73" s="17"/>
      <c r="I73" s="17"/>
      <c r="J73" s="17"/>
      <c r="K73" s="17"/>
    </row>
    <row r="74" spans="1:11" ht="18" x14ac:dyDescent="0.2">
      <c r="A74" s="121" t="s">
        <v>152</v>
      </c>
      <c r="B74" s="117">
        <v>115069.9</v>
      </c>
      <c r="C74" s="117">
        <v>1142.25</v>
      </c>
      <c r="D74" s="17"/>
      <c r="E74" s="17"/>
      <c r="F74" s="17"/>
      <c r="G74" s="17"/>
      <c r="H74" s="17"/>
      <c r="I74" s="17"/>
      <c r="J74" s="17"/>
      <c r="K74" s="17"/>
    </row>
    <row r="75" spans="1:11" ht="18" x14ac:dyDescent="0.2">
      <c r="A75" s="121" t="s">
        <v>58</v>
      </c>
      <c r="B75" s="117">
        <v>236800</v>
      </c>
      <c r="C75" s="117">
        <v>2350.61</v>
      </c>
      <c r="D75" s="17"/>
      <c r="E75" s="17"/>
      <c r="F75" s="17"/>
      <c r="G75" s="17"/>
      <c r="H75" s="17"/>
      <c r="I75" s="17"/>
      <c r="J75" s="17"/>
      <c r="K75" s="17"/>
    </row>
    <row r="76" spans="1:11" ht="18" x14ac:dyDescent="0.2">
      <c r="A76" s="121" t="s">
        <v>95</v>
      </c>
      <c r="B76" s="117">
        <v>144020.93</v>
      </c>
      <c r="C76" s="117">
        <v>1429.63</v>
      </c>
      <c r="D76" s="17"/>
      <c r="E76" s="17"/>
      <c r="F76" s="17"/>
      <c r="G76" s="17"/>
      <c r="H76" s="17"/>
      <c r="I76" s="17"/>
      <c r="J76" s="17"/>
      <c r="K76" s="17"/>
    </row>
    <row r="77" spans="1:11" ht="18" x14ac:dyDescent="0.2">
      <c r="A77" s="121" t="s">
        <v>199</v>
      </c>
      <c r="B77" s="117">
        <v>20620.47</v>
      </c>
      <c r="C77" s="117">
        <v>204.69</v>
      </c>
      <c r="D77" s="17"/>
      <c r="E77" s="17"/>
      <c r="F77" s="17"/>
      <c r="G77" s="17"/>
      <c r="H77" s="17"/>
      <c r="I77" s="17"/>
      <c r="J77" s="17"/>
      <c r="K77" s="17"/>
    </row>
    <row r="78" spans="1:11" ht="18" x14ac:dyDescent="0.2">
      <c r="A78" s="121" t="s">
        <v>51</v>
      </c>
      <c r="B78" s="117">
        <v>1791000</v>
      </c>
      <c r="C78" s="117">
        <v>18000</v>
      </c>
      <c r="D78" s="17"/>
      <c r="E78" s="17"/>
      <c r="F78" s="17"/>
      <c r="G78" s="17"/>
      <c r="H78" s="17"/>
      <c r="I78" s="17"/>
      <c r="J78" s="17"/>
      <c r="K78" s="17"/>
    </row>
    <row r="79" spans="1:11" ht="18" x14ac:dyDescent="0.2">
      <c r="A79" s="121" t="s">
        <v>1532</v>
      </c>
      <c r="B79" s="117">
        <v>398000</v>
      </c>
      <c r="C79" s="117">
        <v>4000</v>
      </c>
      <c r="D79" s="17"/>
      <c r="E79" s="17"/>
      <c r="F79" s="17"/>
      <c r="G79" s="17"/>
      <c r="H79" s="17"/>
      <c r="I79" s="17"/>
      <c r="J79" s="17"/>
      <c r="K79" s="17"/>
    </row>
    <row r="80" spans="1:11" ht="18" x14ac:dyDescent="0.2">
      <c r="A80" s="121" t="s">
        <v>96</v>
      </c>
      <c r="B80" s="117">
        <v>200480</v>
      </c>
      <c r="C80" s="117">
        <v>2000</v>
      </c>
      <c r="D80" s="17"/>
      <c r="E80" s="17"/>
      <c r="F80" s="17"/>
      <c r="G80" s="17"/>
      <c r="H80" s="17"/>
      <c r="I80" s="17"/>
      <c r="J80" s="17"/>
      <c r="K80" s="17"/>
    </row>
    <row r="81" spans="1:11" ht="18" x14ac:dyDescent="0.2">
      <c r="A81" s="121" t="s">
        <v>302</v>
      </c>
      <c r="B81" s="117">
        <v>398000</v>
      </c>
      <c r="C81" s="117">
        <v>4000</v>
      </c>
      <c r="D81" s="17"/>
      <c r="E81" s="17"/>
      <c r="F81" s="17"/>
      <c r="G81" s="17"/>
      <c r="H81" s="17"/>
      <c r="I81" s="17"/>
      <c r="J81" s="17"/>
      <c r="K81" s="17"/>
    </row>
    <row r="82" spans="1:11" ht="18" x14ac:dyDescent="0.2">
      <c r="A82" s="121" t="s">
        <v>1036</v>
      </c>
      <c r="B82" s="117">
        <v>398000</v>
      </c>
      <c r="C82" s="117">
        <v>4000</v>
      </c>
      <c r="D82" s="17"/>
      <c r="E82" s="17"/>
      <c r="F82" s="17"/>
      <c r="G82" s="17"/>
      <c r="H82" s="17"/>
      <c r="I82" s="17"/>
      <c r="J82" s="17"/>
      <c r="K82" s="17"/>
    </row>
    <row r="83" spans="1:11" ht="18" x14ac:dyDescent="0.2">
      <c r="A83" s="121" t="s">
        <v>714</v>
      </c>
      <c r="B83" s="117">
        <v>2014.8</v>
      </c>
      <c r="C83" s="117">
        <v>20</v>
      </c>
      <c r="D83" s="17"/>
      <c r="E83" s="17"/>
      <c r="F83" s="17"/>
      <c r="G83" s="17"/>
      <c r="H83" s="17"/>
      <c r="I83" s="17"/>
      <c r="J83" s="17"/>
      <c r="K83" s="17"/>
    </row>
    <row r="84" spans="1:11" ht="18" x14ac:dyDescent="0.2">
      <c r="A84" s="121" t="s">
        <v>1786</v>
      </c>
      <c r="B84" s="117">
        <v>11200</v>
      </c>
      <c r="C84" s="117">
        <v>111.2</v>
      </c>
      <c r="D84" s="17"/>
      <c r="E84" s="17"/>
      <c r="F84" s="17"/>
      <c r="G84" s="17"/>
      <c r="H84" s="17"/>
      <c r="I84" s="17"/>
      <c r="J84" s="17"/>
      <c r="K84" s="17"/>
    </row>
    <row r="85" spans="1:11" ht="18" x14ac:dyDescent="0.2">
      <c r="A85" s="121" t="s">
        <v>2364</v>
      </c>
      <c r="B85" s="117">
        <v>1572</v>
      </c>
      <c r="C85" s="117">
        <v>15.6</v>
      </c>
      <c r="D85" s="17"/>
      <c r="E85" s="17"/>
      <c r="F85" s="17"/>
      <c r="G85" s="17"/>
      <c r="H85" s="17"/>
      <c r="I85" s="17"/>
      <c r="J85" s="17"/>
      <c r="K85" s="17"/>
    </row>
    <row r="86" spans="1:11" ht="18" x14ac:dyDescent="0.2">
      <c r="A86" s="121" t="s">
        <v>2450</v>
      </c>
      <c r="B86" s="117">
        <v>23670</v>
      </c>
      <c r="C86" s="117">
        <v>234.96</v>
      </c>
      <c r="D86" s="17"/>
      <c r="E86" s="17"/>
      <c r="F86" s="17"/>
      <c r="G86" s="17"/>
      <c r="H86" s="17"/>
      <c r="I86" s="17"/>
      <c r="J86" s="17"/>
      <c r="K86" s="17"/>
    </row>
    <row r="87" spans="1:11" ht="18" x14ac:dyDescent="0.2">
      <c r="A87" s="121" t="s">
        <v>2570</v>
      </c>
      <c r="B87" s="117">
        <v>18000</v>
      </c>
      <c r="C87" s="117">
        <v>178.68</v>
      </c>
      <c r="D87" s="17"/>
      <c r="E87" s="17"/>
      <c r="F87" s="17"/>
      <c r="G87" s="17"/>
      <c r="H87" s="17"/>
      <c r="I87" s="17"/>
      <c r="J87" s="17"/>
      <c r="K87" s="17"/>
    </row>
    <row r="88" spans="1:11" ht="18" x14ac:dyDescent="0.2">
      <c r="A88" s="121" t="s">
        <v>3083</v>
      </c>
      <c r="B88" s="117">
        <v>30000</v>
      </c>
      <c r="C88" s="117">
        <v>297.8</v>
      </c>
      <c r="D88" s="17"/>
      <c r="E88" s="17"/>
      <c r="F88" s="17"/>
      <c r="G88" s="17"/>
      <c r="H88" s="17"/>
      <c r="I88" s="17"/>
      <c r="J88" s="17"/>
      <c r="K88" s="17"/>
    </row>
    <row r="89" spans="1:11" ht="18" x14ac:dyDescent="0.2">
      <c r="A89" s="122">
        <v>46257</v>
      </c>
      <c r="B89" s="117">
        <v>2514109.5300000003</v>
      </c>
      <c r="C89" s="117">
        <v>25177.98</v>
      </c>
      <c r="D89" s="17"/>
      <c r="E89" s="17"/>
      <c r="F89" s="17"/>
      <c r="G89" s="17"/>
      <c r="H89" s="17"/>
      <c r="I89" s="17"/>
      <c r="J89" s="17"/>
      <c r="K89" s="17"/>
    </row>
    <row r="90" spans="1:11" ht="18" x14ac:dyDescent="0.2">
      <c r="A90" s="121" t="s">
        <v>56</v>
      </c>
      <c r="B90" s="117">
        <v>5016.8499999999995</v>
      </c>
      <c r="C90" s="117">
        <v>49.8</v>
      </c>
      <c r="D90" s="17"/>
      <c r="E90" s="17"/>
      <c r="F90" s="17"/>
      <c r="G90" s="17"/>
      <c r="H90" s="17"/>
      <c r="I90" s="17"/>
      <c r="J90" s="17"/>
      <c r="K90" s="17"/>
    </row>
    <row r="91" spans="1:11" ht="18" x14ac:dyDescent="0.2">
      <c r="A91" s="121" t="s">
        <v>257</v>
      </c>
      <c r="B91" s="117">
        <v>4881.8599999999997</v>
      </c>
      <c r="C91" s="117">
        <v>48.46</v>
      </c>
      <c r="D91" s="17"/>
      <c r="E91" s="17"/>
      <c r="F91" s="17"/>
      <c r="G91" s="17"/>
      <c r="H91" s="17"/>
      <c r="I91" s="17"/>
      <c r="J91" s="17"/>
      <c r="K91" s="17"/>
    </row>
    <row r="92" spans="1:11" ht="18" x14ac:dyDescent="0.2">
      <c r="A92" s="121" t="s">
        <v>152</v>
      </c>
      <c r="B92" s="117">
        <v>174997.38</v>
      </c>
      <c r="C92" s="117">
        <v>1737.12</v>
      </c>
      <c r="D92" s="17"/>
      <c r="E92" s="17"/>
      <c r="F92" s="17"/>
      <c r="G92" s="17"/>
      <c r="H92" s="17"/>
      <c r="I92" s="17"/>
      <c r="J92" s="17"/>
      <c r="K92" s="17"/>
    </row>
    <row r="93" spans="1:11" ht="18" x14ac:dyDescent="0.2">
      <c r="A93" s="121" t="s">
        <v>58</v>
      </c>
      <c r="B93" s="117">
        <v>263500</v>
      </c>
      <c r="C93" s="117">
        <v>2615.64</v>
      </c>
      <c r="D93" s="17"/>
      <c r="E93" s="17"/>
      <c r="F93" s="17"/>
      <c r="G93" s="17"/>
      <c r="H93" s="17"/>
      <c r="I93" s="17"/>
      <c r="J93" s="17"/>
      <c r="K93" s="17"/>
    </row>
    <row r="94" spans="1:11" ht="18" x14ac:dyDescent="0.2">
      <c r="A94" s="121" t="s">
        <v>95</v>
      </c>
      <c r="B94" s="117">
        <v>124561.99</v>
      </c>
      <c r="C94" s="117">
        <v>1236.47</v>
      </c>
      <c r="D94" s="17"/>
      <c r="E94" s="17"/>
      <c r="F94" s="17"/>
      <c r="G94" s="17"/>
      <c r="H94" s="17"/>
      <c r="I94" s="17"/>
      <c r="J94" s="17"/>
      <c r="K94" s="17"/>
    </row>
    <row r="95" spans="1:11" ht="18" x14ac:dyDescent="0.2">
      <c r="A95" s="121" t="s">
        <v>52</v>
      </c>
      <c r="B95" s="117">
        <v>1791000</v>
      </c>
      <c r="C95" s="117">
        <v>18000</v>
      </c>
      <c r="D95" s="17"/>
      <c r="E95" s="17"/>
      <c r="F95" s="17"/>
      <c r="G95" s="17"/>
      <c r="H95" s="17"/>
      <c r="I95" s="17"/>
      <c r="J95" s="17"/>
      <c r="K95" s="17"/>
    </row>
    <row r="96" spans="1:11" ht="18" x14ac:dyDescent="0.2">
      <c r="A96" s="121" t="s">
        <v>714</v>
      </c>
      <c r="B96" s="117">
        <v>8502.4500000000007</v>
      </c>
      <c r="C96" s="117">
        <v>84.4</v>
      </c>
      <c r="D96" s="17"/>
      <c r="E96" s="17"/>
      <c r="F96" s="17"/>
      <c r="G96" s="17"/>
      <c r="H96" s="17"/>
      <c r="I96" s="17"/>
      <c r="J96" s="17"/>
      <c r="K96" s="17"/>
    </row>
    <row r="97" spans="1:11" ht="18" x14ac:dyDescent="0.2">
      <c r="A97" s="121" t="s">
        <v>2364</v>
      </c>
      <c r="B97" s="117">
        <v>14354</v>
      </c>
      <c r="C97" s="117">
        <v>142.49</v>
      </c>
      <c r="D97" s="17"/>
      <c r="E97" s="17"/>
      <c r="F97" s="17"/>
      <c r="G97" s="17"/>
      <c r="H97" s="17"/>
      <c r="I97" s="17"/>
      <c r="J97" s="17"/>
      <c r="K97" s="17"/>
    </row>
    <row r="98" spans="1:11" ht="18" x14ac:dyDescent="0.2">
      <c r="A98" s="121" t="s">
        <v>2450</v>
      </c>
      <c r="B98" s="117">
        <v>89295</v>
      </c>
      <c r="C98" s="117">
        <v>886.39</v>
      </c>
      <c r="D98" s="17"/>
      <c r="E98" s="17"/>
      <c r="F98" s="17"/>
      <c r="G98" s="17"/>
      <c r="H98" s="17"/>
      <c r="I98" s="17"/>
      <c r="J98" s="17"/>
      <c r="K98" s="17"/>
    </row>
    <row r="99" spans="1:11" ht="18" x14ac:dyDescent="0.2">
      <c r="A99" s="121" t="s">
        <v>2570</v>
      </c>
      <c r="B99" s="117">
        <v>18000</v>
      </c>
      <c r="C99" s="117">
        <v>178.68</v>
      </c>
      <c r="D99" s="17"/>
      <c r="E99" s="17"/>
      <c r="F99" s="17"/>
      <c r="G99" s="17"/>
      <c r="H99" s="17"/>
      <c r="I99" s="17"/>
      <c r="J99" s="17"/>
      <c r="K99" s="17"/>
    </row>
    <row r="100" spans="1:11" ht="18" x14ac:dyDescent="0.2">
      <c r="A100" s="121" t="s">
        <v>2611</v>
      </c>
      <c r="B100" s="117">
        <v>20000</v>
      </c>
      <c r="C100" s="117">
        <v>198.53</v>
      </c>
      <c r="D100" s="17"/>
      <c r="E100" s="17"/>
      <c r="F100" s="17"/>
      <c r="G100" s="17"/>
      <c r="H100" s="17"/>
      <c r="I100" s="17"/>
      <c r="J100" s="17"/>
      <c r="K100" s="17"/>
    </row>
    <row r="101" spans="1:11" ht="18" x14ac:dyDescent="0.2">
      <c r="A101" s="122">
        <v>46256</v>
      </c>
      <c r="B101" s="117">
        <v>4260775.25</v>
      </c>
      <c r="C101" s="117">
        <v>42631.100000000006</v>
      </c>
      <c r="D101" s="17"/>
      <c r="E101" s="17"/>
      <c r="F101" s="17"/>
      <c r="G101" s="17"/>
      <c r="H101" s="17"/>
      <c r="I101" s="17"/>
      <c r="J101" s="17"/>
      <c r="K101" s="17"/>
    </row>
    <row r="102" spans="1:11" ht="18" x14ac:dyDescent="0.2">
      <c r="A102" s="121" t="s">
        <v>54</v>
      </c>
      <c r="B102" s="117">
        <v>20148</v>
      </c>
      <c r="C102" s="117">
        <v>200</v>
      </c>
      <c r="D102" s="17"/>
      <c r="E102" s="17"/>
      <c r="F102" s="17"/>
      <c r="G102" s="17"/>
      <c r="H102" s="17"/>
      <c r="I102" s="17"/>
      <c r="J102" s="17"/>
      <c r="K102" s="17"/>
    </row>
    <row r="103" spans="1:11" ht="18" x14ac:dyDescent="0.2">
      <c r="A103" s="121" t="s">
        <v>56</v>
      </c>
      <c r="B103" s="117">
        <v>2014.8</v>
      </c>
      <c r="C103" s="117">
        <v>20</v>
      </c>
      <c r="D103" s="17"/>
      <c r="E103" s="17"/>
      <c r="F103" s="17"/>
      <c r="G103" s="17"/>
      <c r="H103" s="17"/>
      <c r="I103" s="17"/>
      <c r="J103" s="17"/>
      <c r="K103" s="17"/>
    </row>
    <row r="104" spans="1:11" ht="18" x14ac:dyDescent="0.2">
      <c r="A104" s="121" t="s">
        <v>257</v>
      </c>
      <c r="B104" s="117">
        <v>5500</v>
      </c>
      <c r="C104" s="117">
        <v>54.6</v>
      </c>
      <c r="D104" s="17"/>
      <c r="E104" s="17"/>
      <c r="F104" s="17"/>
      <c r="G104" s="17"/>
      <c r="H104" s="17"/>
      <c r="I104" s="17"/>
      <c r="J104" s="17"/>
      <c r="K104" s="17"/>
    </row>
    <row r="105" spans="1:11" ht="18" x14ac:dyDescent="0.2">
      <c r="A105" s="121" t="s">
        <v>152</v>
      </c>
      <c r="B105" s="117">
        <v>9333.2999999999993</v>
      </c>
      <c r="C105" s="117">
        <v>92.65</v>
      </c>
      <c r="D105" s="17"/>
      <c r="E105" s="17"/>
      <c r="F105" s="17"/>
      <c r="G105" s="17"/>
      <c r="H105" s="17"/>
      <c r="I105" s="17"/>
      <c r="J105" s="17"/>
      <c r="K105" s="17"/>
    </row>
    <row r="106" spans="1:11" ht="18" x14ac:dyDescent="0.2">
      <c r="A106" s="121" t="s">
        <v>58</v>
      </c>
      <c r="B106" s="117">
        <v>110600</v>
      </c>
      <c r="C106" s="117">
        <v>1097.8800000000001</v>
      </c>
      <c r="D106" s="17"/>
      <c r="E106" s="17"/>
      <c r="F106" s="17"/>
      <c r="G106" s="17"/>
      <c r="H106" s="17"/>
      <c r="I106" s="17"/>
      <c r="J106" s="17"/>
      <c r="K106" s="17"/>
    </row>
    <row r="107" spans="1:11" ht="18" x14ac:dyDescent="0.2">
      <c r="A107" s="121" t="s">
        <v>95</v>
      </c>
      <c r="B107" s="117">
        <v>72213.45</v>
      </c>
      <c r="C107" s="117">
        <v>716.83</v>
      </c>
      <c r="D107" s="17"/>
      <c r="E107" s="17"/>
      <c r="F107" s="17"/>
      <c r="G107" s="17"/>
      <c r="H107" s="17"/>
      <c r="I107" s="17"/>
      <c r="J107" s="17"/>
      <c r="K107" s="17"/>
    </row>
    <row r="108" spans="1:11" ht="18" x14ac:dyDescent="0.2">
      <c r="A108" s="121" t="s">
        <v>199</v>
      </c>
      <c r="B108" s="117">
        <v>68852.759999999995</v>
      </c>
      <c r="C108" s="117">
        <v>683.47</v>
      </c>
      <c r="D108" s="17"/>
      <c r="E108" s="17"/>
      <c r="F108" s="17"/>
      <c r="G108" s="17"/>
      <c r="H108" s="17"/>
      <c r="I108" s="17"/>
      <c r="J108" s="17"/>
      <c r="K108" s="17"/>
    </row>
    <row r="109" spans="1:11" ht="18" x14ac:dyDescent="0.2">
      <c r="A109" s="121" t="s">
        <v>52</v>
      </c>
      <c r="B109" s="117">
        <v>1194000</v>
      </c>
      <c r="C109" s="117">
        <v>12000</v>
      </c>
      <c r="D109" s="17"/>
      <c r="E109" s="17"/>
      <c r="F109" s="17"/>
      <c r="G109" s="17"/>
      <c r="H109" s="17"/>
      <c r="I109" s="17"/>
      <c r="J109" s="17"/>
      <c r="K109" s="17"/>
    </row>
    <row r="110" spans="1:11" ht="18" x14ac:dyDescent="0.2">
      <c r="A110" s="121" t="s">
        <v>96</v>
      </c>
      <c r="B110" s="117">
        <v>200452.94</v>
      </c>
      <c r="C110" s="117">
        <v>1999.73</v>
      </c>
      <c r="D110" s="17"/>
      <c r="E110" s="17"/>
      <c r="F110" s="17"/>
      <c r="G110" s="17"/>
      <c r="H110" s="17"/>
      <c r="I110" s="17"/>
      <c r="J110" s="17"/>
      <c r="K110" s="17"/>
    </row>
    <row r="111" spans="1:11" ht="18" x14ac:dyDescent="0.2">
      <c r="A111" s="121" t="s">
        <v>2364</v>
      </c>
      <c r="B111" s="117">
        <v>1000</v>
      </c>
      <c r="C111" s="117">
        <v>9.93</v>
      </c>
      <c r="D111" s="17"/>
      <c r="E111" s="17"/>
      <c r="F111" s="17"/>
      <c r="G111" s="17"/>
      <c r="H111" s="17"/>
      <c r="I111" s="17"/>
      <c r="J111" s="17"/>
      <c r="K111" s="17"/>
    </row>
    <row r="112" spans="1:11" ht="18" x14ac:dyDescent="0.2">
      <c r="A112" s="121" t="s">
        <v>2450</v>
      </c>
      <c r="B112" s="117">
        <v>78900</v>
      </c>
      <c r="C112" s="117">
        <v>783.2</v>
      </c>
      <c r="D112" s="17"/>
      <c r="E112" s="17"/>
      <c r="F112" s="17"/>
      <c r="G112" s="17"/>
      <c r="H112" s="17"/>
      <c r="I112" s="17"/>
      <c r="J112" s="17"/>
      <c r="K112" s="17"/>
    </row>
    <row r="113" spans="1:11" ht="18" x14ac:dyDescent="0.2">
      <c r="A113" s="121" t="s">
        <v>2570</v>
      </c>
      <c r="B113" s="117">
        <v>98000</v>
      </c>
      <c r="C113" s="117">
        <v>972.81000000000017</v>
      </c>
      <c r="D113" s="17"/>
      <c r="E113" s="17"/>
      <c r="F113" s="17"/>
      <c r="G113" s="17"/>
      <c r="H113" s="17"/>
      <c r="I113" s="17"/>
      <c r="J113" s="17"/>
      <c r="K113" s="17"/>
    </row>
    <row r="114" spans="1:11" ht="18" x14ac:dyDescent="0.2">
      <c r="A114" s="121" t="s">
        <v>3806</v>
      </c>
      <c r="B114" s="117">
        <v>2399760</v>
      </c>
      <c r="C114" s="117">
        <v>24000</v>
      </c>
      <c r="D114" s="17"/>
      <c r="E114" s="17"/>
      <c r="F114" s="17"/>
      <c r="G114" s="17"/>
      <c r="H114" s="17"/>
      <c r="I114" s="17"/>
      <c r="J114" s="17"/>
      <c r="K114" s="17"/>
    </row>
    <row r="115" spans="1:11" ht="18" x14ac:dyDescent="0.2">
      <c r="A115" s="122">
        <v>46255</v>
      </c>
      <c r="B115" s="117">
        <v>3537012.0999999996</v>
      </c>
      <c r="C115" s="117">
        <v>35392.020000000004</v>
      </c>
      <c r="D115" s="17"/>
      <c r="E115" s="17"/>
      <c r="F115" s="17"/>
      <c r="G115" s="17"/>
      <c r="H115" s="17"/>
      <c r="I115" s="17"/>
      <c r="J115" s="17"/>
      <c r="K115" s="17"/>
    </row>
    <row r="116" spans="1:11" ht="18" x14ac:dyDescent="0.2">
      <c r="A116" s="121" t="s">
        <v>143</v>
      </c>
      <c r="B116" s="117">
        <v>1194000</v>
      </c>
      <c r="C116" s="117">
        <v>12000</v>
      </c>
      <c r="D116" s="17"/>
      <c r="E116" s="17"/>
      <c r="F116" s="17"/>
      <c r="G116" s="17"/>
      <c r="H116" s="17"/>
      <c r="I116" s="17"/>
      <c r="J116" s="17"/>
      <c r="K116" s="17"/>
    </row>
    <row r="117" spans="1:11" ht="18" x14ac:dyDescent="0.2">
      <c r="A117" s="121" t="s">
        <v>57</v>
      </c>
      <c r="B117" s="117">
        <v>3000</v>
      </c>
      <c r="C117" s="117">
        <v>29.78</v>
      </c>
      <c r="D117" s="17"/>
      <c r="E117" s="17"/>
      <c r="F117" s="17"/>
      <c r="G117" s="17"/>
      <c r="H117" s="17"/>
      <c r="I117" s="17"/>
      <c r="J117" s="17"/>
      <c r="K117" s="17"/>
    </row>
    <row r="118" spans="1:11" ht="18" x14ac:dyDescent="0.2">
      <c r="A118" s="121" t="s">
        <v>56</v>
      </c>
      <c r="B118" s="117">
        <v>9417.17</v>
      </c>
      <c r="C118" s="117">
        <v>93.48</v>
      </c>
      <c r="D118" s="17"/>
      <c r="E118" s="17"/>
      <c r="F118" s="17"/>
      <c r="G118" s="17"/>
      <c r="H118" s="17"/>
      <c r="I118" s="17"/>
      <c r="J118" s="17"/>
      <c r="K118" s="17"/>
    </row>
    <row r="119" spans="1:11" ht="18" x14ac:dyDescent="0.2">
      <c r="A119" s="121" t="s">
        <v>152</v>
      </c>
      <c r="B119" s="117">
        <v>36365.86</v>
      </c>
      <c r="C119" s="117">
        <v>360.99</v>
      </c>
      <c r="D119" s="17"/>
      <c r="E119" s="17"/>
      <c r="F119" s="17"/>
      <c r="G119" s="17"/>
      <c r="H119" s="17"/>
      <c r="I119" s="17"/>
      <c r="J119" s="17"/>
      <c r="K119" s="17"/>
    </row>
    <row r="120" spans="1:11" ht="18" x14ac:dyDescent="0.2">
      <c r="A120" s="121" t="s">
        <v>58</v>
      </c>
      <c r="B120" s="117">
        <v>187525.9</v>
      </c>
      <c r="C120" s="117">
        <v>1861.48</v>
      </c>
      <c r="D120" s="17"/>
      <c r="E120" s="17"/>
      <c r="F120" s="17"/>
      <c r="G120" s="17"/>
      <c r="H120" s="17"/>
      <c r="I120" s="17"/>
      <c r="J120" s="17"/>
      <c r="K120" s="17"/>
    </row>
    <row r="121" spans="1:11" ht="18" x14ac:dyDescent="0.2">
      <c r="A121" s="121" t="s">
        <v>95</v>
      </c>
      <c r="B121" s="117">
        <v>239925.41</v>
      </c>
      <c r="C121" s="117">
        <v>2381.63</v>
      </c>
      <c r="D121" s="17"/>
      <c r="E121" s="17"/>
      <c r="F121" s="17"/>
      <c r="G121" s="17"/>
      <c r="H121" s="17"/>
      <c r="I121" s="17"/>
      <c r="J121" s="17"/>
      <c r="K121" s="17"/>
    </row>
    <row r="122" spans="1:11" ht="18" x14ac:dyDescent="0.2">
      <c r="A122" s="121" t="s">
        <v>714</v>
      </c>
      <c r="B122" s="117">
        <v>11081.4</v>
      </c>
      <c r="C122" s="117">
        <v>110</v>
      </c>
      <c r="D122" s="17"/>
      <c r="E122" s="17"/>
      <c r="F122" s="17"/>
      <c r="G122" s="17"/>
      <c r="H122" s="17"/>
      <c r="I122" s="17"/>
      <c r="J122" s="17"/>
      <c r="K122" s="17"/>
    </row>
    <row r="123" spans="1:11" ht="18" x14ac:dyDescent="0.2">
      <c r="A123" s="121" t="s">
        <v>2450</v>
      </c>
      <c r="B123" s="117">
        <v>47876.36</v>
      </c>
      <c r="C123" s="117">
        <v>475.25</v>
      </c>
      <c r="D123" s="17"/>
      <c r="E123" s="17"/>
      <c r="F123" s="17"/>
      <c r="G123" s="17"/>
      <c r="H123" s="17"/>
      <c r="I123" s="17"/>
      <c r="J123" s="17"/>
      <c r="K123" s="17"/>
    </row>
    <row r="124" spans="1:11" ht="18" x14ac:dyDescent="0.2">
      <c r="A124" s="121" t="s">
        <v>2570</v>
      </c>
      <c r="B124" s="117">
        <v>8000</v>
      </c>
      <c r="C124" s="117">
        <v>79.41</v>
      </c>
      <c r="D124" s="17"/>
      <c r="E124" s="17"/>
      <c r="F124" s="17"/>
      <c r="G124" s="17"/>
      <c r="H124" s="17"/>
      <c r="I124" s="17"/>
      <c r="J124" s="17"/>
      <c r="K124" s="17"/>
    </row>
    <row r="125" spans="1:11" ht="18" x14ac:dyDescent="0.2">
      <c r="A125" s="121" t="s">
        <v>3806</v>
      </c>
      <c r="B125" s="117">
        <v>1799820</v>
      </c>
      <c r="C125" s="117">
        <v>18000</v>
      </c>
      <c r="D125" s="17"/>
      <c r="E125" s="17"/>
      <c r="F125" s="17"/>
      <c r="G125" s="17"/>
      <c r="H125" s="17"/>
      <c r="I125" s="17"/>
      <c r="J125" s="17"/>
      <c r="K125" s="17"/>
    </row>
    <row r="126" spans="1:11" ht="18" x14ac:dyDescent="0.2">
      <c r="A126" s="122">
        <v>46254</v>
      </c>
      <c r="B126" s="117">
        <v>862224.1100000001</v>
      </c>
      <c r="C126" s="117">
        <v>8570.82</v>
      </c>
      <c r="D126" s="17"/>
      <c r="E126" s="17"/>
      <c r="F126" s="17"/>
      <c r="G126" s="17"/>
      <c r="H126" s="17"/>
      <c r="I126" s="17"/>
      <c r="J126" s="17"/>
      <c r="K126" s="17"/>
    </row>
    <row r="127" spans="1:11" ht="18" x14ac:dyDescent="0.2">
      <c r="A127" s="121" t="s">
        <v>56</v>
      </c>
      <c r="B127" s="117">
        <v>4623.96</v>
      </c>
      <c r="C127" s="117">
        <v>45.9</v>
      </c>
      <c r="D127" s="17"/>
      <c r="E127" s="17"/>
      <c r="F127" s="17"/>
      <c r="G127" s="17"/>
      <c r="H127" s="17"/>
      <c r="I127" s="17"/>
      <c r="J127" s="17"/>
      <c r="K127" s="17"/>
    </row>
    <row r="128" spans="1:11" ht="18" x14ac:dyDescent="0.2">
      <c r="A128" s="121" t="s">
        <v>152</v>
      </c>
      <c r="B128" s="117">
        <v>18011.099999999999</v>
      </c>
      <c r="C128" s="117">
        <v>178.79</v>
      </c>
      <c r="D128" s="17"/>
      <c r="E128" s="17"/>
      <c r="F128" s="17"/>
      <c r="G128" s="17"/>
      <c r="H128" s="17"/>
      <c r="I128" s="17"/>
      <c r="J128" s="17"/>
      <c r="K128" s="17"/>
    </row>
    <row r="129" spans="1:11" ht="18" x14ac:dyDescent="0.2">
      <c r="A129" s="121" t="s">
        <v>58</v>
      </c>
      <c r="B129" s="117">
        <v>321500</v>
      </c>
      <c r="C129" s="117">
        <v>3191.38</v>
      </c>
      <c r="D129" s="17"/>
      <c r="E129" s="17"/>
      <c r="F129" s="17"/>
      <c r="G129" s="17"/>
      <c r="H129" s="17"/>
      <c r="I129" s="17"/>
      <c r="J129" s="17"/>
      <c r="K129" s="17"/>
    </row>
    <row r="130" spans="1:11" ht="18" x14ac:dyDescent="0.2">
      <c r="A130" s="121" t="s">
        <v>95</v>
      </c>
      <c r="B130" s="117">
        <v>96418.25</v>
      </c>
      <c r="C130" s="117">
        <v>957.1</v>
      </c>
      <c r="D130" s="17"/>
      <c r="E130" s="17"/>
      <c r="F130" s="17"/>
      <c r="G130" s="17"/>
      <c r="H130" s="17"/>
      <c r="I130" s="17"/>
      <c r="J130" s="17"/>
      <c r="K130" s="17"/>
    </row>
    <row r="131" spans="1:11" ht="18" x14ac:dyDescent="0.2">
      <c r="A131" s="121" t="s">
        <v>96</v>
      </c>
      <c r="B131" s="117">
        <v>240576</v>
      </c>
      <c r="C131" s="117">
        <v>2400</v>
      </c>
      <c r="D131" s="17"/>
      <c r="E131" s="17"/>
      <c r="F131" s="17"/>
      <c r="G131" s="17"/>
      <c r="H131" s="17"/>
      <c r="I131" s="17"/>
      <c r="J131" s="17"/>
      <c r="K131" s="17"/>
    </row>
    <row r="132" spans="1:11" ht="18" x14ac:dyDescent="0.2">
      <c r="A132" s="121" t="s">
        <v>2364</v>
      </c>
      <c r="B132" s="117">
        <v>12088.8</v>
      </c>
      <c r="C132" s="117">
        <v>120</v>
      </c>
      <c r="D132" s="17"/>
      <c r="E132" s="17"/>
      <c r="F132" s="17"/>
      <c r="G132" s="17"/>
      <c r="H132" s="17"/>
      <c r="I132" s="17"/>
      <c r="J132" s="17"/>
      <c r="K132" s="17"/>
    </row>
    <row r="133" spans="1:11" ht="18" x14ac:dyDescent="0.2">
      <c r="A133" s="121" t="s">
        <v>2450</v>
      </c>
      <c r="B133" s="117">
        <v>47858</v>
      </c>
      <c r="C133" s="117">
        <v>475.06</v>
      </c>
      <c r="D133" s="17"/>
      <c r="E133" s="17"/>
      <c r="F133" s="17"/>
      <c r="G133" s="17"/>
      <c r="H133" s="17"/>
      <c r="I133" s="17"/>
      <c r="J133" s="17"/>
      <c r="K133" s="17"/>
    </row>
    <row r="134" spans="1:11" ht="18" x14ac:dyDescent="0.2">
      <c r="A134" s="121" t="s">
        <v>2570</v>
      </c>
      <c r="B134" s="117">
        <v>91148</v>
      </c>
      <c r="C134" s="117">
        <v>904.79</v>
      </c>
      <c r="D134" s="17"/>
      <c r="E134" s="17"/>
      <c r="F134" s="17"/>
      <c r="G134" s="17"/>
      <c r="H134" s="17"/>
      <c r="I134" s="17"/>
      <c r="J134" s="17"/>
      <c r="K134" s="17"/>
    </row>
    <row r="135" spans="1:11" ht="18" x14ac:dyDescent="0.2">
      <c r="A135" s="121" t="s">
        <v>3083</v>
      </c>
      <c r="B135" s="117">
        <v>30000</v>
      </c>
      <c r="C135" s="117">
        <v>297.8</v>
      </c>
      <c r="D135" s="17"/>
      <c r="E135" s="17"/>
      <c r="F135" s="17"/>
      <c r="G135" s="17"/>
      <c r="H135" s="17"/>
      <c r="I135" s="17"/>
      <c r="J135" s="17"/>
      <c r="K135" s="17"/>
    </row>
    <row r="136" spans="1:11" ht="18" x14ac:dyDescent="0.2">
      <c r="A136" s="122">
        <v>46253</v>
      </c>
      <c r="B136" s="117">
        <v>540988.73</v>
      </c>
      <c r="C136" s="117">
        <v>5370.1399999999994</v>
      </c>
      <c r="D136" s="17"/>
      <c r="E136" s="17"/>
      <c r="F136" s="17"/>
      <c r="G136" s="17"/>
      <c r="H136" s="17"/>
      <c r="I136" s="17"/>
      <c r="J136" s="17"/>
      <c r="K136" s="17"/>
    </row>
    <row r="137" spans="1:11" ht="18" x14ac:dyDescent="0.2">
      <c r="A137" s="121" t="s">
        <v>152</v>
      </c>
      <c r="B137" s="117">
        <v>66014.7</v>
      </c>
      <c r="C137" s="117">
        <v>655.29999999999995</v>
      </c>
      <c r="D137" s="17"/>
      <c r="E137" s="17"/>
      <c r="F137" s="17"/>
      <c r="G137" s="17"/>
      <c r="H137" s="17"/>
      <c r="I137" s="17"/>
      <c r="J137" s="17"/>
      <c r="K137" s="17"/>
    </row>
    <row r="138" spans="1:11" ht="18" x14ac:dyDescent="0.2">
      <c r="A138" s="121" t="s">
        <v>58</v>
      </c>
      <c r="B138" s="117">
        <v>280000</v>
      </c>
      <c r="C138" s="117">
        <v>2779.43</v>
      </c>
      <c r="D138" s="17"/>
      <c r="E138" s="17"/>
      <c r="F138" s="17"/>
      <c r="G138" s="17"/>
      <c r="H138" s="17"/>
      <c r="I138" s="17"/>
      <c r="J138" s="17"/>
      <c r="K138" s="17"/>
    </row>
    <row r="139" spans="1:11" ht="18" x14ac:dyDescent="0.2">
      <c r="A139" s="121" t="s">
        <v>95</v>
      </c>
      <c r="B139" s="117">
        <v>87464.48</v>
      </c>
      <c r="C139" s="117">
        <v>868.22</v>
      </c>
      <c r="D139" s="17"/>
      <c r="E139" s="17"/>
      <c r="F139" s="17"/>
      <c r="G139" s="17"/>
      <c r="H139" s="17"/>
      <c r="I139" s="17"/>
      <c r="J139" s="17"/>
      <c r="K139" s="17"/>
    </row>
    <row r="140" spans="1:11" ht="18" x14ac:dyDescent="0.2">
      <c r="A140" s="121" t="s">
        <v>217</v>
      </c>
      <c r="B140" s="117">
        <v>2014.8</v>
      </c>
      <c r="C140" s="117">
        <v>20</v>
      </c>
      <c r="D140" s="17"/>
      <c r="E140" s="17"/>
      <c r="F140" s="17"/>
      <c r="G140" s="17"/>
      <c r="H140" s="17"/>
      <c r="I140" s="17"/>
      <c r="J140" s="17"/>
      <c r="K140" s="17"/>
    </row>
    <row r="141" spans="1:11" ht="18" x14ac:dyDescent="0.2">
      <c r="A141" s="121" t="s">
        <v>199</v>
      </c>
      <c r="B141" s="117">
        <v>34000.75</v>
      </c>
      <c r="C141" s="117">
        <v>337.51</v>
      </c>
      <c r="D141" s="17"/>
      <c r="E141" s="17"/>
      <c r="F141" s="17"/>
      <c r="G141" s="17"/>
      <c r="H141" s="17"/>
      <c r="I141" s="17"/>
      <c r="J141" s="17"/>
      <c r="K141" s="17"/>
    </row>
    <row r="142" spans="1:11" ht="18" x14ac:dyDescent="0.2">
      <c r="A142" s="121" t="s">
        <v>2364</v>
      </c>
      <c r="B142" s="117">
        <v>7610</v>
      </c>
      <c r="C142" s="117">
        <v>75.540000000000006</v>
      </c>
      <c r="D142" s="17"/>
      <c r="E142" s="17"/>
      <c r="F142" s="17"/>
      <c r="G142" s="17"/>
      <c r="H142" s="17"/>
      <c r="I142" s="17"/>
      <c r="J142" s="17"/>
      <c r="K142" s="17"/>
    </row>
    <row r="143" spans="1:11" ht="18" x14ac:dyDescent="0.2">
      <c r="A143" s="121" t="s">
        <v>2450</v>
      </c>
      <c r="B143" s="117">
        <v>39884</v>
      </c>
      <c r="C143" s="117">
        <v>395.91</v>
      </c>
      <c r="D143" s="17"/>
      <c r="E143" s="17"/>
      <c r="F143" s="17"/>
      <c r="G143" s="17"/>
      <c r="H143" s="17"/>
      <c r="I143" s="17"/>
      <c r="J143" s="17"/>
      <c r="K143" s="17"/>
    </row>
    <row r="144" spans="1:11" ht="18" x14ac:dyDescent="0.2">
      <c r="A144" s="121" t="s">
        <v>2570</v>
      </c>
      <c r="B144" s="117">
        <v>24000</v>
      </c>
      <c r="C144" s="117">
        <v>238.23</v>
      </c>
      <c r="D144" s="17"/>
      <c r="E144" s="17"/>
      <c r="F144" s="17"/>
      <c r="G144" s="17"/>
      <c r="H144" s="17"/>
      <c r="I144" s="17"/>
      <c r="J144" s="17"/>
      <c r="K144" s="17"/>
    </row>
    <row r="145" spans="1:11" ht="18" x14ac:dyDescent="0.2">
      <c r="A145" s="122">
        <v>46252</v>
      </c>
      <c r="B145" s="117">
        <v>4953231.1099999994</v>
      </c>
      <c r="C145" s="117">
        <v>49695.37</v>
      </c>
      <c r="D145" s="17"/>
      <c r="E145" s="17"/>
      <c r="F145" s="17"/>
      <c r="G145" s="17"/>
      <c r="H145" s="17"/>
      <c r="I145" s="17"/>
      <c r="J145" s="17"/>
      <c r="K145" s="17"/>
    </row>
    <row r="146" spans="1:11" ht="18" x14ac:dyDescent="0.2">
      <c r="A146" s="121" t="s">
        <v>54</v>
      </c>
      <c r="B146" s="117">
        <v>20148</v>
      </c>
      <c r="C146" s="117">
        <v>200</v>
      </c>
      <c r="D146" s="17"/>
      <c r="E146" s="17"/>
      <c r="F146" s="17"/>
      <c r="G146" s="17"/>
      <c r="H146" s="17"/>
      <c r="I146" s="17"/>
      <c r="J146" s="17"/>
      <c r="K146" s="17"/>
    </row>
    <row r="147" spans="1:11" ht="18" x14ac:dyDescent="0.2">
      <c r="A147" s="121" t="s">
        <v>143</v>
      </c>
      <c r="B147" s="117">
        <v>1194000</v>
      </c>
      <c r="C147" s="117">
        <v>12000</v>
      </c>
      <c r="D147" s="17"/>
      <c r="E147" s="17"/>
      <c r="F147" s="17"/>
      <c r="G147" s="17"/>
      <c r="H147" s="17"/>
      <c r="I147" s="17"/>
      <c r="J147" s="17"/>
      <c r="K147" s="17"/>
    </row>
    <row r="148" spans="1:11" ht="18" x14ac:dyDescent="0.2">
      <c r="A148" s="121" t="s">
        <v>57</v>
      </c>
      <c r="B148" s="117">
        <v>10000</v>
      </c>
      <c r="C148" s="117">
        <v>99.27</v>
      </c>
      <c r="D148" s="17"/>
      <c r="E148" s="17"/>
      <c r="F148" s="17"/>
      <c r="G148" s="17"/>
      <c r="H148" s="17"/>
      <c r="I148" s="17"/>
      <c r="J148" s="17"/>
      <c r="K148" s="17"/>
    </row>
    <row r="149" spans="1:11" ht="18" x14ac:dyDescent="0.2">
      <c r="A149" s="121" t="s">
        <v>56</v>
      </c>
      <c r="B149" s="117">
        <v>14748.329999999998</v>
      </c>
      <c r="C149" s="117">
        <v>146.4</v>
      </c>
      <c r="D149" s="17"/>
      <c r="E149" s="17"/>
      <c r="F149" s="17"/>
      <c r="G149" s="17"/>
      <c r="H149" s="17"/>
      <c r="I149" s="17"/>
      <c r="J149" s="17"/>
      <c r="K149" s="17"/>
    </row>
    <row r="150" spans="1:11" ht="18" x14ac:dyDescent="0.2">
      <c r="A150" s="121" t="s">
        <v>152</v>
      </c>
      <c r="B150" s="117">
        <v>68968.72</v>
      </c>
      <c r="C150" s="117">
        <v>684.62</v>
      </c>
      <c r="D150" s="17"/>
      <c r="E150" s="17"/>
      <c r="F150" s="17"/>
      <c r="G150" s="17"/>
      <c r="H150" s="17"/>
      <c r="I150" s="17"/>
      <c r="J150" s="17"/>
      <c r="K150" s="17"/>
    </row>
    <row r="151" spans="1:11" ht="18" x14ac:dyDescent="0.2">
      <c r="A151" s="121" t="s">
        <v>58</v>
      </c>
      <c r="B151" s="117">
        <v>205800</v>
      </c>
      <c r="C151" s="117">
        <v>2042.8799999999999</v>
      </c>
      <c r="D151" s="17"/>
      <c r="E151" s="17"/>
      <c r="F151" s="17"/>
      <c r="G151" s="17"/>
      <c r="H151" s="17"/>
      <c r="I151" s="17"/>
      <c r="J151" s="17"/>
      <c r="K151" s="17"/>
    </row>
    <row r="152" spans="1:11" ht="18" x14ac:dyDescent="0.2">
      <c r="A152" s="121" t="s">
        <v>95</v>
      </c>
      <c r="B152" s="117">
        <v>133647.73000000001</v>
      </c>
      <c r="C152" s="117">
        <v>1326.66</v>
      </c>
      <c r="D152" s="17"/>
      <c r="E152" s="17"/>
      <c r="F152" s="17"/>
      <c r="G152" s="17"/>
      <c r="H152" s="17"/>
      <c r="I152" s="17"/>
      <c r="J152" s="17"/>
      <c r="K152" s="17"/>
    </row>
    <row r="153" spans="1:11" ht="18" x14ac:dyDescent="0.2">
      <c r="A153" s="121" t="s">
        <v>199</v>
      </c>
      <c r="B153" s="117">
        <v>38240.9</v>
      </c>
      <c r="C153" s="117">
        <v>379.6</v>
      </c>
      <c r="D153" s="17"/>
      <c r="E153" s="17"/>
      <c r="F153" s="17"/>
      <c r="G153" s="17"/>
      <c r="H153" s="17"/>
      <c r="I153" s="17"/>
      <c r="J153" s="17"/>
      <c r="K153" s="17"/>
    </row>
    <row r="154" spans="1:11" ht="18" x14ac:dyDescent="0.2">
      <c r="A154" s="121" t="s">
        <v>51</v>
      </c>
      <c r="B154" s="117">
        <v>2985000</v>
      </c>
      <c r="C154" s="117">
        <v>30000</v>
      </c>
      <c r="D154" s="17"/>
      <c r="E154" s="17"/>
      <c r="F154" s="17"/>
      <c r="G154" s="17"/>
      <c r="H154" s="17"/>
      <c r="I154" s="17"/>
      <c r="J154" s="17"/>
      <c r="K154" s="17"/>
    </row>
    <row r="155" spans="1:11" ht="18" x14ac:dyDescent="0.2">
      <c r="A155" s="121" t="s">
        <v>96</v>
      </c>
      <c r="B155" s="117">
        <v>200480</v>
      </c>
      <c r="C155" s="117">
        <v>2000</v>
      </c>
      <c r="D155" s="17"/>
      <c r="E155" s="17"/>
      <c r="F155" s="17"/>
      <c r="G155" s="17"/>
      <c r="H155" s="17"/>
      <c r="I155" s="17"/>
      <c r="J155" s="17"/>
      <c r="K155" s="17"/>
    </row>
    <row r="156" spans="1:11" ht="18" x14ac:dyDescent="0.2">
      <c r="A156" s="121" t="s">
        <v>2364</v>
      </c>
      <c r="B156" s="117">
        <v>3603.43</v>
      </c>
      <c r="C156" s="117">
        <v>35.770000000000003</v>
      </c>
      <c r="D156" s="17"/>
      <c r="E156" s="17"/>
      <c r="F156" s="17"/>
      <c r="G156" s="17"/>
      <c r="H156" s="17"/>
      <c r="I156" s="17"/>
      <c r="J156" s="17"/>
      <c r="K156" s="17"/>
    </row>
    <row r="157" spans="1:11" ht="18" x14ac:dyDescent="0.2">
      <c r="A157" s="121" t="s">
        <v>2450</v>
      </c>
      <c r="B157" s="117">
        <v>63705</v>
      </c>
      <c r="C157" s="117">
        <v>632.37</v>
      </c>
      <c r="D157" s="17"/>
      <c r="E157" s="17"/>
      <c r="F157" s="17"/>
      <c r="G157" s="17"/>
      <c r="H157" s="17"/>
      <c r="I157" s="17"/>
      <c r="J157" s="17"/>
      <c r="K157" s="17"/>
    </row>
    <row r="158" spans="1:11" ht="18" x14ac:dyDescent="0.2">
      <c r="A158" s="121" t="s">
        <v>3083</v>
      </c>
      <c r="B158" s="117">
        <v>14889</v>
      </c>
      <c r="C158" s="117">
        <v>147.80000000000001</v>
      </c>
      <c r="D158" s="17"/>
      <c r="E158" s="17"/>
      <c r="F158" s="17"/>
      <c r="G158" s="17"/>
      <c r="H158" s="17"/>
      <c r="I158" s="17"/>
      <c r="J158" s="17"/>
      <c r="K158" s="17"/>
    </row>
    <row r="159" spans="1:11" ht="18" x14ac:dyDescent="0.2">
      <c r="A159" s="122">
        <v>46251</v>
      </c>
      <c r="B159" s="117">
        <v>2641219.5299999998</v>
      </c>
      <c r="C159" s="117">
        <v>26439.749999999996</v>
      </c>
      <c r="D159" s="17"/>
      <c r="E159" s="17"/>
      <c r="F159" s="17"/>
      <c r="G159" s="17"/>
      <c r="H159" s="17"/>
      <c r="I159" s="17"/>
      <c r="J159" s="17"/>
      <c r="K159" s="17"/>
    </row>
    <row r="160" spans="1:11" ht="18" x14ac:dyDescent="0.2">
      <c r="A160" s="121" t="s">
        <v>57</v>
      </c>
      <c r="B160" s="117">
        <v>107033.9</v>
      </c>
      <c r="C160" s="117">
        <v>1062.48</v>
      </c>
      <c r="D160" s="17"/>
      <c r="E160" s="17"/>
      <c r="F160" s="17"/>
      <c r="G160" s="17"/>
      <c r="H160" s="17"/>
      <c r="I160" s="17"/>
      <c r="J160" s="17"/>
      <c r="K160" s="17"/>
    </row>
    <row r="161" spans="1:11" ht="18" x14ac:dyDescent="0.2">
      <c r="A161" s="121" t="s">
        <v>152</v>
      </c>
      <c r="B161" s="117">
        <v>97501.82</v>
      </c>
      <c r="C161" s="117">
        <v>967.86</v>
      </c>
      <c r="D161" s="17"/>
      <c r="E161" s="17"/>
      <c r="F161" s="17"/>
      <c r="G161" s="17"/>
      <c r="H161" s="17"/>
      <c r="I161" s="17"/>
      <c r="J161" s="17"/>
      <c r="K161" s="17"/>
    </row>
    <row r="162" spans="1:11" ht="18" x14ac:dyDescent="0.2">
      <c r="A162" s="121" t="s">
        <v>58</v>
      </c>
      <c r="B162" s="117">
        <v>112300</v>
      </c>
      <c r="C162" s="117">
        <v>1114.75</v>
      </c>
      <c r="D162" s="17"/>
      <c r="E162" s="17"/>
      <c r="F162" s="17"/>
      <c r="G162" s="17"/>
      <c r="H162" s="17"/>
      <c r="I162" s="17"/>
      <c r="J162" s="17"/>
      <c r="K162" s="17"/>
    </row>
    <row r="163" spans="1:11" ht="18" x14ac:dyDescent="0.2">
      <c r="A163" s="121" t="s">
        <v>95</v>
      </c>
      <c r="B163" s="117">
        <v>105915.01</v>
      </c>
      <c r="C163" s="117">
        <v>1051.3699999999999</v>
      </c>
      <c r="D163" s="17"/>
      <c r="E163" s="17"/>
      <c r="F163" s="17"/>
      <c r="G163" s="17"/>
      <c r="H163" s="17"/>
      <c r="I163" s="17"/>
      <c r="J163" s="17"/>
      <c r="K163" s="17"/>
    </row>
    <row r="164" spans="1:11" ht="18" x14ac:dyDescent="0.2">
      <c r="A164" s="121" t="s">
        <v>52</v>
      </c>
      <c r="B164" s="117">
        <v>1791000</v>
      </c>
      <c r="C164" s="117">
        <v>18000</v>
      </c>
      <c r="D164" s="17"/>
      <c r="E164" s="17"/>
      <c r="F164" s="17"/>
      <c r="G164" s="17"/>
      <c r="H164" s="17"/>
      <c r="I164" s="17"/>
      <c r="J164" s="17"/>
      <c r="K164" s="17"/>
    </row>
    <row r="165" spans="1:11" ht="18" x14ac:dyDescent="0.2">
      <c r="A165" s="121" t="s">
        <v>901</v>
      </c>
      <c r="B165" s="117">
        <v>2014.8</v>
      </c>
      <c r="C165" s="117">
        <v>20</v>
      </c>
      <c r="D165" s="17"/>
      <c r="E165" s="17"/>
      <c r="F165" s="17"/>
      <c r="G165" s="17"/>
      <c r="H165" s="17"/>
      <c r="I165" s="17"/>
      <c r="J165" s="17"/>
      <c r="K165" s="17"/>
    </row>
    <row r="166" spans="1:11" ht="18" x14ac:dyDescent="0.2">
      <c r="A166" s="121" t="s">
        <v>1073</v>
      </c>
      <c r="B166" s="117">
        <v>302220</v>
      </c>
      <c r="C166" s="117">
        <v>3000</v>
      </c>
      <c r="D166" s="17"/>
      <c r="E166" s="17"/>
      <c r="F166" s="17"/>
      <c r="G166" s="17"/>
      <c r="H166" s="17"/>
      <c r="I166" s="17"/>
      <c r="J166" s="17"/>
      <c r="K166" s="17"/>
    </row>
    <row r="167" spans="1:11" ht="18" x14ac:dyDescent="0.2">
      <c r="A167" s="121" t="s">
        <v>2364</v>
      </c>
      <c r="B167" s="117">
        <v>1500</v>
      </c>
      <c r="C167" s="117">
        <v>14.89</v>
      </c>
      <c r="D167" s="17"/>
      <c r="E167" s="17"/>
      <c r="F167" s="17"/>
      <c r="G167" s="17"/>
      <c r="H167" s="17"/>
      <c r="I167" s="17"/>
      <c r="J167" s="17"/>
      <c r="K167" s="17"/>
    </row>
    <row r="168" spans="1:11" ht="18" x14ac:dyDescent="0.2">
      <c r="A168" s="121" t="s">
        <v>2450</v>
      </c>
      <c r="B168" s="117">
        <v>41290</v>
      </c>
      <c r="C168" s="117">
        <v>409.87</v>
      </c>
      <c r="D168" s="17"/>
      <c r="E168" s="17"/>
      <c r="F168" s="17"/>
      <c r="G168" s="17"/>
      <c r="H168" s="17"/>
      <c r="I168" s="17"/>
      <c r="J168" s="17"/>
      <c r="K168" s="17"/>
    </row>
    <row r="169" spans="1:11" ht="18" x14ac:dyDescent="0.2">
      <c r="A169" s="121" t="s">
        <v>2570</v>
      </c>
      <c r="B169" s="117">
        <v>60444</v>
      </c>
      <c r="C169" s="117">
        <v>600</v>
      </c>
      <c r="D169" s="17"/>
      <c r="E169" s="17"/>
      <c r="F169" s="17"/>
      <c r="G169" s="17"/>
      <c r="H169" s="17"/>
      <c r="I169" s="17"/>
      <c r="J169" s="17"/>
      <c r="K169" s="17"/>
    </row>
    <row r="170" spans="1:11" ht="18" x14ac:dyDescent="0.2">
      <c r="A170" s="121" t="s">
        <v>3083</v>
      </c>
      <c r="B170" s="117">
        <v>20000</v>
      </c>
      <c r="C170" s="117">
        <v>198.53</v>
      </c>
      <c r="D170" s="17"/>
      <c r="E170" s="17"/>
      <c r="F170" s="17"/>
      <c r="G170" s="17"/>
      <c r="H170" s="17"/>
      <c r="I170" s="17"/>
      <c r="J170" s="17"/>
      <c r="K170" s="17"/>
    </row>
    <row r="171" spans="1:11" ht="18" x14ac:dyDescent="0.2">
      <c r="A171" s="122">
        <v>46250</v>
      </c>
      <c r="B171" s="117">
        <v>1983244.0099999998</v>
      </c>
      <c r="C171" s="117">
        <v>19844.390000000003</v>
      </c>
      <c r="D171" s="17"/>
      <c r="E171" s="17"/>
      <c r="F171" s="17"/>
      <c r="G171" s="17"/>
      <c r="H171" s="17"/>
      <c r="I171" s="17"/>
      <c r="J171" s="17"/>
      <c r="K171" s="17"/>
    </row>
    <row r="172" spans="1:11" ht="18" x14ac:dyDescent="0.2">
      <c r="A172" s="121" t="s">
        <v>54</v>
      </c>
      <c r="B172" s="117">
        <v>4562.51</v>
      </c>
      <c r="C172" s="117">
        <v>45.29</v>
      </c>
      <c r="D172" s="17"/>
      <c r="E172" s="17"/>
      <c r="F172" s="17"/>
      <c r="G172" s="17"/>
      <c r="H172" s="17"/>
      <c r="I172" s="17"/>
      <c r="J172" s="17"/>
      <c r="K172" s="17"/>
    </row>
    <row r="173" spans="1:11" ht="18" x14ac:dyDescent="0.2">
      <c r="A173" s="121" t="s">
        <v>143</v>
      </c>
      <c r="B173" s="117">
        <v>1194000</v>
      </c>
      <c r="C173" s="117">
        <v>12000</v>
      </c>
      <c r="D173" s="17"/>
      <c r="E173" s="17"/>
      <c r="F173" s="17"/>
      <c r="G173" s="17"/>
      <c r="H173" s="17"/>
      <c r="I173" s="17"/>
      <c r="J173" s="17"/>
      <c r="K173" s="17"/>
    </row>
    <row r="174" spans="1:11" ht="18" x14ac:dyDescent="0.2">
      <c r="A174" s="121" t="s">
        <v>56</v>
      </c>
      <c r="B174" s="117">
        <v>4957.41</v>
      </c>
      <c r="C174" s="117">
        <v>49.21</v>
      </c>
      <c r="D174" s="17"/>
      <c r="E174" s="17"/>
      <c r="F174" s="17"/>
      <c r="G174" s="17"/>
      <c r="H174" s="17"/>
      <c r="I174" s="17"/>
      <c r="J174" s="17"/>
      <c r="K174" s="17"/>
    </row>
    <row r="175" spans="1:11" ht="18" x14ac:dyDescent="0.2">
      <c r="A175" s="121" t="s">
        <v>152</v>
      </c>
      <c r="B175" s="117">
        <v>91251.7</v>
      </c>
      <c r="C175" s="117">
        <v>905.81</v>
      </c>
      <c r="D175" s="17"/>
      <c r="E175" s="17"/>
      <c r="F175" s="17"/>
      <c r="G175" s="17"/>
      <c r="H175" s="17"/>
      <c r="I175" s="17"/>
      <c r="J175" s="17"/>
      <c r="K175" s="17"/>
    </row>
    <row r="176" spans="1:11" ht="18" x14ac:dyDescent="0.2">
      <c r="A176" s="121" t="s">
        <v>58</v>
      </c>
      <c r="B176" s="117">
        <v>243600</v>
      </c>
      <c r="C176" s="117">
        <v>2418.11</v>
      </c>
      <c r="D176" s="17"/>
      <c r="E176" s="17"/>
      <c r="F176" s="17"/>
      <c r="G176" s="17"/>
      <c r="H176" s="17"/>
      <c r="I176" s="17"/>
      <c r="J176" s="17"/>
      <c r="K176" s="17"/>
    </row>
    <row r="177" spans="1:11" ht="18" x14ac:dyDescent="0.2">
      <c r="A177" s="121" t="s">
        <v>95</v>
      </c>
      <c r="B177" s="117">
        <v>125154.34</v>
      </c>
      <c r="C177" s="117">
        <v>1242.3499999999999</v>
      </c>
      <c r="D177" s="17"/>
      <c r="E177" s="17"/>
      <c r="F177" s="17"/>
      <c r="G177" s="17"/>
      <c r="H177" s="17"/>
      <c r="I177" s="17"/>
      <c r="J177" s="17"/>
      <c r="K177" s="17"/>
    </row>
    <row r="178" spans="1:11" ht="18" x14ac:dyDescent="0.2">
      <c r="A178" s="121" t="s">
        <v>96</v>
      </c>
      <c r="B178" s="117">
        <v>200480</v>
      </c>
      <c r="C178" s="117">
        <v>2000</v>
      </c>
      <c r="D178" s="17"/>
      <c r="E178" s="17"/>
      <c r="F178" s="17"/>
      <c r="G178" s="17"/>
      <c r="H178" s="17"/>
      <c r="I178" s="17"/>
      <c r="J178" s="17"/>
      <c r="K178" s="17"/>
    </row>
    <row r="179" spans="1:11" ht="18" x14ac:dyDescent="0.2">
      <c r="A179" s="121" t="s">
        <v>714</v>
      </c>
      <c r="B179" s="117">
        <v>1007.4</v>
      </c>
      <c r="C179" s="117">
        <v>10</v>
      </c>
      <c r="D179" s="17"/>
      <c r="E179" s="17"/>
      <c r="F179" s="17"/>
      <c r="G179" s="17"/>
      <c r="H179" s="17"/>
      <c r="I179" s="17"/>
      <c r="J179" s="17"/>
      <c r="K179" s="17"/>
    </row>
    <row r="180" spans="1:11" ht="18" x14ac:dyDescent="0.2">
      <c r="A180" s="121" t="s">
        <v>2364</v>
      </c>
      <c r="B180" s="117">
        <v>633.65</v>
      </c>
      <c r="C180" s="117">
        <v>6.29</v>
      </c>
      <c r="D180" s="17"/>
      <c r="E180" s="17"/>
      <c r="F180" s="17"/>
      <c r="G180" s="17"/>
      <c r="H180" s="17"/>
      <c r="I180" s="17"/>
      <c r="J180" s="17"/>
      <c r="K180" s="17"/>
    </row>
    <row r="181" spans="1:11" ht="18" x14ac:dyDescent="0.2">
      <c r="A181" s="121" t="s">
        <v>2450</v>
      </c>
      <c r="B181" s="117">
        <v>62190</v>
      </c>
      <c r="C181" s="117">
        <v>617.33000000000004</v>
      </c>
      <c r="D181" s="17"/>
      <c r="E181" s="17"/>
      <c r="F181" s="17"/>
      <c r="G181" s="17"/>
      <c r="H181" s="17"/>
      <c r="I181" s="17"/>
      <c r="J181" s="17"/>
      <c r="K181" s="17"/>
    </row>
    <row r="182" spans="1:11" ht="18" x14ac:dyDescent="0.2">
      <c r="A182" s="121" t="s">
        <v>2570</v>
      </c>
      <c r="B182" s="117">
        <v>40296</v>
      </c>
      <c r="C182" s="117">
        <v>400</v>
      </c>
      <c r="D182" s="17"/>
      <c r="E182" s="17"/>
      <c r="F182" s="17"/>
      <c r="G182" s="17"/>
      <c r="H182" s="17"/>
      <c r="I182" s="17"/>
      <c r="J182" s="17"/>
      <c r="K182" s="17"/>
    </row>
    <row r="183" spans="1:11" ht="18" x14ac:dyDescent="0.2">
      <c r="A183" s="121" t="s">
        <v>3083</v>
      </c>
      <c r="B183" s="117">
        <v>15111</v>
      </c>
      <c r="C183" s="117">
        <v>150</v>
      </c>
      <c r="D183" s="17"/>
      <c r="E183" s="17"/>
      <c r="F183" s="17"/>
      <c r="G183" s="17"/>
      <c r="H183" s="17"/>
      <c r="I183" s="17"/>
      <c r="J183" s="17"/>
      <c r="K183" s="17"/>
    </row>
    <row r="184" spans="1:11" ht="18" x14ac:dyDescent="0.2">
      <c r="A184" s="122">
        <v>46249</v>
      </c>
      <c r="B184" s="117">
        <v>603118.42999999993</v>
      </c>
      <c r="C184" s="117">
        <v>5986.86</v>
      </c>
      <c r="D184" s="17"/>
      <c r="E184" s="17"/>
      <c r="F184" s="17"/>
      <c r="G184" s="17"/>
      <c r="H184" s="17"/>
      <c r="I184" s="17"/>
      <c r="J184" s="17"/>
      <c r="K184" s="17"/>
    </row>
    <row r="185" spans="1:11" ht="18" x14ac:dyDescent="0.2">
      <c r="A185" s="121" t="s">
        <v>57</v>
      </c>
      <c r="B185" s="117">
        <v>15000</v>
      </c>
      <c r="C185" s="117">
        <v>148.9</v>
      </c>
      <c r="D185" s="17"/>
      <c r="E185" s="17"/>
      <c r="F185" s="17"/>
      <c r="G185" s="17"/>
      <c r="H185" s="17"/>
      <c r="I185" s="17"/>
      <c r="J185" s="17"/>
      <c r="K185" s="17"/>
    </row>
    <row r="186" spans="1:11" ht="18" x14ac:dyDescent="0.2">
      <c r="A186" s="121" t="s">
        <v>56</v>
      </c>
      <c r="B186" s="117">
        <v>11484.36</v>
      </c>
      <c r="C186" s="117">
        <v>114</v>
      </c>
      <c r="D186" s="17"/>
      <c r="E186" s="17"/>
      <c r="F186" s="17"/>
      <c r="G186" s="17"/>
      <c r="H186" s="17"/>
      <c r="I186" s="17"/>
      <c r="J186" s="17"/>
      <c r="K186" s="17"/>
    </row>
    <row r="187" spans="1:11" ht="18" x14ac:dyDescent="0.2">
      <c r="A187" s="121" t="s">
        <v>152</v>
      </c>
      <c r="B187" s="117">
        <v>147252.88</v>
      </c>
      <c r="C187" s="117">
        <v>1461.7</v>
      </c>
      <c r="D187" s="17"/>
      <c r="E187" s="17"/>
      <c r="F187" s="17"/>
      <c r="G187" s="17"/>
      <c r="H187" s="17"/>
      <c r="I187" s="17"/>
      <c r="J187" s="17"/>
      <c r="K187" s="17"/>
    </row>
    <row r="188" spans="1:11" ht="18" x14ac:dyDescent="0.2">
      <c r="A188" s="121" t="s">
        <v>58</v>
      </c>
      <c r="B188" s="117">
        <v>223900</v>
      </c>
      <c r="C188" s="117">
        <v>2222.5499999999997</v>
      </c>
      <c r="D188" s="17"/>
      <c r="E188" s="17"/>
      <c r="F188" s="17"/>
      <c r="G188" s="17"/>
      <c r="H188" s="17"/>
      <c r="I188" s="17"/>
      <c r="J188" s="17"/>
      <c r="K188" s="17"/>
    </row>
    <row r="189" spans="1:11" ht="18" x14ac:dyDescent="0.2">
      <c r="A189" s="121" t="s">
        <v>95</v>
      </c>
      <c r="B189" s="117">
        <v>101991.19</v>
      </c>
      <c r="C189" s="117">
        <v>1012.42</v>
      </c>
      <c r="D189" s="17"/>
      <c r="E189" s="17"/>
      <c r="F189" s="17"/>
      <c r="G189" s="17"/>
      <c r="H189" s="17"/>
      <c r="I189" s="17"/>
      <c r="J189" s="17"/>
      <c r="K189" s="17"/>
    </row>
    <row r="190" spans="1:11" ht="18" x14ac:dyDescent="0.2">
      <c r="A190" s="121" t="s">
        <v>1786</v>
      </c>
      <c r="B190" s="117">
        <v>2800</v>
      </c>
      <c r="C190" s="117">
        <v>27.79</v>
      </c>
      <c r="D190" s="17"/>
      <c r="E190" s="17"/>
      <c r="F190" s="17"/>
      <c r="G190" s="17"/>
      <c r="H190" s="17"/>
      <c r="I190" s="17"/>
      <c r="J190" s="17"/>
      <c r="K190" s="17"/>
    </row>
    <row r="191" spans="1:11" ht="18" x14ac:dyDescent="0.2">
      <c r="A191" s="121" t="s">
        <v>2364</v>
      </c>
      <c r="B191" s="117">
        <v>3000</v>
      </c>
      <c r="C191" s="117">
        <v>29.78</v>
      </c>
      <c r="D191" s="17"/>
      <c r="E191" s="17"/>
      <c r="F191" s="17"/>
      <c r="G191" s="17"/>
      <c r="H191" s="17"/>
      <c r="I191" s="17"/>
      <c r="J191" s="17"/>
      <c r="K191" s="17"/>
    </row>
    <row r="192" spans="1:11" ht="18" x14ac:dyDescent="0.2">
      <c r="A192" s="121" t="s">
        <v>2450</v>
      </c>
      <c r="B192" s="117">
        <v>77542</v>
      </c>
      <c r="C192" s="117">
        <v>769.72</v>
      </c>
      <c r="D192" s="17"/>
      <c r="E192" s="17"/>
      <c r="F192" s="17"/>
      <c r="G192" s="17"/>
      <c r="H192" s="17"/>
      <c r="I192" s="17"/>
      <c r="J192" s="17"/>
      <c r="K192" s="17"/>
    </row>
    <row r="193" spans="1:11" ht="18" x14ac:dyDescent="0.2">
      <c r="A193" s="121" t="s">
        <v>2570</v>
      </c>
      <c r="B193" s="117">
        <v>20148</v>
      </c>
      <c r="C193" s="117">
        <v>200</v>
      </c>
      <c r="D193" s="17"/>
      <c r="E193" s="17"/>
      <c r="F193" s="17"/>
      <c r="G193" s="17"/>
      <c r="H193" s="17"/>
      <c r="I193" s="17"/>
      <c r="J193" s="17"/>
      <c r="K193" s="17"/>
    </row>
    <row r="194" spans="1:11" ht="18" x14ac:dyDescent="0.2">
      <c r="A194" s="122">
        <v>46248</v>
      </c>
      <c r="B194" s="117">
        <v>1396022.38</v>
      </c>
      <c r="C194" s="117">
        <v>13867.600000000002</v>
      </c>
      <c r="D194" s="17"/>
      <c r="E194" s="17"/>
      <c r="F194" s="17"/>
      <c r="G194" s="17"/>
      <c r="H194" s="17"/>
      <c r="I194" s="17"/>
      <c r="J194" s="17"/>
      <c r="K194" s="17"/>
    </row>
    <row r="195" spans="1:11" ht="18" x14ac:dyDescent="0.2">
      <c r="A195" s="121" t="s">
        <v>53</v>
      </c>
      <c r="B195" s="117">
        <v>5402.68</v>
      </c>
      <c r="C195" s="117">
        <v>53.63</v>
      </c>
      <c r="D195" s="17"/>
      <c r="E195" s="17"/>
      <c r="F195" s="17"/>
      <c r="G195" s="17"/>
      <c r="H195" s="17"/>
      <c r="I195" s="17"/>
      <c r="J195" s="17"/>
      <c r="K195" s="17"/>
    </row>
    <row r="196" spans="1:11" ht="18" x14ac:dyDescent="0.2">
      <c r="A196" s="121" t="s">
        <v>57</v>
      </c>
      <c r="B196" s="117">
        <v>74642.600000000006</v>
      </c>
      <c r="C196" s="117">
        <v>740.94</v>
      </c>
      <c r="D196" s="17"/>
      <c r="E196" s="17"/>
      <c r="F196" s="17"/>
      <c r="G196" s="17"/>
      <c r="H196" s="17"/>
      <c r="I196" s="17"/>
      <c r="J196" s="17"/>
      <c r="K196" s="17"/>
    </row>
    <row r="197" spans="1:11" ht="18" x14ac:dyDescent="0.2">
      <c r="A197" s="121" t="s">
        <v>152</v>
      </c>
      <c r="B197" s="117">
        <v>123078.78</v>
      </c>
      <c r="C197" s="117">
        <v>1221.75</v>
      </c>
      <c r="D197" s="17"/>
      <c r="E197" s="17"/>
      <c r="F197" s="17"/>
      <c r="G197" s="17"/>
      <c r="H197" s="17"/>
      <c r="I197" s="17"/>
      <c r="J197" s="17"/>
      <c r="K197" s="17"/>
    </row>
    <row r="198" spans="1:11" ht="18" x14ac:dyDescent="0.2">
      <c r="A198" s="121" t="s">
        <v>58</v>
      </c>
      <c r="B198" s="117">
        <v>306600</v>
      </c>
      <c r="C198" s="117">
        <v>3043.48</v>
      </c>
      <c r="D198" s="17"/>
      <c r="E198" s="17"/>
      <c r="F198" s="17"/>
      <c r="G198" s="17"/>
      <c r="H198" s="17"/>
      <c r="I198" s="17"/>
      <c r="J198" s="17"/>
      <c r="K198" s="17"/>
    </row>
    <row r="199" spans="1:11" ht="18" x14ac:dyDescent="0.2">
      <c r="A199" s="121" t="s">
        <v>95</v>
      </c>
      <c r="B199" s="117">
        <v>60759.32</v>
      </c>
      <c r="C199" s="117">
        <v>603.13</v>
      </c>
      <c r="D199" s="17"/>
      <c r="E199" s="17"/>
      <c r="F199" s="17"/>
      <c r="G199" s="17"/>
      <c r="H199" s="17"/>
      <c r="I199" s="17"/>
      <c r="J199" s="17"/>
      <c r="K199" s="17"/>
    </row>
    <row r="200" spans="1:11" ht="18" x14ac:dyDescent="0.2">
      <c r="A200" s="121" t="s">
        <v>134</v>
      </c>
      <c r="B200" s="117">
        <v>120888</v>
      </c>
      <c r="C200" s="117">
        <v>1200</v>
      </c>
      <c r="D200" s="17"/>
      <c r="E200" s="17"/>
      <c r="F200" s="17"/>
      <c r="G200" s="17"/>
      <c r="H200" s="17"/>
      <c r="I200" s="17"/>
      <c r="J200" s="17"/>
      <c r="K200" s="17"/>
    </row>
    <row r="201" spans="1:11" ht="18" x14ac:dyDescent="0.2">
      <c r="A201" s="121" t="s">
        <v>96</v>
      </c>
      <c r="B201" s="117">
        <v>200480</v>
      </c>
      <c r="C201" s="117">
        <v>2000</v>
      </c>
      <c r="D201" s="17"/>
      <c r="E201" s="17"/>
      <c r="F201" s="17"/>
      <c r="G201" s="17"/>
      <c r="H201" s="17"/>
      <c r="I201" s="17"/>
      <c r="J201" s="17"/>
      <c r="K201" s="17"/>
    </row>
    <row r="202" spans="1:11" ht="18" x14ac:dyDescent="0.2">
      <c r="A202" s="121" t="s">
        <v>1073</v>
      </c>
      <c r="B202" s="117">
        <v>302220</v>
      </c>
      <c r="C202" s="117">
        <v>3000</v>
      </c>
      <c r="D202" s="17"/>
      <c r="E202" s="17"/>
      <c r="F202" s="17"/>
      <c r="G202" s="17"/>
      <c r="H202" s="17"/>
      <c r="I202" s="17"/>
      <c r="J202" s="17"/>
      <c r="K202" s="17"/>
    </row>
    <row r="203" spans="1:11" ht="18" x14ac:dyDescent="0.2">
      <c r="A203" s="121" t="s">
        <v>1483</v>
      </c>
      <c r="B203" s="117">
        <v>60444</v>
      </c>
      <c r="C203" s="117">
        <v>600</v>
      </c>
      <c r="D203" s="17"/>
      <c r="E203" s="17"/>
      <c r="F203" s="17"/>
      <c r="G203" s="17"/>
      <c r="H203" s="17"/>
      <c r="I203" s="17"/>
      <c r="J203" s="17"/>
      <c r="K203" s="17"/>
    </row>
    <row r="204" spans="1:11" ht="18" x14ac:dyDescent="0.2">
      <c r="A204" s="121" t="s">
        <v>1786</v>
      </c>
      <c r="B204" s="117">
        <v>2800</v>
      </c>
      <c r="C204" s="117">
        <v>27.79</v>
      </c>
      <c r="D204" s="17"/>
      <c r="E204" s="17"/>
      <c r="F204" s="17"/>
      <c r="G204" s="17"/>
      <c r="H204" s="17"/>
      <c r="I204" s="17"/>
      <c r="J204" s="17"/>
      <c r="K204" s="17"/>
    </row>
    <row r="205" spans="1:11" ht="18" x14ac:dyDescent="0.2">
      <c r="A205" s="121" t="s">
        <v>2364</v>
      </c>
      <c r="B205" s="117">
        <v>5945</v>
      </c>
      <c r="C205" s="117">
        <v>59.01</v>
      </c>
      <c r="D205" s="17"/>
      <c r="E205" s="17"/>
      <c r="F205" s="17"/>
      <c r="G205" s="17"/>
      <c r="H205" s="17"/>
      <c r="I205" s="17"/>
      <c r="J205" s="17"/>
      <c r="K205" s="17"/>
    </row>
    <row r="206" spans="1:11" ht="18" x14ac:dyDescent="0.2">
      <c r="A206" s="121" t="s">
        <v>2450</v>
      </c>
      <c r="B206" s="117">
        <v>52170</v>
      </c>
      <c r="C206" s="117">
        <v>517.87</v>
      </c>
      <c r="D206" s="17"/>
      <c r="E206" s="17"/>
      <c r="F206" s="17"/>
      <c r="G206" s="17"/>
      <c r="H206" s="17"/>
      <c r="I206" s="17"/>
      <c r="J206" s="17"/>
      <c r="K206" s="17"/>
    </row>
    <row r="207" spans="1:11" ht="18" x14ac:dyDescent="0.2">
      <c r="A207" s="121" t="s">
        <v>2570</v>
      </c>
      <c r="B207" s="117">
        <v>80592</v>
      </c>
      <c r="C207" s="117">
        <v>800</v>
      </c>
      <c r="D207" s="17"/>
      <c r="E207" s="17"/>
      <c r="F207" s="17"/>
      <c r="G207" s="17"/>
      <c r="H207" s="17"/>
      <c r="I207" s="17"/>
      <c r="J207" s="17"/>
      <c r="K207" s="17"/>
    </row>
    <row r="208" spans="1:11" ht="18" x14ac:dyDescent="0.2">
      <c r="A208" s="122">
        <v>46247</v>
      </c>
      <c r="B208" s="117">
        <v>541183.95000000007</v>
      </c>
      <c r="C208" s="117">
        <v>5372.130000000001</v>
      </c>
      <c r="D208" s="17"/>
      <c r="E208" s="17"/>
      <c r="F208" s="17"/>
      <c r="G208" s="17"/>
      <c r="H208" s="17"/>
      <c r="I208" s="17"/>
      <c r="J208" s="17"/>
      <c r="K208" s="17"/>
    </row>
    <row r="209" spans="1:11" ht="18" x14ac:dyDescent="0.2">
      <c r="A209" s="121" t="s">
        <v>54</v>
      </c>
      <c r="B209" s="117">
        <v>10074</v>
      </c>
      <c r="C209" s="117">
        <v>100</v>
      </c>
      <c r="D209" s="17"/>
      <c r="E209" s="17"/>
      <c r="F209" s="17"/>
      <c r="G209" s="17"/>
      <c r="H209" s="17"/>
      <c r="I209" s="17"/>
      <c r="J209" s="17"/>
      <c r="K209" s="17"/>
    </row>
    <row r="210" spans="1:11" ht="18" x14ac:dyDescent="0.2">
      <c r="A210" s="121" t="s">
        <v>56</v>
      </c>
      <c r="B210" s="117">
        <v>17800.75</v>
      </c>
      <c r="C210" s="117">
        <v>176.7</v>
      </c>
      <c r="D210" s="17"/>
      <c r="E210" s="17"/>
      <c r="F210" s="17"/>
      <c r="G210" s="17"/>
      <c r="H210" s="17"/>
      <c r="I210" s="17"/>
      <c r="J210" s="17"/>
      <c r="K210" s="17"/>
    </row>
    <row r="211" spans="1:11" ht="18" x14ac:dyDescent="0.2">
      <c r="A211" s="121" t="s">
        <v>152</v>
      </c>
      <c r="B211" s="117">
        <v>49279.82</v>
      </c>
      <c r="C211" s="117">
        <v>489.18</v>
      </c>
      <c r="D211" s="17"/>
      <c r="E211" s="17"/>
      <c r="F211" s="17"/>
      <c r="G211" s="17"/>
      <c r="H211" s="17"/>
      <c r="I211" s="17"/>
      <c r="J211" s="17"/>
      <c r="K211" s="17"/>
    </row>
    <row r="212" spans="1:11" ht="18" x14ac:dyDescent="0.2">
      <c r="A212" s="121" t="s">
        <v>58</v>
      </c>
      <c r="B212" s="117">
        <v>237600</v>
      </c>
      <c r="C212" s="117">
        <v>2358.5500000000002</v>
      </c>
      <c r="D212" s="17"/>
      <c r="E212" s="17"/>
      <c r="F212" s="17"/>
      <c r="G212" s="17"/>
      <c r="H212" s="17"/>
      <c r="I212" s="17"/>
      <c r="J212" s="17"/>
      <c r="K212" s="17"/>
    </row>
    <row r="213" spans="1:11" ht="18" x14ac:dyDescent="0.2">
      <c r="A213" s="121" t="s">
        <v>95</v>
      </c>
      <c r="B213" s="117">
        <v>127911.59</v>
      </c>
      <c r="C213" s="117">
        <v>1269.72</v>
      </c>
      <c r="D213" s="17"/>
      <c r="E213" s="17"/>
      <c r="F213" s="17"/>
      <c r="G213" s="17"/>
      <c r="H213" s="17"/>
      <c r="I213" s="17"/>
      <c r="J213" s="17"/>
      <c r="K213" s="17"/>
    </row>
    <row r="214" spans="1:11" ht="18" x14ac:dyDescent="0.2">
      <c r="A214" s="121" t="s">
        <v>714</v>
      </c>
      <c r="B214" s="117">
        <v>2014.8</v>
      </c>
      <c r="C214" s="117">
        <v>20</v>
      </c>
      <c r="D214" s="17"/>
      <c r="E214" s="17"/>
      <c r="F214" s="17"/>
      <c r="G214" s="17"/>
      <c r="H214" s="17"/>
      <c r="I214" s="17"/>
      <c r="J214" s="17"/>
      <c r="K214" s="17"/>
    </row>
    <row r="215" spans="1:11" ht="18" x14ac:dyDescent="0.2">
      <c r="A215" s="121" t="s">
        <v>1786</v>
      </c>
      <c r="B215" s="117">
        <v>19600</v>
      </c>
      <c r="C215" s="117">
        <v>194.60000000000002</v>
      </c>
      <c r="D215" s="17"/>
      <c r="E215" s="17"/>
      <c r="F215" s="17"/>
      <c r="G215" s="17"/>
      <c r="H215" s="17"/>
      <c r="I215" s="17"/>
      <c r="J215" s="17"/>
      <c r="K215" s="17"/>
    </row>
    <row r="216" spans="1:11" ht="18" x14ac:dyDescent="0.2">
      <c r="A216" s="121" t="s">
        <v>2364</v>
      </c>
      <c r="B216" s="117">
        <v>2395.59</v>
      </c>
      <c r="C216" s="117">
        <v>23.78</v>
      </c>
      <c r="D216" s="17"/>
      <c r="E216" s="17"/>
      <c r="F216" s="17"/>
      <c r="G216" s="17"/>
      <c r="H216" s="17"/>
      <c r="I216" s="17"/>
      <c r="J216" s="17"/>
      <c r="K216" s="17"/>
    </row>
    <row r="217" spans="1:11" ht="18" x14ac:dyDescent="0.2">
      <c r="A217" s="121" t="s">
        <v>2450</v>
      </c>
      <c r="B217" s="117">
        <v>74507.399999999994</v>
      </c>
      <c r="C217" s="117">
        <v>739.6</v>
      </c>
      <c r="D217" s="17"/>
      <c r="E217" s="17"/>
      <c r="F217" s="17"/>
      <c r="G217" s="17"/>
      <c r="H217" s="17"/>
      <c r="I217" s="17"/>
      <c r="J217" s="17"/>
      <c r="K217" s="17"/>
    </row>
    <row r="218" spans="1:11" ht="18" x14ac:dyDescent="0.2">
      <c r="A218" s="122">
        <v>46246</v>
      </c>
      <c r="B218" s="117">
        <v>3916727.4099999997</v>
      </c>
      <c r="C218" s="117">
        <v>39258.820000000007</v>
      </c>
      <c r="D218" s="17"/>
      <c r="E218" s="17"/>
      <c r="F218" s="17"/>
      <c r="G218" s="17"/>
      <c r="H218" s="17"/>
      <c r="I218" s="17"/>
      <c r="J218" s="17"/>
      <c r="K218" s="17"/>
    </row>
    <row r="219" spans="1:11" ht="18" x14ac:dyDescent="0.2">
      <c r="A219" s="121" t="s">
        <v>143</v>
      </c>
      <c r="B219" s="117">
        <v>1194000</v>
      </c>
      <c r="C219" s="117">
        <v>12000</v>
      </c>
      <c r="D219" s="17"/>
      <c r="E219" s="17"/>
      <c r="F219" s="17"/>
      <c r="G219" s="17"/>
      <c r="H219" s="17"/>
      <c r="I219" s="17"/>
      <c r="J219" s="17"/>
      <c r="K219" s="17"/>
    </row>
    <row r="220" spans="1:11" ht="18" x14ac:dyDescent="0.2">
      <c r="A220" s="121" t="s">
        <v>56</v>
      </c>
      <c r="B220" s="117">
        <v>4455.7299999999996</v>
      </c>
      <c r="C220" s="117">
        <v>44.23</v>
      </c>
      <c r="D220" s="17"/>
      <c r="E220" s="17"/>
      <c r="F220" s="17"/>
      <c r="G220" s="17"/>
      <c r="H220" s="17"/>
      <c r="I220" s="17"/>
      <c r="J220" s="17"/>
      <c r="K220" s="17"/>
    </row>
    <row r="221" spans="1:11" ht="18" x14ac:dyDescent="0.2">
      <c r="A221" s="121" t="s">
        <v>152</v>
      </c>
      <c r="B221" s="117">
        <v>95838.38</v>
      </c>
      <c r="C221" s="117">
        <v>951.34</v>
      </c>
      <c r="D221" s="17"/>
      <c r="E221" s="17"/>
      <c r="F221" s="17"/>
      <c r="G221" s="17"/>
      <c r="H221" s="17"/>
      <c r="I221" s="17"/>
      <c r="J221" s="17"/>
      <c r="K221" s="17"/>
    </row>
    <row r="222" spans="1:11" ht="18" x14ac:dyDescent="0.2">
      <c r="A222" s="121" t="s">
        <v>58</v>
      </c>
      <c r="B222" s="117">
        <v>340522.2</v>
      </c>
      <c r="C222" s="117">
        <v>3380.21</v>
      </c>
      <c r="D222" s="17"/>
      <c r="E222" s="17"/>
      <c r="F222" s="17"/>
      <c r="G222" s="17"/>
      <c r="H222" s="17"/>
      <c r="I222" s="17"/>
      <c r="J222" s="17"/>
      <c r="K222" s="17"/>
    </row>
    <row r="223" spans="1:11" ht="18" x14ac:dyDescent="0.2">
      <c r="A223" s="121" t="s">
        <v>95</v>
      </c>
      <c r="B223" s="117">
        <v>91348.01</v>
      </c>
      <c r="C223" s="117">
        <v>906.77</v>
      </c>
      <c r="D223" s="17"/>
      <c r="E223" s="17"/>
      <c r="F223" s="17"/>
      <c r="G223" s="17"/>
      <c r="H223" s="17"/>
      <c r="I223" s="17"/>
      <c r="J223" s="17"/>
      <c r="K223" s="17"/>
    </row>
    <row r="224" spans="1:11" ht="18" x14ac:dyDescent="0.2">
      <c r="A224" s="121" t="s">
        <v>137</v>
      </c>
      <c r="B224" s="117">
        <v>4700.5200000000004</v>
      </c>
      <c r="C224" s="117">
        <v>46.66</v>
      </c>
      <c r="D224" s="17"/>
      <c r="E224" s="17"/>
      <c r="F224" s="17"/>
      <c r="G224" s="17"/>
      <c r="H224" s="17"/>
      <c r="I224" s="17"/>
      <c r="J224" s="17"/>
      <c r="K224" s="17"/>
    </row>
    <row r="225" spans="1:11" ht="18" x14ac:dyDescent="0.2">
      <c r="A225" s="121" t="s">
        <v>51</v>
      </c>
      <c r="B225" s="117">
        <v>1791000</v>
      </c>
      <c r="C225" s="117">
        <v>18000</v>
      </c>
      <c r="D225" s="17"/>
      <c r="E225" s="17"/>
      <c r="F225" s="17"/>
      <c r="G225" s="17"/>
      <c r="H225" s="17"/>
      <c r="I225" s="17"/>
      <c r="J225" s="17"/>
      <c r="K225" s="17"/>
    </row>
    <row r="226" spans="1:11" ht="18" x14ac:dyDescent="0.2">
      <c r="A226" s="121" t="s">
        <v>59</v>
      </c>
      <c r="B226" s="117">
        <v>17529.77</v>
      </c>
      <c r="C226" s="117">
        <v>174.01</v>
      </c>
      <c r="D226" s="17"/>
      <c r="E226" s="17"/>
      <c r="F226" s="17"/>
      <c r="G226" s="17"/>
      <c r="H226" s="17"/>
      <c r="I226" s="17"/>
      <c r="J226" s="17"/>
      <c r="K226" s="17"/>
    </row>
    <row r="227" spans="1:11" ht="18" x14ac:dyDescent="0.2">
      <c r="A227" s="121" t="s">
        <v>96</v>
      </c>
      <c r="B227" s="117">
        <v>200480</v>
      </c>
      <c r="C227" s="117">
        <v>2000</v>
      </c>
      <c r="D227" s="17"/>
      <c r="E227" s="17"/>
      <c r="F227" s="17"/>
      <c r="G227" s="17"/>
      <c r="H227" s="17"/>
      <c r="I227" s="17"/>
      <c r="J227" s="17"/>
      <c r="K227" s="17"/>
    </row>
    <row r="228" spans="1:11" ht="18" x14ac:dyDescent="0.2">
      <c r="A228" s="121" t="s">
        <v>714</v>
      </c>
      <c r="B228" s="117">
        <v>2014.8</v>
      </c>
      <c r="C228" s="117">
        <v>20</v>
      </c>
      <c r="D228" s="17"/>
      <c r="E228" s="17"/>
      <c r="F228" s="17"/>
      <c r="G228" s="17"/>
      <c r="H228" s="17"/>
      <c r="I228" s="17"/>
      <c r="J228" s="17"/>
      <c r="K228" s="17"/>
    </row>
    <row r="229" spans="1:11" ht="18" x14ac:dyDescent="0.2">
      <c r="A229" s="121" t="s">
        <v>1786</v>
      </c>
      <c r="B229" s="117">
        <v>30800</v>
      </c>
      <c r="C229" s="117">
        <v>305.80000000000007</v>
      </c>
      <c r="D229" s="17"/>
      <c r="E229" s="17"/>
      <c r="F229" s="17"/>
      <c r="G229" s="17"/>
      <c r="H229" s="17"/>
      <c r="I229" s="17"/>
      <c r="J229" s="17"/>
      <c r="K229" s="17"/>
    </row>
    <row r="230" spans="1:11" ht="18" x14ac:dyDescent="0.2">
      <c r="A230" s="121" t="s">
        <v>2364</v>
      </c>
      <c r="B230" s="117">
        <v>9000</v>
      </c>
      <c r="C230" s="117">
        <v>89.34</v>
      </c>
      <c r="D230" s="17"/>
      <c r="E230" s="17"/>
      <c r="F230" s="17"/>
      <c r="G230" s="17"/>
      <c r="H230" s="17"/>
      <c r="I230" s="17"/>
      <c r="J230" s="17"/>
      <c r="K230" s="17"/>
    </row>
    <row r="231" spans="1:11" ht="18" x14ac:dyDescent="0.2">
      <c r="A231" s="121" t="s">
        <v>2450</v>
      </c>
      <c r="B231" s="117">
        <v>80038</v>
      </c>
      <c r="C231" s="117">
        <v>794.5</v>
      </c>
      <c r="D231" s="17"/>
      <c r="E231" s="17"/>
      <c r="F231" s="17"/>
      <c r="G231" s="17"/>
      <c r="H231" s="17"/>
      <c r="I231" s="17"/>
      <c r="J231" s="17"/>
      <c r="K231" s="17"/>
    </row>
    <row r="232" spans="1:11" ht="18" x14ac:dyDescent="0.2">
      <c r="A232" s="121" t="s">
        <v>2611</v>
      </c>
      <c r="B232" s="117">
        <v>25000</v>
      </c>
      <c r="C232" s="117">
        <v>248.16</v>
      </c>
      <c r="D232" s="17"/>
      <c r="E232" s="17"/>
      <c r="F232" s="17"/>
      <c r="G232" s="17"/>
      <c r="H232" s="17"/>
      <c r="I232" s="17"/>
      <c r="J232" s="17"/>
      <c r="K232" s="17"/>
    </row>
    <row r="233" spans="1:11" ht="18" x14ac:dyDescent="0.2">
      <c r="A233" s="121" t="s">
        <v>3083</v>
      </c>
      <c r="B233" s="117">
        <v>30000</v>
      </c>
      <c r="C233" s="117">
        <v>297.8</v>
      </c>
      <c r="D233" s="17"/>
      <c r="E233" s="17"/>
      <c r="F233" s="17"/>
      <c r="G233" s="17"/>
      <c r="H233" s="17"/>
      <c r="I233" s="17"/>
      <c r="J233" s="17"/>
      <c r="K233" s="17"/>
    </row>
    <row r="234" spans="1:11" ht="18" x14ac:dyDescent="0.2">
      <c r="A234" s="122">
        <v>46245</v>
      </c>
      <c r="B234" s="117">
        <v>2373807.2800000003</v>
      </c>
      <c r="C234" s="117">
        <v>23721.35</v>
      </c>
      <c r="D234" s="17"/>
      <c r="E234" s="17"/>
      <c r="F234" s="17"/>
      <c r="G234" s="17"/>
      <c r="H234" s="17"/>
      <c r="I234" s="17"/>
      <c r="J234" s="17"/>
      <c r="K234" s="17"/>
    </row>
    <row r="235" spans="1:11" ht="18" x14ac:dyDescent="0.2">
      <c r="A235" s="121" t="s">
        <v>57</v>
      </c>
      <c r="B235" s="117">
        <v>18134.2</v>
      </c>
      <c r="C235" s="117">
        <v>180.01</v>
      </c>
      <c r="D235" s="17"/>
      <c r="E235" s="17"/>
      <c r="F235" s="17"/>
      <c r="G235" s="17"/>
      <c r="H235" s="17"/>
      <c r="I235" s="17"/>
      <c r="J235" s="17"/>
      <c r="K235" s="17"/>
    </row>
    <row r="236" spans="1:11" ht="18" x14ac:dyDescent="0.2">
      <c r="A236" s="121" t="s">
        <v>56</v>
      </c>
      <c r="B236" s="117">
        <v>5183.07</v>
      </c>
      <c r="C236" s="117">
        <v>51.45</v>
      </c>
      <c r="D236" s="17"/>
      <c r="E236" s="17"/>
      <c r="F236" s="17"/>
      <c r="G236" s="17"/>
      <c r="H236" s="17"/>
      <c r="I236" s="17"/>
      <c r="J236" s="17"/>
      <c r="K236" s="17"/>
    </row>
    <row r="237" spans="1:11" ht="18" x14ac:dyDescent="0.2">
      <c r="A237" s="121" t="s">
        <v>152</v>
      </c>
      <c r="B237" s="117">
        <v>181787.86</v>
      </c>
      <c r="C237" s="117">
        <v>1804.53</v>
      </c>
      <c r="D237" s="17"/>
      <c r="E237" s="17"/>
      <c r="F237" s="17"/>
      <c r="G237" s="17"/>
      <c r="H237" s="17"/>
      <c r="I237" s="17"/>
      <c r="J237" s="17"/>
      <c r="K237" s="17"/>
    </row>
    <row r="238" spans="1:11" ht="18" x14ac:dyDescent="0.2">
      <c r="A238" s="121" t="s">
        <v>58</v>
      </c>
      <c r="B238" s="117">
        <v>309300</v>
      </c>
      <c r="C238" s="117">
        <v>3070.2799999999997</v>
      </c>
      <c r="D238" s="17"/>
      <c r="E238" s="17"/>
      <c r="F238" s="17"/>
      <c r="G238" s="17"/>
      <c r="H238" s="17"/>
      <c r="I238" s="17"/>
      <c r="J238" s="17"/>
      <c r="K238" s="17"/>
    </row>
    <row r="239" spans="1:11" ht="18" x14ac:dyDescent="0.2">
      <c r="A239" s="121" t="s">
        <v>95</v>
      </c>
      <c r="B239" s="117">
        <v>142068.59</v>
      </c>
      <c r="C239" s="117">
        <v>1410.25</v>
      </c>
      <c r="D239" s="17"/>
      <c r="E239" s="17"/>
      <c r="F239" s="17"/>
      <c r="G239" s="17"/>
      <c r="H239" s="17"/>
      <c r="I239" s="17"/>
      <c r="J239" s="17"/>
      <c r="K239" s="17"/>
    </row>
    <row r="240" spans="1:11" ht="18" x14ac:dyDescent="0.2">
      <c r="A240" s="121" t="s">
        <v>199</v>
      </c>
      <c r="B240" s="117">
        <v>37007.839999999997</v>
      </c>
      <c r="C240" s="117">
        <v>367.36</v>
      </c>
      <c r="D240" s="17"/>
      <c r="E240" s="17"/>
      <c r="F240" s="17"/>
      <c r="G240" s="17"/>
      <c r="H240" s="17"/>
      <c r="I240" s="17"/>
      <c r="J240" s="17"/>
      <c r="K240" s="17"/>
    </row>
    <row r="241" spans="1:11" ht="18" x14ac:dyDescent="0.2">
      <c r="A241" s="121" t="s">
        <v>51</v>
      </c>
      <c r="B241" s="117">
        <v>1194000</v>
      </c>
      <c r="C241" s="117">
        <v>12000</v>
      </c>
      <c r="D241" s="17"/>
      <c r="E241" s="17"/>
      <c r="F241" s="17"/>
      <c r="G241" s="17"/>
      <c r="H241" s="17"/>
      <c r="I241" s="17"/>
      <c r="J241" s="17"/>
      <c r="K241" s="17"/>
    </row>
    <row r="242" spans="1:11" ht="18" x14ac:dyDescent="0.2">
      <c r="A242" s="121" t="s">
        <v>96</v>
      </c>
      <c r="B242" s="117">
        <v>200480</v>
      </c>
      <c r="C242" s="117">
        <v>2000</v>
      </c>
      <c r="D242" s="17"/>
      <c r="E242" s="17"/>
      <c r="F242" s="17"/>
      <c r="G242" s="17"/>
      <c r="H242" s="17"/>
      <c r="I242" s="17"/>
      <c r="J242" s="17"/>
      <c r="K242" s="17"/>
    </row>
    <row r="243" spans="1:11" ht="18" x14ac:dyDescent="0.2">
      <c r="A243" s="121" t="s">
        <v>714</v>
      </c>
      <c r="B243" s="117">
        <v>2014.8</v>
      </c>
      <c r="C243" s="117">
        <v>20</v>
      </c>
      <c r="D243" s="17"/>
      <c r="E243" s="17"/>
      <c r="F243" s="17"/>
      <c r="G243" s="17"/>
      <c r="H243" s="17"/>
      <c r="I243" s="17"/>
      <c r="J243" s="17"/>
      <c r="K243" s="17"/>
    </row>
    <row r="244" spans="1:11" ht="18" x14ac:dyDescent="0.2">
      <c r="A244" s="121" t="s">
        <v>901</v>
      </c>
      <c r="B244" s="117">
        <v>206288.32</v>
      </c>
      <c r="C244" s="117">
        <v>2047.73</v>
      </c>
      <c r="D244" s="17"/>
      <c r="E244" s="17"/>
      <c r="F244" s="17"/>
      <c r="G244" s="17"/>
      <c r="H244" s="17"/>
      <c r="I244" s="17"/>
      <c r="J244" s="17"/>
      <c r="K244" s="17"/>
    </row>
    <row r="245" spans="1:11" ht="18" x14ac:dyDescent="0.2">
      <c r="A245" s="121" t="s">
        <v>1786</v>
      </c>
      <c r="B245" s="117">
        <v>8400</v>
      </c>
      <c r="C245" s="117">
        <v>83.4</v>
      </c>
      <c r="D245" s="17"/>
      <c r="E245" s="17"/>
      <c r="F245" s="17"/>
      <c r="G245" s="17"/>
      <c r="H245" s="17"/>
      <c r="I245" s="17"/>
      <c r="J245" s="17"/>
      <c r="K245" s="17"/>
    </row>
    <row r="246" spans="1:11" ht="18" x14ac:dyDescent="0.2">
      <c r="A246" s="121" t="s">
        <v>2364</v>
      </c>
      <c r="B246" s="117">
        <v>4580.6000000000004</v>
      </c>
      <c r="C246" s="117">
        <v>45.47</v>
      </c>
      <c r="D246" s="17"/>
      <c r="E246" s="17"/>
      <c r="F246" s="17"/>
      <c r="G246" s="17"/>
      <c r="H246" s="17"/>
      <c r="I246" s="17"/>
      <c r="J246" s="17"/>
      <c r="K246" s="17"/>
    </row>
    <row r="247" spans="1:11" ht="18" x14ac:dyDescent="0.2">
      <c r="A247" s="121" t="s">
        <v>2450</v>
      </c>
      <c r="B247" s="117">
        <v>39562</v>
      </c>
      <c r="C247" s="117">
        <v>392.71000000000004</v>
      </c>
      <c r="D247" s="17"/>
      <c r="E247" s="17"/>
      <c r="F247" s="17"/>
      <c r="G247" s="17"/>
      <c r="H247" s="17"/>
      <c r="I247" s="17"/>
      <c r="J247" s="17"/>
      <c r="K247" s="17"/>
    </row>
    <row r="248" spans="1:11" ht="18" x14ac:dyDescent="0.2">
      <c r="A248" s="121" t="s">
        <v>2611</v>
      </c>
      <c r="B248" s="117">
        <v>25000</v>
      </c>
      <c r="C248" s="117">
        <v>248.16</v>
      </c>
      <c r="D248" s="17"/>
      <c r="E248" s="17"/>
      <c r="F248" s="17"/>
      <c r="G248" s="17"/>
      <c r="H248" s="17"/>
      <c r="I248" s="17"/>
      <c r="J248" s="17"/>
      <c r="K248" s="17"/>
    </row>
    <row r="249" spans="1:11" ht="18" x14ac:dyDescent="0.2">
      <c r="A249" s="122">
        <v>46244</v>
      </c>
      <c r="B249" s="117">
        <v>2370768.5400000005</v>
      </c>
      <c r="C249" s="117">
        <v>23681.249999999996</v>
      </c>
      <c r="D249" s="17"/>
      <c r="E249" s="17"/>
      <c r="F249" s="17"/>
      <c r="G249" s="17"/>
      <c r="H249" s="17"/>
      <c r="I249" s="17"/>
      <c r="J249" s="17"/>
      <c r="K249" s="17"/>
    </row>
    <row r="250" spans="1:11" ht="18" x14ac:dyDescent="0.2">
      <c r="A250" s="121" t="s">
        <v>143</v>
      </c>
      <c r="B250" s="117">
        <v>1194000</v>
      </c>
      <c r="C250" s="117">
        <v>12000</v>
      </c>
      <c r="D250" s="17"/>
      <c r="E250" s="17"/>
      <c r="F250" s="17"/>
      <c r="G250" s="17"/>
      <c r="H250" s="17"/>
      <c r="I250" s="17"/>
      <c r="J250" s="17"/>
      <c r="K250" s="17"/>
    </row>
    <row r="251" spans="1:11" ht="18" x14ac:dyDescent="0.2">
      <c r="A251" s="121" t="s">
        <v>57</v>
      </c>
      <c r="B251" s="117">
        <v>38868.559999999998</v>
      </c>
      <c r="C251" s="117">
        <v>385.83</v>
      </c>
      <c r="D251" s="17"/>
      <c r="E251" s="17"/>
      <c r="F251" s="17"/>
      <c r="G251" s="17"/>
      <c r="H251" s="17"/>
      <c r="I251" s="17"/>
      <c r="J251" s="17"/>
      <c r="K251" s="17"/>
    </row>
    <row r="252" spans="1:11" ht="18" x14ac:dyDescent="0.2">
      <c r="A252" s="121" t="s">
        <v>56</v>
      </c>
      <c r="B252" s="117">
        <v>14792.650000000001</v>
      </c>
      <c r="C252" s="117">
        <v>146.84</v>
      </c>
      <c r="D252" s="17"/>
      <c r="E252" s="17"/>
      <c r="F252" s="17"/>
      <c r="G252" s="17"/>
      <c r="H252" s="17"/>
      <c r="I252" s="17"/>
      <c r="J252" s="17"/>
      <c r="K252" s="17"/>
    </row>
    <row r="253" spans="1:11" ht="18" x14ac:dyDescent="0.2">
      <c r="A253" s="121" t="s">
        <v>152</v>
      </c>
      <c r="B253" s="117">
        <v>113067.04</v>
      </c>
      <c r="C253" s="117">
        <v>1122.3599999999999</v>
      </c>
      <c r="D253" s="17"/>
      <c r="E253" s="17"/>
      <c r="F253" s="17"/>
      <c r="G253" s="17"/>
      <c r="H253" s="17"/>
      <c r="I253" s="17"/>
      <c r="J253" s="17"/>
      <c r="K253" s="17"/>
    </row>
    <row r="254" spans="1:11" ht="18" x14ac:dyDescent="0.2">
      <c r="A254" s="121" t="s">
        <v>58</v>
      </c>
      <c r="B254" s="117">
        <v>253600</v>
      </c>
      <c r="C254" s="117">
        <v>2517.38</v>
      </c>
      <c r="D254" s="17"/>
      <c r="E254" s="17"/>
      <c r="F254" s="17"/>
      <c r="G254" s="17"/>
      <c r="H254" s="17"/>
      <c r="I254" s="17"/>
      <c r="J254" s="17"/>
      <c r="K254" s="17"/>
    </row>
    <row r="255" spans="1:11" ht="18" x14ac:dyDescent="0.2">
      <c r="A255" s="121" t="s">
        <v>95</v>
      </c>
      <c r="B255" s="117">
        <v>125592.56</v>
      </c>
      <c r="C255" s="117">
        <v>1246.7</v>
      </c>
      <c r="D255" s="17"/>
      <c r="E255" s="17"/>
      <c r="F255" s="17"/>
      <c r="G255" s="17"/>
      <c r="H255" s="17"/>
      <c r="I255" s="17"/>
      <c r="J255" s="17"/>
      <c r="K255" s="17"/>
    </row>
    <row r="256" spans="1:11" ht="18" x14ac:dyDescent="0.2">
      <c r="A256" s="121" t="s">
        <v>714</v>
      </c>
      <c r="B256" s="117">
        <v>2014.8</v>
      </c>
      <c r="C256" s="117">
        <v>20</v>
      </c>
      <c r="D256" s="17"/>
      <c r="E256" s="17"/>
      <c r="F256" s="17"/>
      <c r="G256" s="17"/>
      <c r="H256" s="17"/>
      <c r="I256" s="17"/>
      <c r="J256" s="17"/>
      <c r="K256" s="17"/>
    </row>
    <row r="257" spans="1:11" ht="18" x14ac:dyDescent="0.2">
      <c r="A257" s="121" t="s">
        <v>901</v>
      </c>
      <c r="B257" s="117">
        <v>251850</v>
      </c>
      <c r="C257" s="117">
        <v>2500</v>
      </c>
      <c r="D257" s="17"/>
      <c r="E257" s="17"/>
      <c r="F257" s="17"/>
      <c r="G257" s="17"/>
      <c r="H257" s="17"/>
      <c r="I257" s="17"/>
      <c r="J257" s="17"/>
      <c r="K257" s="17"/>
    </row>
    <row r="258" spans="1:11" ht="18" x14ac:dyDescent="0.2">
      <c r="A258" s="121" t="s">
        <v>1073</v>
      </c>
      <c r="B258" s="117">
        <v>302220</v>
      </c>
      <c r="C258" s="117">
        <v>3000</v>
      </c>
      <c r="D258" s="17"/>
      <c r="E258" s="17"/>
      <c r="F258" s="17"/>
      <c r="G258" s="17"/>
      <c r="H258" s="17"/>
      <c r="I258" s="17"/>
      <c r="J258" s="17"/>
      <c r="K258" s="17"/>
    </row>
    <row r="259" spans="1:11" ht="18" x14ac:dyDescent="0.2">
      <c r="A259" s="121" t="s">
        <v>1786</v>
      </c>
      <c r="B259" s="117">
        <v>5600</v>
      </c>
      <c r="C259" s="117">
        <v>55.6</v>
      </c>
      <c r="D259" s="17"/>
      <c r="E259" s="17"/>
      <c r="F259" s="17"/>
      <c r="G259" s="17"/>
      <c r="H259" s="17"/>
      <c r="I259" s="17"/>
      <c r="J259" s="17"/>
      <c r="K259" s="17"/>
    </row>
    <row r="260" spans="1:11" ht="18" x14ac:dyDescent="0.2">
      <c r="A260" s="121" t="s">
        <v>2364</v>
      </c>
      <c r="B260" s="117">
        <v>3530.93</v>
      </c>
      <c r="C260" s="117">
        <v>35.049999999999997</v>
      </c>
      <c r="D260" s="17"/>
      <c r="E260" s="17"/>
      <c r="F260" s="17"/>
      <c r="G260" s="17"/>
      <c r="H260" s="17"/>
      <c r="I260" s="17"/>
      <c r="J260" s="17"/>
      <c r="K260" s="17"/>
    </row>
    <row r="261" spans="1:11" ht="18" x14ac:dyDescent="0.2">
      <c r="A261" s="121" t="s">
        <v>2450</v>
      </c>
      <c r="B261" s="117">
        <v>50632</v>
      </c>
      <c r="C261" s="117">
        <v>502.6</v>
      </c>
      <c r="D261" s="17"/>
      <c r="E261" s="17"/>
      <c r="F261" s="17"/>
      <c r="G261" s="17"/>
      <c r="H261" s="17"/>
      <c r="I261" s="17"/>
      <c r="J261" s="17"/>
      <c r="K261" s="17"/>
    </row>
    <row r="262" spans="1:11" ht="18" x14ac:dyDescent="0.2">
      <c r="A262" s="121" t="s">
        <v>2611</v>
      </c>
      <c r="B262" s="117">
        <v>15000</v>
      </c>
      <c r="C262" s="117">
        <v>148.88999999999999</v>
      </c>
      <c r="D262" s="17"/>
      <c r="E262" s="17"/>
      <c r="F262" s="17"/>
      <c r="G262" s="17"/>
      <c r="H262" s="17"/>
      <c r="I262" s="17"/>
      <c r="J262" s="17"/>
      <c r="K262" s="17"/>
    </row>
    <row r="263" spans="1:11" ht="18" x14ac:dyDescent="0.2">
      <c r="A263" s="122">
        <v>46243</v>
      </c>
      <c r="B263" s="117">
        <v>1151038.8699999999</v>
      </c>
      <c r="C263" s="117">
        <v>11435.799999999997</v>
      </c>
      <c r="D263" s="17"/>
      <c r="E263" s="17"/>
      <c r="F263" s="17"/>
      <c r="G263" s="17"/>
      <c r="H263" s="17"/>
      <c r="I263" s="17"/>
      <c r="J263" s="17"/>
      <c r="K263" s="17"/>
    </row>
    <row r="264" spans="1:11" ht="18" x14ac:dyDescent="0.2">
      <c r="A264" s="121" t="s">
        <v>57</v>
      </c>
      <c r="B264" s="117">
        <v>32239.82</v>
      </c>
      <c r="C264" s="117">
        <v>320.02</v>
      </c>
      <c r="D264" s="17"/>
      <c r="E264" s="17"/>
      <c r="F264" s="17"/>
      <c r="G264" s="17"/>
      <c r="H264" s="17"/>
      <c r="I264" s="17"/>
      <c r="J264" s="17"/>
      <c r="K264" s="17"/>
    </row>
    <row r="265" spans="1:11" ht="18" x14ac:dyDescent="0.2">
      <c r="A265" s="121" t="s">
        <v>152</v>
      </c>
      <c r="B265" s="117">
        <v>216554.06</v>
      </c>
      <c r="C265" s="117">
        <v>2149.63</v>
      </c>
      <c r="D265" s="17"/>
      <c r="E265" s="17"/>
      <c r="F265" s="17"/>
      <c r="G265" s="17"/>
      <c r="H265" s="17"/>
      <c r="I265" s="17"/>
      <c r="J265" s="17"/>
      <c r="K265" s="17"/>
    </row>
    <row r="266" spans="1:11" ht="18" x14ac:dyDescent="0.2">
      <c r="A266" s="121" t="s">
        <v>58</v>
      </c>
      <c r="B266" s="117">
        <v>431000</v>
      </c>
      <c r="C266" s="117">
        <v>4278.34</v>
      </c>
      <c r="D266" s="17"/>
      <c r="E266" s="17"/>
      <c r="F266" s="17"/>
      <c r="G266" s="17"/>
      <c r="H266" s="17"/>
      <c r="I266" s="17"/>
      <c r="J266" s="17"/>
      <c r="K266" s="17"/>
    </row>
    <row r="267" spans="1:11" ht="18" x14ac:dyDescent="0.2">
      <c r="A267" s="121" t="s">
        <v>95</v>
      </c>
      <c r="B267" s="117">
        <v>85303.61</v>
      </c>
      <c r="C267" s="117">
        <v>846.77</v>
      </c>
      <c r="D267" s="17"/>
      <c r="E267" s="17"/>
      <c r="F267" s="17"/>
      <c r="G267" s="17"/>
      <c r="H267" s="17"/>
      <c r="I267" s="17"/>
      <c r="J267" s="17"/>
      <c r="K267" s="17"/>
    </row>
    <row r="268" spans="1:11" ht="18" x14ac:dyDescent="0.2">
      <c r="A268" s="121" t="s">
        <v>96</v>
      </c>
      <c r="B268" s="117">
        <v>200480</v>
      </c>
      <c r="C268" s="117">
        <v>2000</v>
      </c>
      <c r="D268" s="17"/>
      <c r="E268" s="17"/>
      <c r="F268" s="17"/>
      <c r="G268" s="17"/>
      <c r="H268" s="17"/>
      <c r="I268" s="17"/>
      <c r="J268" s="17"/>
      <c r="K268" s="17"/>
    </row>
    <row r="269" spans="1:11" ht="18" x14ac:dyDescent="0.2">
      <c r="A269" s="121" t="s">
        <v>1786</v>
      </c>
      <c r="B269" s="117">
        <v>22400</v>
      </c>
      <c r="C269" s="117">
        <v>222.40000000000003</v>
      </c>
      <c r="D269" s="17"/>
      <c r="E269" s="17"/>
      <c r="F269" s="17"/>
      <c r="G269" s="17"/>
      <c r="H269" s="17"/>
      <c r="I269" s="17"/>
      <c r="J269" s="17"/>
      <c r="K269" s="17"/>
    </row>
    <row r="270" spans="1:11" ht="18" x14ac:dyDescent="0.2">
      <c r="A270" s="121" t="s">
        <v>2364</v>
      </c>
      <c r="B270" s="117">
        <v>6495.58</v>
      </c>
      <c r="C270" s="117">
        <v>64.48</v>
      </c>
      <c r="D270" s="17"/>
      <c r="E270" s="17"/>
      <c r="F270" s="17"/>
      <c r="G270" s="17"/>
      <c r="H270" s="17"/>
      <c r="I270" s="17"/>
      <c r="J270" s="17"/>
      <c r="K270" s="17"/>
    </row>
    <row r="271" spans="1:11" ht="18" x14ac:dyDescent="0.2">
      <c r="A271" s="121" t="s">
        <v>2450</v>
      </c>
      <c r="B271" s="117">
        <v>111565.8</v>
      </c>
      <c r="C271" s="117">
        <v>1107.46</v>
      </c>
      <c r="D271" s="17"/>
      <c r="E271" s="17"/>
      <c r="F271" s="17"/>
      <c r="G271" s="17"/>
      <c r="H271" s="17"/>
      <c r="I271" s="17"/>
      <c r="J271" s="17"/>
      <c r="K271" s="17"/>
    </row>
    <row r="272" spans="1:11" ht="18" x14ac:dyDescent="0.2">
      <c r="A272" s="121" t="s">
        <v>2611</v>
      </c>
      <c r="B272" s="117">
        <v>15000</v>
      </c>
      <c r="C272" s="117">
        <v>148.9</v>
      </c>
      <c r="D272" s="17"/>
      <c r="E272" s="17"/>
      <c r="F272" s="17"/>
      <c r="G272" s="17"/>
      <c r="H272" s="17"/>
      <c r="I272" s="17"/>
      <c r="J272" s="17"/>
      <c r="K272" s="17"/>
    </row>
    <row r="273" spans="1:11" ht="18" x14ac:dyDescent="0.2">
      <c r="A273" s="121" t="s">
        <v>3083</v>
      </c>
      <c r="B273" s="117">
        <v>30000</v>
      </c>
      <c r="C273" s="117">
        <v>297.8</v>
      </c>
      <c r="D273" s="17"/>
      <c r="E273" s="17"/>
      <c r="F273" s="17"/>
      <c r="G273" s="17"/>
      <c r="H273" s="17"/>
      <c r="I273" s="17"/>
      <c r="J273" s="17"/>
      <c r="K273" s="17"/>
    </row>
    <row r="274" spans="1:11" ht="18" x14ac:dyDescent="0.2">
      <c r="A274" s="122">
        <v>46242</v>
      </c>
      <c r="B274" s="117">
        <v>3121526.42</v>
      </c>
      <c r="C274" s="117">
        <v>31281.41</v>
      </c>
      <c r="D274" s="17"/>
      <c r="E274" s="17"/>
      <c r="F274" s="17"/>
      <c r="G274" s="17"/>
      <c r="H274" s="17"/>
      <c r="I274" s="17"/>
      <c r="J274" s="17"/>
      <c r="K274" s="17"/>
    </row>
    <row r="275" spans="1:11" ht="18" x14ac:dyDescent="0.2">
      <c r="A275" s="121" t="s">
        <v>143</v>
      </c>
      <c r="B275" s="117">
        <v>1194000</v>
      </c>
      <c r="C275" s="117">
        <v>12000</v>
      </c>
      <c r="D275" s="17"/>
      <c r="E275" s="17"/>
      <c r="F275" s="17"/>
      <c r="G275" s="17"/>
      <c r="H275" s="17"/>
      <c r="I275" s="17"/>
      <c r="J275" s="17"/>
      <c r="K275" s="17"/>
    </row>
    <row r="276" spans="1:11" ht="18" x14ac:dyDescent="0.2">
      <c r="A276" s="121" t="s">
        <v>152</v>
      </c>
      <c r="B276" s="117">
        <v>145694.22</v>
      </c>
      <c r="C276" s="117">
        <v>1446.24</v>
      </c>
      <c r="D276" s="17"/>
      <c r="E276" s="17"/>
      <c r="F276" s="17"/>
      <c r="G276" s="17"/>
      <c r="H276" s="17"/>
      <c r="I276" s="17"/>
      <c r="J276" s="17"/>
      <c r="K276" s="17"/>
    </row>
    <row r="277" spans="1:11" ht="18" x14ac:dyDescent="0.2">
      <c r="A277" s="121" t="s">
        <v>58</v>
      </c>
      <c r="B277" s="117">
        <v>280100</v>
      </c>
      <c r="C277" s="117">
        <v>2780.4300000000003</v>
      </c>
      <c r="D277" s="17"/>
      <c r="E277" s="17"/>
      <c r="F277" s="17"/>
      <c r="G277" s="17"/>
      <c r="H277" s="17"/>
      <c r="I277" s="17"/>
      <c r="J277" s="17"/>
      <c r="K277" s="17"/>
    </row>
    <row r="278" spans="1:11" ht="18" x14ac:dyDescent="0.2">
      <c r="A278" s="121" t="s">
        <v>95</v>
      </c>
      <c r="B278" s="117">
        <v>115721.05</v>
      </c>
      <c r="C278" s="117">
        <v>1148.71</v>
      </c>
      <c r="D278" s="17"/>
      <c r="E278" s="17"/>
      <c r="F278" s="17"/>
      <c r="G278" s="17"/>
      <c r="H278" s="17"/>
      <c r="I278" s="17"/>
      <c r="J278" s="17"/>
      <c r="K278" s="17"/>
    </row>
    <row r="279" spans="1:11" ht="18" x14ac:dyDescent="0.2">
      <c r="A279" s="121" t="s">
        <v>217</v>
      </c>
      <c r="B279" s="117">
        <v>2014.8</v>
      </c>
      <c r="C279" s="117">
        <v>20</v>
      </c>
      <c r="D279" s="17"/>
      <c r="E279" s="17"/>
      <c r="F279" s="17"/>
      <c r="G279" s="17"/>
      <c r="H279" s="17"/>
      <c r="I279" s="17"/>
      <c r="J279" s="17"/>
      <c r="K279" s="17"/>
    </row>
    <row r="280" spans="1:11" ht="18" x14ac:dyDescent="0.2">
      <c r="A280" s="121" t="s">
        <v>199</v>
      </c>
      <c r="B280" s="117">
        <v>106450.94</v>
      </c>
      <c r="C280" s="117">
        <v>1056.69</v>
      </c>
      <c r="D280" s="17"/>
      <c r="E280" s="17"/>
      <c r="F280" s="17"/>
      <c r="G280" s="17"/>
      <c r="H280" s="17"/>
      <c r="I280" s="17"/>
      <c r="J280" s="17"/>
      <c r="K280" s="17"/>
    </row>
    <row r="281" spans="1:11" ht="18" x14ac:dyDescent="0.2">
      <c r="A281" s="121" t="s">
        <v>52</v>
      </c>
      <c r="B281" s="117">
        <v>1194000</v>
      </c>
      <c r="C281" s="117">
        <v>12000</v>
      </c>
      <c r="D281" s="17"/>
      <c r="E281" s="17"/>
      <c r="F281" s="17"/>
      <c r="G281" s="17"/>
      <c r="H281" s="17"/>
      <c r="I281" s="17"/>
      <c r="J281" s="17"/>
      <c r="K281" s="17"/>
    </row>
    <row r="282" spans="1:11" ht="18" x14ac:dyDescent="0.2">
      <c r="A282" s="121" t="s">
        <v>714</v>
      </c>
      <c r="B282" s="117">
        <v>17345.41</v>
      </c>
      <c r="C282" s="117">
        <v>172.18</v>
      </c>
      <c r="D282" s="17"/>
      <c r="E282" s="17"/>
      <c r="F282" s="17"/>
      <c r="G282" s="17"/>
      <c r="H282" s="17"/>
      <c r="I282" s="17"/>
      <c r="J282" s="17"/>
      <c r="K282" s="17"/>
    </row>
    <row r="283" spans="1:11" ht="18" x14ac:dyDescent="0.2">
      <c r="A283" s="121" t="s">
        <v>1786</v>
      </c>
      <c r="B283" s="117">
        <v>11200</v>
      </c>
      <c r="C283" s="117">
        <v>111.2</v>
      </c>
      <c r="D283" s="17"/>
      <c r="E283" s="17"/>
      <c r="F283" s="17"/>
      <c r="G283" s="17"/>
      <c r="H283" s="17"/>
      <c r="I283" s="17"/>
      <c r="J283" s="17"/>
      <c r="K283" s="17"/>
    </row>
    <row r="284" spans="1:11" ht="18" x14ac:dyDescent="0.2">
      <c r="A284" s="121" t="s">
        <v>2611</v>
      </c>
      <c r="B284" s="117">
        <v>25000</v>
      </c>
      <c r="C284" s="117">
        <v>248.16</v>
      </c>
      <c r="D284" s="17"/>
      <c r="E284" s="17"/>
      <c r="F284" s="17"/>
      <c r="G284" s="17"/>
      <c r="H284" s="17"/>
      <c r="I284" s="17"/>
      <c r="J284" s="17"/>
      <c r="K284" s="17"/>
    </row>
    <row r="285" spans="1:11" ht="18" x14ac:dyDescent="0.2">
      <c r="A285" s="121" t="s">
        <v>3083</v>
      </c>
      <c r="B285" s="117">
        <v>30000</v>
      </c>
      <c r="C285" s="117">
        <v>297.8</v>
      </c>
      <c r="D285" s="17"/>
      <c r="E285" s="17"/>
      <c r="F285" s="17"/>
      <c r="G285" s="17"/>
      <c r="H285" s="17"/>
      <c r="I285" s="17"/>
      <c r="J285" s="17"/>
      <c r="K285" s="17"/>
    </row>
    <row r="286" spans="1:11" ht="18" x14ac:dyDescent="0.2">
      <c r="A286" s="122">
        <v>46241</v>
      </c>
      <c r="B286" s="117">
        <v>3923834.8800000004</v>
      </c>
      <c r="C286" s="117">
        <v>39329.35</v>
      </c>
      <c r="D286" s="17"/>
      <c r="E286" s="17"/>
      <c r="F286" s="17"/>
      <c r="G286" s="17"/>
      <c r="H286" s="17"/>
      <c r="I286" s="17"/>
      <c r="J286" s="17"/>
      <c r="K286" s="17"/>
    </row>
    <row r="287" spans="1:11" ht="18" x14ac:dyDescent="0.2">
      <c r="A287" s="121" t="s">
        <v>54</v>
      </c>
      <c r="B287" s="117">
        <v>24620.85</v>
      </c>
      <c r="C287" s="117">
        <v>244.4</v>
      </c>
      <c r="D287" s="17"/>
      <c r="E287" s="17"/>
      <c r="F287" s="17"/>
      <c r="G287" s="17"/>
      <c r="H287" s="17"/>
      <c r="I287" s="17"/>
      <c r="J287" s="17"/>
      <c r="K287" s="17"/>
    </row>
    <row r="288" spans="1:11" ht="18" x14ac:dyDescent="0.2">
      <c r="A288" s="121" t="s">
        <v>143</v>
      </c>
      <c r="B288" s="117">
        <v>1194000</v>
      </c>
      <c r="C288" s="117">
        <v>12000</v>
      </c>
      <c r="D288" s="17"/>
      <c r="E288" s="17"/>
      <c r="F288" s="17"/>
      <c r="G288" s="17"/>
      <c r="H288" s="17"/>
      <c r="I288" s="17"/>
      <c r="J288" s="17"/>
      <c r="K288" s="17"/>
    </row>
    <row r="289" spans="1:11" ht="18" x14ac:dyDescent="0.2">
      <c r="A289" s="121" t="s">
        <v>57</v>
      </c>
      <c r="B289" s="117">
        <v>57000</v>
      </c>
      <c r="C289" s="117">
        <v>565.80999999999995</v>
      </c>
      <c r="D289" s="17"/>
      <c r="E289" s="17"/>
      <c r="F289" s="17"/>
      <c r="G289" s="17"/>
      <c r="H289" s="17"/>
      <c r="I289" s="17"/>
      <c r="J289" s="17"/>
      <c r="K289" s="17"/>
    </row>
    <row r="290" spans="1:11" ht="18" x14ac:dyDescent="0.2">
      <c r="A290" s="121" t="s">
        <v>56</v>
      </c>
      <c r="B290" s="117">
        <v>19580.82</v>
      </c>
      <c r="C290" s="117">
        <v>194.37</v>
      </c>
      <c r="D290" s="17"/>
      <c r="E290" s="17"/>
      <c r="F290" s="17"/>
      <c r="G290" s="17"/>
      <c r="H290" s="17"/>
      <c r="I290" s="17"/>
      <c r="J290" s="17"/>
      <c r="K290" s="17"/>
    </row>
    <row r="291" spans="1:11" ht="18" x14ac:dyDescent="0.2">
      <c r="A291" s="121" t="s">
        <v>152</v>
      </c>
      <c r="B291" s="117">
        <v>148285.88</v>
      </c>
      <c r="C291" s="117">
        <v>1471.97</v>
      </c>
      <c r="D291" s="17"/>
      <c r="E291" s="17"/>
      <c r="F291" s="17"/>
      <c r="G291" s="17"/>
      <c r="H291" s="17"/>
      <c r="I291" s="17"/>
      <c r="J291" s="17"/>
      <c r="K291" s="17"/>
    </row>
    <row r="292" spans="1:11" ht="18" x14ac:dyDescent="0.2">
      <c r="A292" s="121" t="s">
        <v>58</v>
      </c>
      <c r="B292" s="117">
        <v>281800</v>
      </c>
      <c r="C292" s="117">
        <v>2797.3</v>
      </c>
      <c r="D292" s="17"/>
      <c r="E292" s="17"/>
      <c r="F292" s="17"/>
      <c r="G292" s="17"/>
      <c r="H292" s="17"/>
      <c r="I292" s="17"/>
      <c r="J292" s="17"/>
      <c r="K292" s="17"/>
    </row>
    <row r="293" spans="1:11" ht="18" x14ac:dyDescent="0.2">
      <c r="A293" s="121" t="s">
        <v>95</v>
      </c>
      <c r="B293" s="117">
        <v>84991.32</v>
      </c>
      <c r="C293" s="117">
        <v>843.67</v>
      </c>
      <c r="D293" s="17"/>
      <c r="E293" s="17"/>
      <c r="F293" s="17"/>
      <c r="G293" s="17"/>
      <c r="H293" s="17"/>
      <c r="I293" s="17"/>
      <c r="J293" s="17"/>
      <c r="K293" s="17"/>
    </row>
    <row r="294" spans="1:11" ht="18" x14ac:dyDescent="0.2">
      <c r="A294" s="121" t="s">
        <v>199</v>
      </c>
      <c r="B294" s="117">
        <v>27501.01</v>
      </c>
      <c r="C294" s="117">
        <v>272.99</v>
      </c>
      <c r="D294" s="17"/>
      <c r="E294" s="17"/>
      <c r="F294" s="17"/>
      <c r="G294" s="17"/>
      <c r="H294" s="17"/>
      <c r="I294" s="17"/>
      <c r="J294" s="17"/>
      <c r="K294" s="17"/>
    </row>
    <row r="295" spans="1:11" ht="18" x14ac:dyDescent="0.2">
      <c r="A295" s="121" t="s">
        <v>51</v>
      </c>
      <c r="B295" s="117">
        <v>1791000</v>
      </c>
      <c r="C295" s="117">
        <v>18000</v>
      </c>
      <c r="D295" s="17"/>
      <c r="E295" s="17"/>
      <c r="F295" s="17"/>
      <c r="G295" s="17"/>
      <c r="H295" s="17"/>
      <c r="I295" s="17"/>
      <c r="J295" s="17"/>
      <c r="K295" s="17"/>
    </row>
    <row r="296" spans="1:11" ht="18" x14ac:dyDescent="0.2">
      <c r="A296" s="121" t="s">
        <v>96</v>
      </c>
      <c r="B296" s="117">
        <v>200480</v>
      </c>
      <c r="C296" s="117">
        <v>2000</v>
      </c>
      <c r="D296" s="17"/>
      <c r="E296" s="17"/>
      <c r="F296" s="17"/>
      <c r="G296" s="17"/>
      <c r="H296" s="17"/>
      <c r="I296" s="17"/>
      <c r="J296" s="17"/>
      <c r="K296" s="17"/>
    </row>
    <row r="297" spans="1:11" ht="18" x14ac:dyDescent="0.2">
      <c r="A297" s="121" t="s">
        <v>1786</v>
      </c>
      <c r="B297" s="117">
        <v>16800</v>
      </c>
      <c r="C297" s="117">
        <v>166.8</v>
      </c>
      <c r="D297" s="17"/>
      <c r="E297" s="17"/>
      <c r="F297" s="17"/>
      <c r="G297" s="17"/>
      <c r="H297" s="17"/>
      <c r="I297" s="17"/>
      <c r="J297" s="17"/>
      <c r="K297" s="17"/>
    </row>
    <row r="298" spans="1:11" ht="18" x14ac:dyDescent="0.2">
      <c r="A298" s="121" t="s">
        <v>2450</v>
      </c>
      <c r="B298" s="117">
        <v>77775</v>
      </c>
      <c r="C298" s="117">
        <v>772.04</v>
      </c>
      <c r="D298" s="17"/>
      <c r="E298" s="17"/>
      <c r="F298" s="17"/>
      <c r="G298" s="17"/>
      <c r="H298" s="17"/>
      <c r="I298" s="17"/>
      <c r="J298" s="17"/>
      <c r="K298" s="17"/>
    </row>
    <row r="299" spans="1:11" ht="18" x14ac:dyDescent="0.2">
      <c r="A299" s="122">
        <v>46240</v>
      </c>
      <c r="B299" s="117">
        <v>844190.31</v>
      </c>
      <c r="C299" s="117">
        <v>8379.9100000000017</v>
      </c>
      <c r="D299" s="17"/>
      <c r="E299" s="17"/>
      <c r="F299" s="17"/>
      <c r="G299" s="17"/>
      <c r="H299" s="17"/>
      <c r="I299" s="17"/>
      <c r="J299" s="17"/>
      <c r="K299" s="17"/>
    </row>
    <row r="300" spans="1:11" ht="18" x14ac:dyDescent="0.2">
      <c r="A300" s="121" t="s">
        <v>54</v>
      </c>
      <c r="B300" s="117">
        <v>20148</v>
      </c>
      <c r="C300" s="117">
        <v>200</v>
      </c>
      <c r="D300" s="17"/>
      <c r="E300" s="17"/>
      <c r="F300" s="17"/>
      <c r="G300" s="17"/>
      <c r="H300" s="17"/>
      <c r="I300" s="17"/>
      <c r="J300" s="17"/>
      <c r="K300" s="17"/>
    </row>
    <row r="301" spans="1:11" ht="18" x14ac:dyDescent="0.2">
      <c r="A301" s="121" t="s">
        <v>57</v>
      </c>
      <c r="B301" s="117">
        <v>25000</v>
      </c>
      <c r="C301" s="117">
        <v>248.16</v>
      </c>
      <c r="D301" s="17"/>
      <c r="E301" s="17"/>
      <c r="F301" s="17"/>
      <c r="G301" s="17"/>
      <c r="H301" s="17"/>
      <c r="I301" s="17"/>
      <c r="J301" s="17"/>
      <c r="K301" s="17"/>
    </row>
    <row r="302" spans="1:11" ht="18" x14ac:dyDescent="0.2">
      <c r="A302" s="121" t="s">
        <v>56</v>
      </c>
      <c r="B302" s="117">
        <v>3525.9</v>
      </c>
      <c r="C302" s="117">
        <v>35</v>
      </c>
      <c r="D302" s="17"/>
      <c r="E302" s="17"/>
      <c r="F302" s="17"/>
      <c r="G302" s="17"/>
      <c r="H302" s="17"/>
      <c r="I302" s="17"/>
      <c r="J302" s="17"/>
      <c r="K302" s="17"/>
    </row>
    <row r="303" spans="1:11" ht="18" x14ac:dyDescent="0.2">
      <c r="A303" s="121" t="s">
        <v>257</v>
      </c>
      <c r="B303" s="117">
        <v>50945.009999999995</v>
      </c>
      <c r="C303" s="117">
        <v>505.74000000000007</v>
      </c>
      <c r="D303" s="17"/>
      <c r="E303" s="17"/>
      <c r="F303" s="17"/>
      <c r="G303" s="17"/>
      <c r="H303" s="17"/>
      <c r="I303" s="17"/>
      <c r="J303" s="17"/>
      <c r="K303" s="17"/>
    </row>
    <row r="304" spans="1:11" ht="18" x14ac:dyDescent="0.2">
      <c r="A304" s="121" t="s">
        <v>152</v>
      </c>
      <c r="B304" s="117">
        <v>128489.68</v>
      </c>
      <c r="C304" s="117">
        <v>1275.46</v>
      </c>
      <c r="D304" s="17"/>
      <c r="E304" s="17"/>
      <c r="F304" s="17"/>
      <c r="G304" s="17"/>
      <c r="H304" s="17"/>
      <c r="I304" s="17"/>
      <c r="J304" s="17"/>
      <c r="K304" s="17"/>
    </row>
    <row r="305" spans="1:11" ht="18" x14ac:dyDescent="0.2">
      <c r="A305" s="121" t="s">
        <v>58</v>
      </c>
      <c r="B305" s="117">
        <v>168655.26</v>
      </c>
      <c r="C305" s="117">
        <v>1674.16</v>
      </c>
      <c r="D305" s="17"/>
      <c r="E305" s="17"/>
      <c r="F305" s="17"/>
      <c r="G305" s="17"/>
      <c r="H305" s="17"/>
      <c r="I305" s="17"/>
      <c r="J305" s="17"/>
      <c r="K305" s="17"/>
    </row>
    <row r="306" spans="1:11" ht="18" x14ac:dyDescent="0.2">
      <c r="A306" s="121" t="s">
        <v>95</v>
      </c>
      <c r="B306" s="117">
        <v>115551.8</v>
      </c>
      <c r="C306" s="117">
        <v>1147.03</v>
      </c>
      <c r="D306" s="17"/>
      <c r="E306" s="17"/>
      <c r="F306" s="17"/>
      <c r="G306" s="17"/>
      <c r="H306" s="17"/>
      <c r="I306" s="17"/>
      <c r="J306" s="17"/>
      <c r="K306" s="17"/>
    </row>
    <row r="307" spans="1:11" ht="18" x14ac:dyDescent="0.2">
      <c r="A307" s="121" t="s">
        <v>199</v>
      </c>
      <c r="B307" s="117">
        <v>23750.46</v>
      </c>
      <c r="C307" s="117">
        <v>235.76</v>
      </c>
      <c r="D307" s="17"/>
      <c r="E307" s="17"/>
      <c r="F307" s="17"/>
      <c r="G307" s="17"/>
      <c r="H307" s="17"/>
      <c r="I307" s="17"/>
      <c r="J307" s="17"/>
      <c r="K307" s="17"/>
    </row>
    <row r="308" spans="1:11" ht="18" x14ac:dyDescent="0.2">
      <c r="A308" s="121" t="s">
        <v>714</v>
      </c>
      <c r="B308" s="117">
        <v>2014.8</v>
      </c>
      <c r="C308" s="117">
        <v>20</v>
      </c>
      <c r="D308" s="17"/>
      <c r="E308" s="17"/>
      <c r="F308" s="17"/>
      <c r="G308" s="17"/>
      <c r="H308" s="17"/>
      <c r="I308" s="17"/>
      <c r="J308" s="17"/>
      <c r="K308" s="17"/>
    </row>
    <row r="309" spans="1:11" ht="18" x14ac:dyDescent="0.2">
      <c r="A309" s="121" t="s">
        <v>901</v>
      </c>
      <c r="B309" s="117">
        <v>193774.4</v>
      </c>
      <c r="C309" s="117">
        <v>1923.51</v>
      </c>
      <c r="D309" s="17"/>
      <c r="E309" s="17"/>
      <c r="F309" s="17"/>
      <c r="G309" s="17"/>
      <c r="H309" s="17"/>
      <c r="I309" s="17"/>
      <c r="J309" s="17"/>
      <c r="K309" s="17"/>
    </row>
    <row r="310" spans="1:11" ht="18" x14ac:dyDescent="0.2">
      <c r="A310" s="121" t="s">
        <v>2450</v>
      </c>
      <c r="B310" s="117">
        <v>87335</v>
      </c>
      <c r="C310" s="117">
        <v>866.93</v>
      </c>
      <c r="D310" s="17"/>
      <c r="E310" s="17"/>
      <c r="F310" s="17"/>
      <c r="G310" s="17"/>
      <c r="H310" s="17"/>
      <c r="I310" s="17"/>
      <c r="J310" s="17"/>
      <c r="K310" s="17"/>
    </row>
    <row r="311" spans="1:11" ht="18" x14ac:dyDescent="0.2">
      <c r="A311" s="121" t="s">
        <v>2611</v>
      </c>
      <c r="B311" s="117">
        <v>25000</v>
      </c>
      <c r="C311" s="117">
        <v>248.16</v>
      </c>
      <c r="D311" s="17"/>
      <c r="E311" s="17"/>
      <c r="F311" s="17"/>
      <c r="G311" s="17"/>
      <c r="H311" s="17"/>
      <c r="I311" s="17"/>
      <c r="J311" s="17"/>
      <c r="K311" s="17"/>
    </row>
    <row r="312" spans="1:11" ht="18" x14ac:dyDescent="0.2">
      <c r="A312" s="122">
        <v>46239</v>
      </c>
      <c r="B312" s="117">
        <v>3837698.5799999996</v>
      </c>
      <c r="C312" s="117">
        <v>38400.450000000004</v>
      </c>
      <c r="D312" s="17"/>
      <c r="E312" s="17"/>
      <c r="F312" s="17"/>
      <c r="G312" s="17"/>
      <c r="H312" s="17"/>
      <c r="I312" s="17"/>
      <c r="J312" s="17"/>
      <c r="K312" s="17"/>
    </row>
    <row r="313" spans="1:11" ht="18" x14ac:dyDescent="0.2">
      <c r="A313" s="121" t="s">
        <v>57</v>
      </c>
      <c r="B313" s="117">
        <v>50721.85</v>
      </c>
      <c r="C313" s="117">
        <v>503.49</v>
      </c>
      <c r="D313" s="17"/>
      <c r="E313" s="17"/>
      <c r="F313" s="17"/>
      <c r="G313" s="17"/>
      <c r="H313" s="17"/>
      <c r="I313" s="17"/>
      <c r="J313" s="17"/>
      <c r="K313" s="17"/>
    </row>
    <row r="314" spans="1:11" ht="18" x14ac:dyDescent="0.2">
      <c r="A314" s="121" t="s">
        <v>92</v>
      </c>
      <c r="B314" s="117">
        <v>60444</v>
      </c>
      <c r="C314" s="117">
        <v>600</v>
      </c>
      <c r="D314" s="17"/>
      <c r="E314" s="17"/>
      <c r="F314" s="17"/>
      <c r="G314" s="17"/>
      <c r="H314" s="17"/>
      <c r="I314" s="17"/>
      <c r="J314" s="17"/>
      <c r="K314" s="17"/>
    </row>
    <row r="315" spans="1:11" ht="18" x14ac:dyDescent="0.2">
      <c r="A315" s="121" t="s">
        <v>874</v>
      </c>
      <c r="B315" s="117">
        <v>796000</v>
      </c>
      <c r="C315" s="117">
        <v>8000</v>
      </c>
      <c r="D315" s="17"/>
      <c r="E315" s="17"/>
      <c r="F315" s="17"/>
      <c r="G315" s="17"/>
      <c r="H315" s="17"/>
      <c r="I315" s="17"/>
      <c r="J315" s="17"/>
      <c r="K315" s="17"/>
    </row>
    <row r="316" spans="1:11" ht="18" x14ac:dyDescent="0.2">
      <c r="A316" s="121" t="s">
        <v>257</v>
      </c>
      <c r="B316" s="117">
        <v>51514.8</v>
      </c>
      <c r="C316" s="117">
        <v>511.40000000000009</v>
      </c>
      <c r="D316" s="17"/>
      <c r="E316" s="17"/>
      <c r="F316" s="17"/>
      <c r="G316" s="17"/>
      <c r="H316" s="17"/>
      <c r="I316" s="17"/>
      <c r="J316" s="17"/>
      <c r="K316" s="17"/>
    </row>
    <row r="317" spans="1:11" ht="18" x14ac:dyDescent="0.2">
      <c r="A317" s="121" t="s">
        <v>152</v>
      </c>
      <c r="B317" s="117">
        <v>223850.31</v>
      </c>
      <c r="C317" s="117">
        <v>2222.06</v>
      </c>
      <c r="D317" s="17"/>
      <c r="E317" s="17"/>
      <c r="F317" s="17"/>
      <c r="G317" s="17"/>
      <c r="H317" s="17"/>
      <c r="I317" s="17"/>
      <c r="J317" s="17"/>
      <c r="K317" s="17"/>
    </row>
    <row r="318" spans="1:11" ht="18" x14ac:dyDescent="0.2">
      <c r="A318" s="121" t="s">
        <v>58</v>
      </c>
      <c r="B318" s="117">
        <v>242300</v>
      </c>
      <c r="C318" s="117">
        <v>2405.1999999999998</v>
      </c>
      <c r="D318" s="17"/>
      <c r="E318" s="17"/>
      <c r="F318" s="17"/>
      <c r="G318" s="17"/>
      <c r="H318" s="17"/>
      <c r="I318" s="17"/>
      <c r="J318" s="17"/>
      <c r="K318" s="17"/>
    </row>
    <row r="319" spans="1:11" ht="18" x14ac:dyDescent="0.2">
      <c r="A319" s="121" t="s">
        <v>95</v>
      </c>
      <c r="B319" s="117">
        <v>115342.26</v>
      </c>
      <c r="C319" s="117">
        <v>1144.95</v>
      </c>
      <c r="D319" s="17"/>
      <c r="E319" s="17"/>
      <c r="F319" s="17"/>
      <c r="G319" s="17"/>
      <c r="H319" s="17"/>
      <c r="I319" s="17"/>
      <c r="J319" s="17"/>
      <c r="K319" s="17"/>
    </row>
    <row r="320" spans="1:11" ht="18" x14ac:dyDescent="0.2">
      <c r="A320" s="121" t="s">
        <v>96</v>
      </c>
      <c r="B320" s="117">
        <v>200461.96</v>
      </c>
      <c r="C320" s="117">
        <v>1999.82</v>
      </c>
      <c r="D320" s="17"/>
      <c r="E320" s="17"/>
      <c r="F320" s="17"/>
      <c r="G320" s="17"/>
      <c r="H320" s="17"/>
      <c r="I320" s="17"/>
      <c r="J320" s="17"/>
      <c r="K320" s="17"/>
    </row>
    <row r="321" spans="1:11" ht="18" x14ac:dyDescent="0.2">
      <c r="A321" s="121" t="s">
        <v>302</v>
      </c>
      <c r="B321" s="117">
        <v>796000</v>
      </c>
      <c r="C321" s="117">
        <v>8000</v>
      </c>
      <c r="D321" s="17"/>
      <c r="E321" s="17"/>
      <c r="F321" s="17"/>
      <c r="G321" s="17"/>
      <c r="H321" s="17"/>
      <c r="I321" s="17"/>
      <c r="J321" s="17"/>
      <c r="K321" s="17"/>
    </row>
    <row r="322" spans="1:11" ht="18" x14ac:dyDescent="0.2">
      <c r="A322" s="121" t="s">
        <v>1036</v>
      </c>
      <c r="B322" s="117">
        <v>796000</v>
      </c>
      <c r="C322" s="117">
        <v>8000</v>
      </c>
      <c r="D322" s="17"/>
      <c r="E322" s="17"/>
      <c r="F322" s="17"/>
      <c r="G322" s="17"/>
      <c r="H322" s="17"/>
      <c r="I322" s="17"/>
      <c r="J322" s="17"/>
      <c r="K322" s="17"/>
    </row>
    <row r="323" spans="1:11" ht="18" x14ac:dyDescent="0.2">
      <c r="A323" s="121" t="s">
        <v>714</v>
      </c>
      <c r="B323" s="117">
        <v>6044.4</v>
      </c>
      <c r="C323" s="117">
        <v>60</v>
      </c>
      <c r="D323" s="17"/>
      <c r="E323" s="17"/>
      <c r="F323" s="17"/>
      <c r="G323" s="17"/>
      <c r="H323" s="17"/>
      <c r="I323" s="17"/>
      <c r="J323" s="17"/>
      <c r="K323" s="17"/>
    </row>
    <row r="324" spans="1:11" ht="18" x14ac:dyDescent="0.2">
      <c r="A324" s="121" t="s">
        <v>1073</v>
      </c>
      <c r="B324" s="117">
        <v>302220</v>
      </c>
      <c r="C324" s="117">
        <v>3000</v>
      </c>
      <c r="D324" s="17"/>
      <c r="E324" s="17"/>
      <c r="F324" s="17"/>
      <c r="G324" s="17"/>
      <c r="H324" s="17"/>
      <c r="I324" s="17"/>
      <c r="J324" s="17"/>
      <c r="K324" s="17"/>
    </row>
    <row r="325" spans="1:11" ht="18" x14ac:dyDescent="0.2">
      <c r="A325" s="121" t="s">
        <v>1483</v>
      </c>
      <c r="B325" s="117">
        <v>60444</v>
      </c>
      <c r="C325" s="117">
        <v>600</v>
      </c>
      <c r="D325" s="17"/>
      <c r="E325" s="17"/>
      <c r="F325" s="17"/>
      <c r="G325" s="17"/>
      <c r="H325" s="17"/>
      <c r="I325" s="17"/>
      <c r="J325" s="17"/>
      <c r="K325" s="17"/>
    </row>
    <row r="326" spans="1:11" ht="18" x14ac:dyDescent="0.2">
      <c r="A326" s="121" t="s">
        <v>2450</v>
      </c>
      <c r="B326" s="117">
        <v>81355</v>
      </c>
      <c r="C326" s="117">
        <v>807.57</v>
      </c>
      <c r="D326" s="17"/>
      <c r="E326" s="17"/>
      <c r="F326" s="17"/>
      <c r="G326" s="17"/>
      <c r="H326" s="17"/>
      <c r="I326" s="17"/>
      <c r="J326" s="17"/>
      <c r="K326" s="17"/>
    </row>
    <row r="327" spans="1:11" ht="18" x14ac:dyDescent="0.2">
      <c r="A327" s="121" t="s">
        <v>2611</v>
      </c>
      <c r="B327" s="117">
        <v>25000</v>
      </c>
      <c r="C327" s="117">
        <v>248.16</v>
      </c>
      <c r="D327" s="17"/>
      <c r="E327" s="17"/>
      <c r="F327" s="17"/>
      <c r="G327" s="17"/>
      <c r="H327" s="17"/>
      <c r="I327" s="17"/>
      <c r="J327" s="17"/>
      <c r="K327" s="17"/>
    </row>
    <row r="328" spans="1:11" ht="18" x14ac:dyDescent="0.2">
      <c r="A328" s="121" t="s">
        <v>3083</v>
      </c>
      <c r="B328" s="117">
        <v>30000</v>
      </c>
      <c r="C328" s="117">
        <v>297.8</v>
      </c>
      <c r="D328" s="17"/>
      <c r="E328" s="17"/>
      <c r="F328" s="17"/>
      <c r="G328" s="17"/>
      <c r="H328" s="17"/>
      <c r="I328" s="17"/>
      <c r="J328" s="17"/>
      <c r="K328" s="17"/>
    </row>
    <row r="329" spans="1:11" ht="18" x14ac:dyDescent="0.2">
      <c r="A329" s="122">
        <v>46238</v>
      </c>
      <c r="B329" s="117">
        <v>3259461.5600000005</v>
      </c>
      <c r="C329" s="117">
        <v>32650.639999999996</v>
      </c>
      <c r="D329" s="17"/>
      <c r="E329" s="17"/>
      <c r="F329" s="17"/>
      <c r="G329" s="17"/>
      <c r="H329" s="17"/>
      <c r="I329" s="17"/>
      <c r="J329" s="17"/>
      <c r="K329" s="17"/>
    </row>
    <row r="330" spans="1:11" ht="18" x14ac:dyDescent="0.2">
      <c r="A330" s="121" t="s">
        <v>53</v>
      </c>
      <c r="B330" s="117">
        <v>4936.26</v>
      </c>
      <c r="C330" s="117">
        <v>49</v>
      </c>
      <c r="D330" s="17"/>
      <c r="E330" s="17"/>
      <c r="F330" s="17"/>
      <c r="G330" s="17"/>
      <c r="H330" s="17"/>
      <c r="I330" s="17"/>
      <c r="J330" s="17"/>
      <c r="K330" s="17"/>
    </row>
    <row r="331" spans="1:11" ht="18" x14ac:dyDescent="0.2">
      <c r="A331" s="121" t="s">
        <v>56</v>
      </c>
      <c r="B331" s="117">
        <v>20115.75</v>
      </c>
      <c r="C331" s="117">
        <v>199.68</v>
      </c>
      <c r="D331" s="17"/>
      <c r="E331" s="17"/>
      <c r="F331" s="17"/>
      <c r="G331" s="17"/>
      <c r="H331" s="17"/>
      <c r="I331" s="17"/>
      <c r="J331" s="17"/>
      <c r="K331" s="17"/>
    </row>
    <row r="332" spans="1:11" ht="18" x14ac:dyDescent="0.2">
      <c r="A332" s="121" t="s">
        <v>257</v>
      </c>
      <c r="B332" s="117">
        <v>105412.34</v>
      </c>
      <c r="C332" s="117">
        <v>1046.4100000000001</v>
      </c>
      <c r="D332" s="17"/>
      <c r="E332" s="17"/>
      <c r="F332" s="17"/>
      <c r="G332" s="17"/>
      <c r="H332" s="17"/>
      <c r="I332" s="17"/>
      <c r="J332" s="17"/>
      <c r="K332" s="17"/>
    </row>
    <row r="333" spans="1:11" ht="18" x14ac:dyDescent="0.2">
      <c r="A333" s="121" t="s">
        <v>152</v>
      </c>
      <c r="B333" s="117">
        <v>177206.8</v>
      </c>
      <c r="C333" s="117">
        <v>1759.05</v>
      </c>
      <c r="D333" s="17"/>
      <c r="E333" s="17"/>
      <c r="F333" s="17"/>
      <c r="G333" s="17"/>
      <c r="H333" s="17"/>
      <c r="I333" s="17"/>
      <c r="J333" s="17"/>
      <c r="K333" s="17"/>
    </row>
    <row r="334" spans="1:11" ht="18" x14ac:dyDescent="0.2">
      <c r="A334" s="121" t="s">
        <v>58</v>
      </c>
      <c r="B334" s="117">
        <v>161960</v>
      </c>
      <c r="C334" s="117">
        <v>1607.7</v>
      </c>
      <c r="D334" s="17"/>
      <c r="E334" s="17"/>
      <c r="F334" s="17"/>
      <c r="G334" s="17"/>
      <c r="H334" s="17"/>
      <c r="I334" s="17"/>
      <c r="J334" s="17"/>
      <c r="K334" s="17"/>
    </row>
    <row r="335" spans="1:11" ht="18" x14ac:dyDescent="0.2">
      <c r="A335" s="121" t="s">
        <v>95</v>
      </c>
      <c r="B335" s="117">
        <v>61945.03</v>
      </c>
      <c r="C335" s="117">
        <v>614.9</v>
      </c>
      <c r="D335" s="17"/>
      <c r="E335" s="17"/>
      <c r="F335" s="17"/>
      <c r="G335" s="17"/>
      <c r="H335" s="17"/>
      <c r="I335" s="17"/>
      <c r="J335" s="17"/>
      <c r="K335" s="17"/>
    </row>
    <row r="336" spans="1:11" ht="18" x14ac:dyDescent="0.2">
      <c r="A336" s="121" t="s">
        <v>51</v>
      </c>
      <c r="B336" s="117">
        <v>1194000</v>
      </c>
      <c r="C336" s="117">
        <v>12000</v>
      </c>
      <c r="D336" s="17"/>
      <c r="E336" s="17"/>
      <c r="F336" s="17"/>
      <c r="G336" s="17"/>
      <c r="H336" s="17"/>
      <c r="I336" s="17"/>
      <c r="J336" s="17"/>
      <c r="K336" s="17"/>
    </row>
    <row r="337" spans="1:11" ht="18" x14ac:dyDescent="0.2">
      <c r="A337" s="121" t="s">
        <v>52</v>
      </c>
      <c r="B337" s="117">
        <v>1194000</v>
      </c>
      <c r="C337" s="117">
        <v>12000</v>
      </c>
      <c r="D337" s="17"/>
      <c r="E337" s="17"/>
      <c r="F337" s="17"/>
      <c r="G337" s="17"/>
      <c r="H337" s="17"/>
      <c r="I337" s="17"/>
      <c r="J337" s="17"/>
      <c r="K337" s="17"/>
    </row>
    <row r="338" spans="1:11" ht="18" x14ac:dyDescent="0.2">
      <c r="A338" s="121" t="s">
        <v>714</v>
      </c>
      <c r="B338" s="117">
        <v>3022.2</v>
      </c>
      <c r="C338" s="117">
        <v>30</v>
      </c>
      <c r="D338" s="17"/>
      <c r="E338" s="17"/>
      <c r="F338" s="17"/>
      <c r="G338" s="17"/>
      <c r="H338" s="17"/>
      <c r="I338" s="17"/>
      <c r="J338" s="17"/>
      <c r="K338" s="17"/>
    </row>
    <row r="339" spans="1:11" ht="18" x14ac:dyDescent="0.2">
      <c r="A339" s="121" t="s">
        <v>901</v>
      </c>
      <c r="B339" s="117">
        <v>205997.18</v>
      </c>
      <c r="C339" s="117">
        <v>2044.84</v>
      </c>
      <c r="D339" s="17"/>
      <c r="E339" s="17"/>
      <c r="F339" s="17"/>
      <c r="G339" s="17"/>
      <c r="H339" s="17"/>
      <c r="I339" s="17"/>
      <c r="J339" s="17"/>
      <c r="K339" s="17"/>
    </row>
    <row r="340" spans="1:11" ht="18" x14ac:dyDescent="0.2">
      <c r="A340" s="121" t="s">
        <v>2364</v>
      </c>
      <c r="B340" s="117">
        <v>4000</v>
      </c>
      <c r="C340" s="117">
        <v>39.71</v>
      </c>
      <c r="D340" s="17"/>
      <c r="E340" s="17"/>
      <c r="F340" s="17"/>
      <c r="G340" s="17"/>
      <c r="H340" s="17"/>
      <c r="I340" s="17"/>
      <c r="J340" s="17"/>
      <c r="K340" s="17"/>
    </row>
    <row r="341" spans="1:11" ht="18" x14ac:dyDescent="0.2">
      <c r="A341" s="121" t="s">
        <v>2450</v>
      </c>
      <c r="B341" s="117">
        <v>71866</v>
      </c>
      <c r="C341" s="117">
        <v>713.38</v>
      </c>
      <c r="D341" s="17"/>
      <c r="E341" s="17"/>
      <c r="F341" s="17"/>
      <c r="G341" s="17"/>
      <c r="H341" s="17"/>
      <c r="I341" s="17"/>
      <c r="J341" s="17"/>
      <c r="K341" s="17"/>
    </row>
    <row r="342" spans="1:11" ht="18" x14ac:dyDescent="0.2">
      <c r="A342" s="121" t="s">
        <v>2611</v>
      </c>
      <c r="B342" s="117">
        <v>25000</v>
      </c>
      <c r="C342" s="117">
        <v>248.17000000000002</v>
      </c>
      <c r="D342" s="17"/>
      <c r="E342" s="17"/>
      <c r="F342" s="17"/>
      <c r="G342" s="17"/>
      <c r="H342" s="17"/>
      <c r="I342" s="17"/>
      <c r="J342" s="17"/>
      <c r="K342" s="17"/>
    </row>
    <row r="343" spans="1:11" ht="18" x14ac:dyDescent="0.2">
      <c r="A343" s="121" t="s">
        <v>3083</v>
      </c>
      <c r="B343" s="117">
        <v>30000</v>
      </c>
      <c r="C343" s="117">
        <v>297.8</v>
      </c>
      <c r="D343" s="17"/>
      <c r="E343" s="17"/>
      <c r="F343" s="17"/>
      <c r="G343" s="17"/>
      <c r="H343" s="17"/>
      <c r="I343" s="17"/>
      <c r="J343" s="17"/>
      <c r="K343" s="17"/>
    </row>
    <row r="344" spans="1:11" ht="18" x14ac:dyDescent="0.2">
      <c r="A344" s="122">
        <v>46237</v>
      </c>
      <c r="B344" s="117">
        <v>4234279.2300000004</v>
      </c>
      <c r="C344" s="117">
        <v>42411.44999999999</v>
      </c>
      <c r="D344" s="17"/>
      <c r="E344" s="17"/>
      <c r="F344" s="17"/>
      <c r="G344" s="17"/>
      <c r="H344" s="17"/>
      <c r="I344" s="17"/>
      <c r="J344" s="17"/>
      <c r="K344" s="17"/>
    </row>
    <row r="345" spans="1:11" ht="18" x14ac:dyDescent="0.2">
      <c r="A345" s="121" t="s">
        <v>143</v>
      </c>
      <c r="B345" s="117">
        <v>1194000</v>
      </c>
      <c r="C345" s="117">
        <v>12000</v>
      </c>
      <c r="D345" s="17"/>
      <c r="E345" s="17"/>
      <c r="F345" s="17"/>
      <c r="G345" s="17"/>
      <c r="H345" s="17"/>
      <c r="I345" s="17"/>
      <c r="J345" s="17"/>
      <c r="K345" s="17"/>
    </row>
    <row r="346" spans="1:11" ht="18" x14ac:dyDescent="0.2">
      <c r="A346" s="121" t="s">
        <v>57</v>
      </c>
      <c r="B346" s="117">
        <v>15000</v>
      </c>
      <c r="C346" s="117">
        <v>148.9</v>
      </c>
      <c r="D346" s="17"/>
      <c r="E346" s="17"/>
      <c r="F346" s="17"/>
      <c r="G346" s="17"/>
      <c r="H346" s="17"/>
      <c r="I346" s="17"/>
      <c r="J346" s="17"/>
      <c r="K346" s="17"/>
    </row>
    <row r="347" spans="1:11" ht="18" x14ac:dyDescent="0.2">
      <c r="A347" s="121" t="s">
        <v>56</v>
      </c>
      <c r="B347" s="117">
        <v>4250.22</v>
      </c>
      <c r="C347" s="117">
        <v>42.19</v>
      </c>
      <c r="D347" s="17"/>
      <c r="E347" s="17"/>
      <c r="F347" s="17"/>
      <c r="G347" s="17"/>
      <c r="H347" s="17"/>
      <c r="I347" s="17"/>
      <c r="J347" s="17"/>
      <c r="K347" s="17"/>
    </row>
    <row r="348" spans="1:11" ht="18" x14ac:dyDescent="0.2">
      <c r="A348" s="121" t="s">
        <v>152</v>
      </c>
      <c r="B348" s="117">
        <v>178383.12</v>
      </c>
      <c r="C348" s="117">
        <v>1770.73</v>
      </c>
      <c r="D348" s="17"/>
      <c r="E348" s="17"/>
      <c r="F348" s="17"/>
      <c r="G348" s="17"/>
      <c r="H348" s="17"/>
      <c r="I348" s="17"/>
      <c r="J348" s="17"/>
      <c r="K348" s="17"/>
    </row>
    <row r="349" spans="1:11" ht="18" x14ac:dyDescent="0.2">
      <c r="A349" s="121" t="s">
        <v>58</v>
      </c>
      <c r="B349" s="117">
        <v>225200</v>
      </c>
      <c r="C349" s="117">
        <v>2235.46</v>
      </c>
      <c r="D349" s="17"/>
      <c r="E349" s="17"/>
      <c r="F349" s="17"/>
      <c r="G349" s="17"/>
      <c r="H349" s="17"/>
      <c r="I349" s="17"/>
      <c r="J349" s="17"/>
      <c r="K349" s="17"/>
    </row>
    <row r="350" spans="1:11" ht="18" x14ac:dyDescent="0.2">
      <c r="A350" s="121" t="s">
        <v>95</v>
      </c>
      <c r="B350" s="117">
        <v>118697.91</v>
      </c>
      <c r="C350" s="117">
        <v>1178.26</v>
      </c>
      <c r="D350" s="17"/>
      <c r="E350" s="17"/>
      <c r="F350" s="17"/>
      <c r="G350" s="17"/>
      <c r="H350" s="17"/>
      <c r="I350" s="17"/>
      <c r="J350" s="17"/>
      <c r="K350" s="17"/>
    </row>
    <row r="351" spans="1:11" ht="18" x14ac:dyDescent="0.2">
      <c r="A351" s="121" t="s">
        <v>501</v>
      </c>
      <c r="B351" s="117">
        <v>120888</v>
      </c>
      <c r="C351" s="117">
        <v>1200</v>
      </c>
      <c r="D351" s="17"/>
      <c r="E351" s="17"/>
      <c r="F351" s="17"/>
      <c r="G351" s="17"/>
      <c r="H351" s="17"/>
      <c r="I351" s="17"/>
      <c r="J351" s="17"/>
      <c r="K351" s="17"/>
    </row>
    <row r="352" spans="1:11" ht="18" x14ac:dyDescent="0.2">
      <c r="A352" s="121" t="s">
        <v>52</v>
      </c>
      <c r="B352" s="117">
        <v>1791000</v>
      </c>
      <c r="C352" s="117">
        <v>18000</v>
      </c>
      <c r="D352" s="17"/>
      <c r="E352" s="17"/>
      <c r="F352" s="17"/>
      <c r="G352" s="17"/>
      <c r="H352" s="17"/>
      <c r="I352" s="17"/>
      <c r="J352" s="17"/>
      <c r="K352" s="17"/>
    </row>
    <row r="353" spans="1:11" ht="18" x14ac:dyDescent="0.2">
      <c r="A353" s="121" t="s">
        <v>96</v>
      </c>
      <c r="B353" s="117">
        <v>210504</v>
      </c>
      <c r="C353" s="117">
        <v>2100</v>
      </c>
      <c r="D353" s="17"/>
      <c r="E353" s="17"/>
      <c r="F353" s="17"/>
      <c r="G353" s="17"/>
      <c r="H353" s="17"/>
      <c r="I353" s="17"/>
      <c r="J353" s="17"/>
      <c r="K353" s="17"/>
    </row>
    <row r="354" spans="1:11" ht="18" x14ac:dyDescent="0.2">
      <c r="A354" s="121" t="s">
        <v>1073</v>
      </c>
      <c r="B354" s="117">
        <v>302220</v>
      </c>
      <c r="C354" s="117">
        <v>3000</v>
      </c>
      <c r="D354" s="17"/>
      <c r="E354" s="17"/>
      <c r="F354" s="17"/>
      <c r="G354" s="17"/>
      <c r="H354" s="17"/>
      <c r="I354" s="17"/>
      <c r="J354" s="17"/>
      <c r="K354" s="17"/>
    </row>
    <row r="355" spans="1:11" ht="18" x14ac:dyDescent="0.2">
      <c r="A355" s="121" t="s">
        <v>2364</v>
      </c>
      <c r="B355" s="117">
        <v>1500</v>
      </c>
      <c r="C355" s="117">
        <v>14.89</v>
      </c>
      <c r="D355" s="17"/>
      <c r="E355" s="17"/>
      <c r="F355" s="17"/>
      <c r="G355" s="17"/>
      <c r="H355" s="17"/>
      <c r="I355" s="17"/>
      <c r="J355" s="17"/>
      <c r="K355" s="17"/>
    </row>
    <row r="356" spans="1:11" ht="18" x14ac:dyDescent="0.2">
      <c r="A356" s="121" t="s">
        <v>2450</v>
      </c>
      <c r="B356" s="117">
        <v>32392</v>
      </c>
      <c r="C356" s="117">
        <v>321.54000000000002</v>
      </c>
      <c r="D356" s="17"/>
      <c r="E356" s="17"/>
      <c r="F356" s="17"/>
      <c r="G356" s="17"/>
      <c r="H356" s="17"/>
      <c r="I356" s="17"/>
      <c r="J356" s="17"/>
      <c r="K356" s="17"/>
    </row>
    <row r="357" spans="1:11" ht="18" x14ac:dyDescent="0.2">
      <c r="A357" s="121" t="s">
        <v>2611</v>
      </c>
      <c r="B357" s="117">
        <v>20000</v>
      </c>
      <c r="C357" s="117">
        <v>198.53</v>
      </c>
      <c r="D357" s="17"/>
      <c r="E357" s="17"/>
      <c r="F357" s="17"/>
      <c r="G357" s="17"/>
      <c r="H357" s="17"/>
      <c r="I357" s="17"/>
      <c r="J357" s="17"/>
      <c r="K357" s="17"/>
    </row>
    <row r="358" spans="1:11" ht="18" x14ac:dyDescent="0.2">
      <c r="A358" s="121" t="s">
        <v>3083</v>
      </c>
      <c r="B358" s="117">
        <v>20243.98</v>
      </c>
      <c r="C358" s="117">
        <v>200.95</v>
      </c>
      <c r="D358" s="17"/>
      <c r="E358" s="17"/>
      <c r="F358" s="17"/>
      <c r="G358" s="17"/>
      <c r="H358" s="17"/>
      <c r="I358" s="17"/>
      <c r="J358" s="17"/>
      <c r="K358" s="17"/>
    </row>
    <row r="359" spans="1:11" ht="18" x14ac:dyDescent="0.2">
      <c r="A359" s="122">
        <v>46236</v>
      </c>
      <c r="B359" s="117">
        <v>860215.82000000007</v>
      </c>
      <c r="C359" s="117">
        <v>8539.0400000000009</v>
      </c>
      <c r="D359" s="17"/>
      <c r="E359" s="17"/>
      <c r="F359" s="17"/>
      <c r="G359" s="17"/>
      <c r="H359" s="17"/>
      <c r="I359" s="17"/>
      <c r="J359" s="17"/>
      <c r="K359" s="17"/>
    </row>
    <row r="360" spans="1:11" ht="18" x14ac:dyDescent="0.2">
      <c r="A360" s="121" t="s">
        <v>57</v>
      </c>
      <c r="B360" s="117">
        <v>4400</v>
      </c>
      <c r="C360" s="117">
        <v>43.68</v>
      </c>
      <c r="D360" s="17"/>
      <c r="E360" s="17"/>
      <c r="F360" s="17"/>
      <c r="G360" s="17"/>
      <c r="H360" s="17"/>
      <c r="I360" s="17"/>
      <c r="J360" s="17"/>
      <c r="K360" s="17"/>
    </row>
    <row r="361" spans="1:11" ht="18" x14ac:dyDescent="0.2">
      <c r="A361" s="121" t="s">
        <v>257</v>
      </c>
      <c r="B361" s="117">
        <v>91000</v>
      </c>
      <c r="C361" s="117">
        <v>903.38000000000022</v>
      </c>
      <c r="D361" s="17"/>
      <c r="E361" s="17"/>
      <c r="F361" s="17"/>
      <c r="G361" s="17"/>
      <c r="H361" s="17"/>
      <c r="I361" s="17"/>
      <c r="J361" s="17"/>
      <c r="K361" s="17"/>
    </row>
    <row r="362" spans="1:11" ht="18" x14ac:dyDescent="0.2">
      <c r="A362" s="121" t="s">
        <v>152</v>
      </c>
      <c r="B362" s="117">
        <v>236293.98</v>
      </c>
      <c r="C362" s="117">
        <v>2345.58</v>
      </c>
      <c r="D362" s="17"/>
      <c r="E362" s="17"/>
      <c r="F362" s="17"/>
      <c r="G362" s="17"/>
      <c r="H362" s="17"/>
      <c r="I362" s="17"/>
      <c r="J362" s="17"/>
      <c r="K362" s="17"/>
    </row>
    <row r="363" spans="1:11" ht="18" x14ac:dyDescent="0.2">
      <c r="A363" s="121" t="s">
        <v>58</v>
      </c>
      <c r="B363" s="117">
        <v>181800</v>
      </c>
      <c r="C363" s="117">
        <v>1804.65</v>
      </c>
      <c r="D363" s="17"/>
      <c r="E363" s="17"/>
      <c r="F363" s="17"/>
      <c r="G363" s="17"/>
      <c r="H363" s="17"/>
      <c r="I363" s="17"/>
      <c r="J363" s="17"/>
      <c r="K363" s="17"/>
    </row>
    <row r="364" spans="1:11" ht="18" x14ac:dyDescent="0.2">
      <c r="A364" s="121" t="s">
        <v>95</v>
      </c>
      <c r="B364" s="117">
        <v>200068.63</v>
      </c>
      <c r="C364" s="117">
        <v>1985.99</v>
      </c>
      <c r="D364" s="17"/>
      <c r="E364" s="17"/>
      <c r="F364" s="17"/>
      <c r="G364" s="17"/>
      <c r="H364" s="17"/>
      <c r="I364" s="17"/>
      <c r="J364" s="17"/>
      <c r="K364" s="17"/>
    </row>
    <row r="365" spans="1:11" ht="18" x14ac:dyDescent="0.2">
      <c r="A365" s="121" t="s">
        <v>199</v>
      </c>
      <c r="B365" s="117">
        <v>37002.800000000003</v>
      </c>
      <c r="C365" s="117">
        <v>367.31</v>
      </c>
      <c r="D365" s="17"/>
      <c r="E365" s="17"/>
      <c r="F365" s="17"/>
      <c r="G365" s="17"/>
      <c r="H365" s="17"/>
      <c r="I365" s="17"/>
      <c r="J365" s="17"/>
      <c r="K365" s="17"/>
    </row>
    <row r="366" spans="1:11" ht="18" x14ac:dyDescent="0.2">
      <c r="A366" s="121" t="s">
        <v>714</v>
      </c>
      <c r="B366" s="117">
        <v>9973.26</v>
      </c>
      <c r="C366" s="117">
        <v>99</v>
      </c>
      <c r="D366" s="17"/>
      <c r="E366" s="17"/>
      <c r="F366" s="17"/>
      <c r="G366" s="17"/>
      <c r="H366" s="17"/>
      <c r="I366" s="17"/>
      <c r="J366" s="17"/>
      <c r="K366" s="17"/>
    </row>
    <row r="367" spans="1:11" ht="18" x14ac:dyDescent="0.2">
      <c r="A367" s="121" t="s">
        <v>2364</v>
      </c>
      <c r="B367" s="117">
        <v>3914</v>
      </c>
      <c r="C367" s="117">
        <v>38.85</v>
      </c>
      <c r="D367" s="17"/>
      <c r="E367" s="17"/>
      <c r="F367" s="17"/>
      <c r="G367" s="17"/>
      <c r="H367" s="17"/>
      <c r="I367" s="17"/>
      <c r="J367" s="17"/>
      <c r="K367" s="17"/>
    </row>
    <row r="368" spans="1:11" ht="18" x14ac:dyDescent="0.2">
      <c r="A368" s="121" t="s">
        <v>2450</v>
      </c>
      <c r="B368" s="117">
        <v>63007</v>
      </c>
      <c r="C368" s="117">
        <v>625.44000000000005</v>
      </c>
      <c r="D368" s="17"/>
      <c r="E368" s="17"/>
      <c r="F368" s="17"/>
      <c r="G368" s="17"/>
      <c r="H368" s="17"/>
      <c r="I368" s="17"/>
      <c r="J368" s="17"/>
      <c r="K368" s="17"/>
    </row>
    <row r="369" spans="1:11" ht="18" x14ac:dyDescent="0.2">
      <c r="A369" s="121" t="s">
        <v>2611</v>
      </c>
      <c r="B369" s="117">
        <v>10000</v>
      </c>
      <c r="C369" s="117">
        <v>99.27</v>
      </c>
      <c r="D369" s="17"/>
      <c r="E369" s="17"/>
      <c r="F369" s="17"/>
      <c r="G369" s="17"/>
      <c r="H369" s="17"/>
      <c r="I369" s="17"/>
      <c r="J369" s="17"/>
      <c r="K369" s="17"/>
    </row>
    <row r="370" spans="1:11" ht="18" x14ac:dyDescent="0.2">
      <c r="A370" s="121" t="s">
        <v>3083</v>
      </c>
      <c r="B370" s="117">
        <v>22756.15</v>
      </c>
      <c r="C370" s="117">
        <v>225.89</v>
      </c>
      <c r="D370" s="17"/>
      <c r="E370" s="17"/>
      <c r="F370" s="17"/>
      <c r="G370" s="17"/>
      <c r="H370" s="17"/>
      <c r="I370" s="17"/>
      <c r="J370" s="17"/>
      <c r="K370" s="17"/>
    </row>
    <row r="371" spans="1:11" ht="18" x14ac:dyDescent="0.2">
      <c r="A371" s="122">
        <v>46235</v>
      </c>
      <c r="B371" s="117">
        <v>758171.34000000008</v>
      </c>
      <c r="C371" s="117">
        <v>7533.4900000000007</v>
      </c>
      <c r="D371" s="17"/>
      <c r="E371" s="17"/>
      <c r="F371" s="17"/>
      <c r="G371" s="17"/>
      <c r="H371" s="17"/>
      <c r="I371" s="17"/>
      <c r="J371" s="17"/>
      <c r="K371" s="17"/>
    </row>
    <row r="372" spans="1:11" ht="18" x14ac:dyDescent="0.2">
      <c r="A372" s="121" t="s">
        <v>56</v>
      </c>
      <c r="B372" s="117">
        <v>24129.230000000003</v>
      </c>
      <c r="C372" s="117">
        <v>239.52</v>
      </c>
      <c r="D372" s="17"/>
      <c r="E372" s="17"/>
      <c r="F372" s="17"/>
      <c r="G372" s="17"/>
      <c r="H372" s="17"/>
      <c r="I372" s="17"/>
      <c r="J372" s="17"/>
      <c r="K372" s="17"/>
    </row>
    <row r="373" spans="1:11" ht="18" x14ac:dyDescent="0.2">
      <c r="A373" s="121" t="s">
        <v>257</v>
      </c>
      <c r="B373" s="117">
        <v>31909.73</v>
      </c>
      <c r="C373" s="117">
        <v>316.77999999999997</v>
      </c>
      <c r="D373" s="17"/>
      <c r="E373" s="17"/>
      <c r="F373" s="17"/>
      <c r="G373" s="17"/>
      <c r="H373" s="17"/>
      <c r="I373" s="17"/>
      <c r="J373" s="17"/>
      <c r="K373" s="17"/>
    </row>
    <row r="374" spans="1:11" ht="18" x14ac:dyDescent="0.2">
      <c r="A374" s="121" t="s">
        <v>152</v>
      </c>
      <c r="B374" s="117">
        <v>100300</v>
      </c>
      <c r="C374" s="117">
        <v>995.63</v>
      </c>
      <c r="D374" s="17"/>
      <c r="E374" s="17"/>
      <c r="F374" s="17"/>
      <c r="G374" s="17"/>
      <c r="H374" s="17"/>
      <c r="I374" s="17"/>
      <c r="J374" s="17"/>
      <c r="K374" s="17"/>
    </row>
    <row r="375" spans="1:11" ht="18" x14ac:dyDescent="0.2">
      <c r="A375" s="121" t="s">
        <v>58</v>
      </c>
      <c r="B375" s="117">
        <v>194900</v>
      </c>
      <c r="C375" s="117">
        <v>1934.68</v>
      </c>
      <c r="D375" s="17"/>
      <c r="E375" s="17"/>
      <c r="F375" s="17"/>
      <c r="G375" s="17"/>
      <c r="H375" s="17"/>
      <c r="I375" s="17"/>
      <c r="J375" s="17"/>
      <c r="K375" s="17"/>
    </row>
    <row r="376" spans="1:11" ht="18" x14ac:dyDescent="0.2">
      <c r="A376" s="121" t="s">
        <v>95</v>
      </c>
      <c r="B376" s="117">
        <v>126055.96</v>
      </c>
      <c r="C376" s="117">
        <v>1251.3</v>
      </c>
      <c r="D376" s="17"/>
      <c r="E376" s="17"/>
      <c r="F376" s="17"/>
      <c r="G376" s="17"/>
      <c r="H376" s="17"/>
      <c r="I376" s="17"/>
      <c r="J376" s="17"/>
      <c r="K376" s="17"/>
    </row>
    <row r="377" spans="1:11" ht="18" x14ac:dyDescent="0.2">
      <c r="A377" s="121" t="s">
        <v>59</v>
      </c>
      <c r="B377" s="117">
        <v>40296</v>
      </c>
      <c r="C377" s="117">
        <v>400</v>
      </c>
      <c r="D377" s="17"/>
      <c r="E377" s="17"/>
      <c r="F377" s="17"/>
      <c r="G377" s="17"/>
      <c r="H377" s="17"/>
      <c r="I377" s="17"/>
      <c r="J377" s="17"/>
      <c r="K377" s="17"/>
    </row>
    <row r="378" spans="1:11" ht="18" x14ac:dyDescent="0.2">
      <c r="A378" s="121" t="s">
        <v>96</v>
      </c>
      <c r="B378" s="117">
        <v>150360</v>
      </c>
      <c r="C378" s="117">
        <v>1500</v>
      </c>
      <c r="D378" s="17"/>
      <c r="E378" s="17"/>
      <c r="F378" s="17"/>
      <c r="G378" s="17"/>
      <c r="H378" s="17"/>
      <c r="I378" s="17"/>
      <c r="J378" s="17"/>
      <c r="K378" s="17"/>
    </row>
    <row r="379" spans="1:11" ht="18" x14ac:dyDescent="0.2">
      <c r="A379" s="121" t="s">
        <v>2364</v>
      </c>
      <c r="B379" s="117">
        <v>11300</v>
      </c>
      <c r="C379" s="117">
        <v>112.17</v>
      </c>
      <c r="D379" s="17"/>
      <c r="E379" s="17"/>
      <c r="F379" s="17"/>
      <c r="G379" s="17"/>
      <c r="H379" s="17"/>
      <c r="I379" s="17"/>
      <c r="J379" s="17"/>
      <c r="K379" s="17"/>
    </row>
    <row r="380" spans="1:11" ht="18" x14ac:dyDescent="0.2">
      <c r="A380" s="121" t="s">
        <v>2450</v>
      </c>
      <c r="B380" s="117">
        <v>39994.42</v>
      </c>
      <c r="C380" s="117">
        <v>397.01</v>
      </c>
      <c r="D380" s="17"/>
      <c r="E380" s="17"/>
      <c r="F380" s="17"/>
      <c r="G380" s="17"/>
      <c r="H380" s="17"/>
      <c r="I380" s="17"/>
      <c r="J380" s="17"/>
      <c r="K380" s="17"/>
    </row>
    <row r="381" spans="1:11" ht="18" x14ac:dyDescent="0.2">
      <c r="A381" s="121" t="s">
        <v>2570</v>
      </c>
      <c r="B381" s="117">
        <v>19000</v>
      </c>
      <c r="C381" s="117">
        <v>188.6</v>
      </c>
      <c r="D381" s="17"/>
      <c r="E381" s="17"/>
      <c r="F381" s="17"/>
      <c r="G381" s="17"/>
      <c r="H381" s="17"/>
      <c r="I381" s="17"/>
      <c r="J381" s="17"/>
      <c r="K381" s="17"/>
    </row>
    <row r="382" spans="1:11" ht="18" x14ac:dyDescent="0.2">
      <c r="A382" s="121" t="s">
        <v>3083</v>
      </c>
      <c r="B382" s="117">
        <v>19926</v>
      </c>
      <c r="C382" s="117">
        <v>197.8</v>
      </c>
      <c r="D382" s="17"/>
      <c r="E382" s="17"/>
      <c r="F382" s="17"/>
      <c r="G382" s="17"/>
      <c r="H382" s="17"/>
      <c r="I382" s="17"/>
      <c r="J382" s="17"/>
      <c r="K382" s="17"/>
    </row>
    <row r="383" spans="1:11" ht="18" x14ac:dyDescent="0.2">
      <c r="A383" s="122">
        <v>46234</v>
      </c>
      <c r="B383" s="117">
        <v>5232696.75</v>
      </c>
      <c r="C383" s="117">
        <v>52459.600000000013</v>
      </c>
      <c r="D383" s="17"/>
      <c r="E383" s="17"/>
      <c r="F383" s="17"/>
      <c r="G383" s="17"/>
      <c r="H383" s="17"/>
      <c r="I383" s="17"/>
      <c r="J383" s="17"/>
      <c r="K383" s="17"/>
    </row>
    <row r="384" spans="1:11" ht="18" x14ac:dyDescent="0.2">
      <c r="A384" s="121" t="s">
        <v>257</v>
      </c>
      <c r="B384" s="117">
        <v>56100</v>
      </c>
      <c r="C384" s="117">
        <v>556.92000000000007</v>
      </c>
      <c r="D384" s="17"/>
      <c r="E384" s="17"/>
      <c r="F384" s="17"/>
      <c r="G384" s="17"/>
      <c r="H384" s="17"/>
      <c r="I384" s="17"/>
      <c r="J384" s="17"/>
      <c r="K384" s="17"/>
    </row>
    <row r="385" spans="1:11" ht="18" x14ac:dyDescent="0.2">
      <c r="A385" s="121" t="s">
        <v>152</v>
      </c>
      <c r="B385" s="117">
        <v>96944.4</v>
      </c>
      <c r="C385" s="117">
        <v>962.32</v>
      </c>
      <c r="D385" s="17"/>
      <c r="E385" s="17"/>
      <c r="F385" s="17"/>
      <c r="G385" s="17"/>
      <c r="H385" s="17"/>
      <c r="I385" s="17"/>
      <c r="J385" s="17"/>
      <c r="K385" s="17"/>
    </row>
    <row r="386" spans="1:11" ht="18" x14ac:dyDescent="0.2">
      <c r="A386" s="121" t="s">
        <v>58</v>
      </c>
      <c r="B386" s="117">
        <v>185500</v>
      </c>
      <c r="C386" s="117">
        <v>1841.37</v>
      </c>
      <c r="D386" s="17"/>
      <c r="E386" s="17"/>
      <c r="F386" s="17"/>
      <c r="G386" s="17"/>
      <c r="H386" s="17"/>
      <c r="I386" s="17"/>
      <c r="J386" s="17"/>
      <c r="K386" s="17"/>
    </row>
    <row r="387" spans="1:11" ht="18" x14ac:dyDescent="0.2">
      <c r="A387" s="121" t="s">
        <v>95</v>
      </c>
      <c r="B387" s="117">
        <v>74351.16</v>
      </c>
      <c r="C387" s="117">
        <v>738.05</v>
      </c>
      <c r="D387" s="17"/>
      <c r="E387" s="17"/>
      <c r="F387" s="17"/>
      <c r="G387" s="17"/>
      <c r="H387" s="17"/>
      <c r="I387" s="17"/>
      <c r="J387" s="17"/>
      <c r="K387" s="17"/>
    </row>
    <row r="388" spans="1:11" ht="18" x14ac:dyDescent="0.2">
      <c r="A388" s="121" t="s">
        <v>51</v>
      </c>
      <c r="B388" s="117">
        <v>1791000</v>
      </c>
      <c r="C388" s="117">
        <v>18000</v>
      </c>
      <c r="D388" s="17"/>
      <c r="E388" s="17"/>
      <c r="F388" s="17"/>
      <c r="G388" s="17"/>
      <c r="H388" s="17"/>
      <c r="I388" s="17"/>
      <c r="J388" s="17"/>
      <c r="K388" s="17"/>
    </row>
    <row r="389" spans="1:11" ht="18" x14ac:dyDescent="0.2">
      <c r="A389" s="121" t="s">
        <v>52</v>
      </c>
      <c r="B389" s="117">
        <v>2388000</v>
      </c>
      <c r="C389" s="117">
        <v>24000</v>
      </c>
      <c r="D389" s="17"/>
      <c r="E389" s="17"/>
      <c r="F389" s="17"/>
      <c r="G389" s="17"/>
      <c r="H389" s="17"/>
      <c r="I389" s="17"/>
      <c r="J389" s="17"/>
      <c r="K389" s="17"/>
    </row>
    <row r="390" spans="1:11" ht="18" x14ac:dyDescent="0.2">
      <c r="A390" s="121" t="s">
        <v>96</v>
      </c>
      <c r="B390" s="117">
        <v>201481.01</v>
      </c>
      <c r="C390" s="117">
        <v>2000.01</v>
      </c>
      <c r="D390" s="17"/>
      <c r="E390" s="17"/>
      <c r="F390" s="17"/>
      <c r="G390" s="17"/>
      <c r="H390" s="17"/>
      <c r="I390" s="17"/>
      <c r="J390" s="17"/>
      <c r="K390" s="17"/>
    </row>
    <row r="391" spans="1:11" ht="18" x14ac:dyDescent="0.2">
      <c r="A391" s="121" t="s">
        <v>901</v>
      </c>
      <c r="B391" s="117">
        <v>251850</v>
      </c>
      <c r="C391" s="117">
        <v>2500</v>
      </c>
      <c r="D391" s="17"/>
      <c r="E391" s="17"/>
      <c r="F391" s="17"/>
      <c r="G391" s="17"/>
      <c r="H391" s="17"/>
      <c r="I391" s="17"/>
      <c r="J391" s="17"/>
      <c r="K391" s="17"/>
    </row>
    <row r="392" spans="1:11" ht="18" x14ac:dyDescent="0.2">
      <c r="A392" s="121" t="s">
        <v>1483</v>
      </c>
      <c r="B392" s="117">
        <v>60444</v>
      </c>
      <c r="C392" s="117">
        <v>600</v>
      </c>
      <c r="D392" s="17"/>
      <c r="E392" s="17"/>
      <c r="F392" s="17"/>
      <c r="G392" s="17"/>
      <c r="H392" s="17"/>
      <c r="I392" s="17"/>
      <c r="J392" s="17"/>
      <c r="K392" s="17"/>
    </row>
    <row r="393" spans="1:11" ht="18" x14ac:dyDescent="0.2">
      <c r="A393" s="121" t="s">
        <v>2364</v>
      </c>
      <c r="B393" s="117">
        <v>3800</v>
      </c>
      <c r="C393" s="117">
        <v>37.72</v>
      </c>
      <c r="D393" s="17"/>
      <c r="E393" s="17"/>
      <c r="F393" s="17"/>
      <c r="G393" s="17"/>
      <c r="H393" s="17"/>
      <c r="I393" s="17"/>
      <c r="J393" s="17"/>
      <c r="K393" s="17"/>
    </row>
    <row r="394" spans="1:11" ht="18" x14ac:dyDescent="0.2">
      <c r="A394" s="121" t="s">
        <v>2450</v>
      </c>
      <c r="B394" s="117">
        <v>58152.18</v>
      </c>
      <c r="C394" s="117">
        <v>577.25</v>
      </c>
      <c r="D394" s="17"/>
      <c r="E394" s="17"/>
      <c r="F394" s="17"/>
      <c r="G394" s="17"/>
      <c r="H394" s="17"/>
      <c r="I394" s="17"/>
      <c r="J394" s="17"/>
      <c r="K394" s="17"/>
    </row>
    <row r="395" spans="1:11" ht="18" x14ac:dyDescent="0.2">
      <c r="A395" s="121" t="s">
        <v>2611</v>
      </c>
      <c r="B395" s="117">
        <v>25000</v>
      </c>
      <c r="C395" s="117">
        <v>248.16</v>
      </c>
      <c r="D395" s="17"/>
      <c r="E395" s="17"/>
      <c r="F395" s="17"/>
      <c r="G395" s="17"/>
      <c r="H395" s="17"/>
      <c r="I395" s="17"/>
      <c r="J395" s="17"/>
      <c r="K395" s="17"/>
    </row>
    <row r="396" spans="1:11" ht="18" x14ac:dyDescent="0.2">
      <c r="A396" s="121" t="s">
        <v>3083</v>
      </c>
      <c r="B396" s="117">
        <v>40074</v>
      </c>
      <c r="C396" s="117">
        <v>397.8</v>
      </c>
      <c r="D396" s="17"/>
      <c r="E396" s="17"/>
      <c r="F396" s="17"/>
      <c r="G396" s="17"/>
      <c r="H396" s="17"/>
      <c r="I396" s="17"/>
      <c r="J396" s="17"/>
      <c r="K396" s="17"/>
    </row>
    <row r="397" spans="1:11" ht="18" x14ac:dyDescent="0.2">
      <c r="A397" s="122">
        <v>46233</v>
      </c>
      <c r="B397" s="117">
        <v>1922267.55</v>
      </c>
      <c r="C397" s="117">
        <v>19229.210000000003</v>
      </c>
      <c r="D397" s="17"/>
      <c r="E397" s="17"/>
      <c r="F397" s="17"/>
      <c r="G397" s="17"/>
      <c r="H397" s="17"/>
      <c r="I397" s="17"/>
      <c r="J397" s="17"/>
      <c r="K397" s="17"/>
    </row>
    <row r="398" spans="1:11" ht="18" x14ac:dyDescent="0.2">
      <c r="A398" s="121" t="s">
        <v>143</v>
      </c>
      <c r="B398" s="117">
        <v>1194000</v>
      </c>
      <c r="C398" s="117">
        <v>12000</v>
      </c>
      <c r="D398" s="17"/>
      <c r="E398" s="17"/>
      <c r="F398" s="17"/>
      <c r="G398" s="17"/>
      <c r="H398" s="17"/>
      <c r="I398" s="17"/>
      <c r="J398" s="17"/>
      <c r="K398" s="17"/>
    </row>
    <row r="399" spans="1:11" ht="18" x14ac:dyDescent="0.2">
      <c r="A399" s="121" t="s">
        <v>56</v>
      </c>
      <c r="B399" s="117">
        <v>7555.5</v>
      </c>
      <c r="C399" s="117">
        <v>75</v>
      </c>
      <c r="D399" s="17"/>
      <c r="E399" s="17"/>
      <c r="F399" s="17"/>
      <c r="G399" s="17"/>
      <c r="H399" s="17"/>
      <c r="I399" s="17"/>
      <c r="J399" s="17"/>
      <c r="K399" s="17"/>
    </row>
    <row r="400" spans="1:11" ht="18" x14ac:dyDescent="0.2">
      <c r="A400" s="121" t="s">
        <v>257</v>
      </c>
      <c r="B400" s="117">
        <v>61600</v>
      </c>
      <c r="C400" s="117">
        <v>611.5200000000001</v>
      </c>
      <c r="D400" s="17"/>
      <c r="E400" s="17"/>
      <c r="F400" s="17"/>
      <c r="G400" s="17"/>
      <c r="H400" s="17"/>
      <c r="I400" s="17"/>
      <c r="J400" s="17"/>
      <c r="K400" s="17"/>
    </row>
    <row r="401" spans="1:11" ht="18" x14ac:dyDescent="0.2">
      <c r="A401" s="121" t="s">
        <v>152</v>
      </c>
      <c r="B401" s="117">
        <v>139148.1</v>
      </c>
      <c r="C401" s="117">
        <v>1381.26</v>
      </c>
      <c r="D401" s="17"/>
      <c r="E401" s="17"/>
      <c r="F401" s="17"/>
      <c r="G401" s="17"/>
      <c r="H401" s="17"/>
      <c r="I401" s="17"/>
      <c r="J401" s="17"/>
      <c r="K401" s="17"/>
    </row>
    <row r="402" spans="1:11" ht="18" x14ac:dyDescent="0.2">
      <c r="A402" s="121" t="s">
        <v>58</v>
      </c>
      <c r="B402" s="117">
        <v>221900</v>
      </c>
      <c r="C402" s="117">
        <v>2202.6999999999998</v>
      </c>
      <c r="D402" s="17"/>
      <c r="E402" s="17"/>
      <c r="F402" s="17"/>
      <c r="G402" s="17"/>
      <c r="H402" s="17"/>
      <c r="I402" s="17"/>
      <c r="J402" s="17"/>
      <c r="K402" s="17"/>
    </row>
    <row r="403" spans="1:11" ht="18" x14ac:dyDescent="0.2">
      <c r="A403" s="121" t="s">
        <v>95</v>
      </c>
      <c r="B403" s="117">
        <v>78570.149999999994</v>
      </c>
      <c r="C403" s="117">
        <v>779.93</v>
      </c>
      <c r="D403" s="17"/>
      <c r="E403" s="17"/>
      <c r="F403" s="17"/>
      <c r="G403" s="17"/>
      <c r="H403" s="17"/>
      <c r="I403" s="17"/>
      <c r="J403" s="17"/>
      <c r="K403" s="17"/>
    </row>
    <row r="404" spans="1:11" ht="18" x14ac:dyDescent="0.2">
      <c r="A404" s="121" t="s">
        <v>217</v>
      </c>
      <c r="B404" s="117">
        <v>2014.8</v>
      </c>
      <c r="C404" s="117">
        <v>20</v>
      </c>
      <c r="D404" s="17"/>
      <c r="E404" s="17"/>
      <c r="F404" s="17"/>
      <c r="G404" s="17"/>
      <c r="H404" s="17"/>
      <c r="I404" s="17"/>
      <c r="J404" s="17"/>
      <c r="K404" s="17"/>
    </row>
    <row r="405" spans="1:11" ht="18" x14ac:dyDescent="0.2">
      <c r="A405" s="121" t="s">
        <v>59</v>
      </c>
      <c r="B405" s="117">
        <v>60444</v>
      </c>
      <c r="C405" s="117">
        <v>600</v>
      </c>
      <c r="D405" s="17"/>
      <c r="E405" s="17"/>
      <c r="F405" s="17"/>
      <c r="G405" s="17"/>
      <c r="H405" s="17"/>
      <c r="I405" s="17"/>
      <c r="J405" s="17"/>
      <c r="K405" s="17"/>
    </row>
    <row r="406" spans="1:11" ht="18" x14ac:dyDescent="0.2">
      <c r="A406" s="121" t="s">
        <v>2450</v>
      </c>
      <c r="B406" s="117">
        <v>103535</v>
      </c>
      <c r="C406" s="117">
        <v>1027.74</v>
      </c>
      <c r="D406" s="17"/>
      <c r="E406" s="17"/>
      <c r="F406" s="17"/>
      <c r="G406" s="17"/>
      <c r="H406" s="17"/>
      <c r="I406" s="17"/>
      <c r="J406" s="17"/>
      <c r="K406" s="17"/>
    </row>
    <row r="407" spans="1:11" ht="18" x14ac:dyDescent="0.2">
      <c r="A407" s="121" t="s">
        <v>2570</v>
      </c>
      <c r="B407" s="117">
        <v>28500</v>
      </c>
      <c r="C407" s="117">
        <v>282.89999999999998</v>
      </c>
      <c r="D407" s="17"/>
      <c r="E407" s="17"/>
      <c r="F407" s="17"/>
      <c r="G407" s="17"/>
      <c r="H407" s="17"/>
      <c r="I407" s="17"/>
      <c r="J407" s="17"/>
      <c r="K407" s="17"/>
    </row>
    <row r="408" spans="1:11" ht="18" x14ac:dyDescent="0.2">
      <c r="A408" s="121" t="s">
        <v>2611</v>
      </c>
      <c r="B408" s="117">
        <v>25000</v>
      </c>
      <c r="C408" s="117">
        <v>248.16</v>
      </c>
      <c r="D408" s="17"/>
      <c r="E408" s="17"/>
      <c r="F408" s="17"/>
      <c r="G408" s="17"/>
      <c r="H408" s="17"/>
      <c r="I408" s="17"/>
      <c r="J408" s="17"/>
      <c r="K408" s="17"/>
    </row>
    <row r="409" spans="1:11" ht="18" x14ac:dyDescent="0.2">
      <c r="A409" s="122">
        <v>46232</v>
      </c>
      <c r="B409" s="117">
        <v>2568175.69</v>
      </c>
      <c r="C409" s="117">
        <v>25714.7</v>
      </c>
      <c r="D409" s="17"/>
      <c r="E409" s="17"/>
      <c r="F409" s="17"/>
      <c r="G409" s="17"/>
      <c r="H409" s="17"/>
      <c r="I409" s="17"/>
      <c r="J409" s="17"/>
      <c r="K409" s="17"/>
    </row>
    <row r="410" spans="1:11" ht="18" x14ac:dyDescent="0.2">
      <c r="A410" s="121" t="s">
        <v>54</v>
      </c>
      <c r="B410" s="117">
        <v>4681.38</v>
      </c>
      <c r="C410" s="117">
        <v>46.47</v>
      </c>
      <c r="D410" s="17"/>
      <c r="E410" s="17"/>
      <c r="F410" s="17"/>
      <c r="G410" s="17"/>
      <c r="H410" s="17"/>
      <c r="I410" s="17"/>
      <c r="J410" s="17"/>
      <c r="K410" s="17"/>
    </row>
    <row r="411" spans="1:11" ht="18" x14ac:dyDescent="0.2">
      <c r="A411" s="121" t="s">
        <v>56</v>
      </c>
      <c r="B411" s="117">
        <v>5037</v>
      </c>
      <c r="C411" s="117">
        <v>50</v>
      </c>
      <c r="D411" s="17"/>
      <c r="E411" s="17"/>
      <c r="F411" s="17"/>
      <c r="G411" s="17"/>
      <c r="H411" s="17"/>
      <c r="I411" s="17"/>
      <c r="J411" s="17"/>
      <c r="K411" s="17"/>
    </row>
    <row r="412" spans="1:11" ht="18" x14ac:dyDescent="0.2">
      <c r="A412" s="121" t="s">
        <v>257</v>
      </c>
      <c r="B412" s="117">
        <v>50507.4</v>
      </c>
      <c r="C412" s="117">
        <v>501.40000000000009</v>
      </c>
      <c r="D412" s="17"/>
      <c r="E412" s="17"/>
      <c r="F412" s="17"/>
      <c r="G412" s="17"/>
      <c r="H412" s="17"/>
      <c r="I412" s="17"/>
      <c r="J412" s="17"/>
      <c r="K412" s="17"/>
    </row>
    <row r="413" spans="1:11" ht="18" x14ac:dyDescent="0.2">
      <c r="A413" s="121" t="s">
        <v>152</v>
      </c>
      <c r="B413" s="117">
        <v>153900</v>
      </c>
      <c r="C413" s="117">
        <v>1527.7</v>
      </c>
      <c r="D413" s="17"/>
      <c r="E413" s="17"/>
      <c r="F413" s="17"/>
      <c r="G413" s="17"/>
      <c r="H413" s="17"/>
      <c r="I413" s="17"/>
      <c r="J413" s="17"/>
      <c r="K413" s="17"/>
    </row>
    <row r="414" spans="1:11" ht="18" x14ac:dyDescent="0.2">
      <c r="A414" s="121" t="s">
        <v>58</v>
      </c>
      <c r="B414" s="117">
        <v>157500</v>
      </c>
      <c r="C414" s="117">
        <v>1563.4299999999998</v>
      </c>
      <c r="D414" s="17"/>
      <c r="E414" s="17"/>
      <c r="F414" s="17"/>
      <c r="G414" s="17"/>
      <c r="H414" s="17"/>
      <c r="I414" s="17"/>
      <c r="J414" s="17"/>
      <c r="K414" s="17"/>
    </row>
    <row r="415" spans="1:11" ht="18" x14ac:dyDescent="0.2">
      <c r="A415" s="121" t="s">
        <v>95</v>
      </c>
      <c r="B415" s="117">
        <v>81763.61</v>
      </c>
      <c r="C415" s="117">
        <v>811.63</v>
      </c>
      <c r="D415" s="17"/>
      <c r="E415" s="17"/>
      <c r="F415" s="17"/>
      <c r="G415" s="17"/>
      <c r="H415" s="17"/>
      <c r="I415" s="17"/>
      <c r="J415" s="17"/>
      <c r="K415" s="17"/>
    </row>
    <row r="416" spans="1:11" ht="18" x14ac:dyDescent="0.2">
      <c r="A416" s="121" t="s">
        <v>51</v>
      </c>
      <c r="B416" s="117">
        <v>1791000</v>
      </c>
      <c r="C416" s="117">
        <v>18000</v>
      </c>
      <c r="D416" s="17"/>
      <c r="E416" s="17"/>
      <c r="F416" s="17"/>
      <c r="G416" s="17"/>
      <c r="H416" s="17"/>
      <c r="I416" s="17"/>
      <c r="J416" s="17"/>
      <c r="K416" s="17"/>
    </row>
    <row r="417" spans="1:11" ht="18" x14ac:dyDescent="0.2">
      <c r="A417" s="121" t="s">
        <v>59</v>
      </c>
      <c r="B417" s="117">
        <v>40296</v>
      </c>
      <c r="C417" s="117">
        <v>400</v>
      </c>
      <c r="D417" s="17"/>
      <c r="E417" s="17"/>
      <c r="F417" s="17"/>
      <c r="G417" s="17"/>
      <c r="H417" s="17"/>
      <c r="I417" s="17"/>
      <c r="J417" s="17"/>
      <c r="K417" s="17"/>
    </row>
    <row r="418" spans="1:11" ht="18" x14ac:dyDescent="0.2">
      <c r="A418" s="121" t="s">
        <v>96</v>
      </c>
      <c r="B418" s="117">
        <v>151110</v>
      </c>
      <c r="C418" s="117">
        <v>1500</v>
      </c>
      <c r="D418" s="17"/>
      <c r="E418" s="17"/>
      <c r="F418" s="17"/>
      <c r="G418" s="17"/>
      <c r="H418" s="17"/>
      <c r="I418" s="17"/>
      <c r="J418" s="17"/>
      <c r="K418" s="17"/>
    </row>
    <row r="419" spans="1:11" ht="18" x14ac:dyDescent="0.2">
      <c r="A419" s="121" t="s">
        <v>901</v>
      </c>
      <c r="B419" s="117">
        <v>4533.3</v>
      </c>
      <c r="C419" s="117">
        <v>45</v>
      </c>
      <c r="D419" s="17"/>
      <c r="E419" s="17"/>
      <c r="F419" s="17"/>
      <c r="G419" s="17"/>
      <c r="H419" s="17"/>
      <c r="I419" s="17"/>
      <c r="J419" s="17"/>
      <c r="K419" s="17"/>
    </row>
    <row r="420" spans="1:11" ht="18" x14ac:dyDescent="0.2">
      <c r="A420" s="121" t="s">
        <v>2450</v>
      </c>
      <c r="B420" s="117">
        <v>25347</v>
      </c>
      <c r="C420" s="117">
        <v>251.61</v>
      </c>
      <c r="D420" s="17"/>
      <c r="E420" s="17"/>
      <c r="F420" s="17"/>
      <c r="G420" s="17"/>
      <c r="H420" s="17"/>
      <c r="I420" s="17"/>
      <c r="J420" s="17"/>
      <c r="K420" s="17"/>
    </row>
    <row r="421" spans="1:11" ht="18" x14ac:dyDescent="0.2">
      <c r="A421" s="121" t="s">
        <v>2570</v>
      </c>
      <c r="B421" s="117">
        <v>47500</v>
      </c>
      <c r="C421" s="117">
        <v>471.5</v>
      </c>
      <c r="D421" s="17"/>
      <c r="E421" s="17"/>
      <c r="F421" s="17"/>
      <c r="G421" s="17"/>
      <c r="H421" s="17"/>
      <c r="I421" s="17"/>
      <c r="J421" s="17"/>
      <c r="K421" s="17"/>
    </row>
    <row r="422" spans="1:11" ht="18" x14ac:dyDescent="0.2">
      <c r="A422" s="121" t="s">
        <v>2611</v>
      </c>
      <c r="B422" s="117">
        <v>25000</v>
      </c>
      <c r="C422" s="117">
        <v>248.16</v>
      </c>
      <c r="D422" s="17"/>
      <c r="E422" s="17"/>
      <c r="F422" s="17"/>
      <c r="G422" s="17"/>
      <c r="H422" s="17"/>
      <c r="I422" s="17"/>
      <c r="J422" s="17"/>
      <c r="K422" s="17"/>
    </row>
    <row r="423" spans="1:11" ht="18" x14ac:dyDescent="0.2">
      <c r="A423" s="121" t="s">
        <v>3083</v>
      </c>
      <c r="B423" s="117">
        <v>30000</v>
      </c>
      <c r="C423" s="117">
        <v>297.8</v>
      </c>
      <c r="D423" s="17"/>
      <c r="E423" s="17"/>
      <c r="F423" s="17"/>
      <c r="G423" s="17"/>
      <c r="H423" s="17"/>
      <c r="I423" s="17"/>
      <c r="J423" s="17"/>
      <c r="K423" s="17"/>
    </row>
    <row r="424" spans="1:11" ht="18" x14ac:dyDescent="0.2">
      <c r="A424" s="122">
        <v>46231</v>
      </c>
      <c r="B424" s="117">
        <v>1892330.99</v>
      </c>
      <c r="C424" s="117">
        <v>18932.010000000002</v>
      </c>
      <c r="D424" s="17"/>
      <c r="E424" s="17"/>
      <c r="F424" s="17"/>
      <c r="G424" s="17"/>
      <c r="H424" s="17"/>
      <c r="I424" s="17"/>
      <c r="J424" s="17"/>
      <c r="K424" s="17"/>
    </row>
    <row r="425" spans="1:11" ht="18" x14ac:dyDescent="0.2">
      <c r="A425" s="121" t="s">
        <v>143</v>
      </c>
      <c r="B425" s="117">
        <v>1194000</v>
      </c>
      <c r="C425" s="117">
        <v>12000</v>
      </c>
      <c r="D425" s="17"/>
      <c r="E425" s="17"/>
      <c r="F425" s="17"/>
      <c r="G425" s="17"/>
      <c r="H425" s="17"/>
      <c r="I425" s="17"/>
      <c r="J425" s="17"/>
      <c r="K425" s="17"/>
    </row>
    <row r="426" spans="1:11" ht="18" x14ac:dyDescent="0.2">
      <c r="A426" s="121" t="s">
        <v>57</v>
      </c>
      <c r="B426" s="117">
        <v>4029.6</v>
      </c>
      <c r="C426" s="117">
        <v>40</v>
      </c>
      <c r="D426" s="17"/>
      <c r="E426" s="17"/>
      <c r="F426" s="17"/>
      <c r="G426" s="17"/>
      <c r="H426" s="17"/>
      <c r="I426" s="17"/>
      <c r="J426" s="17"/>
      <c r="K426" s="17"/>
    </row>
    <row r="427" spans="1:11" ht="18" x14ac:dyDescent="0.2">
      <c r="A427" s="121" t="s">
        <v>56</v>
      </c>
      <c r="B427" s="117">
        <v>4290.51</v>
      </c>
      <c r="C427" s="117">
        <v>42.59</v>
      </c>
      <c r="D427" s="17"/>
      <c r="E427" s="17"/>
      <c r="F427" s="17"/>
      <c r="G427" s="17"/>
      <c r="H427" s="17"/>
      <c r="I427" s="17"/>
      <c r="J427" s="17"/>
      <c r="K427" s="17"/>
    </row>
    <row r="428" spans="1:11" ht="18" x14ac:dyDescent="0.2">
      <c r="A428" s="121" t="s">
        <v>152</v>
      </c>
      <c r="B428" s="117">
        <v>169210.96</v>
      </c>
      <c r="C428" s="117">
        <v>1679.68</v>
      </c>
      <c r="D428" s="17"/>
      <c r="E428" s="17"/>
      <c r="F428" s="17"/>
      <c r="G428" s="17"/>
      <c r="H428" s="17"/>
      <c r="I428" s="17"/>
      <c r="J428" s="17"/>
      <c r="K428" s="17"/>
    </row>
    <row r="429" spans="1:11" ht="18" x14ac:dyDescent="0.2">
      <c r="A429" s="121" t="s">
        <v>58</v>
      </c>
      <c r="B429" s="117">
        <v>19000</v>
      </c>
      <c r="C429" s="117">
        <v>188.6</v>
      </c>
      <c r="D429" s="17"/>
      <c r="E429" s="17"/>
      <c r="F429" s="17"/>
      <c r="G429" s="17"/>
      <c r="H429" s="17"/>
      <c r="I429" s="17"/>
      <c r="J429" s="17"/>
      <c r="K429" s="17"/>
    </row>
    <row r="430" spans="1:11" ht="18" x14ac:dyDescent="0.2">
      <c r="A430" s="121" t="s">
        <v>95</v>
      </c>
      <c r="B430" s="117">
        <v>103957.64</v>
      </c>
      <c r="C430" s="117">
        <v>1031.94</v>
      </c>
      <c r="D430" s="17"/>
      <c r="E430" s="17"/>
      <c r="F430" s="17"/>
      <c r="G430" s="17"/>
      <c r="H430" s="17"/>
      <c r="I430" s="17"/>
      <c r="J430" s="17"/>
      <c r="K430" s="17"/>
    </row>
    <row r="431" spans="1:11" ht="18" x14ac:dyDescent="0.2">
      <c r="A431" s="121" t="s">
        <v>217</v>
      </c>
      <c r="B431" s="117">
        <v>4029.6</v>
      </c>
      <c r="C431" s="117">
        <v>40</v>
      </c>
      <c r="D431" s="17"/>
      <c r="E431" s="17"/>
      <c r="F431" s="17"/>
      <c r="G431" s="17"/>
      <c r="H431" s="17"/>
      <c r="I431" s="17"/>
      <c r="J431" s="17"/>
      <c r="K431" s="17"/>
    </row>
    <row r="432" spans="1:11" ht="18" x14ac:dyDescent="0.2">
      <c r="A432" s="121" t="s">
        <v>1073</v>
      </c>
      <c r="B432" s="117">
        <v>302220</v>
      </c>
      <c r="C432" s="117">
        <v>3000</v>
      </c>
      <c r="D432" s="17"/>
      <c r="E432" s="17"/>
      <c r="F432" s="17"/>
      <c r="G432" s="17"/>
      <c r="H432" s="17"/>
      <c r="I432" s="17"/>
      <c r="J432" s="17"/>
      <c r="K432" s="17"/>
    </row>
    <row r="433" spans="1:11" ht="18" x14ac:dyDescent="0.2">
      <c r="A433" s="121" t="s">
        <v>2364</v>
      </c>
      <c r="B433" s="117">
        <v>1000</v>
      </c>
      <c r="C433" s="117">
        <v>9.93</v>
      </c>
      <c r="D433" s="17"/>
      <c r="E433" s="17"/>
      <c r="F433" s="17"/>
      <c r="G433" s="17"/>
      <c r="H433" s="17"/>
      <c r="I433" s="17"/>
      <c r="J433" s="17"/>
      <c r="K433" s="17"/>
    </row>
    <row r="434" spans="1:11" ht="18" x14ac:dyDescent="0.2">
      <c r="A434" s="121" t="s">
        <v>2450</v>
      </c>
      <c r="B434" s="117">
        <v>65592.679999999993</v>
      </c>
      <c r="C434" s="117">
        <v>651.11</v>
      </c>
      <c r="D434" s="17"/>
      <c r="E434" s="17"/>
      <c r="F434" s="17"/>
      <c r="G434" s="17"/>
      <c r="H434" s="17"/>
      <c r="I434" s="17"/>
      <c r="J434" s="17"/>
      <c r="K434" s="17"/>
    </row>
    <row r="435" spans="1:11" ht="18" x14ac:dyDescent="0.2">
      <c r="A435" s="121" t="s">
        <v>2611</v>
      </c>
      <c r="B435" s="117">
        <v>25000</v>
      </c>
      <c r="C435" s="117">
        <v>248.16</v>
      </c>
      <c r="D435" s="17"/>
      <c r="E435" s="17"/>
      <c r="F435" s="17"/>
      <c r="G435" s="17"/>
      <c r="H435" s="17"/>
      <c r="I435" s="17"/>
      <c r="J435" s="17"/>
      <c r="K435" s="17"/>
    </row>
    <row r="436" spans="1:11" ht="18" x14ac:dyDescent="0.2">
      <c r="A436" s="122">
        <v>46230</v>
      </c>
      <c r="B436" s="117">
        <v>1653275.0199999998</v>
      </c>
      <c r="C436" s="117">
        <v>16559.009999999998</v>
      </c>
      <c r="D436" s="17"/>
      <c r="E436" s="17"/>
      <c r="F436" s="17"/>
      <c r="G436" s="17"/>
      <c r="H436" s="17"/>
      <c r="I436" s="17"/>
      <c r="J436" s="17"/>
      <c r="K436" s="17"/>
    </row>
    <row r="437" spans="1:11" ht="18" x14ac:dyDescent="0.2">
      <c r="A437" s="121" t="s">
        <v>56</v>
      </c>
      <c r="B437" s="117">
        <v>7382.22</v>
      </c>
      <c r="C437" s="117">
        <v>73.28</v>
      </c>
      <c r="D437" s="17"/>
      <c r="E437" s="17"/>
      <c r="F437" s="17"/>
      <c r="G437" s="17"/>
      <c r="H437" s="17"/>
      <c r="I437" s="17"/>
      <c r="J437" s="17"/>
      <c r="K437" s="17"/>
    </row>
    <row r="438" spans="1:11" ht="18" x14ac:dyDescent="0.2">
      <c r="A438" s="121" t="s">
        <v>152</v>
      </c>
      <c r="B438" s="117">
        <v>65771.78</v>
      </c>
      <c r="C438" s="117">
        <v>652.89</v>
      </c>
      <c r="D438" s="17"/>
      <c r="E438" s="17"/>
      <c r="F438" s="17"/>
      <c r="G438" s="17"/>
      <c r="H438" s="17"/>
      <c r="I438" s="17"/>
      <c r="J438" s="17"/>
      <c r="K438" s="17"/>
    </row>
    <row r="439" spans="1:11" ht="18" x14ac:dyDescent="0.2">
      <c r="A439" s="121" t="s">
        <v>58</v>
      </c>
      <c r="B439" s="117">
        <v>3022.2</v>
      </c>
      <c r="C439" s="117">
        <v>30</v>
      </c>
      <c r="D439" s="17"/>
      <c r="E439" s="17"/>
      <c r="F439" s="17"/>
      <c r="G439" s="17"/>
      <c r="H439" s="17"/>
      <c r="I439" s="17"/>
      <c r="J439" s="17"/>
      <c r="K439" s="17"/>
    </row>
    <row r="440" spans="1:11" ht="18" x14ac:dyDescent="0.2">
      <c r="A440" s="121" t="s">
        <v>95</v>
      </c>
      <c r="B440" s="117">
        <v>122057.59</v>
      </c>
      <c r="C440" s="117">
        <v>1211.6099999999999</v>
      </c>
      <c r="D440" s="17"/>
      <c r="E440" s="17"/>
      <c r="F440" s="17"/>
      <c r="G440" s="17"/>
      <c r="H440" s="17"/>
      <c r="I440" s="17"/>
      <c r="J440" s="17"/>
      <c r="K440" s="17"/>
    </row>
    <row r="441" spans="1:11" ht="18" x14ac:dyDescent="0.2">
      <c r="A441" s="121" t="s">
        <v>217</v>
      </c>
      <c r="B441" s="117">
        <v>2014.8</v>
      </c>
      <c r="C441" s="117">
        <v>20</v>
      </c>
      <c r="D441" s="17"/>
      <c r="E441" s="17"/>
      <c r="F441" s="17"/>
      <c r="G441" s="17"/>
      <c r="H441" s="17"/>
      <c r="I441" s="17"/>
      <c r="J441" s="17"/>
      <c r="K441" s="17"/>
    </row>
    <row r="442" spans="1:11" ht="18" x14ac:dyDescent="0.2">
      <c r="A442" s="121" t="s">
        <v>51</v>
      </c>
      <c r="B442" s="117">
        <v>1194000</v>
      </c>
      <c r="C442" s="117">
        <v>12000</v>
      </c>
      <c r="D442" s="17"/>
      <c r="E442" s="17"/>
      <c r="F442" s="17"/>
      <c r="G442" s="17"/>
      <c r="H442" s="17"/>
      <c r="I442" s="17"/>
      <c r="J442" s="17"/>
      <c r="K442" s="17"/>
    </row>
    <row r="443" spans="1:11" ht="18" x14ac:dyDescent="0.2">
      <c r="A443" s="121" t="s">
        <v>96</v>
      </c>
      <c r="B443" s="117">
        <v>151110</v>
      </c>
      <c r="C443" s="117">
        <v>1500</v>
      </c>
      <c r="D443" s="17"/>
      <c r="E443" s="17"/>
      <c r="F443" s="17"/>
      <c r="G443" s="17"/>
      <c r="H443" s="17"/>
      <c r="I443" s="17"/>
      <c r="J443" s="17"/>
      <c r="K443" s="17"/>
    </row>
    <row r="444" spans="1:11" ht="18" x14ac:dyDescent="0.2">
      <c r="A444" s="121" t="s">
        <v>714</v>
      </c>
      <c r="B444" s="117">
        <v>48659.43</v>
      </c>
      <c r="C444" s="117">
        <v>483.02</v>
      </c>
      <c r="D444" s="17"/>
      <c r="E444" s="17"/>
      <c r="F444" s="17"/>
      <c r="G444" s="17"/>
      <c r="H444" s="17"/>
      <c r="I444" s="17"/>
      <c r="J444" s="17"/>
      <c r="K444" s="17"/>
    </row>
    <row r="445" spans="1:11" ht="18" x14ac:dyDescent="0.2">
      <c r="A445" s="121" t="s">
        <v>2450</v>
      </c>
      <c r="B445" s="117">
        <v>34257</v>
      </c>
      <c r="C445" s="117">
        <v>340.05</v>
      </c>
      <c r="D445" s="17"/>
      <c r="E445" s="17"/>
      <c r="F445" s="17"/>
      <c r="G445" s="17"/>
      <c r="H445" s="17"/>
      <c r="I445" s="17"/>
      <c r="J445" s="17"/>
      <c r="K445" s="17"/>
    </row>
    <row r="446" spans="1:11" ht="18" x14ac:dyDescent="0.2">
      <c r="A446" s="121" t="s">
        <v>2611</v>
      </c>
      <c r="B446" s="117">
        <v>25000</v>
      </c>
      <c r="C446" s="117">
        <v>248.16</v>
      </c>
      <c r="D446" s="17"/>
      <c r="E446" s="17"/>
      <c r="F446" s="17"/>
      <c r="G446" s="17"/>
      <c r="H446" s="17"/>
      <c r="I446" s="17"/>
      <c r="J446" s="17"/>
      <c r="K446" s="17"/>
    </row>
    <row r="447" spans="1:11" ht="18" x14ac:dyDescent="0.2">
      <c r="A447" s="122">
        <v>46229</v>
      </c>
      <c r="B447" s="477">
        <v>3987342.13</v>
      </c>
      <c r="C447" s="477">
        <v>39949.790000000008</v>
      </c>
      <c r="D447" s="17"/>
      <c r="E447" s="17"/>
      <c r="F447" s="17"/>
      <c r="G447" s="17"/>
      <c r="H447" s="17"/>
      <c r="I447" s="17"/>
      <c r="J447" s="17"/>
      <c r="K447" s="17"/>
    </row>
    <row r="448" spans="1:11" ht="18" x14ac:dyDescent="0.2">
      <c r="A448" s="121" t="s">
        <v>57</v>
      </c>
      <c r="B448" s="117">
        <v>10074</v>
      </c>
      <c r="C448" s="117">
        <v>100</v>
      </c>
      <c r="D448" s="17"/>
      <c r="E448" s="17"/>
      <c r="F448" s="17"/>
      <c r="G448" s="17"/>
      <c r="H448" s="17"/>
      <c r="I448" s="17"/>
      <c r="J448" s="17"/>
      <c r="K448" s="17"/>
    </row>
    <row r="449" spans="1:11" ht="18" x14ac:dyDescent="0.2">
      <c r="A449" s="121" t="s">
        <v>152</v>
      </c>
      <c r="B449" s="117">
        <v>180866.6</v>
      </c>
      <c r="C449" s="117">
        <v>1795.38</v>
      </c>
      <c r="D449" s="17"/>
      <c r="E449" s="17"/>
      <c r="F449" s="17"/>
      <c r="G449" s="17"/>
      <c r="H449" s="17"/>
      <c r="I449" s="17"/>
      <c r="J449" s="17"/>
      <c r="K449" s="17"/>
    </row>
    <row r="450" spans="1:11" ht="18" x14ac:dyDescent="0.2">
      <c r="A450" s="121" t="s">
        <v>95</v>
      </c>
      <c r="B450" s="117">
        <v>112428.86</v>
      </c>
      <c r="C450" s="117">
        <v>1116.03</v>
      </c>
      <c r="D450" s="17"/>
      <c r="E450" s="17"/>
      <c r="F450" s="17"/>
      <c r="G450" s="17"/>
      <c r="H450" s="17"/>
      <c r="I450" s="17"/>
      <c r="J450" s="17"/>
      <c r="K450" s="17"/>
    </row>
    <row r="451" spans="1:11" ht="18" x14ac:dyDescent="0.2">
      <c r="A451" s="121" t="s">
        <v>134</v>
      </c>
      <c r="B451" s="117">
        <v>120888</v>
      </c>
      <c r="C451" s="117">
        <v>1200</v>
      </c>
      <c r="D451" s="17"/>
      <c r="E451" s="17"/>
      <c r="F451" s="17"/>
      <c r="G451" s="17"/>
      <c r="H451" s="17"/>
      <c r="I451" s="17"/>
      <c r="J451" s="17"/>
      <c r="K451" s="17"/>
    </row>
    <row r="452" spans="1:11" ht="18" x14ac:dyDescent="0.2">
      <c r="A452" s="121" t="s">
        <v>51</v>
      </c>
      <c r="B452" s="117">
        <v>1791000</v>
      </c>
      <c r="C452" s="117">
        <v>18000</v>
      </c>
      <c r="D452" s="17"/>
      <c r="E452" s="17"/>
      <c r="F452" s="17"/>
      <c r="G452" s="17"/>
      <c r="H452" s="17"/>
      <c r="I452" s="17"/>
      <c r="J452" s="17"/>
      <c r="K452" s="17"/>
    </row>
    <row r="453" spans="1:11" ht="18" x14ac:dyDescent="0.2">
      <c r="A453" s="121" t="s">
        <v>59</v>
      </c>
      <c r="B453" s="117">
        <v>40296</v>
      </c>
      <c r="C453" s="117">
        <v>400</v>
      </c>
      <c r="D453" s="17"/>
      <c r="E453" s="17"/>
      <c r="F453" s="17"/>
      <c r="G453" s="17"/>
      <c r="H453" s="17"/>
      <c r="I453" s="17"/>
      <c r="J453" s="17"/>
      <c r="K453" s="17"/>
    </row>
    <row r="454" spans="1:11" ht="18" x14ac:dyDescent="0.2">
      <c r="A454" s="121" t="s">
        <v>52</v>
      </c>
      <c r="B454" s="117">
        <v>1194000</v>
      </c>
      <c r="C454" s="117">
        <v>12000</v>
      </c>
      <c r="D454" s="17"/>
      <c r="E454" s="17"/>
      <c r="F454" s="17"/>
      <c r="G454" s="17"/>
      <c r="H454" s="17"/>
      <c r="I454" s="17"/>
      <c r="J454" s="17"/>
      <c r="K454" s="17"/>
    </row>
    <row r="455" spans="1:11" ht="18" x14ac:dyDescent="0.2">
      <c r="A455" s="121" t="s">
        <v>901</v>
      </c>
      <c r="B455" s="117">
        <v>251850</v>
      </c>
      <c r="C455" s="117">
        <v>2500</v>
      </c>
      <c r="D455" s="17"/>
      <c r="E455" s="17"/>
      <c r="F455" s="17"/>
      <c r="G455" s="17"/>
      <c r="H455" s="17"/>
      <c r="I455" s="17"/>
      <c r="J455" s="17"/>
      <c r="K455" s="17"/>
    </row>
    <row r="456" spans="1:11" ht="18" x14ac:dyDescent="0.2">
      <c r="A456" s="121" t="s">
        <v>2450</v>
      </c>
      <c r="B456" s="117">
        <v>62198.8</v>
      </c>
      <c r="C456" s="117">
        <v>617.41999999999996</v>
      </c>
      <c r="D456" s="17"/>
      <c r="E456" s="17"/>
      <c r="F456" s="17"/>
      <c r="G456" s="17"/>
      <c r="H456" s="17"/>
      <c r="I456" s="17"/>
      <c r="J456" s="17"/>
      <c r="K456" s="17"/>
    </row>
    <row r="457" spans="1:11" ht="18" x14ac:dyDescent="0.2">
      <c r="A457" s="121" t="s">
        <v>2570</v>
      </c>
      <c r="B457" s="117">
        <v>100740</v>
      </c>
      <c r="C457" s="117">
        <v>1000</v>
      </c>
      <c r="D457" s="17"/>
      <c r="E457" s="17"/>
      <c r="F457" s="17"/>
      <c r="G457" s="17"/>
      <c r="H457" s="17"/>
      <c r="I457" s="17"/>
      <c r="J457" s="17"/>
      <c r="K457" s="17"/>
    </row>
    <row r="458" spans="1:11" ht="18" x14ac:dyDescent="0.2">
      <c r="A458" s="121" t="s">
        <v>2611</v>
      </c>
      <c r="B458" s="117">
        <v>25000</v>
      </c>
      <c r="C458" s="117">
        <v>248.16</v>
      </c>
      <c r="D458" s="17"/>
      <c r="E458" s="17"/>
      <c r="F458" s="17"/>
      <c r="G458" s="17"/>
      <c r="H458" s="17"/>
      <c r="I458" s="17"/>
      <c r="J458" s="17"/>
      <c r="K458" s="17"/>
    </row>
    <row r="459" spans="1:11" ht="18" x14ac:dyDescent="0.2">
      <c r="A459" s="121" t="s">
        <v>3083</v>
      </c>
      <c r="B459" s="117">
        <v>97999.87</v>
      </c>
      <c r="C459" s="117">
        <v>972.8</v>
      </c>
      <c r="D459" s="17"/>
      <c r="E459" s="17"/>
      <c r="F459" s="17"/>
      <c r="G459" s="17"/>
      <c r="H459" s="17"/>
      <c r="I459" s="17"/>
      <c r="J459" s="17"/>
      <c r="K459" s="17"/>
    </row>
    <row r="460" spans="1:11" ht="18" x14ac:dyDescent="0.2">
      <c r="A460" s="122">
        <v>46228</v>
      </c>
      <c r="B460" s="477">
        <v>2083647.9599999997</v>
      </c>
      <c r="C460" s="477">
        <v>20831.13</v>
      </c>
      <c r="D460" s="17"/>
      <c r="E460" s="17"/>
      <c r="F460" s="17"/>
      <c r="G460" s="17"/>
      <c r="H460" s="17"/>
      <c r="I460" s="17"/>
      <c r="J460" s="17"/>
      <c r="K460" s="17"/>
    </row>
    <row r="461" spans="1:11" ht="18" x14ac:dyDescent="0.2">
      <c r="A461" s="121" t="s">
        <v>54</v>
      </c>
      <c r="B461" s="117">
        <v>20148</v>
      </c>
      <c r="C461" s="117">
        <v>200</v>
      </c>
      <c r="D461" s="17"/>
      <c r="E461" s="17"/>
      <c r="F461" s="17"/>
      <c r="G461" s="17"/>
      <c r="H461" s="17"/>
      <c r="I461" s="17"/>
      <c r="J461" s="17"/>
      <c r="K461" s="17"/>
    </row>
    <row r="462" spans="1:11" ht="18" x14ac:dyDescent="0.2">
      <c r="A462" s="121" t="s">
        <v>143</v>
      </c>
      <c r="B462" s="117">
        <v>1194000</v>
      </c>
      <c r="C462" s="117">
        <v>12000</v>
      </c>
      <c r="D462" s="17"/>
      <c r="E462" s="17"/>
      <c r="F462" s="17"/>
      <c r="G462" s="17"/>
      <c r="H462" s="17"/>
      <c r="I462" s="17"/>
      <c r="J462" s="17"/>
      <c r="K462" s="17"/>
    </row>
    <row r="463" spans="1:11" ht="18" x14ac:dyDescent="0.2">
      <c r="A463" s="121" t="s">
        <v>57</v>
      </c>
      <c r="B463" s="117">
        <v>10074</v>
      </c>
      <c r="C463" s="117">
        <v>100</v>
      </c>
      <c r="D463" s="17"/>
      <c r="E463" s="17"/>
      <c r="F463" s="17"/>
      <c r="G463" s="17"/>
      <c r="H463" s="17"/>
      <c r="I463" s="17"/>
      <c r="J463" s="17"/>
      <c r="K463" s="17"/>
    </row>
    <row r="464" spans="1:11" ht="18" x14ac:dyDescent="0.2">
      <c r="A464" s="121" t="s">
        <v>56</v>
      </c>
      <c r="B464" s="117">
        <v>7302.6399999999994</v>
      </c>
      <c r="C464" s="117">
        <v>72.490000000000009</v>
      </c>
      <c r="D464" s="17"/>
      <c r="E464" s="17"/>
      <c r="F464" s="17"/>
      <c r="G464" s="17"/>
      <c r="H464" s="17"/>
      <c r="I464" s="17"/>
      <c r="J464" s="17"/>
      <c r="K464" s="17"/>
    </row>
    <row r="465" spans="1:11" ht="18" x14ac:dyDescent="0.2">
      <c r="A465" s="121" t="s">
        <v>152</v>
      </c>
      <c r="B465" s="117">
        <v>173400</v>
      </c>
      <c r="C465" s="117">
        <v>1721.26</v>
      </c>
      <c r="D465" s="17"/>
      <c r="E465" s="17"/>
      <c r="F465" s="17"/>
      <c r="G465" s="17"/>
      <c r="H465" s="17"/>
      <c r="I465" s="17"/>
      <c r="J465" s="17"/>
      <c r="K465" s="17"/>
    </row>
    <row r="466" spans="1:11" ht="18" x14ac:dyDescent="0.2">
      <c r="A466" s="121" t="s">
        <v>58</v>
      </c>
      <c r="B466" s="117">
        <v>3000</v>
      </c>
      <c r="C466" s="117">
        <v>29.78</v>
      </c>
      <c r="D466" s="17"/>
      <c r="E466" s="17"/>
      <c r="F466" s="17"/>
      <c r="G466" s="17"/>
      <c r="H466" s="17"/>
      <c r="I466" s="17"/>
      <c r="J466" s="17"/>
      <c r="K466" s="17"/>
    </row>
    <row r="467" spans="1:11" ht="18" x14ac:dyDescent="0.2">
      <c r="A467" s="121" t="s">
        <v>95</v>
      </c>
      <c r="B467" s="117">
        <v>73991.520000000004</v>
      </c>
      <c r="C467" s="117">
        <v>734.48</v>
      </c>
      <c r="D467" s="17"/>
      <c r="E467" s="17"/>
      <c r="F467" s="17"/>
      <c r="G467" s="17"/>
      <c r="H467" s="17"/>
      <c r="I467" s="17"/>
      <c r="J467" s="17"/>
      <c r="K467" s="17"/>
    </row>
    <row r="468" spans="1:11" ht="18" x14ac:dyDescent="0.2">
      <c r="A468" s="121" t="s">
        <v>199</v>
      </c>
      <c r="B468" s="117">
        <v>36266.400000000001</v>
      </c>
      <c r="C468" s="117">
        <v>360</v>
      </c>
      <c r="D468" s="17"/>
      <c r="E468" s="17"/>
      <c r="F468" s="17"/>
      <c r="G468" s="17"/>
      <c r="H468" s="17"/>
      <c r="I468" s="17"/>
      <c r="J468" s="17"/>
      <c r="K468" s="17"/>
    </row>
    <row r="469" spans="1:11" ht="18" x14ac:dyDescent="0.2">
      <c r="A469" s="121" t="s">
        <v>59</v>
      </c>
      <c r="B469" s="117">
        <v>40296</v>
      </c>
      <c r="C469" s="117">
        <v>400</v>
      </c>
      <c r="D469" s="17"/>
      <c r="E469" s="17"/>
      <c r="F469" s="17"/>
      <c r="G469" s="17"/>
      <c r="H469" s="17"/>
      <c r="I469" s="17"/>
      <c r="J469" s="17"/>
      <c r="K469" s="17"/>
    </row>
    <row r="470" spans="1:11" ht="18" x14ac:dyDescent="0.2">
      <c r="A470" s="121" t="s">
        <v>96</v>
      </c>
      <c r="B470" s="117">
        <v>151110</v>
      </c>
      <c r="C470" s="117">
        <v>1500</v>
      </c>
      <c r="D470" s="17"/>
      <c r="E470" s="17"/>
      <c r="F470" s="17"/>
      <c r="G470" s="17"/>
      <c r="H470" s="17"/>
      <c r="I470" s="17"/>
      <c r="J470" s="17"/>
      <c r="K470" s="17"/>
    </row>
    <row r="471" spans="1:11" ht="18" x14ac:dyDescent="0.2">
      <c r="A471" s="121" t="s">
        <v>1483</v>
      </c>
      <c r="B471" s="117">
        <v>60444</v>
      </c>
      <c r="C471" s="117">
        <v>600</v>
      </c>
      <c r="D471" s="17"/>
      <c r="E471" s="17"/>
      <c r="F471" s="17"/>
      <c r="G471" s="17"/>
      <c r="H471" s="17"/>
      <c r="I471" s="17"/>
      <c r="J471" s="17"/>
      <c r="K471" s="17"/>
    </row>
    <row r="472" spans="1:11" ht="18" x14ac:dyDescent="0.2">
      <c r="A472" s="121" t="s">
        <v>2364</v>
      </c>
      <c r="B472" s="117">
        <v>1000</v>
      </c>
      <c r="C472" s="117">
        <v>9.93</v>
      </c>
      <c r="D472" s="17"/>
      <c r="E472" s="17"/>
      <c r="F472" s="17"/>
      <c r="G472" s="17"/>
      <c r="H472" s="17"/>
      <c r="I472" s="17"/>
      <c r="J472" s="17"/>
      <c r="K472" s="17"/>
    </row>
    <row r="473" spans="1:11" ht="18" x14ac:dyDescent="0.2">
      <c r="A473" s="121" t="s">
        <v>2450</v>
      </c>
      <c r="B473" s="117">
        <v>76677.399999999994</v>
      </c>
      <c r="C473" s="117">
        <v>761.14</v>
      </c>
      <c r="D473" s="17"/>
      <c r="E473" s="17"/>
      <c r="F473" s="17"/>
      <c r="G473" s="17"/>
      <c r="H473" s="17"/>
      <c r="I473" s="17"/>
      <c r="J473" s="17"/>
      <c r="K473" s="17"/>
    </row>
    <row r="474" spans="1:11" ht="18" x14ac:dyDescent="0.2">
      <c r="A474" s="121" t="s">
        <v>2570</v>
      </c>
      <c r="B474" s="117">
        <v>201480</v>
      </c>
      <c r="C474" s="117">
        <v>2000</v>
      </c>
      <c r="D474" s="17"/>
      <c r="E474" s="17"/>
      <c r="F474" s="17"/>
      <c r="G474" s="17"/>
      <c r="H474" s="17"/>
      <c r="I474" s="17"/>
      <c r="J474" s="17"/>
      <c r="K474" s="17"/>
    </row>
    <row r="475" spans="1:11" ht="18" x14ac:dyDescent="0.2">
      <c r="A475" s="121" t="s">
        <v>2611</v>
      </c>
      <c r="B475" s="117">
        <v>14458</v>
      </c>
      <c r="C475" s="117">
        <v>143.52000000000001</v>
      </c>
      <c r="D475" s="17"/>
      <c r="E475" s="17"/>
      <c r="F475" s="17"/>
      <c r="G475" s="17"/>
      <c r="H475" s="17"/>
      <c r="I475" s="17"/>
      <c r="J475" s="17"/>
      <c r="K475" s="17"/>
    </row>
    <row r="476" spans="1:11" ht="18" x14ac:dyDescent="0.2">
      <c r="A476" s="121" t="s">
        <v>3083</v>
      </c>
      <c r="B476" s="117">
        <v>20000</v>
      </c>
      <c r="C476" s="117">
        <v>198.53</v>
      </c>
      <c r="D476" s="17"/>
      <c r="E476" s="17"/>
      <c r="F476" s="17"/>
      <c r="G476" s="17"/>
      <c r="H476" s="17"/>
      <c r="I476" s="17"/>
      <c r="J476" s="17"/>
      <c r="K476" s="17"/>
    </row>
    <row r="477" spans="1:11" ht="18" x14ac:dyDescent="0.2">
      <c r="A477" s="122">
        <v>46227</v>
      </c>
      <c r="B477" s="477">
        <v>935452.83</v>
      </c>
      <c r="C477" s="477">
        <v>9285.8100000000013</v>
      </c>
      <c r="D477" s="17"/>
      <c r="E477" s="17"/>
      <c r="F477" s="17"/>
      <c r="G477" s="17"/>
      <c r="H477" s="17"/>
      <c r="I477" s="17"/>
      <c r="J477" s="17"/>
      <c r="K477" s="17"/>
    </row>
    <row r="478" spans="1:11" ht="18" x14ac:dyDescent="0.2">
      <c r="A478" s="121" t="s">
        <v>53</v>
      </c>
      <c r="B478" s="117">
        <v>4734.78</v>
      </c>
      <c r="C478" s="117">
        <v>47</v>
      </c>
      <c r="D478" s="17"/>
      <c r="E478" s="17"/>
      <c r="F478" s="17"/>
      <c r="G478" s="17"/>
      <c r="H478" s="17"/>
      <c r="I478" s="17"/>
      <c r="J478" s="17"/>
      <c r="K478" s="17"/>
    </row>
    <row r="479" spans="1:11" ht="18" x14ac:dyDescent="0.2">
      <c r="A479" s="121" t="s">
        <v>552</v>
      </c>
      <c r="B479" s="117">
        <v>20148</v>
      </c>
      <c r="C479" s="117">
        <v>200</v>
      </c>
      <c r="D479" s="17"/>
      <c r="E479" s="17"/>
      <c r="F479" s="17"/>
      <c r="G479" s="17"/>
      <c r="H479" s="17"/>
      <c r="I479" s="17"/>
      <c r="J479" s="17"/>
      <c r="K479" s="17"/>
    </row>
    <row r="480" spans="1:11" ht="18" x14ac:dyDescent="0.2">
      <c r="A480" s="121" t="s">
        <v>184</v>
      </c>
      <c r="B480" s="117">
        <v>30222</v>
      </c>
      <c r="C480" s="117">
        <v>300</v>
      </c>
      <c r="D480" s="17"/>
      <c r="E480" s="17"/>
      <c r="F480" s="17"/>
      <c r="G480" s="17"/>
      <c r="H480" s="17"/>
      <c r="I480" s="17"/>
      <c r="J480" s="17"/>
      <c r="K480" s="17"/>
    </row>
    <row r="481" spans="1:11" ht="18" x14ac:dyDescent="0.2">
      <c r="A481" s="121" t="s">
        <v>152</v>
      </c>
      <c r="B481" s="117">
        <v>194768.08</v>
      </c>
      <c r="C481" s="117">
        <v>1933.37</v>
      </c>
      <c r="D481" s="17"/>
      <c r="E481" s="17"/>
      <c r="F481" s="17"/>
      <c r="G481" s="17"/>
      <c r="H481" s="17"/>
      <c r="I481" s="17"/>
      <c r="J481" s="17"/>
      <c r="K481" s="17"/>
    </row>
    <row r="482" spans="1:11" ht="18" x14ac:dyDescent="0.2">
      <c r="A482" s="121" t="s">
        <v>58</v>
      </c>
      <c r="B482" s="117">
        <v>1500</v>
      </c>
      <c r="C482" s="117">
        <v>14.89</v>
      </c>
      <c r="D482" s="17"/>
      <c r="E482" s="17"/>
      <c r="F482" s="17"/>
      <c r="G482" s="17"/>
      <c r="H482" s="17"/>
      <c r="I482" s="17"/>
      <c r="J482" s="17"/>
      <c r="K482" s="17"/>
    </row>
    <row r="483" spans="1:11" ht="18" x14ac:dyDescent="0.2">
      <c r="A483" s="121" t="s">
        <v>95</v>
      </c>
      <c r="B483" s="117">
        <v>100956.59</v>
      </c>
      <c r="C483" s="117">
        <v>1002.15</v>
      </c>
      <c r="D483" s="17"/>
      <c r="E483" s="17"/>
      <c r="F483" s="17"/>
      <c r="G483" s="17"/>
      <c r="H483" s="17"/>
      <c r="I483" s="17"/>
      <c r="J483" s="17"/>
      <c r="K483" s="17"/>
    </row>
    <row r="484" spans="1:11" ht="18" x14ac:dyDescent="0.2">
      <c r="A484" s="121" t="s">
        <v>59</v>
      </c>
      <c r="B484" s="117">
        <v>40296</v>
      </c>
      <c r="C484" s="117">
        <v>400</v>
      </c>
      <c r="D484" s="17"/>
      <c r="E484" s="17"/>
      <c r="F484" s="17"/>
      <c r="G484" s="17"/>
      <c r="H484" s="17"/>
      <c r="I484" s="17"/>
      <c r="J484" s="17"/>
      <c r="K484" s="17"/>
    </row>
    <row r="485" spans="1:11" ht="18" x14ac:dyDescent="0.2">
      <c r="A485" s="121" t="s">
        <v>96</v>
      </c>
      <c r="B485" s="117">
        <v>201480</v>
      </c>
      <c r="C485" s="117">
        <v>2000</v>
      </c>
      <c r="D485" s="17"/>
      <c r="E485" s="17"/>
      <c r="F485" s="17"/>
      <c r="G485" s="17"/>
      <c r="H485" s="17"/>
      <c r="I485" s="17"/>
      <c r="J485" s="17"/>
      <c r="K485" s="17"/>
    </row>
    <row r="486" spans="1:11" ht="18" x14ac:dyDescent="0.2">
      <c r="A486" s="121" t="s">
        <v>714</v>
      </c>
      <c r="B486" s="117">
        <v>16501.21</v>
      </c>
      <c r="C486" s="117">
        <v>163.80000000000001</v>
      </c>
      <c r="D486" s="17"/>
      <c r="E486" s="17"/>
      <c r="F486" s="17"/>
      <c r="G486" s="17"/>
      <c r="H486" s="17"/>
      <c r="I486" s="17"/>
      <c r="J486" s="17"/>
      <c r="K486" s="17"/>
    </row>
    <row r="487" spans="1:11" ht="18" x14ac:dyDescent="0.2">
      <c r="A487" s="121" t="s">
        <v>901</v>
      </c>
      <c r="B487" s="117">
        <v>201480</v>
      </c>
      <c r="C487" s="117">
        <v>2000</v>
      </c>
      <c r="D487" s="17"/>
      <c r="E487" s="17"/>
      <c r="F487" s="17"/>
      <c r="G487" s="17"/>
      <c r="H487" s="17"/>
      <c r="I487" s="17"/>
      <c r="J487" s="17"/>
      <c r="K487" s="17"/>
    </row>
    <row r="488" spans="1:11" ht="18" x14ac:dyDescent="0.2">
      <c r="A488" s="121" t="s">
        <v>2364</v>
      </c>
      <c r="B488" s="117">
        <v>3800</v>
      </c>
      <c r="C488" s="117">
        <v>37.72</v>
      </c>
      <c r="D488" s="17"/>
      <c r="E488" s="17"/>
      <c r="F488" s="17"/>
      <c r="G488" s="17"/>
      <c r="H488" s="17"/>
      <c r="I488" s="17"/>
      <c r="J488" s="17"/>
      <c r="K488" s="17"/>
    </row>
    <row r="489" spans="1:11" ht="18" x14ac:dyDescent="0.2">
      <c r="A489" s="121" t="s">
        <v>2450</v>
      </c>
      <c r="B489" s="117">
        <v>43580</v>
      </c>
      <c r="C489" s="117">
        <v>432.6</v>
      </c>
      <c r="D489" s="17"/>
      <c r="E489" s="17"/>
      <c r="F489" s="17"/>
      <c r="G489" s="17"/>
      <c r="H489" s="17"/>
      <c r="I489" s="17"/>
      <c r="J489" s="17"/>
      <c r="K489" s="17"/>
    </row>
    <row r="490" spans="1:11" ht="18" x14ac:dyDescent="0.2">
      <c r="A490" s="121" t="s">
        <v>2570</v>
      </c>
      <c r="B490" s="117">
        <v>60444</v>
      </c>
      <c r="C490" s="117">
        <v>600</v>
      </c>
      <c r="D490" s="17"/>
      <c r="E490" s="17"/>
      <c r="F490" s="17"/>
      <c r="G490" s="17"/>
      <c r="H490" s="17"/>
      <c r="I490" s="17"/>
      <c r="J490" s="17"/>
      <c r="K490" s="17"/>
    </row>
    <row r="491" spans="1:11" ht="18" x14ac:dyDescent="0.2">
      <c r="A491" s="121" t="s">
        <v>2611</v>
      </c>
      <c r="B491" s="117">
        <v>15542.17</v>
      </c>
      <c r="C491" s="117">
        <v>154.28</v>
      </c>
      <c r="D491" s="17"/>
      <c r="E491" s="17"/>
      <c r="F491" s="17"/>
      <c r="G491" s="17"/>
      <c r="H491" s="17"/>
      <c r="I491" s="17"/>
      <c r="J491" s="17"/>
      <c r="K491" s="17"/>
    </row>
    <row r="492" spans="1:11" ht="18" x14ac:dyDescent="0.2">
      <c r="A492" s="122">
        <v>46226</v>
      </c>
      <c r="B492" s="477">
        <v>3047900.86</v>
      </c>
      <c r="C492" s="477">
        <v>30550.54</v>
      </c>
      <c r="D492" s="17"/>
      <c r="E492" s="17"/>
      <c r="F492" s="17"/>
      <c r="G492" s="17"/>
      <c r="H492" s="17"/>
      <c r="I492" s="17"/>
      <c r="J492" s="17"/>
      <c r="K492" s="17"/>
    </row>
    <row r="493" spans="1:11" ht="18" x14ac:dyDescent="0.2">
      <c r="A493" s="121" t="s">
        <v>552</v>
      </c>
      <c r="B493" s="117">
        <v>30222</v>
      </c>
      <c r="C493" s="117">
        <v>300</v>
      </c>
      <c r="D493" s="17"/>
      <c r="E493" s="17"/>
      <c r="F493" s="17"/>
      <c r="G493" s="17"/>
      <c r="H493" s="17"/>
      <c r="I493" s="17"/>
      <c r="J493" s="17"/>
      <c r="K493" s="17"/>
    </row>
    <row r="494" spans="1:11" ht="18" x14ac:dyDescent="0.2">
      <c r="A494" s="121" t="s">
        <v>143</v>
      </c>
      <c r="B494" s="117">
        <v>1194000</v>
      </c>
      <c r="C494" s="117">
        <v>12000</v>
      </c>
      <c r="D494" s="17"/>
      <c r="E494" s="17"/>
      <c r="F494" s="17"/>
      <c r="G494" s="17"/>
      <c r="H494" s="17"/>
      <c r="I494" s="17"/>
      <c r="J494" s="17"/>
      <c r="K494" s="17"/>
    </row>
    <row r="495" spans="1:11" ht="18" x14ac:dyDescent="0.2">
      <c r="A495" s="121" t="s">
        <v>56</v>
      </c>
      <c r="B495" s="117">
        <v>8876.2000000000007</v>
      </c>
      <c r="C495" s="117">
        <v>88.11</v>
      </c>
      <c r="D495" s="17"/>
      <c r="E495" s="17"/>
      <c r="F495" s="17"/>
      <c r="G495" s="17"/>
      <c r="H495" s="17"/>
      <c r="I495" s="17"/>
      <c r="J495" s="17"/>
      <c r="K495" s="17"/>
    </row>
    <row r="496" spans="1:11" ht="18" x14ac:dyDescent="0.2">
      <c r="A496" s="121" t="s">
        <v>152</v>
      </c>
      <c r="B496" s="117">
        <v>189469.56</v>
      </c>
      <c r="C496" s="117">
        <v>1880.78</v>
      </c>
      <c r="D496" s="17"/>
      <c r="E496" s="17"/>
      <c r="F496" s="17"/>
      <c r="G496" s="17"/>
      <c r="H496" s="17"/>
      <c r="I496" s="17"/>
      <c r="J496" s="17"/>
      <c r="K496" s="17"/>
    </row>
    <row r="497" spans="1:11" ht="18" x14ac:dyDescent="0.2">
      <c r="A497" s="121" t="s">
        <v>58</v>
      </c>
      <c r="B497" s="117">
        <v>61300</v>
      </c>
      <c r="C497" s="117">
        <v>608.5</v>
      </c>
      <c r="D497" s="17"/>
      <c r="E497" s="17"/>
      <c r="F497" s="17"/>
      <c r="G497" s="17"/>
      <c r="H497" s="17"/>
      <c r="I497" s="17"/>
      <c r="J497" s="17"/>
      <c r="K497" s="17"/>
    </row>
    <row r="498" spans="1:11" ht="18" x14ac:dyDescent="0.2">
      <c r="A498" s="121" t="s">
        <v>95</v>
      </c>
      <c r="B498" s="117">
        <v>56526.22</v>
      </c>
      <c r="C498" s="117">
        <v>561.11</v>
      </c>
      <c r="D498" s="17"/>
      <c r="E498" s="17"/>
      <c r="F498" s="17"/>
      <c r="G498" s="17"/>
      <c r="H498" s="17"/>
      <c r="I498" s="17"/>
      <c r="J498" s="17"/>
      <c r="K498" s="17"/>
    </row>
    <row r="499" spans="1:11" ht="18" x14ac:dyDescent="0.2">
      <c r="A499" s="121" t="s">
        <v>199</v>
      </c>
      <c r="B499" s="117">
        <v>35643.82</v>
      </c>
      <c r="C499" s="117">
        <v>353.82</v>
      </c>
      <c r="D499" s="17"/>
      <c r="E499" s="17"/>
      <c r="F499" s="17"/>
      <c r="G499" s="17"/>
      <c r="H499" s="17"/>
      <c r="I499" s="17"/>
      <c r="J499" s="17"/>
      <c r="K499" s="17"/>
    </row>
    <row r="500" spans="1:11" ht="18" x14ac:dyDescent="0.2">
      <c r="A500" s="121" t="s">
        <v>52</v>
      </c>
      <c r="B500" s="117">
        <v>1194000</v>
      </c>
      <c r="C500" s="117">
        <v>12000</v>
      </c>
      <c r="D500" s="17"/>
      <c r="E500" s="17"/>
      <c r="F500" s="17"/>
      <c r="G500" s="17"/>
      <c r="H500" s="17"/>
      <c r="I500" s="17"/>
      <c r="J500" s="17"/>
      <c r="K500" s="17"/>
    </row>
    <row r="501" spans="1:11" ht="18" x14ac:dyDescent="0.2">
      <c r="A501" s="121" t="s">
        <v>901</v>
      </c>
      <c r="B501" s="117">
        <v>4420.47</v>
      </c>
      <c r="C501" s="117">
        <v>43.88</v>
      </c>
      <c r="D501" s="17"/>
      <c r="E501" s="17"/>
      <c r="F501" s="17"/>
      <c r="G501" s="17"/>
      <c r="H501" s="17"/>
      <c r="I501" s="17"/>
      <c r="J501" s="17"/>
      <c r="K501" s="17"/>
    </row>
    <row r="502" spans="1:11" ht="18" x14ac:dyDescent="0.2">
      <c r="A502" s="121" t="s">
        <v>2450</v>
      </c>
      <c r="B502" s="117">
        <v>51871</v>
      </c>
      <c r="C502" s="117">
        <v>514.9</v>
      </c>
      <c r="D502" s="17"/>
      <c r="E502" s="17"/>
      <c r="F502" s="17"/>
      <c r="G502" s="17"/>
      <c r="H502" s="17"/>
      <c r="I502" s="17"/>
      <c r="J502" s="17"/>
      <c r="K502" s="17"/>
    </row>
    <row r="503" spans="1:11" ht="18" x14ac:dyDescent="0.2">
      <c r="A503" s="121" t="s">
        <v>2570</v>
      </c>
      <c r="B503" s="117">
        <v>216591</v>
      </c>
      <c r="C503" s="117">
        <v>2150</v>
      </c>
      <c r="D503" s="17"/>
      <c r="E503" s="17"/>
      <c r="F503" s="17"/>
      <c r="G503" s="17"/>
      <c r="H503" s="17"/>
      <c r="I503" s="17"/>
      <c r="J503" s="17"/>
      <c r="K503" s="17"/>
    </row>
    <row r="504" spans="1:11" ht="18" x14ac:dyDescent="0.2">
      <c r="A504" s="121" t="s">
        <v>2611</v>
      </c>
      <c r="B504" s="117">
        <v>4980.59</v>
      </c>
      <c r="C504" s="117">
        <v>49.44</v>
      </c>
      <c r="D504" s="17"/>
      <c r="E504" s="17"/>
      <c r="F504" s="17"/>
      <c r="G504" s="17"/>
      <c r="H504" s="17"/>
      <c r="I504" s="17"/>
      <c r="J504" s="17"/>
      <c r="K504" s="17"/>
    </row>
    <row r="505" spans="1:11" ht="18" x14ac:dyDescent="0.2">
      <c r="A505" s="122">
        <v>46225</v>
      </c>
      <c r="B505" s="477">
        <v>979066.44999999984</v>
      </c>
      <c r="C505" s="477">
        <v>9718.7400000000016</v>
      </c>
      <c r="D505" s="17"/>
      <c r="E505" s="17"/>
      <c r="F505" s="17"/>
      <c r="G505" s="17"/>
      <c r="H505" s="17"/>
      <c r="I505" s="17"/>
      <c r="J505" s="17"/>
      <c r="K505" s="17"/>
    </row>
    <row r="506" spans="1:11" ht="18" x14ac:dyDescent="0.2">
      <c r="A506" s="121" t="s">
        <v>54</v>
      </c>
      <c r="B506" s="117">
        <v>10074</v>
      </c>
      <c r="C506" s="117">
        <v>100</v>
      </c>
      <c r="D506" s="17"/>
      <c r="E506" s="17"/>
      <c r="F506" s="17"/>
      <c r="G506" s="17"/>
      <c r="H506" s="17"/>
      <c r="I506" s="17"/>
      <c r="J506" s="17"/>
      <c r="K506" s="17"/>
    </row>
    <row r="507" spans="1:11" ht="18" x14ac:dyDescent="0.2">
      <c r="A507" s="121" t="s">
        <v>552</v>
      </c>
      <c r="B507" s="117">
        <v>10074</v>
      </c>
      <c r="C507" s="117">
        <v>100</v>
      </c>
      <c r="D507" s="17"/>
      <c r="E507" s="17"/>
      <c r="F507" s="17"/>
      <c r="G507" s="17"/>
      <c r="H507" s="17"/>
      <c r="I507" s="17"/>
      <c r="J507" s="17"/>
      <c r="K507" s="17"/>
    </row>
    <row r="508" spans="1:11" ht="18" x14ac:dyDescent="0.2">
      <c r="A508" s="121" t="s">
        <v>56</v>
      </c>
      <c r="B508" s="117">
        <v>4518.18</v>
      </c>
      <c r="C508" s="117">
        <v>44.85</v>
      </c>
      <c r="D508" s="17"/>
      <c r="E508" s="17"/>
      <c r="F508" s="17"/>
      <c r="G508" s="17"/>
      <c r="H508" s="17"/>
      <c r="I508" s="17"/>
      <c r="J508" s="17"/>
      <c r="K508" s="17"/>
    </row>
    <row r="509" spans="1:11" ht="18" x14ac:dyDescent="0.2">
      <c r="A509" s="121" t="s">
        <v>257</v>
      </c>
      <c r="B509" s="117">
        <v>2000</v>
      </c>
      <c r="C509" s="117">
        <v>19.850000000000001</v>
      </c>
      <c r="D509" s="17"/>
      <c r="E509" s="17"/>
      <c r="F509" s="17"/>
      <c r="G509" s="17"/>
      <c r="H509" s="17"/>
      <c r="I509" s="17"/>
      <c r="J509" s="17"/>
      <c r="K509" s="17"/>
    </row>
    <row r="510" spans="1:11" ht="18" x14ac:dyDescent="0.2">
      <c r="A510" s="121" t="s">
        <v>152</v>
      </c>
      <c r="B510" s="117">
        <v>163935.32</v>
      </c>
      <c r="C510" s="117">
        <v>1627.31</v>
      </c>
      <c r="D510" s="17"/>
      <c r="E510" s="17"/>
      <c r="F510" s="17"/>
      <c r="G510" s="17"/>
      <c r="H510" s="17"/>
      <c r="I510" s="17"/>
      <c r="J510" s="17"/>
      <c r="K510" s="17"/>
    </row>
    <row r="511" spans="1:11" ht="18" x14ac:dyDescent="0.2">
      <c r="A511" s="121" t="s">
        <v>58</v>
      </c>
      <c r="B511" s="117">
        <v>151400</v>
      </c>
      <c r="C511" s="117">
        <v>1502.88</v>
      </c>
      <c r="D511" s="17"/>
      <c r="E511" s="17"/>
      <c r="F511" s="17"/>
      <c r="G511" s="17"/>
      <c r="H511" s="17"/>
      <c r="I511" s="17"/>
      <c r="J511" s="17"/>
      <c r="K511" s="17"/>
    </row>
    <row r="512" spans="1:11" ht="18" x14ac:dyDescent="0.2">
      <c r="A512" s="121" t="s">
        <v>95</v>
      </c>
      <c r="B512" s="117">
        <v>134205.82999999999</v>
      </c>
      <c r="C512" s="117">
        <v>1332.2</v>
      </c>
      <c r="D512" s="17"/>
      <c r="E512" s="17"/>
      <c r="F512" s="17"/>
      <c r="G512" s="17"/>
      <c r="H512" s="17"/>
      <c r="I512" s="17"/>
      <c r="J512" s="17"/>
      <c r="K512" s="17"/>
    </row>
    <row r="513" spans="1:11" ht="18" x14ac:dyDescent="0.2">
      <c r="A513" s="121" t="s">
        <v>199</v>
      </c>
      <c r="B513" s="117">
        <v>61532.990000000005</v>
      </c>
      <c r="C513" s="117">
        <v>610.80999999999995</v>
      </c>
      <c r="D513" s="17"/>
      <c r="E513" s="17"/>
      <c r="F513" s="17"/>
      <c r="G513" s="17"/>
      <c r="H513" s="17"/>
      <c r="I513" s="17"/>
      <c r="J513" s="17"/>
      <c r="K513" s="17"/>
    </row>
    <row r="514" spans="1:11" ht="18" x14ac:dyDescent="0.2">
      <c r="A514" s="121" t="s">
        <v>59</v>
      </c>
      <c r="B514" s="117">
        <v>20148</v>
      </c>
      <c r="C514" s="117">
        <v>200</v>
      </c>
      <c r="D514" s="17"/>
      <c r="E514" s="17"/>
      <c r="F514" s="17"/>
      <c r="G514" s="17"/>
      <c r="H514" s="17"/>
      <c r="I514" s="17"/>
      <c r="J514" s="17"/>
      <c r="K514" s="17"/>
    </row>
    <row r="515" spans="1:11" ht="18" x14ac:dyDescent="0.2">
      <c r="A515" s="121" t="s">
        <v>714</v>
      </c>
      <c r="B515" s="117">
        <v>9131.07</v>
      </c>
      <c r="C515" s="117">
        <v>90.64</v>
      </c>
      <c r="D515" s="17"/>
      <c r="E515" s="17"/>
      <c r="F515" s="17"/>
      <c r="G515" s="17"/>
      <c r="H515" s="17"/>
      <c r="I515" s="17"/>
      <c r="J515" s="17"/>
      <c r="K515" s="17"/>
    </row>
    <row r="516" spans="1:11" ht="18" x14ac:dyDescent="0.2">
      <c r="A516" s="121" t="s">
        <v>1073</v>
      </c>
      <c r="B516" s="117">
        <v>302220</v>
      </c>
      <c r="C516" s="117">
        <v>3000</v>
      </c>
      <c r="D516" s="17"/>
      <c r="E516" s="17"/>
      <c r="F516" s="17"/>
      <c r="G516" s="17"/>
      <c r="H516" s="17"/>
      <c r="I516" s="17"/>
      <c r="J516" s="17"/>
      <c r="K516" s="17"/>
    </row>
    <row r="517" spans="1:11" ht="18" x14ac:dyDescent="0.2">
      <c r="A517" s="121" t="s">
        <v>2450</v>
      </c>
      <c r="B517" s="117">
        <v>49474.73</v>
      </c>
      <c r="C517" s="117">
        <v>491.11</v>
      </c>
      <c r="D517" s="17"/>
      <c r="E517" s="17"/>
      <c r="F517" s="17"/>
      <c r="G517" s="17"/>
      <c r="H517" s="17"/>
      <c r="I517" s="17"/>
      <c r="J517" s="17"/>
      <c r="K517" s="17"/>
    </row>
    <row r="518" spans="1:11" ht="18" x14ac:dyDescent="0.2">
      <c r="A518" s="121" t="s">
        <v>2570</v>
      </c>
      <c r="B518" s="117">
        <v>45333</v>
      </c>
      <c r="C518" s="117">
        <v>450</v>
      </c>
      <c r="D518" s="17"/>
      <c r="E518" s="17"/>
      <c r="F518" s="17"/>
      <c r="G518" s="17"/>
      <c r="H518" s="17"/>
      <c r="I518" s="17"/>
      <c r="J518" s="17"/>
      <c r="K518" s="17"/>
    </row>
    <row r="519" spans="1:11" ht="18" x14ac:dyDescent="0.2">
      <c r="A519" s="121" t="s">
        <v>2611</v>
      </c>
      <c r="B519" s="117">
        <v>15019.33</v>
      </c>
      <c r="C519" s="117">
        <v>149.09</v>
      </c>
      <c r="D519" s="17"/>
      <c r="E519" s="17"/>
      <c r="F519" s="17"/>
      <c r="G519" s="17"/>
      <c r="H519" s="17"/>
      <c r="I519" s="17"/>
      <c r="J519" s="17"/>
      <c r="K519" s="17"/>
    </row>
    <row r="520" spans="1:11" ht="18" x14ac:dyDescent="0.2">
      <c r="A520" s="122">
        <v>46224</v>
      </c>
      <c r="B520" s="477">
        <v>3811048.63</v>
      </c>
      <c r="C520" s="477">
        <v>38199.800000000003</v>
      </c>
      <c r="D520" s="17"/>
      <c r="E520" s="17"/>
      <c r="F520" s="17"/>
      <c r="G520" s="17"/>
      <c r="H520" s="17"/>
      <c r="I520" s="17"/>
      <c r="J520" s="17"/>
      <c r="K520" s="17"/>
    </row>
    <row r="521" spans="1:11" ht="18" x14ac:dyDescent="0.2">
      <c r="A521" s="121" t="s">
        <v>54</v>
      </c>
      <c r="B521" s="117">
        <v>4747.87</v>
      </c>
      <c r="C521" s="117">
        <v>47.13</v>
      </c>
      <c r="D521" s="17"/>
      <c r="E521" s="17"/>
      <c r="F521" s="17"/>
      <c r="G521" s="17"/>
      <c r="H521" s="17"/>
      <c r="I521" s="17"/>
      <c r="J521" s="17"/>
      <c r="K521" s="17"/>
    </row>
    <row r="522" spans="1:11" ht="18" x14ac:dyDescent="0.2">
      <c r="A522" s="121" t="s">
        <v>257</v>
      </c>
      <c r="B522" s="117">
        <v>5050.09</v>
      </c>
      <c r="C522" s="117">
        <v>50.13</v>
      </c>
      <c r="D522" s="17"/>
      <c r="E522" s="17"/>
      <c r="F522" s="17"/>
      <c r="G522" s="17"/>
      <c r="H522" s="17"/>
      <c r="I522" s="17"/>
      <c r="J522" s="17"/>
      <c r="K522" s="17"/>
    </row>
    <row r="523" spans="1:11" ht="18" x14ac:dyDescent="0.2">
      <c r="A523" s="121" t="s">
        <v>152</v>
      </c>
      <c r="B523" s="117">
        <v>88747.26</v>
      </c>
      <c r="C523" s="117">
        <v>880.95</v>
      </c>
      <c r="D523" s="17"/>
      <c r="E523" s="17"/>
      <c r="F523" s="17"/>
      <c r="G523" s="17"/>
      <c r="H523" s="17"/>
      <c r="I523" s="17"/>
      <c r="J523" s="17"/>
      <c r="K523" s="17"/>
    </row>
    <row r="524" spans="1:11" ht="18" x14ac:dyDescent="0.2">
      <c r="A524" s="121" t="s">
        <v>58</v>
      </c>
      <c r="B524" s="117">
        <v>214400</v>
      </c>
      <c r="C524" s="117">
        <v>2128.25</v>
      </c>
      <c r="D524" s="17"/>
      <c r="E524" s="17"/>
      <c r="F524" s="17"/>
      <c r="G524" s="17"/>
      <c r="H524" s="17"/>
      <c r="I524" s="17"/>
      <c r="J524" s="17"/>
      <c r="K524" s="17"/>
    </row>
    <row r="525" spans="1:11" ht="18" x14ac:dyDescent="0.2">
      <c r="A525" s="121" t="s">
        <v>95</v>
      </c>
      <c r="B525" s="117">
        <v>71254.41</v>
      </c>
      <c r="C525" s="117">
        <v>707.31</v>
      </c>
      <c r="D525" s="17"/>
      <c r="E525" s="17"/>
      <c r="F525" s="17"/>
      <c r="G525" s="17"/>
      <c r="H525" s="17"/>
      <c r="I525" s="17"/>
      <c r="J525" s="17"/>
      <c r="K525" s="17"/>
    </row>
    <row r="526" spans="1:11" ht="18" x14ac:dyDescent="0.2">
      <c r="A526" s="121" t="s">
        <v>51</v>
      </c>
      <c r="B526" s="117">
        <v>1791000</v>
      </c>
      <c r="C526" s="117">
        <v>18000</v>
      </c>
      <c r="D526" s="17"/>
      <c r="E526" s="17"/>
      <c r="F526" s="17"/>
      <c r="G526" s="17"/>
      <c r="H526" s="17"/>
      <c r="I526" s="17"/>
      <c r="J526" s="17"/>
      <c r="K526" s="17"/>
    </row>
    <row r="527" spans="1:11" ht="18" x14ac:dyDescent="0.2">
      <c r="A527" s="121" t="s">
        <v>59</v>
      </c>
      <c r="B527" s="117">
        <v>40296</v>
      </c>
      <c r="C527" s="117">
        <v>400</v>
      </c>
      <c r="D527" s="17"/>
      <c r="E527" s="17"/>
      <c r="F527" s="17"/>
      <c r="G527" s="17"/>
      <c r="H527" s="17"/>
      <c r="I527" s="17"/>
      <c r="J527" s="17"/>
      <c r="K527" s="17"/>
    </row>
    <row r="528" spans="1:11" ht="18" x14ac:dyDescent="0.2">
      <c r="A528" s="121" t="s">
        <v>52</v>
      </c>
      <c r="B528" s="117">
        <v>1194000</v>
      </c>
      <c r="C528" s="117">
        <v>12000</v>
      </c>
      <c r="D528" s="17"/>
      <c r="E528" s="17"/>
      <c r="F528" s="17"/>
      <c r="G528" s="17"/>
      <c r="H528" s="17"/>
      <c r="I528" s="17"/>
      <c r="J528" s="17"/>
      <c r="K528" s="17"/>
    </row>
    <row r="529" spans="1:11" ht="18" x14ac:dyDescent="0.2">
      <c r="A529" s="121" t="s">
        <v>714</v>
      </c>
      <c r="B529" s="117">
        <v>2000</v>
      </c>
      <c r="C529" s="117">
        <v>19.850000000000001</v>
      </c>
      <c r="D529" s="17"/>
      <c r="E529" s="17"/>
      <c r="F529" s="17"/>
      <c r="G529" s="17"/>
      <c r="H529" s="17"/>
      <c r="I529" s="17"/>
      <c r="J529" s="17"/>
      <c r="K529" s="17"/>
    </row>
    <row r="530" spans="1:11" ht="18" x14ac:dyDescent="0.2">
      <c r="A530" s="121" t="s">
        <v>1073</v>
      </c>
      <c r="B530" s="117">
        <v>302220</v>
      </c>
      <c r="C530" s="117">
        <v>3000</v>
      </c>
      <c r="D530" s="17"/>
      <c r="E530" s="17"/>
      <c r="F530" s="17"/>
      <c r="G530" s="17"/>
      <c r="H530" s="17"/>
      <c r="I530" s="17"/>
      <c r="J530" s="17"/>
      <c r="K530" s="17"/>
    </row>
    <row r="531" spans="1:11" ht="18" x14ac:dyDescent="0.2">
      <c r="A531" s="121" t="s">
        <v>2364</v>
      </c>
      <c r="B531" s="117">
        <v>4170</v>
      </c>
      <c r="C531" s="117">
        <v>41.39</v>
      </c>
      <c r="D531" s="17"/>
      <c r="E531" s="17"/>
      <c r="F531" s="17"/>
      <c r="G531" s="17"/>
      <c r="H531" s="17"/>
      <c r="I531" s="17"/>
      <c r="J531" s="17"/>
      <c r="K531" s="17"/>
    </row>
    <row r="532" spans="1:11" ht="18" x14ac:dyDescent="0.2">
      <c r="A532" s="121" t="s">
        <v>2450</v>
      </c>
      <c r="B532" s="117">
        <v>32867</v>
      </c>
      <c r="C532" s="117">
        <v>326.26</v>
      </c>
      <c r="D532" s="17"/>
      <c r="E532" s="17"/>
      <c r="F532" s="17"/>
      <c r="G532" s="17"/>
      <c r="H532" s="17"/>
      <c r="I532" s="17"/>
      <c r="J532" s="17"/>
      <c r="K532" s="17"/>
    </row>
    <row r="533" spans="1:11" ht="18" x14ac:dyDescent="0.2">
      <c r="A533" s="121" t="s">
        <v>2570</v>
      </c>
      <c r="B533" s="117">
        <v>40296</v>
      </c>
      <c r="C533" s="117">
        <v>400</v>
      </c>
      <c r="D533" s="17"/>
      <c r="E533" s="17"/>
      <c r="F533" s="17"/>
      <c r="G533" s="17"/>
      <c r="H533" s="17"/>
      <c r="I533" s="17"/>
      <c r="J533" s="17"/>
      <c r="K533" s="17"/>
    </row>
    <row r="534" spans="1:11" ht="18" x14ac:dyDescent="0.2">
      <c r="A534" s="121" t="s">
        <v>2611</v>
      </c>
      <c r="B534" s="117">
        <v>20000</v>
      </c>
      <c r="C534" s="117">
        <v>198.53</v>
      </c>
      <c r="D534" s="17"/>
      <c r="E534" s="17"/>
      <c r="F534" s="17"/>
      <c r="G534" s="17"/>
      <c r="H534" s="17"/>
      <c r="I534" s="17"/>
      <c r="J534" s="17"/>
      <c r="K534" s="17"/>
    </row>
    <row r="535" spans="1:11" ht="18" x14ac:dyDescent="0.2">
      <c r="A535" s="122">
        <v>46223</v>
      </c>
      <c r="B535" s="477">
        <v>2194363.66</v>
      </c>
      <c r="C535" s="477">
        <v>21930.149999999998</v>
      </c>
      <c r="D535" s="17"/>
      <c r="E535" s="17"/>
      <c r="F535" s="17"/>
      <c r="G535" s="17"/>
      <c r="H535" s="17"/>
      <c r="I535" s="17"/>
      <c r="J535" s="17"/>
      <c r="K535" s="17"/>
    </row>
    <row r="536" spans="1:11" ht="18" x14ac:dyDescent="0.2">
      <c r="A536" s="121" t="s">
        <v>552</v>
      </c>
      <c r="B536" s="117">
        <v>10074</v>
      </c>
      <c r="C536" s="117">
        <v>100</v>
      </c>
      <c r="D536" s="17"/>
      <c r="E536" s="17"/>
      <c r="F536" s="17"/>
      <c r="G536" s="17"/>
      <c r="H536" s="17"/>
      <c r="I536" s="17"/>
      <c r="J536" s="17"/>
      <c r="K536" s="17"/>
    </row>
    <row r="537" spans="1:11" ht="18" x14ac:dyDescent="0.2">
      <c r="A537" s="121" t="s">
        <v>143</v>
      </c>
      <c r="B537" s="117">
        <v>1194000</v>
      </c>
      <c r="C537" s="117">
        <v>12000</v>
      </c>
      <c r="D537" s="17"/>
      <c r="E537" s="17"/>
      <c r="F537" s="17"/>
      <c r="G537" s="17"/>
      <c r="H537" s="17"/>
      <c r="I537" s="17"/>
      <c r="J537" s="17"/>
      <c r="K537" s="17"/>
    </row>
    <row r="538" spans="1:11" ht="18" x14ac:dyDescent="0.2">
      <c r="A538" s="121" t="s">
        <v>56</v>
      </c>
      <c r="B538" s="117">
        <v>3022.2</v>
      </c>
      <c r="C538" s="117">
        <v>30</v>
      </c>
      <c r="D538" s="17"/>
      <c r="E538" s="17"/>
      <c r="F538" s="17"/>
      <c r="G538" s="17"/>
      <c r="H538" s="17"/>
      <c r="I538" s="17"/>
      <c r="J538" s="17"/>
      <c r="K538" s="17"/>
    </row>
    <row r="539" spans="1:11" ht="18" x14ac:dyDescent="0.2">
      <c r="A539" s="121" t="s">
        <v>152</v>
      </c>
      <c r="B539" s="117">
        <v>57422.2</v>
      </c>
      <c r="C539" s="117">
        <v>570</v>
      </c>
      <c r="D539" s="17"/>
      <c r="E539" s="17"/>
      <c r="F539" s="17"/>
      <c r="G539" s="17"/>
      <c r="H539" s="17"/>
      <c r="I539" s="17"/>
      <c r="J539" s="17"/>
      <c r="K539" s="17"/>
    </row>
    <row r="540" spans="1:11" ht="18" x14ac:dyDescent="0.2">
      <c r="A540" s="121" t="s">
        <v>58</v>
      </c>
      <c r="B540" s="117">
        <v>151422.20000000001</v>
      </c>
      <c r="C540" s="117">
        <v>1503.1</v>
      </c>
      <c r="D540" s="17"/>
      <c r="E540" s="17"/>
      <c r="F540" s="17"/>
      <c r="G540" s="17"/>
      <c r="H540" s="17"/>
      <c r="I540" s="17"/>
      <c r="J540" s="17"/>
      <c r="K540" s="17"/>
    </row>
    <row r="541" spans="1:11" ht="18" x14ac:dyDescent="0.2">
      <c r="A541" s="121" t="s">
        <v>95</v>
      </c>
      <c r="B541" s="117">
        <v>74585.88</v>
      </c>
      <c r="C541" s="117">
        <v>740.38</v>
      </c>
      <c r="D541" s="17"/>
      <c r="E541" s="17"/>
      <c r="F541" s="17"/>
      <c r="G541" s="17"/>
      <c r="H541" s="17"/>
      <c r="I541" s="17"/>
      <c r="J541" s="17"/>
      <c r="K541" s="17"/>
    </row>
    <row r="542" spans="1:11" ht="18" x14ac:dyDescent="0.2">
      <c r="A542" s="121" t="s">
        <v>217</v>
      </c>
      <c r="B542" s="117">
        <v>2014.8</v>
      </c>
      <c r="C542" s="117">
        <v>20</v>
      </c>
      <c r="D542" s="17"/>
      <c r="E542" s="17"/>
      <c r="F542" s="17"/>
      <c r="G542" s="17"/>
      <c r="H542" s="17"/>
      <c r="I542" s="17"/>
      <c r="J542" s="17"/>
      <c r="K542" s="17"/>
    </row>
    <row r="543" spans="1:11" ht="18" x14ac:dyDescent="0.2">
      <c r="A543" s="121" t="s">
        <v>199</v>
      </c>
      <c r="B543" s="117">
        <v>20148</v>
      </c>
      <c r="C543" s="117">
        <v>200</v>
      </c>
      <c r="D543" s="17"/>
      <c r="E543" s="17"/>
      <c r="F543" s="17"/>
      <c r="G543" s="17"/>
      <c r="H543" s="17"/>
      <c r="I543" s="17"/>
      <c r="J543" s="17"/>
      <c r="K543" s="17"/>
    </row>
    <row r="544" spans="1:11" ht="18" x14ac:dyDescent="0.2">
      <c r="A544" s="121" t="s">
        <v>59</v>
      </c>
      <c r="B544" s="117">
        <v>40296</v>
      </c>
      <c r="C544" s="117">
        <v>400</v>
      </c>
      <c r="D544" s="17"/>
      <c r="E544" s="17"/>
      <c r="F544" s="17"/>
      <c r="G544" s="17"/>
      <c r="H544" s="17"/>
      <c r="I544" s="17"/>
      <c r="J544" s="17"/>
      <c r="K544" s="17"/>
    </row>
    <row r="545" spans="1:11" ht="18" x14ac:dyDescent="0.2">
      <c r="A545" s="121" t="s">
        <v>96</v>
      </c>
      <c r="B545" s="117">
        <v>201480</v>
      </c>
      <c r="C545" s="117">
        <v>2000</v>
      </c>
      <c r="D545" s="17"/>
      <c r="E545" s="17"/>
      <c r="F545" s="17"/>
      <c r="G545" s="17"/>
      <c r="H545" s="17"/>
      <c r="I545" s="17"/>
      <c r="J545" s="17"/>
      <c r="K545" s="17"/>
    </row>
    <row r="546" spans="1:11" ht="18" x14ac:dyDescent="0.2">
      <c r="A546" s="121" t="s">
        <v>714</v>
      </c>
      <c r="B546" s="117">
        <v>5037</v>
      </c>
      <c r="C546" s="117">
        <v>50</v>
      </c>
      <c r="D546" s="17"/>
      <c r="E546" s="17"/>
      <c r="F546" s="17"/>
      <c r="G546" s="17"/>
      <c r="H546" s="17"/>
      <c r="I546" s="17"/>
      <c r="J546" s="17"/>
      <c r="K546" s="17"/>
    </row>
    <row r="547" spans="1:11" ht="18" x14ac:dyDescent="0.2">
      <c r="A547" s="121" t="s">
        <v>901</v>
      </c>
      <c r="B547" s="117">
        <v>251850</v>
      </c>
      <c r="C547" s="117">
        <v>2500</v>
      </c>
      <c r="D547" s="17"/>
      <c r="E547" s="17"/>
      <c r="F547" s="17"/>
      <c r="G547" s="17"/>
      <c r="H547" s="17"/>
      <c r="I547" s="17"/>
      <c r="J547" s="17"/>
      <c r="K547" s="17"/>
    </row>
    <row r="548" spans="1:11" ht="18" x14ac:dyDescent="0.2">
      <c r="A548" s="121" t="s">
        <v>2364</v>
      </c>
      <c r="B548" s="117">
        <v>2500</v>
      </c>
      <c r="C548" s="117">
        <v>24.82</v>
      </c>
      <c r="D548" s="17"/>
      <c r="E548" s="17"/>
      <c r="F548" s="17"/>
      <c r="G548" s="17"/>
      <c r="H548" s="17"/>
      <c r="I548" s="17"/>
      <c r="J548" s="17"/>
      <c r="K548" s="17"/>
    </row>
    <row r="549" spans="1:11" ht="18" x14ac:dyDescent="0.2">
      <c r="A549" s="121" t="s">
        <v>2450</v>
      </c>
      <c r="B549" s="117">
        <v>99919.38</v>
      </c>
      <c r="C549" s="117">
        <v>991.85</v>
      </c>
      <c r="D549" s="17"/>
      <c r="E549" s="17"/>
      <c r="F549" s="17"/>
      <c r="G549" s="17"/>
      <c r="H549" s="17"/>
      <c r="I549" s="17"/>
      <c r="J549" s="17"/>
      <c r="K549" s="17"/>
    </row>
    <row r="550" spans="1:11" ht="18" x14ac:dyDescent="0.2">
      <c r="A550" s="121" t="s">
        <v>2570</v>
      </c>
      <c r="B550" s="117">
        <v>80592</v>
      </c>
      <c r="C550" s="117">
        <v>800</v>
      </c>
      <c r="D550" s="17"/>
      <c r="E550" s="17"/>
      <c r="F550" s="17"/>
      <c r="G550" s="17"/>
      <c r="H550" s="17"/>
      <c r="I550" s="17"/>
      <c r="J550" s="17"/>
      <c r="K550" s="17"/>
    </row>
    <row r="551" spans="1:11" ht="18" x14ac:dyDescent="0.2">
      <c r="A551" s="122">
        <v>46222</v>
      </c>
      <c r="B551" s="477">
        <v>670372.71</v>
      </c>
      <c r="C551" s="477">
        <v>6654.4800000000005</v>
      </c>
      <c r="D551" s="17"/>
      <c r="E551" s="17"/>
      <c r="F551" s="17"/>
      <c r="G551" s="17"/>
      <c r="H551" s="17"/>
      <c r="I551" s="17"/>
      <c r="J551" s="17"/>
      <c r="K551" s="17"/>
    </row>
    <row r="552" spans="1:11" ht="18" x14ac:dyDescent="0.2">
      <c r="A552" s="121" t="s">
        <v>552</v>
      </c>
      <c r="B552" s="117">
        <v>10074</v>
      </c>
      <c r="C552" s="117">
        <v>100</v>
      </c>
      <c r="D552" s="17"/>
      <c r="E552" s="17"/>
      <c r="F552" s="17"/>
      <c r="G552" s="17"/>
      <c r="H552" s="17"/>
      <c r="I552" s="17"/>
      <c r="J552" s="17"/>
      <c r="K552" s="17"/>
    </row>
    <row r="553" spans="1:11" ht="18" x14ac:dyDescent="0.2">
      <c r="A553" s="121" t="s">
        <v>57</v>
      </c>
      <c r="B553" s="117">
        <v>20148</v>
      </c>
      <c r="C553" s="117">
        <v>200</v>
      </c>
      <c r="D553" s="17"/>
      <c r="E553" s="17"/>
      <c r="F553" s="17"/>
      <c r="G553" s="17"/>
      <c r="H553" s="17"/>
      <c r="I553" s="17"/>
      <c r="J553" s="17"/>
      <c r="K553" s="17"/>
    </row>
    <row r="554" spans="1:11" ht="18" x14ac:dyDescent="0.2">
      <c r="A554" s="121" t="s">
        <v>56</v>
      </c>
      <c r="B554" s="117">
        <v>14118.71</v>
      </c>
      <c r="C554" s="117">
        <v>140.15</v>
      </c>
      <c r="D554" s="17"/>
      <c r="E554" s="17"/>
      <c r="F554" s="17"/>
      <c r="G554" s="17"/>
      <c r="H554" s="17"/>
      <c r="I554" s="17"/>
      <c r="J554" s="17"/>
      <c r="K554" s="17"/>
    </row>
    <row r="555" spans="1:11" ht="18" x14ac:dyDescent="0.2">
      <c r="A555" s="121" t="s">
        <v>152</v>
      </c>
      <c r="B555" s="117">
        <v>128462.06</v>
      </c>
      <c r="C555" s="117">
        <v>1275.18</v>
      </c>
      <c r="D555" s="17"/>
      <c r="E555" s="17"/>
      <c r="F555" s="17"/>
      <c r="G555" s="17"/>
      <c r="H555" s="17"/>
      <c r="I555" s="17"/>
      <c r="J555" s="17"/>
      <c r="K555" s="17"/>
    </row>
    <row r="556" spans="1:11" ht="18" x14ac:dyDescent="0.2">
      <c r="A556" s="121" t="s">
        <v>58</v>
      </c>
      <c r="B556" s="117">
        <v>119400</v>
      </c>
      <c r="C556" s="117">
        <v>1185.23</v>
      </c>
      <c r="D556" s="17"/>
      <c r="E556" s="17"/>
      <c r="F556" s="17"/>
      <c r="G556" s="17"/>
      <c r="H556" s="17"/>
      <c r="I556" s="17"/>
      <c r="J556" s="17"/>
      <c r="K556" s="17"/>
    </row>
    <row r="557" spans="1:11" ht="18" x14ac:dyDescent="0.2">
      <c r="A557" s="121" t="s">
        <v>95</v>
      </c>
      <c r="B557" s="117">
        <v>93580.41</v>
      </c>
      <c r="C557" s="117">
        <v>928.93</v>
      </c>
      <c r="D557" s="17"/>
      <c r="E557" s="17"/>
      <c r="F557" s="17"/>
      <c r="G557" s="17"/>
      <c r="H557" s="17"/>
      <c r="I557" s="17"/>
      <c r="J557" s="17"/>
      <c r="K557" s="17"/>
    </row>
    <row r="558" spans="1:11" ht="18" x14ac:dyDescent="0.2">
      <c r="A558" s="121" t="s">
        <v>199</v>
      </c>
      <c r="B558" s="117">
        <v>23449.24</v>
      </c>
      <c r="C558" s="117">
        <v>232.77</v>
      </c>
      <c r="D558" s="17"/>
      <c r="E558" s="17"/>
      <c r="F558" s="17"/>
      <c r="G558" s="17"/>
      <c r="H558" s="17"/>
      <c r="I558" s="17"/>
      <c r="J558" s="17"/>
      <c r="K558" s="17"/>
    </row>
    <row r="559" spans="1:11" ht="18" x14ac:dyDescent="0.2">
      <c r="A559" s="121" t="s">
        <v>714</v>
      </c>
      <c r="B559" s="117">
        <v>14564.98</v>
      </c>
      <c r="C559" s="117">
        <v>144.57999999999998</v>
      </c>
      <c r="D559" s="17"/>
      <c r="E559" s="17"/>
      <c r="F559" s="17"/>
      <c r="G559" s="17"/>
      <c r="H559" s="17"/>
      <c r="I559" s="17"/>
      <c r="J559" s="17"/>
      <c r="K559" s="17"/>
    </row>
    <row r="560" spans="1:11" ht="18" x14ac:dyDescent="0.2">
      <c r="A560" s="121" t="s">
        <v>1483</v>
      </c>
      <c r="B560" s="117">
        <v>60444</v>
      </c>
      <c r="C560" s="117">
        <v>600</v>
      </c>
      <c r="D560" s="17"/>
      <c r="E560" s="17"/>
      <c r="F560" s="17"/>
      <c r="G560" s="17"/>
      <c r="H560" s="17"/>
      <c r="I560" s="17"/>
      <c r="J560" s="17"/>
      <c r="K560" s="17"/>
    </row>
    <row r="561" spans="1:11" ht="18" x14ac:dyDescent="0.2">
      <c r="A561" s="121" t="s">
        <v>2364</v>
      </c>
      <c r="B561" s="117">
        <v>11436.31</v>
      </c>
      <c r="C561" s="117">
        <v>113.52</v>
      </c>
      <c r="D561" s="17"/>
      <c r="E561" s="17"/>
      <c r="F561" s="17"/>
      <c r="G561" s="17"/>
      <c r="H561" s="17"/>
      <c r="I561" s="17"/>
      <c r="J561" s="17"/>
      <c r="K561" s="17"/>
    </row>
    <row r="562" spans="1:11" ht="18" x14ac:dyDescent="0.2">
      <c r="A562" s="121" t="s">
        <v>2450</v>
      </c>
      <c r="B562" s="117">
        <v>53955</v>
      </c>
      <c r="C562" s="117">
        <v>535.59</v>
      </c>
      <c r="D562" s="17"/>
      <c r="E562" s="17"/>
      <c r="F562" s="17"/>
      <c r="G562" s="17"/>
      <c r="H562" s="17"/>
      <c r="I562" s="17"/>
      <c r="J562" s="17"/>
      <c r="K562" s="17"/>
    </row>
    <row r="563" spans="1:11" ht="18" x14ac:dyDescent="0.2">
      <c r="A563" s="121" t="s">
        <v>2570</v>
      </c>
      <c r="B563" s="117">
        <v>100740</v>
      </c>
      <c r="C563" s="117">
        <v>1000</v>
      </c>
      <c r="D563" s="17"/>
      <c r="E563" s="17"/>
      <c r="F563" s="17"/>
      <c r="G563" s="17"/>
      <c r="H563" s="17"/>
      <c r="I563" s="17"/>
      <c r="J563" s="17"/>
      <c r="K563" s="17"/>
    </row>
    <row r="564" spans="1:11" ht="18" x14ac:dyDescent="0.2">
      <c r="A564" s="121" t="s">
        <v>2611</v>
      </c>
      <c r="B564" s="117">
        <v>20000</v>
      </c>
      <c r="C564" s="117">
        <v>198.53</v>
      </c>
      <c r="D564" s="17"/>
      <c r="E564" s="17"/>
      <c r="F564" s="17"/>
      <c r="G564" s="17"/>
      <c r="H564" s="17"/>
      <c r="I564" s="17"/>
      <c r="J564" s="17"/>
      <c r="K564" s="17"/>
    </row>
    <row r="565" spans="1:11" ht="18" x14ac:dyDescent="0.2">
      <c r="A565" s="122">
        <v>46221</v>
      </c>
      <c r="B565" s="477">
        <v>2418396.2399999998</v>
      </c>
      <c r="C565" s="477">
        <v>24154.02</v>
      </c>
      <c r="D565" s="17"/>
      <c r="E565" s="17"/>
      <c r="F565" s="17"/>
      <c r="G565" s="17"/>
      <c r="H565" s="17"/>
      <c r="I565" s="17"/>
      <c r="J565" s="17"/>
      <c r="K565" s="17"/>
    </row>
    <row r="566" spans="1:11" ht="18" x14ac:dyDescent="0.2">
      <c r="A566" s="121" t="s">
        <v>552</v>
      </c>
      <c r="B566" s="117">
        <v>10074</v>
      </c>
      <c r="C566" s="117">
        <v>100</v>
      </c>
      <c r="D566" s="17"/>
      <c r="E566" s="17"/>
      <c r="F566" s="17"/>
      <c r="G566" s="17"/>
      <c r="H566" s="17"/>
      <c r="I566" s="17"/>
      <c r="J566" s="17"/>
      <c r="K566" s="17"/>
    </row>
    <row r="567" spans="1:11" ht="18" x14ac:dyDescent="0.2">
      <c r="A567" s="121" t="s">
        <v>57</v>
      </c>
      <c r="B567" s="117">
        <v>20148</v>
      </c>
      <c r="C567" s="117">
        <v>200</v>
      </c>
      <c r="D567" s="17"/>
      <c r="E567" s="17"/>
      <c r="F567" s="17"/>
      <c r="G567" s="17"/>
      <c r="H567" s="17"/>
      <c r="I567" s="17"/>
      <c r="J567" s="17"/>
      <c r="K567" s="17"/>
    </row>
    <row r="568" spans="1:11" ht="18" x14ac:dyDescent="0.2">
      <c r="A568" s="121" t="s">
        <v>152</v>
      </c>
      <c r="B568" s="117">
        <v>166198.22</v>
      </c>
      <c r="C568" s="117">
        <v>1649.77</v>
      </c>
      <c r="D568" s="17"/>
      <c r="E568" s="17"/>
      <c r="F568" s="17"/>
      <c r="G568" s="17"/>
      <c r="H568" s="17"/>
      <c r="I568" s="17"/>
      <c r="J568" s="17"/>
      <c r="K568" s="17"/>
    </row>
    <row r="569" spans="1:11" ht="18" x14ac:dyDescent="0.2">
      <c r="A569" s="121" t="s">
        <v>58</v>
      </c>
      <c r="B569" s="117">
        <v>294800</v>
      </c>
      <c r="C569" s="117">
        <v>2926.35</v>
      </c>
      <c r="D569" s="17"/>
      <c r="E569" s="17"/>
      <c r="F569" s="17"/>
      <c r="G569" s="17"/>
      <c r="H569" s="17"/>
      <c r="I569" s="17"/>
      <c r="J569" s="17"/>
      <c r="K569" s="17"/>
    </row>
    <row r="570" spans="1:11" ht="18" x14ac:dyDescent="0.2">
      <c r="A570" s="121" t="s">
        <v>95</v>
      </c>
      <c r="B570" s="117">
        <v>83600.100000000006</v>
      </c>
      <c r="C570" s="117">
        <v>829.86</v>
      </c>
      <c r="D570" s="17"/>
      <c r="E570" s="17"/>
      <c r="F570" s="17"/>
      <c r="G570" s="17"/>
      <c r="H570" s="17"/>
      <c r="I570" s="17"/>
      <c r="J570" s="17"/>
      <c r="K570" s="17"/>
    </row>
    <row r="571" spans="1:11" ht="18" x14ac:dyDescent="0.2">
      <c r="A571" s="121" t="s">
        <v>51</v>
      </c>
      <c r="B571" s="117">
        <v>1194000</v>
      </c>
      <c r="C571" s="117">
        <v>12000</v>
      </c>
      <c r="D571" s="17"/>
      <c r="E571" s="17"/>
      <c r="F571" s="17"/>
      <c r="G571" s="17"/>
      <c r="H571" s="17"/>
      <c r="I571" s="17"/>
      <c r="J571" s="17"/>
      <c r="K571" s="17"/>
    </row>
    <row r="572" spans="1:11" ht="18" x14ac:dyDescent="0.2">
      <c r="A572" s="121" t="s">
        <v>59</v>
      </c>
      <c r="B572" s="117">
        <v>60444</v>
      </c>
      <c r="C572" s="117">
        <v>600</v>
      </c>
    </row>
    <row r="573" spans="1:11" ht="18" x14ac:dyDescent="0.2">
      <c r="A573" s="121" t="s">
        <v>96</v>
      </c>
      <c r="B573" s="117">
        <v>201480</v>
      </c>
      <c r="C573" s="117">
        <v>2000</v>
      </c>
    </row>
    <row r="574" spans="1:11" ht="18" x14ac:dyDescent="0.2">
      <c r="A574" s="121" t="s">
        <v>527</v>
      </c>
      <c r="B574" s="117">
        <v>100740</v>
      </c>
      <c r="C574" s="117">
        <v>1000</v>
      </c>
    </row>
    <row r="575" spans="1:11" ht="18" x14ac:dyDescent="0.2">
      <c r="A575" s="121" t="s">
        <v>714</v>
      </c>
      <c r="B575" s="117">
        <v>9066.6</v>
      </c>
      <c r="C575" s="117">
        <v>90</v>
      </c>
    </row>
    <row r="576" spans="1:11" ht="18" x14ac:dyDescent="0.2">
      <c r="A576" s="121" t="s">
        <v>2364</v>
      </c>
      <c r="B576" s="117">
        <v>22301.919999999998</v>
      </c>
      <c r="C576" s="117">
        <v>221.38</v>
      </c>
    </row>
    <row r="577" spans="1:3" ht="18" x14ac:dyDescent="0.2">
      <c r="A577" s="121" t="s">
        <v>2450</v>
      </c>
      <c r="B577" s="117">
        <v>168907</v>
      </c>
      <c r="C577" s="117">
        <v>1676.66</v>
      </c>
    </row>
    <row r="578" spans="1:3" ht="18" x14ac:dyDescent="0.2">
      <c r="A578" s="121" t="s">
        <v>2570</v>
      </c>
      <c r="B578" s="117">
        <v>86636.4</v>
      </c>
      <c r="C578" s="117">
        <v>860</v>
      </c>
    </row>
    <row r="579" spans="1:3" ht="18" x14ac:dyDescent="0.2">
      <c r="A579" s="122">
        <v>46220</v>
      </c>
      <c r="B579" s="477">
        <v>3776596.34</v>
      </c>
      <c r="C579" s="477">
        <v>37783.979999999996</v>
      </c>
    </row>
    <row r="580" spans="1:3" ht="18" x14ac:dyDescent="0.2">
      <c r="A580" s="121" t="s">
        <v>53</v>
      </c>
      <c r="B580" s="117">
        <v>5540.7</v>
      </c>
      <c r="C580" s="117">
        <v>55</v>
      </c>
    </row>
    <row r="581" spans="1:3" ht="18" x14ac:dyDescent="0.2">
      <c r="A581" s="121" t="s">
        <v>552</v>
      </c>
      <c r="B581" s="117">
        <v>2014.8</v>
      </c>
      <c r="C581" s="117">
        <v>20</v>
      </c>
    </row>
    <row r="582" spans="1:3" ht="18" x14ac:dyDescent="0.2">
      <c r="A582" s="121" t="s">
        <v>143</v>
      </c>
      <c r="B582" s="117">
        <v>1194000</v>
      </c>
      <c r="C582" s="117">
        <v>12000</v>
      </c>
    </row>
    <row r="583" spans="1:3" ht="18" x14ac:dyDescent="0.2">
      <c r="A583" s="121" t="s">
        <v>57</v>
      </c>
      <c r="B583" s="117">
        <v>25248</v>
      </c>
      <c r="C583" s="117">
        <v>250.63</v>
      </c>
    </row>
    <row r="584" spans="1:3" ht="18" x14ac:dyDescent="0.2">
      <c r="A584" s="121" t="s">
        <v>56</v>
      </c>
      <c r="B584" s="117">
        <v>9868.49</v>
      </c>
      <c r="C584" s="117">
        <v>97.96</v>
      </c>
    </row>
    <row r="585" spans="1:3" ht="18" x14ac:dyDescent="0.2">
      <c r="A585" s="121" t="s">
        <v>152</v>
      </c>
      <c r="B585" s="117">
        <v>277366</v>
      </c>
      <c r="C585" s="117">
        <v>2753.29</v>
      </c>
    </row>
    <row r="586" spans="1:3" ht="18" x14ac:dyDescent="0.2">
      <c r="A586" s="121" t="s">
        <v>58</v>
      </c>
      <c r="B586" s="117">
        <v>321300</v>
      </c>
      <c r="C586" s="117">
        <v>3189.3999999999996</v>
      </c>
    </row>
    <row r="587" spans="1:3" ht="18" x14ac:dyDescent="0.2">
      <c r="A587" s="121" t="s">
        <v>95</v>
      </c>
      <c r="B587" s="117">
        <v>89964.85</v>
      </c>
      <c r="C587" s="117">
        <v>893.04</v>
      </c>
    </row>
    <row r="588" spans="1:3" ht="18" x14ac:dyDescent="0.2">
      <c r="A588" s="121" t="s">
        <v>501</v>
      </c>
      <c r="B588" s="117">
        <v>120888</v>
      </c>
      <c r="C588" s="117">
        <v>1200</v>
      </c>
    </row>
    <row r="589" spans="1:3" ht="18" x14ac:dyDescent="0.2">
      <c r="A589" s="121" t="s">
        <v>199</v>
      </c>
      <c r="B589" s="117">
        <v>23171.200000000001</v>
      </c>
      <c r="C589" s="117">
        <v>230.01</v>
      </c>
    </row>
    <row r="590" spans="1:3" ht="18" x14ac:dyDescent="0.2">
      <c r="A590" s="121" t="s">
        <v>51</v>
      </c>
      <c r="B590" s="117">
        <v>1194000</v>
      </c>
      <c r="C590" s="117">
        <v>12000</v>
      </c>
    </row>
    <row r="591" spans="1:3" ht="18" x14ac:dyDescent="0.2">
      <c r="A591" s="121" t="s">
        <v>59</v>
      </c>
      <c r="B591" s="117">
        <v>40296</v>
      </c>
      <c r="C591" s="117">
        <v>400</v>
      </c>
    </row>
    <row r="592" spans="1:3" ht="18" x14ac:dyDescent="0.2">
      <c r="A592" s="121" t="s">
        <v>96</v>
      </c>
      <c r="B592" s="117">
        <v>201480</v>
      </c>
      <c r="C592" s="117">
        <v>2000</v>
      </c>
    </row>
    <row r="593" spans="1:3" ht="18" x14ac:dyDescent="0.2">
      <c r="A593" s="121" t="s">
        <v>714</v>
      </c>
      <c r="B593" s="117">
        <v>6044.4</v>
      </c>
      <c r="C593" s="117">
        <v>60</v>
      </c>
    </row>
    <row r="594" spans="1:3" ht="18" x14ac:dyDescent="0.2">
      <c r="A594" s="121" t="s">
        <v>901</v>
      </c>
      <c r="B594" s="117">
        <v>3801.92</v>
      </c>
      <c r="C594" s="117">
        <v>37.74</v>
      </c>
    </row>
    <row r="595" spans="1:3" ht="18" x14ac:dyDescent="0.2">
      <c r="A595" s="121" t="s">
        <v>2364</v>
      </c>
      <c r="B595" s="117">
        <v>10000</v>
      </c>
      <c r="C595" s="117">
        <v>99.27</v>
      </c>
    </row>
    <row r="596" spans="1:3" ht="18" x14ac:dyDescent="0.2">
      <c r="A596" s="121" t="s">
        <v>2450</v>
      </c>
      <c r="B596" s="117">
        <v>110575.98</v>
      </c>
      <c r="C596" s="117">
        <v>1097.6400000000001</v>
      </c>
    </row>
    <row r="597" spans="1:3" ht="18" x14ac:dyDescent="0.2">
      <c r="A597" s="121" t="s">
        <v>2570</v>
      </c>
      <c r="B597" s="117">
        <v>141036</v>
      </c>
      <c r="C597" s="117">
        <v>1400</v>
      </c>
    </row>
    <row r="598" spans="1:3" ht="18" x14ac:dyDescent="0.2">
      <c r="A598" s="122">
        <v>46219</v>
      </c>
      <c r="B598" s="477">
        <v>671014.03999999992</v>
      </c>
      <c r="C598" s="477">
        <v>6660.8399999999992</v>
      </c>
    </row>
    <row r="599" spans="1:3" ht="18" x14ac:dyDescent="0.2">
      <c r="A599" s="121" t="s">
        <v>257</v>
      </c>
      <c r="B599" s="117">
        <v>2400</v>
      </c>
      <c r="C599" s="117">
        <v>23.82</v>
      </c>
    </row>
    <row r="600" spans="1:3" ht="18" x14ac:dyDescent="0.2">
      <c r="A600" s="121" t="s">
        <v>152</v>
      </c>
      <c r="B600" s="117">
        <v>98152.98</v>
      </c>
      <c r="C600" s="117">
        <v>974.32</v>
      </c>
    </row>
    <row r="601" spans="1:3" ht="18" x14ac:dyDescent="0.2">
      <c r="A601" s="121" t="s">
        <v>58</v>
      </c>
      <c r="B601" s="117">
        <v>306000</v>
      </c>
      <c r="C601" s="117">
        <v>3037.52</v>
      </c>
    </row>
    <row r="602" spans="1:3" ht="18" x14ac:dyDescent="0.2">
      <c r="A602" s="121" t="s">
        <v>95</v>
      </c>
      <c r="B602" s="117">
        <v>117663.31</v>
      </c>
      <c r="C602" s="117">
        <v>1167.99</v>
      </c>
    </row>
    <row r="603" spans="1:3" ht="18" x14ac:dyDescent="0.2">
      <c r="A603" s="121" t="s">
        <v>714</v>
      </c>
      <c r="B603" s="117">
        <v>19846.79</v>
      </c>
      <c r="C603" s="117">
        <v>197.01</v>
      </c>
    </row>
    <row r="604" spans="1:3" ht="18" x14ac:dyDescent="0.2">
      <c r="A604" s="121" t="s">
        <v>2450</v>
      </c>
      <c r="B604" s="117">
        <v>26358.959999999999</v>
      </c>
      <c r="C604" s="117">
        <v>261.64999999999998</v>
      </c>
    </row>
    <row r="605" spans="1:3" ht="18" x14ac:dyDescent="0.2">
      <c r="A605" s="121" t="s">
        <v>2570</v>
      </c>
      <c r="B605" s="117">
        <v>80592</v>
      </c>
      <c r="C605" s="117">
        <v>800</v>
      </c>
    </row>
    <row r="606" spans="1:3" ht="18" x14ac:dyDescent="0.2">
      <c r="A606" s="121" t="s">
        <v>2611</v>
      </c>
      <c r="B606" s="117">
        <v>20000</v>
      </c>
      <c r="C606" s="117">
        <v>198.53</v>
      </c>
    </row>
    <row r="607" spans="1:3" ht="18" x14ac:dyDescent="0.2">
      <c r="A607" s="122">
        <v>46218</v>
      </c>
      <c r="B607" s="477">
        <v>2217810.0099999998</v>
      </c>
      <c r="C607" s="477">
        <v>22162.89</v>
      </c>
    </row>
    <row r="608" spans="1:3" ht="18" x14ac:dyDescent="0.2">
      <c r="A608" s="121" t="s">
        <v>54</v>
      </c>
      <c r="B608" s="117">
        <v>20148</v>
      </c>
      <c r="C608" s="117">
        <v>200</v>
      </c>
    </row>
    <row r="609" spans="1:3" ht="18" x14ac:dyDescent="0.2">
      <c r="A609" s="121" t="s">
        <v>552</v>
      </c>
      <c r="B609" s="117">
        <v>20148</v>
      </c>
      <c r="C609" s="117">
        <v>200</v>
      </c>
    </row>
    <row r="610" spans="1:3" ht="18" x14ac:dyDescent="0.2">
      <c r="A610" s="121" t="s">
        <v>143</v>
      </c>
      <c r="B610" s="117">
        <v>1194000</v>
      </c>
      <c r="C610" s="117">
        <v>12000</v>
      </c>
    </row>
    <row r="611" spans="1:3" ht="18" x14ac:dyDescent="0.2">
      <c r="A611" s="121" t="s">
        <v>57</v>
      </c>
      <c r="B611" s="117">
        <v>4600</v>
      </c>
      <c r="C611" s="117">
        <v>45.66</v>
      </c>
    </row>
    <row r="612" spans="1:3" ht="18" x14ac:dyDescent="0.2">
      <c r="A612" s="121" t="s">
        <v>56</v>
      </c>
      <c r="B612" s="117">
        <v>5037</v>
      </c>
      <c r="C612" s="117">
        <v>50</v>
      </c>
    </row>
    <row r="613" spans="1:3" ht="18" x14ac:dyDescent="0.2">
      <c r="A613" s="121" t="s">
        <v>152</v>
      </c>
      <c r="B613" s="117">
        <v>341762.84</v>
      </c>
      <c r="C613" s="117">
        <v>3392.52</v>
      </c>
    </row>
    <row r="614" spans="1:3" ht="18" x14ac:dyDescent="0.2">
      <c r="A614" s="121" t="s">
        <v>58</v>
      </c>
      <c r="B614" s="117">
        <v>343800</v>
      </c>
      <c r="C614" s="117">
        <v>3412.7400000000002</v>
      </c>
    </row>
    <row r="615" spans="1:3" ht="18" x14ac:dyDescent="0.2">
      <c r="A615" s="121" t="s">
        <v>95</v>
      </c>
      <c r="B615" s="117">
        <v>95222.47</v>
      </c>
      <c r="C615" s="117">
        <v>945.23</v>
      </c>
    </row>
    <row r="616" spans="1:3" ht="18" x14ac:dyDescent="0.2">
      <c r="A616" s="121" t="s">
        <v>714</v>
      </c>
      <c r="B616" s="117">
        <v>24411.309999999998</v>
      </c>
      <c r="C616" s="117">
        <v>242.32</v>
      </c>
    </row>
    <row r="617" spans="1:3" ht="18" x14ac:dyDescent="0.2">
      <c r="A617" s="121" t="s">
        <v>2364</v>
      </c>
      <c r="B617" s="117">
        <v>11400.39</v>
      </c>
      <c r="C617" s="117">
        <v>113.17</v>
      </c>
    </row>
    <row r="618" spans="1:3" ht="18" x14ac:dyDescent="0.2">
      <c r="A618" s="121" t="s">
        <v>2450</v>
      </c>
      <c r="B618" s="117">
        <v>76836</v>
      </c>
      <c r="C618" s="117">
        <v>762.72</v>
      </c>
    </row>
    <row r="619" spans="1:3" ht="18" x14ac:dyDescent="0.2">
      <c r="A619" s="121" t="s">
        <v>2570</v>
      </c>
      <c r="B619" s="117">
        <v>60444</v>
      </c>
      <c r="C619" s="117">
        <v>600</v>
      </c>
    </row>
    <row r="620" spans="1:3" ht="18" x14ac:dyDescent="0.2">
      <c r="A620" s="121" t="s">
        <v>2611</v>
      </c>
      <c r="B620" s="117">
        <v>20000</v>
      </c>
      <c r="C620" s="117">
        <v>198.53</v>
      </c>
    </row>
    <row r="621" spans="1:3" ht="18" x14ac:dyDescent="0.2">
      <c r="A621" s="122">
        <v>46217</v>
      </c>
      <c r="B621" s="477">
        <v>3101912.8</v>
      </c>
      <c r="C621" s="477">
        <v>31012.84</v>
      </c>
    </row>
    <row r="622" spans="1:3" ht="18" x14ac:dyDescent="0.2">
      <c r="A622" s="121" t="s">
        <v>56</v>
      </c>
      <c r="B622" s="117">
        <v>13213.05</v>
      </c>
      <c r="C622" s="117">
        <v>131.16</v>
      </c>
    </row>
    <row r="623" spans="1:3" ht="18" x14ac:dyDescent="0.2">
      <c r="A623" s="121" t="s">
        <v>152</v>
      </c>
      <c r="B623" s="117">
        <v>179300</v>
      </c>
      <c r="C623" s="117">
        <v>1779.83</v>
      </c>
    </row>
    <row r="624" spans="1:3" ht="18" x14ac:dyDescent="0.2">
      <c r="A624" s="121" t="s">
        <v>58</v>
      </c>
      <c r="B624" s="117">
        <v>259400</v>
      </c>
      <c r="C624" s="117">
        <v>2574.9500000000003</v>
      </c>
    </row>
    <row r="625" spans="1:3" ht="18" x14ac:dyDescent="0.2">
      <c r="A625" s="121" t="s">
        <v>95</v>
      </c>
      <c r="B625" s="117">
        <v>96418.25</v>
      </c>
      <c r="C625" s="117">
        <v>957.1</v>
      </c>
    </row>
    <row r="626" spans="1:3" ht="18" x14ac:dyDescent="0.2">
      <c r="A626" s="121" t="s">
        <v>51</v>
      </c>
      <c r="B626" s="117">
        <v>1791000</v>
      </c>
      <c r="C626" s="117">
        <v>18000</v>
      </c>
    </row>
    <row r="627" spans="1:3" ht="18" x14ac:dyDescent="0.2">
      <c r="A627" s="121" t="s">
        <v>59</v>
      </c>
      <c r="B627" s="117">
        <v>97686.57</v>
      </c>
      <c r="C627" s="117">
        <v>969.69</v>
      </c>
    </row>
    <row r="628" spans="1:3" ht="18" x14ac:dyDescent="0.2">
      <c r="A628" s="121" t="s">
        <v>96</v>
      </c>
      <c r="B628" s="117">
        <v>201470.93</v>
      </c>
      <c r="C628" s="117">
        <v>1999.91</v>
      </c>
    </row>
    <row r="629" spans="1:3" ht="18" x14ac:dyDescent="0.2">
      <c r="A629" s="121" t="s">
        <v>901</v>
      </c>
      <c r="B629" s="117">
        <v>201480</v>
      </c>
      <c r="C629" s="117">
        <v>2000</v>
      </c>
    </row>
    <row r="630" spans="1:3" ht="18" x14ac:dyDescent="0.2">
      <c r="A630" s="121" t="s">
        <v>2364</v>
      </c>
      <c r="B630" s="117">
        <v>2000</v>
      </c>
      <c r="C630" s="117">
        <v>19.850000000000001</v>
      </c>
    </row>
    <row r="631" spans="1:3" ht="18" x14ac:dyDescent="0.2">
      <c r="A631" s="121" t="s">
        <v>2450</v>
      </c>
      <c r="B631" s="117">
        <v>159352</v>
      </c>
      <c r="C631" s="117">
        <v>1581.81</v>
      </c>
    </row>
    <row r="632" spans="1:3" ht="18" x14ac:dyDescent="0.2">
      <c r="A632" s="121" t="s">
        <v>2570</v>
      </c>
      <c r="B632" s="117">
        <v>80592</v>
      </c>
      <c r="C632" s="117">
        <v>800</v>
      </c>
    </row>
    <row r="633" spans="1:3" ht="18" x14ac:dyDescent="0.2">
      <c r="A633" s="121" t="s">
        <v>2611</v>
      </c>
      <c r="B633" s="117">
        <v>20000</v>
      </c>
      <c r="C633" s="117">
        <v>198.54000000000002</v>
      </c>
    </row>
    <row r="634" spans="1:3" ht="18" x14ac:dyDescent="0.2">
      <c r="A634" s="122">
        <v>46216</v>
      </c>
      <c r="B634" s="477">
        <v>3867249.25</v>
      </c>
      <c r="C634" s="477">
        <v>38757.699999999997</v>
      </c>
    </row>
    <row r="635" spans="1:3" ht="18" x14ac:dyDescent="0.2">
      <c r="A635" s="121" t="s">
        <v>143</v>
      </c>
      <c r="B635" s="117">
        <v>1194000</v>
      </c>
      <c r="C635" s="117">
        <v>12000</v>
      </c>
    </row>
    <row r="636" spans="1:3" ht="18" x14ac:dyDescent="0.2">
      <c r="A636" s="121" t="s">
        <v>257</v>
      </c>
      <c r="B636" s="117">
        <v>1000</v>
      </c>
      <c r="C636" s="117">
        <v>9.93</v>
      </c>
    </row>
    <row r="637" spans="1:3" ht="18" x14ac:dyDescent="0.2">
      <c r="A637" s="121" t="s">
        <v>152</v>
      </c>
      <c r="B637" s="117">
        <v>36100</v>
      </c>
      <c r="C637" s="117">
        <v>358.35</v>
      </c>
    </row>
    <row r="638" spans="1:3" ht="18" x14ac:dyDescent="0.2">
      <c r="A638" s="121" t="s">
        <v>58</v>
      </c>
      <c r="B638" s="117">
        <v>281100</v>
      </c>
      <c r="C638" s="117">
        <v>2790.35</v>
      </c>
    </row>
    <row r="639" spans="1:3" ht="18" x14ac:dyDescent="0.2">
      <c r="A639" s="121" t="s">
        <v>95</v>
      </c>
      <c r="B639" s="117">
        <v>95438.05</v>
      </c>
      <c r="C639" s="117">
        <v>947.37</v>
      </c>
    </row>
    <row r="640" spans="1:3" ht="18" x14ac:dyDescent="0.2">
      <c r="A640" s="121" t="s">
        <v>51</v>
      </c>
      <c r="B640" s="117">
        <v>1791000</v>
      </c>
      <c r="C640" s="117">
        <v>18000</v>
      </c>
    </row>
    <row r="641" spans="1:3" ht="18" x14ac:dyDescent="0.2">
      <c r="A641" s="121" t="s">
        <v>59</v>
      </c>
      <c r="B641" s="117">
        <v>80592</v>
      </c>
      <c r="C641" s="117">
        <v>800</v>
      </c>
    </row>
    <row r="642" spans="1:3" ht="18" x14ac:dyDescent="0.2">
      <c r="A642" s="121" t="s">
        <v>96</v>
      </c>
      <c r="B642" s="117">
        <v>201480</v>
      </c>
      <c r="C642" s="117">
        <v>2000</v>
      </c>
    </row>
    <row r="643" spans="1:3" ht="18" x14ac:dyDescent="0.2">
      <c r="A643" s="121" t="s">
        <v>714</v>
      </c>
      <c r="B643" s="117">
        <v>50315.600000000006</v>
      </c>
      <c r="C643" s="117">
        <v>499.46</v>
      </c>
    </row>
    <row r="644" spans="1:3" ht="18" x14ac:dyDescent="0.2">
      <c r="A644" s="121" t="s">
        <v>2364</v>
      </c>
      <c r="B644" s="117">
        <v>1700</v>
      </c>
      <c r="C644" s="117">
        <v>16.88</v>
      </c>
    </row>
    <row r="645" spans="1:3" ht="18" x14ac:dyDescent="0.2">
      <c r="A645" s="121" t="s">
        <v>2450</v>
      </c>
      <c r="B645" s="117">
        <v>104275.6</v>
      </c>
      <c r="C645" s="117">
        <v>1035.0999999999999</v>
      </c>
    </row>
    <row r="646" spans="1:3" ht="18" x14ac:dyDescent="0.2">
      <c r="A646" s="121" t="s">
        <v>2570</v>
      </c>
      <c r="B646" s="117">
        <v>20148</v>
      </c>
      <c r="C646" s="117">
        <v>200</v>
      </c>
    </row>
    <row r="647" spans="1:3" ht="18" x14ac:dyDescent="0.2">
      <c r="A647" s="121" t="s">
        <v>2611</v>
      </c>
      <c r="B647" s="117">
        <v>10100</v>
      </c>
      <c r="C647" s="117">
        <v>100.26</v>
      </c>
    </row>
    <row r="648" spans="1:3" ht="18" x14ac:dyDescent="0.2">
      <c r="A648" s="122">
        <v>46215</v>
      </c>
      <c r="B648" s="477">
        <v>712717.3</v>
      </c>
      <c r="C648" s="477">
        <v>7074.8200000000006</v>
      </c>
    </row>
    <row r="649" spans="1:3" ht="18" x14ac:dyDescent="0.2">
      <c r="A649" s="121" t="s">
        <v>56</v>
      </c>
      <c r="B649" s="117">
        <v>4029.6</v>
      </c>
      <c r="C649" s="117">
        <v>40</v>
      </c>
    </row>
    <row r="650" spans="1:3" ht="18" x14ac:dyDescent="0.2">
      <c r="A650" s="121" t="s">
        <v>257</v>
      </c>
      <c r="B650" s="117">
        <v>7051.8</v>
      </c>
      <c r="C650" s="117">
        <v>70</v>
      </c>
    </row>
    <row r="651" spans="1:3" ht="18" x14ac:dyDescent="0.2">
      <c r="A651" s="121" t="s">
        <v>152</v>
      </c>
      <c r="B651" s="117">
        <v>84800</v>
      </c>
      <c r="C651" s="117">
        <v>841.77</v>
      </c>
    </row>
    <row r="652" spans="1:3" ht="18" x14ac:dyDescent="0.2">
      <c r="A652" s="121" t="s">
        <v>58</v>
      </c>
      <c r="B652" s="117">
        <v>283300</v>
      </c>
      <c r="C652" s="117">
        <v>2812.19</v>
      </c>
    </row>
    <row r="653" spans="1:3" ht="18" x14ac:dyDescent="0.2">
      <c r="A653" s="121" t="s">
        <v>95</v>
      </c>
      <c r="B653" s="117">
        <v>107891.53</v>
      </c>
      <c r="C653" s="117">
        <v>1070.99</v>
      </c>
    </row>
    <row r="654" spans="1:3" ht="18" x14ac:dyDescent="0.2">
      <c r="A654" s="121" t="s">
        <v>217</v>
      </c>
      <c r="B654" s="117">
        <v>2014.8</v>
      </c>
      <c r="C654" s="117">
        <v>20</v>
      </c>
    </row>
    <row r="655" spans="1:3" ht="18" x14ac:dyDescent="0.2">
      <c r="A655" s="121" t="s">
        <v>136</v>
      </c>
      <c r="B655" s="117">
        <v>4600.79</v>
      </c>
      <c r="C655" s="117">
        <v>45.67</v>
      </c>
    </row>
    <row r="656" spans="1:3" ht="18" x14ac:dyDescent="0.2">
      <c r="A656" s="121" t="s">
        <v>59</v>
      </c>
      <c r="B656" s="117">
        <v>60444</v>
      </c>
      <c r="C656" s="117">
        <v>600</v>
      </c>
    </row>
    <row r="657" spans="1:3" ht="18" x14ac:dyDescent="0.2">
      <c r="A657" s="121" t="s">
        <v>96</v>
      </c>
      <c r="B657" s="117">
        <v>39586.78</v>
      </c>
      <c r="C657" s="117">
        <v>392.96000000000004</v>
      </c>
    </row>
    <row r="658" spans="1:3" ht="18" x14ac:dyDescent="0.2">
      <c r="A658" s="121" t="s">
        <v>2450</v>
      </c>
      <c r="B658" s="117">
        <v>108998</v>
      </c>
      <c r="C658" s="117">
        <v>1081.97</v>
      </c>
    </row>
    <row r="659" spans="1:3" ht="18" x14ac:dyDescent="0.2">
      <c r="A659" s="121" t="s">
        <v>2611</v>
      </c>
      <c r="B659" s="117">
        <v>10000</v>
      </c>
      <c r="C659" s="117">
        <v>99.27</v>
      </c>
    </row>
    <row r="660" spans="1:3" ht="18" x14ac:dyDescent="0.2">
      <c r="A660" s="122">
        <v>46214</v>
      </c>
      <c r="B660" s="477">
        <v>1390267.22</v>
      </c>
      <c r="C660" s="477">
        <v>13800.54</v>
      </c>
    </row>
    <row r="661" spans="1:3" ht="18" x14ac:dyDescent="0.2">
      <c r="A661" s="121" t="s">
        <v>56</v>
      </c>
      <c r="B661" s="117">
        <v>18644.95</v>
      </c>
      <c r="C661" s="117">
        <v>185.07999999999998</v>
      </c>
    </row>
    <row r="662" spans="1:3" ht="18" x14ac:dyDescent="0.2">
      <c r="A662" s="121" t="s">
        <v>152</v>
      </c>
      <c r="B662" s="117">
        <v>189200</v>
      </c>
      <c r="C662" s="117">
        <v>1878.1</v>
      </c>
    </row>
    <row r="663" spans="1:3" ht="18" x14ac:dyDescent="0.2">
      <c r="A663" s="121" t="s">
        <v>58</v>
      </c>
      <c r="B663" s="117">
        <v>272122.2</v>
      </c>
      <c r="C663" s="117">
        <v>2701.23</v>
      </c>
    </row>
    <row r="664" spans="1:3" ht="18" x14ac:dyDescent="0.2">
      <c r="A664" s="121" t="s">
        <v>95</v>
      </c>
      <c r="B664" s="117">
        <v>98614.39</v>
      </c>
      <c r="C664" s="117">
        <v>978.9</v>
      </c>
    </row>
    <row r="665" spans="1:3" ht="18" x14ac:dyDescent="0.2">
      <c r="A665" s="121" t="s">
        <v>96</v>
      </c>
      <c r="B665" s="117">
        <v>201480</v>
      </c>
      <c r="C665" s="117">
        <v>2000</v>
      </c>
    </row>
    <row r="666" spans="1:3" ht="18" x14ac:dyDescent="0.2">
      <c r="A666" s="121" t="s">
        <v>714</v>
      </c>
      <c r="B666" s="117">
        <v>9530</v>
      </c>
      <c r="C666" s="117">
        <v>94.6</v>
      </c>
    </row>
    <row r="667" spans="1:3" ht="18" x14ac:dyDescent="0.2">
      <c r="A667" s="121" t="s">
        <v>1073</v>
      </c>
      <c r="B667" s="117">
        <v>302220</v>
      </c>
      <c r="C667" s="117">
        <v>3000</v>
      </c>
    </row>
    <row r="668" spans="1:3" ht="18" x14ac:dyDescent="0.2">
      <c r="A668" s="121" t="s">
        <v>2364</v>
      </c>
      <c r="B668" s="117">
        <v>12039.88</v>
      </c>
      <c r="C668" s="117">
        <v>119.51</v>
      </c>
    </row>
    <row r="669" spans="1:3" ht="18" x14ac:dyDescent="0.2">
      <c r="A669" s="121" t="s">
        <v>2450</v>
      </c>
      <c r="B669" s="117">
        <v>130416.8</v>
      </c>
      <c r="C669" s="117">
        <v>1294.5899999999999</v>
      </c>
    </row>
    <row r="670" spans="1:3" ht="18" x14ac:dyDescent="0.2">
      <c r="A670" s="121" t="s">
        <v>2570</v>
      </c>
      <c r="B670" s="117">
        <v>135999</v>
      </c>
      <c r="C670" s="117">
        <v>1350</v>
      </c>
    </row>
    <row r="671" spans="1:3" ht="18" x14ac:dyDescent="0.2">
      <c r="A671" s="121" t="s">
        <v>2611</v>
      </c>
      <c r="B671" s="117">
        <v>20000</v>
      </c>
      <c r="C671" s="117">
        <v>198.53</v>
      </c>
    </row>
    <row r="672" spans="1:3" ht="18" x14ac:dyDescent="0.2">
      <c r="A672" s="122">
        <v>46213</v>
      </c>
      <c r="B672" s="477">
        <v>2165709.08</v>
      </c>
      <c r="C672" s="477">
        <v>21645.71</v>
      </c>
    </row>
    <row r="673" spans="1:3" ht="18" x14ac:dyDescent="0.2">
      <c r="A673" s="121" t="s">
        <v>54</v>
      </c>
      <c r="B673" s="117">
        <v>4632.0200000000004</v>
      </c>
      <c r="C673" s="117">
        <v>45.98</v>
      </c>
    </row>
    <row r="674" spans="1:3" ht="18" x14ac:dyDescent="0.2">
      <c r="A674" s="121" t="s">
        <v>2612</v>
      </c>
      <c r="B674" s="117">
        <v>120000</v>
      </c>
      <c r="C674" s="117">
        <v>1191.18</v>
      </c>
    </row>
    <row r="675" spans="1:3" ht="18" x14ac:dyDescent="0.2">
      <c r="A675" s="121" t="s">
        <v>143</v>
      </c>
      <c r="B675" s="117">
        <v>1194000</v>
      </c>
      <c r="C675" s="117">
        <v>12000</v>
      </c>
    </row>
    <row r="676" spans="1:3" ht="18" x14ac:dyDescent="0.2">
      <c r="A676" s="121" t="s">
        <v>152</v>
      </c>
      <c r="B676" s="117">
        <v>158600</v>
      </c>
      <c r="C676" s="117">
        <v>1574.35</v>
      </c>
    </row>
    <row r="677" spans="1:3" ht="18" x14ac:dyDescent="0.2">
      <c r="A677" s="121" t="s">
        <v>58</v>
      </c>
      <c r="B677" s="117">
        <v>398400</v>
      </c>
      <c r="C677" s="117">
        <v>3954.74</v>
      </c>
    </row>
    <row r="678" spans="1:3" ht="18" x14ac:dyDescent="0.2">
      <c r="A678" s="121" t="s">
        <v>95</v>
      </c>
      <c r="B678" s="117">
        <v>126150.66</v>
      </c>
      <c r="C678" s="117">
        <v>1252.24</v>
      </c>
    </row>
    <row r="679" spans="1:3" ht="18" x14ac:dyDescent="0.2">
      <c r="A679" s="121" t="s">
        <v>256</v>
      </c>
      <c r="B679" s="117">
        <v>1007.4</v>
      </c>
      <c r="C679" s="117">
        <v>10</v>
      </c>
    </row>
    <row r="680" spans="1:3" ht="18" x14ac:dyDescent="0.2">
      <c r="A680" s="121" t="s">
        <v>1483</v>
      </c>
      <c r="B680" s="117">
        <v>60444</v>
      </c>
      <c r="C680" s="117">
        <v>600</v>
      </c>
    </row>
    <row r="681" spans="1:3" ht="18" x14ac:dyDescent="0.2">
      <c r="A681" s="121" t="s">
        <v>2364</v>
      </c>
      <c r="B681" s="117">
        <v>1050</v>
      </c>
      <c r="C681" s="117">
        <v>10.42</v>
      </c>
    </row>
    <row r="682" spans="1:3" ht="18" x14ac:dyDescent="0.2">
      <c r="A682" s="121" t="s">
        <v>2450</v>
      </c>
      <c r="B682" s="117">
        <v>76240</v>
      </c>
      <c r="C682" s="117">
        <v>756.8</v>
      </c>
    </row>
    <row r="683" spans="1:3" ht="18" x14ac:dyDescent="0.2">
      <c r="A683" s="121" t="s">
        <v>2570</v>
      </c>
      <c r="B683" s="117">
        <v>25185</v>
      </c>
      <c r="C683" s="117">
        <v>250</v>
      </c>
    </row>
    <row r="684" spans="1:3" ht="18" x14ac:dyDescent="0.2">
      <c r="A684" s="122">
        <v>46212</v>
      </c>
      <c r="B684" s="477">
        <v>5675950.5199999996</v>
      </c>
      <c r="C684" s="477">
        <v>56859.54</v>
      </c>
    </row>
    <row r="685" spans="1:3" ht="18" x14ac:dyDescent="0.2">
      <c r="A685" s="121" t="s">
        <v>54</v>
      </c>
      <c r="B685" s="117">
        <v>20148</v>
      </c>
      <c r="C685" s="117">
        <v>200</v>
      </c>
    </row>
    <row r="686" spans="1:3" ht="18" x14ac:dyDescent="0.2">
      <c r="A686" s="121" t="s">
        <v>143</v>
      </c>
      <c r="B686" s="117">
        <v>1194000</v>
      </c>
      <c r="C686" s="117">
        <v>12000</v>
      </c>
    </row>
    <row r="687" spans="1:3" ht="18" x14ac:dyDescent="0.2">
      <c r="A687" s="121" t="s">
        <v>56</v>
      </c>
      <c r="B687" s="117">
        <v>4130.34</v>
      </c>
      <c r="C687" s="117">
        <v>41</v>
      </c>
    </row>
    <row r="688" spans="1:3" ht="18" x14ac:dyDescent="0.2">
      <c r="A688" s="121" t="s">
        <v>152</v>
      </c>
      <c r="B688" s="117">
        <v>136800</v>
      </c>
      <c r="C688" s="117">
        <v>1357.95</v>
      </c>
    </row>
    <row r="689" spans="1:3" ht="18" x14ac:dyDescent="0.2">
      <c r="A689" s="121" t="s">
        <v>58</v>
      </c>
      <c r="B689" s="117">
        <v>483200</v>
      </c>
      <c r="C689" s="117">
        <v>4796.5</v>
      </c>
    </row>
    <row r="690" spans="1:3" ht="18" x14ac:dyDescent="0.2">
      <c r="A690" s="121" t="s">
        <v>95</v>
      </c>
      <c r="B690" s="117">
        <v>203918.92</v>
      </c>
      <c r="C690" s="117">
        <v>2024.21</v>
      </c>
    </row>
    <row r="691" spans="1:3" ht="18" x14ac:dyDescent="0.2">
      <c r="A691" s="121" t="s">
        <v>256</v>
      </c>
      <c r="B691" s="117">
        <v>3022.2</v>
      </c>
      <c r="C691" s="117">
        <v>30</v>
      </c>
    </row>
    <row r="692" spans="1:3" ht="18" x14ac:dyDescent="0.2">
      <c r="A692" s="121" t="s">
        <v>199</v>
      </c>
      <c r="B692" s="117">
        <v>61653.88</v>
      </c>
      <c r="C692" s="117">
        <v>612.01</v>
      </c>
    </row>
    <row r="693" spans="1:3" ht="18" x14ac:dyDescent="0.2">
      <c r="A693" s="121" t="s">
        <v>51</v>
      </c>
      <c r="B693" s="117">
        <v>2985000</v>
      </c>
      <c r="C693" s="117">
        <v>30000</v>
      </c>
    </row>
    <row r="694" spans="1:3" ht="18" x14ac:dyDescent="0.2">
      <c r="A694" s="121" t="s">
        <v>96</v>
      </c>
      <c r="B694" s="117">
        <v>201480</v>
      </c>
      <c r="C694" s="117">
        <v>2000</v>
      </c>
    </row>
    <row r="695" spans="1:3" ht="18" x14ac:dyDescent="0.2">
      <c r="A695" s="121" t="s">
        <v>714</v>
      </c>
      <c r="B695" s="117">
        <v>16017.66</v>
      </c>
      <c r="C695" s="117">
        <v>159</v>
      </c>
    </row>
    <row r="696" spans="1:3" ht="18" x14ac:dyDescent="0.2">
      <c r="A696" s="121" t="s">
        <v>901</v>
      </c>
      <c r="B696" s="117">
        <v>201483.02</v>
      </c>
      <c r="C696" s="117">
        <v>2000.03</v>
      </c>
    </row>
    <row r="697" spans="1:3" ht="18" x14ac:dyDescent="0.2">
      <c r="A697" s="121" t="s">
        <v>2364</v>
      </c>
      <c r="B697" s="117">
        <v>4000</v>
      </c>
      <c r="C697" s="117">
        <v>39.71</v>
      </c>
    </row>
    <row r="698" spans="1:3" ht="18" x14ac:dyDescent="0.2">
      <c r="A698" s="121" t="s">
        <v>2450</v>
      </c>
      <c r="B698" s="117">
        <v>115942.82</v>
      </c>
      <c r="C698" s="117">
        <v>1150.9100000000001</v>
      </c>
    </row>
    <row r="699" spans="1:3" ht="18" x14ac:dyDescent="0.2">
      <c r="A699" s="121" t="s">
        <v>2570</v>
      </c>
      <c r="B699" s="117">
        <v>20148</v>
      </c>
      <c r="C699" s="117">
        <v>200</v>
      </c>
    </row>
    <row r="700" spans="1:3" ht="18" x14ac:dyDescent="0.2">
      <c r="A700" s="121" t="s">
        <v>2611</v>
      </c>
      <c r="B700" s="117">
        <v>25005.68</v>
      </c>
      <c r="C700" s="117">
        <v>248.22</v>
      </c>
    </row>
    <row r="701" spans="1:3" ht="18" x14ac:dyDescent="0.2">
      <c r="A701" s="122">
        <v>46211</v>
      </c>
      <c r="B701" s="477">
        <v>1270734.6499999999</v>
      </c>
      <c r="C701" s="477">
        <v>12614</v>
      </c>
    </row>
    <row r="702" spans="1:3" ht="18" x14ac:dyDescent="0.2">
      <c r="A702" s="121" t="s">
        <v>2612</v>
      </c>
      <c r="B702" s="117">
        <v>120000</v>
      </c>
      <c r="C702" s="117">
        <v>1191.18</v>
      </c>
    </row>
    <row r="703" spans="1:3" ht="18" x14ac:dyDescent="0.2">
      <c r="A703" s="121" t="s">
        <v>92</v>
      </c>
      <c r="B703" s="117">
        <v>60444</v>
      </c>
      <c r="C703" s="117">
        <v>600</v>
      </c>
    </row>
    <row r="704" spans="1:3" ht="18" x14ac:dyDescent="0.2">
      <c r="A704" s="121" t="s">
        <v>152</v>
      </c>
      <c r="B704" s="117">
        <v>185500</v>
      </c>
      <c r="C704" s="117">
        <v>1841.37</v>
      </c>
    </row>
    <row r="705" spans="1:3" ht="18" x14ac:dyDescent="0.2">
      <c r="A705" s="121" t="s">
        <v>58</v>
      </c>
      <c r="B705" s="117">
        <v>352500</v>
      </c>
      <c r="C705" s="117">
        <v>3499.1099999999997</v>
      </c>
    </row>
    <row r="706" spans="1:3" ht="18" x14ac:dyDescent="0.2">
      <c r="A706" s="121" t="s">
        <v>95</v>
      </c>
      <c r="B706" s="117">
        <v>92585.1</v>
      </c>
      <c r="C706" s="117">
        <v>919.05</v>
      </c>
    </row>
    <row r="707" spans="1:3" ht="18" x14ac:dyDescent="0.2">
      <c r="A707" s="121" t="s">
        <v>256</v>
      </c>
      <c r="B707" s="117">
        <v>7051.7999999999993</v>
      </c>
      <c r="C707" s="117">
        <v>70</v>
      </c>
    </row>
    <row r="708" spans="1:3" ht="18" x14ac:dyDescent="0.2">
      <c r="A708" s="121" t="s">
        <v>1073</v>
      </c>
      <c r="B708" s="117">
        <v>302220</v>
      </c>
      <c r="C708" s="117">
        <v>3000</v>
      </c>
    </row>
    <row r="709" spans="1:3" ht="18" x14ac:dyDescent="0.2">
      <c r="A709" s="121" t="s">
        <v>2364</v>
      </c>
      <c r="B709" s="117">
        <v>2000</v>
      </c>
      <c r="C709" s="117">
        <v>19.850000000000001</v>
      </c>
    </row>
    <row r="710" spans="1:3" ht="18" x14ac:dyDescent="0.2">
      <c r="A710" s="121" t="s">
        <v>2450</v>
      </c>
      <c r="B710" s="117">
        <v>93100.75</v>
      </c>
      <c r="C710" s="117">
        <v>924.17</v>
      </c>
    </row>
    <row r="711" spans="1:3" ht="18" x14ac:dyDescent="0.2">
      <c r="A711" s="121" t="s">
        <v>2570</v>
      </c>
      <c r="B711" s="117">
        <v>40296</v>
      </c>
      <c r="C711" s="117">
        <v>400</v>
      </c>
    </row>
    <row r="712" spans="1:3" ht="18" x14ac:dyDescent="0.2">
      <c r="A712" s="121" t="s">
        <v>2611</v>
      </c>
      <c r="B712" s="117">
        <v>15037</v>
      </c>
      <c r="C712" s="117">
        <v>149.26999999999998</v>
      </c>
    </row>
    <row r="713" spans="1:3" ht="18" x14ac:dyDescent="0.2">
      <c r="A713" s="122">
        <v>46210</v>
      </c>
      <c r="B713" s="477">
        <v>1065727.7</v>
      </c>
      <c r="C713" s="477">
        <v>10578.990000000002</v>
      </c>
    </row>
    <row r="714" spans="1:3" ht="18" x14ac:dyDescent="0.2">
      <c r="A714" s="121" t="s">
        <v>56</v>
      </c>
      <c r="B714" s="117">
        <v>23239.7</v>
      </c>
      <c r="C714" s="117">
        <v>230.69</v>
      </c>
    </row>
    <row r="715" spans="1:3" ht="18" x14ac:dyDescent="0.2">
      <c r="A715" s="121" t="s">
        <v>152</v>
      </c>
      <c r="B715" s="117">
        <v>154600</v>
      </c>
      <c r="C715" s="117">
        <v>1534.64</v>
      </c>
    </row>
    <row r="716" spans="1:3" ht="18" x14ac:dyDescent="0.2">
      <c r="A716" s="121" t="s">
        <v>58</v>
      </c>
      <c r="B716" s="117">
        <v>455900</v>
      </c>
      <c r="C716" s="117">
        <v>4525.51</v>
      </c>
    </row>
    <row r="717" spans="1:3" ht="18" x14ac:dyDescent="0.2">
      <c r="A717" s="121" t="s">
        <v>95</v>
      </c>
      <c r="B717" s="117">
        <v>114304.64</v>
      </c>
      <c r="C717" s="117">
        <v>1134.6500000000001</v>
      </c>
    </row>
    <row r="718" spans="1:3" ht="18" x14ac:dyDescent="0.2">
      <c r="A718" s="121" t="s">
        <v>199</v>
      </c>
      <c r="B718" s="117">
        <v>35259</v>
      </c>
      <c r="C718" s="117">
        <v>350</v>
      </c>
    </row>
    <row r="719" spans="1:3" ht="18" x14ac:dyDescent="0.2">
      <c r="A719" s="121" t="s">
        <v>96</v>
      </c>
      <c r="B719" s="117">
        <v>201482.01</v>
      </c>
      <c r="C719" s="117">
        <v>2000.02</v>
      </c>
    </row>
    <row r="720" spans="1:3" ht="18" x14ac:dyDescent="0.2">
      <c r="A720" s="121" t="s">
        <v>714</v>
      </c>
      <c r="B720" s="117">
        <v>10074</v>
      </c>
      <c r="C720" s="117">
        <v>100</v>
      </c>
    </row>
    <row r="721" spans="1:3" ht="18" x14ac:dyDescent="0.2">
      <c r="A721" s="121" t="s">
        <v>1786</v>
      </c>
      <c r="B721" s="117">
        <v>8000</v>
      </c>
      <c r="C721" s="117">
        <v>79.42</v>
      </c>
    </row>
    <row r="722" spans="1:3" ht="18" x14ac:dyDescent="0.2">
      <c r="A722" s="121" t="s">
        <v>2364</v>
      </c>
      <c r="B722" s="117">
        <v>3420.45</v>
      </c>
      <c r="C722" s="117">
        <v>33.950000000000003</v>
      </c>
    </row>
    <row r="723" spans="1:3" ht="18" x14ac:dyDescent="0.2">
      <c r="A723" s="121" t="s">
        <v>2450</v>
      </c>
      <c r="B723" s="117">
        <v>59447.9</v>
      </c>
      <c r="C723" s="117">
        <v>590.11</v>
      </c>
    </row>
    <row r="724" spans="1:3" ht="18" x14ac:dyDescent="0.2">
      <c r="A724" s="122">
        <v>46209</v>
      </c>
      <c r="B724" s="477">
        <v>2056593.14</v>
      </c>
      <c r="C724" s="477">
        <v>20414.919999999995</v>
      </c>
    </row>
    <row r="725" spans="1:3" ht="18" x14ac:dyDescent="0.2">
      <c r="A725" s="121" t="s">
        <v>53</v>
      </c>
      <c r="B725" s="117">
        <v>4960.43</v>
      </c>
      <c r="C725" s="117">
        <v>49.24</v>
      </c>
    </row>
    <row r="726" spans="1:3" ht="18" x14ac:dyDescent="0.2">
      <c r="A726" s="121" t="s">
        <v>143</v>
      </c>
      <c r="B726" s="117">
        <v>1208880</v>
      </c>
      <c r="C726" s="117">
        <v>12000</v>
      </c>
    </row>
    <row r="727" spans="1:3" ht="18" x14ac:dyDescent="0.2">
      <c r="A727" s="121" t="s">
        <v>152</v>
      </c>
      <c r="B727" s="117">
        <v>111600</v>
      </c>
      <c r="C727" s="117">
        <v>1107.8</v>
      </c>
    </row>
    <row r="728" spans="1:3" ht="18" x14ac:dyDescent="0.2">
      <c r="A728" s="121" t="s">
        <v>58</v>
      </c>
      <c r="B728" s="117">
        <v>268800</v>
      </c>
      <c r="C728" s="117">
        <v>2668.25</v>
      </c>
    </row>
    <row r="729" spans="1:3" ht="18" x14ac:dyDescent="0.2">
      <c r="A729" s="121" t="s">
        <v>95</v>
      </c>
      <c r="B729" s="117">
        <v>119487.71</v>
      </c>
      <c r="C729" s="117">
        <v>1186.0999999999999</v>
      </c>
    </row>
    <row r="730" spans="1:3" ht="18" x14ac:dyDescent="0.2">
      <c r="A730" s="121" t="s">
        <v>1786</v>
      </c>
      <c r="B730" s="117">
        <v>42800</v>
      </c>
      <c r="C730" s="117">
        <v>424.91999999999996</v>
      </c>
    </row>
    <row r="731" spans="1:3" ht="18" x14ac:dyDescent="0.2">
      <c r="A731" s="121" t="s">
        <v>2364</v>
      </c>
      <c r="B731" s="117">
        <v>4500</v>
      </c>
      <c r="C731" s="117">
        <v>44.67</v>
      </c>
    </row>
    <row r="732" spans="1:3" ht="18" x14ac:dyDescent="0.2">
      <c r="A732" s="121" t="s">
        <v>2450</v>
      </c>
      <c r="B732" s="117">
        <v>53789</v>
      </c>
      <c r="C732" s="117">
        <v>533.94000000000005</v>
      </c>
    </row>
    <row r="733" spans="1:3" ht="18" x14ac:dyDescent="0.2">
      <c r="A733" s="121" t="s">
        <v>2570</v>
      </c>
      <c r="B733" s="117">
        <v>241776</v>
      </c>
      <c r="C733" s="117">
        <v>2400</v>
      </c>
    </row>
    <row r="734" spans="1:3" ht="18" x14ac:dyDescent="0.2">
      <c r="A734" s="122">
        <v>46208</v>
      </c>
      <c r="B734" s="477">
        <v>603648.74</v>
      </c>
      <c r="C734" s="477">
        <v>5992.2100000000009</v>
      </c>
    </row>
    <row r="735" spans="1:3" ht="18" x14ac:dyDescent="0.2">
      <c r="A735" s="121" t="s">
        <v>152</v>
      </c>
      <c r="B735" s="117">
        <v>52300</v>
      </c>
      <c r="C735" s="117">
        <v>519.16</v>
      </c>
    </row>
    <row r="736" spans="1:3" ht="18" x14ac:dyDescent="0.2">
      <c r="A736" s="121" t="s">
        <v>58</v>
      </c>
      <c r="B736" s="117">
        <v>184400</v>
      </c>
      <c r="C736" s="117">
        <v>1830.46</v>
      </c>
    </row>
    <row r="737" spans="1:3" ht="18" x14ac:dyDescent="0.2">
      <c r="A737" s="121" t="s">
        <v>95</v>
      </c>
      <c r="B737" s="117">
        <v>97161.72</v>
      </c>
      <c r="C737" s="117">
        <v>964.48</v>
      </c>
    </row>
    <row r="738" spans="1:3" ht="18" x14ac:dyDescent="0.2">
      <c r="A738" s="121" t="s">
        <v>256</v>
      </c>
      <c r="B738" s="117">
        <v>7555.5</v>
      </c>
      <c r="C738" s="117">
        <v>75</v>
      </c>
    </row>
    <row r="739" spans="1:3" ht="18" x14ac:dyDescent="0.2">
      <c r="A739" s="121" t="s">
        <v>714</v>
      </c>
      <c r="B739" s="117">
        <v>15999.52</v>
      </c>
      <c r="C739" s="117">
        <v>158.82</v>
      </c>
    </row>
    <row r="740" spans="1:3" ht="18" x14ac:dyDescent="0.2">
      <c r="A740" s="121" t="s">
        <v>1483</v>
      </c>
      <c r="B740" s="117">
        <v>30222</v>
      </c>
      <c r="C740" s="117">
        <v>300</v>
      </c>
    </row>
    <row r="741" spans="1:3" ht="18" x14ac:dyDescent="0.2">
      <c r="A741" s="121" t="s">
        <v>1786</v>
      </c>
      <c r="B741" s="117">
        <v>32400</v>
      </c>
      <c r="C741" s="117">
        <v>321.68</v>
      </c>
    </row>
    <row r="742" spans="1:3" ht="18" x14ac:dyDescent="0.2">
      <c r="A742" s="121" t="s">
        <v>2364</v>
      </c>
      <c r="B742" s="117">
        <v>5000</v>
      </c>
      <c r="C742" s="117">
        <v>49.63</v>
      </c>
    </row>
    <row r="743" spans="1:3" ht="18" x14ac:dyDescent="0.2">
      <c r="A743" s="121" t="s">
        <v>2450</v>
      </c>
      <c r="B743" s="117">
        <v>77870</v>
      </c>
      <c r="C743" s="117">
        <v>772.98</v>
      </c>
    </row>
    <row r="744" spans="1:3" ht="18" x14ac:dyDescent="0.2">
      <c r="A744" s="121" t="s">
        <v>2570</v>
      </c>
      <c r="B744" s="117">
        <v>100740</v>
      </c>
      <c r="C744" s="117">
        <v>1000</v>
      </c>
    </row>
    <row r="745" spans="1:3" ht="18" x14ac:dyDescent="0.2">
      <c r="A745" s="122">
        <v>46207</v>
      </c>
      <c r="B745" s="477">
        <v>888793.05</v>
      </c>
      <c r="C745" s="477">
        <v>8822.67</v>
      </c>
    </row>
    <row r="746" spans="1:3" ht="18" x14ac:dyDescent="0.2">
      <c r="A746" s="121" t="s">
        <v>152</v>
      </c>
      <c r="B746" s="117">
        <v>147000</v>
      </c>
      <c r="C746" s="117">
        <v>1459.2</v>
      </c>
    </row>
    <row r="747" spans="1:3" ht="18" x14ac:dyDescent="0.2">
      <c r="A747" s="121" t="s">
        <v>58</v>
      </c>
      <c r="B747" s="117">
        <v>406922.2</v>
      </c>
      <c r="C747" s="117">
        <v>4039.33</v>
      </c>
    </row>
    <row r="748" spans="1:3" ht="18" x14ac:dyDescent="0.2">
      <c r="A748" s="121" t="s">
        <v>95</v>
      </c>
      <c r="B748" s="117">
        <v>98699.01</v>
      </c>
      <c r="C748" s="117">
        <v>979.74</v>
      </c>
    </row>
    <row r="749" spans="1:3" ht="18" x14ac:dyDescent="0.2">
      <c r="A749" s="121" t="s">
        <v>217</v>
      </c>
      <c r="B749" s="117">
        <v>2014.8</v>
      </c>
      <c r="C749" s="117">
        <v>20</v>
      </c>
    </row>
    <row r="750" spans="1:3" ht="18" x14ac:dyDescent="0.2">
      <c r="A750" s="121" t="s">
        <v>256</v>
      </c>
      <c r="B750" s="117">
        <v>2518.5</v>
      </c>
      <c r="C750" s="117">
        <v>25</v>
      </c>
    </row>
    <row r="751" spans="1:3" ht="18" x14ac:dyDescent="0.2">
      <c r="A751" s="121" t="s">
        <v>96</v>
      </c>
      <c r="B751" s="117">
        <v>201484.03</v>
      </c>
      <c r="C751" s="117">
        <v>2000.04</v>
      </c>
    </row>
    <row r="752" spans="1:3" ht="18" x14ac:dyDescent="0.2">
      <c r="A752" s="121" t="s">
        <v>1786</v>
      </c>
      <c r="B752" s="117">
        <v>12400</v>
      </c>
      <c r="C752" s="117">
        <v>123.11999999999999</v>
      </c>
    </row>
    <row r="753" spans="1:3" ht="18" x14ac:dyDescent="0.2">
      <c r="A753" s="121" t="s">
        <v>2450</v>
      </c>
      <c r="B753" s="117">
        <v>17754.509999999998</v>
      </c>
      <c r="C753" s="117">
        <v>176.24</v>
      </c>
    </row>
    <row r="754" spans="1:3" ht="18" x14ac:dyDescent="0.2">
      <c r="A754" s="122">
        <v>46206</v>
      </c>
      <c r="B754" s="477">
        <v>2380801.89</v>
      </c>
      <c r="C754" s="477">
        <v>23633.139999999996</v>
      </c>
    </row>
    <row r="755" spans="1:3" ht="18" x14ac:dyDescent="0.2">
      <c r="A755" s="121" t="s">
        <v>257</v>
      </c>
      <c r="B755" s="117">
        <v>5226.3900000000003</v>
      </c>
      <c r="C755" s="117">
        <v>51.88</v>
      </c>
    </row>
    <row r="756" spans="1:3" ht="18" x14ac:dyDescent="0.2">
      <c r="A756" s="121" t="s">
        <v>152</v>
      </c>
      <c r="B756" s="117">
        <v>60500</v>
      </c>
      <c r="C756" s="117">
        <v>600.55999999999995</v>
      </c>
    </row>
    <row r="757" spans="1:3" ht="18" x14ac:dyDescent="0.2">
      <c r="A757" s="121" t="s">
        <v>58</v>
      </c>
      <c r="B757" s="117">
        <v>534522.19999999995</v>
      </c>
      <c r="C757" s="117">
        <v>5305.96</v>
      </c>
    </row>
    <row r="758" spans="1:3" ht="18" x14ac:dyDescent="0.2">
      <c r="A758" s="121" t="s">
        <v>95</v>
      </c>
      <c r="B758" s="117">
        <v>119488.72</v>
      </c>
      <c r="C758" s="117">
        <v>1186.1099999999999</v>
      </c>
    </row>
    <row r="759" spans="1:3" ht="18" x14ac:dyDescent="0.2">
      <c r="A759" s="121" t="s">
        <v>52</v>
      </c>
      <c r="B759" s="117">
        <v>1208880</v>
      </c>
      <c r="C759" s="117">
        <v>12000</v>
      </c>
    </row>
    <row r="760" spans="1:3" ht="18" x14ac:dyDescent="0.2">
      <c r="A760" s="121" t="s">
        <v>96</v>
      </c>
      <c r="B760" s="117">
        <v>201488.06</v>
      </c>
      <c r="C760" s="117">
        <v>2000.08</v>
      </c>
    </row>
    <row r="761" spans="1:3" ht="18" x14ac:dyDescent="0.2">
      <c r="A761" s="121" t="s">
        <v>714</v>
      </c>
      <c r="B761" s="117">
        <v>8920.52</v>
      </c>
      <c r="C761" s="117">
        <v>88.55</v>
      </c>
    </row>
    <row r="762" spans="1:3" ht="18" x14ac:dyDescent="0.2">
      <c r="A762" s="121" t="s">
        <v>2570</v>
      </c>
      <c r="B762" s="117">
        <v>241776</v>
      </c>
      <c r="C762" s="117">
        <v>2400</v>
      </c>
    </row>
    <row r="763" spans="1:3" ht="18" x14ac:dyDescent="0.2">
      <c r="A763" s="122">
        <v>46205</v>
      </c>
      <c r="B763" s="477">
        <v>2198658.4699999997</v>
      </c>
      <c r="C763" s="477">
        <v>21825.079999999998</v>
      </c>
    </row>
    <row r="764" spans="1:3" ht="18" x14ac:dyDescent="0.2">
      <c r="A764" s="121" t="s">
        <v>54</v>
      </c>
      <c r="B764" s="117">
        <v>28307.94</v>
      </c>
      <c r="C764" s="117">
        <v>281</v>
      </c>
    </row>
    <row r="765" spans="1:3" ht="18" x14ac:dyDescent="0.2">
      <c r="A765" s="121" t="s">
        <v>143</v>
      </c>
      <c r="B765" s="117">
        <v>1208880</v>
      </c>
      <c r="C765" s="117">
        <v>12000</v>
      </c>
    </row>
    <row r="766" spans="1:3" ht="18" x14ac:dyDescent="0.2">
      <c r="A766" s="121" t="s">
        <v>152</v>
      </c>
      <c r="B766" s="117">
        <v>81000</v>
      </c>
      <c r="C766" s="117">
        <v>804.05</v>
      </c>
    </row>
    <row r="767" spans="1:3" ht="18" x14ac:dyDescent="0.2">
      <c r="A767" s="121" t="s">
        <v>58</v>
      </c>
      <c r="B767" s="117">
        <v>211800</v>
      </c>
      <c r="C767" s="117">
        <v>2102.44</v>
      </c>
    </row>
    <row r="768" spans="1:3" ht="18" x14ac:dyDescent="0.2">
      <c r="A768" s="121" t="s">
        <v>95</v>
      </c>
      <c r="B768" s="117">
        <v>161864</v>
      </c>
      <c r="C768" s="117">
        <v>1606.75</v>
      </c>
    </row>
    <row r="769" spans="1:3" ht="18" x14ac:dyDescent="0.2">
      <c r="A769" s="121" t="s">
        <v>256</v>
      </c>
      <c r="B769" s="117">
        <v>813.68</v>
      </c>
      <c r="C769" s="117">
        <v>8.08</v>
      </c>
    </row>
    <row r="770" spans="1:3" ht="18" x14ac:dyDescent="0.2">
      <c r="A770" s="121" t="s">
        <v>714</v>
      </c>
      <c r="B770" s="117">
        <v>77032.850000000006</v>
      </c>
      <c r="C770" s="117">
        <v>764.67000000000007</v>
      </c>
    </row>
    <row r="771" spans="1:3" ht="18" x14ac:dyDescent="0.2">
      <c r="A771" s="121" t="s">
        <v>1073</v>
      </c>
      <c r="B771" s="117">
        <v>302220</v>
      </c>
      <c r="C771" s="117">
        <v>3000</v>
      </c>
    </row>
    <row r="772" spans="1:3" ht="18" x14ac:dyDescent="0.2">
      <c r="A772" s="121" t="s">
        <v>2364</v>
      </c>
      <c r="B772" s="117">
        <v>26000</v>
      </c>
      <c r="C772" s="117">
        <v>258.08999999999997</v>
      </c>
    </row>
    <row r="773" spans="1:3" ht="18" x14ac:dyDescent="0.2">
      <c r="A773" s="121" t="s">
        <v>2570</v>
      </c>
      <c r="B773" s="117">
        <v>100740</v>
      </c>
      <c r="C773" s="117">
        <v>1000</v>
      </c>
    </row>
    <row r="774" spans="1:3" ht="18" x14ac:dyDescent="0.2">
      <c r="A774" s="122">
        <v>46204</v>
      </c>
      <c r="B774" s="477">
        <v>1416463.51</v>
      </c>
      <c r="C774" s="477">
        <v>14060.589999999998</v>
      </c>
    </row>
    <row r="775" spans="1:3" ht="18" x14ac:dyDescent="0.2">
      <c r="A775" s="121" t="s">
        <v>54</v>
      </c>
      <c r="B775" s="117">
        <v>4029.6</v>
      </c>
      <c r="C775" s="117">
        <v>40</v>
      </c>
    </row>
    <row r="776" spans="1:3" ht="18" x14ac:dyDescent="0.2">
      <c r="A776" s="121" t="s">
        <v>57</v>
      </c>
      <c r="B776" s="117">
        <v>12995.46</v>
      </c>
      <c r="C776" s="117">
        <v>129</v>
      </c>
    </row>
    <row r="777" spans="1:3" ht="18" x14ac:dyDescent="0.2">
      <c r="A777" s="121" t="s">
        <v>874</v>
      </c>
      <c r="B777" s="117">
        <v>100740</v>
      </c>
      <c r="C777" s="117">
        <v>1000</v>
      </c>
    </row>
    <row r="778" spans="1:3" ht="18" x14ac:dyDescent="0.2">
      <c r="A778" s="121" t="s">
        <v>152</v>
      </c>
      <c r="B778" s="117">
        <v>86600</v>
      </c>
      <c r="C778" s="117">
        <v>859.64</v>
      </c>
    </row>
    <row r="779" spans="1:3" ht="18" x14ac:dyDescent="0.2">
      <c r="A779" s="121" t="s">
        <v>58</v>
      </c>
      <c r="B779" s="117">
        <v>354400</v>
      </c>
      <c r="C779" s="117">
        <v>3517.9700000000003</v>
      </c>
    </row>
    <row r="780" spans="1:3" ht="18" x14ac:dyDescent="0.2">
      <c r="A780" s="121" t="s">
        <v>95</v>
      </c>
      <c r="B780" s="117">
        <v>114251.25</v>
      </c>
      <c r="C780" s="117">
        <v>1134.1199999999999</v>
      </c>
    </row>
    <row r="781" spans="1:3" ht="18" x14ac:dyDescent="0.2">
      <c r="A781" s="121" t="s">
        <v>134</v>
      </c>
      <c r="B781" s="117">
        <v>100740</v>
      </c>
      <c r="C781" s="117">
        <v>1000</v>
      </c>
    </row>
    <row r="782" spans="1:3" ht="18" x14ac:dyDescent="0.2">
      <c r="A782" s="121" t="s">
        <v>256</v>
      </c>
      <c r="B782" s="117">
        <v>3525.8999999999996</v>
      </c>
      <c r="C782" s="117">
        <v>35</v>
      </c>
    </row>
    <row r="783" spans="1:3" ht="18" x14ac:dyDescent="0.2">
      <c r="A783" s="121" t="s">
        <v>59</v>
      </c>
      <c r="B783" s="117">
        <v>251850</v>
      </c>
      <c r="C783" s="117">
        <v>2500</v>
      </c>
    </row>
    <row r="784" spans="1:3" ht="18" x14ac:dyDescent="0.2">
      <c r="A784" s="121" t="s">
        <v>1532</v>
      </c>
      <c r="B784" s="117">
        <v>100740</v>
      </c>
      <c r="C784" s="117">
        <v>1000</v>
      </c>
    </row>
    <row r="785" spans="1:3" ht="18" x14ac:dyDescent="0.2">
      <c r="A785" s="121" t="s">
        <v>96</v>
      </c>
      <c r="B785" s="117">
        <v>151151.29999999999</v>
      </c>
      <c r="C785" s="117">
        <v>1500.41</v>
      </c>
    </row>
    <row r="786" spans="1:3" ht="18" x14ac:dyDescent="0.2">
      <c r="A786" s="121" t="s">
        <v>302</v>
      </c>
      <c r="B786" s="117">
        <v>100740</v>
      </c>
      <c r="C786" s="117">
        <v>1000</v>
      </c>
    </row>
    <row r="787" spans="1:3" ht="18" x14ac:dyDescent="0.2">
      <c r="A787" s="121" t="s">
        <v>714</v>
      </c>
      <c r="B787" s="117">
        <v>5000</v>
      </c>
      <c r="C787" s="117">
        <v>49.63</v>
      </c>
    </row>
    <row r="788" spans="1:3" ht="18" x14ac:dyDescent="0.2">
      <c r="A788" s="121" t="s">
        <v>2364</v>
      </c>
      <c r="B788" s="117">
        <v>29700</v>
      </c>
      <c r="C788" s="117">
        <v>294.82</v>
      </c>
    </row>
    <row r="789" spans="1:3" ht="18" x14ac:dyDescent="0.2">
      <c r="A789" s="122">
        <v>46203</v>
      </c>
      <c r="B789" s="477">
        <v>901830.78</v>
      </c>
      <c r="C789" s="477">
        <v>8952.0600000000013</v>
      </c>
    </row>
    <row r="790" spans="1:3" ht="18" x14ac:dyDescent="0.2">
      <c r="A790" s="121" t="s">
        <v>152</v>
      </c>
      <c r="B790" s="117">
        <v>45000</v>
      </c>
      <c r="C790" s="117">
        <v>446.69</v>
      </c>
    </row>
    <row r="791" spans="1:3" ht="18" x14ac:dyDescent="0.2">
      <c r="A791" s="121" t="s">
        <v>58</v>
      </c>
      <c r="B791" s="117">
        <v>288100</v>
      </c>
      <c r="C791" s="117">
        <v>2859.84</v>
      </c>
    </row>
    <row r="792" spans="1:3" ht="18" x14ac:dyDescent="0.2">
      <c r="A792" s="121" t="s">
        <v>199</v>
      </c>
      <c r="B792" s="117">
        <v>44882.78</v>
      </c>
      <c r="C792" s="117">
        <v>445.53</v>
      </c>
    </row>
    <row r="793" spans="1:3" ht="18" x14ac:dyDescent="0.2">
      <c r="A793" s="121" t="s">
        <v>59</v>
      </c>
      <c r="B793" s="117">
        <v>100740</v>
      </c>
      <c r="C793" s="117">
        <v>1000</v>
      </c>
    </row>
    <row r="794" spans="1:3" ht="18" x14ac:dyDescent="0.2">
      <c r="A794" s="121" t="s">
        <v>1073</v>
      </c>
      <c r="B794" s="117">
        <v>423108</v>
      </c>
      <c r="C794" s="117">
        <v>4200</v>
      </c>
    </row>
    <row r="795" spans="1:3" ht="18" x14ac:dyDescent="0.2">
      <c r="A795" s="122">
        <v>46202</v>
      </c>
      <c r="B795" s="477">
        <v>1947188.08</v>
      </c>
      <c r="C795" s="477">
        <v>19328.849999999999</v>
      </c>
    </row>
    <row r="796" spans="1:3" ht="18" x14ac:dyDescent="0.2">
      <c r="A796" s="121" t="s">
        <v>143</v>
      </c>
      <c r="B796" s="117">
        <v>1208880</v>
      </c>
      <c r="C796" s="117">
        <v>12000</v>
      </c>
    </row>
    <row r="797" spans="1:3" ht="18" x14ac:dyDescent="0.2">
      <c r="A797" s="121" t="s">
        <v>152</v>
      </c>
      <c r="B797" s="117">
        <v>55500</v>
      </c>
      <c r="C797" s="117">
        <v>550.91999999999996</v>
      </c>
    </row>
    <row r="798" spans="1:3" ht="18" x14ac:dyDescent="0.2">
      <c r="A798" s="121" t="s">
        <v>58</v>
      </c>
      <c r="B798" s="117">
        <v>475000</v>
      </c>
      <c r="C798" s="117">
        <v>4715.1099999999997</v>
      </c>
    </row>
    <row r="799" spans="1:3" ht="18" x14ac:dyDescent="0.2">
      <c r="A799" s="121" t="s">
        <v>96</v>
      </c>
      <c r="B799" s="117">
        <v>151073.73000000001</v>
      </c>
      <c r="C799" s="117">
        <v>1499.64</v>
      </c>
    </row>
    <row r="800" spans="1:3" ht="18" x14ac:dyDescent="0.2">
      <c r="A800" s="121" t="s">
        <v>714</v>
      </c>
      <c r="B800" s="117">
        <v>9037</v>
      </c>
      <c r="C800" s="117">
        <v>89.710000000000008</v>
      </c>
    </row>
    <row r="801" spans="1:3" ht="18" x14ac:dyDescent="0.2">
      <c r="A801" s="121" t="s">
        <v>1483</v>
      </c>
      <c r="B801" s="117">
        <v>40296</v>
      </c>
      <c r="C801" s="117">
        <v>400</v>
      </c>
    </row>
    <row r="802" spans="1:3" ht="18" x14ac:dyDescent="0.2">
      <c r="A802" s="121" t="s">
        <v>1646</v>
      </c>
      <c r="B802" s="117">
        <v>7401.35</v>
      </c>
      <c r="C802" s="117">
        <v>73.47</v>
      </c>
    </row>
    <row r="803" spans="1:3" ht="18" x14ac:dyDescent="0.2">
      <c r="A803" s="122">
        <v>46201</v>
      </c>
      <c r="B803" s="477">
        <v>776710.92999999993</v>
      </c>
      <c r="C803" s="477">
        <v>7710.05</v>
      </c>
    </row>
    <row r="804" spans="1:3" ht="18" x14ac:dyDescent="0.2">
      <c r="A804" s="121" t="s">
        <v>152</v>
      </c>
      <c r="B804" s="117">
        <v>54000</v>
      </c>
      <c r="C804" s="117">
        <v>536.03</v>
      </c>
    </row>
    <row r="805" spans="1:3" ht="18" x14ac:dyDescent="0.2">
      <c r="A805" s="121" t="s">
        <v>58</v>
      </c>
      <c r="B805" s="117">
        <v>488700</v>
      </c>
      <c r="C805" s="117">
        <v>4851.1000000000004</v>
      </c>
    </row>
    <row r="806" spans="1:3" ht="18" x14ac:dyDescent="0.2">
      <c r="A806" s="121" t="s">
        <v>256</v>
      </c>
      <c r="B806" s="117">
        <v>13808.419999999998</v>
      </c>
      <c r="C806" s="117">
        <v>137.07</v>
      </c>
    </row>
    <row r="807" spans="1:3" ht="18" x14ac:dyDescent="0.2">
      <c r="A807" s="121" t="s">
        <v>714</v>
      </c>
      <c r="B807" s="117">
        <v>8315.07</v>
      </c>
      <c r="C807" s="117">
        <v>82.54</v>
      </c>
    </row>
    <row r="808" spans="1:3" ht="18" x14ac:dyDescent="0.2">
      <c r="A808" s="121" t="s">
        <v>901</v>
      </c>
      <c r="B808" s="117">
        <v>201480</v>
      </c>
      <c r="C808" s="117">
        <v>2000</v>
      </c>
    </row>
    <row r="809" spans="1:3" ht="18" x14ac:dyDescent="0.2">
      <c r="A809" s="121" t="s">
        <v>1646</v>
      </c>
      <c r="B809" s="117">
        <v>10407.44</v>
      </c>
      <c r="C809" s="117">
        <v>103.31</v>
      </c>
    </row>
    <row r="810" spans="1:3" ht="18" x14ac:dyDescent="0.2">
      <c r="A810" s="122">
        <v>46200</v>
      </c>
      <c r="B810" s="477">
        <v>1224677.18</v>
      </c>
      <c r="C810" s="477">
        <v>12156.870000000003</v>
      </c>
    </row>
    <row r="811" spans="1:3" ht="18" x14ac:dyDescent="0.2">
      <c r="A811" s="121" t="s">
        <v>56</v>
      </c>
      <c r="B811" s="117">
        <v>3022.2</v>
      </c>
      <c r="C811" s="117">
        <v>30</v>
      </c>
    </row>
    <row r="812" spans="1:3" ht="18" x14ac:dyDescent="0.2">
      <c r="A812" s="121" t="s">
        <v>152</v>
      </c>
      <c r="B812" s="117">
        <v>51000</v>
      </c>
      <c r="C812" s="117">
        <v>506.25</v>
      </c>
    </row>
    <row r="813" spans="1:3" ht="18" x14ac:dyDescent="0.2">
      <c r="A813" s="121" t="s">
        <v>58</v>
      </c>
      <c r="B813" s="117">
        <v>462200</v>
      </c>
      <c r="C813" s="117">
        <v>4588.05</v>
      </c>
    </row>
    <row r="814" spans="1:3" ht="18" x14ac:dyDescent="0.2">
      <c r="A814" s="121" t="s">
        <v>217</v>
      </c>
      <c r="B814" s="117">
        <v>2014.8</v>
      </c>
      <c r="C814" s="117">
        <v>20</v>
      </c>
    </row>
    <row r="815" spans="1:3" ht="18" x14ac:dyDescent="0.2">
      <c r="A815" s="121" t="s">
        <v>256</v>
      </c>
      <c r="B815" s="117">
        <v>2000</v>
      </c>
      <c r="C815" s="117">
        <v>19.850000000000001</v>
      </c>
    </row>
    <row r="816" spans="1:3" ht="18" x14ac:dyDescent="0.2">
      <c r="A816" s="121" t="s">
        <v>199</v>
      </c>
      <c r="B816" s="117">
        <v>15111</v>
      </c>
      <c r="C816" s="117">
        <v>150</v>
      </c>
    </row>
    <row r="817" spans="1:3" ht="18" x14ac:dyDescent="0.2">
      <c r="A817" s="121" t="s">
        <v>59</v>
      </c>
      <c r="B817" s="117">
        <v>302220</v>
      </c>
      <c r="C817" s="117">
        <v>3000</v>
      </c>
    </row>
    <row r="818" spans="1:3" ht="18" x14ac:dyDescent="0.2">
      <c r="A818" s="121" t="s">
        <v>96</v>
      </c>
      <c r="B818" s="117">
        <v>302258.28000000003</v>
      </c>
      <c r="C818" s="117">
        <v>3000.38</v>
      </c>
    </row>
    <row r="819" spans="1:3" ht="18" x14ac:dyDescent="0.2">
      <c r="A819" s="121" t="s">
        <v>714</v>
      </c>
      <c r="B819" s="117">
        <v>6044.4</v>
      </c>
      <c r="C819" s="117">
        <v>60</v>
      </c>
    </row>
    <row r="820" spans="1:3" ht="18" x14ac:dyDescent="0.2">
      <c r="A820" s="121" t="s">
        <v>1646</v>
      </c>
      <c r="B820" s="117">
        <v>5106.5</v>
      </c>
      <c r="C820" s="117">
        <v>50.69</v>
      </c>
    </row>
    <row r="821" spans="1:3" ht="18" x14ac:dyDescent="0.2">
      <c r="A821" s="121" t="s">
        <v>1786</v>
      </c>
      <c r="B821" s="117">
        <v>73700</v>
      </c>
      <c r="C821" s="117">
        <v>731.65000000000032</v>
      </c>
    </row>
    <row r="822" spans="1:3" ht="18" x14ac:dyDescent="0.2">
      <c r="A822" s="122">
        <v>46199</v>
      </c>
      <c r="B822" s="477">
        <v>2320697.81</v>
      </c>
      <c r="C822" s="477">
        <v>23036.63</v>
      </c>
    </row>
    <row r="823" spans="1:3" ht="18" x14ac:dyDescent="0.2">
      <c r="A823" s="121" t="s">
        <v>143</v>
      </c>
      <c r="B823" s="117">
        <v>1208880</v>
      </c>
      <c r="C823" s="117">
        <v>12000</v>
      </c>
    </row>
    <row r="824" spans="1:3" ht="18" x14ac:dyDescent="0.2">
      <c r="A824" s="121" t="s">
        <v>57</v>
      </c>
      <c r="B824" s="117">
        <v>7100.15</v>
      </c>
      <c r="C824" s="117">
        <v>70.48</v>
      </c>
    </row>
    <row r="825" spans="1:3" ht="18" x14ac:dyDescent="0.2">
      <c r="A825" s="121" t="s">
        <v>56</v>
      </c>
      <c r="B825" s="117">
        <v>4029.6</v>
      </c>
      <c r="C825" s="117">
        <v>40</v>
      </c>
    </row>
    <row r="826" spans="1:3" ht="18" x14ac:dyDescent="0.2">
      <c r="A826" s="121" t="s">
        <v>152</v>
      </c>
      <c r="B826" s="117">
        <v>79500</v>
      </c>
      <c r="C826" s="117">
        <v>789.16</v>
      </c>
    </row>
    <row r="827" spans="1:3" ht="18" x14ac:dyDescent="0.2">
      <c r="A827" s="121" t="s">
        <v>58</v>
      </c>
      <c r="B827" s="117">
        <v>346100</v>
      </c>
      <c r="C827" s="117">
        <v>3435.58</v>
      </c>
    </row>
    <row r="828" spans="1:3" ht="18" x14ac:dyDescent="0.2">
      <c r="A828" s="121" t="s">
        <v>217</v>
      </c>
      <c r="B828" s="117">
        <v>2014.8</v>
      </c>
      <c r="C828" s="117">
        <v>20</v>
      </c>
    </row>
    <row r="829" spans="1:3" ht="18" x14ac:dyDescent="0.2">
      <c r="A829" s="121" t="s">
        <v>199</v>
      </c>
      <c r="B829" s="117">
        <v>36690.51</v>
      </c>
      <c r="C829" s="117">
        <v>364.21</v>
      </c>
    </row>
    <row r="830" spans="1:3" ht="18" x14ac:dyDescent="0.2">
      <c r="A830" s="121" t="s">
        <v>59</v>
      </c>
      <c r="B830" s="117">
        <v>302220</v>
      </c>
      <c r="C830" s="117">
        <v>3000</v>
      </c>
    </row>
    <row r="831" spans="1:3" ht="18" x14ac:dyDescent="0.2">
      <c r="A831" s="121" t="s">
        <v>901</v>
      </c>
      <c r="B831" s="117">
        <v>201480</v>
      </c>
      <c r="C831" s="117">
        <v>2000</v>
      </c>
    </row>
    <row r="832" spans="1:3" ht="18" x14ac:dyDescent="0.2">
      <c r="A832" s="121" t="s">
        <v>1483</v>
      </c>
      <c r="B832" s="117">
        <v>20148</v>
      </c>
      <c r="C832" s="117">
        <v>200</v>
      </c>
    </row>
    <row r="833" spans="1:3" ht="18" x14ac:dyDescent="0.2">
      <c r="A833" s="121" t="s">
        <v>1646</v>
      </c>
      <c r="B833" s="117">
        <v>8134.75</v>
      </c>
      <c r="C833" s="117">
        <v>80.75</v>
      </c>
    </row>
    <row r="834" spans="1:3" ht="18" x14ac:dyDescent="0.2">
      <c r="A834" s="121" t="s">
        <v>1786</v>
      </c>
      <c r="B834" s="117">
        <v>104400</v>
      </c>
      <c r="C834" s="117">
        <v>1036.4500000000005</v>
      </c>
    </row>
    <row r="835" spans="1:3" ht="18" x14ac:dyDescent="0.2">
      <c r="A835" s="122">
        <v>46198</v>
      </c>
      <c r="B835" s="477">
        <v>1079176.0099999998</v>
      </c>
      <c r="C835" s="477">
        <v>10712.56</v>
      </c>
    </row>
    <row r="836" spans="1:3" ht="18" x14ac:dyDescent="0.2">
      <c r="A836" s="121" t="s">
        <v>53</v>
      </c>
      <c r="B836" s="117">
        <v>3525.9</v>
      </c>
      <c r="C836" s="117">
        <v>35</v>
      </c>
    </row>
    <row r="837" spans="1:3" ht="18" x14ac:dyDescent="0.2">
      <c r="A837" s="121" t="s">
        <v>56</v>
      </c>
      <c r="B837" s="117">
        <v>4029.6</v>
      </c>
      <c r="C837" s="117">
        <v>40</v>
      </c>
    </row>
    <row r="838" spans="1:3" ht="18" x14ac:dyDescent="0.2">
      <c r="A838" s="121" t="s">
        <v>257</v>
      </c>
      <c r="B838" s="117">
        <v>4711.6000000000004</v>
      </c>
      <c r="C838" s="117">
        <v>46.77</v>
      </c>
    </row>
    <row r="839" spans="1:3" ht="18" x14ac:dyDescent="0.2">
      <c r="A839" s="121" t="s">
        <v>152</v>
      </c>
      <c r="B839" s="117">
        <v>59300</v>
      </c>
      <c r="C839" s="117">
        <v>588.64</v>
      </c>
    </row>
    <row r="840" spans="1:3" ht="18" x14ac:dyDescent="0.2">
      <c r="A840" s="121" t="s">
        <v>58</v>
      </c>
      <c r="B840" s="117">
        <v>378600</v>
      </c>
      <c r="C840" s="117">
        <v>3758.19</v>
      </c>
    </row>
    <row r="841" spans="1:3" ht="18" x14ac:dyDescent="0.2">
      <c r="A841" s="121" t="s">
        <v>199</v>
      </c>
      <c r="B841" s="117">
        <v>27173.599999999999</v>
      </c>
      <c r="C841" s="117">
        <v>269.74</v>
      </c>
    </row>
    <row r="842" spans="1:3" ht="18" x14ac:dyDescent="0.2">
      <c r="A842" s="121" t="s">
        <v>59</v>
      </c>
      <c r="B842" s="117">
        <v>201480</v>
      </c>
      <c r="C842" s="117">
        <v>2000</v>
      </c>
    </row>
    <row r="843" spans="1:3" ht="18" x14ac:dyDescent="0.2">
      <c r="A843" s="121" t="s">
        <v>96</v>
      </c>
      <c r="B843" s="117">
        <v>302210.93</v>
      </c>
      <c r="C843" s="117">
        <v>2999.91</v>
      </c>
    </row>
    <row r="844" spans="1:3" ht="18" x14ac:dyDescent="0.2">
      <c r="A844" s="121" t="s">
        <v>714</v>
      </c>
      <c r="B844" s="117">
        <v>19701.72</v>
      </c>
      <c r="C844" s="117">
        <v>195.57</v>
      </c>
    </row>
    <row r="845" spans="1:3" ht="18" x14ac:dyDescent="0.2">
      <c r="A845" s="121" t="s">
        <v>1646</v>
      </c>
      <c r="B845" s="117">
        <v>12342.66</v>
      </c>
      <c r="C845" s="117">
        <v>122.52000000000001</v>
      </c>
    </row>
    <row r="846" spans="1:3" ht="18" x14ac:dyDescent="0.2">
      <c r="A846" s="121" t="s">
        <v>1786</v>
      </c>
      <c r="B846" s="117">
        <v>66100</v>
      </c>
      <c r="C846" s="117">
        <v>656.22000000000014</v>
      </c>
    </row>
    <row r="847" spans="1:3" ht="18" x14ac:dyDescent="0.2">
      <c r="A847" s="122">
        <v>46197</v>
      </c>
      <c r="B847" s="477">
        <v>964979.38</v>
      </c>
      <c r="C847" s="477">
        <v>9578.9299999999967</v>
      </c>
    </row>
    <row r="848" spans="1:3" ht="18" x14ac:dyDescent="0.2">
      <c r="A848" s="121" t="s">
        <v>54</v>
      </c>
      <c r="B848" s="117">
        <v>14772.51</v>
      </c>
      <c r="C848" s="117">
        <v>146.63999999999999</v>
      </c>
    </row>
    <row r="849" spans="1:3" ht="18" x14ac:dyDescent="0.2">
      <c r="A849" s="121" t="s">
        <v>56</v>
      </c>
      <c r="B849" s="117">
        <v>4029.6</v>
      </c>
      <c r="C849" s="117">
        <v>40</v>
      </c>
    </row>
    <row r="850" spans="1:3" ht="18" x14ac:dyDescent="0.2">
      <c r="A850" s="121" t="s">
        <v>257</v>
      </c>
      <c r="B850" s="117">
        <v>2000</v>
      </c>
      <c r="C850" s="117">
        <v>19.850000000000001</v>
      </c>
    </row>
    <row r="851" spans="1:3" ht="18" x14ac:dyDescent="0.2">
      <c r="A851" s="121" t="s">
        <v>152</v>
      </c>
      <c r="B851" s="117">
        <v>70500</v>
      </c>
      <c r="C851" s="117">
        <v>699.82</v>
      </c>
    </row>
    <row r="852" spans="1:3" ht="18" x14ac:dyDescent="0.2">
      <c r="A852" s="121" t="s">
        <v>58</v>
      </c>
      <c r="B852" s="117">
        <v>449600</v>
      </c>
      <c r="C852" s="117">
        <v>4462.9699999999993</v>
      </c>
    </row>
    <row r="853" spans="1:3" ht="18" x14ac:dyDescent="0.2">
      <c r="A853" s="121" t="s">
        <v>714</v>
      </c>
      <c r="B853" s="117">
        <v>13037</v>
      </c>
      <c r="C853" s="117">
        <v>129.41</v>
      </c>
    </row>
    <row r="854" spans="1:3" ht="18" x14ac:dyDescent="0.2">
      <c r="A854" s="121" t="s">
        <v>901</v>
      </c>
      <c r="B854" s="117">
        <v>201480</v>
      </c>
      <c r="C854" s="117">
        <v>2000</v>
      </c>
    </row>
    <row r="855" spans="1:3" ht="18" x14ac:dyDescent="0.2">
      <c r="A855" s="121" t="s">
        <v>1073</v>
      </c>
      <c r="B855" s="117">
        <v>120888</v>
      </c>
      <c r="C855" s="117">
        <v>1200</v>
      </c>
    </row>
    <row r="856" spans="1:3" ht="18" x14ac:dyDescent="0.2">
      <c r="A856" s="121" t="s">
        <v>1646</v>
      </c>
      <c r="B856" s="117">
        <v>11472.27</v>
      </c>
      <c r="C856" s="117">
        <v>113.88</v>
      </c>
    </row>
    <row r="857" spans="1:3" ht="18" x14ac:dyDescent="0.2">
      <c r="A857" s="121" t="s">
        <v>1786</v>
      </c>
      <c r="B857" s="117">
        <v>77200</v>
      </c>
      <c r="C857" s="117">
        <v>766.35999999999956</v>
      </c>
    </row>
    <row r="858" spans="1:3" ht="18" x14ac:dyDescent="0.2">
      <c r="A858" s="122">
        <v>46196</v>
      </c>
      <c r="B858" s="477">
        <v>1676596.9</v>
      </c>
      <c r="C858" s="477">
        <v>16642.830000000002</v>
      </c>
    </row>
    <row r="859" spans="1:3" ht="18" x14ac:dyDescent="0.2">
      <c r="A859" s="121" t="s">
        <v>56</v>
      </c>
      <c r="B859" s="117">
        <v>4029.6</v>
      </c>
      <c r="C859" s="117">
        <v>40</v>
      </c>
    </row>
    <row r="860" spans="1:3" ht="18" x14ac:dyDescent="0.2">
      <c r="A860" s="121" t="s">
        <v>184</v>
      </c>
      <c r="B860" s="117">
        <v>30222</v>
      </c>
      <c r="C860" s="117">
        <v>300</v>
      </c>
    </row>
    <row r="861" spans="1:3" ht="18" x14ac:dyDescent="0.2">
      <c r="A861" s="121" t="s">
        <v>152</v>
      </c>
      <c r="B861" s="117">
        <v>28500</v>
      </c>
      <c r="C861" s="117">
        <v>282.91000000000003</v>
      </c>
    </row>
    <row r="862" spans="1:3" ht="18" x14ac:dyDescent="0.2">
      <c r="A862" s="121" t="s">
        <v>58</v>
      </c>
      <c r="B862" s="117">
        <v>595500</v>
      </c>
      <c r="C862" s="117">
        <v>5911.26</v>
      </c>
    </row>
    <row r="863" spans="1:3" ht="18" x14ac:dyDescent="0.2">
      <c r="A863" s="121" t="s">
        <v>256</v>
      </c>
      <c r="B863" s="117">
        <v>20148</v>
      </c>
      <c r="C863" s="117">
        <v>200</v>
      </c>
    </row>
    <row r="864" spans="1:3" ht="18" x14ac:dyDescent="0.2">
      <c r="A864" s="121" t="s">
        <v>59</v>
      </c>
      <c r="B864" s="117">
        <v>322395.2</v>
      </c>
      <c r="C864" s="117">
        <v>3200.27</v>
      </c>
    </row>
    <row r="865" spans="1:3" ht="18" x14ac:dyDescent="0.2">
      <c r="A865" s="121" t="s">
        <v>96</v>
      </c>
      <c r="B865" s="117">
        <v>302338.87</v>
      </c>
      <c r="C865" s="117">
        <v>3001.18</v>
      </c>
    </row>
    <row r="866" spans="1:3" ht="18" x14ac:dyDescent="0.2">
      <c r="A866" s="121" t="s">
        <v>714</v>
      </c>
      <c r="B866" s="117">
        <v>10250.290000000001</v>
      </c>
      <c r="C866" s="117">
        <v>101.75</v>
      </c>
    </row>
    <row r="867" spans="1:3" ht="18" x14ac:dyDescent="0.2">
      <c r="A867" s="121" t="s">
        <v>901</v>
      </c>
      <c r="B867" s="117">
        <v>201480</v>
      </c>
      <c r="C867" s="117">
        <v>2000</v>
      </c>
    </row>
    <row r="868" spans="1:3" ht="18" x14ac:dyDescent="0.2">
      <c r="A868" s="121" t="s">
        <v>1073</v>
      </c>
      <c r="B868" s="117">
        <v>120888</v>
      </c>
      <c r="C868" s="117">
        <v>1200</v>
      </c>
    </row>
    <row r="869" spans="1:3" ht="18" x14ac:dyDescent="0.2">
      <c r="A869" s="121" t="s">
        <v>1646</v>
      </c>
      <c r="B869" s="117">
        <v>3122.94</v>
      </c>
      <c r="C869" s="117">
        <v>31</v>
      </c>
    </row>
    <row r="870" spans="1:3" ht="18" x14ac:dyDescent="0.2">
      <c r="A870" s="121" t="s">
        <v>1733</v>
      </c>
      <c r="B870" s="117">
        <v>30222</v>
      </c>
      <c r="C870" s="117">
        <v>300</v>
      </c>
    </row>
    <row r="871" spans="1:3" ht="18" x14ac:dyDescent="0.2">
      <c r="A871" s="121" t="s">
        <v>1786</v>
      </c>
      <c r="B871" s="117">
        <v>7500</v>
      </c>
      <c r="C871" s="117">
        <v>74.460000000000008</v>
      </c>
    </row>
    <row r="872" spans="1:3" ht="18" x14ac:dyDescent="0.2">
      <c r="A872" s="122">
        <v>46195</v>
      </c>
      <c r="B872" s="477">
        <v>146206.58000000002</v>
      </c>
      <c r="C872" s="477">
        <v>1451.33</v>
      </c>
    </row>
    <row r="873" spans="1:3" ht="18" x14ac:dyDescent="0.2">
      <c r="A873" s="121" t="s">
        <v>257</v>
      </c>
      <c r="B873" s="117">
        <v>4902</v>
      </c>
      <c r="C873" s="117">
        <v>48.66</v>
      </c>
    </row>
    <row r="874" spans="1:3" ht="18" x14ac:dyDescent="0.2">
      <c r="A874" s="121" t="s">
        <v>152</v>
      </c>
      <c r="B874" s="117">
        <v>30000</v>
      </c>
      <c r="C874" s="117">
        <v>297.8</v>
      </c>
    </row>
    <row r="875" spans="1:3" ht="18" x14ac:dyDescent="0.2">
      <c r="A875" s="121" t="s">
        <v>58</v>
      </c>
      <c r="B875" s="117">
        <v>29000</v>
      </c>
      <c r="C875" s="117">
        <v>287.87</v>
      </c>
    </row>
    <row r="876" spans="1:3" ht="18" x14ac:dyDescent="0.2">
      <c r="A876" s="121" t="s">
        <v>1646</v>
      </c>
      <c r="B876" s="117">
        <v>6749.58</v>
      </c>
      <c r="C876" s="117">
        <v>67</v>
      </c>
    </row>
    <row r="877" spans="1:3" ht="18" x14ac:dyDescent="0.2">
      <c r="A877" s="121" t="s">
        <v>1733</v>
      </c>
      <c r="B877" s="117">
        <v>75555</v>
      </c>
      <c r="C877" s="117">
        <v>750</v>
      </c>
    </row>
    <row r="878" spans="1:3" ht="18" x14ac:dyDescent="0.2">
      <c r="A878" s="122">
        <v>46194</v>
      </c>
      <c r="B878" s="477">
        <v>621572.18000000005</v>
      </c>
      <c r="C878" s="477">
        <v>6170.0599999999995</v>
      </c>
    </row>
    <row r="879" spans="1:3" ht="18" x14ac:dyDescent="0.2">
      <c r="A879" s="121" t="s">
        <v>57</v>
      </c>
      <c r="B879" s="117">
        <v>3000</v>
      </c>
      <c r="C879" s="117">
        <v>29.78</v>
      </c>
    </row>
    <row r="880" spans="1:3" ht="18" x14ac:dyDescent="0.2">
      <c r="A880" s="121" t="s">
        <v>56</v>
      </c>
      <c r="B880" s="117">
        <v>4029.6</v>
      </c>
      <c r="C880" s="117">
        <v>40</v>
      </c>
    </row>
    <row r="881" spans="1:3" ht="18" x14ac:dyDescent="0.2">
      <c r="A881" s="121" t="s">
        <v>152</v>
      </c>
      <c r="B881" s="117">
        <v>94200</v>
      </c>
      <c r="C881" s="117">
        <v>935.08</v>
      </c>
    </row>
    <row r="882" spans="1:3" ht="18" x14ac:dyDescent="0.2">
      <c r="A882" s="121" t="s">
        <v>58</v>
      </c>
      <c r="B882" s="117">
        <v>492900</v>
      </c>
      <c r="C882" s="117">
        <v>4892.79</v>
      </c>
    </row>
    <row r="883" spans="1:3" ht="18" x14ac:dyDescent="0.2">
      <c r="A883" s="121" t="s">
        <v>217</v>
      </c>
      <c r="B883" s="117">
        <v>2014.8</v>
      </c>
      <c r="C883" s="117">
        <v>20</v>
      </c>
    </row>
    <row r="884" spans="1:3" ht="18" x14ac:dyDescent="0.2">
      <c r="A884" s="121" t="s">
        <v>199</v>
      </c>
      <c r="B884" s="117">
        <v>20148</v>
      </c>
      <c r="C884" s="117">
        <v>200</v>
      </c>
    </row>
    <row r="885" spans="1:3" ht="18" x14ac:dyDescent="0.2">
      <c r="A885" s="121" t="s">
        <v>1646</v>
      </c>
      <c r="B885" s="117">
        <v>5279.78</v>
      </c>
      <c r="C885" s="117">
        <v>52.41</v>
      </c>
    </row>
    <row r="886" spans="1:3" ht="18" x14ac:dyDescent="0.2">
      <c r="A886" s="122">
        <v>46193</v>
      </c>
      <c r="B886" s="477">
        <v>794043.35</v>
      </c>
      <c r="C886" s="477">
        <v>7882.11</v>
      </c>
    </row>
    <row r="887" spans="1:3" ht="18" x14ac:dyDescent="0.2">
      <c r="A887" s="121" t="s">
        <v>56</v>
      </c>
      <c r="B887" s="117">
        <v>4029.6</v>
      </c>
      <c r="C887" s="117">
        <v>40</v>
      </c>
    </row>
    <row r="888" spans="1:3" ht="18" x14ac:dyDescent="0.2">
      <c r="A888" s="121" t="s">
        <v>257</v>
      </c>
      <c r="B888" s="117">
        <v>2000</v>
      </c>
      <c r="C888" s="117">
        <v>19.850000000000001</v>
      </c>
    </row>
    <row r="889" spans="1:3" ht="18" x14ac:dyDescent="0.2">
      <c r="A889" s="121" t="s">
        <v>152</v>
      </c>
      <c r="B889" s="117">
        <v>33000</v>
      </c>
      <c r="C889" s="117">
        <v>327.58</v>
      </c>
    </row>
    <row r="890" spans="1:3" ht="18" x14ac:dyDescent="0.2">
      <c r="A890" s="121" t="s">
        <v>58</v>
      </c>
      <c r="B890" s="117">
        <v>419200</v>
      </c>
      <c r="C890" s="117">
        <v>4161.21</v>
      </c>
    </row>
    <row r="891" spans="1:3" ht="18" x14ac:dyDescent="0.2">
      <c r="A891" s="121" t="s">
        <v>501</v>
      </c>
      <c r="B891" s="117">
        <v>100740</v>
      </c>
      <c r="C891" s="117">
        <v>1000</v>
      </c>
    </row>
    <row r="892" spans="1:3" ht="18" x14ac:dyDescent="0.2">
      <c r="A892" s="121" t="s">
        <v>96</v>
      </c>
      <c r="B892" s="117">
        <v>201462.87</v>
      </c>
      <c r="C892" s="117">
        <v>1999.83</v>
      </c>
    </row>
    <row r="893" spans="1:3" ht="18" x14ac:dyDescent="0.2">
      <c r="A893" s="121" t="s">
        <v>714</v>
      </c>
      <c r="B893" s="117">
        <v>30271.35</v>
      </c>
      <c r="C893" s="117">
        <v>300.49</v>
      </c>
    </row>
    <row r="894" spans="1:3" ht="18" x14ac:dyDescent="0.2">
      <c r="A894" s="121" t="s">
        <v>1646</v>
      </c>
      <c r="B894" s="117">
        <v>3339.53</v>
      </c>
      <c r="C894" s="117">
        <v>33.15</v>
      </c>
    </row>
    <row r="895" spans="1:3" ht="18" x14ac:dyDescent="0.2">
      <c r="A895" s="122">
        <v>46192</v>
      </c>
      <c r="B895" s="477">
        <v>483382.41</v>
      </c>
      <c r="C895" s="477">
        <v>4798.3099999999995</v>
      </c>
    </row>
    <row r="896" spans="1:3" ht="18" x14ac:dyDescent="0.2">
      <c r="A896" s="121" t="s">
        <v>152</v>
      </c>
      <c r="B896" s="117">
        <v>23100</v>
      </c>
      <c r="C896" s="117">
        <v>229.3</v>
      </c>
    </row>
    <row r="897" spans="1:3" ht="18" x14ac:dyDescent="0.2">
      <c r="A897" s="121" t="s">
        <v>58</v>
      </c>
      <c r="B897" s="117">
        <v>132000</v>
      </c>
      <c r="C897" s="117">
        <v>1310.3</v>
      </c>
    </row>
    <row r="898" spans="1:3" ht="18" x14ac:dyDescent="0.2">
      <c r="A898" s="121" t="s">
        <v>136</v>
      </c>
      <c r="B898" s="117">
        <v>5270.71</v>
      </c>
      <c r="C898" s="117">
        <v>52.32</v>
      </c>
    </row>
    <row r="899" spans="1:3" ht="18" x14ac:dyDescent="0.2">
      <c r="A899" s="121" t="s">
        <v>714</v>
      </c>
      <c r="B899" s="117">
        <v>2014.8</v>
      </c>
      <c r="C899" s="117">
        <v>20</v>
      </c>
    </row>
    <row r="900" spans="1:3" ht="18" x14ac:dyDescent="0.2">
      <c r="A900" s="121" t="s">
        <v>901</v>
      </c>
      <c r="B900" s="117">
        <v>307011.19</v>
      </c>
      <c r="C900" s="117">
        <v>3047.56</v>
      </c>
    </row>
    <row r="901" spans="1:3" ht="18" x14ac:dyDescent="0.2">
      <c r="A901" s="121" t="s">
        <v>1646</v>
      </c>
      <c r="B901" s="117">
        <v>13985.71</v>
      </c>
      <c r="C901" s="117">
        <v>138.82999999999998</v>
      </c>
    </row>
    <row r="902" spans="1:3" ht="18" x14ac:dyDescent="0.2">
      <c r="A902" s="122">
        <v>46191</v>
      </c>
      <c r="B902" s="477">
        <v>142252.18</v>
      </c>
      <c r="C902" s="477">
        <v>1412.07</v>
      </c>
    </row>
    <row r="903" spans="1:3" ht="18" x14ac:dyDescent="0.2">
      <c r="A903" s="121" t="s">
        <v>53</v>
      </c>
      <c r="B903" s="117">
        <v>4910.0600000000004</v>
      </c>
      <c r="C903" s="117">
        <v>48.74</v>
      </c>
    </row>
    <row r="904" spans="1:3" ht="18" x14ac:dyDescent="0.2">
      <c r="A904" s="121" t="s">
        <v>55</v>
      </c>
      <c r="B904" s="117">
        <v>3022.2</v>
      </c>
      <c r="C904" s="117">
        <v>30</v>
      </c>
    </row>
    <row r="905" spans="1:3" ht="18" x14ac:dyDescent="0.2">
      <c r="A905" s="121" t="s">
        <v>152</v>
      </c>
      <c r="B905" s="117">
        <v>5000</v>
      </c>
      <c r="C905" s="117">
        <v>49.63</v>
      </c>
    </row>
    <row r="906" spans="1:3" ht="18" x14ac:dyDescent="0.2">
      <c r="A906" s="121" t="s">
        <v>96</v>
      </c>
      <c r="B906" s="117">
        <v>100740</v>
      </c>
      <c r="C906" s="117">
        <v>1000</v>
      </c>
    </row>
    <row r="907" spans="1:3" ht="18" x14ac:dyDescent="0.2">
      <c r="A907" s="121" t="s">
        <v>714</v>
      </c>
      <c r="B907" s="117">
        <v>18936.09</v>
      </c>
      <c r="C907" s="117">
        <v>187.97</v>
      </c>
    </row>
    <row r="908" spans="1:3" ht="18" x14ac:dyDescent="0.2">
      <c r="A908" s="121" t="s">
        <v>1646</v>
      </c>
      <c r="B908" s="117">
        <v>9643.83</v>
      </c>
      <c r="C908" s="117">
        <v>95.73</v>
      </c>
    </row>
    <row r="909" spans="1:3" ht="18" x14ac:dyDescent="0.2">
      <c r="A909" s="122">
        <v>46190</v>
      </c>
      <c r="B909" s="477">
        <v>259985.78000000003</v>
      </c>
      <c r="C909" s="477">
        <v>2580.77</v>
      </c>
    </row>
    <row r="910" spans="1:3" ht="18" x14ac:dyDescent="0.2">
      <c r="A910" s="121" t="s">
        <v>552</v>
      </c>
      <c r="B910" s="117">
        <v>20148</v>
      </c>
      <c r="C910" s="117">
        <v>200</v>
      </c>
    </row>
    <row r="911" spans="1:3" ht="18" x14ac:dyDescent="0.2">
      <c r="A911" s="121" t="s">
        <v>56</v>
      </c>
      <c r="B911" s="117">
        <v>4295.55</v>
      </c>
      <c r="C911" s="117">
        <v>42.64</v>
      </c>
    </row>
    <row r="912" spans="1:3" ht="18" x14ac:dyDescent="0.2">
      <c r="A912" s="121" t="s">
        <v>55</v>
      </c>
      <c r="B912" s="117">
        <v>12538.099999999999</v>
      </c>
      <c r="C912" s="117">
        <v>124.46</v>
      </c>
    </row>
    <row r="913" spans="1:3" ht="18" x14ac:dyDescent="0.2">
      <c r="A913" s="121" t="s">
        <v>257</v>
      </c>
      <c r="B913" s="117">
        <v>2500</v>
      </c>
      <c r="C913" s="117">
        <v>24.82</v>
      </c>
    </row>
    <row r="914" spans="1:3" ht="18" x14ac:dyDescent="0.2">
      <c r="A914" s="121" t="s">
        <v>152</v>
      </c>
      <c r="B914" s="117">
        <v>5800</v>
      </c>
      <c r="C914" s="117">
        <v>57.58</v>
      </c>
    </row>
    <row r="915" spans="1:3" ht="18" x14ac:dyDescent="0.2">
      <c r="A915" s="121" t="s">
        <v>256</v>
      </c>
      <c r="B915" s="117">
        <v>201480.00000000003</v>
      </c>
      <c r="C915" s="117">
        <v>2000</v>
      </c>
    </row>
    <row r="916" spans="1:3" ht="18" x14ac:dyDescent="0.2">
      <c r="A916" s="121" t="s">
        <v>714</v>
      </c>
      <c r="B916" s="117">
        <v>5037</v>
      </c>
      <c r="C916" s="117">
        <v>50</v>
      </c>
    </row>
    <row r="917" spans="1:3" ht="18" x14ac:dyDescent="0.2">
      <c r="A917" s="121" t="s">
        <v>1646</v>
      </c>
      <c r="B917" s="117">
        <v>8187.1299999999992</v>
      </c>
      <c r="C917" s="117">
        <v>81.27</v>
      </c>
    </row>
    <row r="918" spans="1:3" ht="18" x14ac:dyDescent="0.2">
      <c r="A918" s="122">
        <v>46189</v>
      </c>
      <c r="B918" s="477">
        <v>738809.35</v>
      </c>
      <c r="C918" s="477">
        <v>7333.82</v>
      </c>
    </row>
    <row r="919" spans="1:3" ht="18" x14ac:dyDescent="0.2">
      <c r="A919" s="121" t="s">
        <v>53</v>
      </c>
      <c r="B919" s="117">
        <v>3507.77</v>
      </c>
      <c r="C919" s="117">
        <v>34.82</v>
      </c>
    </row>
    <row r="920" spans="1:3" ht="18" x14ac:dyDescent="0.2">
      <c r="A920" s="121" t="s">
        <v>257</v>
      </c>
      <c r="B920" s="117">
        <v>5075.28</v>
      </c>
      <c r="C920" s="117">
        <v>50.38</v>
      </c>
    </row>
    <row r="921" spans="1:3" ht="18" x14ac:dyDescent="0.2">
      <c r="A921" s="121" t="s">
        <v>152</v>
      </c>
      <c r="B921" s="117">
        <v>90000</v>
      </c>
      <c r="C921" s="117">
        <v>893.39</v>
      </c>
    </row>
    <row r="922" spans="1:3" ht="18" x14ac:dyDescent="0.2">
      <c r="A922" s="121" t="s">
        <v>58</v>
      </c>
      <c r="B922" s="117">
        <v>122600</v>
      </c>
      <c r="C922" s="117">
        <v>1216.99</v>
      </c>
    </row>
    <row r="923" spans="1:3" ht="18" x14ac:dyDescent="0.2">
      <c r="A923" s="121" t="s">
        <v>256</v>
      </c>
      <c r="B923" s="117">
        <v>200102.89000000004</v>
      </c>
      <c r="C923" s="117">
        <v>1986.33</v>
      </c>
    </row>
    <row r="924" spans="1:3" ht="18" x14ac:dyDescent="0.2">
      <c r="A924" s="121" t="s">
        <v>96</v>
      </c>
      <c r="B924" s="117">
        <v>302220</v>
      </c>
      <c r="C924" s="117">
        <v>3000</v>
      </c>
    </row>
    <row r="925" spans="1:3" ht="18" x14ac:dyDescent="0.2">
      <c r="A925" s="121" t="s">
        <v>714</v>
      </c>
      <c r="B925" s="117">
        <v>7516.21</v>
      </c>
      <c r="C925" s="117">
        <v>74.61</v>
      </c>
    </row>
    <row r="926" spans="1:3" ht="18" x14ac:dyDescent="0.2">
      <c r="A926" s="121" t="s">
        <v>1646</v>
      </c>
      <c r="B926" s="117">
        <v>7787.2</v>
      </c>
      <c r="C926" s="117">
        <v>77.3</v>
      </c>
    </row>
    <row r="927" spans="1:3" ht="18" x14ac:dyDescent="0.2">
      <c r="A927" s="122">
        <v>46188</v>
      </c>
      <c r="B927" s="477">
        <v>495449.36</v>
      </c>
      <c r="C927" s="477">
        <v>4918.1000000000004</v>
      </c>
    </row>
    <row r="928" spans="1:3" ht="18" x14ac:dyDescent="0.2">
      <c r="A928" s="121" t="s">
        <v>57</v>
      </c>
      <c r="B928" s="117">
        <v>10000</v>
      </c>
      <c r="C928" s="117">
        <v>99.27</v>
      </c>
    </row>
    <row r="929" spans="1:3" ht="18" x14ac:dyDescent="0.2">
      <c r="A929" s="121" t="s">
        <v>56</v>
      </c>
      <c r="B929" s="117">
        <v>11419.88</v>
      </c>
      <c r="C929" s="117">
        <v>113.36</v>
      </c>
    </row>
    <row r="930" spans="1:3" ht="18" x14ac:dyDescent="0.2">
      <c r="A930" s="121" t="s">
        <v>257</v>
      </c>
      <c r="B930" s="117">
        <v>4478.8999999999996</v>
      </c>
      <c r="C930" s="117">
        <v>44.46</v>
      </c>
    </row>
    <row r="931" spans="1:3" ht="18" x14ac:dyDescent="0.2">
      <c r="A931" s="121" t="s">
        <v>152</v>
      </c>
      <c r="B931" s="117">
        <v>52500</v>
      </c>
      <c r="C931" s="117">
        <v>521.14</v>
      </c>
    </row>
    <row r="932" spans="1:3" ht="18" x14ac:dyDescent="0.2">
      <c r="A932" s="121" t="s">
        <v>58</v>
      </c>
      <c r="B932" s="117">
        <v>253200</v>
      </c>
      <c r="C932" s="117">
        <v>2513.4</v>
      </c>
    </row>
    <row r="933" spans="1:3" ht="18" x14ac:dyDescent="0.2">
      <c r="A933" s="121" t="s">
        <v>137</v>
      </c>
      <c r="B933" s="117">
        <v>6696.18</v>
      </c>
      <c r="C933" s="117">
        <v>66.47</v>
      </c>
    </row>
    <row r="934" spans="1:3" ht="18" x14ac:dyDescent="0.2">
      <c r="A934" s="121" t="s">
        <v>256</v>
      </c>
      <c r="B934" s="117">
        <v>100740</v>
      </c>
      <c r="C934" s="117">
        <v>1000</v>
      </c>
    </row>
    <row r="935" spans="1:3" ht="18" x14ac:dyDescent="0.2">
      <c r="A935" s="121" t="s">
        <v>59</v>
      </c>
      <c r="B935" s="117">
        <v>56414.399999999994</v>
      </c>
      <c r="C935" s="117">
        <v>560</v>
      </c>
    </row>
    <row r="936" spans="1:3" ht="18" x14ac:dyDescent="0.2">
      <c r="A936" s="122">
        <v>46187</v>
      </c>
      <c r="B936" s="477">
        <v>1034878.5800000001</v>
      </c>
      <c r="C936" s="477">
        <v>10272.769999999999</v>
      </c>
    </row>
    <row r="937" spans="1:3" ht="18" x14ac:dyDescent="0.2">
      <c r="A937" s="121" t="s">
        <v>552</v>
      </c>
      <c r="B937" s="117">
        <v>12088.8</v>
      </c>
      <c r="C937" s="117">
        <v>120</v>
      </c>
    </row>
    <row r="938" spans="1:3" ht="18" x14ac:dyDescent="0.2">
      <c r="A938" s="121" t="s">
        <v>57</v>
      </c>
      <c r="B938" s="117">
        <v>5037</v>
      </c>
      <c r="C938" s="117">
        <v>50</v>
      </c>
    </row>
    <row r="939" spans="1:3" ht="18" x14ac:dyDescent="0.2">
      <c r="A939" s="121" t="s">
        <v>257</v>
      </c>
      <c r="B939" s="117">
        <v>5500</v>
      </c>
      <c r="C939" s="117">
        <v>54.6</v>
      </c>
    </row>
    <row r="940" spans="1:3" ht="18" x14ac:dyDescent="0.2">
      <c r="A940" s="121" t="s">
        <v>152</v>
      </c>
      <c r="B940" s="117">
        <v>69400</v>
      </c>
      <c r="C940" s="117">
        <v>688.9</v>
      </c>
    </row>
    <row r="941" spans="1:3" ht="18" x14ac:dyDescent="0.2">
      <c r="A941" s="121" t="s">
        <v>58</v>
      </c>
      <c r="B941" s="117">
        <v>218122.2</v>
      </c>
      <c r="C941" s="117">
        <v>2165.1999999999998</v>
      </c>
    </row>
    <row r="942" spans="1:3" ht="18" x14ac:dyDescent="0.2">
      <c r="A942" s="121" t="s">
        <v>136</v>
      </c>
      <c r="B942" s="117">
        <v>4517.18</v>
      </c>
      <c r="C942" s="117">
        <v>44.84</v>
      </c>
    </row>
    <row r="943" spans="1:3" ht="18" x14ac:dyDescent="0.2">
      <c r="A943" s="121" t="s">
        <v>256</v>
      </c>
      <c r="B943" s="117">
        <v>1377.11</v>
      </c>
      <c r="C943" s="117">
        <v>13.67</v>
      </c>
    </row>
    <row r="944" spans="1:3" ht="18" x14ac:dyDescent="0.2">
      <c r="A944" s="121" t="s">
        <v>59</v>
      </c>
      <c r="B944" s="117">
        <v>73137.240000000005</v>
      </c>
      <c r="C944" s="117">
        <v>726</v>
      </c>
    </row>
    <row r="945" spans="1:3" ht="18" x14ac:dyDescent="0.2">
      <c r="A945" s="121" t="s">
        <v>1533</v>
      </c>
      <c r="B945" s="117">
        <v>201480</v>
      </c>
      <c r="C945" s="117">
        <v>2000</v>
      </c>
    </row>
    <row r="946" spans="1:3" ht="18" x14ac:dyDescent="0.2">
      <c r="A946" s="121" t="s">
        <v>1532</v>
      </c>
      <c r="B946" s="117">
        <v>201480</v>
      </c>
      <c r="C946" s="117">
        <v>2000</v>
      </c>
    </row>
    <row r="947" spans="1:3" ht="18" x14ac:dyDescent="0.2">
      <c r="A947" s="121" t="s">
        <v>584</v>
      </c>
      <c r="B947" s="117">
        <v>201480</v>
      </c>
      <c r="C947" s="117">
        <v>2000</v>
      </c>
    </row>
    <row r="948" spans="1:3" ht="18" x14ac:dyDescent="0.2">
      <c r="A948" s="121" t="s">
        <v>714</v>
      </c>
      <c r="B948" s="117">
        <v>32662.92</v>
      </c>
      <c r="C948" s="117">
        <v>324.23</v>
      </c>
    </row>
    <row r="949" spans="1:3" ht="18" x14ac:dyDescent="0.2">
      <c r="A949" s="121" t="s">
        <v>901</v>
      </c>
      <c r="B949" s="117">
        <v>8596.1299999999992</v>
      </c>
      <c r="C949" s="117">
        <v>85.33</v>
      </c>
    </row>
    <row r="950" spans="1:3" ht="18" x14ac:dyDescent="0.2">
      <c r="A950" s="122">
        <v>46186</v>
      </c>
      <c r="B950" s="477">
        <v>360250.47</v>
      </c>
      <c r="C950" s="477">
        <v>3576.0400000000004</v>
      </c>
    </row>
    <row r="951" spans="1:3" ht="18" x14ac:dyDescent="0.2">
      <c r="A951" s="121" t="s">
        <v>57</v>
      </c>
      <c r="B951" s="117">
        <v>15000</v>
      </c>
      <c r="C951" s="117">
        <v>148.9</v>
      </c>
    </row>
    <row r="952" spans="1:3" ht="18" x14ac:dyDescent="0.2">
      <c r="A952" s="121" t="s">
        <v>56</v>
      </c>
      <c r="B952" s="117">
        <v>6695.17</v>
      </c>
      <c r="C952" s="117">
        <v>66.460000000000008</v>
      </c>
    </row>
    <row r="953" spans="1:3" ht="18" x14ac:dyDescent="0.2">
      <c r="A953" s="121" t="s">
        <v>55</v>
      </c>
      <c r="B953" s="117">
        <v>2014.8</v>
      </c>
      <c r="C953" s="117">
        <v>20</v>
      </c>
    </row>
    <row r="954" spans="1:3" ht="18" x14ac:dyDescent="0.2">
      <c r="A954" s="121" t="s">
        <v>152</v>
      </c>
      <c r="B954" s="117">
        <v>54400</v>
      </c>
      <c r="C954" s="117">
        <v>540</v>
      </c>
    </row>
    <row r="955" spans="1:3" ht="18" x14ac:dyDescent="0.2">
      <c r="A955" s="121" t="s">
        <v>58</v>
      </c>
      <c r="B955" s="117">
        <v>178400.5</v>
      </c>
      <c r="C955" s="117">
        <v>1770.9</v>
      </c>
    </row>
    <row r="956" spans="1:3" ht="18" x14ac:dyDescent="0.2">
      <c r="A956" s="121" t="s">
        <v>15</v>
      </c>
      <c r="B956" s="117">
        <v>3000</v>
      </c>
      <c r="C956" s="117">
        <v>29.78</v>
      </c>
    </row>
    <row r="957" spans="1:3" ht="18" x14ac:dyDescent="0.2">
      <c r="A957" s="121" t="s">
        <v>256</v>
      </c>
      <c r="B957" s="117">
        <v>100740</v>
      </c>
      <c r="C957" s="117">
        <v>1000</v>
      </c>
    </row>
    <row r="958" spans="1:3" ht="18" x14ac:dyDescent="0.2">
      <c r="A958" s="122">
        <v>46185</v>
      </c>
      <c r="B958" s="477">
        <v>877535.58000000007</v>
      </c>
      <c r="C958" s="477">
        <v>8710.89</v>
      </c>
    </row>
    <row r="959" spans="1:3" ht="18" x14ac:dyDescent="0.2">
      <c r="A959" s="121" t="s">
        <v>552</v>
      </c>
      <c r="B959" s="117">
        <v>4029.6</v>
      </c>
      <c r="C959" s="117">
        <v>40</v>
      </c>
    </row>
    <row r="960" spans="1:3" ht="18" x14ac:dyDescent="0.2">
      <c r="A960" s="121" t="s">
        <v>57</v>
      </c>
      <c r="B960" s="117">
        <v>3022.2</v>
      </c>
      <c r="C960" s="117">
        <v>30</v>
      </c>
    </row>
    <row r="961" spans="1:3" ht="18" x14ac:dyDescent="0.2">
      <c r="A961" s="121" t="s">
        <v>55</v>
      </c>
      <c r="B961" s="117">
        <v>4652.17</v>
      </c>
      <c r="C961" s="117">
        <v>46.18</v>
      </c>
    </row>
    <row r="962" spans="1:3" ht="18" x14ac:dyDescent="0.2">
      <c r="A962" s="121" t="s">
        <v>152</v>
      </c>
      <c r="B962" s="117">
        <v>65700</v>
      </c>
      <c r="C962" s="117">
        <v>652.16999999999996</v>
      </c>
    </row>
    <row r="963" spans="1:3" ht="18" x14ac:dyDescent="0.2">
      <c r="A963" s="121" t="s">
        <v>58</v>
      </c>
      <c r="B963" s="117">
        <v>249800</v>
      </c>
      <c r="C963" s="117">
        <v>2479.65</v>
      </c>
    </row>
    <row r="964" spans="1:3" ht="18" x14ac:dyDescent="0.2">
      <c r="A964" s="121" t="s">
        <v>15</v>
      </c>
      <c r="B964" s="117">
        <v>60000</v>
      </c>
      <c r="C964" s="117">
        <v>595.59</v>
      </c>
    </row>
    <row r="965" spans="1:3" ht="18" x14ac:dyDescent="0.2">
      <c r="A965" s="121" t="s">
        <v>256</v>
      </c>
      <c r="B965" s="117">
        <v>48355.199999999997</v>
      </c>
      <c r="C965" s="117">
        <v>480</v>
      </c>
    </row>
    <row r="966" spans="1:3" ht="18" x14ac:dyDescent="0.2">
      <c r="A966" s="121" t="s">
        <v>1484</v>
      </c>
      <c r="B966" s="117">
        <v>15000</v>
      </c>
      <c r="C966" s="117">
        <v>148.9</v>
      </c>
    </row>
    <row r="967" spans="1:3" ht="18" x14ac:dyDescent="0.2">
      <c r="A967" s="121" t="s">
        <v>96</v>
      </c>
      <c r="B967" s="117">
        <v>151260.1</v>
      </c>
      <c r="C967" s="117">
        <v>1501.49</v>
      </c>
    </row>
    <row r="968" spans="1:3" ht="18" x14ac:dyDescent="0.2">
      <c r="A968" s="121" t="s">
        <v>714</v>
      </c>
      <c r="B968" s="117">
        <v>13792.31</v>
      </c>
      <c r="C968" s="117">
        <v>136.91</v>
      </c>
    </row>
    <row r="969" spans="1:3" ht="18" x14ac:dyDescent="0.2">
      <c r="A969" s="121" t="s">
        <v>901</v>
      </c>
      <c r="B969" s="117">
        <v>201480</v>
      </c>
      <c r="C969" s="117">
        <v>2000</v>
      </c>
    </row>
    <row r="970" spans="1:3" ht="18" x14ac:dyDescent="0.2">
      <c r="A970" s="121" t="s">
        <v>1483</v>
      </c>
      <c r="B970" s="117">
        <v>60444</v>
      </c>
      <c r="C970" s="117">
        <v>600</v>
      </c>
    </row>
    <row r="971" spans="1:3" ht="18" x14ac:dyDescent="0.2">
      <c r="A971" s="122">
        <v>46184</v>
      </c>
      <c r="B971" s="477">
        <v>859131.8600000001</v>
      </c>
      <c r="C971" s="477">
        <v>8528.2100000000009</v>
      </c>
    </row>
    <row r="972" spans="1:3" ht="18" x14ac:dyDescent="0.2">
      <c r="A972" s="121" t="s">
        <v>56</v>
      </c>
      <c r="B972" s="117">
        <v>19142.61</v>
      </c>
      <c r="C972" s="117">
        <v>190.02</v>
      </c>
    </row>
    <row r="973" spans="1:3" ht="18" x14ac:dyDescent="0.2">
      <c r="A973" s="121" t="s">
        <v>55</v>
      </c>
      <c r="B973" s="117">
        <v>7051.8</v>
      </c>
      <c r="C973" s="117">
        <v>70</v>
      </c>
    </row>
    <row r="974" spans="1:3" ht="18" x14ac:dyDescent="0.2">
      <c r="A974" s="121" t="s">
        <v>152</v>
      </c>
      <c r="B974" s="117">
        <v>67500</v>
      </c>
      <c r="C974" s="117">
        <v>670.04</v>
      </c>
    </row>
    <row r="975" spans="1:3" ht="18" x14ac:dyDescent="0.2">
      <c r="A975" s="121" t="s">
        <v>58</v>
      </c>
      <c r="B975" s="117">
        <v>203400</v>
      </c>
      <c r="C975" s="117">
        <v>2019.06</v>
      </c>
    </row>
    <row r="976" spans="1:3" ht="18" x14ac:dyDescent="0.2">
      <c r="A976" s="121" t="s">
        <v>15</v>
      </c>
      <c r="B976" s="117">
        <v>6000</v>
      </c>
      <c r="C976" s="117">
        <v>59.56</v>
      </c>
    </row>
    <row r="977" spans="1:3" ht="18" x14ac:dyDescent="0.2">
      <c r="A977" s="121" t="s">
        <v>256</v>
      </c>
      <c r="B977" s="117">
        <v>2014.8</v>
      </c>
      <c r="C977" s="117">
        <v>20</v>
      </c>
    </row>
    <row r="978" spans="1:3" ht="18" x14ac:dyDescent="0.2">
      <c r="A978" s="121" t="s">
        <v>59</v>
      </c>
      <c r="B978" s="117">
        <v>251799.63</v>
      </c>
      <c r="C978" s="117">
        <v>2499.5</v>
      </c>
    </row>
    <row r="979" spans="1:3" ht="18" x14ac:dyDescent="0.2">
      <c r="A979" s="121" t="s">
        <v>96</v>
      </c>
      <c r="B979" s="117">
        <v>151112.01</v>
      </c>
      <c r="C979" s="117">
        <v>1500.02</v>
      </c>
    </row>
    <row r="980" spans="1:3" ht="18" x14ac:dyDescent="0.2">
      <c r="A980" s="121" t="s">
        <v>901</v>
      </c>
      <c r="B980" s="117">
        <v>151111.01</v>
      </c>
      <c r="C980" s="117">
        <v>1500.01</v>
      </c>
    </row>
    <row r="981" spans="1:3" ht="18" x14ac:dyDescent="0.2">
      <c r="A981" s="122">
        <v>46183</v>
      </c>
      <c r="B981" s="477">
        <v>1310127.48</v>
      </c>
      <c r="C981" s="477">
        <v>13005.039999999999</v>
      </c>
    </row>
    <row r="982" spans="1:3" ht="18" x14ac:dyDescent="0.2">
      <c r="A982" s="121" t="s">
        <v>57</v>
      </c>
      <c r="B982" s="117">
        <v>35136.06</v>
      </c>
      <c r="C982" s="117">
        <v>348.78</v>
      </c>
    </row>
    <row r="983" spans="1:3" ht="18" x14ac:dyDescent="0.2">
      <c r="A983" s="121" t="s">
        <v>1445</v>
      </c>
      <c r="B983" s="117">
        <v>201480</v>
      </c>
      <c r="C983" s="117">
        <v>2000</v>
      </c>
    </row>
    <row r="984" spans="1:3" ht="18" x14ac:dyDescent="0.2">
      <c r="A984" s="121" t="s">
        <v>152</v>
      </c>
      <c r="B984" s="117">
        <v>85600</v>
      </c>
      <c r="C984" s="117">
        <v>849.71</v>
      </c>
    </row>
    <row r="985" spans="1:3" ht="18" x14ac:dyDescent="0.2">
      <c r="A985" s="121" t="s">
        <v>58</v>
      </c>
      <c r="B985" s="117">
        <v>182200</v>
      </c>
      <c r="C985" s="117">
        <v>1808.62</v>
      </c>
    </row>
    <row r="986" spans="1:3" ht="18" x14ac:dyDescent="0.2">
      <c r="A986" s="121" t="s">
        <v>15</v>
      </c>
      <c r="B986" s="117">
        <v>3000</v>
      </c>
      <c r="C986" s="117">
        <v>29.78</v>
      </c>
    </row>
    <row r="987" spans="1:3" ht="18" x14ac:dyDescent="0.2">
      <c r="A987" s="121" t="s">
        <v>255</v>
      </c>
      <c r="B987" s="117">
        <v>151110</v>
      </c>
      <c r="C987" s="117">
        <v>1500</v>
      </c>
    </row>
    <row r="988" spans="1:3" ht="18" x14ac:dyDescent="0.2">
      <c r="A988" s="121" t="s">
        <v>1444</v>
      </c>
      <c r="B988" s="117">
        <v>151110</v>
      </c>
      <c r="C988" s="117">
        <v>1500</v>
      </c>
    </row>
    <row r="989" spans="1:3" ht="18" x14ac:dyDescent="0.2">
      <c r="A989" s="121" t="s">
        <v>199</v>
      </c>
      <c r="B989" s="117">
        <v>33975.57</v>
      </c>
      <c r="C989" s="117">
        <v>337.26</v>
      </c>
    </row>
    <row r="990" spans="1:3" ht="18" x14ac:dyDescent="0.2">
      <c r="A990" s="121" t="s">
        <v>714</v>
      </c>
      <c r="B990" s="117">
        <v>13185.85</v>
      </c>
      <c r="C990" s="117">
        <v>130.88999999999999</v>
      </c>
    </row>
    <row r="991" spans="1:3" ht="18" x14ac:dyDescent="0.2">
      <c r="A991" s="121" t="s">
        <v>901</v>
      </c>
      <c r="B991" s="117">
        <v>151110</v>
      </c>
      <c r="C991" s="117">
        <v>1500</v>
      </c>
    </row>
    <row r="992" spans="1:3" ht="18" x14ac:dyDescent="0.2">
      <c r="A992" s="121" t="s">
        <v>922</v>
      </c>
      <c r="B992" s="117">
        <v>302220</v>
      </c>
      <c r="C992" s="117">
        <v>3000</v>
      </c>
    </row>
    <row r="993" spans="1:3" ht="18" x14ac:dyDescent="0.2">
      <c r="A993" s="122">
        <v>46182</v>
      </c>
      <c r="B993" s="477">
        <v>1596775.55</v>
      </c>
      <c r="C993" s="477">
        <v>15850.46</v>
      </c>
    </row>
    <row r="994" spans="1:3" ht="18" x14ac:dyDescent="0.2">
      <c r="A994" s="121" t="s">
        <v>54</v>
      </c>
      <c r="B994" s="117">
        <v>4634.04</v>
      </c>
      <c r="C994" s="117">
        <v>46</v>
      </c>
    </row>
    <row r="995" spans="1:3" ht="18" x14ac:dyDescent="0.2">
      <c r="A995" s="121" t="s">
        <v>57</v>
      </c>
      <c r="B995" s="117">
        <v>20111</v>
      </c>
      <c r="C995" s="117">
        <v>199.63</v>
      </c>
    </row>
    <row r="996" spans="1:3" ht="18" x14ac:dyDescent="0.2">
      <c r="A996" s="121" t="s">
        <v>55</v>
      </c>
      <c r="B996" s="117">
        <v>2518.5</v>
      </c>
      <c r="C996" s="117">
        <v>25</v>
      </c>
    </row>
    <row r="997" spans="1:3" ht="18" x14ac:dyDescent="0.2">
      <c r="A997" s="121" t="s">
        <v>152</v>
      </c>
      <c r="B997" s="117">
        <v>117600</v>
      </c>
      <c r="C997" s="117">
        <v>1167.3599999999999</v>
      </c>
    </row>
    <row r="998" spans="1:3" ht="18" x14ac:dyDescent="0.2">
      <c r="A998" s="121" t="s">
        <v>58</v>
      </c>
      <c r="B998" s="117">
        <v>117122.2</v>
      </c>
      <c r="C998" s="117">
        <v>1162.6200000000001</v>
      </c>
    </row>
    <row r="999" spans="1:3" ht="18" x14ac:dyDescent="0.2">
      <c r="A999" s="121" t="s">
        <v>15</v>
      </c>
      <c r="B999" s="117">
        <v>6000</v>
      </c>
      <c r="C999" s="117">
        <v>59.56</v>
      </c>
    </row>
    <row r="1000" spans="1:3" ht="18" x14ac:dyDescent="0.2">
      <c r="A1000" s="121" t="s">
        <v>256</v>
      </c>
      <c r="B1000" s="117">
        <v>274012.79999999999</v>
      </c>
      <c r="C1000" s="117">
        <v>2720</v>
      </c>
    </row>
    <row r="1001" spans="1:3" ht="18" x14ac:dyDescent="0.2">
      <c r="A1001" s="121" t="s">
        <v>199</v>
      </c>
      <c r="B1001" s="117">
        <v>5037</v>
      </c>
      <c r="C1001" s="117">
        <v>50</v>
      </c>
    </row>
    <row r="1002" spans="1:3" ht="18" x14ac:dyDescent="0.2">
      <c r="A1002" s="121" t="s">
        <v>59</v>
      </c>
      <c r="B1002" s="117">
        <v>302220</v>
      </c>
      <c r="C1002" s="117">
        <v>3000</v>
      </c>
    </row>
    <row r="1003" spans="1:3" ht="18" x14ac:dyDescent="0.2">
      <c r="A1003" s="121" t="s">
        <v>96</v>
      </c>
      <c r="B1003" s="117">
        <v>201480</v>
      </c>
      <c r="C1003" s="117">
        <v>2000</v>
      </c>
    </row>
    <row r="1004" spans="1:3" ht="18" x14ac:dyDescent="0.2">
      <c r="A1004" s="121" t="s">
        <v>91</v>
      </c>
      <c r="B1004" s="117">
        <v>50370</v>
      </c>
      <c r="C1004" s="117">
        <v>500</v>
      </c>
    </row>
    <row r="1005" spans="1:3" ht="18" x14ac:dyDescent="0.2">
      <c r="A1005" s="121" t="s">
        <v>901</v>
      </c>
      <c r="B1005" s="117">
        <v>193450.01</v>
      </c>
      <c r="C1005" s="117">
        <v>1920.29</v>
      </c>
    </row>
    <row r="1006" spans="1:3" ht="18" x14ac:dyDescent="0.2">
      <c r="A1006" s="121" t="s">
        <v>922</v>
      </c>
      <c r="B1006" s="117">
        <v>302220</v>
      </c>
      <c r="C1006" s="117">
        <v>3000</v>
      </c>
    </row>
    <row r="1007" spans="1:3" ht="18" x14ac:dyDescent="0.2">
      <c r="A1007" s="122">
        <v>46181</v>
      </c>
      <c r="B1007" s="477">
        <v>719081.23</v>
      </c>
      <c r="C1007" s="477">
        <v>7137.9800000000005</v>
      </c>
    </row>
    <row r="1008" spans="1:3" ht="18" x14ac:dyDescent="0.2">
      <c r="A1008" s="121" t="s">
        <v>57</v>
      </c>
      <c r="B1008" s="117">
        <v>28302.38</v>
      </c>
      <c r="C1008" s="117">
        <v>280.94</v>
      </c>
    </row>
    <row r="1009" spans="1:3" ht="18" x14ac:dyDescent="0.2">
      <c r="A1009" s="121" t="s">
        <v>56</v>
      </c>
      <c r="B1009" s="117">
        <v>18708.419999999998</v>
      </c>
      <c r="C1009" s="117">
        <v>185.71</v>
      </c>
    </row>
    <row r="1010" spans="1:3" ht="18" x14ac:dyDescent="0.2">
      <c r="A1010" s="121" t="s">
        <v>152</v>
      </c>
      <c r="B1010" s="117">
        <v>18000</v>
      </c>
      <c r="C1010" s="117">
        <v>178.68</v>
      </c>
    </row>
    <row r="1011" spans="1:3" ht="18" x14ac:dyDescent="0.2">
      <c r="A1011" s="121" t="s">
        <v>58</v>
      </c>
      <c r="B1011" s="117">
        <v>55223.68</v>
      </c>
      <c r="C1011" s="117">
        <v>548.17999999999995</v>
      </c>
    </row>
    <row r="1012" spans="1:3" ht="18" x14ac:dyDescent="0.2">
      <c r="A1012" s="121" t="s">
        <v>153</v>
      </c>
      <c r="B1012" s="117">
        <v>72231.58</v>
      </c>
      <c r="C1012" s="117">
        <v>717</v>
      </c>
    </row>
    <row r="1013" spans="1:3" ht="18" x14ac:dyDescent="0.2">
      <c r="A1013" s="121" t="s">
        <v>15</v>
      </c>
      <c r="B1013" s="117">
        <v>12000</v>
      </c>
      <c r="C1013" s="117">
        <v>119.12</v>
      </c>
    </row>
    <row r="1014" spans="1:3" ht="18" x14ac:dyDescent="0.2">
      <c r="A1014" s="121" t="s">
        <v>256</v>
      </c>
      <c r="B1014" s="117">
        <v>40296</v>
      </c>
      <c r="C1014" s="117">
        <v>400</v>
      </c>
    </row>
    <row r="1015" spans="1:3" ht="18" x14ac:dyDescent="0.2">
      <c r="A1015" s="121" t="s">
        <v>96</v>
      </c>
      <c r="B1015" s="117">
        <v>201383.29</v>
      </c>
      <c r="C1015" s="117">
        <v>1999.04</v>
      </c>
    </row>
    <row r="1016" spans="1:3" ht="18" x14ac:dyDescent="0.2">
      <c r="A1016" s="121" t="s">
        <v>714</v>
      </c>
      <c r="B1016" s="117">
        <v>21081.850000000002</v>
      </c>
      <c r="C1016" s="117">
        <v>209.26999999999998</v>
      </c>
    </row>
    <row r="1017" spans="1:3" ht="18" x14ac:dyDescent="0.2">
      <c r="A1017" s="121" t="s">
        <v>901</v>
      </c>
      <c r="B1017" s="117">
        <v>251854.03</v>
      </c>
      <c r="C1017" s="117">
        <v>2500.04</v>
      </c>
    </row>
    <row r="1018" spans="1:3" ht="18" x14ac:dyDescent="0.2">
      <c r="A1018" s="122">
        <v>46180</v>
      </c>
      <c r="B1018" s="477">
        <v>194240.6</v>
      </c>
      <c r="C1018" s="477">
        <v>1928.1399999999999</v>
      </c>
    </row>
    <row r="1019" spans="1:3" ht="18" x14ac:dyDescent="0.2">
      <c r="A1019" s="121" t="s">
        <v>55</v>
      </c>
      <c r="B1019" s="117">
        <v>7051.8</v>
      </c>
      <c r="C1019" s="117">
        <v>70</v>
      </c>
    </row>
    <row r="1020" spans="1:3" ht="18" x14ac:dyDescent="0.2">
      <c r="A1020" s="121" t="s">
        <v>257</v>
      </c>
      <c r="B1020" s="117">
        <v>4029.6</v>
      </c>
      <c r="C1020" s="117">
        <v>40</v>
      </c>
    </row>
    <row r="1021" spans="1:3" ht="18" x14ac:dyDescent="0.2">
      <c r="A1021" s="121" t="s">
        <v>152</v>
      </c>
      <c r="B1021" s="117">
        <v>96500</v>
      </c>
      <c r="C1021" s="117">
        <v>957.91</v>
      </c>
    </row>
    <row r="1022" spans="1:3" ht="18" x14ac:dyDescent="0.2">
      <c r="A1022" s="121" t="s">
        <v>58</v>
      </c>
      <c r="B1022" s="117">
        <v>66600</v>
      </c>
      <c r="C1022" s="117">
        <v>661.11</v>
      </c>
    </row>
    <row r="1023" spans="1:3" ht="18" x14ac:dyDescent="0.2">
      <c r="A1023" s="121" t="s">
        <v>15</v>
      </c>
      <c r="B1023" s="117">
        <v>12000</v>
      </c>
      <c r="C1023" s="117">
        <v>119.12</v>
      </c>
    </row>
    <row r="1024" spans="1:3" ht="18" x14ac:dyDescent="0.2">
      <c r="A1024" s="121" t="s">
        <v>256</v>
      </c>
      <c r="B1024" s="117">
        <v>8059.2</v>
      </c>
      <c r="C1024" s="117">
        <v>80</v>
      </c>
    </row>
    <row r="1025" spans="1:3" ht="18" x14ac:dyDescent="0.2">
      <c r="A1025" s="122">
        <v>46179</v>
      </c>
      <c r="B1025" s="477">
        <v>820827.48</v>
      </c>
      <c r="C1025" s="477">
        <v>8147.9800000000005</v>
      </c>
    </row>
    <row r="1026" spans="1:3" ht="18" x14ac:dyDescent="0.2">
      <c r="A1026" s="121" t="s">
        <v>53</v>
      </c>
      <c r="B1026" s="117">
        <v>4533.3</v>
      </c>
      <c r="C1026" s="117">
        <v>45</v>
      </c>
    </row>
    <row r="1027" spans="1:3" ht="18" x14ac:dyDescent="0.2">
      <c r="A1027" s="121" t="s">
        <v>152</v>
      </c>
      <c r="B1027" s="117">
        <v>103200</v>
      </c>
      <c r="C1027" s="117">
        <v>1024.42</v>
      </c>
    </row>
    <row r="1028" spans="1:3" ht="18" x14ac:dyDescent="0.2">
      <c r="A1028" s="121" t="s">
        <v>58</v>
      </c>
      <c r="B1028" s="117">
        <v>274500</v>
      </c>
      <c r="C1028" s="117">
        <v>2724.84</v>
      </c>
    </row>
    <row r="1029" spans="1:3" ht="18" x14ac:dyDescent="0.2">
      <c r="A1029" s="121" t="s">
        <v>15</v>
      </c>
      <c r="B1029" s="117">
        <v>45000</v>
      </c>
      <c r="C1029" s="117">
        <v>446.69</v>
      </c>
    </row>
    <row r="1030" spans="1:3" ht="18" x14ac:dyDescent="0.2">
      <c r="A1030" s="121" t="s">
        <v>217</v>
      </c>
      <c r="B1030" s="117">
        <v>2014.8</v>
      </c>
      <c r="C1030" s="117">
        <v>20</v>
      </c>
    </row>
    <row r="1031" spans="1:3" ht="18" x14ac:dyDescent="0.2">
      <c r="A1031" s="121" t="s">
        <v>256</v>
      </c>
      <c r="B1031" s="117">
        <v>10074</v>
      </c>
      <c r="C1031" s="117">
        <v>100</v>
      </c>
    </row>
    <row r="1032" spans="1:3" ht="18" x14ac:dyDescent="0.2">
      <c r="A1032" s="121" t="s">
        <v>59</v>
      </c>
      <c r="B1032" s="117">
        <v>302251.23</v>
      </c>
      <c r="C1032" s="117">
        <v>3000.31</v>
      </c>
    </row>
    <row r="1033" spans="1:3" ht="18" x14ac:dyDescent="0.2">
      <c r="A1033" s="121" t="s">
        <v>714</v>
      </c>
      <c r="B1033" s="117">
        <v>49032.149999999994</v>
      </c>
      <c r="C1033" s="117">
        <v>486.71999999999997</v>
      </c>
    </row>
    <row r="1034" spans="1:3" ht="18" x14ac:dyDescent="0.2">
      <c r="A1034" s="121" t="s">
        <v>901</v>
      </c>
      <c r="B1034" s="117">
        <v>30222</v>
      </c>
      <c r="C1034" s="117">
        <v>300</v>
      </c>
    </row>
    <row r="1035" spans="1:3" ht="18" x14ac:dyDescent="0.2">
      <c r="A1035" s="122">
        <v>46178</v>
      </c>
      <c r="B1035" s="477">
        <v>2169187.37</v>
      </c>
      <c r="C1035" s="477">
        <v>21532.53</v>
      </c>
    </row>
    <row r="1036" spans="1:3" ht="18" x14ac:dyDescent="0.2">
      <c r="A1036" s="121" t="s">
        <v>57</v>
      </c>
      <c r="B1036" s="117">
        <v>2000</v>
      </c>
      <c r="C1036" s="117">
        <v>19.850000000000001</v>
      </c>
    </row>
    <row r="1037" spans="1:3" ht="18" x14ac:dyDescent="0.2">
      <c r="A1037" s="121" t="s">
        <v>56</v>
      </c>
      <c r="B1037" s="117">
        <v>14954.849999999999</v>
      </c>
      <c r="C1037" s="117">
        <v>148.44999999999999</v>
      </c>
    </row>
    <row r="1038" spans="1:3" ht="18" x14ac:dyDescent="0.2">
      <c r="A1038" s="121" t="s">
        <v>152</v>
      </c>
      <c r="B1038" s="117">
        <v>64500</v>
      </c>
      <c r="C1038" s="117">
        <v>640.26</v>
      </c>
    </row>
    <row r="1039" spans="1:3" ht="18" x14ac:dyDescent="0.2">
      <c r="A1039" s="121" t="s">
        <v>58</v>
      </c>
      <c r="B1039" s="117">
        <v>554922.19999999995</v>
      </c>
      <c r="C1039" s="117">
        <v>5508.46</v>
      </c>
    </row>
    <row r="1040" spans="1:3" ht="18" x14ac:dyDescent="0.2">
      <c r="A1040" s="121" t="s">
        <v>15</v>
      </c>
      <c r="B1040" s="117">
        <v>12000</v>
      </c>
      <c r="C1040" s="117">
        <v>119.12</v>
      </c>
    </row>
    <row r="1041" spans="1:3" ht="18" x14ac:dyDescent="0.2">
      <c r="A1041" s="121" t="s">
        <v>51</v>
      </c>
      <c r="B1041" s="117">
        <v>1208880</v>
      </c>
      <c r="C1041" s="117">
        <v>12000</v>
      </c>
    </row>
    <row r="1042" spans="1:3" ht="18" x14ac:dyDescent="0.2">
      <c r="A1042" s="121" t="s">
        <v>96</v>
      </c>
      <c r="B1042" s="117">
        <v>151110</v>
      </c>
      <c r="C1042" s="117">
        <v>1500</v>
      </c>
    </row>
    <row r="1043" spans="1:3" ht="18" x14ac:dyDescent="0.2">
      <c r="A1043" s="121" t="s">
        <v>714</v>
      </c>
      <c r="B1043" s="117">
        <v>9710.32</v>
      </c>
      <c r="C1043" s="117">
        <v>96.39</v>
      </c>
    </row>
    <row r="1044" spans="1:3" ht="18" x14ac:dyDescent="0.2">
      <c r="A1044" s="121" t="s">
        <v>901</v>
      </c>
      <c r="B1044" s="117">
        <v>151110</v>
      </c>
      <c r="C1044" s="117">
        <v>1500</v>
      </c>
    </row>
    <row r="1045" spans="1:3" ht="18" x14ac:dyDescent="0.2">
      <c r="A1045" s="122">
        <v>46177</v>
      </c>
      <c r="B1045" s="477">
        <v>1128527.7200000002</v>
      </c>
      <c r="C1045" s="477">
        <v>11202.37</v>
      </c>
    </row>
    <row r="1046" spans="1:3" ht="18" x14ac:dyDescent="0.2">
      <c r="A1046" s="121" t="s">
        <v>56</v>
      </c>
      <c r="B1046" s="117">
        <v>5067.22</v>
      </c>
      <c r="C1046" s="117">
        <v>50.3</v>
      </c>
    </row>
    <row r="1047" spans="1:3" ht="18" x14ac:dyDescent="0.2">
      <c r="A1047" s="121" t="s">
        <v>919</v>
      </c>
      <c r="B1047" s="117">
        <v>201480</v>
      </c>
      <c r="C1047" s="117">
        <v>2000</v>
      </c>
    </row>
    <row r="1048" spans="1:3" ht="18" x14ac:dyDescent="0.2">
      <c r="A1048" s="121" t="s">
        <v>152</v>
      </c>
      <c r="B1048" s="117">
        <v>142851.70000000001</v>
      </c>
      <c r="C1048" s="117">
        <v>1418.02</v>
      </c>
    </row>
    <row r="1049" spans="1:3" ht="18" x14ac:dyDescent="0.2">
      <c r="A1049" s="121" t="s">
        <v>58</v>
      </c>
      <c r="B1049" s="117">
        <v>282923.68</v>
      </c>
      <c r="C1049" s="117">
        <v>2808.45</v>
      </c>
    </row>
    <row r="1050" spans="1:3" ht="18" x14ac:dyDescent="0.2">
      <c r="A1050" s="121" t="s">
        <v>15</v>
      </c>
      <c r="B1050" s="117">
        <v>23800</v>
      </c>
      <c r="C1050" s="117">
        <v>236.25</v>
      </c>
    </row>
    <row r="1051" spans="1:3" ht="18" x14ac:dyDescent="0.2">
      <c r="A1051" s="121" t="s">
        <v>199</v>
      </c>
      <c r="B1051" s="117">
        <v>50370</v>
      </c>
      <c r="C1051" s="117">
        <v>500</v>
      </c>
    </row>
    <row r="1052" spans="1:3" ht="18" x14ac:dyDescent="0.2">
      <c r="A1052" s="121" t="s">
        <v>59</v>
      </c>
      <c r="B1052" s="117">
        <v>302220</v>
      </c>
      <c r="C1052" s="117">
        <v>3000</v>
      </c>
    </row>
    <row r="1053" spans="1:3" ht="18" x14ac:dyDescent="0.2">
      <c r="A1053" s="121" t="s">
        <v>714</v>
      </c>
      <c r="B1053" s="117">
        <v>19030.79</v>
      </c>
      <c r="C1053" s="117">
        <v>188.91</v>
      </c>
    </row>
    <row r="1054" spans="1:3" ht="18" x14ac:dyDescent="0.2">
      <c r="A1054" s="121" t="s">
        <v>901</v>
      </c>
      <c r="B1054" s="117">
        <v>100784.33</v>
      </c>
      <c r="C1054" s="117">
        <v>1000.44</v>
      </c>
    </row>
    <row r="1055" spans="1:3" ht="18" x14ac:dyDescent="0.2">
      <c r="A1055" s="122">
        <v>46176</v>
      </c>
      <c r="B1055" s="477">
        <v>1014648.77</v>
      </c>
      <c r="C1055" s="477">
        <v>10071.950000000001</v>
      </c>
    </row>
    <row r="1056" spans="1:3" ht="18" x14ac:dyDescent="0.2">
      <c r="A1056" s="121" t="s">
        <v>53</v>
      </c>
      <c r="B1056" s="117">
        <v>4029.6</v>
      </c>
      <c r="C1056" s="117">
        <v>40</v>
      </c>
    </row>
    <row r="1057" spans="1:3" ht="18" x14ac:dyDescent="0.2">
      <c r="A1057" s="121" t="s">
        <v>143</v>
      </c>
      <c r="B1057" s="117">
        <v>302220</v>
      </c>
      <c r="C1057" s="117">
        <v>3000</v>
      </c>
    </row>
    <row r="1058" spans="1:3" ht="18" x14ac:dyDescent="0.2">
      <c r="A1058" s="121" t="s">
        <v>257</v>
      </c>
      <c r="B1058" s="117">
        <v>27609.200000000001</v>
      </c>
      <c r="C1058" s="117">
        <v>274.06</v>
      </c>
    </row>
    <row r="1059" spans="1:3" ht="18" x14ac:dyDescent="0.2">
      <c r="A1059" s="121" t="s">
        <v>152</v>
      </c>
      <c r="B1059" s="117">
        <v>193700</v>
      </c>
      <c r="C1059" s="117">
        <v>1922.77</v>
      </c>
    </row>
    <row r="1060" spans="1:3" ht="18" x14ac:dyDescent="0.2">
      <c r="A1060" s="121" t="s">
        <v>58</v>
      </c>
      <c r="B1060" s="117">
        <v>93522</v>
      </c>
      <c r="C1060" s="117">
        <v>928.35</v>
      </c>
    </row>
    <row r="1061" spans="1:3" ht="18" x14ac:dyDescent="0.2">
      <c r="A1061" s="121" t="s">
        <v>15</v>
      </c>
      <c r="B1061" s="117">
        <v>13000</v>
      </c>
      <c r="C1061" s="117">
        <v>129.05000000000001</v>
      </c>
    </row>
    <row r="1062" spans="1:3" ht="18" x14ac:dyDescent="0.2">
      <c r="A1062" s="121" t="s">
        <v>134</v>
      </c>
      <c r="B1062" s="117">
        <v>100740</v>
      </c>
      <c r="C1062" s="117">
        <v>1000</v>
      </c>
    </row>
    <row r="1063" spans="1:3" ht="18" x14ac:dyDescent="0.2">
      <c r="A1063" s="121" t="s">
        <v>137</v>
      </c>
      <c r="B1063" s="117">
        <v>3660.89</v>
      </c>
      <c r="C1063" s="117">
        <v>36.340000000000003</v>
      </c>
    </row>
    <row r="1064" spans="1:3" ht="18" x14ac:dyDescent="0.2">
      <c r="A1064" s="121" t="s">
        <v>256</v>
      </c>
      <c r="B1064" s="117">
        <v>10745.4</v>
      </c>
      <c r="C1064" s="117">
        <v>106.66</v>
      </c>
    </row>
    <row r="1065" spans="1:3" ht="18" x14ac:dyDescent="0.2">
      <c r="A1065" s="121" t="s">
        <v>202</v>
      </c>
      <c r="B1065" s="117">
        <v>3394.93</v>
      </c>
      <c r="C1065" s="117">
        <v>33.700000000000003</v>
      </c>
    </row>
    <row r="1066" spans="1:3" ht="18" x14ac:dyDescent="0.2">
      <c r="A1066" s="121" t="s">
        <v>59</v>
      </c>
      <c r="B1066" s="117">
        <v>10074</v>
      </c>
      <c r="C1066" s="117">
        <v>100</v>
      </c>
    </row>
    <row r="1067" spans="1:3" ht="18" x14ac:dyDescent="0.2">
      <c r="A1067" s="121" t="s">
        <v>96</v>
      </c>
      <c r="B1067" s="117">
        <v>151152.31</v>
      </c>
      <c r="C1067" s="117">
        <v>1500.42</v>
      </c>
    </row>
    <row r="1068" spans="1:3" ht="18" x14ac:dyDescent="0.2">
      <c r="A1068" s="121" t="s">
        <v>901</v>
      </c>
      <c r="B1068" s="117">
        <v>100800.44</v>
      </c>
      <c r="C1068" s="117">
        <v>1000.6</v>
      </c>
    </row>
    <row r="1069" spans="1:3" ht="18" x14ac:dyDescent="0.2">
      <c r="A1069" s="122">
        <v>46175</v>
      </c>
      <c r="B1069" s="477">
        <v>513172.55000000005</v>
      </c>
      <c r="C1069" s="477">
        <v>5094.03</v>
      </c>
    </row>
    <row r="1070" spans="1:3" ht="18" x14ac:dyDescent="0.2">
      <c r="A1070" s="121" t="s">
        <v>56</v>
      </c>
      <c r="B1070" s="117">
        <v>9925.91</v>
      </c>
      <c r="C1070" s="117">
        <v>98.53</v>
      </c>
    </row>
    <row r="1071" spans="1:3" ht="18" x14ac:dyDescent="0.2">
      <c r="A1071" s="121" t="s">
        <v>152</v>
      </c>
      <c r="B1071" s="117">
        <v>37500</v>
      </c>
      <c r="C1071" s="117">
        <v>372.25</v>
      </c>
    </row>
    <row r="1072" spans="1:3" ht="18" x14ac:dyDescent="0.2">
      <c r="A1072" s="121" t="s">
        <v>58</v>
      </c>
      <c r="B1072" s="117">
        <v>163526.64000000001</v>
      </c>
      <c r="C1072" s="117">
        <v>1623.25</v>
      </c>
    </row>
    <row r="1073" spans="1:3" ht="18" x14ac:dyDescent="0.2">
      <c r="A1073" s="121" t="s">
        <v>59</v>
      </c>
      <c r="B1073" s="117">
        <v>302220</v>
      </c>
      <c r="C1073" s="117">
        <v>3000</v>
      </c>
    </row>
    <row r="1074" spans="1:3" ht="18" x14ac:dyDescent="0.2">
      <c r="A1074" s="122">
        <v>46174</v>
      </c>
      <c r="B1074" s="477">
        <v>1011763.09</v>
      </c>
      <c r="C1074" s="477">
        <v>10043.32</v>
      </c>
    </row>
    <row r="1075" spans="1:3" ht="18" x14ac:dyDescent="0.2">
      <c r="A1075" s="121" t="s">
        <v>552</v>
      </c>
      <c r="B1075" s="117">
        <v>95703</v>
      </c>
      <c r="C1075" s="117">
        <v>950</v>
      </c>
    </row>
    <row r="1076" spans="1:3" ht="18" x14ac:dyDescent="0.2">
      <c r="A1076" s="121" t="s">
        <v>143</v>
      </c>
      <c r="B1076" s="117">
        <v>302220</v>
      </c>
      <c r="C1076" s="117">
        <v>3000</v>
      </c>
    </row>
    <row r="1077" spans="1:3" ht="18" x14ac:dyDescent="0.2">
      <c r="A1077" s="121" t="s">
        <v>57</v>
      </c>
      <c r="B1077" s="117">
        <v>5000</v>
      </c>
      <c r="C1077" s="117">
        <v>49.64</v>
      </c>
    </row>
    <row r="1078" spans="1:3" ht="18" x14ac:dyDescent="0.2">
      <c r="A1078" s="121" t="s">
        <v>56</v>
      </c>
      <c r="B1078" s="117">
        <v>19113.39</v>
      </c>
      <c r="C1078" s="117">
        <v>189.73</v>
      </c>
    </row>
    <row r="1079" spans="1:3" ht="18" x14ac:dyDescent="0.2">
      <c r="A1079" s="121" t="s">
        <v>55</v>
      </c>
      <c r="B1079" s="117">
        <v>7555.5</v>
      </c>
      <c r="C1079" s="117">
        <v>75</v>
      </c>
    </row>
    <row r="1080" spans="1:3" ht="18" x14ac:dyDescent="0.2">
      <c r="A1080" s="121" t="s">
        <v>152</v>
      </c>
      <c r="B1080" s="117">
        <v>32700</v>
      </c>
      <c r="C1080" s="117">
        <v>324.60000000000002</v>
      </c>
    </row>
    <row r="1081" spans="1:3" ht="18" x14ac:dyDescent="0.2">
      <c r="A1081" s="121" t="s">
        <v>58</v>
      </c>
      <c r="B1081" s="117">
        <v>158600</v>
      </c>
      <c r="C1081" s="117">
        <v>1574.35</v>
      </c>
    </row>
    <row r="1082" spans="1:3" ht="18" x14ac:dyDescent="0.2">
      <c r="A1082" s="121" t="s">
        <v>256</v>
      </c>
      <c r="B1082" s="117">
        <v>50370</v>
      </c>
      <c r="C1082" s="117">
        <v>500</v>
      </c>
    </row>
    <row r="1083" spans="1:3" ht="18" x14ac:dyDescent="0.2">
      <c r="A1083" s="121" t="s">
        <v>51</v>
      </c>
      <c r="B1083" s="117">
        <v>302220</v>
      </c>
      <c r="C1083" s="117">
        <v>3000</v>
      </c>
    </row>
    <row r="1084" spans="1:3" ht="18" x14ac:dyDescent="0.2">
      <c r="A1084" s="121" t="s">
        <v>714</v>
      </c>
      <c r="B1084" s="117">
        <v>38281.199999999997</v>
      </c>
      <c r="C1084" s="117">
        <v>380</v>
      </c>
    </row>
    <row r="1085" spans="1:3" ht="18" x14ac:dyDescent="0.2">
      <c r="A1085" s="122">
        <v>46172</v>
      </c>
      <c r="B1085" s="477">
        <v>716172.10000000009</v>
      </c>
      <c r="C1085" s="477">
        <v>7109.1200000000008</v>
      </c>
    </row>
    <row r="1086" spans="1:3" ht="18" x14ac:dyDescent="0.2">
      <c r="A1086" s="121" t="s">
        <v>54</v>
      </c>
      <c r="B1086" s="117">
        <v>4612.88</v>
      </c>
      <c r="C1086" s="117">
        <v>45.79</v>
      </c>
    </row>
    <row r="1087" spans="1:3" ht="18" x14ac:dyDescent="0.2">
      <c r="A1087" s="121" t="s">
        <v>143</v>
      </c>
      <c r="B1087" s="117">
        <v>302220</v>
      </c>
      <c r="C1087" s="117">
        <v>3000</v>
      </c>
    </row>
    <row r="1088" spans="1:3" ht="18" x14ac:dyDescent="0.2">
      <c r="A1088" s="121" t="s">
        <v>56</v>
      </c>
      <c r="B1088" s="117">
        <v>11228.48</v>
      </c>
      <c r="C1088" s="117">
        <v>111.46</v>
      </c>
    </row>
    <row r="1089" spans="1:3" ht="18" x14ac:dyDescent="0.2">
      <c r="A1089" s="121" t="s">
        <v>55</v>
      </c>
      <c r="B1089" s="117">
        <v>927.4</v>
      </c>
      <c r="C1089" s="117">
        <v>9.2100000000000009</v>
      </c>
    </row>
    <row r="1090" spans="1:3" ht="18" x14ac:dyDescent="0.2">
      <c r="A1090" s="121" t="s">
        <v>58</v>
      </c>
      <c r="B1090" s="117">
        <v>61700</v>
      </c>
      <c r="C1090" s="117">
        <v>612.47</v>
      </c>
    </row>
    <row r="1091" spans="1:3" ht="18" x14ac:dyDescent="0.2">
      <c r="A1091" s="121" t="s">
        <v>256</v>
      </c>
      <c r="B1091" s="117">
        <v>3022.2</v>
      </c>
      <c r="C1091" s="117">
        <v>30</v>
      </c>
    </row>
    <row r="1092" spans="1:3" ht="18" x14ac:dyDescent="0.2">
      <c r="A1092" s="121" t="s">
        <v>59</v>
      </c>
      <c r="B1092" s="117">
        <v>80592</v>
      </c>
      <c r="C1092" s="117">
        <v>800</v>
      </c>
    </row>
    <row r="1093" spans="1:3" ht="18" x14ac:dyDescent="0.2">
      <c r="A1093" s="121" t="s">
        <v>96</v>
      </c>
      <c r="B1093" s="117">
        <v>151129.14000000001</v>
      </c>
      <c r="C1093" s="117">
        <v>1500.19</v>
      </c>
    </row>
    <row r="1094" spans="1:3" ht="18" x14ac:dyDescent="0.2">
      <c r="A1094" s="121" t="s">
        <v>901</v>
      </c>
      <c r="B1094" s="117">
        <v>100740</v>
      </c>
      <c r="C1094" s="117">
        <v>1000</v>
      </c>
    </row>
    <row r="1095" spans="1:3" ht="18" x14ac:dyDescent="0.2">
      <c r="A1095" s="122">
        <v>46171</v>
      </c>
      <c r="B1095" s="477">
        <v>782989.74</v>
      </c>
      <c r="C1095" s="477">
        <v>7772.3900000000012</v>
      </c>
    </row>
    <row r="1096" spans="1:3" ht="18" x14ac:dyDescent="0.2">
      <c r="A1096" s="121" t="s">
        <v>552</v>
      </c>
      <c r="B1096" s="117">
        <v>4000</v>
      </c>
      <c r="C1096" s="117">
        <v>39.71</v>
      </c>
    </row>
    <row r="1097" spans="1:3" ht="18" x14ac:dyDescent="0.2">
      <c r="A1097" s="121" t="s">
        <v>143</v>
      </c>
      <c r="B1097" s="117">
        <v>302220</v>
      </c>
      <c r="C1097" s="117">
        <v>3000</v>
      </c>
    </row>
    <row r="1098" spans="1:3" ht="18" x14ac:dyDescent="0.2">
      <c r="A1098" s="121" t="s">
        <v>56</v>
      </c>
      <c r="B1098" s="117">
        <v>2518.5</v>
      </c>
      <c r="C1098" s="117">
        <v>25</v>
      </c>
    </row>
    <row r="1099" spans="1:3" ht="18" x14ac:dyDescent="0.2">
      <c r="A1099" s="121" t="s">
        <v>184</v>
      </c>
      <c r="B1099" s="117">
        <v>30222</v>
      </c>
      <c r="C1099" s="117">
        <v>300</v>
      </c>
    </row>
    <row r="1100" spans="1:3" ht="18" x14ac:dyDescent="0.2">
      <c r="A1100" s="121" t="s">
        <v>92</v>
      </c>
      <c r="B1100" s="117">
        <v>20148</v>
      </c>
      <c r="C1100" s="117">
        <v>200</v>
      </c>
    </row>
    <row r="1101" spans="1:3" ht="18" x14ac:dyDescent="0.2">
      <c r="A1101" s="121" t="s">
        <v>874</v>
      </c>
      <c r="B1101" s="117">
        <v>302220</v>
      </c>
      <c r="C1101" s="117">
        <v>3000</v>
      </c>
    </row>
    <row r="1102" spans="1:3" ht="18" x14ac:dyDescent="0.2">
      <c r="A1102" s="121" t="s">
        <v>257</v>
      </c>
      <c r="B1102" s="117">
        <v>2000</v>
      </c>
      <c r="C1102" s="117">
        <v>19.850000000000001</v>
      </c>
    </row>
    <row r="1103" spans="1:3" ht="18" x14ac:dyDescent="0.2">
      <c r="A1103" s="121" t="s">
        <v>152</v>
      </c>
      <c r="B1103" s="117">
        <v>31650</v>
      </c>
      <c r="C1103" s="117">
        <v>314.18</v>
      </c>
    </row>
    <row r="1104" spans="1:3" ht="18" x14ac:dyDescent="0.2">
      <c r="A1104" s="121" t="s">
        <v>58</v>
      </c>
      <c r="B1104" s="117">
        <v>2800</v>
      </c>
      <c r="C1104" s="117">
        <v>27.8</v>
      </c>
    </row>
    <row r="1105" spans="1:3" ht="18" x14ac:dyDescent="0.2">
      <c r="A1105" s="121" t="s">
        <v>93</v>
      </c>
      <c r="B1105" s="117">
        <v>16118.4</v>
      </c>
      <c r="C1105" s="117">
        <v>160</v>
      </c>
    </row>
    <row r="1106" spans="1:3" ht="18" x14ac:dyDescent="0.2">
      <c r="A1106" s="121" t="s">
        <v>501</v>
      </c>
      <c r="B1106" s="117">
        <v>40296</v>
      </c>
      <c r="C1106" s="117">
        <v>400</v>
      </c>
    </row>
    <row r="1107" spans="1:3" ht="18" x14ac:dyDescent="0.2">
      <c r="A1107" s="121" t="s">
        <v>714</v>
      </c>
      <c r="B1107" s="117">
        <v>28796.84</v>
      </c>
      <c r="C1107" s="117">
        <v>285.85000000000002</v>
      </c>
    </row>
    <row r="1108" spans="1:3" ht="18" x14ac:dyDescent="0.2">
      <c r="A1108" s="122">
        <v>46170</v>
      </c>
      <c r="B1108" s="477">
        <v>438599.69</v>
      </c>
      <c r="C1108" s="477">
        <v>4353.78</v>
      </c>
    </row>
    <row r="1109" spans="1:3" ht="18" x14ac:dyDescent="0.2">
      <c r="A1109" s="121" t="s">
        <v>57</v>
      </c>
      <c r="B1109" s="117">
        <v>5000</v>
      </c>
      <c r="C1109" s="117">
        <v>49.63</v>
      </c>
    </row>
    <row r="1110" spans="1:3" ht="18" x14ac:dyDescent="0.2">
      <c r="A1110" s="121" t="s">
        <v>152</v>
      </c>
      <c r="B1110" s="117">
        <v>39400</v>
      </c>
      <c r="C1110" s="117">
        <v>391.11</v>
      </c>
    </row>
    <row r="1111" spans="1:3" ht="18" x14ac:dyDescent="0.2">
      <c r="A1111" s="121" t="s">
        <v>58</v>
      </c>
      <c r="B1111" s="117">
        <v>196300</v>
      </c>
      <c r="C1111" s="117">
        <v>1948.58</v>
      </c>
    </row>
    <row r="1112" spans="1:3" ht="18" x14ac:dyDescent="0.2">
      <c r="A1112" s="121" t="s">
        <v>136</v>
      </c>
      <c r="B1112" s="117">
        <v>6289.19</v>
      </c>
      <c r="C1112" s="117">
        <v>62.43</v>
      </c>
    </row>
    <row r="1113" spans="1:3" ht="18" x14ac:dyDescent="0.2">
      <c r="A1113" s="121" t="s">
        <v>96</v>
      </c>
      <c r="B1113" s="117">
        <v>151314.5</v>
      </c>
      <c r="C1113" s="117">
        <v>1502.03</v>
      </c>
    </row>
    <row r="1114" spans="1:3" ht="18" x14ac:dyDescent="0.2">
      <c r="A1114" s="121" t="s">
        <v>1140</v>
      </c>
      <c r="B1114" s="117">
        <v>40296</v>
      </c>
      <c r="C1114" s="117">
        <v>400</v>
      </c>
    </row>
    <row r="1115" spans="1:3" ht="18" x14ac:dyDescent="0.2">
      <c r="A1115" s="122">
        <v>46169</v>
      </c>
      <c r="B1115" s="477">
        <v>1321603.78</v>
      </c>
      <c r="C1115" s="477">
        <v>13118.960000000001</v>
      </c>
    </row>
    <row r="1116" spans="1:3" ht="18" x14ac:dyDescent="0.2">
      <c r="A1116" s="121" t="s">
        <v>143</v>
      </c>
      <c r="B1116" s="117">
        <v>302220</v>
      </c>
      <c r="C1116" s="117">
        <v>3000</v>
      </c>
    </row>
    <row r="1117" spans="1:3" ht="18" x14ac:dyDescent="0.2">
      <c r="A1117" s="121" t="s">
        <v>57</v>
      </c>
      <c r="B1117" s="117">
        <v>13000</v>
      </c>
      <c r="C1117" s="117">
        <v>129.05000000000001</v>
      </c>
    </row>
    <row r="1118" spans="1:3" ht="18" x14ac:dyDescent="0.2">
      <c r="A1118" s="121" t="s">
        <v>56</v>
      </c>
      <c r="B1118" s="117">
        <v>17387.710000000003</v>
      </c>
      <c r="C1118" s="117">
        <v>172.60000000000002</v>
      </c>
    </row>
    <row r="1119" spans="1:3" ht="18" x14ac:dyDescent="0.2">
      <c r="A1119" s="121" t="s">
        <v>55</v>
      </c>
      <c r="B1119" s="117">
        <v>7557.51</v>
      </c>
      <c r="C1119" s="117">
        <v>75.02</v>
      </c>
    </row>
    <row r="1120" spans="1:3" ht="18" x14ac:dyDescent="0.2">
      <c r="A1120" s="121" t="s">
        <v>152</v>
      </c>
      <c r="B1120" s="117">
        <v>48000</v>
      </c>
      <c r="C1120" s="117">
        <v>476.47</v>
      </c>
    </row>
    <row r="1121" spans="1:3" ht="18" x14ac:dyDescent="0.2">
      <c r="A1121" s="121" t="s">
        <v>58</v>
      </c>
      <c r="B1121" s="117">
        <v>195100</v>
      </c>
      <c r="C1121" s="117">
        <v>1936.67</v>
      </c>
    </row>
    <row r="1122" spans="1:3" ht="18" x14ac:dyDescent="0.2">
      <c r="A1122" s="121" t="s">
        <v>51</v>
      </c>
      <c r="B1122" s="117">
        <v>302220</v>
      </c>
      <c r="C1122" s="117">
        <v>3000</v>
      </c>
    </row>
    <row r="1123" spans="1:3" ht="18" x14ac:dyDescent="0.2">
      <c r="A1123" s="121" t="s">
        <v>59</v>
      </c>
      <c r="B1123" s="117">
        <v>302222.01</v>
      </c>
      <c r="C1123" s="117">
        <v>3000.02</v>
      </c>
    </row>
    <row r="1124" spans="1:3" ht="18" x14ac:dyDescent="0.2">
      <c r="A1124" s="121" t="s">
        <v>714</v>
      </c>
      <c r="B1124" s="117">
        <v>33156.550000000003</v>
      </c>
      <c r="C1124" s="117">
        <v>329.13</v>
      </c>
    </row>
    <row r="1125" spans="1:3" ht="18" x14ac:dyDescent="0.2">
      <c r="A1125" s="121" t="s">
        <v>901</v>
      </c>
      <c r="B1125" s="117">
        <v>100740</v>
      </c>
      <c r="C1125" s="117">
        <v>1000</v>
      </c>
    </row>
    <row r="1126" spans="1:3" ht="18" x14ac:dyDescent="0.2">
      <c r="A1126" s="122">
        <v>46168</v>
      </c>
      <c r="B1126" s="477">
        <v>804488.09</v>
      </c>
      <c r="C1126" s="477">
        <v>7985.78</v>
      </c>
    </row>
    <row r="1127" spans="1:3" ht="18" x14ac:dyDescent="0.2">
      <c r="A1127" s="121" t="s">
        <v>143</v>
      </c>
      <c r="B1127" s="117">
        <v>302220</v>
      </c>
      <c r="C1127" s="117">
        <v>3000</v>
      </c>
    </row>
    <row r="1128" spans="1:3" ht="18" x14ac:dyDescent="0.2">
      <c r="A1128" s="121" t="s">
        <v>57</v>
      </c>
      <c r="B1128" s="117">
        <v>3480.56</v>
      </c>
      <c r="C1128" s="117">
        <v>34.549999999999997</v>
      </c>
    </row>
    <row r="1129" spans="1:3" ht="18" x14ac:dyDescent="0.2">
      <c r="A1129" s="121" t="s">
        <v>257</v>
      </c>
      <c r="B1129" s="117">
        <v>4199.8500000000004</v>
      </c>
      <c r="C1129" s="117">
        <v>41.69</v>
      </c>
    </row>
    <row r="1130" spans="1:3" ht="18" x14ac:dyDescent="0.2">
      <c r="A1130" s="121" t="s">
        <v>58</v>
      </c>
      <c r="B1130" s="117">
        <v>172400</v>
      </c>
      <c r="C1130" s="117">
        <v>1711.33</v>
      </c>
    </row>
    <row r="1131" spans="1:3" ht="18" x14ac:dyDescent="0.2">
      <c r="A1131" s="121" t="s">
        <v>199</v>
      </c>
      <c r="B1131" s="117">
        <v>20148</v>
      </c>
      <c r="C1131" s="117">
        <v>200</v>
      </c>
    </row>
    <row r="1132" spans="1:3" ht="18" x14ac:dyDescent="0.2">
      <c r="A1132" s="121" t="s">
        <v>96</v>
      </c>
      <c r="B1132" s="117">
        <v>150929.68</v>
      </c>
      <c r="C1132" s="117">
        <v>1498.21</v>
      </c>
    </row>
    <row r="1133" spans="1:3" ht="18" x14ac:dyDescent="0.2">
      <c r="A1133" s="121" t="s">
        <v>1073</v>
      </c>
      <c r="B1133" s="117">
        <v>151110</v>
      </c>
      <c r="C1133" s="117">
        <v>1500</v>
      </c>
    </row>
    <row r="1134" spans="1:3" ht="18" x14ac:dyDescent="0.2">
      <c r="A1134" s="122">
        <v>46167</v>
      </c>
      <c r="B1134" s="477">
        <v>1231340.6399999999</v>
      </c>
      <c r="C1134" s="477">
        <v>12222.96</v>
      </c>
    </row>
    <row r="1135" spans="1:3" ht="18" x14ac:dyDescent="0.2">
      <c r="A1135" s="121" t="s">
        <v>54</v>
      </c>
      <c r="B1135" s="117">
        <v>4533.3</v>
      </c>
      <c r="C1135" s="117">
        <v>45</v>
      </c>
    </row>
    <row r="1136" spans="1:3" ht="18" x14ac:dyDescent="0.2">
      <c r="A1136" s="121" t="s">
        <v>143</v>
      </c>
      <c r="B1136" s="117">
        <v>302220</v>
      </c>
      <c r="C1136" s="117">
        <v>3000</v>
      </c>
    </row>
    <row r="1137" spans="1:3" ht="18" x14ac:dyDescent="0.2">
      <c r="A1137" s="121" t="s">
        <v>57</v>
      </c>
      <c r="B1137" s="117">
        <v>20000</v>
      </c>
      <c r="C1137" s="117">
        <v>198.53</v>
      </c>
    </row>
    <row r="1138" spans="1:3" ht="18" x14ac:dyDescent="0.2">
      <c r="A1138" s="121" t="s">
        <v>56</v>
      </c>
      <c r="B1138" s="117">
        <v>4637.0600000000004</v>
      </c>
      <c r="C1138" s="117">
        <v>46.03</v>
      </c>
    </row>
    <row r="1139" spans="1:3" ht="18" x14ac:dyDescent="0.2">
      <c r="A1139" s="121" t="s">
        <v>92</v>
      </c>
      <c r="B1139" s="117">
        <v>60444</v>
      </c>
      <c r="C1139" s="117">
        <v>600</v>
      </c>
    </row>
    <row r="1140" spans="1:3" ht="18" x14ac:dyDescent="0.2">
      <c r="A1140" s="121" t="s">
        <v>58</v>
      </c>
      <c r="B1140" s="117">
        <v>207800</v>
      </c>
      <c r="C1140" s="117">
        <v>2062.7399999999998</v>
      </c>
    </row>
    <row r="1141" spans="1:3" ht="18" x14ac:dyDescent="0.2">
      <c r="A1141" s="121" t="s">
        <v>51</v>
      </c>
      <c r="B1141" s="117">
        <v>302220</v>
      </c>
      <c r="C1141" s="117">
        <v>3000</v>
      </c>
    </row>
    <row r="1142" spans="1:3" ht="18" x14ac:dyDescent="0.2">
      <c r="A1142" s="121" t="s">
        <v>59</v>
      </c>
      <c r="B1142" s="117">
        <v>302202.87</v>
      </c>
      <c r="C1142" s="117">
        <v>2999.83</v>
      </c>
    </row>
    <row r="1143" spans="1:3" ht="18" x14ac:dyDescent="0.2">
      <c r="A1143" s="121" t="s">
        <v>714</v>
      </c>
      <c r="B1143" s="117">
        <v>27283.41</v>
      </c>
      <c r="C1143" s="117">
        <v>270.83</v>
      </c>
    </row>
    <row r="1144" spans="1:3" ht="18" x14ac:dyDescent="0.2">
      <c r="A1144" s="122">
        <v>46166</v>
      </c>
      <c r="B1144" s="477">
        <v>431065</v>
      </c>
      <c r="C1144" s="477">
        <v>4404.46</v>
      </c>
    </row>
    <row r="1145" spans="1:3" ht="18" x14ac:dyDescent="0.2">
      <c r="A1145" s="121" t="s">
        <v>552</v>
      </c>
      <c r="B1145" s="117">
        <v>12234</v>
      </c>
      <c r="C1145" s="117">
        <v>125</v>
      </c>
    </row>
    <row r="1146" spans="1:3" ht="18" x14ac:dyDescent="0.2">
      <c r="A1146" s="121" t="s">
        <v>57</v>
      </c>
      <c r="B1146" s="117">
        <v>9787</v>
      </c>
      <c r="C1146" s="117">
        <v>100</v>
      </c>
    </row>
    <row r="1147" spans="1:3" ht="18" x14ac:dyDescent="0.2">
      <c r="A1147" s="121" t="s">
        <v>58</v>
      </c>
      <c r="B1147" s="117">
        <v>291600</v>
      </c>
      <c r="C1147" s="117">
        <v>2979.46</v>
      </c>
    </row>
    <row r="1148" spans="1:3" ht="18" x14ac:dyDescent="0.2">
      <c r="A1148" s="121" t="s">
        <v>199</v>
      </c>
      <c r="B1148" s="117">
        <v>19574</v>
      </c>
      <c r="C1148" s="117">
        <v>200</v>
      </c>
    </row>
    <row r="1149" spans="1:3" ht="18" x14ac:dyDescent="0.2">
      <c r="A1149" s="121" t="s">
        <v>901</v>
      </c>
      <c r="B1149" s="117">
        <v>97870</v>
      </c>
      <c r="C1149" s="117">
        <v>1000</v>
      </c>
    </row>
    <row r="1150" spans="1:3" ht="18" x14ac:dyDescent="0.2">
      <c r="A1150" s="122">
        <v>46165</v>
      </c>
      <c r="B1150" s="477">
        <v>1367446.8399999999</v>
      </c>
      <c r="C1150" s="477">
        <v>13972.080000000002</v>
      </c>
    </row>
    <row r="1151" spans="1:3" ht="18" x14ac:dyDescent="0.2">
      <c r="A1151" s="121" t="s">
        <v>143</v>
      </c>
      <c r="B1151" s="117">
        <v>293610</v>
      </c>
      <c r="C1151" s="117">
        <v>3000</v>
      </c>
    </row>
    <row r="1152" spans="1:3" ht="18" x14ac:dyDescent="0.2">
      <c r="A1152" s="121" t="s">
        <v>57</v>
      </c>
      <c r="B1152" s="117">
        <v>45961.4</v>
      </c>
      <c r="C1152" s="117">
        <v>469.62</v>
      </c>
    </row>
    <row r="1153" spans="1:3" ht="18" x14ac:dyDescent="0.2">
      <c r="A1153" s="121" t="s">
        <v>56</v>
      </c>
      <c r="B1153" s="117">
        <v>12590.97</v>
      </c>
      <c r="C1153" s="117">
        <v>128.65</v>
      </c>
    </row>
    <row r="1154" spans="1:3" ht="18" x14ac:dyDescent="0.2">
      <c r="A1154" s="121" t="s">
        <v>55</v>
      </c>
      <c r="B1154" s="117">
        <v>1957.4</v>
      </c>
      <c r="C1154" s="117">
        <v>20</v>
      </c>
    </row>
    <row r="1155" spans="1:3" ht="18" x14ac:dyDescent="0.2">
      <c r="A1155" s="121" t="s">
        <v>257</v>
      </c>
      <c r="B1155" s="117">
        <v>25000</v>
      </c>
      <c r="C1155" s="117">
        <v>255.45000000000002</v>
      </c>
    </row>
    <row r="1156" spans="1:3" ht="18" x14ac:dyDescent="0.2">
      <c r="A1156" s="121" t="s">
        <v>58</v>
      </c>
      <c r="B1156" s="117">
        <v>386436.1</v>
      </c>
      <c r="C1156" s="117">
        <v>3948.46</v>
      </c>
    </row>
    <row r="1157" spans="1:3" ht="18" x14ac:dyDescent="0.2">
      <c r="A1157" s="121" t="s">
        <v>256</v>
      </c>
      <c r="B1157" s="117">
        <v>58722</v>
      </c>
      <c r="C1157" s="117">
        <v>600</v>
      </c>
    </row>
    <row r="1158" spans="1:3" ht="18" x14ac:dyDescent="0.2">
      <c r="A1158" s="121" t="s">
        <v>199</v>
      </c>
      <c r="B1158" s="117">
        <v>20000</v>
      </c>
      <c r="C1158" s="117">
        <v>204.35</v>
      </c>
    </row>
    <row r="1159" spans="1:3" ht="18" x14ac:dyDescent="0.2">
      <c r="A1159" s="121" t="s">
        <v>994</v>
      </c>
      <c r="B1159" s="117">
        <v>11744.4</v>
      </c>
      <c r="C1159" s="117">
        <v>120</v>
      </c>
    </row>
    <row r="1160" spans="1:3" ht="18" x14ac:dyDescent="0.2">
      <c r="A1160" s="121" t="s">
        <v>59</v>
      </c>
      <c r="B1160" s="117">
        <v>293684.38</v>
      </c>
      <c r="C1160" s="117">
        <v>3000.76</v>
      </c>
    </row>
    <row r="1161" spans="1:3" ht="18" x14ac:dyDescent="0.2">
      <c r="A1161" s="121" t="s">
        <v>96</v>
      </c>
      <c r="B1161" s="117">
        <v>146805</v>
      </c>
      <c r="C1161" s="117">
        <v>1500</v>
      </c>
    </row>
    <row r="1162" spans="1:3" ht="18" x14ac:dyDescent="0.2">
      <c r="A1162" s="121" t="s">
        <v>714</v>
      </c>
      <c r="B1162" s="117">
        <v>22000.19</v>
      </c>
      <c r="C1162" s="117">
        <v>224.79</v>
      </c>
    </row>
    <row r="1163" spans="1:3" ht="18" x14ac:dyDescent="0.2">
      <c r="A1163" s="121" t="s">
        <v>1073</v>
      </c>
      <c r="B1163" s="117">
        <v>48935</v>
      </c>
      <c r="C1163" s="117">
        <v>500</v>
      </c>
    </row>
    <row r="1164" spans="1:3" ht="18" x14ac:dyDescent="0.2">
      <c r="A1164" s="122">
        <v>46164</v>
      </c>
      <c r="B1164" s="477">
        <v>977416.88</v>
      </c>
      <c r="C1164" s="477">
        <v>10086.86</v>
      </c>
    </row>
    <row r="1165" spans="1:3" ht="18" x14ac:dyDescent="0.2">
      <c r="A1165" s="121" t="s">
        <v>552</v>
      </c>
      <c r="B1165" s="117">
        <v>96900</v>
      </c>
      <c r="C1165" s="117">
        <v>1000</v>
      </c>
    </row>
    <row r="1166" spans="1:3" ht="18" x14ac:dyDescent="0.2">
      <c r="A1166" s="121" t="s">
        <v>57</v>
      </c>
      <c r="B1166" s="117">
        <v>30000</v>
      </c>
      <c r="C1166" s="117">
        <v>309.60000000000002</v>
      </c>
    </row>
    <row r="1167" spans="1:3" ht="18" x14ac:dyDescent="0.2">
      <c r="A1167" s="121" t="s">
        <v>56</v>
      </c>
      <c r="B1167" s="117">
        <v>6791.7199999999993</v>
      </c>
      <c r="C1167" s="117">
        <v>70.09</v>
      </c>
    </row>
    <row r="1168" spans="1:3" ht="18" x14ac:dyDescent="0.2">
      <c r="A1168" s="121" t="s">
        <v>257</v>
      </c>
      <c r="B1168" s="117">
        <v>9997.17</v>
      </c>
      <c r="C1168" s="117">
        <v>103.17</v>
      </c>
    </row>
    <row r="1169" spans="1:3" ht="18" x14ac:dyDescent="0.2">
      <c r="A1169" s="121" t="s">
        <v>58</v>
      </c>
      <c r="B1169" s="117">
        <v>143800</v>
      </c>
      <c r="C1169" s="117">
        <v>1484</v>
      </c>
    </row>
    <row r="1170" spans="1:3" ht="18" x14ac:dyDescent="0.2">
      <c r="A1170" s="121" t="s">
        <v>199</v>
      </c>
      <c r="B1170" s="117">
        <v>29070</v>
      </c>
      <c r="C1170" s="117">
        <v>300</v>
      </c>
    </row>
    <row r="1171" spans="1:3" ht="18" x14ac:dyDescent="0.2">
      <c r="A1171" s="121" t="s">
        <v>994</v>
      </c>
      <c r="B1171" s="117">
        <v>11628</v>
      </c>
      <c r="C1171" s="117">
        <v>120</v>
      </c>
    </row>
    <row r="1172" spans="1:3" ht="18" x14ac:dyDescent="0.2">
      <c r="A1172" s="121" t="s">
        <v>51</v>
      </c>
      <c r="B1172" s="117">
        <v>290700</v>
      </c>
      <c r="C1172" s="117">
        <v>3000</v>
      </c>
    </row>
    <row r="1173" spans="1:3" ht="18" x14ac:dyDescent="0.2">
      <c r="A1173" s="121" t="s">
        <v>59</v>
      </c>
      <c r="B1173" s="117">
        <v>29070</v>
      </c>
      <c r="C1173" s="117">
        <v>300</v>
      </c>
    </row>
    <row r="1174" spans="1:3" ht="18" x14ac:dyDescent="0.2">
      <c r="A1174" s="121" t="s">
        <v>1036</v>
      </c>
      <c r="B1174" s="117">
        <v>290700</v>
      </c>
      <c r="C1174" s="117">
        <v>3000</v>
      </c>
    </row>
    <row r="1175" spans="1:3" ht="18" x14ac:dyDescent="0.2">
      <c r="A1175" s="121" t="s">
        <v>714</v>
      </c>
      <c r="B1175" s="117">
        <v>38759.99</v>
      </c>
      <c r="C1175" s="117">
        <v>400</v>
      </c>
    </row>
    <row r="1176" spans="1:3" ht="18" x14ac:dyDescent="0.2">
      <c r="A1176" s="122">
        <v>46163</v>
      </c>
      <c r="B1176" s="477">
        <v>579843.87</v>
      </c>
      <c r="C1176" s="477">
        <v>5983.9400000000005</v>
      </c>
    </row>
    <row r="1177" spans="1:3" ht="18" x14ac:dyDescent="0.2">
      <c r="A1177" s="121" t="s">
        <v>57</v>
      </c>
      <c r="B1177" s="117">
        <v>2200.59</v>
      </c>
      <c r="C1177" s="117">
        <v>22.71</v>
      </c>
    </row>
    <row r="1178" spans="1:3" ht="18" x14ac:dyDescent="0.2">
      <c r="A1178" s="121" t="s">
        <v>919</v>
      </c>
      <c r="B1178" s="117">
        <v>96900</v>
      </c>
      <c r="C1178" s="117">
        <v>1000</v>
      </c>
    </row>
    <row r="1179" spans="1:3" ht="18" x14ac:dyDescent="0.2">
      <c r="A1179" s="121" t="s">
        <v>55</v>
      </c>
      <c r="B1179" s="117">
        <v>3023.28</v>
      </c>
      <c r="C1179" s="117">
        <v>31.2</v>
      </c>
    </row>
    <row r="1180" spans="1:3" ht="18" x14ac:dyDescent="0.2">
      <c r="A1180" s="121" t="s">
        <v>257</v>
      </c>
      <c r="B1180" s="117">
        <v>7000</v>
      </c>
      <c r="C1180" s="117">
        <v>72.239999999999995</v>
      </c>
    </row>
    <row r="1181" spans="1:3" ht="18" x14ac:dyDescent="0.2">
      <c r="A1181" s="121" t="s">
        <v>58</v>
      </c>
      <c r="B1181" s="117">
        <v>5600</v>
      </c>
      <c r="C1181" s="117">
        <v>57.79</v>
      </c>
    </row>
    <row r="1182" spans="1:3" ht="18" x14ac:dyDescent="0.2">
      <c r="A1182" s="121" t="s">
        <v>51</v>
      </c>
      <c r="B1182" s="117">
        <v>290700</v>
      </c>
      <c r="C1182" s="117">
        <v>3000</v>
      </c>
    </row>
    <row r="1183" spans="1:3" ht="18" x14ac:dyDescent="0.2">
      <c r="A1183" s="121" t="s">
        <v>59</v>
      </c>
      <c r="B1183" s="117">
        <v>29070</v>
      </c>
      <c r="C1183" s="117">
        <v>300</v>
      </c>
    </row>
    <row r="1184" spans="1:3" ht="18" x14ac:dyDescent="0.2">
      <c r="A1184" s="121" t="s">
        <v>96</v>
      </c>
      <c r="B1184" s="117">
        <v>145350</v>
      </c>
      <c r="C1184" s="117">
        <v>1500</v>
      </c>
    </row>
    <row r="1185" spans="1:3" ht="18" x14ac:dyDescent="0.2">
      <c r="A1185" s="122">
        <v>46162</v>
      </c>
      <c r="B1185" s="477">
        <v>1345939.6400000001</v>
      </c>
      <c r="C1185" s="477">
        <v>13889.990000000002</v>
      </c>
    </row>
    <row r="1186" spans="1:3" ht="18" x14ac:dyDescent="0.2">
      <c r="A1186" s="121" t="s">
        <v>143</v>
      </c>
      <c r="B1186" s="117">
        <v>387600</v>
      </c>
      <c r="C1186" s="117">
        <v>4000</v>
      </c>
    </row>
    <row r="1187" spans="1:3" ht="18" x14ac:dyDescent="0.2">
      <c r="A1187" s="121" t="s">
        <v>57</v>
      </c>
      <c r="B1187" s="117">
        <v>43915</v>
      </c>
      <c r="C1187" s="117">
        <v>453.2</v>
      </c>
    </row>
    <row r="1188" spans="1:3" ht="18" x14ac:dyDescent="0.2">
      <c r="A1188" s="121" t="s">
        <v>257</v>
      </c>
      <c r="B1188" s="117">
        <v>5000</v>
      </c>
      <c r="C1188" s="117">
        <v>51.6</v>
      </c>
    </row>
    <row r="1189" spans="1:3" ht="18" x14ac:dyDescent="0.2">
      <c r="A1189" s="121" t="s">
        <v>58</v>
      </c>
      <c r="B1189" s="117">
        <v>351724</v>
      </c>
      <c r="C1189" s="117">
        <v>3629.76</v>
      </c>
    </row>
    <row r="1190" spans="1:3" ht="18" x14ac:dyDescent="0.2">
      <c r="A1190" s="121" t="s">
        <v>217</v>
      </c>
      <c r="B1190" s="117">
        <v>1938</v>
      </c>
      <c r="C1190" s="117">
        <v>20</v>
      </c>
    </row>
    <row r="1191" spans="1:3" ht="18" x14ac:dyDescent="0.2">
      <c r="A1191" s="121" t="s">
        <v>134</v>
      </c>
      <c r="B1191" s="117">
        <v>48450</v>
      </c>
      <c r="C1191" s="117">
        <v>500</v>
      </c>
    </row>
    <row r="1192" spans="1:3" ht="18" x14ac:dyDescent="0.2">
      <c r="A1192" s="121" t="s">
        <v>256</v>
      </c>
      <c r="B1192" s="117">
        <v>95445</v>
      </c>
      <c r="C1192" s="117">
        <v>984.99</v>
      </c>
    </row>
    <row r="1193" spans="1:3" ht="18" x14ac:dyDescent="0.2">
      <c r="A1193" s="121" t="s">
        <v>199</v>
      </c>
      <c r="B1193" s="117">
        <v>19380</v>
      </c>
      <c r="C1193" s="117">
        <v>200</v>
      </c>
    </row>
    <row r="1194" spans="1:3" ht="18" x14ac:dyDescent="0.2">
      <c r="A1194" s="121" t="s">
        <v>994</v>
      </c>
      <c r="B1194" s="117">
        <v>4845</v>
      </c>
      <c r="C1194" s="117">
        <v>50</v>
      </c>
    </row>
    <row r="1195" spans="1:3" ht="18" x14ac:dyDescent="0.2">
      <c r="A1195" s="121" t="s">
        <v>59</v>
      </c>
      <c r="B1195" s="117">
        <v>290742.64</v>
      </c>
      <c r="C1195" s="117">
        <v>3000.44</v>
      </c>
    </row>
    <row r="1196" spans="1:3" ht="18" x14ac:dyDescent="0.2">
      <c r="A1196" s="121" t="s">
        <v>527</v>
      </c>
      <c r="B1196" s="117">
        <v>48450</v>
      </c>
      <c r="C1196" s="117">
        <v>500</v>
      </c>
    </row>
    <row r="1197" spans="1:3" ht="18" x14ac:dyDescent="0.2">
      <c r="A1197" s="121" t="s">
        <v>714</v>
      </c>
      <c r="B1197" s="117">
        <v>29070</v>
      </c>
      <c r="C1197" s="117">
        <v>300</v>
      </c>
    </row>
    <row r="1198" spans="1:3" ht="18" x14ac:dyDescent="0.2">
      <c r="A1198" s="121" t="s">
        <v>945</v>
      </c>
      <c r="B1198" s="117">
        <v>19380</v>
      </c>
      <c r="C1198" s="117">
        <v>200</v>
      </c>
    </row>
    <row r="1199" spans="1:3" ht="18" x14ac:dyDescent="0.2">
      <c r="A1199" s="122">
        <v>46161</v>
      </c>
      <c r="B1199" s="477">
        <v>388556.29</v>
      </c>
      <c r="C1199" s="477">
        <v>4009.87</v>
      </c>
    </row>
    <row r="1200" spans="1:3" ht="18" x14ac:dyDescent="0.2">
      <c r="A1200" s="121" t="s">
        <v>53</v>
      </c>
      <c r="B1200" s="117">
        <v>4449.6400000000003</v>
      </c>
      <c r="C1200" s="117">
        <v>45.92</v>
      </c>
    </row>
    <row r="1201" spans="1:3" ht="18" x14ac:dyDescent="0.2">
      <c r="A1201" s="121" t="s">
        <v>552</v>
      </c>
      <c r="B1201" s="117">
        <v>11628</v>
      </c>
      <c r="C1201" s="117">
        <v>120</v>
      </c>
    </row>
    <row r="1202" spans="1:3" ht="18" x14ac:dyDescent="0.2">
      <c r="A1202" s="121" t="s">
        <v>57</v>
      </c>
      <c r="B1202" s="117">
        <v>10000</v>
      </c>
      <c r="C1202" s="117">
        <v>103.2</v>
      </c>
    </row>
    <row r="1203" spans="1:3" ht="18" x14ac:dyDescent="0.2">
      <c r="A1203" s="121" t="s">
        <v>56</v>
      </c>
      <c r="B1203" s="117">
        <v>27292.84</v>
      </c>
      <c r="C1203" s="117">
        <v>281.66000000000003</v>
      </c>
    </row>
    <row r="1204" spans="1:3" ht="18" x14ac:dyDescent="0.2">
      <c r="A1204" s="121" t="s">
        <v>58</v>
      </c>
      <c r="B1204" s="117">
        <v>122000</v>
      </c>
      <c r="C1204" s="117">
        <v>1259.03</v>
      </c>
    </row>
    <row r="1205" spans="1:3" ht="18" x14ac:dyDescent="0.2">
      <c r="A1205" s="121" t="s">
        <v>256</v>
      </c>
      <c r="B1205" s="117">
        <v>48450</v>
      </c>
      <c r="C1205" s="117">
        <v>500</v>
      </c>
    </row>
    <row r="1206" spans="1:3" ht="18" x14ac:dyDescent="0.2">
      <c r="A1206" s="121" t="s">
        <v>714</v>
      </c>
      <c r="B1206" s="117">
        <v>29070</v>
      </c>
      <c r="C1206" s="117">
        <v>300</v>
      </c>
    </row>
    <row r="1207" spans="1:3" ht="18" x14ac:dyDescent="0.2">
      <c r="A1207" s="121" t="s">
        <v>901</v>
      </c>
      <c r="B1207" s="117">
        <v>96905.81</v>
      </c>
      <c r="C1207" s="117">
        <v>1000.06</v>
      </c>
    </row>
    <row r="1208" spans="1:3" ht="18" x14ac:dyDescent="0.2">
      <c r="A1208" s="121" t="s">
        <v>922</v>
      </c>
      <c r="B1208" s="117">
        <v>38760</v>
      </c>
      <c r="C1208" s="117">
        <v>400</v>
      </c>
    </row>
    <row r="1209" spans="1:3" ht="18" x14ac:dyDescent="0.2">
      <c r="A1209" s="122">
        <v>46159</v>
      </c>
      <c r="B1209" s="477">
        <v>923254.34</v>
      </c>
      <c r="C1209" s="477">
        <v>9624.24</v>
      </c>
    </row>
    <row r="1210" spans="1:3" ht="18" x14ac:dyDescent="0.2">
      <c r="A1210" s="121" t="s">
        <v>143</v>
      </c>
      <c r="B1210" s="117">
        <v>287790</v>
      </c>
      <c r="C1210" s="117">
        <v>3000</v>
      </c>
    </row>
    <row r="1211" spans="1:3" ht="18" x14ac:dyDescent="0.2">
      <c r="A1211" s="121" t="s">
        <v>57</v>
      </c>
      <c r="B1211" s="117">
        <v>4249.96</v>
      </c>
      <c r="C1211" s="117">
        <v>44.3</v>
      </c>
    </row>
    <row r="1212" spans="1:3" ht="18" x14ac:dyDescent="0.2">
      <c r="A1212" s="121" t="s">
        <v>56</v>
      </c>
      <c r="B1212" s="117">
        <v>4366.7299999999996</v>
      </c>
      <c r="C1212" s="117">
        <v>45.52</v>
      </c>
    </row>
    <row r="1213" spans="1:3" ht="18" x14ac:dyDescent="0.2">
      <c r="A1213" s="121" t="s">
        <v>257</v>
      </c>
      <c r="B1213" s="117">
        <v>8551.2000000000007</v>
      </c>
      <c r="C1213" s="117">
        <v>89.14</v>
      </c>
    </row>
    <row r="1214" spans="1:3" ht="18" x14ac:dyDescent="0.2">
      <c r="A1214" s="121" t="s">
        <v>152</v>
      </c>
      <c r="B1214" s="117">
        <v>43400</v>
      </c>
      <c r="C1214" s="117">
        <v>452.41</v>
      </c>
    </row>
    <row r="1215" spans="1:3" ht="18" x14ac:dyDescent="0.2">
      <c r="A1215" s="121" t="s">
        <v>58</v>
      </c>
      <c r="B1215" s="117">
        <v>157600</v>
      </c>
      <c r="C1215" s="117">
        <v>1642.86</v>
      </c>
    </row>
    <row r="1216" spans="1:3" ht="18" x14ac:dyDescent="0.2">
      <c r="A1216" s="121" t="s">
        <v>256</v>
      </c>
      <c r="B1216" s="117">
        <v>143895</v>
      </c>
      <c r="C1216" s="117">
        <v>1500</v>
      </c>
    </row>
    <row r="1217" spans="1:3" ht="18" x14ac:dyDescent="0.2">
      <c r="A1217" s="121" t="s">
        <v>199</v>
      </c>
      <c r="B1217" s="117">
        <v>19186</v>
      </c>
      <c r="C1217" s="117">
        <v>200</v>
      </c>
    </row>
    <row r="1218" spans="1:3" ht="18" x14ac:dyDescent="0.2">
      <c r="A1218" s="121" t="s">
        <v>952</v>
      </c>
      <c r="B1218" s="117">
        <v>19186.95</v>
      </c>
      <c r="C1218" s="117">
        <v>200.01</v>
      </c>
    </row>
    <row r="1219" spans="1:3" ht="18" x14ac:dyDescent="0.2">
      <c r="A1219" s="121" t="s">
        <v>59</v>
      </c>
      <c r="B1219" s="117">
        <v>23982.5</v>
      </c>
      <c r="C1219" s="117">
        <v>250</v>
      </c>
    </row>
    <row r="1220" spans="1:3" ht="18" x14ac:dyDescent="0.2">
      <c r="A1220" s="121" t="s">
        <v>302</v>
      </c>
      <c r="B1220" s="117">
        <v>95930</v>
      </c>
      <c r="C1220" s="117">
        <v>1000</v>
      </c>
    </row>
    <row r="1221" spans="1:3" ht="18" x14ac:dyDescent="0.2">
      <c r="A1221" s="121" t="s">
        <v>714</v>
      </c>
      <c r="B1221" s="117">
        <v>19186</v>
      </c>
      <c r="C1221" s="117">
        <v>200</v>
      </c>
    </row>
    <row r="1222" spans="1:3" ht="18" x14ac:dyDescent="0.2">
      <c r="A1222" s="121" t="s">
        <v>920</v>
      </c>
      <c r="B1222" s="117">
        <v>47965</v>
      </c>
      <c r="C1222" s="117">
        <v>500</v>
      </c>
    </row>
    <row r="1223" spans="1:3" ht="18" x14ac:dyDescent="0.2">
      <c r="A1223" s="121" t="s">
        <v>945</v>
      </c>
      <c r="B1223" s="117">
        <v>47965</v>
      </c>
      <c r="C1223" s="117">
        <v>500</v>
      </c>
    </row>
    <row r="1224" spans="1:3" ht="18" x14ac:dyDescent="0.2">
      <c r="A1224" s="122">
        <v>46158</v>
      </c>
      <c r="B1224" s="477">
        <v>11511.6</v>
      </c>
      <c r="C1224" s="477">
        <v>120</v>
      </c>
    </row>
    <row r="1225" spans="1:3" ht="18" x14ac:dyDescent="0.2">
      <c r="A1225" s="121" t="s">
        <v>552</v>
      </c>
      <c r="B1225" s="117">
        <v>11511.6</v>
      </c>
      <c r="C1225" s="117">
        <v>120</v>
      </c>
    </row>
    <row r="1226" spans="1:3" ht="18" x14ac:dyDescent="0.2">
      <c r="A1226" s="122">
        <v>46157</v>
      </c>
      <c r="B1226" s="477">
        <v>1194019.5900000001</v>
      </c>
      <c r="C1226" s="477">
        <v>12446.78</v>
      </c>
    </row>
    <row r="1227" spans="1:3" ht="18" x14ac:dyDescent="0.2">
      <c r="A1227" s="121" t="s">
        <v>57</v>
      </c>
      <c r="B1227" s="117">
        <v>3110.05</v>
      </c>
      <c r="C1227" s="117">
        <v>32.42</v>
      </c>
    </row>
    <row r="1228" spans="1:3" ht="18" x14ac:dyDescent="0.2">
      <c r="A1228" s="121" t="s">
        <v>919</v>
      </c>
      <c r="B1228" s="117">
        <v>191860</v>
      </c>
      <c r="C1228" s="117">
        <v>2000</v>
      </c>
    </row>
    <row r="1229" spans="1:3" ht="18" x14ac:dyDescent="0.2">
      <c r="A1229" s="121" t="s">
        <v>58</v>
      </c>
      <c r="B1229" s="117">
        <v>246000</v>
      </c>
      <c r="C1229" s="117">
        <v>2564.37</v>
      </c>
    </row>
    <row r="1230" spans="1:3" ht="18" x14ac:dyDescent="0.2">
      <c r="A1230" s="121" t="s">
        <v>51</v>
      </c>
      <c r="B1230" s="117">
        <v>287790</v>
      </c>
      <c r="C1230" s="117">
        <v>3000</v>
      </c>
    </row>
    <row r="1231" spans="1:3" ht="18" x14ac:dyDescent="0.2">
      <c r="A1231" s="121" t="s">
        <v>96</v>
      </c>
      <c r="B1231" s="117">
        <v>143894.04</v>
      </c>
      <c r="C1231" s="117">
        <v>1499.99</v>
      </c>
    </row>
    <row r="1232" spans="1:3" ht="18" x14ac:dyDescent="0.2">
      <c r="A1232" s="121" t="s">
        <v>302</v>
      </c>
      <c r="B1232" s="117">
        <v>191860</v>
      </c>
      <c r="C1232" s="117">
        <v>2000</v>
      </c>
    </row>
    <row r="1233" spans="1:3" ht="18" x14ac:dyDescent="0.2">
      <c r="A1233" s="121" t="s">
        <v>714</v>
      </c>
      <c r="B1233" s="117">
        <v>14389.5</v>
      </c>
      <c r="C1233" s="117">
        <v>150</v>
      </c>
    </row>
    <row r="1234" spans="1:3" ht="18" x14ac:dyDescent="0.2">
      <c r="A1234" s="121" t="s">
        <v>920</v>
      </c>
      <c r="B1234" s="117">
        <v>47965</v>
      </c>
      <c r="C1234" s="117">
        <v>500</v>
      </c>
    </row>
    <row r="1235" spans="1:3" ht="18" x14ac:dyDescent="0.2">
      <c r="A1235" s="121" t="s">
        <v>921</v>
      </c>
      <c r="B1235" s="117">
        <v>19186</v>
      </c>
      <c r="C1235" s="117">
        <v>200</v>
      </c>
    </row>
    <row r="1236" spans="1:3" ht="18" x14ac:dyDescent="0.2">
      <c r="A1236" s="121" t="s">
        <v>922</v>
      </c>
      <c r="B1236" s="117">
        <v>47965</v>
      </c>
      <c r="C1236" s="117">
        <v>500</v>
      </c>
    </row>
    <row r="1237" spans="1:3" ht="18" x14ac:dyDescent="0.2">
      <c r="A1237" s="122">
        <v>46156</v>
      </c>
      <c r="B1237" s="477">
        <v>477298.87</v>
      </c>
      <c r="C1237" s="477">
        <v>5146.63</v>
      </c>
    </row>
    <row r="1238" spans="1:3" ht="18" x14ac:dyDescent="0.2">
      <c r="A1238" s="121" t="s">
        <v>57</v>
      </c>
      <c r="B1238" s="117">
        <v>37074.080000000002</v>
      </c>
      <c r="C1238" s="117">
        <v>399.76</v>
      </c>
    </row>
    <row r="1239" spans="1:3" ht="18" x14ac:dyDescent="0.2">
      <c r="A1239" s="121" t="s">
        <v>152</v>
      </c>
      <c r="B1239" s="117">
        <v>14000</v>
      </c>
      <c r="C1239" s="117">
        <v>150.96</v>
      </c>
    </row>
    <row r="1240" spans="1:3" ht="18" x14ac:dyDescent="0.2">
      <c r="A1240" s="121" t="s">
        <v>58</v>
      </c>
      <c r="B1240" s="117">
        <v>26996.720000000001</v>
      </c>
      <c r="C1240" s="117">
        <v>291.10000000000002</v>
      </c>
    </row>
    <row r="1241" spans="1:3" ht="18" x14ac:dyDescent="0.2">
      <c r="A1241" s="121" t="s">
        <v>93</v>
      </c>
      <c r="B1241" s="117">
        <v>14838.4</v>
      </c>
      <c r="C1241" s="117">
        <v>160</v>
      </c>
    </row>
    <row r="1242" spans="1:3" ht="18" x14ac:dyDescent="0.2">
      <c r="A1242" s="121" t="s">
        <v>501</v>
      </c>
      <c r="B1242" s="117">
        <v>55644</v>
      </c>
      <c r="C1242" s="117">
        <v>600</v>
      </c>
    </row>
    <row r="1243" spans="1:3" ht="18" x14ac:dyDescent="0.2">
      <c r="A1243" s="121" t="s">
        <v>256</v>
      </c>
      <c r="B1243" s="117">
        <v>92740</v>
      </c>
      <c r="C1243" s="117">
        <v>1000</v>
      </c>
    </row>
    <row r="1244" spans="1:3" ht="18" x14ac:dyDescent="0.2">
      <c r="A1244" s="121" t="s">
        <v>714</v>
      </c>
      <c r="B1244" s="117">
        <v>50525.67</v>
      </c>
      <c r="C1244" s="117">
        <v>544.80999999999995</v>
      </c>
    </row>
    <row r="1245" spans="1:3" ht="18" x14ac:dyDescent="0.2">
      <c r="A1245" s="121" t="s">
        <v>901</v>
      </c>
      <c r="B1245" s="117">
        <v>92740</v>
      </c>
      <c r="C1245" s="117">
        <v>1000</v>
      </c>
    </row>
    <row r="1246" spans="1:3" ht="18" x14ac:dyDescent="0.2">
      <c r="A1246" s="121" t="s">
        <v>951</v>
      </c>
      <c r="B1246" s="117">
        <v>92740</v>
      </c>
      <c r="C1246" s="117">
        <v>1000</v>
      </c>
    </row>
    <row r="1247" spans="1:3" ht="18" x14ac:dyDescent="0.2">
      <c r="A1247" s="122">
        <v>46155</v>
      </c>
      <c r="B1247" s="477">
        <v>434317.6</v>
      </c>
      <c r="C1247" s="477">
        <v>4683.17</v>
      </c>
    </row>
    <row r="1248" spans="1:3" ht="18" x14ac:dyDescent="0.2">
      <c r="A1248" s="121" t="s">
        <v>57</v>
      </c>
      <c r="B1248" s="117">
        <v>36415.660000000003</v>
      </c>
      <c r="C1248" s="117">
        <v>392.66</v>
      </c>
    </row>
    <row r="1249" spans="1:3" ht="18" x14ac:dyDescent="0.2">
      <c r="A1249" s="121" t="s">
        <v>56</v>
      </c>
      <c r="B1249" s="117">
        <v>9644.9599999999991</v>
      </c>
      <c r="C1249" s="117">
        <v>104</v>
      </c>
    </row>
    <row r="1250" spans="1:3" ht="18" x14ac:dyDescent="0.2">
      <c r="A1250" s="121" t="s">
        <v>55</v>
      </c>
      <c r="B1250" s="117">
        <v>649.17999999999995</v>
      </c>
      <c r="C1250" s="117">
        <v>7</v>
      </c>
    </row>
    <row r="1251" spans="1:3" ht="18" x14ac:dyDescent="0.2">
      <c r="A1251" s="121" t="s">
        <v>152</v>
      </c>
      <c r="B1251" s="117">
        <v>7000</v>
      </c>
      <c r="C1251" s="117">
        <v>75.48</v>
      </c>
    </row>
    <row r="1252" spans="1:3" ht="18" x14ac:dyDescent="0.2">
      <c r="A1252" s="121" t="s">
        <v>58</v>
      </c>
      <c r="B1252" s="117">
        <v>81985</v>
      </c>
      <c r="C1252" s="117">
        <v>884.03</v>
      </c>
    </row>
    <row r="1253" spans="1:3" ht="18" x14ac:dyDescent="0.2">
      <c r="A1253" s="121" t="s">
        <v>217</v>
      </c>
      <c r="B1253" s="117">
        <v>1854.8</v>
      </c>
      <c r="C1253" s="117">
        <v>20</v>
      </c>
    </row>
    <row r="1254" spans="1:3" ht="18" x14ac:dyDescent="0.2">
      <c r="A1254" s="121" t="s">
        <v>59</v>
      </c>
      <c r="B1254" s="117">
        <v>278220</v>
      </c>
      <c r="C1254" s="117">
        <v>3000</v>
      </c>
    </row>
    <row r="1255" spans="1:3" ht="18" x14ac:dyDescent="0.2">
      <c r="A1255" s="121" t="s">
        <v>714</v>
      </c>
      <c r="B1255" s="117">
        <v>18548</v>
      </c>
      <c r="C1255" s="117">
        <v>200</v>
      </c>
    </row>
    <row r="1256" spans="1:3" ht="18" x14ac:dyDescent="0.2">
      <c r="A1256" s="122">
        <v>46154</v>
      </c>
      <c r="B1256" s="477">
        <v>878350.98</v>
      </c>
      <c r="C1256" s="477">
        <v>9471.1200000000008</v>
      </c>
    </row>
    <row r="1257" spans="1:3" ht="18" x14ac:dyDescent="0.2">
      <c r="A1257" s="121" t="s">
        <v>54</v>
      </c>
      <c r="B1257" s="117">
        <v>4227.08</v>
      </c>
      <c r="C1257" s="117">
        <v>45.58</v>
      </c>
    </row>
    <row r="1258" spans="1:3" ht="18" x14ac:dyDescent="0.2">
      <c r="A1258" s="121" t="s">
        <v>57</v>
      </c>
      <c r="B1258" s="117">
        <v>26028.1</v>
      </c>
      <c r="C1258" s="117">
        <v>280.66000000000003</v>
      </c>
    </row>
    <row r="1259" spans="1:3" ht="18" x14ac:dyDescent="0.2">
      <c r="A1259" s="121" t="s">
        <v>56</v>
      </c>
      <c r="B1259" s="117">
        <v>14243</v>
      </c>
      <c r="C1259" s="117">
        <v>153.58000000000001</v>
      </c>
    </row>
    <row r="1260" spans="1:3" ht="18" x14ac:dyDescent="0.2">
      <c r="A1260" s="121" t="s">
        <v>55</v>
      </c>
      <c r="B1260" s="117">
        <v>2995.5</v>
      </c>
      <c r="C1260" s="117">
        <v>32.299999999999997</v>
      </c>
    </row>
    <row r="1261" spans="1:3" ht="18" x14ac:dyDescent="0.2">
      <c r="A1261" s="121" t="s">
        <v>874</v>
      </c>
      <c r="B1261" s="117">
        <v>185480</v>
      </c>
      <c r="C1261" s="117">
        <v>2000</v>
      </c>
    </row>
    <row r="1262" spans="1:3" ht="18" x14ac:dyDescent="0.2">
      <c r="A1262" s="121" t="s">
        <v>257</v>
      </c>
      <c r="B1262" s="117">
        <v>22214.92</v>
      </c>
      <c r="C1262" s="117">
        <v>239.54000000000002</v>
      </c>
    </row>
    <row r="1263" spans="1:3" ht="18" x14ac:dyDescent="0.2">
      <c r="A1263" s="121" t="s">
        <v>152</v>
      </c>
      <c r="B1263" s="117">
        <v>70500</v>
      </c>
      <c r="C1263" s="117">
        <v>760.19</v>
      </c>
    </row>
    <row r="1264" spans="1:3" ht="18" x14ac:dyDescent="0.2">
      <c r="A1264" s="121" t="s">
        <v>58</v>
      </c>
      <c r="B1264" s="117">
        <v>137100</v>
      </c>
      <c r="C1264" s="117">
        <v>1478.33</v>
      </c>
    </row>
    <row r="1265" spans="1:3" ht="18" x14ac:dyDescent="0.2">
      <c r="A1265" s="121" t="s">
        <v>93</v>
      </c>
      <c r="B1265" s="117">
        <v>14838.4</v>
      </c>
      <c r="C1265" s="117">
        <v>160</v>
      </c>
    </row>
    <row r="1266" spans="1:3" ht="18" x14ac:dyDescent="0.2">
      <c r="A1266" s="121" t="s">
        <v>199</v>
      </c>
      <c r="B1266" s="117">
        <v>29723.17</v>
      </c>
      <c r="C1266" s="117">
        <v>320.5</v>
      </c>
    </row>
    <row r="1267" spans="1:3" ht="18" x14ac:dyDescent="0.2">
      <c r="A1267" s="121" t="s">
        <v>59</v>
      </c>
      <c r="B1267" s="117">
        <v>278260.81</v>
      </c>
      <c r="C1267" s="117">
        <v>3000.44</v>
      </c>
    </row>
    <row r="1268" spans="1:3" ht="18" x14ac:dyDescent="0.2">
      <c r="A1268" s="121" t="s">
        <v>96</v>
      </c>
      <c r="B1268" s="117">
        <v>92740</v>
      </c>
      <c r="C1268" s="117">
        <v>1000</v>
      </c>
    </row>
    <row r="1269" spans="1:3" ht="18" x14ac:dyDescent="0.2">
      <c r="A1269" s="122">
        <v>46153</v>
      </c>
      <c r="B1269" s="477">
        <v>1011764.66</v>
      </c>
      <c r="C1269" s="477">
        <v>10909.69</v>
      </c>
    </row>
    <row r="1270" spans="1:3" ht="18" x14ac:dyDescent="0.2">
      <c r="A1270" s="121" t="s">
        <v>143</v>
      </c>
      <c r="B1270" s="117">
        <v>278220</v>
      </c>
      <c r="C1270" s="117">
        <v>3000</v>
      </c>
    </row>
    <row r="1271" spans="1:3" ht="18" x14ac:dyDescent="0.2">
      <c r="A1271" s="121" t="s">
        <v>57</v>
      </c>
      <c r="B1271" s="117">
        <v>39544.33</v>
      </c>
      <c r="C1271" s="117">
        <v>426.4</v>
      </c>
    </row>
    <row r="1272" spans="1:3" ht="18" x14ac:dyDescent="0.2">
      <c r="A1272" s="121" t="s">
        <v>55</v>
      </c>
      <c r="B1272" s="117">
        <v>4637</v>
      </c>
      <c r="C1272" s="117">
        <v>50</v>
      </c>
    </row>
    <row r="1273" spans="1:3" ht="18" x14ac:dyDescent="0.2">
      <c r="A1273" s="121" t="s">
        <v>257</v>
      </c>
      <c r="B1273" s="117">
        <v>4854.93</v>
      </c>
      <c r="C1273" s="117">
        <v>52.35</v>
      </c>
    </row>
    <row r="1274" spans="1:3" ht="18" x14ac:dyDescent="0.2">
      <c r="A1274" s="121" t="s">
        <v>58</v>
      </c>
      <c r="B1274" s="117">
        <v>165164.4</v>
      </c>
      <c r="C1274" s="117">
        <v>1780.94</v>
      </c>
    </row>
    <row r="1275" spans="1:3" ht="18" x14ac:dyDescent="0.2">
      <c r="A1275" s="121" t="s">
        <v>51</v>
      </c>
      <c r="B1275" s="117">
        <v>370960</v>
      </c>
      <c r="C1275" s="117">
        <v>4000</v>
      </c>
    </row>
    <row r="1276" spans="1:3" ht="18" x14ac:dyDescent="0.2">
      <c r="A1276" s="121" t="s">
        <v>848</v>
      </c>
      <c r="B1276" s="117">
        <v>55644</v>
      </c>
      <c r="C1276" s="117">
        <v>600</v>
      </c>
    </row>
    <row r="1277" spans="1:3" ht="18" x14ac:dyDescent="0.2">
      <c r="A1277" s="121" t="s">
        <v>922</v>
      </c>
      <c r="B1277" s="117">
        <v>92740</v>
      </c>
      <c r="C1277" s="117">
        <v>1000</v>
      </c>
    </row>
    <row r="1278" spans="1:3" ht="18" x14ac:dyDescent="0.2">
      <c r="A1278" s="122">
        <v>46152</v>
      </c>
      <c r="B1278" s="477">
        <v>475028.47</v>
      </c>
      <c r="C1278" s="477">
        <v>5122.16</v>
      </c>
    </row>
    <row r="1279" spans="1:3" ht="18" x14ac:dyDescent="0.2">
      <c r="A1279" s="121" t="s">
        <v>53</v>
      </c>
      <c r="B1279" s="117">
        <v>7511.9400000000005</v>
      </c>
      <c r="C1279" s="117">
        <v>81</v>
      </c>
    </row>
    <row r="1280" spans="1:3" ht="18" x14ac:dyDescent="0.2">
      <c r="A1280" s="121" t="s">
        <v>57</v>
      </c>
      <c r="B1280" s="117">
        <v>72339.05</v>
      </c>
      <c r="C1280" s="117">
        <v>780.02</v>
      </c>
    </row>
    <row r="1281" spans="1:3" ht="18" x14ac:dyDescent="0.2">
      <c r="A1281" s="121" t="s">
        <v>257</v>
      </c>
      <c r="B1281" s="117">
        <v>3915.48</v>
      </c>
      <c r="C1281" s="117">
        <v>42.22</v>
      </c>
    </row>
    <row r="1282" spans="1:3" ht="18" x14ac:dyDescent="0.2">
      <c r="A1282" s="121" t="s">
        <v>58</v>
      </c>
      <c r="B1282" s="117">
        <v>270700</v>
      </c>
      <c r="C1282" s="117">
        <v>2918.92</v>
      </c>
    </row>
    <row r="1283" spans="1:3" ht="18" x14ac:dyDescent="0.2">
      <c r="A1283" s="121" t="s">
        <v>714</v>
      </c>
      <c r="B1283" s="117">
        <v>27822</v>
      </c>
      <c r="C1283" s="117">
        <v>300</v>
      </c>
    </row>
    <row r="1284" spans="1:3" ht="18" x14ac:dyDescent="0.2">
      <c r="A1284" s="121" t="s">
        <v>922</v>
      </c>
      <c r="B1284" s="117">
        <v>92740</v>
      </c>
      <c r="C1284" s="117">
        <v>1000</v>
      </c>
    </row>
    <row r="1285" spans="1:3" ht="18" x14ac:dyDescent="0.2">
      <c r="A1285" s="122">
        <v>46151</v>
      </c>
      <c r="B1285" s="477">
        <v>720076.43</v>
      </c>
      <c r="C1285" s="477">
        <v>7764.4599999999991</v>
      </c>
    </row>
    <row r="1286" spans="1:3" ht="18" x14ac:dyDescent="0.2">
      <c r="A1286" s="121" t="s">
        <v>57</v>
      </c>
      <c r="B1286" s="117">
        <v>39377.4</v>
      </c>
      <c r="C1286" s="117">
        <v>424.6</v>
      </c>
    </row>
    <row r="1287" spans="1:3" ht="18" x14ac:dyDescent="0.2">
      <c r="A1287" s="121" t="s">
        <v>56</v>
      </c>
      <c r="B1287" s="117">
        <v>23787.81</v>
      </c>
      <c r="C1287" s="117">
        <v>256.5</v>
      </c>
    </row>
    <row r="1288" spans="1:3" ht="18" x14ac:dyDescent="0.2">
      <c r="A1288" s="121" t="s">
        <v>55</v>
      </c>
      <c r="B1288" s="117">
        <v>1854.8</v>
      </c>
      <c r="C1288" s="117">
        <v>20</v>
      </c>
    </row>
    <row r="1289" spans="1:3" ht="18" x14ac:dyDescent="0.2">
      <c r="A1289" s="121" t="s">
        <v>58</v>
      </c>
      <c r="B1289" s="117">
        <v>147700</v>
      </c>
      <c r="C1289" s="117">
        <v>1592.62</v>
      </c>
    </row>
    <row r="1290" spans="1:3" ht="18" x14ac:dyDescent="0.2">
      <c r="A1290" s="121" t="s">
        <v>59</v>
      </c>
      <c r="B1290" s="117">
        <v>278194.03000000003</v>
      </c>
      <c r="C1290" s="117">
        <v>2999.72</v>
      </c>
    </row>
    <row r="1291" spans="1:3" ht="18" x14ac:dyDescent="0.2">
      <c r="A1291" s="121" t="s">
        <v>96</v>
      </c>
      <c r="B1291" s="117">
        <v>92741.85</v>
      </c>
      <c r="C1291" s="117">
        <v>1000.02</v>
      </c>
    </row>
    <row r="1292" spans="1:3" ht="18" x14ac:dyDescent="0.2">
      <c r="A1292" s="121" t="s">
        <v>714</v>
      </c>
      <c r="B1292" s="117">
        <v>43680.54</v>
      </c>
      <c r="C1292" s="117">
        <v>471</v>
      </c>
    </row>
    <row r="1293" spans="1:3" ht="18" x14ac:dyDescent="0.2">
      <c r="A1293" s="121" t="s">
        <v>922</v>
      </c>
      <c r="B1293" s="117">
        <v>92740</v>
      </c>
      <c r="C1293" s="117">
        <v>1000</v>
      </c>
    </row>
    <row r="1294" spans="1:3" ht="18" x14ac:dyDescent="0.2">
      <c r="A1294" s="122">
        <v>46150</v>
      </c>
      <c r="B1294" s="477">
        <v>1854.8</v>
      </c>
      <c r="C1294" s="477">
        <v>20</v>
      </c>
    </row>
    <row r="1295" spans="1:3" ht="18" x14ac:dyDescent="0.2">
      <c r="A1295" s="121" t="s">
        <v>217</v>
      </c>
      <c r="B1295" s="117">
        <v>1854.8</v>
      </c>
      <c r="C1295" s="117">
        <v>20</v>
      </c>
    </row>
    <row r="1296" spans="1:3" ht="18" x14ac:dyDescent="0.2">
      <c r="A1296" s="122">
        <v>46149</v>
      </c>
      <c r="B1296" s="477">
        <v>1393912.98</v>
      </c>
      <c r="C1296" s="477">
        <v>15030.33</v>
      </c>
    </row>
    <row r="1297" spans="1:3" ht="18" x14ac:dyDescent="0.2">
      <c r="A1297" s="121" t="s">
        <v>143</v>
      </c>
      <c r="B1297" s="117">
        <v>1112880</v>
      </c>
      <c r="C1297" s="117">
        <v>12000</v>
      </c>
    </row>
    <row r="1298" spans="1:3" ht="18" x14ac:dyDescent="0.2">
      <c r="A1298" s="121" t="s">
        <v>58</v>
      </c>
      <c r="B1298" s="117">
        <v>2800</v>
      </c>
      <c r="C1298" s="117">
        <v>30.19</v>
      </c>
    </row>
    <row r="1299" spans="1:3" ht="18" x14ac:dyDescent="0.2">
      <c r="A1299" s="121" t="s">
        <v>59</v>
      </c>
      <c r="B1299" s="117">
        <v>278232.98</v>
      </c>
      <c r="C1299" s="117">
        <v>3000.14</v>
      </c>
    </row>
    <row r="1300" spans="1:3" ht="18" x14ac:dyDescent="0.2">
      <c r="A1300" s="122">
        <v>46148</v>
      </c>
      <c r="B1300" s="477">
        <v>1688300.05</v>
      </c>
      <c r="C1300" s="477">
        <v>18204.670000000002</v>
      </c>
    </row>
    <row r="1301" spans="1:3" ht="18" x14ac:dyDescent="0.2">
      <c r="A1301" s="121" t="s">
        <v>143</v>
      </c>
      <c r="B1301" s="117">
        <v>278220</v>
      </c>
      <c r="C1301" s="117">
        <v>3000</v>
      </c>
    </row>
    <row r="1302" spans="1:3" ht="18" x14ac:dyDescent="0.2">
      <c r="A1302" s="121" t="s">
        <v>56</v>
      </c>
      <c r="B1302" s="117">
        <v>3818.1</v>
      </c>
      <c r="C1302" s="117">
        <v>41.17</v>
      </c>
    </row>
    <row r="1303" spans="1:3" ht="18" x14ac:dyDescent="0.2">
      <c r="A1303" s="121" t="s">
        <v>92</v>
      </c>
      <c r="B1303" s="117">
        <v>18548</v>
      </c>
      <c r="C1303" s="117">
        <v>200</v>
      </c>
    </row>
    <row r="1304" spans="1:3" ht="18" x14ac:dyDescent="0.2">
      <c r="A1304" s="121" t="s">
        <v>257</v>
      </c>
      <c r="B1304" s="117">
        <v>4686.1499999999996</v>
      </c>
      <c r="C1304" s="117">
        <v>50.53</v>
      </c>
    </row>
    <row r="1305" spans="1:3" ht="18" x14ac:dyDescent="0.2">
      <c r="A1305" s="121" t="s">
        <v>58</v>
      </c>
      <c r="B1305" s="117">
        <v>224800</v>
      </c>
      <c r="C1305" s="117">
        <v>2423.9899999999998</v>
      </c>
    </row>
    <row r="1306" spans="1:3" ht="18" x14ac:dyDescent="0.2">
      <c r="A1306" s="121" t="s">
        <v>217</v>
      </c>
      <c r="B1306" s="117">
        <v>1854.8</v>
      </c>
      <c r="C1306" s="117">
        <v>20</v>
      </c>
    </row>
    <row r="1307" spans="1:3" ht="18" x14ac:dyDescent="0.2">
      <c r="A1307" s="121" t="s">
        <v>256</v>
      </c>
      <c r="B1307" s="117">
        <v>139110</v>
      </c>
      <c r="C1307" s="117">
        <v>1500</v>
      </c>
    </row>
    <row r="1308" spans="1:3" ht="18" x14ac:dyDescent="0.2">
      <c r="A1308" s="121" t="s">
        <v>51</v>
      </c>
      <c r="B1308" s="117">
        <v>556440</v>
      </c>
      <c r="C1308" s="117">
        <v>6000</v>
      </c>
    </row>
    <row r="1309" spans="1:3" ht="18" x14ac:dyDescent="0.2">
      <c r="A1309" s="121" t="s">
        <v>584</v>
      </c>
      <c r="B1309" s="117">
        <v>278220</v>
      </c>
      <c r="C1309" s="117">
        <v>3000</v>
      </c>
    </row>
    <row r="1310" spans="1:3" ht="18" x14ac:dyDescent="0.2">
      <c r="A1310" s="121" t="s">
        <v>435</v>
      </c>
      <c r="B1310" s="117">
        <v>94500</v>
      </c>
      <c r="C1310" s="117">
        <v>1018.9800000000001</v>
      </c>
    </row>
    <row r="1311" spans="1:3" ht="18" x14ac:dyDescent="0.2">
      <c r="A1311" s="121" t="s">
        <v>714</v>
      </c>
      <c r="B1311" s="117">
        <v>41733</v>
      </c>
      <c r="C1311" s="117">
        <v>450</v>
      </c>
    </row>
    <row r="1312" spans="1:3" ht="18" x14ac:dyDescent="0.2">
      <c r="A1312" s="121" t="s">
        <v>922</v>
      </c>
      <c r="B1312" s="117">
        <v>46370</v>
      </c>
      <c r="C1312" s="117">
        <v>500</v>
      </c>
    </row>
    <row r="1313" spans="1:3" ht="18" x14ac:dyDescent="0.2">
      <c r="A1313" s="122">
        <v>46147</v>
      </c>
      <c r="B1313" s="477">
        <v>1686045.14</v>
      </c>
      <c r="C1313" s="477">
        <v>18180.349999999999</v>
      </c>
    </row>
    <row r="1314" spans="1:3" ht="18" x14ac:dyDescent="0.2">
      <c r="A1314" s="121" t="s">
        <v>143</v>
      </c>
      <c r="B1314" s="117">
        <v>556440</v>
      </c>
      <c r="C1314" s="117">
        <v>6000</v>
      </c>
    </row>
    <row r="1315" spans="1:3" ht="18" x14ac:dyDescent="0.2">
      <c r="A1315" s="121" t="s">
        <v>57</v>
      </c>
      <c r="B1315" s="117">
        <v>37096</v>
      </c>
      <c r="C1315" s="117">
        <v>400</v>
      </c>
    </row>
    <row r="1316" spans="1:3" ht="18" x14ac:dyDescent="0.2">
      <c r="A1316" s="121" t="s">
        <v>56</v>
      </c>
      <c r="B1316" s="117">
        <v>14467.44</v>
      </c>
      <c r="C1316" s="117">
        <v>156</v>
      </c>
    </row>
    <row r="1317" spans="1:3" ht="18" x14ac:dyDescent="0.2">
      <c r="A1317" s="121" t="s">
        <v>92</v>
      </c>
      <c r="B1317" s="117">
        <v>55644</v>
      </c>
      <c r="C1317" s="117">
        <v>600</v>
      </c>
    </row>
    <row r="1318" spans="1:3" ht="18" x14ac:dyDescent="0.2">
      <c r="A1318" s="121" t="s">
        <v>257</v>
      </c>
      <c r="B1318" s="117">
        <v>2000</v>
      </c>
      <c r="C1318" s="117">
        <v>21.57</v>
      </c>
    </row>
    <row r="1319" spans="1:3" ht="18" x14ac:dyDescent="0.2">
      <c r="A1319" s="121" t="s">
        <v>152</v>
      </c>
      <c r="B1319" s="117">
        <v>8400</v>
      </c>
      <c r="C1319" s="117">
        <v>90.58</v>
      </c>
    </row>
    <row r="1320" spans="1:3" ht="18" x14ac:dyDescent="0.2">
      <c r="A1320" s="121" t="s">
        <v>58</v>
      </c>
      <c r="B1320" s="117">
        <v>209864.4</v>
      </c>
      <c r="C1320" s="117">
        <v>2262.9300000000003</v>
      </c>
    </row>
    <row r="1321" spans="1:3" ht="18" x14ac:dyDescent="0.2">
      <c r="A1321" s="121" t="s">
        <v>51</v>
      </c>
      <c r="B1321" s="117">
        <v>370960</v>
      </c>
      <c r="C1321" s="117">
        <v>4000</v>
      </c>
    </row>
    <row r="1322" spans="1:3" ht="18" x14ac:dyDescent="0.2">
      <c r="A1322" s="121" t="s">
        <v>59</v>
      </c>
      <c r="B1322" s="117">
        <v>278152.3</v>
      </c>
      <c r="C1322" s="117">
        <v>2999.27</v>
      </c>
    </row>
    <row r="1323" spans="1:3" ht="18" x14ac:dyDescent="0.2">
      <c r="A1323" s="121" t="s">
        <v>96</v>
      </c>
      <c r="B1323" s="117">
        <v>139110</v>
      </c>
      <c r="C1323" s="117">
        <v>1500</v>
      </c>
    </row>
    <row r="1324" spans="1:3" ht="18" x14ac:dyDescent="0.2">
      <c r="A1324" s="121" t="s">
        <v>714</v>
      </c>
      <c r="B1324" s="117">
        <v>13911</v>
      </c>
      <c r="C1324" s="117">
        <v>150</v>
      </c>
    </row>
    <row r="1325" spans="1:3" ht="18" x14ac:dyDescent="0.2">
      <c r="A1325" s="122">
        <v>46146</v>
      </c>
      <c r="B1325" s="477">
        <v>1109195.3299999998</v>
      </c>
      <c r="C1325" s="477">
        <v>11960.26</v>
      </c>
    </row>
    <row r="1326" spans="1:3" ht="18" x14ac:dyDescent="0.2">
      <c r="A1326" s="121" t="s">
        <v>56</v>
      </c>
      <c r="B1326" s="117">
        <v>4200.1899999999996</v>
      </c>
      <c r="C1326" s="117">
        <v>45.29</v>
      </c>
    </row>
    <row r="1327" spans="1:3" ht="18" x14ac:dyDescent="0.2">
      <c r="A1327" s="121" t="s">
        <v>152</v>
      </c>
      <c r="B1327" s="117">
        <v>151200</v>
      </c>
      <c r="C1327" s="117">
        <v>1630.36</v>
      </c>
    </row>
    <row r="1328" spans="1:3" ht="18" x14ac:dyDescent="0.2">
      <c r="A1328" s="121" t="s">
        <v>58</v>
      </c>
      <c r="B1328" s="117">
        <v>137800</v>
      </c>
      <c r="C1328" s="117">
        <v>1485.87</v>
      </c>
    </row>
    <row r="1329" spans="1:3" ht="18" x14ac:dyDescent="0.2">
      <c r="A1329" s="121" t="s">
        <v>256</v>
      </c>
      <c r="B1329" s="117">
        <v>111288</v>
      </c>
      <c r="C1329" s="117">
        <v>1200</v>
      </c>
    </row>
    <row r="1330" spans="1:3" ht="18" x14ac:dyDescent="0.2">
      <c r="A1330" s="121" t="s">
        <v>51</v>
      </c>
      <c r="B1330" s="117">
        <v>370960</v>
      </c>
      <c r="C1330" s="117">
        <v>4000</v>
      </c>
    </row>
    <row r="1331" spans="1:3" ht="18" x14ac:dyDescent="0.2">
      <c r="A1331" s="121" t="s">
        <v>59</v>
      </c>
      <c r="B1331" s="117">
        <v>278220</v>
      </c>
      <c r="C1331" s="117">
        <v>3000</v>
      </c>
    </row>
    <row r="1332" spans="1:3" ht="18" x14ac:dyDescent="0.2">
      <c r="A1332" s="121" t="s">
        <v>714</v>
      </c>
      <c r="B1332" s="117">
        <v>9157.14</v>
      </c>
      <c r="C1332" s="117">
        <v>98.74</v>
      </c>
    </row>
    <row r="1333" spans="1:3" ht="18" x14ac:dyDescent="0.2">
      <c r="A1333" s="121" t="s">
        <v>922</v>
      </c>
      <c r="B1333" s="117">
        <v>46370</v>
      </c>
      <c r="C1333" s="117">
        <v>500</v>
      </c>
    </row>
    <row r="1334" spans="1:3" ht="18" x14ac:dyDescent="0.2">
      <c r="A1334" s="122">
        <v>46145</v>
      </c>
      <c r="B1334" s="477">
        <v>755873.13</v>
      </c>
      <c r="C1334" s="477">
        <v>8150.46</v>
      </c>
    </row>
    <row r="1335" spans="1:3" ht="18" x14ac:dyDescent="0.2">
      <c r="A1335" s="121" t="s">
        <v>53</v>
      </c>
      <c r="B1335" s="117">
        <v>4822.4799999999996</v>
      </c>
      <c r="C1335" s="117">
        <v>52</v>
      </c>
    </row>
    <row r="1336" spans="1:3" ht="18" x14ac:dyDescent="0.2">
      <c r="A1336" s="121" t="s">
        <v>54</v>
      </c>
      <c r="B1336" s="117">
        <v>4392.16</v>
      </c>
      <c r="C1336" s="117">
        <v>47.36</v>
      </c>
    </row>
    <row r="1337" spans="1:3" ht="18" x14ac:dyDescent="0.2">
      <c r="A1337" s="121" t="s">
        <v>143</v>
      </c>
      <c r="B1337" s="117">
        <v>278220</v>
      </c>
      <c r="C1337" s="117">
        <v>3000</v>
      </c>
    </row>
    <row r="1338" spans="1:3" ht="18" x14ac:dyDescent="0.2">
      <c r="A1338" s="121" t="s">
        <v>57</v>
      </c>
      <c r="B1338" s="117">
        <v>1854.8</v>
      </c>
      <c r="C1338" s="117">
        <v>20</v>
      </c>
    </row>
    <row r="1339" spans="1:3" ht="18" x14ac:dyDescent="0.2">
      <c r="A1339" s="121" t="s">
        <v>56</v>
      </c>
      <c r="B1339" s="117">
        <v>7311.62</v>
      </c>
      <c r="C1339" s="117">
        <v>78.84</v>
      </c>
    </row>
    <row r="1340" spans="1:3" ht="18" x14ac:dyDescent="0.2">
      <c r="A1340" s="121" t="s">
        <v>55</v>
      </c>
      <c r="B1340" s="117">
        <v>4637</v>
      </c>
      <c r="C1340" s="117">
        <v>50</v>
      </c>
    </row>
    <row r="1341" spans="1:3" ht="18" x14ac:dyDescent="0.2">
      <c r="A1341" s="121" t="s">
        <v>257</v>
      </c>
      <c r="B1341" s="117">
        <v>4138.05</v>
      </c>
      <c r="C1341" s="117">
        <v>44.62</v>
      </c>
    </row>
    <row r="1342" spans="1:3" ht="18" x14ac:dyDescent="0.2">
      <c r="A1342" s="121" t="s">
        <v>152</v>
      </c>
      <c r="B1342" s="117">
        <v>60200</v>
      </c>
      <c r="C1342" s="117">
        <v>649.13</v>
      </c>
    </row>
    <row r="1343" spans="1:3" ht="18" x14ac:dyDescent="0.2">
      <c r="A1343" s="121" t="s">
        <v>58</v>
      </c>
      <c r="B1343" s="117">
        <v>251200</v>
      </c>
      <c r="C1343" s="117">
        <v>2708.65</v>
      </c>
    </row>
    <row r="1344" spans="1:3" ht="18" x14ac:dyDescent="0.2">
      <c r="A1344" s="121" t="s">
        <v>96</v>
      </c>
      <c r="B1344" s="117">
        <v>139097.01999999999</v>
      </c>
      <c r="C1344" s="117">
        <v>1499.86</v>
      </c>
    </row>
    <row r="1345" spans="1:3" ht="18" x14ac:dyDescent="0.2">
      <c r="A1345" s="122">
        <v>46144</v>
      </c>
      <c r="B1345" s="477">
        <v>971616.09999999986</v>
      </c>
      <c r="C1345" s="477">
        <v>10476.77</v>
      </c>
    </row>
    <row r="1346" spans="1:3" ht="18" x14ac:dyDescent="0.2">
      <c r="A1346" s="121" t="s">
        <v>57</v>
      </c>
      <c r="B1346" s="117">
        <v>105070.24</v>
      </c>
      <c r="C1346" s="117">
        <v>1132.95</v>
      </c>
    </row>
    <row r="1347" spans="1:3" ht="18" x14ac:dyDescent="0.2">
      <c r="A1347" s="121" t="s">
        <v>56</v>
      </c>
      <c r="B1347" s="117">
        <v>4552.6000000000004</v>
      </c>
      <c r="C1347" s="117">
        <v>49.09</v>
      </c>
    </row>
    <row r="1348" spans="1:3" ht="18" x14ac:dyDescent="0.2">
      <c r="A1348" s="121" t="s">
        <v>55</v>
      </c>
      <c r="B1348" s="117">
        <v>2782.2</v>
      </c>
      <c r="C1348" s="117">
        <v>30</v>
      </c>
    </row>
    <row r="1349" spans="1:3" ht="18" x14ac:dyDescent="0.2">
      <c r="A1349" s="121" t="s">
        <v>257</v>
      </c>
      <c r="B1349" s="117">
        <v>3709.6</v>
      </c>
      <c r="C1349" s="117">
        <v>40</v>
      </c>
    </row>
    <row r="1350" spans="1:3" ht="18" x14ac:dyDescent="0.2">
      <c r="A1350" s="121" t="s">
        <v>152</v>
      </c>
      <c r="B1350" s="117">
        <v>18200</v>
      </c>
      <c r="C1350" s="117">
        <v>196.25</v>
      </c>
    </row>
    <row r="1351" spans="1:3" ht="18" x14ac:dyDescent="0.2">
      <c r="A1351" s="121" t="s">
        <v>58</v>
      </c>
      <c r="B1351" s="117">
        <v>178700</v>
      </c>
      <c r="C1351" s="117">
        <v>1926.89</v>
      </c>
    </row>
    <row r="1352" spans="1:3" ht="18" x14ac:dyDescent="0.2">
      <c r="A1352" s="121" t="s">
        <v>217</v>
      </c>
      <c r="B1352" s="117">
        <v>1854.8</v>
      </c>
      <c r="C1352" s="117">
        <v>20</v>
      </c>
    </row>
    <row r="1353" spans="1:3" ht="18" x14ac:dyDescent="0.2">
      <c r="A1353" s="121" t="s">
        <v>51</v>
      </c>
      <c r="B1353" s="117">
        <v>370960</v>
      </c>
      <c r="C1353" s="117">
        <v>4000</v>
      </c>
    </row>
    <row r="1354" spans="1:3" ht="18" x14ac:dyDescent="0.2">
      <c r="A1354" s="121" t="s">
        <v>59</v>
      </c>
      <c r="B1354" s="117">
        <v>276512.65999999997</v>
      </c>
      <c r="C1354" s="117">
        <v>2981.59</v>
      </c>
    </row>
    <row r="1355" spans="1:3" ht="18" x14ac:dyDescent="0.2">
      <c r="A1355" s="121" t="s">
        <v>714</v>
      </c>
      <c r="B1355" s="117">
        <v>9274</v>
      </c>
      <c r="C1355" s="117">
        <v>100</v>
      </c>
    </row>
    <row r="1356" spans="1:3" ht="18" x14ac:dyDescent="0.2">
      <c r="A1356" s="122">
        <v>46143</v>
      </c>
      <c r="B1356" s="477">
        <v>581587.80000000005</v>
      </c>
      <c r="C1356" s="477">
        <v>6271.17</v>
      </c>
    </row>
    <row r="1357" spans="1:3" ht="18" x14ac:dyDescent="0.2">
      <c r="A1357" s="121" t="s">
        <v>143</v>
      </c>
      <c r="B1357" s="117">
        <v>278220</v>
      </c>
      <c r="C1357" s="117">
        <v>3000</v>
      </c>
    </row>
    <row r="1358" spans="1:3" ht="18" x14ac:dyDescent="0.2">
      <c r="A1358" s="121" t="s">
        <v>57</v>
      </c>
      <c r="B1358" s="117">
        <v>35999</v>
      </c>
      <c r="C1358" s="117">
        <v>388.17</v>
      </c>
    </row>
    <row r="1359" spans="1:3" ht="18" x14ac:dyDescent="0.2">
      <c r="A1359" s="121" t="s">
        <v>56</v>
      </c>
      <c r="B1359" s="117">
        <v>9646.7999999999993</v>
      </c>
      <c r="C1359" s="117">
        <v>104.02</v>
      </c>
    </row>
    <row r="1360" spans="1:3" ht="18" x14ac:dyDescent="0.2">
      <c r="A1360" s="121" t="s">
        <v>184</v>
      </c>
      <c r="B1360" s="117">
        <v>27822</v>
      </c>
      <c r="C1360" s="117">
        <v>300</v>
      </c>
    </row>
    <row r="1361" spans="1:3" ht="18" x14ac:dyDescent="0.2">
      <c r="A1361" s="121" t="s">
        <v>257</v>
      </c>
      <c r="B1361" s="117">
        <v>4000</v>
      </c>
      <c r="C1361" s="117">
        <v>43.14</v>
      </c>
    </row>
    <row r="1362" spans="1:3" ht="18" x14ac:dyDescent="0.2">
      <c r="A1362" s="121" t="s">
        <v>152</v>
      </c>
      <c r="B1362" s="117">
        <v>22100</v>
      </c>
      <c r="C1362" s="117">
        <v>238.3</v>
      </c>
    </row>
    <row r="1363" spans="1:3" ht="18" x14ac:dyDescent="0.2">
      <c r="A1363" s="121" t="s">
        <v>58</v>
      </c>
      <c r="B1363" s="117">
        <v>188800</v>
      </c>
      <c r="C1363" s="117">
        <v>2035.8</v>
      </c>
    </row>
    <row r="1364" spans="1:3" ht="18" x14ac:dyDescent="0.2">
      <c r="A1364" s="121" t="s">
        <v>199</v>
      </c>
      <c r="B1364" s="117">
        <v>15000</v>
      </c>
      <c r="C1364" s="117">
        <v>161.74</v>
      </c>
    </row>
    <row r="1365" spans="1:3" ht="18" x14ac:dyDescent="0.2">
      <c r="A1365" s="122">
        <v>46142</v>
      </c>
      <c r="B1365" s="477">
        <v>2166931.2000000002</v>
      </c>
      <c r="C1365" s="477">
        <v>23365.670000000002</v>
      </c>
    </row>
    <row r="1366" spans="1:3" ht="18" x14ac:dyDescent="0.2">
      <c r="A1366" s="121" t="s">
        <v>143</v>
      </c>
      <c r="B1366" s="117">
        <v>278220</v>
      </c>
      <c r="C1366" s="117">
        <v>3000</v>
      </c>
    </row>
    <row r="1367" spans="1:3" ht="18" x14ac:dyDescent="0.2">
      <c r="A1367" s="121" t="s">
        <v>56</v>
      </c>
      <c r="B1367" s="117">
        <v>2782.2</v>
      </c>
      <c r="C1367" s="117">
        <v>30</v>
      </c>
    </row>
    <row r="1368" spans="1:3" ht="18" x14ac:dyDescent="0.2">
      <c r="A1368" s="121" t="s">
        <v>257</v>
      </c>
      <c r="B1368" s="117">
        <v>3000</v>
      </c>
      <c r="C1368" s="117">
        <v>32.35</v>
      </c>
    </row>
    <row r="1369" spans="1:3" ht="18" x14ac:dyDescent="0.2">
      <c r="A1369" s="121" t="s">
        <v>152</v>
      </c>
      <c r="B1369" s="117">
        <v>34400</v>
      </c>
      <c r="C1369" s="117">
        <v>370.93</v>
      </c>
    </row>
    <row r="1370" spans="1:3" ht="18" x14ac:dyDescent="0.2">
      <c r="A1370" s="121" t="s">
        <v>58</v>
      </c>
      <c r="B1370" s="117">
        <v>332600</v>
      </c>
      <c r="C1370" s="117">
        <v>3586.37</v>
      </c>
    </row>
    <row r="1371" spans="1:3" ht="18" x14ac:dyDescent="0.2">
      <c r="A1371" s="121" t="s">
        <v>95</v>
      </c>
      <c r="B1371" s="117">
        <v>92740</v>
      </c>
      <c r="C1371" s="117">
        <v>1000</v>
      </c>
    </row>
    <row r="1372" spans="1:3" ht="18" x14ac:dyDescent="0.2">
      <c r="A1372" s="121" t="s">
        <v>134</v>
      </c>
      <c r="B1372" s="117">
        <v>106651</v>
      </c>
      <c r="C1372" s="117">
        <v>1150</v>
      </c>
    </row>
    <row r="1373" spans="1:3" ht="18" x14ac:dyDescent="0.2">
      <c r="A1373" s="121" t="s">
        <v>59</v>
      </c>
      <c r="B1373" s="117">
        <v>18548</v>
      </c>
      <c r="C1373" s="117">
        <v>200</v>
      </c>
    </row>
    <row r="1374" spans="1:3" ht="18" x14ac:dyDescent="0.2">
      <c r="A1374" s="121" t="s">
        <v>96</v>
      </c>
      <c r="B1374" s="117">
        <v>139110</v>
      </c>
      <c r="C1374" s="117">
        <v>1500</v>
      </c>
    </row>
    <row r="1375" spans="1:3" ht="18" x14ac:dyDescent="0.2">
      <c r="A1375" s="121" t="s">
        <v>302</v>
      </c>
      <c r="B1375" s="117">
        <v>1112880</v>
      </c>
      <c r="C1375" s="117">
        <v>12000</v>
      </c>
    </row>
    <row r="1376" spans="1:3" ht="18" x14ac:dyDescent="0.2">
      <c r="A1376" s="121" t="s">
        <v>435</v>
      </c>
      <c r="B1376" s="117">
        <v>46000</v>
      </c>
      <c r="C1376" s="117">
        <v>496.02</v>
      </c>
    </row>
    <row r="1377" spans="1:3" ht="18" x14ac:dyDescent="0.2">
      <c r="A1377" s="122">
        <v>46141</v>
      </c>
      <c r="B1377" s="477">
        <v>747932.36</v>
      </c>
      <c r="C1377" s="477">
        <v>8064.83</v>
      </c>
    </row>
    <row r="1378" spans="1:3" ht="18" x14ac:dyDescent="0.2">
      <c r="A1378" s="121" t="s">
        <v>53</v>
      </c>
      <c r="B1378" s="117">
        <v>2225.7600000000002</v>
      </c>
      <c r="C1378" s="117">
        <v>24</v>
      </c>
    </row>
    <row r="1379" spans="1:3" ht="18" x14ac:dyDescent="0.2">
      <c r="A1379" s="121" t="s">
        <v>143</v>
      </c>
      <c r="B1379" s="117">
        <v>278220</v>
      </c>
      <c r="C1379" s="117">
        <v>3000</v>
      </c>
    </row>
    <row r="1380" spans="1:3" ht="18" x14ac:dyDescent="0.2">
      <c r="A1380" s="121" t="s">
        <v>57</v>
      </c>
      <c r="B1380" s="117">
        <v>77450.039999999994</v>
      </c>
      <c r="C1380" s="117">
        <v>835.13</v>
      </c>
    </row>
    <row r="1381" spans="1:3" ht="18" x14ac:dyDescent="0.2">
      <c r="A1381" s="121" t="s">
        <v>55</v>
      </c>
      <c r="B1381" s="117">
        <v>4182.5600000000004</v>
      </c>
      <c r="C1381" s="117">
        <v>45.1</v>
      </c>
    </row>
    <row r="1382" spans="1:3" ht="18" x14ac:dyDescent="0.2">
      <c r="A1382" s="121" t="s">
        <v>58</v>
      </c>
      <c r="B1382" s="117">
        <v>191100</v>
      </c>
      <c r="C1382" s="117">
        <v>2060.6</v>
      </c>
    </row>
    <row r="1383" spans="1:3" ht="18" x14ac:dyDescent="0.2">
      <c r="A1383" s="121" t="s">
        <v>59</v>
      </c>
      <c r="B1383" s="117">
        <v>55644</v>
      </c>
      <c r="C1383" s="117">
        <v>600</v>
      </c>
    </row>
    <row r="1384" spans="1:3" ht="18" x14ac:dyDescent="0.2">
      <c r="A1384" s="121" t="s">
        <v>96</v>
      </c>
      <c r="B1384" s="117">
        <v>139110</v>
      </c>
      <c r="C1384" s="117">
        <v>1500</v>
      </c>
    </row>
    <row r="1385" spans="1:3" ht="18" x14ac:dyDescent="0.2">
      <c r="A1385" s="122">
        <v>46140</v>
      </c>
      <c r="B1385" s="477">
        <v>921421.12000000011</v>
      </c>
      <c r="C1385" s="477">
        <v>9935.5300000000007</v>
      </c>
    </row>
    <row r="1386" spans="1:3" ht="18" x14ac:dyDescent="0.2">
      <c r="A1386" s="121" t="s">
        <v>53</v>
      </c>
      <c r="B1386" s="117">
        <v>3000.13</v>
      </c>
      <c r="C1386" s="117">
        <v>32.35</v>
      </c>
    </row>
    <row r="1387" spans="1:3" ht="18" x14ac:dyDescent="0.2">
      <c r="A1387" s="121" t="s">
        <v>552</v>
      </c>
      <c r="B1387" s="117">
        <v>5179.5200000000004</v>
      </c>
      <c r="C1387" s="117">
        <v>55.85</v>
      </c>
    </row>
    <row r="1388" spans="1:3" ht="18" x14ac:dyDescent="0.2">
      <c r="A1388" s="121" t="s">
        <v>143</v>
      </c>
      <c r="B1388" s="117">
        <v>278220</v>
      </c>
      <c r="C1388" s="117">
        <v>3000</v>
      </c>
    </row>
    <row r="1389" spans="1:3" ht="18" x14ac:dyDescent="0.2">
      <c r="A1389" s="121" t="s">
        <v>57</v>
      </c>
      <c r="B1389" s="117">
        <v>14001.73</v>
      </c>
      <c r="C1389" s="117">
        <v>150.97999999999999</v>
      </c>
    </row>
    <row r="1390" spans="1:3" ht="18" x14ac:dyDescent="0.2">
      <c r="A1390" s="121" t="s">
        <v>56</v>
      </c>
      <c r="B1390" s="117">
        <v>12986.38</v>
      </c>
      <c r="C1390" s="117">
        <v>140.03</v>
      </c>
    </row>
    <row r="1391" spans="1:3" ht="18" x14ac:dyDescent="0.2">
      <c r="A1391" s="121" t="s">
        <v>58</v>
      </c>
      <c r="B1391" s="117">
        <v>341800</v>
      </c>
      <c r="C1391" s="117">
        <v>3685.57</v>
      </c>
    </row>
    <row r="1392" spans="1:3" ht="18" x14ac:dyDescent="0.2">
      <c r="A1392" s="121" t="s">
        <v>217</v>
      </c>
      <c r="B1392" s="117">
        <v>1854.8</v>
      </c>
      <c r="C1392" s="117">
        <v>20</v>
      </c>
    </row>
    <row r="1393" spans="1:3" ht="18" x14ac:dyDescent="0.2">
      <c r="A1393" s="121" t="s">
        <v>256</v>
      </c>
      <c r="B1393" s="117">
        <v>92740</v>
      </c>
      <c r="C1393" s="117">
        <v>1000</v>
      </c>
    </row>
    <row r="1394" spans="1:3" ht="18" x14ac:dyDescent="0.2">
      <c r="A1394" s="121" t="s">
        <v>59</v>
      </c>
      <c r="B1394" s="117">
        <v>171638.56</v>
      </c>
      <c r="C1394" s="117">
        <v>1850.75</v>
      </c>
    </row>
    <row r="1395" spans="1:3" ht="18" x14ac:dyDescent="0.2">
      <c r="A1395" s="122">
        <v>46139</v>
      </c>
      <c r="B1395" s="477">
        <v>864243.12</v>
      </c>
      <c r="C1395" s="477">
        <v>9399.2099999999991</v>
      </c>
    </row>
    <row r="1396" spans="1:3" ht="18" x14ac:dyDescent="0.2">
      <c r="A1396" s="121" t="s">
        <v>56</v>
      </c>
      <c r="B1396" s="117">
        <v>13973.12</v>
      </c>
      <c r="C1396" s="117">
        <v>150.67000000000002</v>
      </c>
    </row>
    <row r="1397" spans="1:3" ht="18" x14ac:dyDescent="0.2">
      <c r="A1397" s="121" t="s">
        <v>58</v>
      </c>
      <c r="B1397" s="117">
        <v>254900</v>
      </c>
      <c r="C1397" s="117">
        <v>2748.54</v>
      </c>
    </row>
    <row r="1398" spans="1:3" ht="18" x14ac:dyDescent="0.2">
      <c r="A1398" s="121" t="s">
        <v>95</v>
      </c>
      <c r="B1398" s="117">
        <v>46370</v>
      </c>
      <c r="C1398" s="117">
        <v>500</v>
      </c>
    </row>
    <row r="1399" spans="1:3" ht="18" x14ac:dyDescent="0.2">
      <c r="A1399" s="121" t="s">
        <v>51</v>
      </c>
      <c r="B1399" s="117">
        <v>549000</v>
      </c>
      <c r="C1399" s="117">
        <v>6000</v>
      </c>
    </row>
    <row r="1400" spans="1:3" ht="18" x14ac:dyDescent="0.2">
      <c r="A1400" s="122">
        <v>46137</v>
      </c>
      <c r="B1400" s="477">
        <v>674224.57000000007</v>
      </c>
      <c r="C1400" s="477">
        <v>7270.0499999999993</v>
      </c>
    </row>
    <row r="1401" spans="1:3" ht="18" x14ac:dyDescent="0.2">
      <c r="A1401" s="121" t="s">
        <v>552</v>
      </c>
      <c r="B1401" s="117">
        <v>11128.8</v>
      </c>
      <c r="C1401" s="117">
        <v>120</v>
      </c>
    </row>
    <row r="1402" spans="1:3" ht="18" x14ac:dyDescent="0.2">
      <c r="A1402" s="121" t="s">
        <v>57</v>
      </c>
      <c r="B1402" s="117">
        <v>55922.21</v>
      </c>
      <c r="C1402" s="117">
        <v>603</v>
      </c>
    </row>
    <row r="1403" spans="1:3" ht="18" x14ac:dyDescent="0.2">
      <c r="A1403" s="121" t="s">
        <v>58</v>
      </c>
      <c r="B1403" s="117">
        <v>298400</v>
      </c>
      <c r="C1403" s="117">
        <v>3217.6</v>
      </c>
    </row>
    <row r="1404" spans="1:3" ht="18" x14ac:dyDescent="0.2">
      <c r="A1404" s="121" t="s">
        <v>15</v>
      </c>
      <c r="B1404" s="117">
        <v>12000</v>
      </c>
      <c r="C1404" s="117">
        <v>129.38999999999999</v>
      </c>
    </row>
    <row r="1405" spans="1:3" ht="18" x14ac:dyDescent="0.2">
      <c r="A1405" s="121" t="s">
        <v>59</v>
      </c>
      <c r="B1405" s="117">
        <v>296773.56</v>
      </c>
      <c r="C1405" s="117">
        <v>3200.06</v>
      </c>
    </row>
    <row r="1406" spans="1:3" ht="18" x14ac:dyDescent="0.2">
      <c r="A1406" s="122">
        <v>46136</v>
      </c>
      <c r="B1406" s="477">
        <v>1510448.87</v>
      </c>
      <c r="C1406" s="477">
        <v>16340.400000000001</v>
      </c>
    </row>
    <row r="1407" spans="1:3" ht="18" x14ac:dyDescent="0.2">
      <c r="A1407" s="121" t="s">
        <v>54</v>
      </c>
      <c r="B1407" s="117">
        <v>4337.4399999999996</v>
      </c>
      <c r="C1407" s="117">
        <v>46.77</v>
      </c>
    </row>
    <row r="1408" spans="1:3" ht="18" x14ac:dyDescent="0.2">
      <c r="A1408" s="121" t="s">
        <v>143</v>
      </c>
      <c r="B1408" s="117">
        <v>278220</v>
      </c>
      <c r="C1408" s="117">
        <v>3000</v>
      </c>
    </row>
    <row r="1409" spans="1:3" ht="18" x14ac:dyDescent="0.2">
      <c r="A1409" s="121" t="s">
        <v>57</v>
      </c>
      <c r="B1409" s="117">
        <v>27164.86</v>
      </c>
      <c r="C1409" s="117">
        <v>292.91000000000003</v>
      </c>
    </row>
    <row r="1410" spans="1:3" ht="18" x14ac:dyDescent="0.2">
      <c r="A1410" s="121" t="s">
        <v>58</v>
      </c>
      <c r="B1410" s="117">
        <v>313100</v>
      </c>
      <c r="C1410" s="117">
        <v>3376.11</v>
      </c>
    </row>
    <row r="1411" spans="1:3" ht="18" x14ac:dyDescent="0.2">
      <c r="A1411" s="121" t="s">
        <v>95</v>
      </c>
      <c r="B1411" s="117">
        <v>92740</v>
      </c>
      <c r="C1411" s="117">
        <v>1000</v>
      </c>
    </row>
    <row r="1412" spans="1:3" ht="18" x14ac:dyDescent="0.2">
      <c r="A1412" s="121" t="s">
        <v>15</v>
      </c>
      <c r="B1412" s="117">
        <v>11500</v>
      </c>
      <c r="C1412" s="117">
        <v>124</v>
      </c>
    </row>
    <row r="1413" spans="1:3" ht="18" x14ac:dyDescent="0.2">
      <c r="A1413" s="121" t="s">
        <v>51</v>
      </c>
      <c r="B1413" s="117">
        <v>366000</v>
      </c>
      <c r="C1413" s="117">
        <v>4000</v>
      </c>
    </row>
    <row r="1414" spans="1:3" ht="18" x14ac:dyDescent="0.2">
      <c r="A1414" s="121" t="s">
        <v>59</v>
      </c>
      <c r="B1414" s="117">
        <v>278223.71000000002</v>
      </c>
      <c r="C1414" s="117">
        <v>3000.04</v>
      </c>
    </row>
    <row r="1415" spans="1:3" ht="18" x14ac:dyDescent="0.2">
      <c r="A1415" s="121" t="s">
        <v>96</v>
      </c>
      <c r="B1415" s="117">
        <v>139162.85999999999</v>
      </c>
      <c r="C1415" s="117">
        <v>1500.57</v>
      </c>
    </row>
    <row r="1416" spans="1:3" ht="18" x14ac:dyDescent="0.2">
      <c r="A1416" s="122">
        <v>46135</v>
      </c>
      <c r="B1416" s="477">
        <v>2524937.11</v>
      </c>
      <c r="C1416" s="477">
        <v>27319.57</v>
      </c>
    </row>
    <row r="1417" spans="1:3" ht="18" x14ac:dyDescent="0.2">
      <c r="A1417" s="121" t="s">
        <v>54</v>
      </c>
      <c r="B1417" s="117">
        <v>4637</v>
      </c>
      <c r="C1417" s="117">
        <v>50</v>
      </c>
    </row>
    <row r="1418" spans="1:3" ht="18" x14ac:dyDescent="0.2">
      <c r="A1418" s="121" t="s">
        <v>57</v>
      </c>
      <c r="B1418" s="117">
        <v>22814.959999999999</v>
      </c>
      <c r="C1418" s="117">
        <v>246.01</v>
      </c>
    </row>
    <row r="1419" spans="1:3" ht="18" x14ac:dyDescent="0.2">
      <c r="A1419" s="121" t="s">
        <v>56</v>
      </c>
      <c r="B1419" s="117">
        <v>16375.1</v>
      </c>
      <c r="C1419" s="117">
        <v>176.57</v>
      </c>
    </row>
    <row r="1420" spans="1:3" ht="18" x14ac:dyDescent="0.2">
      <c r="A1420" s="121" t="s">
        <v>152</v>
      </c>
      <c r="B1420" s="117">
        <v>8500</v>
      </c>
      <c r="C1420" s="117">
        <v>91.65</v>
      </c>
    </row>
    <row r="1421" spans="1:3" ht="18" x14ac:dyDescent="0.2">
      <c r="A1421" s="121" t="s">
        <v>58</v>
      </c>
      <c r="B1421" s="117">
        <v>343000</v>
      </c>
      <c r="C1421" s="117">
        <v>3698.5099999999998</v>
      </c>
    </row>
    <row r="1422" spans="1:3" ht="18" x14ac:dyDescent="0.2">
      <c r="A1422" s="121" t="s">
        <v>95</v>
      </c>
      <c r="B1422" s="117">
        <v>46370</v>
      </c>
      <c r="C1422" s="117">
        <v>500</v>
      </c>
    </row>
    <row r="1423" spans="1:3" ht="18" x14ac:dyDescent="0.2">
      <c r="A1423" s="121" t="s">
        <v>15</v>
      </c>
      <c r="B1423" s="117">
        <v>48000</v>
      </c>
      <c r="C1423" s="117">
        <v>517.58000000000004</v>
      </c>
    </row>
    <row r="1424" spans="1:3" ht="18" x14ac:dyDescent="0.2">
      <c r="A1424" s="121" t="s">
        <v>136</v>
      </c>
      <c r="B1424" s="117">
        <v>3709.6</v>
      </c>
      <c r="C1424" s="117">
        <v>40</v>
      </c>
    </row>
    <row r="1425" spans="1:3" ht="18" x14ac:dyDescent="0.2">
      <c r="A1425" s="121" t="s">
        <v>51</v>
      </c>
      <c r="B1425" s="117">
        <v>640500</v>
      </c>
      <c r="C1425" s="117">
        <v>7000</v>
      </c>
    </row>
    <row r="1426" spans="1:3" ht="18" x14ac:dyDescent="0.2">
      <c r="A1426" s="121" t="s">
        <v>59</v>
      </c>
      <c r="B1426" s="117">
        <v>278150.45</v>
      </c>
      <c r="C1426" s="117">
        <v>2999.25</v>
      </c>
    </row>
    <row r="1427" spans="1:3" ht="18" x14ac:dyDescent="0.2">
      <c r="A1427" s="121" t="s">
        <v>584</v>
      </c>
      <c r="B1427" s="117">
        <v>1112880</v>
      </c>
      <c r="C1427" s="117">
        <v>12000</v>
      </c>
    </row>
    <row r="1428" spans="1:3" ht="18" x14ac:dyDescent="0.2">
      <c r="A1428" s="122">
        <v>46134</v>
      </c>
      <c r="B1428" s="477">
        <v>1468661.0699999998</v>
      </c>
      <c r="C1428" s="477">
        <v>15889.81</v>
      </c>
    </row>
    <row r="1429" spans="1:3" ht="18" x14ac:dyDescent="0.2">
      <c r="A1429" s="121" t="s">
        <v>143</v>
      </c>
      <c r="B1429" s="117">
        <v>278220</v>
      </c>
      <c r="C1429" s="117">
        <v>3000</v>
      </c>
    </row>
    <row r="1430" spans="1:3" ht="18" x14ac:dyDescent="0.2">
      <c r="A1430" s="121" t="s">
        <v>58</v>
      </c>
      <c r="B1430" s="117">
        <v>463700</v>
      </c>
      <c r="C1430" s="117">
        <v>5000</v>
      </c>
    </row>
    <row r="1431" spans="1:3" ht="18" x14ac:dyDescent="0.2">
      <c r="A1431" s="121" t="s">
        <v>93</v>
      </c>
      <c r="B1431" s="117">
        <v>12056.2</v>
      </c>
      <c r="C1431" s="117">
        <v>130</v>
      </c>
    </row>
    <row r="1432" spans="1:3" ht="18" x14ac:dyDescent="0.2">
      <c r="A1432" s="121" t="s">
        <v>15</v>
      </c>
      <c r="B1432" s="117">
        <v>18000</v>
      </c>
      <c r="C1432" s="117">
        <v>194.09</v>
      </c>
    </row>
    <row r="1433" spans="1:3" ht="18" x14ac:dyDescent="0.2">
      <c r="A1433" s="121" t="s">
        <v>137</v>
      </c>
      <c r="B1433" s="117">
        <v>6028.1</v>
      </c>
      <c r="C1433" s="117">
        <v>65</v>
      </c>
    </row>
    <row r="1434" spans="1:3" ht="18" x14ac:dyDescent="0.2">
      <c r="A1434" s="121" t="s">
        <v>256</v>
      </c>
      <c r="B1434" s="117">
        <v>92740</v>
      </c>
      <c r="C1434" s="117">
        <v>1000</v>
      </c>
    </row>
    <row r="1435" spans="1:3" ht="18" x14ac:dyDescent="0.2">
      <c r="A1435" s="121" t="s">
        <v>51</v>
      </c>
      <c r="B1435" s="117">
        <v>366000</v>
      </c>
      <c r="C1435" s="117">
        <v>4000</v>
      </c>
    </row>
    <row r="1436" spans="1:3" ht="18" x14ac:dyDescent="0.2">
      <c r="A1436" s="121" t="s">
        <v>59</v>
      </c>
      <c r="B1436" s="117">
        <v>231916.77</v>
      </c>
      <c r="C1436" s="117">
        <v>2500.7199999999998</v>
      </c>
    </row>
    <row r="1437" spans="1:3" ht="18" x14ac:dyDescent="0.2">
      <c r="A1437" s="122">
        <v>46133</v>
      </c>
      <c r="B1437" s="477">
        <v>1272664.19</v>
      </c>
      <c r="C1437" s="477">
        <v>13803.15</v>
      </c>
    </row>
    <row r="1438" spans="1:3" ht="18" x14ac:dyDescent="0.2">
      <c r="A1438" s="121" t="s">
        <v>54</v>
      </c>
      <c r="B1438" s="117">
        <v>1854.8</v>
      </c>
      <c r="C1438" s="117">
        <v>20</v>
      </c>
    </row>
    <row r="1439" spans="1:3" ht="18" x14ac:dyDescent="0.2">
      <c r="A1439" s="121" t="s">
        <v>552</v>
      </c>
      <c r="B1439" s="117">
        <v>11128.8</v>
      </c>
      <c r="C1439" s="117">
        <v>120</v>
      </c>
    </row>
    <row r="1440" spans="1:3" ht="18" x14ac:dyDescent="0.2">
      <c r="A1440" s="121" t="s">
        <v>56</v>
      </c>
      <c r="B1440" s="117">
        <v>3630.77</v>
      </c>
      <c r="C1440" s="117">
        <v>39.15</v>
      </c>
    </row>
    <row r="1441" spans="1:3" ht="18" x14ac:dyDescent="0.2">
      <c r="A1441" s="121" t="s">
        <v>58</v>
      </c>
      <c r="B1441" s="117">
        <v>321900</v>
      </c>
      <c r="C1441" s="117">
        <v>3470.99</v>
      </c>
    </row>
    <row r="1442" spans="1:3" ht="18" x14ac:dyDescent="0.2">
      <c r="A1442" s="121" t="s">
        <v>14</v>
      </c>
      <c r="B1442" s="117">
        <v>33559.82</v>
      </c>
      <c r="C1442" s="117">
        <v>361.87</v>
      </c>
    </row>
    <row r="1443" spans="1:3" ht="18" x14ac:dyDescent="0.2">
      <c r="A1443" s="121" t="s">
        <v>15</v>
      </c>
      <c r="B1443" s="117">
        <v>27000</v>
      </c>
      <c r="C1443" s="117">
        <v>291.14</v>
      </c>
    </row>
    <row r="1444" spans="1:3" ht="18" x14ac:dyDescent="0.2">
      <c r="A1444" s="121" t="s">
        <v>51</v>
      </c>
      <c r="B1444" s="117">
        <v>549000</v>
      </c>
      <c r="C1444" s="117">
        <v>6000</v>
      </c>
    </row>
    <row r="1445" spans="1:3" ht="18" x14ac:dyDescent="0.2">
      <c r="A1445" s="121" t="s">
        <v>59</v>
      </c>
      <c r="B1445" s="117">
        <v>185480</v>
      </c>
      <c r="C1445" s="117">
        <v>2000</v>
      </c>
    </row>
    <row r="1446" spans="1:3" ht="18" x14ac:dyDescent="0.2">
      <c r="A1446" s="121" t="s">
        <v>96</v>
      </c>
      <c r="B1446" s="117">
        <v>139110</v>
      </c>
      <c r="C1446" s="117">
        <v>1500</v>
      </c>
    </row>
    <row r="1447" spans="1:3" ht="18" x14ac:dyDescent="0.2">
      <c r="A1447" s="122">
        <v>46132</v>
      </c>
      <c r="B1447" s="477">
        <v>762320.81</v>
      </c>
      <c r="C1447" s="477">
        <v>8219.98</v>
      </c>
    </row>
    <row r="1448" spans="1:3" ht="18" x14ac:dyDescent="0.2">
      <c r="A1448" s="121" t="s">
        <v>56</v>
      </c>
      <c r="B1448" s="117">
        <v>13261.82</v>
      </c>
      <c r="C1448" s="117">
        <v>143</v>
      </c>
    </row>
    <row r="1449" spans="1:3" ht="18" x14ac:dyDescent="0.2">
      <c r="A1449" s="121" t="s">
        <v>58</v>
      </c>
      <c r="B1449" s="117">
        <v>418300</v>
      </c>
      <c r="C1449" s="117">
        <v>4510.46</v>
      </c>
    </row>
    <row r="1450" spans="1:3" ht="18" x14ac:dyDescent="0.2">
      <c r="A1450" s="121" t="s">
        <v>93</v>
      </c>
      <c r="B1450" s="117">
        <v>14838.4</v>
      </c>
      <c r="C1450" s="117">
        <v>160</v>
      </c>
    </row>
    <row r="1451" spans="1:3" ht="18" x14ac:dyDescent="0.2">
      <c r="A1451" s="121" t="s">
        <v>15</v>
      </c>
      <c r="B1451" s="117">
        <v>33000</v>
      </c>
      <c r="C1451" s="117">
        <v>355.83</v>
      </c>
    </row>
    <row r="1452" spans="1:3" ht="18" x14ac:dyDescent="0.2">
      <c r="A1452" s="121" t="s">
        <v>136</v>
      </c>
      <c r="B1452" s="117">
        <v>2000</v>
      </c>
      <c r="C1452" s="117">
        <v>21.57</v>
      </c>
    </row>
    <row r="1453" spans="1:3" ht="18" x14ac:dyDescent="0.2">
      <c r="A1453" s="121" t="s">
        <v>59</v>
      </c>
      <c r="B1453" s="117">
        <v>280920.59000000003</v>
      </c>
      <c r="C1453" s="117">
        <v>3029.12</v>
      </c>
    </row>
    <row r="1454" spans="1:3" ht="18" x14ac:dyDescent="0.2">
      <c r="A1454" s="122">
        <v>46131</v>
      </c>
      <c r="B1454" s="477">
        <v>1557335.6099999999</v>
      </c>
      <c r="C1454" s="477">
        <v>16792.489999999998</v>
      </c>
    </row>
    <row r="1455" spans="1:3" ht="18" x14ac:dyDescent="0.2">
      <c r="A1455" s="121" t="s">
        <v>53</v>
      </c>
      <c r="B1455" s="117">
        <v>3987.82</v>
      </c>
      <c r="C1455" s="117">
        <v>43</v>
      </c>
    </row>
    <row r="1456" spans="1:3" ht="18" x14ac:dyDescent="0.2">
      <c r="A1456" s="121" t="s">
        <v>54</v>
      </c>
      <c r="B1456" s="117">
        <v>1854.8</v>
      </c>
      <c r="C1456" s="117">
        <v>20</v>
      </c>
    </row>
    <row r="1457" spans="1:3" ht="18" x14ac:dyDescent="0.2">
      <c r="A1457" s="121" t="s">
        <v>143</v>
      </c>
      <c r="B1457" s="117">
        <v>741920</v>
      </c>
      <c r="C1457" s="117">
        <v>8000</v>
      </c>
    </row>
    <row r="1458" spans="1:3" ht="18" x14ac:dyDescent="0.2">
      <c r="A1458" s="121" t="s">
        <v>57</v>
      </c>
      <c r="B1458" s="117">
        <v>27543.78</v>
      </c>
      <c r="C1458" s="117">
        <v>297</v>
      </c>
    </row>
    <row r="1459" spans="1:3" ht="18" x14ac:dyDescent="0.2">
      <c r="A1459" s="121" t="s">
        <v>56</v>
      </c>
      <c r="B1459" s="117">
        <v>4079.63</v>
      </c>
      <c r="C1459" s="117">
        <v>43.99</v>
      </c>
    </row>
    <row r="1460" spans="1:3" ht="18" x14ac:dyDescent="0.2">
      <c r="A1460" s="121" t="s">
        <v>184</v>
      </c>
      <c r="B1460" s="117">
        <v>27822</v>
      </c>
      <c r="C1460" s="117">
        <v>300</v>
      </c>
    </row>
    <row r="1461" spans="1:3" ht="18" x14ac:dyDescent="0.2">
      <c r="A1461" s="121" t="s">
        <v>257</v>
      </c>
      <c r="B1461" s="117">
        <v>3000</v>
      </c>
      <c r="C1461" s="117">
        <v>32.35</v>
      </c>
    </row>
    <row r="1462" spans="1:3" ht="18" x14ac:dyDescent="0.2">
      <c r="A1462" s="121" t="s">
        <v>58</v>
      </c>
      <c r="B1462" s="117">
        <v>339600</v>
      </c>
      <c r="C1462" s="117">
        <v>3661.85</v>
      </c>
    </row>
    <row r="1463" spans="1:3" ht="18" x14ac:dyDescent="0.2">
      <c r="A1463" s="121" t="s">
        <v>93</v>
      </c>
      <c r="B1463" s="117">
        <v>14838.4</v>
      </c>
      <c r="C1463" s="117">
        <v>160</v>
      </c>
    </row>
    <row r="1464" spans="1:3" ht="18" x14ac:dyDescent="0.2">
      <c r="A1464" s="121" t="s">
        <v>14</v>
      </c>
      <c r="B1464" s="117">
        <v>92469.18</v>
      </c>
      <c r="C1464" s="117">
        <v>997.08</v>
      </c>
    </row>
    <row r="1465" spans="1:3" ht="18" x14ac:dyDescent="0.2">
      <c r="A1465" s="121" t="s">
        <v>15</v>
      </c>
      <c r="B1465" s="117">
        <v>22000</v>
      </c>
      <c r="C1465" s="117">
        <v>237.22</v>
      </c>
    </row>
    <row r="1466" spans="1:3" ht="18" x14ac:dyDescent="0.2">
      <c r="A1466" s="121" t="s">
        <v>256</v>
      </c>
      <c r="B1466" s="117">
        <v>46370</v>
      </c>
      <c r="C1466" s="117">
        <v>500</v>
      </c>
    </row>
    <row r="1467" spans="1:3" ht="18" x14ac:dyDescent="0.2">
      <c r="A1467" s="121" t="s">
        <v>96</v>
      </c>
      <c r="B1467" s="117">
        <v>139110</v>
      </c>
      <c r="C1467" s="117">
        <v>1500</v>
      </c>
    </row>
    <row r="1468" spans="1:3" ht="18" x14ac:dyDescent="0.2">
      <c r="A1468" s="121" t="s">
        <v>527</v>
      </c>
      <c r="B1468" s="117">
        <v>92740</v>
      </c>
      <c r="C1468" s="117">
        <v>1000</v>
      </c>
    </row>
    <row r="1469" spans="1:3" ht="18" x14ac:dyDescent="0.2">
      <c r="A1469" s="122">
        <v>46130</v>
      </c>
      <c r="B1469" s="477">
        <v>2361249.2000000002</v>
      </c>
      <c r="C1469" s="477">
        <v>25620.960000000003</v>
      </c>
    </row>
    <row r="1470" spans="1:3" ht="18" x14ac:dyDescent="0.2">
      <c r="A1470" s="121" t="s">
        <v>143</v>
      </c>
      <c r="B1470" s="117">
        <v>278220</v>
      </c>
      <c r="C1470" s="117">
        <v>3000</v>
      </c>
    </row>
    <row r="1471" spans="1:3" ht="18" x14ac:dyDescent="0.2">
      <c r="A1471" s="121" t="s">
        <v>57</v>
      </c>
      <c r="B1471" s="117">
        <v>18500</v>
      </c>
      <c r="C1471" s="117">
        <v>199.48</v>
      </c>
    </row>
    <row r="1472" spans="1:3" ht="18" x14ac:dyDescent="0.2">
      <c r="A1472" s="121" t="s">
        <v>58</v>
      </c>
      <c r="B1472" s="117">
        <v>177800</v>
      </c>
      <c r="C1472" s="117">
        <v>1917.19</v>
      </c>
    </row>
    <row r="1473" spans="1:3" ht="18" x14ac:dyDescent="0.2">
      <c r="A1473" s="121" t="s">
        <v>153</v>
      </c>
      <c r="B1473" s="117">
        <v>51935.32</v>
      </c>
      <c r="C1473" s="117">
        <v>560</v>
      </c>
    </row>
    <row r="1474" spans="1:3" ht="18" x14ac:dyDescent="0.2">
      <c r="A1474" s="121" t="s">
        <v>14</v>
      </c>
      <c r="B1474" s="117">
        <v>33000.839999999997</v>
      </c>
      <c r="C1474" s="117">
        <v>355.84</v>
      </c>
    </row>
    <row r="1475" spans="1:3" ht="18" x14ac:dyDescent="0.2">
      <c r="A1475" s="121" t="s">
        <v>15</v>
      </c>
      <c r="B1475" s="117">
        <v>36000</v>
      </c>
      <c r="C1475" s="117">
        <v>388.18</v>
      </c>
    </row>
    <row r="1476" spans="1:3" ht="18" x14ac:dyDescent="0.2">
      <c r="A1476" s="121" t="s">
        <v>501</v>
      </c>
      <c r="B1476" s="117">
        <v>111288</v>
      </c>
      <c r="C1476" s="117">
        <v>1200</v>
      </c>
    </row>
    <row r="1477" spans="1:3" ht="18" x14ac:dyDescent="0.2">
      <c r="A1477" s="121" t="s">
        <v>256</v>
      </c>
      <c r="B1477" s="117">
        <v>92740</v>
      </c>
      <c r="C1477" s="117">
        <v>1000</v>
      </c>
    </row>
    <row r="1478" spans="1:3" ht="18" x14ac:dyDescent="0.2">
      <c r="A1478" s="121" t="s">
        <v>51</v>
      </c>
      <c r="B1478" s="117">
        <v>1005300</v>
      </c>
      <c r="C1478" s="117">
        <v>11000</v>
      </c>
    </row>
    <row r="1479" spans="1:3" ht="18" x14ac:dyDescent="0.2">
      <c r="A1479" s="121" t="s">
        <v>59</v>
      </c>
      <c r="B1479" s="117">
        <v>278245.03999999998</v>
      </c>
      <c r="C1479" s="117">
        <v>3000.27</v>
      </c>
    </row>
    <row r="1480" spans="1:3" ht="18" x14ac:dyDescent="0.2">
      <c r="A1480" s="121" t="s">
        <v>922</v>
      </c>
      <c r="B1480" s="117">
        <v>278220</v>
      </c>
      <c r="C1480" s="117">
        <v>3000</v>
      </c>
    </row>
    <row r="1481" spans="1:3" ht="18" x14ac:dyDescent="0.2">
      <c r="A1481" s="122">
        <v>46129</v>
      </c>
      <c r="B1481" s="477">
        <v>1460724.89</v>
      </c>
      <c r="C1481" s="477">
        <v>15861.81</v>
      </c>
    </row>
    <row r="1482" spans="1:3" ht="18" x14ac:dyDescent="0.2">
      <c r="A1482" s="121" t="s">
        <v>143</v>
      </c>
      <c r="B1482" s="117">
        <v>274080</v>
      </c>
      <c r="C1482" s="117">
        <v>3000</v>
      </c>
    </row>
    <row r="1483" spans="1:3" ht="18" x14ac:dyDescent="0.2">
      <c r="A1483" s="121" t="s">
        <v>57</v>
      </c>
      <c r="B1483" s="117">
        <v>5000</v>
      </c>
      <c r="C1483" s="117">
        <v>53.91</v>
      </c>
    </row>
    <row r="1484" spans="1:3" ht="18" x14ac:dyDescent="0.2">
      <c r="A1484" s="121" t="s">
        <v>56</v>
      </c>
      <c r="B1484" s="117">
        <v>13526.119999999999</v>
      </c>
      <c r="C1484" s="117">
        <v>145.85</v>
      </c>
    </row>
    <row r="1485" spans="1:3" ht="18" x14ac:dyDescent="0.2">
      <c r="A1485" s="121" t="s">
        <v>55</v>
      </c>
      <c r="B1485" s="117">
        <v>10201.4</v>
      </c>
      <c r="C1485" s="117">
        <v>110</v>
      </c>
    </row>
    <row r="1486" spans="1:3" ht="18" x14ac:dyDescent="0.2">
      <c r="A1486" s="121" t="s">
        <v>257</v>
      </c>
      <c r="B1486" s="117">
        <v>4277.16</v>
      </c>
      <c r="C1486" s="117">
        <v>46.12</v>
      </c>
    </row>
    <row r="1487" spans="1:3" ht="18" x14ac:dyDescent="0.2">
      <c r="A1487" s="121" t="s">
        <v>152</v>
      </c>
      <c r="B1487" s="117">
        <v>34200</v>
      </c>
      <c r="C1487" s="117">
        <v>368.77</v>
      </c>
    </row>
    <row r="1488" spans="1:3" ht="18" x14ac:dyDescent="0.2">
      <c r="A1488" s="121" t="s">
        <v>58</v>
      </c>
      <c r="B1488" s="117">
        <v>223900</v>
      </c>
      <c r="C1488" s="117">
        <v>2414.2800000000002</v>
      </c>
    </row>
    <row r="1489" spans="1:3" ht="18" x14ac:dyDescent="0.2">
      <c r="A1489" s="121" t="s">
        <v>93</v>
      </c>
      <c r="B1489" s="117">
        <v>14838.4</v>
      </c>
      <c r="C1489" s="117">
        <v>160</v>
      </c>
    </row>
    <row r="1490" spans="1:3" ht="18" x14ac:dyDescent="0.2">
      <c r="A1490" s="121" t="s">
        <v>14</v>
      </c>
      <c r="B1490" s="117">
        <v>19204.59</v>
      </c>
      <c r="C1490" s="117">
        <v>207.08</v>
      </c>
    </row>
    <row r="1491" spans="1:3" ht="18" x14ac:dyDescent="0.2">
      <c r="A1491" s="121" t="s">
        <v>15</v>
      </c>
      <c r="B1491" s="117">
        <v>33000</v>
      </c>
      <c r="C1491" s="117">
        <v>355.83</v>
      </c>
    </row>
    <row r="1492" spans="1:3" ht="18" x14ac:dyDescent="0.2">
      <c r="A1492" s="121" t="s">
        <v>51</v>
      </c>
      <c r="B1492" s="117">
        <v>364800</v>
      </c>
      <c r="C1492" s="117">
        <v>4000</v>
      </c>
    </row>
    <row r="1493" spans="1:3" ht="18" x14ac:dyDescent="0.2">
      <c r="A1493" s="121" t="s">
        <v>59</v>
      </c>
      <c r="B1493" s="117">
        <v>278227.42</v>
      </c>
      <c r="C1493" s="117">
        <v>3000.08</v>
      </c>
    </row>
    <row r="1494" spans="1:3" ht="18" x14ac:dyDescent="0.2">
      <c r="A1494" s="121" t="s">
        <v>96</v>
      </c>
      <c r="B1494" s="117">
        <v>185469.8</v>
      </c>
      <c r="C1494" s="117">
        <v>1999.89</v>
      </c>
    </row>
    <row r="1495" spans="1:3" ht="18" x14ac:dyDescent="0.2">
      <c r="A1495" s="122">
        <v>46128</v>
      </c>
      <c r="B1495" s="477">
        <v>116060.45999999999</v>
      </c>
      <c r="C1495" s="477">
        <v>1251.46</v>
      </c>
    </row>
    <row r="1496" spans="1:3" ht="18" x14ac:dyDescent="0.2">
      <c r="A1496" s="121" t="s">
        <v>56</v>
      </c>
      <c r="B1496" s="117">
        <v>13508.5</v>
      </c>
      <c r="C1496" s="117">
        <v>145.66</v>
      </c>
    </row>
    <row r="1497" spans="1:3" ht="18" x14ac:dyDescent="0.2">
      <c r="A1497" s="121" t="s">
        <v>152</v>
      </c>
      <c r="B1497" s="117">
        <v>17100</v>
      </c>
      <c r="C1497" s="117">
        <v>184.39</v>
      </c>
    </row>
    <row r="1498" spans="1:3" ht="18" x14ac:dyDescent="0.2">
      <c r="A1498" s="121" t="s">
        <v>58</v>
      </c>
      <c r="B1498" s="117">
        <v>24800</v>
      </c>
      <c r="C1498" s="117">
        <v>267.41000000000003</v>
      </c>
    </row>
    <row r="1499" spans="1:3" ht="18" x14ac:dyDescent="0.2">
      <c r="A1499" s="121" t="s">
        <v>137</v>
      </c>
      <c r="B1499" s="117">
        <v>5007.96</v>
      </c>
      <c r="C1499" s="117">
        <v>54</v>
      </c>
    </row>
    <row r="1500" spans="1:3" ht="18" x14ac:dyDescent="0.2">
      <c r="A1500" s="121" t="s">
        <v>256</v>
      </c>
      <c r="B1500" s="117">
        <v>55644</v>
      </c>
      <c r="C1500" s="117">
        <v>600</v>
      </c>
    </row>
    <row r="1501" spans="1:3" ht="18" x14ac:dyDescent="0.2">
      <c r="A1501" s="122">
        <v>46125</v>
      </c>
      <c r="B1501" s="477">
        <v>224087.09999999998</v>
      </c>
      <c r="C1501" s="477">
        <v>2416.29</v>
      </c>
    </row>
    <row r="1502" spans="1:3" ht="18" x14ac:dyDescent="0.2">
      <c r="A1502" s="121" t="s">
        <v>54</v>
      </c>
      <c r="B1502" s="117">
        <v>4637</v>
      </c>
      <c r="C1502" s="117">
        <v>50</v>
      </c>
    </row>
    <row r="1503" spans="1:3" ht="18" x14ac:dyDescent="0.2">
      <c r="A1503" s="121" t="s">
        <v>57</v>
      </c>
      <c r="B1503" s="117">
        <v>27822</v>
      </c>
      <c r="C1503" s="117">
        <v>300</v>
      </c>
    </row>
    <row r="1504" spans="1:3" ht="18" x14ac:dyDescent="0.2">
      <c r="A1504" s="121" t="s">
        <v>56</v>
      </c>
      <c r="B1504" s="117">
        <v>1854.8</v>
      </c>
      <c r="C1504" s="117">
        <v>20</v>
      </c>
    </row>
    <row r="1505" spans="1:3" ht="18" x14ac:dyDescent="0.2">
      <c r="A1505" s="121" t="s">
        <v>58</v>
      </c>
      <c r="B1505" s="117">
        <v>185600</v>
      </c>
      <c r="C1505" s="117">
        <v>2001.29</v>
      </c>
    </row>
    <row r="1506" spans="1:3" ht="18" x14ac:dyDescent="0.2">
      <c r="A1506" s="121" t="s">
        <v>202</v>
      </c>
      <c r="B1506" s="117">
        <v>4173.3</v>
      </c>
      <c r="C1506" s="117">
        <v>45</v>
      </c>
    </row>
    <row r="1507" spans="1:3" ht="18" x14ac:dyDescent="0.2">
      <c r="A1507" s="122">
        <v>46124</v>
      </c>
      <c r="B1507" s="477">
        <v>1337860.57</v>
      </c>
      <c r="C1507" s="477">
        <v>14470.91</v>
      </c>
    </row>
    <row r="1508" spans="1:3" ht="18" x14ac:dyDescent="0.2">
      <c r="A1508" s="121" t="s">
        <v>54</v>
      </c>
      <c r="B1508" s="117">
        <v>4637</v>
      </c>
      <c r="C1508" s="117">
        <v>50</v>
      </c>
    </row>
    <row r="1509" spans="1:3" ht="18" x14ac:dyDescent="0.2">
      <c r="A1509" s="121" t="s">
        <v>143</v>
      </c>
      <c r="B1509" s="117">
        <v>274080</v>
      </c>
      <c r="C1509" s="117">
        <v>3000</v>
      </c>
    </row>
    <row r="1510" spans="1:3" ht="18" x14ac:dyDescent="0.2">
      <c r="A1510" s="121" t="s">
        <v>57</v>
      </c>
      <c r="B1510" s="117">
        <v>48410.28</v>
      </c>
      <c r="C1510" s="117">
        <v>522</v>
      </c>
    </row>
    <row r="1511" spans="1:3" ht="18" x14ac:dyDescent="0.2">
      <c r="A1511" s="121" t="s">
        <v>56</v>
      </c>
      <c r="B1511" s="117">
        <v>13726.439999999999</v>
      </c>
      <c r="C1511" s="117">
        <v>148.01</v>
      </c>
    </row>
    <row r="1512" spans="1:3" ht="18" x14ac:dyDescent="0.2">
      <c r="A1512" s="121" t="s">
        <v>257</v>
      </c>
      <c r="B1512" s="117">
        <v>39037.97</v>
      </c>
      <c r="C1512" s="117">
        <v>420.94</v>
      </c>
    </row>
    <row r="1513" spans="1:3" ht="18" x14ac:dyDescent="0.2">
      <c r="A1513" s="121" t="s">
        <v>152</v>
      </c>
      <c r="B1513" s="117">
        <v>30500</v>
      </c>
      <c r="C1513" s="117">
        <v>328.88</v>
      </c>
    </row>
    <row r="1514" spans="1:3" ht="18" x14ac:dyDescent="0.2">
      <c r="A1514" s="121" t="s">
        <v>58</v>
      </c>
      <c r="B1514" s="117">
        <v>451500</v>
      </c>
      <c r="C1514" s="117">
        <v>4868.45</v>
      </c>
    </row>
    <row r="1515" spans="1:3" ht="18" x14ac:dyDescent="0.2">
      <c r="A1515" s="121" t="s">
        <v>14</v>
      </c>
      <c r="B1515" s="117">
        <v>26620.080000000002</v>
      </c>
      <c r="C1515" s="117">
        <v>287.04000000000002</v>
      </c>
    </row>
    <row r="1516" spans="1:3" ht="18" x14ac:dyDescent="0.2">
      <c r="A1516" s="121" t="s">
        <v>15</v>
      </c>
      <c r="B1516" s="117">
        <v>38128.800000000003</v>
      </c>
      <c r="C1516" s="117">
        <v>411.14</v>
      </c>
    </row>
    <row r="1517" spans="1:3" ht="18" x14ac:dyDescent="0.2">
      <c r="A1517" s="121" t="s">
        <v>59</v>
      </c>
      <c r="B1517" s="117">
        <v>278220</v>
      </c>
      <c r="C1517" s="117">
        <v>3000</v>
      </c>
    </row>
    <row r="1518" spans="1:3" ht="18" x14ac:dyDescent="0.2">
      <c r="A1518" s="121" t="s">
        <v>435</v>
      </c>
      <c r="B1518" s="117">
        <v>133000</v>
      </c>
      <c r="C1518" s="117">
        <v>1434.450000000001</v>
      </c>
    </row>
    <row r="1519" spans="1:3" ht="18" x14ac:dyDescent="0.2">
      <c r="A1519" s="122">
        <v>46123</v>
      </c>
      <c r="B1519" s="477">
        <v>3909288.83</v>
      </c>
      <c r="C1519" s="477">
        <v>42649.440000000002</v>
      </c>
    </row>
    <row r="1520" spans="1:3" ht="18" x14ac:dyDescent="0.2">
      <c r="A1520" s="121" t="s">
        <v>54</v>
      </c>
      <c r="B1520" s="117">
        <v>4341.1499999999996</v>
      </c>
      <c r="C1520" s="117">
        <v>46.81</v>
      </c>
    </row>
    <row r="1521" spans="1:3" ht="18" x14ac:dyDescent="0.2">
      <c r="A1521" s="121" t="s">
        <v>152</v>
      </c>
      <c r="B1521" s="117">
        <v>22800</v>
      </c>
      <c r="C1521" s="117">
        <v>245.85</v>
      </c>
    </row>
    <row r="1522" spans="1:3" ht="18" x14ac:dyDescent="0.2">
      <c r="A1522" s="121" t="s">
        <v>58</v>
      </c>
      <c r="B1522" s="117">
        <v>267500</v>
      </c>
      <c r="C1522" s="117">
        <v>2884.41</v>
      </c>
    </row>
    <row r="1523" spans="1:3" ht="18" x14ac:dyDescent="0.2">
      <c r="A1523" s="121" t="s">
        <v>93</v>
      </c>
      <c r="B1523" s="117">
        <v>14838.4</v>
      </c>
      <c r="C1523" s="117">
        <v>160</v>
      </c>
    </row>
    <row r="1524" spans="1:3" ht="18" x14ac:dyDescent="0.2">
      <c r="A1524" s="121" t="s">
        <v>14</v>
      </c>
      <c r="B1524" s="117">
        <v>101823.87</v>
      </c>
      <c r="C1524" s="117">
        <v>1097.9499999999998</v>
      </c>
    </row>
    <row r="1525" spans="1:3" ht="18" x14ac:dyDescent="0.2">
      <c r="A1525" s="121" t="s">
        <v>15</v>
      </c>
      <c r="B1525" s="117">
        <v>29128.799999999999</v>
      </c>
      <c r="C1525" s="117">
        <v>314.08999999999997</v>
      </c>
    </row>
    <row r="1526" spans="1:3" ht="18" x14ac:dyDescent="0.2">
      <c r="A1526" s="121" t="s">
        <v>256</v>
      </c>
      <c r="B1526" s="117">
        <v>37096</v>
      </c>
      <c r="C1526" s="117">
        <v>400</v>
      </c>
    </row>
    <row r="1527" spans="1:3" ht="18" x14ac:dyDescent="0.2">
      <c r="A1527" s="121" t="s">
        <v>51</v>
      </c>
      <c r="B1527" s="117">
        <v>273600</v>
      </c>
      <c r="C1527" s="117">
        <v>3000</v>
      </c>
    </row>
    <row r="1528" spans="1:3" ht="18" x14ac:dyDescent="0.2">
      <c r="A1528" s="121" t="s">
        <v>59</v>
      </c>
      <c r="B1528" s="117">
        <v>278249.68</v>
      </c>
      <c r="C1528" s="117">
        <v>3000.32</v>
      </c>
    </row>
    <row r="1529" spans="1:3" ht="18" x14ac:dyDescent="0.2">
      <c r="A1529" s="121" t="s">
        <v>52</v>
      </c>
      <c r="B1529" s="117">
        <v>1644480</v>
      </c>
      <c r="C1529" s="117">
        <v>18000</v>
      </c>
    </row>
    <row r="1530" spans="1:3" ht="18" x14ac:dyDescent="0.2">
      <c r="A1530" s="121" t="s">
        <v>96</v>
      </c>
      <c r="B1530" s="117">
        <v>139110.93</v>
      </c>
      <c r="C1530" s="117">
        <v>1500.01</v>
      </c>
    </row>
    <row r="1531" spans="1:3" ht="18" x14ac:dyDescent="0.2">
      <c r="A1531" s="121" t="s">
        <v>302</v>
      </c>
      <c r="B1531" s="117">
        <v>1096320</v>
      </c>
      <c r="C1531" s="117">
        <v>12000</v>
      </c>
    </row>
    <row r="1532" spans="1:3" ht="18" x14ac:dyDescent="0.2">
      <c r="A1532" s="122">
        <v>46122</v>
      </c>
      <c r="B1532" s="477">
        <v>864494.40999999992</v>
      </c>
      <c r="C1532" s="477">
        <v>9388.14</v>
      </c>
    </row>
    <row r="1533" spans="1:3" ht="18" x14ac:dyDescent="0.2">
      <c r="A1533" s="121" t="s">
        <v>56</v>
      </c>
      <c r="B1533" s="117">
        <v>4120.43</v>
      </c>
      <c r="C1533" s="117">
        <v>44.43</v>
      </c>
    </row>
    <row r="1534" spans="1:3" ht="18" x14ac:dyDescent="0.2">
      <c r="A1534" s="121" t="s">
        <v>58</v>
      </c>
      <c r="B1534" s="117">
        <v>28000</v>
      </c>
      <c r="C1534" s="117">
        <v>301.92</v>
      </c>
    </row>
    <row r="1535" spans="1:3" ht="18" x14ac:dyDescent="0.2">
      <c r="A1535" s="121" t="s">
        <v>153</v>
      </c>
      <c r="B1535" s="117">
        <v>16507.72</v>
      </c>
      <c r="C1535" s="117">
        <v>178</v>
      </c>
    </row>
    <row r="1536" spans="1:3" ht="18" x14ac:dyDescent="0.2">
      <c r="A1536" s="121" t="s">
        <v>93</v>
      </c>
      <c r="B1536" s="117">
        <v>14838.4</v>
      </c>
      <c r="C1536" s="117">
        <v>160</v>
      </c>
    </row>
    <row r="1537" spans="1:3" ht="18" x14ac:dyDescent="0.2">
      <c r="A1537" s="121" t="s">
        <v>14</v>
      </c>
      <c r="B1537" s="117">
        <v>158006.93</v>
      </c>
      <c r="C1537" s="117">
        <v>1703.78</v>
      </c>
    </row>
    <row r="1538" spans="1:3" ht="18" x14ac:dyDescent="0.2">
      <c r="A1538" s="121" t="s">
        <v>51</v>
      </c>
      <c r="B1538" s="117">
        <v>364800</v>
      </c>
      <c r="C1538" s="117">
        <v>4000</v>
      </c>
    </row>
    <row r="1539" spans="1:3" ht="18" x14ac:dyDescent="0.2">
      <c r="A1539" s="121" t="s">
        <v>59</v>
      </c>
      <c r="B1539" s="117">
        <v>278220.93</v>
      </c>
      <c r="C1539" s="117">
        <v>3000.01</v>
      </c>
    </row>
    <row r="1540" spans="1:3" ht="18" x14ac:dyDescent="0.2">
      <c r="A1540" s="122">
        <v>46121</v>
      </c>
      <c r="B1540" s="477">
        <v>1739941.29</v>
      </c>
      <c r="C1540" s="477">
        <v>18932.080000000002</v>
      </c>
    </row>
    <row r="1541" spans="1:3" ht="18" x14ac:dyDescent="0.2">
      <c r="A1541" s="121" t="s">
        <v>143</v>
      </c>
      <c r="B1541" s="117">
        <v>274080</v>
      </c>
      <c r="C1541" s="117">
        <v>3000</v>
      </c>
    </row>
    <row r="1542" spans="1:3" ht="18" x14ac:dyDescent="0.2">
      <c r="A1542" s="121" t="s">
        <v>56</v>
      </c>
      <c r="B1542" s="117">
        <v>21924.65</v>
      </c>
      <c r="C1542" s="117">
        <v>236.41</v>
      </c>
    </row>
    <row r="1543" spans="1:3" ht="18" x14ac:dyDescent="0.2">
      <c r="A1543" s="121" t="s">
        <v>257</v>
      </c>
      <c r="B1543" s="117">
        <v>37096</v>
      </c>
      <c r="C1543" s="117">
        <v>400</v>
      </c>
    </row>
    <row r="1544" spans="1:3" ht="18" x14ac:dyDescent="0.2">
      <c r="A1544" s="121" t="s">
        <v>152</v>
      </c>
      <c r="B1544" s="117">
        <v>5700</v>
      </c>
      <c r="C1544" s="117">
        <v>61.46</v>
      </c>
    </row>
    <row r="1545" spans="1:3" ht="18" x14ac:dyDescent="0.2">
      <c r="A1545" s="121" t="s">
        <v>58</v>
      </c>
      <c r="B1545" s="117">
        <v>165000</v>
      </c>
      <c r="C1545" s="117">
        <v>1779.17</v>
      </c>
    </row>
    <row r="1546" spans="1:3" ht="18" x14ac:dyDescent="0.2">
      <c r="A1546" s="121" t="s">
        <v>14</v>
      </c>
      <c r="B1546" s="117">
        <v>42200.639999999999</v>
      </c>
      <c r="C1546" s="117">
        <v>455.04</v>
      </c>
    </row>
    <row r="1547" spans="1:3" ht="18" x14ac:dyDescent="0.2">
      <c r="A1547" s="121" t="s">
        <v>255</v>
      </c>
      <c r="B1547" s="117">
        <v>365440</v>
      </c>
      <c r="C1547" s="117">
        <v>4000</v>
      </c>
    </row>
    <row r="1548" spans="1:3" ht="18" x14ac:dyDescent="0.2">
      <c r="A1548" s="121" t="s">
        <v>256</v>
      </c>
      <c r="B1548" s="117">
        <v>185480</v>
      </c>
      <c r="C1548" s="117">
        <v>2000</v>
      </c>
    </row>
    <row r="1549" spans="1:3" ht="18" x14ac:dyDescent="0.2">
      <c r="A1549" s="121" t="s">
        <v>51</v>
      </c>
      <c r="B1549" s="117">
        <v>364800</v>
      </c>
      <c r="C1549" s="117">
        <v>4000</v>
      </c>
    </row>
    <row r="1550" spans="1:3" ht="18" x14ac:dyDescent="0.2">
      <c r="A1550" s="121" t="s">
        <v>59</v>
      </c>
      <c r="B1550" s="117">
        <v>139110</v>
      </c>
      <c r="C1550" s="117">
        <v>1500</v>
      </c>
    </row>
    <row r="1551" spans="1:3" ht="18" x14ac:dyDescent="0.2">
      <c r="A1551" s="121" t="s">
        <v>96</v>
      </c>
      <c r="B1551" s="117">
        <v>139110</v>
      </c>
      <c r="C1551" s="117">
        <v>1500</v>
      </c>
    </row>
    <row r="1552" spans="1:3" ht="18" x14ac:dyDescent="0.2">
      <c r="A1552" s="122">
        <v>46120</v>
      </c>
      <c r="B1552" s="477">
        <v>1273297.71</v>
      </c>
      <c r="C1552" s="477">
        <v>13840.82</v>
      </c>
    </row>
    <row r="1553" spans="1:3" ht="18" x14ac:dyDescent="0.2">
      <c r="A1553" s="121" t="s">
        <v>143</v>
      </c>
      <c r="B1553" s="117">
        <v>274080</v>
      </c>
      <c r="C1553" s="117">
        <v>3000</v>
      </c>
    </row>
    <row r="1554" spans="1:3" ht="18" x14ac:dyDescent="0.2">
      <c r="A1554" s="121" t="s">
        <v>58</v>
      </c>
      <c r="B1554" s="117">
        <v>188700</v>
      </c>
      <c r="C1554" s="117">
        <v>2034.72</v>
      </c>
    </row>
    <row r="1555" spans="1:3" ht="18" x14ac:dyDescent="0.2">
      <c r="A1555" s="121" t="s">
        <v>14</v>
      </c>
      <c r="B1555" s="117">
        <v>63897.86</v>
      </c>
      <c r="C1555" s="117">
        <v>689</v>
      </c>
    </row>
    <row r="1556" spans="1:3" ht="18" x14ac:dyDescent="0.2">
      <c r="A1556" s="121" t="s">
        <v>217</v>
      </c>
      <c r="B1556" s="117">
        <v>1854.8</v>
      </c>
      <c r="C1556" s="117">
        <v>20</v>
      </c>
    </row>
    <row r="1557" spans="1:3" ht="18" x14ac:dyDescent="0.2">
      <c r="A1557" s="121" t="s">
        <v>136</v>
      </c>
      <c r="B1557" s="117">
        <v>8996.7000000000007</v>
      </c>
      <c r="C1557" s="117">
        <v>97.009999999999991</v>
      </c>
    </row>
    <row r="1558" spans="1:3" ht="18" x14ac:dyDescent="0.2">
      <c r="A1558" s="121" t="s">
        <v>51</v>
      </c>
      <c r="B1558" s="117">
        <v>364800</v>
      </c>
      <c r="C1558" s="117">
        <v>4000</v>
      </c>
    </row>
    <row r="1559" spans="1:3" ht="18" x14ac:dyDescent="0.2">
      <c r="A1559" s="121" t="s">
        <v>59</v>
      </c>
      <c r="B1559" s="117">
        <v>370968.35</v>
      </c>
      <c r="C1559" s="117">
        <v>4000.09</v>
      </c>
    </row>
    <row r="1560" spans="1:3" ht="18" x14ac:dyDescent="0.2">
      <c r="A1560" s="122">
        <v>46119</v>
      </c>
      <c r="B1560" s="477">
        <v>1576808.0499999998</v>
      </c>
      <c r="C1560" s="477">
        <v>17179.95</v>
      </c>
    </row>
    <row r="1561" spans="1:3" ht="18" x14ac:dyDescent="0.2">
      <c r="A1561" s="121" t="s">
        <v>53</v>
      </c>
      <c r="B1561" s="117">
        <v>4822.4799999999996</v>
      </c>
      <c r="C1561" s="117">
        <v>52</v>
      </c>
    </row>
    <row r="1562" spans="1:3" ht="18" x14ac:dyDescent="0.2">
      <c r="A1562" s="121" t="s">
        <v>143</v>
      </c>
      <c r="B1562" s="117">
        <v>274080</v>
      </c>
      <c r="C1562" s="117">
        <v>3000</v>
      </c>
    </row>
    <row r="1563" spans="1:3" ht="18" x14ac:dyDescent="0.2">
      <c r="A1563" s="121" t="s">
        <v>56</v>
      </c>
      <c r="B1563" s="117">
        <v>4420.91</v>
      </c>
      <c r="C1563" s="117">
        <v>47.67</v>
      </c>
    </row>
    <row r="1564" spans="1:3" ht="18" x14ac:dyDescent="0.2">
      <c r="A1564" s="121" t="s">
        <v>152</v>
      </c>
      <c r="B1564" s="117">
        <v>149475.4</v>
      </c>
      <c r="C1564" s="117">
        <v>1611.77</v>
      </c>
    </row>
    <row r="1565" spans="1:3" ht="18" x14ac:dyDescent="0.2">
      <c r="A1565" s="121" t="s">
        <v>58</v>
      </c>
      <c r="B1565" s="117">
        <v>303100</v>
      </c>
      <c r="C1565" s="117">
        <v>3268.28</v>
      </c>
    </row>
    <row r="1566" spans="1:3" ht="18" x14ac:dyDescent="0.2">
      <c r="A1566" s="121" t="s">
        <v>93</v>
      </c>
      <c r="B1566" s="117">
        <v>14838.4</v>
      </c>
      <c r="C1566" s="117">
        <v>160</v>
      </c>
    </row>
    <row r="1567" spans="1:3" ht="18" x14ac:dyDescent="0.2">
      <c r="A1567" s="121" t="s">
        <v>14</v>
      </c>
      <c r="B1567" s="117">
        <v>28000</v>
      </c>
      <c r="C1567" s="117">
        <v>301.92</v>
      </c>
    </row>
    <row r="1568" spans="1:3" ht="18" x14ac:dyDescent="0.2">
      <c r="A1568" s="121" t="s">
        <v>199</v>
      </c>
      <c r="B1568" s="117">
        <v>22100.86</v>
      </c>
      <c r="C1568" s="117">
        <v>238.31</v>
      </c>
    </row>
    <row r="1569" spans="1:3" ht="18" x14ac:dyDescent="0.2">
      <c r="A1569" s="121" t="s">
        <v>51</v>
      </c>
      <c r="B1569" s="117">
        <v>729600</v>
      </c>
      <c r="C1569" s="117">
        <v>8000</v>
      </c>
    </row>
    <row r="1570" spans="1:3" ht="18" x14ac:dyDescent="0.2">
      <c r="A1570" s="121" t="s">
        <v>59</v>
      </c>
      <c r="B1570" s="117">
        <v>46370</v>
      </c>
      <c r="C1570" s="117">
        <v>500</v>
      </c>
    </row>
    <row r="1571" spans="1:3" ht="18" x14ac:dyDescent="0.2">
      <c r="A1571" s="122">
        <v>46118</v>
      </c>
      <c r="B1571" s="477">
        <v>2081230.96</v>
      </c>
      <c r="C1571" s="477">
        <v>22693.46</v>
      </c>
    </row>
    <row r="1572" spans="1:3" ht="18" x14ac:dyDescent="0.2">
      <c r="A1572" s="121" t="s">
        <v>54</v>
      </c>
      <c r="B1572" s="117">
        <v>4451.5200000000004</v>
      </c>
      <c r="C1572" s="117">
        <v>48</v>
      </c>
    </row>
    <row r="1573" spans="1:3" ht="18" x14ac:dyDescent="0.2">
      <c r="A1573" s="121" t="s">
        <v>56</v>
      </c>
      <c r="B1573" s="117">
        <v>9070.89</v>
      </c>
      <c r="C1573" s="117">
        <v>97.81</v>
      </c>
    </row>
    <row r="1574" spans="1:3" ht="18" x14ac:dyDescent="0.2">
      <c r="A1574" s="121" t="s">
        <v>184</v>
      </c>
      <c r="B1574" s="117">
        <v>27822</v>
      </c>
      <c r="C1574" s="117">
        <v>300</v>
      </c>
    </row>
    <row r="1575" spans="1:3" ht="18" x14ac:dyDescent="0.2">
      <c r="A1575" s="121" t="s">
        <v>152</v>
      </c>
      <c r="B1575" s="117">
        <v>49427.4</v>
      </c>
      <c r="C1575" s="117">
        <v>532.97</v>
      </c>
    </row>
    <row r="1576" spans="1:3" ht="18" x14ac:dyDescent="0.2">
      <c r="A1576" s="121" t="s">
        <v>58</v>
      </c>
      <c r="B1576" s="117">
        <v>181300</v>
      </c>
      <c r="C1576" s="117">
        <v>1954.93</v>
      </c>
    </row>
    <row r="1577" spans="1:3" ht="18" x14ac:dyDescent="0.2">
      <c r="A1577" s="121" t="s">
        <v>93</v>
      </c>
      <c r="B1577" s="117">
        <v>14838.4</v>
      </c>
      <c r="C1577" s="117">
        <v>160</v>
      </c>
    </row>
    <row r="1578" spans="1:3" ht="18" x14ac:dyDescent="0.2">
      <c r="A1578" s="121" t="s">
        <v>14</v>
      </c>
      <c r="B1578" s="117">
        <v>55620.75</v>
      </c>
      <c r="C1578" s="117">
        <v>599.75</v>
      </c>
    </row>
    <row r="1579" spans="1:3" ht="18" x14ac:dyDescent="0.2">
      <c r="A1579" s="121" t="s">
        <v>51</v>
      </c>
      <c r="B1579" s="117">
        <v>729600</v>
      </c>
      <c r="C1579" s="117">
        <v>8000</v>
      </c>
    </row>
    <row r="1580" spans="1:3" ht="18" x14ac:dyDescent="0.2">
      <c r="A1580" s="121" t="s">
        <v>59</v>
      </c>
      <c r="B1580" s="117">
        <v>278220</v>
      </c>
      <c r="C1580" s="117">
        <v>3000</v>
      </c>
    </row>
    <row r="1581" spans="1:3" ht="18" x14ac:dyDescent="0.2">
      <c r="A1581" s="121" t="s">
        <v>52</v>
      </c>
      <c r="B1581" s="117">
        <v>730880</v>
      </c>
      <c r="C1581" s="117">
        <v>8000</v>
      </c>
    </row>
    <row r="1582" spans="1:3" ht="18" x14ac:dyDescent="0.2">
      <c r="A1582" s="122">
        <v>46117</v>
      </c>
      <c r="B1582" s="477">
        <v>613645.67999999993</v>
      </c>
      <c r="C1582" s="477">
        <v>6616.84</v>
      </c>
    </row>
    <row r="1583" spans="1:3" ht="18" x14ac:dyDescent="0.2">
      <c r="A1583" s="121" t="s">
        <v>57</v>
      </c>
      <c r="B1583" s="117">
        <v>43427.35</v>
      </c>
      <c r="C1583" s="117">
        <v>468.27</v>
      </c>
    </row>
    <row r="1584" spans="1:3" ht="18" x14ac:dyDescent="0.2">
      <c r="A1584" s="121" t="s">
        <v>152</v>
      </c>
      <c r="B1584" s="117">
        <v>19500</v>
      </c>
      <c r="C1584" s="117">
        <v>210.27</v>
      </c>
    </row>
    <row r="1585" spans="1:3" ht="18" x14ac:dyDescent="0.2">
      <c r="A1585" s="121" t="s">
        <v>58</v>
      </c>
      <c r="B1585" s="117">
        <v>138400</v>
      </c>
      <c r="C1585" s="117">
        <v>1492.34</v>
      </c>
    </row>
    <row r="1586" spans="1:3" ht="18" x14ac:dyDescent="0.2">
      <c r="A1586" s="121" t="s">
        <v>14</v>
      </c>
      <c r="B1586" s="117">
        <v>41356.47</v>
      </c>
      <c r="C1586" s="117">
        <v>445.94000000000005</v>
      </c>
    </row>
    <row r="1587" spans="1:3" ht="18" x14ac:dyDescent="0.2">
      <c r="A1587" s="121" t="s">
        <v>59</v>
      </c>
      <c r="B1587" s="117">
        <v>231850.93</v>
      </c>
      <c r="C1587" s="117">
        <v>2500.0100000000002</v>
      </c>
    </row>
    <row r="1588" spans="1:3" ht="18" x14ac:dyDescent="0.2">
      <c r="A1588" s="121" t="s">
        <v>96</v>
      </c>
      <c r="B1588" s="117">
        <v>139110.93</v>
      </c>
      <c r="C1588" s="117">
        <v>1500.01</v>
      </c>
    </row>
    <row r="1589" spans="1:3" ht="18" x14ac:dyDescent="0.2">
      <c r="A1589" s="122">
        <v>46116</v>
      </c>
      <c r="B1589" s="477">
        <v>1632147.02</v>
      </c>
      <c r="C1589" s="477">
        <v>17798.439999999999</v>
      </c>
    </row>
    <row r="1590" spans="1:3" ht="18" x14ac:dyDescent="0.2">
      <c r="A1590" s="121" t="s">
        <v>55</v>
      </c>
      <c r="B1590" s="117">
        <v>927.4</v>
      </c>
      <c r="C1590" s="117">
        <v>10</v>
      </c>
    </row>
    <row r="1591" spans="1:3" ht="18" x14ac:dyDescent="0.2">
      <c r="A1591" s="121" t="s">
        <v>152</v>
      </c>
      <c r="B1591" s="117">
        <v>57100</v>
      </c>
      <c r="C1591" s="117">
        <v>615.70000000000005</v>
      </c>
    </row>
    <row r="1592" spans="1:3" ht="18" x14ac:dyDescent="0.2">
      <c r="A1592" s="121" t="s">
        <v>58</v>
      </c>
      <c r="B1592" s="117">
        <v>119600</v>
      </c>
      <c r="C1592" s="117">
        <v>1289.6300000000001</v>
      </c>
    </row>
    <row r="1593" spans="1:3" ht="18" x14ac:dyDescent="0.2">
      <c r="A1593" s="121" t="s">
        <v>153</v>
      </c>
      <c r="B1593" s="117">
        <v>23463.22</v>
      </c>
      <c r="C1593" s="117">
        <v>253</v>
      </c>
    </row>
    <row r="1594" spans="1:3" ht="18" x14ac:dyDescent="0.2">
      <c r="A1594" s="121" t="s">
        <v>93</v>
      </c>
      <c r="B1594" s="117">
        <v>12056.2</v>
      </c>
      <c r="C1594" s="117">
        <v>130</v>
      </c>
    </row>
    <row r="1595" spans="1:3" ht="18" x14ac:dyDescent="0.2">
      <c r="A1595" s="121" t="s">
        <v>51</v>
      </c>
      <c r="B1595" s="117">
        <v>1094400</v>
      </c>
      <c r="C1595" s="117">
        <v>12000</v>
      </c>
    </row>
    <row r="1596" spans="1:3" ht="18" x14ac:dyDescent="0.2">
      <c r="A1596" s="121" t="s">
        <v>59</v>
      </c>
      <c r="B1596" s="117">
        <v>324600.2</v>
      </c>
      <c r="C1596" s="117">
        <v>3500.11</v>
      </c>
    </row>
    <row r="1597" spans="1:3" ht="18" x14ac:dyDescent="0.2">
      <c r="A1597" s="122">
        <v>46115</v>
      </c>
      <c r="B1597" s="477">
        <v>2434570.0299999998</v>
      </c>
      <c r="C1597" s="477">
        <v>26519.409999999996</v>
      </c>
    </row>
    <row r="1598" spans="1:3" ht="18" x14ac:dyDescent="0.2">
      <c r="A1598" s="121" t="s">
        <v>135</v>
      </c>
      <c r="B1598" s="117">
        <v>28396.98</v>
      </c>
      <c r="C1598" s="117">
        <v>306.2</v>
      </c>
    </row>
    <row r="1599" spans="1:3" ht="18" x14ac:dyDescent="0.2">
      <c r="A1599" s="121" t="s">
        <v>56</v>
      </c>
      <c r="B1599" s="117">
        <v>18498.84</v>
      </c>
      <c r="C1599" s="117">
        <v>199.47</v>
      </c>
    </row>
    <row r="1600" spans="1:3" ht="18" x14ac:dyDescent="0.2">
      <c r="A1600" s="121" t="s">
        <v>55</v>
      </c>
      <c r="B1600" s="117">
        <v>3550.08</v>
      </c>
      <c r="C1600" s="117">
        <v>38.28</v>
      </c>
    </row>
    <row r="1601" spans="1:3" ht="18" x14ac:dyDescent="0.2">
      <c r="A1601" s="121" t="s">
        <v>58</v>
      </c>
      <c r="B1601" s="117">
        <v>290000</v>
      </c>
      <c r="C1601" s="117">
        <v>3127.02</v>
      </c>
    </row>
    <row r="1602" spans="1:3" ht="18" x14ac:dyDescent="0.2">
      <c r="A1602" s="121" t="s">
        <v>14</v>
      </c>
      <c r="B1602" s="117">
        <v>29100.880000000001</v>
      </c>
      <c r="C1602" s="117">
        <v>313.79000000000002</v>
      </c>
    </row>
    <row r="1603" spans="1:3" ht="18" x14ac:dyDescent="0.2">
      <c r="A1603" s="121" t="s">
        <v>15</v>
      </c>
      <c r="B1603" s="117">
        <v>3000</v>
      </c>
      <c r="C1603" s="117">
        <v>32.35</v>
      </c>
    </row>
    <row r="1604" spans="1:3" ht="18" x14ac:dyDescent="0.2">
      <c r="A1604" s="121" t="s">
        <v>134</v>
      </c>
      <c r="B1604" s="117">
        <v>111288</v>
      </c>
      <c r="C1604" s="117">
        <v>1200</v>
      </c>
    </row>
    <row r="1605" spans="1:3" ht="18" x14ac:dyDescent="0.2">
      <c r="A1605" s="121" t="s">
        <v>136</v>
      </c>
      <c r="B1605" s="117">
        <v>5145.21</v>
      </c>
      <c r="C1605" s="117">
        <v>55.48</v>
      </c>
    </row>
    <row r="1606" spans="1:3" ht="18" x14ac:dyDescent="0.2">
      <c r="A1606" s="121" t="s">
        <v>137</v>
      </c>
      <c r="B1606" s="117">
        <v>6259.95</v>
      </c>
      <c r="C1606" s="117">
        <v>67.5</v>
      </c>
    </row>
    <row r="1607" spans="1:3" ht="18" x14ac:dyDescent="0.2">
      <c r="A1607" s="121" t="s">
        <v>59</v>
      </c>
      <c r="B1607" s="117">
        <v>278236.69</v>
      </c>
      <c r="C1607" s="117">
        <v>3000.18</v>
      </c>
    </row>
    <row r="1608" spans="1:3" ht="18" x14ac:dyDescent="0.2">
      <c r="A1608" s="121" t="s">
        <v>52</v>
      </c>
      <c r="B1608" s="117">
        <v>1644480</v>
      </c>
      <c r="C1608" s="117">
        <v>18000</v>
      </c>
    </row>
    <row r="1609" spans="1:3" ht="18" x14ac:dyDescent="0.2">
      <c r="A1609" s="121" t="s">
        <v>94</v>
      </c>
      <c r="B1609" s="117">
        <v>16613.400000000001</v>
      </c>
      <c r="C1609" s="117">
        <v>179.14</v>
      </c>
    </row>
    <row r="1610" spans="1:3" ht="18" x14ac:dyDescent="0.2">
      <c r="A1610" s="122">
        <v>46114</v>
      </c>
      <c r="B1610" s="477">
        <v>3305190.08</v>
      </c>
      <c r="C1610" s="477">
        <v>36017.15</v>
      </c>
    </row>
    <row r="1611" spans="1:3" ht="18" x14ac:dyDescent="0.2">
      <c r="A1611" s="121" t="s">
        <v>57</v>
      </c>
      <c r="B1611" s="117">
        <v>21000</v>
      </c>
      <c r="C1611" s="117">
        <v>226.44</v>
      </c>
    </row>
    <row r="1612" spans="1:3" ht="18" x14ac:dyDescent="0.2">
      <c r="A1612" s="121" t="s">
        <v>56</v>
      </c>
      <c r="B1612" s="117">
        <v>3920.11</v>
      </c>
      <c r="C1612" s="117">
        <v>42.27</v>
      </c>
    </row>
    <row r="1613" spans="1:3" ht="18" x14ac:dyDescent="0.2">
      <c r="A1613" s="121" t="s">
        <v>92</v>
      </c>
      <c r="B1613" s="117">
        <v>74192</v>
      </c>
      <c r="C1613" s="117">
        <v>800</v>
      </c>
    </row>
    <row r="1614" spans="1:3" ht="18" x14ac:dyDescent="0.2">
      <c r="A1614" s="121" t="s">
        <v>58</v>
      </c>
      <c r="B1614" s="117">
        <v>409400</v>
      </c>
      <c r="C1614" s="117">
        <v>4414.49</v>
      </c>
    </row>
    <row r="1615" spans="1:3" ht="18" x14ac:dyDescent="0.2">
      <c r="A1615" s="121" t="s">
        <v>95</v>
      </c>
      <c r="B1615" s="117">
        <v>45869.2</v>
      </c>
      <c r="C1615" s="117">
        <v>494.6</v>
      </c>
    </row>
    <row r="1616" spans="1:3" ht="18" x14ac:dyDescent="0.2">
      <c r="A1616" s="121" t="s">
        <v>93</v>
      </c>
      <c r="B1616" s="117">
        <v>12056.2</v>
      </c>
      <c r="C1616" s="117">
        <v>130</v>
      </c>
    </row>
    <row r="1617" spans="1:3" ht="18" x14ac:dyDescent="0.2">
      <c r="A1617" s="121" t="s">
        <v>14</v>
      </c>
      <c r="B1617" s="117">
        <v>21000.04</v>
      </c>
      <c r="C1617" s="117">
        <v>226.44</v>
      </c>
    </row>
    <row r="1618" spans="1:3" ht="18" x14ac:dyDescent="0.2">
      <c r="A1618" s="121" t="s">
        <v>15</v>
      </c>
      <c r="B1618" s="117">
        <v>40928.800000000003</v>
      </c>
      <c r="C1618" s="117">
        <v>441.33</v>
      </c>
    </row>
    <row r="1619" spans="1:3" ht="18" x14ac:dyDescent="0.2">
      <c r="A1619" s="121" t="s">
        <v>51</v>
      </c>
      <c r="B1619" s="117">
        <v>1094400</v>
      </c>
      <c r="C1619" s="117">
        <v>12000</v>
      </c>
    </row>
    <row r="1620" spans="1:3" ht="18" x14ac:dyDescent="0.2">
      <c r="A1620" s="121" t="s">
        <v>59</v>
      </c>
      <c r="B1620" s="117">
        <v>278220</v>
      </c>
      <c r="C1620" s="117">
        <v>3000</v>
      </c>
    </row>
    <row r="1621" spans="1:3" ht="18" x14ac:dyDescent="0.2">
      <c r="A1621" s="121" t="s">
        <v>52</v>
      </c>
      <c r="B1621" s="117">
        <v>1096320</v>
      </c>
      <c r="C1621" s="117">
        <v>12000</v>
      </c>
    </row>
    <row r="1622" spans="1:3" ht="18" x14ac:dyDescent="0.2">
      <c r="A1622" s="121" t="s">
        <v>96</v>
      </c>
      <c r="B1622" s="117">
        <v>139110.93</v>
      </c>
      <c r="C1622" s="117">
        <v>1500.01</v>
      </c>
    </row>
    <row r="1623" spans="1:3" ht="18" x14ac:dyDescent="0.2">
      <c r="A1623" s="121" t="s">
        <v>91</v>
      </c>
      <c r="B1623" s="117">
        <v>35386.400000000001</v>
      </c>
      <c r="C1623" s="117">
        <v>381.57</v>
      </c>
    </row>
    <row r="1624" spans="1:3" ht="18" x14ac:dyDescent="0.2">
      <c r="A1624" s="121" t="s">
        <v>94</v>
      </c>
      <c r="B1624" s="117">
        <v>33386.400000000001</v>
      </c>
      <c r="C1624" s="117">
        <v>360</v>
      </c>
    </row>
    <row r="1625" spans="1:3" ht="18" x14ac:dyDescent="0.2">
      <c r="A1625" s="122">
        <v>46113</v>
      </c>
      <c r="B1625" s="477">
        <v>3625376.5900000003</v>
      </c>
      <c r="C1625" s="477">
        <v>39569.300000000003</v>
      </c>
    </row>
    <row r="1626" spans="1:3" ht="18" x14ac:dyDescent="0.2">
      <c r="A1626" s="121" t="s">
        <v>53</v>
      </c>
      <c r="B1626" s="117">
        <v>4915.22</v>
      </c>
      <c r="C1626" s="117">
        <v>53</v>
      </c>
    </row>
    <row r="1627" spans="1:3" ht="18" x14ac:dyDescent="0.2">
      <c r="A1627" s="121" t="s">
        <v>54</v>
      </c>
      <c r="B1627" s="117">
        <v>27451.040000000001</v>
      </c>
      <c r="C1627" s="117">
        <v>296</v>
      </c>
    </row>
    <row r="1628" spans="1:3" ht="18" x14ac:dyDescent="0.2">
      <c r="A1628" s="121" t="s">
        <v>57</v>
      </c>
      <c r="B1628" s="117">
        <v>21000</v>
      </c>
      <c r="C1628" s="117">
        <v>226.44</v>
      </c>
    </row>
    <row r="1629" spans="1:3" ht="18" x14ac:dyDescent="0.2">
      <c r="A1629" s="121" t="s">
        <v>56</v>
      </c>
      <c r="B1629" s="117">
        <v>10693.84</v>
      </c>
      <c r="C1629" s="117">
        <v>115.31</v>
      </c>
    </row>
    <row r="1630" spans="1:3" ht="18" x14ac:dyDescent="0.2">
      <c r="A1630" s="121" t="s">
        <v>55</v>
      </c>
      <c r="B1630" s="117">
        <v>741.92</v>
      </c>
      <c r="C1630" s="117">
        <v>8</v>
      </c>
    </row>
    <row r="1631" spans="1:3" ht="18" x14ac:dyDescent="0.2">
      <c r="A1631" s="121" t="s">
        <v>58</v>
      </c>
      <c r="B1631" s="117">
        <v>244200</v>
      </c>
      <c r="C1631" s="117">
        <v>2633.17</v>
      </c>
    </row>
    <row r="1632" spans="1:3" ht="18" x14ac:dyDescent="0.2">
      <c r="A1632" s="121" t="s">
        <v>14</v>
      </c>
      <c r="B1632" s="117">
        <v>94271.2</v>
      </c>
      <c r="C1632" s="117">
        <v>1016.51</v>
      </c>
    </row>
    <row r="1633" spans="1:3" ht="18" x14ac:dyDescent="0.2">
      <c r="A1633" s="121" t="s">
        <v>15</v>
      </c>
      <c r="B1633" s="117">
        <v>113251.19</v>
      </c>
      <c r="C1633" s="117">
        <v>1221.17</v>
      </c>
    </row>
    <row r="1634" spans="1:3" ht="18" x14ac:dyDescent="0.2">
      <c r="A1634" s="121" t="s">
        <v>51</v>
      </c>
      <c r="B1634" s="117">
        <v>1641600</v>
      </c>
      <c r="C1634" s="117">
        <v>18000</v>
      </c>
    </row>
    <row r="1635" spans="1:3" ht="18" x14ac:dyDescent="0.2">
      <c r="A1635" s="121" t="s">
        <v>59</v>
      </c>
      <c r="B1635" s="117">
        <v>370932.18</v>
      </c>
      <c r="C1635" s="117">
        <v>3999.7</v>
      </c>
    </row>
    <row r="1636" spans="1:3" ht="18" x14ac:dyDescent="0.2">
      <c r="A1636" s="121" t="s">
        <v>52</v>
      </c>
      <c r="B1636" s="117">
        <v>1096320</v>
      </c>
      <c r="C1636" s="117">
        <v>12000</v>
      </c>
    </row>
    <row r="1637" spans="1:3" ht="18" x14ac:dyDescent="0.2">
      <c r="A1637" s="123" t="s">
        <v>9</v>
      </c>
      <c r="B1637" s="117">
        <v>241495762.29000005</v>
      </c>
      <c r="C1637" s="117">
        <v>2461055.0100000035</v>
      </c>
    </row>
  </sheetData>
  <sheetProtection formatCells="0" formatColumns="0" formatRows="0" insertRows="0" deleteRows="0" sort="0" autoFilter="0"/>
  <hyperlinks>
    <hyperlink ref="K1" location="Index!A1" display="→ Index" xr:uid="{1A8BDAD1-2875-5444-91CC-800BB5A90A79}"/>
  </hyperlinks>
  <printOptions horizontalCentered="1"/>
  <pageMargins left="0.7" right="0.7" top="0.75" bottom="0.75" header="0.3" footer="0.5"/>
  <pageSetup paperSize="9" scale="81" orientation="portrait" horizontalDpi="0" verticalDpi="0"/>
  <legacyDrawingHF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44FE4-D1DB-F143-AC23-988C7292B9A0}">
  <sheetPr codeName="Sheet25"/>
  <dimension ref="A1:K1000"/>
  <sheetViews>
    <sheetView zoomScale="170" zoomScaleNormal="170" workbookViewId="0">
      <pane ySplit="1" topLeftCell="A403" activePane="bottomLeft" state="frozen"/>
      <selection activeCell="C1" sqref="C1"/>
      <selection pane="bottomLeft" activeCell="K1" sqref="K1"/>
    </sheetView>
  </sheetViews>
  <sheetFormatPr baseColWidth="10" defaultColWidth="10.83203125" defaultRowHeight="16" x14ac:dyDescent="0.2"/>
  <cols>
    <col min="1" max="2" width="10.83203125" style="1"/>
    <col min="3" max="3" width="14.6640625" customWidth="1"/>
    <col min="7" max="7" width="39.6640625" customWidth="1"/>
    <col min="8" max="8" width="10.83203125" style="2" hidden="1" customWidth="1"/>
  </cols>
  <sheetData>
    <row r="1" spans="1:11" x14ac:dyDescent="0.2">
      <c r="A1" s="124" t="s">
        <v>6</v>
      </c>
      <c r="B1" s="125" t="s">
        <v>0</v>
      </c>
      <c r="C1" s="125" t="s">
        <v>1</v>
      </c>
      <c r="D1" s="126" t="s">
        <v>2</v>
      </c>
      <c r="E1" s="125" t="s">
        <v>3</v>
      </c>
      <c r="F1" s="126" t="s">
        <v>4</v>
      </c>
      <c r="G1" s="127" t="s">
        <v>7</v>
      </c>
      <c r="H1" s="128" t="s">
        <v>16</v>
      </c>
      <c r="I1" s="17"/>
      <c r="J1" s="17"/>
      <c r="K1" s="18" t="s">
        <v>1288</v>
      </c>
    </row>
    <row r="2" spans="1:11" x14ac:dyDescent="0.2">
      <c r="A2" s="92">
        <v>46113</v>
      </c>
      <c r="B2" s="95" t="s">
        <v>60</v>
      </c>
      <c r="C2" s="94" t="s">
        <v>61</v>
      </c>
      <c r="D2" s="95">
        <v>15</v>
      </c>
      <c r="E2" s="95">
        <v>101.15</v>
      </c>
      <c r="F2" s="96">
        <v>1517.25</v>
      </c>
      <c r="G2" s="113" t="s">
        <v>55</v>
      </c>
      <c r="H2" s="114">
        <f>IF(A2&lt;&gt;"", EOMONTH(A2, -1) + 1, "")</f>
        <v>46113</v>
      </c>
      <c r="I2" s="17"/>
      <c r="J2" s="17"/>
      <c r="K2" s="17"/>
    </row>
    <row r="3" spans="1:11" x14ac:dyDescent="0.2">
      <c r="A3" s="92">
        <v>46114</v>
      </c>
      <c r="B3" s="95" t="s">
        <v>97</v>
      </c>
      <c r="C3" s="94" t="s">
        <v>100</v>
      </c>
      <c r="D3" s="95">
        <v>29.8</v>
      </c>
      <c r="E3" s="95">
        <v>101.15</v>
      </c>
      <c r="F3" s="96">
        <v>3014.27</v>
      </c>
      <c r="G3" s="113" t="s">
        <v>55</v>
      </c>
      <c r="H3" s="114">
        <f>IF(A3&lt;&gt;"", EOMONTH(A3, -1) + 1, "")</f>
        <v>46113</v>
      </c>
      <c r="I3" s="17"/>
      <c r="J3" s="17"/>
      <c r="K3" s="17"/>
    </row>
    <row r="4" spans="1:11" x14ac:dyDescent="0.2">
      <c r="A4" s="115">
        <v>46114</v>
      </c>
      <c r="B4" s="95" t="s">
        <v>98</v>
      </c>
      <c r="C4" s="94" t="s">
        <v>101</v>
      </c>
      <c r="D4" s="95">
        <v>27.69</v>
      </c>
      <c r="E4" s="95">
        <v>101.15</v>
      </c>
      <c r="F4" s="96">
        <v>2800.84</v>
      </c>
      <c r="G4" s="113" t="s">
        <v>55</v>
      </c>
      <c r="H4" s="114">
        <f t="shared" ref="H4:H67" si="0">IF(A4&lt;&gt;"", EOMONTH(A4, -1) + 1, "")</f>
        <v>46113</v>
      </c>
      <c r="I4" s="17"/>
      <c r="J4" s="17"/>
      <c r="K4" s="17"/>
    </row>
    <row r="5" spans="1:11" x14ac:dyDescent="0.2">
      <c r="A5" s="115">
        <v>46114</v>
      </c>
      <c r="B5" s="95" t="s">
        <v>99</v>
      </c>
      <c r="C5" s="94" t="s">
        <v>102</v>
      </c>
      <c r="D5" s="95">
        <v>37.36</v>
      </c>
      <c r="E5" s="95">
        <v>101.15</v>
      </c>
      <c r="F5" s="96">
        <v>3778.96</v>
      </c>
      <c r="G5" s="113" t="s">
        <v>103</v>
      </c>
      <c r="H5" s="114">
        <f t="shared" si="0"/>
        <v>46113</v>
      </c>
      <c r="I5" s="17"/>
      <c r="J5" s="17"/>
      <c r="K5" s="17"/>
    </row>
    <row r="6" spans="1:11" x14ac:dyDescent="0.2">
      <c r="A6" s="99">
        <v>46115</v>
      </c>
      <c r="B6" s="95" t="s">
        <v>138</v>
      </c>
      <c r="C6" s="94" t="s">
        <v>141</v>
      </c>
      <c r="D6" s="95">
        <v>200</v>
      </c>
      <c r="E6" s="95">
        <v>101.15</v>
      </c>
      <c r="F6" s="96">
        <v>20230</v>
      </c>
      <c r="G6" s="113" t="s">
        <v>143</v>
      </c>
      <c r="H6" s="114">
        <f t="shared" si="0"/>
        <v>46113</v>
      </c>
      <c r="I6" s="17"/>
      <c r="J6" s="17"/>
      <c r="K6" s="17"/>
    </row>
    <row r="7" spans="1:11" x14ac:dyDescent="0.2">
      <c r="A7" s="115">
        <v>46115</v>
      </c>
      <c r="B7" s="95" t="s">
        <v>139</v>
      </c>
      <c r="C7" s="94" t="s">
        <v>127</v>
      </c>
      <c r="D7" s="95">
        <v>20</v>
      </c>
      <c r="E7" s="95">
        <v>101.15</v>
      </c>
      <c r="F7" s="96">
        <v>2023</v>
      </c>
      <c r="G7" s="113" t="s">
        <v>59</v>
      </c>
      <c r="H7" s="114">
        <f t="shared" si="0"/>
        <v>46113</v>
      </c>
      <c r="I7" s="17"/>
      <c r="J7" s="17"/>
      <c r="K7" s="17"/>
    </row>
    <row r="8" spans="1:11" x14ac:dyDescent="0.2">
      <c r="A8" s="115">
        <v>46115</v>
      </c>
      <c r="B8" s="95" t="s">
        <v>140</v>
      </c>
      <c r="C8" s="94" t="s">
        <v>142</v>
      </c>
      <c r="D8" s="95">
        <v>4.33</v>
      </c>
      <c r="E8" s="95">
        <v>101.15</v>
      </c>
      <c r="F8" s="96">
        <v>437.97</v>
      </c>
      <c r="G8" s="113" t="s">
        <v>55</v>
      </c>
      <c r="H8" s="114">
        <f t="shared" si="0"/>
        <v>46113</v>
      </c>
      <c r="I8" s="17"/>
      <c r="J8" s="17"/>
      <c r="K8" s="17"/>
    </row>
    <row r="9" spans="1:11" x14ac:dyDescent="0.2">
      <c r="A9" s="99">
        <v>46116</v>
      </c>
      <c r="B9" s="95" t="s">
        <v>154</v>
      </c>
      <c r="C9" s="94" t="s">
        <v>156</v>
      </c>
      <c r="D9" s="95">
        <v>2</v>
      </c>
      <c r="E9" s="95">
        <v>101.15</v>
      </c>
      <c r="F9" s="96">
        <v>202.3</v>
      </c>
      <c r="G9" s="113" t="s">
        <v>55</v>
      </c>
      <c r="H9" s="114">
        <f t="shared" si="0"/>
        <v>46113</v>
      </c>
      <c r="I9" s="17"/>
      <c r="J9" s="17"/>
      <c r="K9" s="17"/>
    </row>
    <row r="10" spans="1:11" x14ac:dyDescent="0.2">
      <c r="A10" s="115">
        <v>46116</v>
      </c>
      <c r="B10" s="95" t="s">
        <v>155</v>
      </c>
      <c r="C10" s="94" t="s">
        <v>157</v>
      </c>
      <c r="D10" s="95">
        <v>3</v>
      </c>
      <c r="E10" s="95">
        <v>101.15</v>
      </c>
      <c r="F10" s="96">
        <v>303.45</v>
      </c>
      <c r="G10" s="113" t="s">
        <v>56</v>
      </c>
      <c r="H10" s="114">
        <f t="shared" si="0"/>
        <v>46113</v>
      </c>
      <c r="I10" s="17"/>
      <c r="J10" s="17"/>
      <c r="K10" s="17"/>
    </row>
    <row r="11" spans="1:11" x14ac:dyDescent="0.2">
      <c r="A11" s="99">
        <v>46117</v>
      </c>
      <c r="B11" s="95" t="s">
        <v>167</v>
      </c>
      <c r="C11" s="94" t="s">
        <v>168</v>
      </c>
      <c r="D11" s="95">
        <v>20</v>
      </c>
      <c r="E11" s="95">
        <v>101.15</v>
      </c>
      <c r="F11" s="96">
        <v>2023</v>
      </c>
      <c r="G11" s="113" t="s">
        <v>59</v>
      </c>
      <c r="H11" s="114">
        <f t="shared" si="0"/>
        <v>46113</v>
      </c>
      <c r="I11" s="17"/>
      <c r="J11" s="17"/>
      <c r="K11" s="17"/>
    </row>
    <row r="12" spans="1:11" x14ac:dyDescent="0.2">
      <c r="A12" s="99">
        <v>46119</v>
      </c>
      <c r="B12" s="95" t="s">
        <v>200</v>
      </c>
      <c r="C12" s="94" t="s">
        <v>201</v>
      </c>
      <c r="D12" s="95">
        <v>20</v>
      </c>
      <c r="E12" s="95">
        <v>101.15</v>
      </c>
      <c r="F12" s="96">
        <v>2023</v>
      </c>
      <c r="G12" s="113" t="s">
        <v>202</v>
      </c>
      <c r="H12" s="114">
        <f t="shared" si="0"/>
        <v>46113</v>
      </c>
      <c r="I12" s="17"/>
      <c r="J12" s="17"/>
      <c r="K12" s="17"/>
    </row>
    <row r="13" spans="1:11" x14ac:dyDescent="0.2">
      <c r="A13" s="99">
        <v>46120</v>
      </c>
      <c r="B13" s="95" t="s">
        <v>218</v>
      </c>
      <c r="C13" s="94" t="s">
        <v>224</v>
      </c>
      <c r="D13" s="95">
        <v>3.96</v>
      </c>
      <c r="E13" s="95">
        <v>101.15</v>
      </c>
      <c r="F13" s="96">
        <v>400.55</v>
      </c>
      <c r="G13" s="113" t="s">
        <v>202</v>
      </c>
      <c r="H13" s="114">
        <f t="shared" si="0"/>
        <v>46113</v>
      </c>
      <c r="I13" s="17"/>
      <c r="J13" s="17"/>
      <c r="K13" s="17"/>
    </row>
    <row r="14" spans="1:11" x14ac:dyDescent="0.2">
      <c r="A14" s="115">
        <v>46120</v>
      </c>
      <c r="B14" s="95" t="s">
        <v>219</v>
      </c>
      <c r="C14" s="94" t="s">
        <v>225</v>
      </c>
      <c r="D14" s="95">
        <v>34.79</v>
      </c>
      <c r="E14" s="95">
        <v>101.15</v>
      </c>
      <c r="F14" s="96">
        <v>3519</v>
      </c>
      <c r="G14" s="113" t="s">
        <v>103</v>
      </c>
      <c r="H14" s="114">
        <f t="shared" si="0"/>
        <v>46113</v>
      </c>
      <c r="I14" s="17"/>
      <c r="J14" s="17"/>
      <c r="K14" s="17"/>
    </row>
    <row r="15" spans="1:11" x14ac:dyDescent="0.2">
      <c r="A15" s="115">
        <v>46120</v>
      </c>
      <c r="B15" s="95" t="s">
        <v>220</v>
      </c>
      <c r="C15" s="94" t="s">
        <v>100</v>
      </c>
      <c r="D15" s="95">
        <v>14.14</v>
      </c>
      <c r="E15" s="95">
        <v>101.15</v>
      </c>
      <c r="F15" s="96">
        <v>1430.26</v>
      </c>
      <c r="G15" s="113" t="s">
        <v>55</v>
      </c>
      <c r="H15" s="114">
        <f t="shared" si="0"/>
        <v>46113</v>
      </c>
      <c r="I15" s="17"/>
      <c r="J15" s="17"/>
      <c r="K15" s="17"/>
    </row>
    <row r="16" spans="1:11" x14ac:dyDescent="0.2">
      <c r="A16" s="115">
        <v>46120</v>
      </c>
      <c r="B16" s="95" t="s">
        <v>221</v>
      </c>
      <c r="C16" s="94" t="s">
        <v>61</v>
      </c>
      <c r="D16" s="95">
        <v>29.02</v>
      </c>
      <c r="E16" s="95">
        <v>101.15</v>
      </c>
      <c r="F16" s="96">
        <v>2935.37</v>
      </c>
      <c r="G16" s="113" t="s">
        <v>55</v>
      </c>
      <c r="H16" s="114">
        <f t="shared" si="0"/>
        <v>46113</v>
      </c>
      <c r="I16" s="17"/>
      <c r="J16" s="17"/>
      <c r="K16" s="17"/>
    </row>
    <row r="17" spans="1:11" x14ac:dyDescent="0.2">
      <c r="A17" s="115">
        <v>46120</v>
      </c>
      <c r="B17" s="95" t="s">
        <v>222</v>
      </c>
      <c r="C17" s="94" t="s">
        <v>127</v>
      </c>
      <c r="D17" s="95">
        <v>20</v>
      </c>
      <c r="E17" s="95">
        <v>101.15</v>
      </c>
      <c r="F17" s="96">
        <v>2023</v>
      </c>
      <c r="G17" s="113" t="s">
        <v>59</v>
      </c>
      <c r="H17" s="114">
        <f t="shared" si="0"/>
        <v>46113</v>
      </c>
      <c r="I17" s="17"/>
      <c r="J17" s="17"/>
      <c r="K17" s="17"/>
    </row>
    <row r="18" spans="1:11" x14ac:dyDescent="0.2">
      <c r="A18" s="115">
        <v>46120</v>
      </c>
      <c r="B18" s="95" t="s">
        <v>223</v>
      </c>
      <c r="C18" s="94" t="s">
        <v>45</v>
      </c>
      <c r="D18" s="95">
        <v>5</v>
      </c>
      <c r="E18" s="95">
        <v>101.15</v>
      </c>
      <c r="F18" s="96">
        <v>505.75</v>
      </c>
      <c r="G18" s="113" t="s">
        <v>56</v>
      </c>
      <c r="H18" s="114">
        <f t="shared" si="0"/>
        <v>46113</v>
      </c>
      <c r="I18" s="17"/>
      <c r="J18" s="17"/>
      <c r="K18" s="17"/>
    </row>
    <row r="19" spans="1:11" x14ac:dyDescent="0.2">
      <c r="A19" s="115">
        <v>46120</v>
      </c>
      <c r="B19" s="95" t="s">
        <v>226</v>
      </c>
      <c r="C19" s="94" t="s">
        <v>227</v>
      </c>
      <c r="D19" s="95">
        <v>30.01</v>
      </c>
      <c r="E19" s="95">
        <v>101.15</v>
      </c>
      <c r="F19" s="96">
        <v>3035.51</v>
      </c>
      <c r="G19" s="113" t="s">
        <v>137</v>
      </c>
      <c r="H19" s="114">
        <f t="shared" si="0"/>
        <v>46113</v>
      </c>
      <c r="I19" s="17"/>
      <c r="J19" s="17"/>
      <c r="K19" s="17"/>
    </row>
    <row r="20" spans="1:11" x14ac:dyDescent="0.2">
      <c r="A20" s="99">
        <v>46121</v>
      </c>
      <c r="B20" s="95" t="s">
        <v>258</v>
      </c>
      <c r="C20" s="94" t="s">
        <v>101</v>
      </c>
      <c r="D20" s="95">
        <v>10</v>
      </c>
      <c r="E20" s="95">
        <v>101.15</v>
      </c>
      <c r="F20" s="96">
        <v>1011.5</v>
      </c>
      <c r="G20" s="113" t="s">
        <v>55</v>
      </c>
      <c r="H20" s="114">
        <f t="shared" si="0"/>
        <v>46113</v>
      </c>
      <c r="I20" s="17"/>
      <c r="J20" s="17"/>
      <c r="K20" s="17"/>
    </row>
    <row r="21" spans="1:11" x14ac:dyDescent="0.2">
      <c r="A21" s="99">
        <v>46122</v>
      </c>
      <c r="B21" s="95" t="s">
        <v>279</v>
      </c>
      <c r="C21" s="94" t="s">
        <v>101</v>
      </c>
      <c r="D21" s="95">
        <v>15</v>
      </c>
      <c r="E21" s="95">
        <v>101.15</v>
      </c>
      <c r="F21" s="96">
        <v>1517.25</v>
      </c>
      <c r="G21" s="113" t="s">
        <v>55</v>
      </c>
      <c r="H21" s="114">
        <f t="shared" si="0"/>
        <v>46113</v>
      </c>
      <c r="I21" s="17"/>
      <c r="J21" s="17"/>
      <c r="K21" s="17"/>
    </row>
    <row r="22" spans="1:11" x14ac:dyDescent="0.2">
      <c r="A22" s="115">
        <v>46122</v>
      </c>
      <c r="B22" s="95" t="s">
        <v>280</v>
      </c>
      <c r="C22" s="94" t="s">
        <v>127</v>
      </c>
      <c r="D22" s="95">
        <v>20</v>
      </c>
      <c r="E22" s="95">
        <v>101.15</v>
      </c>
      <c r="F22" s="96">
        <v>2023</v>
      </c>
      <c r="G22" s="113" t="s">
        <v>59</v>
      </c>
      <c r="H22" s="114">
        <f t="shared" si="0"/>
        <v>46113</v>
      </c>
      <c r="I22" s="17"/>
      <c r="J22" s="17"/>
      <c r="K22" s="17"/>
    </row>
    <row r="23" spans="1:11" x14ac:dyDescent="0.2">
      <c r="A23" s="115">
        <v>46122</v>
      </c>
      <c r="B23" s="95" t="s">
        <v>281</v>
      </c>
      <c r="C23" s="94" t="s">
        <v>102</v>
      </c>
      <c r="D23" s="95">
        <v>34.9</v>
      </c>
      <c r="E23" s="95">
        <v>101.15</v>
      </c>
      <c r="F23" s="96">
        <v>3530.13</v>
      </c>
      <c r="G23" s="113" t="s">
        <v>103</v>
      </c>
      <c r="H23" s="114">
        <f t="shared" si="0"/>
        <v>46113</v>
      </c>
      <c r="I23" s="17"/>
      <c r="J23" s="17"/>
      <c r="K23" s="17"/>
    </row>
    <row r="24" spans="1:11" x14ac:dyDescent="0.2">
      <c r="A24" s="99">
        <v>46123</v>
      </c>
      <c r="B24" s="95" t="s">
        <v>303</v>
      </c>
      <c r="C24" s="94" t="s">
        <v>305</v>
      </c>
      <c r="D24" s="95">
        <v>35.4</v>
      </c>
      <c r="E24" s="95">
        <v>101.15</v>
      </c>
      <c r="F24" s="96">
        <v>3580.71</v>
      </c>
      <c r="G24" s="113" t="s">
        <v>59</v>
      </c>
      <c r="H24" s="114">
        <f t="shared" si="0"/>
        <v>46113</v>
      </c>
      <c r="I24" s="17"/>
      <c r="J24" s="17"/>
      <c r="K24" s="17"/>
    </row>
    <row r="25" spans="1:11" x14ac:dyDescent="0.2">
      <c r="A25" s="115">
        <v>46123</v>
      </c>
      <c r="B25" s="95" t="s">
        <v>304</v>
      </c>
      <c r="C25" s="94" t="s">
        <v>306</v>
      </c>
      <c r="D25" s="95">
        <v>1.98</v>
      </c>
      <c r="E25" s="95">
        <v>101.15</v>
      </c>
      <c r="F25" s="96">
        <v>200</v>
      </c>
      <c r="G25" s="113" t="s">
        <v>152</v>
      </c>
      <c r="H25" s="114">
        <f t="shared" si="0"/>
        <v>46113</v>
      </c>
      <c r="I25" s="17"/>
      <c r="J25" s="17"/>
      <c r="K25" s="17"/>
    </row>
    <row r="26" spans="1:11" x14ac:dyDescent="0.2">
      <c r="A26" s="99">
        <v>46124</v>
      </c>
      <c r="B26" s="95" t="s">
        <v>436</v>
      </c>
      <c r="C26" s="94" t="s">
        <v>127</v>
      </c>
      <c r="D26" s="95">
        <v>20</v>
      </c>
      <c r="E26" s="95">
        <v>101.15</v>
      </c>
      <c r="F26" s="96">
        <v>2023</v>
      </c>
      <c r="G26" s="113" t="s">
        <v>59</v>
      </c>
      <c r="H26" s="114">
        <f t="shared" si="0"/>
        <v>46113</v>
      </c>
      <c r="I26" s="17"/>
      <c r="J26" s="17"/>
      <c r="K26" s="17"/>
    </row>
    <row r="27" spans="1:11" x14ac:dyDescent="0.2">
      <c r="A27" s="115">
        <v>46124</v>
      </c>
      <c r="B27" s="95" t="s">
        <v>437</v>
      </c>
      <c r="C27" s="94" t="s">
        <v>100</v>
      </c>
      <c r="D27" s="95">
        <v>15</v>
      </c>
      <c r="E27" s="95">
        <v>101.15</v>
      </c>
      <c r="F27" s="96">
        <v>1517.25</v>
      </c>
      <c r="G27" s="113" t="s">
        <v>55</v>
      </c>
      <c r="H27" s="114">
        <f t="shared" si="0"/>
        <v>46113</v>
      </c>
      <c r="I27" s="17"/>
      <c r="J27" s="17"/>
      <c r="K27" s="17"/>
    </row>
    <row r="28" spans="1:11" x14ac:dyDescent="0.2">
      <c r="A28" s="115">
        <v>46124</v>
      </c>
      <c r="B28" s="95" t="s">
        <v>438</v>
      </c>
      <c r="C28" s="94" t="s">
        <v>201</v>
      </c>
      <c r="D28" s="95">
        <v>20</v>
      </c>
      <c r="E28" s="95">
        <v>101.15</v>
      </c>
      <c r="F28" s="96">
        <v>2023</v>
      </c>
      <c r="G28" s="113" t="s">
        <v>202</v>
      </c>
      <c r="H28" s="114">
        <f t="shared" si="0"/>
        <v>46113</v>
      </c>
      <c r="I28" s="17"/>
      <c r="J28" s="17"/>
      <c r="K28" s="17"/>
    </row>
    <row r="29" spans="1:11" x14ac:dyDescent="0.2">
      <c r="A29" s="99">
        <v>46125</v>
      </c>
      <c r="B29" s="95" t="s">
        <v>446</v>
      </c>
      <c r="C29" s="94" t="s">
        <v>306</v>
      </c>
      <c r="D29" s="95">
        <v>4.9400000000000004</v>
      </c>
      <c r="E29" s="95">
        <v>101.15</v>
      </c>
      <c r="F29" s="96">
        <v>500</v>
      </c>
      <c r="G29" s="113" t="s">
        <v>152</v>
      </c>
      <c r="H29" s="114">
        <f t="shared" si="0"/>
        <v>46113</v>
      </c>
      <c r="I29" s="17"/>
      <c r="J29" s="17"/>
      <c r="K29" s="17"/>
    </row>
    <row r="30" spans="1:11" x14ac:dyDescent="0.2">
      <c r="A30" s="115">
        <v>46125</v>
      </c>
      <c r="B30" s="95" t="s">
        <v>447</v>
      </c>
      <c r="C30" s="94" t="s">
        <v>449</v>
      </c>
      <c r="D30" s="95">
        <v>32</v>
      </c>
      <c r="E30" s="95">
        <v>101.15</v>
      </c>
      <c r="F30" s="96">
        <v>3236.8</v>
      </c>
      <c r="G30" s="113" t="s">
        <v>53</v>
      </c>
      <c r="H30" s="114">
        <f t="shared" si="0"/>
        <v>46113</v>
      </c>
      <c r="I30" s="17"/>
      <c r="J30" s="17"/>
      <c r="K30" s="17"/>
    </row>
    <row r="31" spans="1:11" x14ac:dyDescent="0.2">
      <c r="A31" s="115">
        <v>46125</v>
      </c>
      <c r="B31" s="95" t="s">
        <v>448</v>
      </c>
      <c r="C31" s="94" t="s">
        <v>61</v>
      </c>
      <c r="D31" s="95">
        <v>10</v>
      </c>
      <c r="E31" s="95">
        <v>101.15</v>
      </c>
      <c r="F31" s="96">
        <v>1011.5</v>
      </c>
      <c r="G31" s="113" t="s">
        <v>55</v>
      </c>
      <c r="H31" s="114">
        <f t="shared" si="0"/>
        <v>46113</v>
      </c>
      <c r="I31" s="17"/>
      <c r="J31" s="17"/>
      <c r="K31" s="17"/>
    </row>
    <row r="32" spans="1:11" x14ac:dyDescent="0.2">
      <c r="A32" s="99">
        <v>46126</v>
      </c>
      <c r="B32" s="95" t="s">
        <v>450</v>
      </c>
      <c r="C32" s="94" t="s">
        <v>84</v>
      </c>
      <c r="D32" s="95">
        <v>26.2</v>
      </c>
      <c r="E32" s="95">
        <v>101.15</v>
      </c>
      <c r="F32" s="96">
        <v>2650.13</v>
      </c>
      <c r="G32" s="113" t="s">
        <v>93</v>
      </c>
      <c r="H32" s="114">
        <f t="shared" si="0"/>
        <v>46113</v>
      </c>
      <c r="I32" s="17"/>
      <c r="J32" s="17"/>
      <c r="K32" s="17"/>
    </row>
    <row r="33" spans="1:11" x14ac:dyDescent="0.2">
      <c r="A33" s="115">
        <v>46126</v>
      </c>
      <c r="B33" s="95" t="s">
        <v>451</v>
      </c>
      <c r="C33" s="94" t="s">
        <v>127</v>
      </c>
      <c r="D33" s="95">
        <v>20</v>
      </c>
      <c r="E33" s="95">
        <v>101.15</v>
      </c>
      <c r="F33" s="96">
        <v>2023</v>
      </c>
      <c r="G33" s="113" t="s">
        <v>59</v>
      </c>
      <c r="H33" s="114">
        <f t="shared" si="0"/>
        <v>46113</v>
      </c>
      <c r="I33" s="17"/>
      <c r="J33" s="17"/>
      <c r="K33" s="17"/>
    </row>
    <row r="34" spans="1:11" x14ac:dyDescent="0.2">
      <c r="A34" s="115">
        <v>46126</v>
      </c>
      <c r="B34" s="95" t="s">
        <v>452</v>
      </c>
      <c r="C34" s="94" t="s">
        <v>156</v>
      </c>
      <c r="D34" s="95">
        <v>3</v>
      </c>
      <c r="E34" s="95">
        <v>101.15</v>
      </c>
      <c r="F34" s="96">
        <v>303.45</v>
      </c>
      <c r="G34" s="113" t="s">
        <v>55</v>
      </c>
      <c r="H34" s="114">
        <f t="shared" si="0"/>
        <v>46113</v>
      </c>
      <c r="I34" s="17"/>
      <c r="J34" s="17"/>
      <c r="K34" s="17"/>
    </row>
    <row r="35" spans="1:11" x14ac:dyDescent="0.2">
      <c r="A35" s="99">
        <v>46127</v>
      </c>
      <c r="B35" s="95" t="s">
        <v>453</v>
      </c>
      <c r="C35" s="94" t="s">
        <v>142</v>
      </c>
      <c r="D35" s="95">
        <v>3.86</v>
      </c>
      <c r="E35" s="95">
        <v>101.15</v>
      </c>
      <c r="F35" s="96">
        <v>390.43</v>
      </c>
      <c r="G35" s="113" t="s">
        <v>55</v>
      </c>
      <c r="H35" s="114">
        <f t="shared" si="0"/>
        <v>46113</v>
      </c>
      <c r="I35" s="17"/>
      <c r="J35" s="17"/>
      <c r="K35" s="17"/>
    </row>
    <row r="36" spans="1:11" x14ac:dyDescent="0.2">
      <c r="A36" s="115">
        <v>46127</v>
      </c>
      <c r="B36" s="95" t="s">
        <v>454</v>
      </c>
      <c r="C36" s="94" t="s">
        <v>456</v>
      </c>
      <c r="D36" s="95">
        <v>50</v>
      </c>
      <c r="E36" s="95">
        <v>101.15</v>
      </c>
      <c r="F36" s="96">
        <v>5057.5</v>
      </c>
      <c r="G36" s="113" t="s">
        <v>53</v>
      </c>
      <c r="H36" s="114">
        <f t="shared" si="0"/>
        <v>46113</v>
      </c>
      <c r="I36" s="17"/>
      <c r="J36" s="17"/>
      <c r="K36" s="17"/>
    </row>
    <row r="37" spans="1:11" x14ac:dyDescent="0.2">
      <c r="A37" s="115">
        <v>46127</v>
      </c>
      <c r="B37" s="95" t="s">
        <v>455</v>
      </c>
      <c r="C37" s="94" t="s">
        <v>102</v>
      </c>
      <c r="D37" s="95">
        <v>30.75</v>
      </c>
      <c r="E37" s="95">
        <v>101.15</v>
      </c>
      <c r="F37" s="96">
        <v>3110.36</v>
      </c>
      <c r="G37" s="113" t="s">
        <v>103</v>
      </c>
      <c r="H37" s="114">
        <f t="shared" si="0"/>
        <v>46113</v>
      </c>
      <c r="I37" s="17"/>
      <c r="J37" s="17"/>
      <c r="K37" s="17"/>
    </row>
    <row r="38" spans="1:11" x14ac:dyDescent="0.2">
      <c r="A38" s="99">
        <v>46128</v>
      </c>
      <c r="B38" s="95" t="s">
        <v>464</v>
      </c>
      <c r="C38" s="94" t="s">
        <v>224</v>
      </c>
      <c r="D38" s="95">
        <v>4.71</v>
      </c>
      <c r="E38" s="95">
        <v>101.15</v>
      </c>
      <c r="F38" s="96">
        <v>476.41</v>
      </c>
      <c r="G38" s="113" t="s">
        <v>202</v>
      </c>
      <c r="H38" s="114">
        <f t="shared" si="0"/>
        <v>46113</v>
      </c>
      <c r="I38" s="17"/>
      <c r="J38" s="17"/>
      <c r="K38" s="17"/>
    </row>
    <row r="39" spans="1:11" x14ac:dyDescent="0.2">
      <c r="A39" s="115">
        <v>46128</v>
      </c>
      <c r="B39" s="95" t="s">
        <v>465</v>
      </c>
      <c r="C39" s="94" t="s">
        <v>467</v>
      </c>
      <c r="D39" s="95">
        <v>20</v>
      </c>
      <c r="E39" s="95">
        <v>101.15</v>
      </c>
      <c r="F39" s="96">
        <v>2023</v>
      </c>
      <c r="G39" s="113" t="s">
        <v>202</v>
      </c>
      <c r="H39" s="114">
        <f t="shared" si="0"/>
        <v>46113</v>
      </c>
      <c r="I39" s="17"/>
      <c r="J39" s="17"/>
      <c r="K39" s="17"/>
    </row>
    <row r="40" spans="1:11" x14ac:dyDescent="0.2">
      <c r="A40" s="115">
        <v>46128</v>
      </c>
      <c r="B40" s="95" t="s">
        <v>466</v>
      </c>
      <c r="C40" s="94" t="s">
        <v>127</v>
      </c>
      <c r="D40" s="95">
        <v>20</v>
      </c>
      <c r="E40" s="95">
        <v>101.15</v>
      </c>
      <c r="F40" s="96">
        <v>2023</v>
      </c>
      <c r="G40" s="113" t="s">
        <v>59</v>
      </c>
      <c r="H40" s="114">
        <f t="shared" si="0"/>
        <v>46113</v>
      </c>
      <c r="I40" s="17"/>
      <c r="J40" s="17"/>
      <c r="K40" s="17"/>
    </row>
    <row r="41" spans="1:11" x14ac:dyDescent="0.2">
      <c r="A41" s="99">
        <v>46129</v>
      </c>
      <c r="B41" s="95" t="s">
        <v>485</v>
      </c>
      <c r="C41" s="94" t="s">
        <v>467</v>
      </c>
      <c r="D41" s="95">
        <v>28.87</v>
      </c>
      <c r="E41" s="95">
        <v>101.15</v>
      </c>
      <c r="F41" s="96">
        <v>2920.2</v>
      </c>
      <c r="G41" s="113" t="s">
        <v>202</v>
      </c>
      <c r="H41" s="114">
        <f t="shared" si="0"/>
        <v>46113</v>
      </c>
      <c r="I41" s="17"/>
      <c r="J41" s="17"/>
      <c r="K41" s="17"/>
    </row>
    <row r="42" spans="1:11" x14ac:dyDescent="0.2">
      <c r="A42" s="99">
        <v>46130</v>
      </c>
      <c r="B42" s="95" t="s">
        <v>502</v>
      </c>
      <c r="C42" s="94" t="s">
        <v>449</v>
      </c>
      <c r="D42" s="95">
        <v>41</v>
      </c>
      <c r="E42" s="95">
        <v>101.15</v>
      </c>
      <c r="F42" s="96">
        <v>4147.1499999999996</v>
      </c>
      <c r="G42" s="113" t="s">
        <v>53</v>
      </c>
      <c r="H42" s="114">
        <f t="shared" si="0"/>
        <v>46113</v>
      </c>
      <c r="I42" s="17"/>
      <c r="J42" s="17"/>
      <c r="K42" s="17"/>
    </row>
    <row r="43" spans="1:11" x14ac:dyDescent="0.2">
      <c r="A43" s="99">
        <v>46131</v>
      </c>
      <c r="B43" s="95" t="s">
        <v>528</v>
      </c>
      <c r="C43" s="94" t="s">
        <v>181</v>
      </c>
      <c r="D43" s="95">
        <v>50</v>
      </c>
      <c r="E43" s="95">
        <v>101.15</v>
      </c>
      <c r="F43" s="96">
        <v>5057.5</v>
      </c>
      <c r="G43" s="129" t="s">
        <v>184</v>
      </c>
      <c r="H43" s="114">
        <f t="shared" si="0"/>
        <v>46113</v>
      </c>
      <c r="I43" s="17"/>
      <c r="J43" s="17"/>
      <c r="K43" s="17"/>
    </row>
    <row r="44" spans="1:11" x14ac:dyDescent="0.2">
      <c r="A44" s="115">
        <v>46131</v>
      </c>
      <c r="B44" s="95" t="s">
        <v>529</v>
      </c>
      <c r="C44" s="94" t="s">
        <v>127</v>
      </c>
      <c r="D44" s="95">
        <v>20</v>
      </c>
      <c r="E44" s="95">
        <v>101.15</v>
      </c>
      <c r="F44" s="96">
        <v>2023</v>
      </c>
      <c r="G44" s="129" t="s">
        <v>59</v>
      </c>
      <c r="H44" s="114">
        <f t="shared" si="0"/>
        <v>46113</v>
      </c>
      <c r="I44" s="17"/>
      <c r="J44" s="17"/>
      <c r="K44" s="17"/>
    </row>
    <row r="45" spans="1:11" x14ac:dyDescent="0.2">
      <c r="A45" s="99">
        <v>46132</v>
      </c>
      <c r="B45" s="95" t="s">
        <v>538</v>
      </c>
      <c r="C45" s="94" t="s">
        <v>102</v>
      </c>
      <c r="D45" s="95">
        <v>37.020000000000003</v>
      </c>
      <c r="E45" s="95">
        <v>101.15</v>
      </c>
      <c r="F45" s="96">
        <v>3744.57</v>
      </c>
      <c r="G45" s="129" t="s">
        <v>103</v>
      </c>
      <c r="H45" s="114">
        <f t="shared" si="0"/>
        <v>46113</v>
      </c>
      <c r="I45" s="17"/>
      <c r="J45" s="17"/>
      <c r="K45" s="17"/>
    </row>
    <row r="46" spans="1:11" x14ac:dyDescent="0.2">
      <c r="A46" s="115">
        <v>46132</v>
      </c>
      <c r="B46" s="95" t="s">
        <v>539</v>
      </c>
      <c r="C46" s="94" t="s">
        <v>225</v>
      </c>
      <c r="D46" s="95">
        <v>35.83</v>
      </c>
      <c r="E46" s="95">
        <v>101.15</v>
      </c>
      <c r="F46" s="96">
        <v>3624.2</v>
      </c>
      <c r="G46" s="129" t="s">
        <v>103</v>
      </c>
      <c r="H46" s="114">
        <f t="shared" si="0"/>
        <v>46113</v>
      </c>
      <c r="I46" s="17"/>
      <c r="J46" s="17"/>
      <c r="K46" s="17"/>
    </row>
    <row r="47" spans="1:11" x14ac:dyDescent="0.2">
      <c r="A47" s="99">
        <v>46133</v>
      </c>
      <c r="B47" s="95" t="s">
        <v>553</v>
      </c>
      <c r="C47" s="94" t="s">
        <v>305</v>
      </c>
      <c r="D47" s="95">
        <v>36.409999999999997</v>
      </c>
      <c r="E47" s="95">
        <v>101.15</v>
      </c>
      <c r="F47" s="96">
        <v>3682.87</v>
      </c>
      <c r="G47" s="113" t="s">
        <v>59</v>
      </c>
      <c r="H47" s="114">
        <f t="shared" si="0"/>
        <v>46113</v>
      </c>
      <c r="I47" s="17"/>
      <c r="J47" s="17"/>
      <c r="K47" s="17"/>
    </row>
    <row r="48" spans="1:11" x14ac:dyDescent="0.2">
      <c r="A48" s="115">
        <v>46133</v>
      </c>
      <c r="B48" s="95" t="s">
        <v>554</v>
      </c>
      <c r="C48" s="94" t="s">
        <v>467</v>
      </c>
      <c r="D48" s="95">
        <v>29.66</v>
      </c>
      <c r="E48" s="95">
        <v>101.15</v>
      </c>
      <c r="F48" s="96">
        <v>3000.1</v>
      </c>
      <c r="G48" s="113" t="s">
        <v>202</v>
      </c>
      <c r="H48" s="114">
        <f t="shared" si="0"/>
        <v>46113</v>
      </c>
      <c r="I48" s="17"/>
      <c r="J48" s="17"/>
      <c r="K48" s="17"/>
    </row>
    <row r="49" spans="1:11" x14ac:dyDescent="0.2">
      <c r="A49" s="99">
        <v>46134</v>
      </c>
      <c r="B49" s="95" t="s">
        <v>564</v>
      </c>
      <c r="C49" s="94" t="s">
        <v>566</v>
      </c>
      <c r="D49" s="95">
        <v>20</v>
      </c>
      <c r="E49" s="95">
        <v>101.15</v>
      </c>
      <c r="F49" s="96">
        <v>2023</v>
      </c>
      <c r="G49" s="113" t="s">
        <v>59</v>
      </c>
      <c r="H49" s="114">
        <f t="shared" si="0"/>
        <v>46113</v>
      </c>
      <c r="I49" s="17"/>
      <c r="J49" s="17"/>
      <c r="K49" s="17"/>
    </row>
    <row r="50" spans="1:11" x14ac:dyDescent="0.2">
      <c r="A50" s="115">
        <v>46134</v>
      </c>
      <c r="B50" s="95" t="s">
        <v>565</v>
      </c>
      <c r="C50" s="94" t="s">
        <v>84</v>
      </c>
      <c r="D50" s="95">
        <v>21.22</v>
      </c>
      <c r="E50" s="95">
        <v>101.15</v>
      </c>
      <c r="F50" s="96">
        <v>2146.4</v>
      </c>
      <c r="G50" s="113" t="s">
        <v>93</v>
      </c>
      <c r="H50" s="114">
        <f t="shared" si="0"/>
        <v>46113</v>
      </c>
      <c r="I50" s="17"/>
      <c r="J50" s="17"/>
      <c r="K50" s="17"/>
    </row>
    <row r="51" spans="1:11" x14ac:dyDescent="0.2">
      <c r="A51" s="99">
        <v>46135</v>
      </c>
      <c r="B51" s="95" t="s">
        <v>585</v>
      </c>
      <c r="C51" s="94" t="s">
        <v>306</v>
      </c>
      <c r="D51" s="95">
        <v>2.97</v>
      </c>
      <c r="E51" s="95">
        <v>101.15</v>
      </c>
      <c r="F51" s="96">
        <v>300</v>
      </c>
      <c r="G51" s="113" t="s">
        <v>152</v>
      </c>
      <c r="H51" s="114">
        <f t="shared" si="0"/>
        <v>46113</v>
      </c>
      <c r="I51" s="17"/>
      <c r="J51" s="17"/>
      <c r="K51" s="17"/>
    </row>
    <row r="52" spans="1:11" x14ac:dyDescent="0.2">
      <c r="A52" s="115">
        <v>46135</v>
      </c>
      <c r="B52" s="95" t="s">
        <v>586</v>
      </c>
      <c r="C52" s="94" t="s">
        <v>44</v>
      </c>
      <c r="D52" s="95">
        <v>1</v>
      </c>
      <c r="E52" s="95">
        <v>101.15</v>
      </c>
      <c r="F52" s="96">
        <v>101.15</v>
      </c>
      <c r="G52" s="113" t="s">
        <v>56</v>
      </c>
      <c r="H52" s="114">
        <f t="shared" si="0"/>
        <v>46113</v>
      </c>
      <c r="I52" s="17"/>
      <c r="J52" s="17"/>
      <c r="K52" s="17"/>
    </row>
    <row r="53" spans="1:11" x14ac:dyDescent="0.2">
      <c r="A53" s="99">
        <v>46136</v>
      </c>
      <c r="B53" s="95" t="s">
        <v>598</v>
      </c>
      <c r="C53" s="94" t="s">
        <v>601</v>
      </c>
      <c r="D53" s="95">
        <v>20</v>
      </c>
      <c r="E53" s="95">
        <v>101.15</v>
      </c>
      <c r="F53" s="96">
        <v>2023</v>
      </c>
      <c r="G53" s="113" t="s">
        <v>202</v>
      </c>
      <c r="H53" s="114">
        <f t="shared" si="0"/>
        <v>46113</v>
      </c>
      <c r="I53" s="17"/>
      <c r="J53" s="17"/>
      <c r="K53" s="17"/>
    </row>
    <row r="54" spans="1:11" x14ac:dyDescent="0.2">
      <c r="A54" s="115">
        <v>46136</v>
      </c>
      <c r="B54" s="95" t="s">
        <v>599</v>
      </c>
      <c r="C54" s="94" t="s">
        <v>602</v>
      </c>
      <c r="D54" s="95">
        <v>20</v>
      </c>
      <c r="E54" s="95">
        <v>101.15</v>
      </c>
      <c r="F54" s="96">
        <v>2023</v>
      </c>
      <c r="G54" s="113" t="s">
        <v>59</v>
      </c>
      <c r="H54" s="114">
        <f t="shared" si="0"/>
        <v>46113</v>
      </c>
      <c r="I54" s="17"/>
      <c r="J54" s="17"/>
      <c r="K54" s="17"/>
    </row>
    <row r="55" spans="1:11" x14ac:dyDescent="0.2">
      <c r="A55" s="115">
        <v>46136</v>
      </c>
      <c r="B55" s="95" t="s">
        <v>600</v>
      </c>
      <c r="C55" s="94" t="s">
        <v>61</v>
      </c>
      <c r="D55" s="95">
        <v>10</v>
      </c>
      <c r="E55" s="95">
        <v>101.15</v>
      </c>
      <c r="F55" s="96">
        <v>1011.5</v>
      </c>
      <c r="G55" s="113" t="s">
        <v>55</v>
      </c>
      <c r="H55" s="114">
        <f t="shared" si="0"/>
        <v>46113</v>
      </c>
      <c r="I55" s="17"/>
      <c r="J55" s="17"/>
      <c r="K55" s="17"/>
    </row>
    <row r="56" spans="1:11" x14ac:dyDescent="0.2">
      <c r="A56" s="99">
        <v>46137</v>
      </c>
      <c r="B56" s="95" t="s">
        <v>611</v>
      </c>
      <c r="C56" s="94" t="s">
        <v>141</v>
      </c>
      <c r="D56" s="95">
        <v>200</v>
      </c>
      <c r="E56" s="95">
        <v>101.15</v>
      </c>
      <c r="F56" s="96">
        <v>20230</v>
      </c>
      <c r="G56" s="113" t="s">
        <v>143</v>
      </c>
      <c r="H56" s="114">
        <f t="shared" si="0"/>
        <v>46113</v>
      </c>
      <c r="I56" s="17"/>
      <c r="J56" s="17"/>
      <c r="K56" s="17"/>
    </row>
    <row r="57" spans="1:11" x14ac:dyDescent="0.2">
      <c r="A57" s="99">
        <v>46138</v>
      </c>
      <c r="B57" s="95" t="s">
        <v>612</v>
      </c>
      <c r="C57" s="94" t="s">
        <v>305</v>
      </c>
      <c r="D57" s="95">
        <v>32.409999999999997</v>
      </c>
      <c r="E57" s="95">
        <v>101.15</v>
      </c>
      <c r="F57" s="96">
        <v>3278.27</v>
      </c>
      <c r="G57" s="113" t="s">
        <v>59</v>
      </c>
      <c r="H57" s="114">
        <f t="shared" si="0"/>
        <v>46113</v>
      </c>
      <c r="I57" s="17"/>
      <c r="J57" s="17"/>
      <c r="K57" s="17"/>
    </row>
    <row r="58" spans="1:11" x14ac:dyDescent="0.2">
      <c r="A58" s="115">
        <v>46138</v>
      </c>
      <c r="B58" s="95" t="s">
        <v>613</v>
      </c>
      <c r="C58" s="94" t="s">
        <v>467</v>
      </c>
      <c r="D58" s="95">
        <v>20</v>
      </c>
      <c r="E58" s="95">
        <v>101.15</v>
      </c>
      <c r="F58" s="96">
        <v>2023</v>
      </c>
      <c r="G58" s="113" t="s">
        <v>202</v>
      </c>
      <c r="H58" s="114">
        <f t="shared" si="0"/>
        <v>46113</v>
      </c>
      <c r="I58" s="17"/>
      <c r="J58" s="17"/>
      <c r="K58" s="17"/>
    </row>
    <row r="59" spans="1:11" x14ac:dyDescent="0.2">
      <c r="A59" s="115">
        <v>46138</v>
      </c>
      <c r="B59" s="95" t="s">
        <v>614</v>
      </c>
      <c r="C59" s="94" t="s">
        <v>616</v>
      </c>
      <c r="D59" s="95">
        <v>11.77</v>
      </c>
      <c r="E59" s="95">
        <v>101.15</v>
      </c>
      <c r="F59" s="96">
        <v>1190.53</v>
      </c>
      <c r="G59" s="113" t="s">
        <v>55</v>
      </c>
      <c r="H59" s="114">
        <f t="shared" si="0"/>
        <v>46113</v>
      </c>
      <c r="I59" s="17"/>
      <c r="J59" s="17"/>
      <c r="K59" s="17"/>
    </row>
    <row r="60" spans="1:11" x14ac:dyDescent="0.2">
      <c r="A60" s="115">
        <v>46138</v>
      </c>
      <c r="B60" s="95" t="s">
        <v>615</v>
      </c>
      <c r="C60" s="94" t="s">
        <v>617</v>
      </c>
      <c r="D60" s="95">
        <v>5</v>
      </c>
      <c r="E60" s="95">
        <v>101.15</v>
      </c>
      <c r="F60" s="96">
        <v>505.75</v>
      </c>
      <c r="G60" s="113" t="s">
        <v>55</v>
      </c>
      <c r="H60" s="114">
        <f t="shared" si="0"/>
        <v>46113</v>
      </c>
      <c r="I60" s="17"/>
      <c r="J60" s="17"/>
      <c r="K60" s="17"/>
    </row>
    <row r="61" spans="1:11" x14ac:dyDescent="0.2">
      <c r="A61" s="99">
        <v>46139</v>
      </c>
      <c r="B61" s="95" t="s">
        <v>625</v>
      </c>
      <c r="C61" s="94" t="s">
        <v>101</v>
      </c>
      <c r="D61" s="95">
        <v>26.72</v>
      </c>
      <c r="E61" s="95">
        <v>101.15</v>
      </c>
      <c r="F61" s="96">
        <v>2702.72</v>
      </c>
      <c r="G61" s="113" t="s">
        <v>55</v>
      </c>
      <c r="H61" s="114">
        <f t="shared" si="0"/>
        <v>46113</v>
      </c>
      <c r="I61" s="17"/>
      <c r="J61" s="17"/>
      <c r="K61" s="17"/>
    </row>
    <row r="62" spans="1:11" x14ac:dyDescent="0.2">
      <c r="A62" s="99">
        <v>46140</v>
      </c>
      <c r="B62" s="95" t="s">
        <v>638</v>
      </c>
      <c r="C62" s="94" t="s">
        <v>127</v>
      </c>
      <c r="D62" s="95">
        <v>20</v>
      </c>
      <c r="E62" s="95">
        <v>101.15</v>
      </c>
      <c r="F62" s="96">
        <v>2023</v>
      </c>
      <c r="G62" s="113" t="s">
        <v>59</v>
      </c>
      <c r="H62" s="114">
        <f t="shared" si="0"/>
        <v>46113</v>
      </c>
      <c r="I62" s="17"/>
      <c r="J62" s="17"/>
      <c r="K62" s="17"/>
    </row>
    <row r="63" spans="1:11" x14ac:dyDescent="0.2">
      <c r="A63" s="115">
        <v>46140</v>
      </c>
      <c r="B63" s="95" t="s">
        <v>639</v>
      </c>
      <c r="C63" s="94" t="s">
        <v>102</v>
      </c>
      <c r="D63" s="95">
        <v>35</v>
      </c>
      <c r="E63" s="95">
        <v>101.15</v>
      </c>
      <c r="F63" s="96">
        <v>3540.25</v>
      </c>
      <c r="G63" s="113" t="s">
        <v>103</v>
      </c>
      <c r="H63" s="114">
        <f t="shared" si="0"/>
        <v>46113</v>
      </c>
      <c r="I63" s="17"/>
      <c r="J63" s="17"/>
      <c r="K63" s="17"/>
    </row>
    <row r="64" spans="1:11" x14ac:dyDescent="0.2">
      <c r="A64" s="115">
        <v>46140</v>
      </c>
      <c r="B64" s="95" t="s">
        <v>640</v>
      </c>
      <c r="C64" s="94" t="s">
        <v>224</v>
      </c>
      <c r="D64" s="95">
        <v>4.1399999999999997</v>
      </c>
      <c r="E64" s="95">
        <v>101.15</v>
      </c>
      <c r="F64" s="96">
        <v>418.76</v>
      </c>
      <c r="G64" s="113" t="s">
        <v>202</v>
      </c>
      <c r="H64" s="114">
        <f t="shared" si="0"/>
        <v>46113</v>
      </c>
      <c r="I64" s="17"/>
      <c r="J64" s="17"/>
      <c r="K64" s="17"/>
    </row>
    <row r="65" spans="1:11" x14ac:dyDescent="0.2">
      <c r="A65" s="115">
        <v>46140</v>
      </c>
      <c r="B65" s="95" t="s">
        <v>641</v>
      </c>
      <c r="C65" s="94" t="s">
        <v>61</v>
      </c>
      <c r="D65" s="95">
        <v>10</v>
      </c>
      <c r="E65" s="95">
        <v>101.15</v>
      </c>
      <c r="F65" s="96">
        <v>1011.5</v>
      </c>
      <c r="G65" s="113" t="s">
        <v>55</v>
      </c>
      <c r="H65" s="114">
        <f t="shared" si="0"/>
        <v>46113</v>
      </c>
      <c r="I65" s="17"/>
      <c r="J65" s="17"/>
      <c r="K65" s="17"/>
    </row>
    <row r="66" spans="1:11" x14ac:dyDescent="0.2">
      <c r="A66" s="99">
        <v>46141</v>
      </c>
      <c r="B66" s="95" t="s">
        <v>651</v>
      </c>
      <c r="C66" s="94" t="s">
        <v>601</v>
      </c>
      <c r="D66" s="95">
        <v>25</v>
      </c>
      <c r="E66" s="95">
        <v>101.15</v>
      </c>
      <c r="F66" s="96">
        <v>2528.75</v>
      </c>
      <c r="G66" s="113" t="s">
        <v>202</v>
      </c>
      <c r="H66" s="114">
        <f t="shared" si="0"/>
        <v>46113</v>
      </c>
      <c r="I66" s="17"/>
      <c r="J66" s="17"/>
      <c r="K66" s="17"/>
    </row>
    <row r="67" spans="1:11" x14ac:dyDescent="0.2">
      <c r="A67" s="99">
        <v>46142</v>
      </c>
      <c r="B67" s="95" t="s">
        <v>681</v>
      </c>
      <c r="C67" s="94" t="s">
        <v>456</v>
      </c>
      <c r="D67" s="95">
        <v>40</v>
      </c>
      <c r="E67" s="95">
        <v>101.15</v>
      </c>
      <c r="F67" s="96">
        <v>4046</v>
      </c>
      <c r="G67" s="113" t="s">
        <v>53</v>
      </c>
      <c r="H67" s="114">
        <f t="shared" si="0"/>
        <v>46113</v>
      </c>
      <c r="I67" s="17"/>
      <c r="J67" s="17"/>
      <c r="K67" s="17"/>
    </row>
    <row r="68" spans="1:11" x14ac:dyDescent="0.2">
      <c r="A68" s="115">
        <v>46142</v>
      </c>
      <c r="B68" s="95" t="s">
        <v>682</v>
      </c>
      <c r="C68" s="94" t="s">
        <v>683</v>
      </c>
      <c r="D68" s="95">
        <v>49.43</v>
      </c>
      <c r="E68" s="95">
        <v>101.15</v>
      </c>
      <c r="F68" s="96">
        <v>5000</v>
      </c>
      <c r="G68" s="113" t="s">
        <v>202</v>
      </c>
      <c r="H68" s="114">
        <f t="shared" ref="H68:H131" si="1">IF(A68&lt;&gt;"", EOMONTH(A68, -1) + 1, "")</f>
        <v>46113</v>
      </c>
      <c r="I68" s="17"/>
      <c r="J68" s="17"/>
      <c r="K68" s="17"/>
    </row>
    <row r="69" spans="1:11" x14ac:dyDescent="0.2">
      <c r="A69" s="99">
        <v>46143</v>
      </c>
      <c r="B69" s="95" t="s">
        <v>695</v>
      </c>
      <c r="C69" s="94" t="s">
        <v>100</v>
      </c>
      <c r="D69" s="95">
        <v>17.8</v>
      </c>
      <c r="E69" s="95">
        <v>101.15</v>
      </c>
      <c r="F69" s="96">
        <v>1800.47</v>
      </c>
      <c r="G69" s="113" t="s">
        <v>55</v>
      </c>
      <c r="H69" s="114">
        <f t="shared" si="1"/>
        <v>46143</v>
      </c>
      <c r="I69" s="17"/>
      <c r="J69" s="17"/>
      <c r="K69" s="17"/>
    </row>
    <row r="70" spans="1:11" x14ac:dyDescent="0.2">
      <c r="A70" s="115">
        <v>46143</v>
      </c>
      <c r="B70" s="95" t="s">
        <v>696</v>
      </c>
      <c r="C70" s="94" t="s">
        <v>700</v>
      </c>
      <c r="D70" s="95">
        <v>5</v>
      </c>
      <c r="E70" s="95">
        <v>101.15</v>
      </c>
      <c r="F70" s="96">
        <v>505.75</v>
      </c>
      <c r="G70" s="113" t="s">
        <v>55</v>
      </c>
      <c r="H70" s="114">
        <f t="shared" si="1"/>
        <v>46143</v>
      </c>
      <c r="I70" s="17"/>
      <c r="J70" s="17"/>
      <c r="K70" s="17"/>
    </row>
    <row r="71" spans="1:11" x14ac:dyDescent="0.2">
      <c r="A71" s="115">
        <v>46143</v>
      </c>
      <c r="B71" s="95" t="s">
        <v>697</v>
      </c>
      <c r="C71" s="94" t="s">
        <v>61</v>
      </c>
      <c r="D71" s="95">
        <v>10</v>
      </c>
      <c r="E71" s="95">
        <v>101.15</v>
      </c>
      <c r="F71" s="96">
        <v>1011.5</v>
      </c>
      <c r="G71" s="113" t="s">
        <v>55</v>
      </c>
      <c r="H71" s="114">
        <f t="shared" si="1"/>
        <v>46143</v>
      </c>
      <c r="I71" s="17"/>
      <c r="J71" s="17"/>
      <c r="K71" s="17"/>
    </row>
    <row r="72" spans="1:11" x14ac:dyDescent="0.2">
      <c r="A72" s="115">
        <v>46143</v>
      </c>
      <c r="B72" s="95" t="s">
        <v>698</v>
      </c>
      <c r="C72" s="107" t="s">
        <v>305</v>
      </c>
      <c r="D72" s="108">
        <v>36.78</v>
      </c>
      <c r="E72" s="95">
        <v>101.15</v>
      </c>
      <c r="F72" s="96">
        <v>3720.29</v>
      </c>
      <c r="G72" s="113" t="s">
        <v>59</v>
      </c>
      <c r="H72" s="114">
        <f t="shared" si="1"/>
        <v>46143</v>
      </c>
      <c r="I72" s="17"/>
      <c r="J72" s="17"/>
      <c r="K72" s="17"/>
    </row>
    <row r="73" spans="1:11" x14ac:dyDescent="0.2">
      <c r="A73" s="115">
        <v>46143</v>
      </c>
      <c r="B73" s="95" t="s">
        <v>699</v>
      </c>
      <c r="C73" s="94" t="s">
        <v>127</v>
      </c>
      <c r="D73" s="95">
        <v>20</v>
      </c>
      <c r="E73" s="95">
        <v>101.15</v>
      </c>
      <c r="F73" s="96">
        <v>2023</v>
      </c>
      <c r="G73" s="113" t="s">
        <v>59</v>
      </c>
      <c r="H73" s="114">
        <f t="shared" si="1"/>
        <v>46143</v>
      </c>
      <c r="I73" s="17"/>
      <c r="J73" s="17"/>
      <c r="K73" s="17"/>
    </row>
    <row r="74" spans="1:11" x14ac:dyDescent="0.2">
      <c r="A74" s="99">
        <v>46144</v>
      </c>
      <c r="B74" s="95" t="s">
        <v>715</v>
      </c>
      <c r="C74" s="94" t="s">
        <v>101</v>
      </c>
      <c r="D74" s="95">
        <v>23.56</v>
      </c>
      <c r="E74" s="95">
        <v>101.15</v>
      </c>
      <c r="F74" s="96">
        <v>2383.09</v>
      </c>
      <c r="G74" s="113" t="s">
        <v>55</v>
      </c>
      <c r="H74" s="114">
        <f t="shared" si="1"/>
        <v>46143</v>
      </c>
      <c r="I74" s="17"/>
      <c r="J74" s="17"/>
      <c r="K74" s="17"/>
    </row>
    <row r="75" spans="1:11" x14ac:dyDescent="0.2">
      <c r="A75" s="115">
        <v>46144</v>
      </c>
      <c r="B75" s="95" t="s">
        <v>716</v>
      </c>
      <c r="C75" s="94" t="s">
        <v>467</v>
      </c>
      <c r="D75" s="95">
        <v>20</v>
      </c>
      <c r="E75" s="95">
        <v>101.15</v>
      </c>
      <c r="F75" s="96">
        <v>2023</v>
      </c>
      <c r="G75" s="113" t="s">
        <v>202</v>
      </c>
      <c r="H75" s="114">
        <f t="shared" si="1"/>
        <v>46143</v>
      </c>
      <c r="I75" s="17"/>
      <c r="J75" s="17"/>
      <c r="K75" s="17"/>
    </row>
    <row r="76" spans="1:11" x14ac:dyDescent="0.2">
      <c r="A76" s="115">
        <v>46144</v>
      </c>
      <c r="B76" s="95" t="s">
        <v>717</v>
      </c>
      <c r="C76" s="94" t="s">
        <v>306</v>
      </c>
      <c r="D76" s="95">
        <v>2.97</v>
      </c>
      <c r="E76" s="95">
        <v>101.15</v>
      </c>
      <c r="F76" s="96">
        <v>300</v>
      </c>
      <c r="G76" s="113" t="s">
        <v>152</v>
      </c>
      <c r="H76" s="114">
        <f t="shared" si="1"/>
        <v>46143</v>
      </c>
      <c r="I76" s="17"/>
      <c r="J76" s="17"/>
      <c r="K76" s="17"/>
    </row>
    <row r="77" spans="1:11" x14ac:dyDescent="0.2">
      <c r="A77" s="99">
        <v>46145</v>
      </c>
      <c r="B77" s="95" t="s">
        <v>729</v>
      </c>
      <c r="C77" s="94" t="s">
        <v>201</v>
      </c>
      <c r="D77" s="95">
        <v>20</v>
      </c>
      <c r="E77" s="95">
        <v>101.15</v>
      </c>
      <c r="F77" s="96">
        <v>2023</v>
      </c>
      <c r="G77" s="113" t="s">
        <v>202</v>
      </c>
      <c r="H77" s="114">
        <f t="shared" si="1"/>
        <v>46143</v>
      </c>
      <c r="I77" s="17"/>
      <c r="J77" s="17"/>
      <c r="K77" s="17"/>
    </row>
    <row r="78" spans="1:11" x14ac:dyDescent="0.2">
      <c r="A78" s="115">
        <v>46145</v>
      </c>
      <c r="B78" s="95" t="s">
        <v>730</v>
      </c>
      <c r="C78" s="94" t="s">
        <v>467</v>
      </c>
      <c r="D78" s="95">
        <v>29</v>
      </c>
      <c r="E78" s="95">
        <v>101.15</v>
      </c>
      <c r="F78" s="96">
        <v>2933.35</v>
      </c>
      <c r="G78" s="113" t="s">
        <v>202</v>
      </c>
      <c r="H78" s="114">
        <f t="shared" si="1"/>
        <v>46143</v>
      </c>
      <c r="I78" s="17"/>
      <c r="J78" s="17"/>
      <c r="K78" s="17"/>
    </row>
    <row r="79" spans="1:11" x14ac:dyDescent="0.2">
      <c r="A79" s="115">
        <v>46145</v>
      </c>
      <c r="B79" s="95" t="s">
        <v>731</v>
      </c>
      <c r="C79" s="94" t="s">
        <v>142</v>
      </c>
      <c r="D79" s="95">
        <v>5.2</v>
      </c>
      <c r="E79" s="95">
        <v>101.15</v>
      </c>
      <c r="F79" s="96">
        <v>525.98</v>
      </c>
      <c r="G79" s="113" t="s">
        <v>55</v>
      </c>
      <c r="H79" s="114">
        <f t="shared" si="1"/>
        <v>46143</v>
      </c>
      <c r="I79" s="17"/>
      <c r="J79" s="17"/>
      <c r="K79" s="17"/>
    </row>
    <row r="80" spans="1:11" x14ac:dyDescent="0.2">
      <c r="A80" s="115">
        <v>46145</v>
      </c>
      <c r="B80" s="95" t="s">
        <v>732</v>
      </c>
      <c r="C80" s="94" t="s">
        <v>100</v>
      </c>
      <c r="D80" s="95">
        <v>18.39</v>
      </c>
      <c r="E80" s="95">
        <v>101.15</v>
      </c>
      <c r="F80" s="96">
        <v>1860.14</v>
      </c>
      <c r="G80" s="113" t="s">
        <v>55</v>
      </c>
      <c r="H80" s="114">
        <f t="shared" si="1"/>
        <v>46143</v>
      </c>
      <c r="I80" s="17"/>
      <c r="J80" s="17"/>
      <c r="K80" s="17"/>
    </row>
    <row r="81" spans="1:11" x14ac:dyDescent="0.2">
      <c r="A81" s="115">
        <v>46145</v>
      </c>
      <c r="B81" s="95" t="s">
        <v>733</v>
      </c>
      <c r="C81" s="94" t="s">
        <v>61</v>
      </c>
      <c r="D81" s="95">
        <v>10</v>
      </c>
      <c r="E81" s="95">
        <v>101.15</v>
      </c>
      <c r="F81" s="96">
        <v>1011.5</v>
      </c>
      <c r="G81" s="113" t="s">
        <v>55</v>
      </c>
      <c r="H81" s="114">
        <f t="shared" si="1"/>
        <v>46143</v>
      </c>
      <c r="I81" s="17"/>
      <c r="J81" s="17"/>
      <c r="K81" s="17"/>
    </row>
    <row r="82" spans="1:11" x14ac:dyDescent="0.2">
      <c r="A82" s="99">
        <v>46146</v>
      </c>
      <c r="B82" s="95" t="s">
        <v>743</v>
      </c>
      <c r="C82" s="94" t="s">
        <v>745</v>
      </c>
      <c r="D82" s="95">
        <v>6.92</v>
      </c>
      <c r="E82" s="95">
        <v>101.15</v>
      </c>
      <c r="F82" s="96">
        <v>700</v>
      </c>
      <c r="G82" s="113" t="s">
        <v>714</v>
      </c>
      <c r="H82" s="114">
        <f t="shared" si="1"/>
        <v>46143</v>
      </c>
      <c r="I82" s="17"/>
      <c r="J82" s="17"/>
      <c r="K82" s="17"/>
    </row>
    <row r="83" spans="1:11" x14ac:dyDescent="0.2">
      <c r="A83" s="115">
        <v>46146</v>
      </c>
      <c r="B83" s="95" t="s">
        <v>744</v>
      </c>
      <c r="C83" s="94" t="s">
        <v>225</v>
      </c>
      <c r="D83" s="95">
        <v>40</v>
      </c>
      <c r="E83" s="95">
        <v>101.15</v>
      </c>
      <c r="F83" s="96">
        <v>4046</v>
      </c>
      <c r="G83" s="113" t="s">
        <v>103</v>
      </c>
      <c r="H83" s="114">
        <f t="shared" si="1"/>
        <v>46143</v>
      </c>
      <c r="I83" s="17"/>
      <c r="J83" s="17"/>
      <c r="K83" s="17"/>
    </row>
    <row r="84" spans="1:11" x14ac:dyDescent="0.2">
      <c r="A84" s="99">
        <v>46147</v>
      </c>
      <c r="B84" s="95" t="s">
        <v>761</v>
      </c>
      <c r="C84" s="94" t="s">
        <v>102</v>
      </c>
      <c r="D84" s="95">
        <v>36.049999999999997</v>
      </c>
      <c r="E84" s="95">
        <v>101.15</v>
      </c>
      <c r="F84" s="96">
        <v>3646.45</v>
      </c>
      <c r="G84" s="113" t="s">
        <v>103</v>
      </c>
      <c r="H84" s="114">
        <f t="shared" si="1"/>
        <v>46143</v>
      </c>
      <c r="I84" s="17"/>
      <c r="J84" s="17"/>
      <c r="K84" s="17"/>
    </row>
    <row r="85" spans="1:11" x14ac:dyDescent="0.2">
      <c r="A85" s="115">
        <v>46147</v>
      </c>
      <c r="B85" s="95" t="s">
        <v>762</v>
      </c>
      <c r="C85" s="94" t="s">
        <v>61</v>
      </c>
      <c r="D85" s="95">
        <v>10</v>
      </c>
      <c r="E85" s="95">
        <v>101.15</v>
      </c>
      <c r="F85" s="96">
        <v>1011.5</v>
      </c>
      <c r="G85" s="113" t="s">
        <v>55</v>
      </c>
      <c r="H85" s="114">
        <f t="shared" si="1"/>
        <v>46143</v>
      </c>
      <c r="I85" s="17"/>
      <c r="J85" s="17"/>
      <c r="K85" s="17"/>
    </row>
    <row r="86" spans="1:11" x14ac:dyDescent="0.2">
      <c r="A86" s="115">
        <v>46147</v>
      </c>
      <c r="B86" s="95" t="s">
        <v>763</v>
      </c>
      <c r="C86" s="94" t="s">
        <v>766</v>
      </c>
      <c r="D86" s="95">
        <v>20</v>
      </c>
      <c r="E86" s="95">
        <v>101.15</v>
      </c>
      <c r="F86" s="96">
        <v>2023</v>
      </c>
      <c r="G86" s="113" t="s">
        <v>59</v>
      </c>
      <c r="H86" s="114">
        <f t="shared" si="1"/>
        <v>46143</v>
      </c>
      <c r="I86" s="17"/>
      <c r="J86" s="17"/>
      <c r="K86" s="17"/>
    </row>
    <row r="87" spans="1:11" x14ac:dyDescent="0.2">
      <c r="A87" s="115">
        <v>46147</v>
      </c>
      <c r="B87" s="95" t="s">
        <v>764</v>
      </c>
      <c r="C87" s="94" t="s">
        <v>745</v>
      </c>
      <c r="D87" s="95">
        <v>2.97</v>
      </c>
      <c r="E87" s="95">
        <v>101.15</v>
      </c>
      <c r="F87" s="96">
        <v>300</v>
      </c>
      <c r="G87" s="113" t="s">
        <v>714</v>
      </c>
      <c r="H87" s="114">
        <f t="shared" si="1"/>
        <v>46143</v>
      </c>
      <c r="I87" s="17"/>
      <c r="J87" s="17"/>
      <c r="K87" s="17"/>
    </row>
    <row r="88" spans="1:11" x14ac:dyDescent="0.2">
      <c r="A88" s="115">
        <v>46147</v>
      </c>
      <c r="B88" s="95" t="s">
        <v>765</v>
      </c>
      <c r="C88" s="94" t="s">
        <v>306</v>
      </c>
      <c r="D88" s="95">
        <v>2.97</v>
      </c>
      <c r="E88" s="95">
        <v>101.15</v>
      </c>
      <c r="F88" s="96">
        <v>300</v>
      </c>
      <c r="G88" s="113" t="s">
        <v>152</v>
      </c>
      <c r="H88" s="114">
        <f t="shared" si="1"/>
        <v>46143</v>
      </c>
      <c r="I88" s="17"/>
      <c r="J88" s="17"/>
      <c r="K88" s="17"/>
    </row>
    <row r="89" spans="1:11" x14ac:dyDescent="0.2">
      <c r="A89" s="99">
        <v>46149</v>
      </c>
      <c r="B89" s="95" t="s">
        <v>802</v>
      </c>
      <c r="C89" s="94" t="s">
        <v>44</v>
      </c>
      <c r="D89" s="95">
        <v>5</v>
      </c>
      <c r="E89" s="95">
        <v>101.15</v>
      </c>
      <c r="F89" s="96">
        <v>505.75</v>
      </c>
      <c r="G89" s="113" t="s">
        <v>56</v>
      </c>
      <c r="H89" s="114">
        <f t="shared" si="1"/>
        <v>46143</v>
      </c>
      <c r="I89" s="17"/>
      <c r="J89" s="17"/>
      <c r="K89" s="17"/>
    </row>
    <row r="90" spans="1:11" x14ac:dyDescent="0.2">
      <c r="A90" s="115">
        <v>46149</v>
      </c>
      <c r="B90" s="95" t="s">
        <v>803</v>
      </c>
      <c r="C90" s="94" t="s">
        <v>305</v>
      </c>
      <c r="D90" s="95">
        <v>35.69</v>
      </c>
      <c r="E90" s="95">
        <v>101.15</v>
      </c>
      <c r="F90" s="96">
        <v>3610.04</v>
      </c>
      <c r="G90" s="113" t="s">
        <v>59</v>
      </c>
      <c r="H90" s="114">
        <f t="shared" si="1"/>
        <v>46143</v>
      </c>
      <c r="I90" s="17"/>
      <c r="J90" s="17"/>
      <c r="K90" s="17"/>
    </row>
    <row r="91" spans="1:11" x14ac:dyDescent="0.2">
      <c r="A91" s="99">
        <v>46150</v>
      </c>
      <c r="B91" s="95" t="s">
        <v>805</v>
      </c>
      <c r="C91" s="94" t="s">
        <v>449</v>
      </c>
      <c r="D91" s="95">
        <v>39.56</v>
      </c>
      <c r="E91" s="95">
        <v>101.15</v>
      </c>
      <c r="F91" s="96">
        <v>4001.49</v>
      </c>
      <c r="G91" s="113" t="s">
        <v>53</v>
      </c>
      <c r="H91" s="114">
        <f t="shared" si="1"/>
        <v>46143</v>
      </c>
      <c r="I91" s="17"/>
      <c r="J91" s="17"/>
      <c r="K91" s="17"/>
    </row>
    <row r="92" spans="1:11" x14ac:dyDescent="0.2">
      <c r="A92" s="115">
        <v>46150</v>
      </c>
      <c r="B92" s="95" t="s">
        <v>806</v>
      </c>
      <c r="C92" s="94" t="s">
        <v>61</v>
      </c>
      <c r="D92" s="95">
        <v>10</v>
      </c>
      <c r="E92" s="95">
        <v>101.15</v>
      </c>
      <c r="F92" s="96">
        <v>1011.5</v>
      </c>
      <c r="G92" s="113" t="s">
        <v>55</v>
      </c>
      <c r="H92" s="114">
        <f t="shared" si="1"/>
        <v>46143</v>
      </c>
      <c r="I92" s="17"/>
      <c r="J92" s="17"/>
      <c r="K92" s="17"/>
    </row>
    <row r="93" spans="1:11" x14ac:dyDescent="0.2">
      <c r="A93" s="115">
        <v>46150</v>
      </c>
      <c r="B93" s="95" t="s">
        <v>807</v>
      </c>
      <c r="C93" s="94" t="s">
        <v>224</v>
      </c>
      <c r="D93" s="95">
        <v>4.71</v>
      </c>
      <c r="E93" s="95">
        <v>101.15</v>
      </c>
      <c r="F93" s="96">
        <v>476.42</v>
      </c>
      <c r="G93" s="113" t="s">
        <v>202</v>
      </c>
      <c r="H93" s="114">
        <f t="shared" si="1"/>
        <v>46143</v>
      </c>
      <c r="I93" s="17"/>
      <c r="J93" s="17"/>
      <c r="K93" s="17"/>
    </row>
    <row r="94" spans="1:11" x14ac:dyDescent="0.2">
      <c r="A94" s="115">
        <v>46150</v>
      </c>
      <c r="B94" s="95" t="s">
        <v>808</v>
      </c>
      <c r="C94" s="94" t="s">
        <v>467</v>
      </c>
      <c r="D94" s="95">
        <v>40</v>
      </c>
      <c r="E94" s="95">
        <v>101.15</v>
      </c>
      <c r="F94" s="96">
        <v>4046</v>
      </c>
      <c r="G94" s="113" t="s">
        <v>202</v>
      </c>
      <c r="H94" s="114">
        <f t="shared" si="1"/>
        <v>46143</v>
      </c>
      <c r="I94" s="17"/>
      <c r="J94" s="17"/>
      <c r="K94" s="17"/>
    </row>
    <row r="95" spans="1:11" x14ac:dyDescent="0.2">
      <c r="A95" s="99">
        <v>46151</v>
      </c>
      <c r="B95" s="95" t="s">
        <v>823</v>
      </c>
      <c r="C95" s="101" t="s">
        <v>601</v>
      </c>
      <c r="D95" s="95">
        <v>25</v>
      </c>
      <c r="E95" s="95">
        <v>101.15</v>
      </c>
      <c r="F95" s="96">
        <v>2528.75</v>
      </c>
      <c r="G95" s="113" t="s">
        <v>202</v>
      </c>
      <c r="H95" s="114">
        <f t="shared" si="1"/>
        <v>46143</v>
      </c>
      <c r="I95" s="17"/>
      <c r="J95" s="17"/>
      <c r="K95" s="17"/>
    </row>
    <row r="96" spans="1:11" x14ac:dyDescent="0.2">
      <c r="A96" s="115">
        <v>46151</v>
      </c>
      <c r="B96" s="95" t="s">
        <v>824</v>
      </c>
      <c r="C96" s="101" t="s">
        <v>157</v>
      </c>
      <c r="D96" s="95">
        <v>3</v>
      </c>
      <c r="E96" s="95">
        <v>101.15</v>
      </c>
      <c r="F96" s="96">
        <v>303.45</v>
      </c>
      <c r="G96" s="113" t="s">
        <v>56</v>
      </c>
      <c r="H96" s="114">
        <f t="shared" si="1"/>
        <v>46143</v>
      </c>
      <c r="I96" s="17"/>
      <c r="J96" s="17"/>
      <c r="K96" s="17"/>
    </row>
    <row r="97" spans="1:11" x14ac:dyDescent="0.2">
      <c r="A97" s="115">
        <v>46151</v>
      </c>
      <c r="B97" s="95" t="s">
        <v>825</v>
      </c>
      <c r="C97" s="101" t="s">
        <v>826</v>
      </c>
      <c r="D97" s="95">
        <v>20</v>
      </c>
      <c r="E97" s="95">
        <v>101.15</v>
      </c>
      <c r="F97" s="96">
        <v>2023</v>
      </c>
      <c r="G97" s="113" t="s">
        <v>59</v>
      </c>
      <c r="H97" s="114">
        <f t="shared" si="1"/>
        <v>46143</v>
      </c>
      <c r="I97" s="17"/>
      <c r="J97" s="17"/>
      <c r="K97" s="17"/>
    </row>
    <row r="98" spans="1:11" x14ac:dyDescent="0.2">
      <c r="A98" s="99">
        <v>46152</v>
      </c>
      <c r="B98" s="95" t="s">
        <v>835</v>
      </c>
      <c r="C98" s="101" t="s">
        <v>837</v>
      </c>
      <c r="D98" s="95">
        <v>25</v>
      </c>
      <c r="E98" s="95">
        <v>101.15</v>
      </c>
      <c r="F98" s="96">
        <v>2528.75</v>
      </c>
      <c r="G98" s="113" t="s">
        <v>51</v>
      </c>
      <c r="H98" s="114">
        <f t="shared" si="1"/>
        <v>46143</v>
      </c>
      <c r="I98" s="17"/>
      <c r="J98" s="17"/>
      <c r="K98" s="17"/>
    </row>
    <row r="99" spans="1:11" x14ac:dyDescent="0.2">
      <c r="A99" s="115">
        <v>46152</v>
      </c>
      <c r="B99" s="95" t="s">
        <v>836</v>
      </c>
      <c r="C99" s="94" t="s">
        <v>306</v>
      </c>
      <c r="D99" s="95">
        <v>2.97</v>
      </c>
      <c r="E99" s="95">
        <v>101.15</v>
      </c>
      <c r="F99" s="96">
        <v>300</v>
      </c>
      <c r="G99" s="113" t="s">
        <v>152</v>
      </c>
      <c r="H99" s="114">
        <f t="shared" si="1"/>
        <v>46143</v>
      </c>
      <c r="I99" s="17"/>
      <c r="J99" s="17"/>
      <c r="K99" s="17"/>
    </row>
    <row r="100" spans="1:11" x14ac:dyDescent="0.2">
      <c r="A100" s="99">
        <v>46153</v>
      </c>
      <c r="B100" s="95" t="s">
        <v>849</v>
      </c>
      <c r="C100" s="94" t="s">
        <v>851</v>
      </c>
      <c r="D100" s="95">
        <v>15</v>
      </c>
      <c r="E100" s="95">
        <v>101.15</v>
      </c>
      <c r="F100" s="96">
        <v>1517.25</v>
      </c>
      <c r="G100" s="113" t="s">
        <v>55</v>
      </c>
      <c r="H100" s="114">
        <f t="shared" si="1"/>
        <v>46143</v>
      </c>
      <c r="I100" s="17"/>
      <c r="J100" s="17"/>
      <c r="K100" s="17"/>
    </row>
    <row r="101" spans="1:11" x14ac:dyDescent="0.2">
      <c r="A101" s="115">
        <v>46153</v>
      </c>
      <c r="B101" s="95" t="s">
        <v>850</v>
      </c>
      <c r="C101" s="94" t="s">
        <v>852</v>
      </c>
      <c r="D101" s="95">
        <v>10.48</v>
      </c>
      <c r="E101" s="95">
        <v>101.15</v>
      </c>
      <c r="F101" s="96">
        <v>1060.05</v>
      </c>
      <c r="G101" s="113" t="s">
        <v>55</v>
      </c>
      <c r="H101" s="114">
        <f t="shared" si="1"/>
        <v>46143</v>
      </c>
      <c r="I101" s="17"/>
      <c r="J101" s="17"/>
      <c r="K101" s="17"/>
    </row>
    <row r="102" spans="1:11" x14ac:dyDescent="0.2">
      <c r="A102" s="99">
        <v>46154</v>
      </c>
      <c r="B102" s="95" t="s">
        <v>875</v>
      </c>
      <c r="C102" s="94" t="s">
        <v>141</v>
      </c>
      <c r="D102" s="95">
        <v>100</v>
      </c>
      <c r="E102" s="95">
        <v>101.15</v>
      </c>
      <c r="F102" s="96">
        <v>10115</v>
      </c>
      <c r="G102" s="113" t="s">
        <v>143</v>
      </c>
      <c r="H102" s="114">
        <f t="shared" si="1"/>
        <v>46143</v>
      </c>
      <c r="I102" s="17"/>
      <c r="J102" s="17"/>
      <c r="K102" s="17"/>
    </row>
    <row r="103" spans="1:11" x14ac:dyDescent="0.2">
      <c r="A103" s="115">
        <v>46154</v>
      </c>
      <c r="B103" s="95" t="s">
        <v>876</v>
      </c>
      <c r="C103" s="94" t="s">
        <v>84</v>
      </c>
      <c r="D103" s="95">
        <v>19.78</v>
      </c>
      <c r="E103" s="95">
        <v>101.15</v>
      </c>
      <c r="F103" s="96">
        <v>2000</v>
      </c>
      <c r="G103" s="113" t="s">
        <v>93</v>
      </c>
      <c r="H103" s="114">
        <f t="shared" si="1"/>
        <v>46143</v>
      </c>
      <c r="I103" s="17"/>
      <c r="J103" s="17"/>
      <c r="K103" s="17"/>
    </row>
    <row r="104" spans="1:11" x14ac:dyDescent="0.2">
      <c r="A104" s="99">
        <v>46156</v>
      </c>
      <c r="B104" s="95" t="s">
        <v>902</v>
      </c>
      <c r="C104" s="94" t="s">
        <v>745</v>
      </c>
      <c r="D104" s="95">
        <v>4.9400000000000004</v>
      </c>
      <c r="E104" s="95">
        <v>101.15</v>
      </c>
      <c r="F104" s="96">
        <v>500</v>
      </c>
      <c r="G104" s="113" t="s">
        <v>714</v>
      </c>
      <c r="H104" s="114">
        <f t="shared" si="1"/>
        <v>46143</v>
      </c>
      <c r="I104" s="17"/>
      <c r="J104" s="17"/>
      <c r="K104" s="17"/>
    </row>
    <row r="105" spans="1:11" x14ac:dyDescent="0.2">
      <c r="A105" s="99">
        <v>46157</v>
      </c>
      <c r="B105" s="95" t="s">
        <v>923</v>
      </c>
      <c r="C105" s="94" t="s">
        <v>100</v>
      </c>
      <c r="D105" s="95">
        <v>29.92</v>
      </c>
      <c r="E105" s="95">
        <v>104.36</v>
      </c>
      <c r="F105" s="96">
        <v>3122.45</v>
      </c>
      <c r="G105" s="113" t="s">
        <v>55</v>
      </c>
      <c r="H105" s="114">
        <f t="shared" si="1"/>
        <v>46143</v>
      </c>
      <c r="I105" s="17"/>
      <c r="J105" s="17"/>
      <c r="K105" s="17"/>
    </row>
    <row r="106" spans="1:11" x14ac:dyDescent="0.2">
      <c r="A106" s="115">
        <v>46157</v>
      </c>
      <c r="B106" s="95" t="s">
        <v>924</v>
      </c>
      <c r="C106" s="94" t="s">
        <v>61</v>
      </c>
      <c r="D106" s="95">
        <v>10</v>
      </c>
      <c r="E106" s="95">
        <v>104.36</v>
      </c>
      <c r="F106" s="96">
        <v>1043.5999999999999</v>
      </c>
      <c r="G106" s="113" t="s">
        <v>55</v>
      </c>
      <c r="H106" s="114">
        <f t="shared" si="1"/>
        <v>46143</v>
      </c>
      <c r="I106" s="17"/>
      <c r="J106" s="17"/>
      <c r="K106" s="17"/>
    </row>
    <row r="107" spans="1:11" x14ac:dyDescent="0.2">
      <c r="A107" s="115">
        <v>46157</v>
      </c>
      <c r="B107" s="95" t="s">
        <v>925</v>
      </c>
      <c r="C107" s="94" t="s">
        <v>305</v>
      </c>
      <c r="D107" s="95">
        <v>32.89</v>
      </c>
      <c r="E107" s="95">
        <v>104.36</v>
      </c>
      <c r="F107" s="96">
        <v>3432.4</v>
      </c>
      <c r="G107" s="113" t="s">
        <v>59</v>
      </c>
      <c r="H107" s="114">
        <f t="shared" si="1"/>
        <v>46143</v>
      </c>
      <c r="I107" s="17"/>
      <c r="J107" s="17"/>
      <c r="K107" s="17"/>
    </row>
    <row r="108" spans="1:11" x14ac:dyDescent="0.2">
      <c r="A108" s="99">
        <v>46159</v>
      </c>
      <c r="B108" s="95" t="s">
        <v>946</v>
      </c>
      <c r="C108" s="94" t="s">
        <v>601</v>
      </c>
      <c r="D108" s="95">
        <v>30</v>
      </c>
      <c r="E108" s="95">
        <v>104.36</v>
      </c>
      <c r="F108" s="96">
        <v>3130.8</v>
      </c>
      <c r="G108" s="113" t="s">
        <v>202</v>
      </c>
      <c r="H108" s="114">
        <f t="shared" si="1"/>
        <v>46143</v>
      </c>
      <c r="I108" s="17"/>
      <c r="J108" s="17"/>
      <c r="K108" s="17"/>
    </row>
    <row r="109" spans="1:11" x14ac:dyDescent="0.2">
      <c r="A109" s="115">
        <v>46159</v>
      </c>
      <c r="B109" s="95" t="s">
        <v>947</v>
      </c>
      <c r="C109" s="94" t="s">
        <v>467</v>
      </c>
      <c r="D109" s="95">
        <v>19.86</v>
      </c>
      <c r="E109" s="95">
        <v>104.36</v>
      </c>
      <c r="F109" s="96">
        <v>2072.58</v>
      </c>
      <c r="G109" s="113" t="s">
        <v>202</v>
      </c>
      <c r="H109" s="114">
        <f t="shared" si="1"/>
        <v>46143</v>
      </c>
      <c r="I109" s="17"/>
      <c r="J109" s="17"/>
      <c r="K109" s="17"/>
    </row>
    <row r="110" spans="1:11" x14ac:dyDescent="0.2">
      <c r="A110" s="115">
        <v>46159</v>
      </c>
      <c r="B110" s="95" t="s">
        <v>948</v>
      </c>
      <c r="C110" s="94" t="s">
        <v>127</v>
      </c>
      <c r="D110" s="95">
        <v>20</v>
      </c>
      <c r="E110" s="95">
        <v>104.36</v>
      </c>
      <c r="F110" s="96">
        <v>2087.1999999999998</v>
      </c>
      <c r="G110" s="113" t="s">
        <v>59</v>
      </c>
      <c r="H110" s="114">
        <f t="shared" si="1"/>
        <v>46143</v>
      </c>
      <c r="I110" s="17"/>
      <c r="J110" s="17"/>
      <c r="K110" s="17"/>
    </row>
    <row r="111" spans="1:11" x14ac:dyDescent="0.2">
      <c r="A111" s="99">
        <v>46160</v>
      </c>
      <c r="B111" s="95" t="s">
        <v>949</v>
      </c>
      <c r="C111" s="94" t="s">
        <v>201</v>
      </c>
      <c r="D111" s="95">
        <v>36.29</v>
      </c>
      <c r="E111" s="95">
        <v>104.36</v>
      </c>
      <c r="F111" s="96">
        <v>3787.22</v>
      </c>
      <c r="G111" s="113" t="s">
        <v>202</v>
      </c>
      <c r="H111" s="114">
        <f t="shared" si="1"/>
        <v>46143</v>
      </c>
      <c r="I111" s="17"/>
      <c r="J111" s="17"/>
      <c r="K111" s="17"/>
    </row>
    <row r="112" spans="1:11" x14ac:dyDescent="0.2">
      <c r="A112" s="115">
        <v>46160</v>
      </c>
      <c r="B112" s="95" t="s">
        <v>950</v>
      </c>
      <c r="C112" s="94" t="s">
        <v>102</v>
      </c>
      <c r="D112" s="95">
        <v>20</v>
      </c>
      <c r="E112" s="95">
        <v>104.36</v>
      </c>
      <c r="F112" s="96">
        <v>2087.1999999999998</v>
      </c>
      <c r="G112" s="113" t="s">
        <v>103</v>
      </c>
      <c r="H112" s="114">
        <f t="shared" si="1"/>
        <v>46143</v>
      </c>
      <c r="I112" s="17"/>
      <c r="J112" s="17"/>
      <c r="K112" s="17"/>
    </row>
    <row r="113" spans="1:11" x14ac:dyDescent="0.2">
      <c r="A113" s="99">
        <v>46161</v>
      </c>
      <c r="B113" s="95" t="s">
        <v>967</v>
      </c>
      <c r="C113" s="94" t="s">
        <v>44</v>
      </c>
      <c r="D113" s="95">
        <v>5</v>
      </c>
      <c r="E113" s="95">
        <v>105.3</v>
      </c>
      <c r="F113" s="96">
        <v>526.5</v>
      </c>
      <c r="G113" s="113" t="s">
        <v>56</v>
      </c>
      <c r="H113" s="114">
        <f t="shared" si="1"/>
        <v>46143</v>
      </c>
      <c r="I113" s="17"/>
      <c r="J113" s="17"/>
      <c r="K113" s="17"/>
    </row>
    <row r="114" spans="1:11" x14ac:dyDescent="0.2">
      <c r="A114" s="115">
        <v>46161</v>
      </c>
      <c r="B114" s="95" t="s">
        <v>968</v>
      </c>
      <c r="C114" s="94" t="s">
        <v>224</v>
      </c>
      <c r="D114" s="95">
        <v>4.4800000000000004</v>
      </c>
      <c r="E114" s="95">
        <v>105.3</v>
      </c>
      <c r="F114" s="96">
        <v>471.74</v>
      </c>
      <c r="G114" s="113" t="s">
        <v>202</v>
      </c>
      <c r="H114" s="114">
        <f t="shared" si="1"/>
        <v>46143</v>
      </c>
      <c r="I114" s="17"/>
      <c r="J114" s="17"/>
      <c r="K114" s="17"/>
    </row>
    <row r="115" spans="1:11" x14ac:dyDescent="0.2">
      <c r="A115" s="115">
        <v>46161</v>
      </c>
      <c r="B115" s="95" t="s">
        <v>969</v>
      </c>
      <c r="C115" s="94" t="s">
        <v>976</v>
      </c>
      <c r="D115" s="95">
        <v>37.99</v>
      </c>
      <c r="E115" s="95">
        <v>105.3</v>
      </c>
      <c r="F115" s="96">
        <v>4000</v>
      </c>
      <c r="G115" s="129" t="s">
        <v>202</v>
      </c>
      <c r="H115" s="114">
        <f t="shared" si="1"/>
        <v>46143</v>
      </c>
      <c r="I115" s="17"/>
      <c r="J115" s="17"/>
      <c r="K115" s="17"/>
    </row>
    <row r="116" spans="1:11" x14ac:dyDescent="0.2">
      <c r="A116" s="115">
        <v>46161</v>
      </c>
      <c r="B116" s="95" t="s">
        <v>970</v>
      </c>
      <c r="C116" s="94" t="s">
        <v>467</v>
      </c>
      <c r="D116" s="95">
        <v>45</v>
      </c>
      <c r="E116" s="95">
        <v>105.3</v>
      </c>
      <c r="F116" s="96">
        <v>4738.5</v>
      </c>
      <c r="G116" s="129" t="s">
        <v>202</v>
      </c>
      <c r="H116" s="114">
        <f t="shared" si="1"/>
        <v>46143</v>
      </c>
      <c r="I116" s="17"/>
      <c r="J116" s="17"/>
      <c r="K116" s="17"/>
    </row>
    <row r="117" spans="1:11" x14ac:dyDescent="0.2">
      <c r="A117" s="115">
        <v>46161</v>
      </c>
      <c r="B117" s="95" t="s">
        <v>971</v>
      </c>
      <c r="C117" s="94" t="s">
        <v>61</v>
      </c>
      <c r="D117" s="95">
        <v>10</v>
      </c>
      <c r="E117" s="95">
        <v>105.3</v>
      </c>
      <c r="F117" s="96">
        <v>1053</v>
      </c>
      <c r="G117" s="113" t="s">
        <v>55</v>
      </c>
      <c r="H117" s="114">
        <f t="shared" si="1"/>
        <v>46143</v>
      </c>
      <c r="I117" s="17"/>
      <c r="J117" s="17"/>
      <c r="K117" s="17"/>
    </row>
    <row r="118" spans="1:11" x14ac:dyDescent="0.2">
      <c r="A118" s="115">
        <v>46161</v>
      </c>
      <c r="B118" s="95" t="s">
        <v>972</v>
      </c>
      <c r="C118" s="94" t="s">
        <v>101</v>
      </c>
      <c r="D118" s="95">
        <v>10</v>
      </c>
      <c r="E118" s="95">
        <v>105.3</v>
      </c>
      <c r="F118" s="96">
        <v>1053</v>
      </c>
      <c r="G118" s="113" t="s">
        <v>55</v>
      </c>
      <c r="H118" s="114">
        <f t="shared" si="1"/>
        <v>46143</v>
      </c>
      <c r="I118" s="17"/>
      <c r="J118" s="17"/>
      <c r="K118" s="17"/>
    </row>
    <row r="119" spans="1:11" x14ac:dyDescent="0.2">
      <c r="A119" s="115">
        <v>46161</v>
      </c>
      <c r="B119" s="95" t="s">
        <v>973</v>
      </c>
      <c r="C119" s="94" t="s">
        <v>306</v>
      </c>
      <c r="D119" s="95">
        <v>2.85</v>
      </c>
      <c r="E119" s="95">
        <v>105.3</v>
      </c>
      <c r="F119" s="96">
        <v>300</v>
      </c>
      <c r="G119" s="113" t="s">
        <v>152</v>
      </c>
      <c r="H119" s="114">
        <f t="shared" si="1"/>
        <v>46143</v>
      </c>
      <c r="I119" s="17"/>
      <c r="J119" s="17"/>
      <c r="K119" s="17"/>
    </row>
    <row r="120" spans="1:11" x14ac:dyDescent="0.2">
      <c r="A120" s="115">
        <v>46161</v>
      </c>
      <c r="B120" s="95" t="s">
        <v>974</v>
      </c>
      <c r="C120" s="94" t="s">
        <v>225</v>
      </c>
      <c r="D120" s="95">
        <v>38.89</v>
      </c>
      <c r="E120" s="95">
        <v>105.3</v>
      </c>
      <c r="F120" s="96">
        <v>4095.11</v>
      </c>
      <c r="G120" s="113" t="s">
        <v>103</v>
      </c>
      <c r="H120" s="114">
        <f t="shared" si="1"/>
        <v>46143</v>
      </c>
      <c r="I120" s="17"/>
      <c r="J120" s="17"/>
      <c r="K120" s="17"/>
    </row>
    <row r="121" spans="1:11" x14ac:dyDescent="0.2">
      <c r="A121" s="115">
        <v>46161</v>
      </c>
      <c r="B121" s="95" t="s">
        <v>975</v>
      </c>
      <c r="C121" s="94" t="s">
        <v>745</v>
      </c>
      <c r="D121" s="95">
        <v>4.75</v>
      </c>
      <c r="E121" s="95">
        <v>105.3</v>
      </c>
      <c r="F121" s="96">
        <v>500</v>
      </c>
      <c r="G121" s="113" t="s">
        <v>714</v>
      </c>
      <c r="H121" s="114">
        <f t="shared" si="1"/>
        <v>46143</v>
      </c>
      <c r="I121" s="17"/>
      <c r="J121" s="17"/>
      <c r="K121" s="17"/>
    </row>
    <row r="122" spans="1:11" x14ac:dyDescent="0.2">
      <c r="A122" s="99">
        <v>46162</v>
      </c>
      <c r="B122" s="95" t="s">
        <v>995</v>
      </c>
      <c r="C122" s="94" t="s">
        <v>100</v>
      </c>
      <c r="D122" s="95">
        <v>33.86</v>
      </c>
      <c r="E122" s="95">
        <v>105.3</v>
      </c>
      <c r="F122" s="96">
        <v>3565.45</v>
      </c>
      <c r="G122" s="113" t="s">
        <v>55</v>
      </c>
      <c r="H122" s="114">
        <f t="shared" si="1"/>
        <v>46143</v>
      </c>
      <c r="I122" s="17"/>
      <c r="J122" s="17"/>
      <c r="K122" s="17"/>
    </row>
    <row r="123" spans="1:11" x14ac:dyDescent="0.2">
      <c r="A123" s="115">
        <v>46162</v>
      </c>
      <c r="B123" s="95" t="s">
        <v>996</v>
      </c>
      <c r="C123" s="94" t="s">
        <v>997</v>
      </c>
      <c r="D123" s="95">
        <v>10</v>
      </c>
      <c r="E123" s="95">
        <v>105.3</v>
      </c>
      <c r="F123" s="96">
        <v>1053</v>
      </c>
      <c r="G123" s="113" t="s">
        <v>257</v>
      </c>
      <c r="H123" s="114">
        <f t="shared" si="1"/>
        <v>46143</v>
      </c>
      <c r="I123" s="17"/>
      <c r="J123" s="17"/>
      <c r="K123" s="17"/>
    </row>
    <row r="124" spans="1:11" x14ac:dyDescent="0.2">
      <c r="A124" s="99">
        <v>46163</v>
      </c>
      <c r="B124" s="112" t="s">
        <v>1007</v>
      </c>
      <c r="C124" s="94" t="s">
        <v>141</v>
      </c>
      <c r="D124" s="95">
        <v>100</v>
      </c>
      <c r="E124" s="95">
        <v>105.3</v>
      </c>
      <c r="F124" s="96">
        <v>10530</v>
      </c>
      <c r="G124" s="113" t="s">
        <v>143</v>
      </c>
      <c r="H124" s="114">
        <f t="shared" si="1"/>
        <v>46143</v>
      </c>
      <c r="I124" s="17"/>
      <c r="J124" s="17"/>
      <c r="K124" s="17"/>
    </row>
    <row r="125" spans="1:11" x14ac:dyDescent="0.2">
      <c r="A125" s="115">
        <v>46163</v>
      </c>
      <c r="B125" s="112" t="s">
        <v>1008</v>
      </c>
      <c r="C125" s="94" t="s">
        <v>306</v>
      </c>
      <c r="D125" s="95">
        <v>2.85</v>
      </c>
      <c r="E125" s="95">
        <v>105.3</v>
      </c>
      <c r="F125" s="96">
        <v>300</v>
      </c>
      <c r="G125" s="113" t="s">
        <v>152</v>
      </c>
      <c r="H125" s="114">
        <f t="shared" si="1"/>
        <v>46143</v>
      </c>
      <c r="I125" s="17"/>
      <c r="J125" s="17"/>
      <c r="K125" s="17"/>
    </row>
    <row r="126" spans="1:11" x14ac:dyDescent="0.2">
      <c r="A126" s="115">
        <v>46163</v>
      </c>
      <c r="B126" s="112" t="s">
        <v>1009</v>
      </c>
      <c r="C126" s="94" t="s">
        <v>745</v>
      </c>
      <c r="D126" s="95">
        <v>9.5</v>
      </c>
      <c r="E126" s="95">
        <v>105.3</v>
      </c>
      <c r="F126" s="96">
        <v>1000</v>
      </c>
      <c r="G126" s="113" t="s">
        <v>714</v>
      </c>
      <c r="H126" s="114">
        <f t="shared" si="1"/>
        <v>46143</v>
      </c>
      <c r="I126" s="17"/>
      <c r="J126" s="17"/>
      <c r="K126" s="17"/>
    </row>
    <row r="127" spans="1:11" x14ac:dyDescent="0.2">
      <c r="A127" s="115">
        <v>46163</v>
      </c>
      <c r="B127" s="112" t="s">
        <v>1010</v>
      </c>
      <c r="C127" s="94" t="s">
        <v>601</v>
      </c>
      <c r="D127" s="95">
        <v>18.989999999999998</v>
      </c>
      <c r="E127" s="95">
        <v>105.3</v>
      </c>
      <c r="F127" s="96">
        <v>2000</v>
      </c>
      <c r="G127" s="113" t="s">
        <v>202</v>
      </c>
      <c r="H127" s="114">
        <f t="shared" si="1"/>
        <v>46143</v>
      </c>
      <c r="I127" s="17"/>
      <c r="J127" s="17"/>
      <c r="K127" s="17"/>
    </row>
    <row r="128" spans="1:11" x14ac:dyDescent="0.2">
      <c r="A128" s="115">
        <v>46163</v>
      </c>
      <c r="B128" s="112" t="s">
        <v>1011</v>
      </c>
      <c r="C128" s="94" t="s">
        <v>456</v>
      </c>
      <c r="D128" s="95">
        <v>40</v>
      </c>
      <c r="E128" s="95">
        <v>105.3</v>
      </c>
      <c r="F128" s="96">
        <v>4212</v>
      </c>
      <c r="G128" s="113" t="s">
        <v>53</v>
      </c>
      <c r="H128" s="114">
        <f t="shared" si="1"/>
        <v>46143</v>
      </c>
      <c r="I128" s="17"/>
      <c r="J128" s="17"/>
      <c r="K128" s="17"/>
    </row>
    <row r="129" spans="1:11" x14ac:dyDescent="0.2">
      <c r="A129" s="115">
        <v>46163</v>
      </c>
      <c r="B129" s="112" t="s">
        <v>1012</v>
      </c>
      <c r="C129" s="94" t="s">
        <v>101</v>
      </c>
      <c r="D129" s="95">
        <v>10</v>
      </c>
      <c r="E129" s="95">
        <v>105.3</v>
      </c>
      <c r="F129" s="96">
        <v>1053</v>
      </c>
      <c r="G129" s="113" t="s">
        <v>55</v>
      </c>
      <c r="H129" s="114">
        <f t="shared" si="1"/>
        <v>46143</v>
      </c>
      <c r="I129" s="17"/>
      <c r="J129" s="17"/>
      <c r="K129" s="17"/>
    </row>
    <row r="130" spans="1:11" x14ac:dyDescent="0.2">
      <c r="A130" s="115">
        <v>46163</v>
      </c>
      <c r="B130" s="112" t="s">
        <v>1013</v>
      </c>
      <c r="C130" s="94" t="s">
        <v>127</v>
      </c>
      <c r="D130" s="95">
        <v>20</v>
      </c>
      <c r="E130" s="95">
        <v>105.3</v>
      </c>
      <c r="F130" s="96">
        <v>2106</v>
      </c>
      <c r="G130" s="113" t="s">
        <v>59</v>
      </c>
      <c r="H130" s="114">
        <f t="shared" si="1"/>
        <v>46143</v>
      </c>
      <c r="I130" s="17"/>
      <c r="J130" s="17"/>
      <c r="K130" s="17"/>
    </row>
    <row r="131" spans="1:11" x14ac:dyDescent="0.2">
      <c r="A131" s="99">
        <v>46164</v>
      </c>
      <c r="B131" s="112" t="s">
        <v>1037</v>
      </c>
      <c r="C131" s="94" t="s">
        <v>1041</v>
      </c>
      <c r="D131" s="95">
        <v>4.75</v>
      </c>
      <c r="E131" s="95">
        <v>105.3</v>
      </c>
      <c r="F131" s="96">
        <v>500</v>
      </c>
      <c r="G131" s="113" t="s">
        <v>714</v>
      </c>
      <c r="H131" s="114">
        <f t="shared" si="1"/>
        <v>46143</v>
      </c>
      <c r="I131" s="17"/>
      <c r="J131" s="17"/>
      <c r="K131" s="17"/>
    </row>
    <row r="132" spans="1:11" x14ac:dyDescent="0.2">
      <c r="A132" s="115">
        <v>46164</v>
      </c>
      <c r="B132" s="112" t="s">
        <v>1038</v>
      </c>
      <c r="C132" s="94" t="s">
        <v>61</v>
      </c>
      <c r="D132" s="95">
        <v>10</v>
      </c>
      <c r="E132" s="95">
        <v>105.3</v>
      </c>
      <c r="F132" s="96">
        <v>1053</v>
      </c>
      <c r="G132" s="113" t="s">
        <v>55</v>
      </c>
      <c r="H132" s="114">
        <f t="shared" ref="H132:H195" si="2">IF(A132&lt;&gt;"", EOMONTH(A132, -1) + 1, "")</f>
        <v>46143</v>
      </c>
      <c r="I132" s="17"/>
      <c r="J132" s="17"/>
      <c r="K132" s="17"/>
    </row>
    <row r="133" spans="1:11" x14ac:dyDescent="0.2">
      <c r="A133" s="115">
        <v>46164</v>
      </c>
      <c r="B133" s="112" t="s">
        <v>1039</v>
      </c>
      <c r="C133" s="94" t="s">
        <v>852</v>
      </c>
      <c r="D133" s="95">
        <v>5</v>
      </c>
      <c r="E133" s="95">
        <v>105.3</v>
      </c>
      <c r="F133" s="96">
        <v>526.5</v>
      </c>
      <c r="G133" s="113" t="s">
        <v>55</v>
      </c>
      <c r="H133" s="114">
        <f t="shared" si="2"/>
        <v>46143</v>
      </c>
      <c r="I133" s="17"/>
      <c r="J133" s="17"/>
      <c r="K133" s="17"/>
    </row>
    <row r="134" spans="1:11" x14ac:dyDescent="0.2">
      <c r="A134" s="115">
        <v>46164</v>
      </c>
      <c r="B134" s="112" t="s">
        <v>1040</v>
      </c>
      <c r="C134" s="94" t="s">
        <v>305</v>
      </c>
      <c r="D134" s="95">
        <v>35.86</v>
      </c>
      <c r="E134" s="95">
        <v>105.3</v>
      </c>
      <c r="F134" s="96">
        <v>3776.05</v>
      </c>
      <c r="G134" s="113" t="s">
        <v>59</v>
      </c>
      <c r="H134" s="114">
        <f t="shared" si="2"/>
        <v>46143</v>
      </c>
      <c r="I134" s="17"/>
      <c r="J134" s="17"/>
      <c r="K134" s="17"/>
    </row>
    <row r="135" spans="1:11" x14ac:dyDescent="0.2">
      <c r="A135" s="99">
        <v>46165</v>
      </c>
      <c r="B135" s="95" t="s">
        <v>1069</v>
      </c>
      <c r="C135" s="94" t="s">
        <v>1071</v>
      </c>
      <c r="D135" s="95">
        <v>20</v>
      </c>
      <c r="E135" s="95">
        <v>106.22</v>
      </c>
      <c r="F135" s="96">
        <v>2124.4</v>
      </c>
      <c r="G135" s="113" t="s">
        <v>59</v>
      </c>
      <c r="H135" s="114">
        <f t="shared" si="2"/>
        <v>46143</v>
      </c>
      <c r="I135" s="17"/>
      <c r="J135" s="17"/>
      <c r="K135" s="17"/>
    </row>
    <row r="136" spans="1:11" x14ac:dyDescent="0.2">
      <c r="A136" s="115">
        <v>46165</v>
      </c>
      <c r="B136" s="95" t="s">
        <v>1070</v>
      </c>
      <c r="C136" s="94" t="s">
        <v>13</v>
      </c>
      <c r="D136" s="95">
        <v>5.63</v>
      </c>
      <c r="E136" s="95">
        <v>106.22</v>
      </c>
      <c r="F136" s="96">
        <v>598</v>
      </c>
      <c r="G136" s="113" t="s">
        <v>57</v>
      </c>
      <c r="H136" s="114">
        <f t="shared" si="2"/>
        <v>46143</v>
      </c>
      <c r="I136" s="17"/>
      <c r="J136" s="17"/>
      <c r="K136" s="17"/>
    </row>
    <row r="137" spans="1:11" x14ac:dyDescent="0.2">
      <c r="A137" s="99">
        <v>46166</v>
      </c>
      <c r="B137" s="95" t="s">
        <v>1080</v>
      </c>
      <c r="C137" s="94" t="s">
        <v>101</v>
      </c>
      <c r="D137" s="95">
        <v>10</v>
      </c>
      <c r="E137" s="95">
        <v>106.22</v>
      </c>
      <c r="F137" s="96">
        <v>1062.2</v>
      </c>
      <c r="G137" s="113" t="s">
        <v>55</v>
      </c>
      <c r="H137" s="114">
        <f t="shared" si="2"/>
        <v>46143</v>
      </c>
      <c r="I137" s="17"/>
      <c r="J137" s="17"/>
      <c r="K137" s="17"/>
    </row>
    <row r="138" spans="1:11" x14ac:dyDescent="0.2">
      <c r="A138" s="115">
        <v>46166</v>
      </c>
      <c r="B138" s="95" t="s">
        <v>1081</v>
      </c>
      <c r="C138" s="94" t="s">
        <v>306</v>
      </c>
      <c r="D138" s="95">
        <v>2.83</v>
      </c>
      <c r="E138" s="95">
        <v>106.22</v>
      </c>
      <c r="F138" s="96">
        <v>300</v>
      </c>
      <c r="G138" s="113" t="s">
        <v>152</v>
      </c>
      <c r="H138" s="114">
        <f t="shared" si="2"/>
        <v>46143</v>
      </c>
      <c r="I138" s="17"/>
      <c r="J138" s="17"/>
      <c r="K138" s="17"/>
    </row>
    <row r="139" spans="1:11" x14ac:dyDescent="0.2">
      <c r="A139" s="99">
        <v>46167</v>
      </c>
      <c r="B139" s="95" t="s">
        <v>1094</v>
      </c>
      <c r="C139" s="94" t="s">
        <v>617</v>
      </c>
      <c r="D139" s="95">
        <v>5</v>
      </c>
      <c r="E139" s="95">
        <v>109.01</v>
      </c>
      <c r="F139" s="96">
        <v>545.04999999999995</v>
      </c>
      <c r="G139" s="113" t="s">
        <v>55</v>
      </c>
      <c r="H139" s="114">
        <f t="shared" si="2"/>
        <v>46143</v>
      </c>
      <c r="I139" s="17"/>
      <c r="J139" s="17"/>
      <c r="K139" s="17"/>
    </row>
    <row r="140" spans="1:11" x14ac:dyDescent="0.2">
      <c r="A140" s="115">
        <v>46167</v>
      </c>
      <c r="B140" s="95" t="s">
        <v>1095</v>
      </c>
      <c r="C140" s="101" t="s">
        <v>467</v>
      </c>
      <c r="D140" s="95">
        <v>33.89</v>
      </c>
      <c r="E140" s="95">
        <v>109.01</v>
      </c>
      <c r="F140" s="96">
        <v>3694.34</v>
      </c>
      <c r="G140" s="113" t="s">
        <v>202</v>
      </c>
      <c r="H140" s="114">
        <f t="shared" si="2"/>
        <v>46143</v>
      </c>
      <c r="I140" s="17"/>
      <c r="J140" s="17"/>
      <c r="K140" s="17"/>
    </row>
    <row r="141" spans="1:11" x14ac:dyDescent="0.2">
      <c r="A141" s="99">
        <v>46168</v>
      </c>
      <c r="B141" s="95" t="s">
        <v>1106</v>
      </c>
      <c r="C141" s="101" t="s">
        <v>1113</v>
      </c>
      <c r="D141" s="95">
        <v>39.01</v>
      </c>
      <c r="E141" s="95">
        <v>109.01</v>
      </c>
      <c r="F141" s="96">
        <v>4252.4799999999996</v>
      </c>
      <c r="G141" s="113" t="s">
        <v>202</v>
      </c>
      <c r="H141" s="114">
        <f t="shared" si="2"/>
        <v>46143</v>
      </c>
      <c r="I141" s="17"/>
      <c r="J141" s="17"/>
      <c r="K141" s="17"/>
    </row>
    <row r="142" spans="1:11" x14ac:dyDescent="0.2">
      <c r="A142" s="115">
        <v>46168</v>
      </c>
      <c r="B142" s="95" t="s">
        <v>1107</v>
      </c>
      <c r="C142" s="94" t="s">
        <v>102</v>
      </c>
      <c r="D142" s="95">
        <v>28.12</v>
      </c>
      <c r="E142" s="95">
        <v>109.01</v>
      </c>
      <c r="F142" s="96">
        <v>3065.36</v>
      </c>
      <c r="G142" s="113" t="s">
        <v>103</v>
      </c>
      <c r="H142" s="114">
        <f t="shared" si="2"/>
        <v>46143</v>
      </c>
      <c r="I142" s="17"/>
      <c r="J142" s="17"/>
      <c r="K142" s="17"/>
    </row>
    <row r="143" spans="1:11" x14ac:dyDescent="0.2">
      <c r="A143" s="115">
        <v>46168</v>
      </c>
      <c r="B143" s="95" t="s">
        <v>1108</v>
      </c>
      <c r="C143" s="94" t="s">
        <v>225</v>
      </c>
      <c r="D143" s="95">
        <v>39</v>
      </c>
      <c r="E143" s="95">
        <v>109.01</v>
      </c>
      <c r="F143" s="96">
        <v>4251.3900000000003</v>
      </c>
      <c r="G143" s="113" t="s">
        <v>103</v>
      </c>
      <c r="H143" s="114">
        <f t="shared" si="2"/>
        <v>46143</v>
      </c>
      <c r="I143" s="17"/>
      <c r="J143" s="17"/>
      <c r="K143" s="17"/>
    </row>
    <row r="144" spans="1:11" x14ac:dyDescent="0.2">
      <c r="A144" s="115">
        <v>46168</v>
      </c>
      <c r="B144" s="95" t="s">
        <v>1109</v>
      </c>
      <c r="C144" s="94" t="s">
        <v>101</v>
      </c>
      <c r="D144" s="95">
        <v>28.53</v>
      </c>
      <c r="E144" s="95">
        <v>109.01</v>
      </c>
      <c r="F144" s="96">
        <v>3110.05</v>
      </c>
      <c r="G144" s="113" t="s">
        <v>55</v>
      </c>
      <c r="H144" s="114">
        <f t="shared" si="2"/>
        <v>46143</v>
      </c>
      <c r="I144" s="17"/>
      <c r="J144" s="17"/>
      <c r="K144" s="17"/>
    </row>
    <row r="145" spans="1:11" x14ac:dyDescent="0.2">
      <c r="A145" s="115">
        <v>46168</v>
      </c>
      <c r="B145" s="95" t="s">
        <v>1110</v>
      </c>
      <c r="C145" s="94" t="s">
        <v>100</v>
      </c>
      <c r="D145" s="95">
        <v>23</v>
      </c>
      <c r="E145" s="95">
        <v>109.01</v>
      </c>
      <c r="F145" s="96">
        <v>2507.23</v>
      </c>
      <c r="G145" s="113" t="s">
        <v>55</v>
      </c>
      <c r="H145" s="114">
        <f t="shared" si="2"/>
        <v>46143</v>
      </c>
      <c r="I145" s="17"/>
      <c r="J145" s="17"/>
      <c r="K145" s="17"/>
    </row>
    <row r="146" spans="1:11" x14ac:dyDescent="0.2">
      <c r="A146" s="115">
        <v>46168</v>
      </c>
      <c r="B146" s="95" t="s">
        <v>1111</v>
      </c>
      <c r="C146" s="94" t="s">
        <v>305</v>
      </c>
      <c r="D146" s="95">
        <v>36.06</v>
      </c>
      <c r="E146" s="95">
        <v>109.01</v>
      </c>
      <c r="F146" s="96">
        <v>3930.9</v>
      </c>
      <c r="G146" s="113" t="s">
        <v>59</v>
      </c>
      <c r="H146" s="114">
        <f t="shared" si="2"/>
        <v>46143</v>
      </c>
      <c r="I146" s="17"/>
      <c r="J146" s="17"/>
      <c r="K146" s="17"/>
    </row>
    <row r="147" spans="1:11" x14ac:dyDescent="0.2">
      <c r="A147" s="115">
        <v>46168</v>
      </c>
      <c r="B147" s="95" t="s">
        <v>1112</v>
      </c>
      <c r="C147" s="94" t="s">
        <v>1114</v>
      </c>
      <c r="D147" s="95">
        <v>20</v>
      </c>
      <c r="E147" s="95">
        <v>109.01</v>
      </c>
      <c r="F147" s="96">
        <v>2180.1999999999998</v>
      </c>
      <c r="G147" s="113" t="s">
        <v>59</v>
      </c>
      <c r="H147" s="114">
        <f t="shared" si="2"/>
        <v>46143</v>
      </c>
      <c r="I147" s="17"/>
      <c r="J147" s="17"/>
      <c r="K147" s="17"/>
    </row>
    <row r="148" spans="1:11" x14ac:dyDescent="0.2">
      <c r="A148" s="99">
        <v>46169</v>
      </c>
      <c r="B148" s="95" t="s">
        <v>1129</v>
      </c>
      <c r="C148" s="94" t="s">
        <v>1133</v>
      </c>
      <c r="D148" s="95">
        <v>10</v>
      </c>
      <c r="E148" s="95">
        <v>109.01</v>
      </c>
      <c r="F148" s="96">
        <v>1090.0999999999999</v>
      </c>
      <c r="G148" s="113" t="s">
        <v>55</v>
      </c>
      <c r="H148" s="114">
        <f t="shared" si="2"/>
        <v>46143</v>
      </c>
      <c r="I148" s="17"/>
      <c r="J148" s="17"/>
      <c r="K148" s="17"/>
    </row>
    <row r="149" spans="1:11" x14ac:dyDescent="0.2">
      <c r="A149" s="115">
        <v>46169</v>
      </c>
      <c r="B149" s="95" t="s">
        <v>1130</v>
      </c>
      <c r="C149" s="94" t="s">
        <v>61</v>
      </c>
      <c r="D149" s="95">
        <v>10</v>
      </c>
      <c r="E149" s="95">
        <v>109.01</v>
      </c>
      <c r="F149" s="96">
        <v>1090.0999999999999</v>
      </c>
      <c r="G149" s="113" t="s">
        <v>55</v>
      </c>
      <c r="H149" s="114">
        <f t="shared" si="2"/>
        <v>46143</v>
      </c>
      <c r="I149" s="17"/>
      <c r="J149" s="17"/>
      <c r="K149" s="17"/>
    </row>
    <row r="150" spans="1:11" x14ac:dyDescent="0.2">
      <c r="A150" s="115">
        <v>46169</v>
      </c>
      <c r="B150" s="95" t="s">
        <v>1131</v>
      </c>
      <c r="C150" s="94" t="s">
        <v>745</v>
      </c>
      <c r="D150" s="95">
        <v>9.17</v>
      </c>
      <c r="E150" s="95">
        <v>109.01</v>
      </c>
      <c r="F150" s="96">
        <v>1000</v>
      </c>
      <c r="G150" s="113" t="s">
        <v>714</v>
      </c>
      <c r="H150" s="114">
        <f t="shared" si="2"/>
        <v>46143</v>
      </c>
      <c r="I150" s="17"/>
      <c r="J150" s="17"/>
      <c r="K150" s="17"/>
    </row>
    <row r="151" spans="1:11" x14ac:dyDescent="0.2">
      <c r="A151" s="115">
        <v>46169</v>
      </c>
      <c r="B151" s="95" t="s">
        <v>1132</v>
      </c>
      <c r="C151" s="94" t="s">
        <v>306</v>
      </c>
      <c r="D151" s="95">
        <v>2.75</v>
      </c>
      <c r="E151" s="95">
        <v>109.01</v>
      </c>
      <c r="F151" s="96">
        <v>300</v>
      </c>
      <c r="G151" s="113" t="s">
        <v>152</v>
      </c>
      <c r="H151" s="114">
        <f t="shared" si="2"/>
        <v>46143</v>
      </c>
      <c r="I151" s="17"/>
      <c r="J151" s="17"/>
      <c r="K151" s="17"/>
    </row>
    <row r="152" spans="1:11" x14ac:dyDescent="0.2">
      <c r="A152" s="99">
        <v>46170</v>
      </c>
      <c r="B152" s="95" t="s">
        <v>1141</v>
      </c>
      <c r="C152" s="94" t="s">
        <v>306</v>
      </c>
      <c r="D152" s="95">
        <v>2.75</v>
      </c>
      <c r="E152" s="95">
        <v>109.01</v>
      </c>
      <c r="F152" s="96">
        <v>300</v>
      </c>
      <c r="G152" s="113" t="s">
        <v>152</v>
      </c>
      <c r="H152" s="114">
        <f t="shared" si="2"/>
        <v>46143</v>
      </c>
      <c r="I152" s="17"/>
      <c r="J152" s="17"/>
      <c r="K152" s="17"/>
    </row>
    <row r="153" spans="1:11" x14ac:dyDescent="0.2">
      <c r="A153" s="99">
        <v>46171</v>
      </c>
      <c r="B153" s="95" t="s">
        <v>1159</v>
      </c>
      <c r="C153" s="101" t="s">
        <v>181</v>
      </c>
      <c r="D153" s="95">
        <v>50</v>
      </c>
      <c r="E153" s="95">
        <v>109.01</v>
      </c>
      <c r="F153" s="130">
        <v>5450.5</v>
      </c>
      <c r="G153" s="113" t="s">
        <v>184</v>
      </c>
      <c r="H153" s="114">
        <f t="shared" si="2"/>
        <v>46143</v>
      </c>
      <c r="I153" s="17"/>
      <c r="J153" s="17"/>
      <c r="K153" s="17"/>
    </row>
    <row r="154" spans="1:11" x14ac:dyDescent="0.2">
      <c r="A154" s="115">
        <v>46171</v>
      </c>
      <c r="B154" s="95" t="s">
        <v>1160</v>
      </c>
      <c r="C154" s="101" t="s">
        <v>224</v>
      </c>
      <c r="D154" s="95">
        <v>4.22</v>
      </c>
      <c r="E154" s="95">
        <v>109.01</v>
      </c>
      <c r="F154" s="130">
        <v>460.02</v>
      </c>
      <c r="G154" s="113" t="s">
        <v>202</v>
      </c>
      <c r="H154" s="114">
        <f t="shared" si="2"/>
        <v>46143</v>
      </c>
      <c r="I154" s="17"/>
      <c r="J154" s="17"/>
      <c r="K154" s="17"/>
    </row>
    <row r="155" spans="1:11" x14ac:dyDescent="0.2">
      <c r="A155" s="115">
        <v>46171</v>
      </c>
      <c r="B155" s="95" t="s">
        <v>1161</v>
      </c>
      <c r="C155" s="101" t="s">
        <v>601</v>
      </c>
      <c r="D155" s="95">
        <v>36.33</v>
      </c>
      <c r="E155" s="95">
        <v>109.01</v>
      </c>
      <c r="F155" s="130">
        <v>3960.33</v>
      </c>
      <c r="G155" s="113" t="s">
        <v>202</v>
      </c>
      <c r="H155" s="114">
        <f t="shared" si="2"/>
        <v>46143</v>
      </c>
      <c r="I155" s="17"/>
      <c r="J155" s="17"/>
      <c r="K155" s="17"/>
    </row>
    <row r="156" spans="1:11" x14ac:dyDescent="0.2">
      <c r="A156" s="99">
        <v>46172</v>
      </c>
      <c r="B156" s="95" t="s">
        <v>1173</v>
      </c>
      <c r="C156" s="101" t="s">
        <v>141</v>
      </c>
      <c r="D156" s="95">
        <v>100</v>
      </c>
      <c r="E156" s="95">
        <v>109.01</v>
      </c>
      <c r="F156" s="96">
        <v>10901</v>
      </c>
      <c r="G156" s="113" t="s">
        <v>143</v>
      </c>
      <c r="H156" s="114">
        <f t="shared" si="2"/>
        <v>46143</v>
      </c>
      <c r="I156" s="17"/>
      <c r="J156" s="17"/>
      <c r="K156" s="17"/>
    </row>
    <row r="157" spans="1:11" x14ac:dyDescent="0.2">
      <c r="A157" s="115">
        <v>46172</v>
      </c>
      <c r="B157" s="95" t="s">
        <v>1174</v>
      </c>
      <c r="C157" s="94" t="s">
        <v>1171</v>
      </c>
      <c r="D157" s="95">
        <v>20</v>
      </c>
      <c r="E157" s="95">
        <v>109.01</v>
      </c>
      <c r="F157" s="96">
        <v>2180.1999999999998</v>
      </c>
      <c r="G157" s="113" t="s">
        <v>59</v>
      </c>
      <c r="H157" s="114">
        <f t="shared" si="2"/>
        <v>46143</v>
      </c>
      <c r="I157" s="17"/>
      <c r="J157" s="17"/>
      <c r="K157" s="17"/>
    </row>
    <row r="158" spans="1:11" x14ac:dyDescent="0.2">
      <c r="A158" s="115">
        <v>46172</v>
      </c>
      <c r="B158" s="95" t="s">
        <v>1175</v>
      </c>
      <c r="C158" s="94" t="s">
        <v>142</v>
      </c>
      <c r="D158" s="95">
        <v>4.95</v>
      </c>
      <c r="E158" s="95">
        <v>109.01</v>
      </c>
      <c r="F158" s="96">
        <v>539.59</v>
      </c>
      <c r="G158" s="113" t="s">
        <v>55</v>
      </c>
      <c r="H158" s="114">
        <f t="shared" si="2"/>
        <v>46143</v>
      </c>
      <c r="I158" s="17"/>
      <c r="J158" s="17"/>
      <c r="K158" s="17"/>
    </row>
    <row r="159" spans="1:11" x14ac:dyDescent="0.2">
      <c r="A159" s="115">
        <v>46172</v>
      </c>
      <c r="B159" s="95" t="s">
        <v>1176</v>
      </c>
      <c r="C159" s="94" t="s">
        <v>61</v>
      </c>
      <c r="D159" s="95">
        <v>10</v>
      </c>
      <c r="E159" s="95">
        <v>109.01</v>
      </c>
      <c r="F159" s="96">
        <v>1090.0999999999999</v>
      </c>
      <c r="G159" s="113" t="s">
        <v>55</v>
      </c>
      <c r="H159" s="114">
        <f t="shared" si="2"/>
        <v>46143</v>
      </c>
      <c r="I159" s="17"/>
      <c r="J159" s="17"/>
      <c r="K159" s="17"/>
    </row>
    <row r="160" spans="1:11" x14ac:dyDescent="0.2">
      <c r="A160" s="115">
        <v>46172</v>
      </c>
      <c r="B160" s="95" t="s">
        <v>1177</v>
      </c>
      <c r="C160" s="94" t="s">
        <v>1178</v>
      </c>
      <c r="D160" s="95">
        <v>5</v>
      </c>
      <c r="E160" s="95">
        <v>109.01</v>
      </c>
      <c r="F160" s="96">
        <v>545.04999999999995</v>
      </c>
      <c r="G160" s="113" t="s">
        <v>55</v>
      </c>
      <c r="H160" s="114">
        <f t="shared" si="2"/>
        <v>46143</v>
      </c>
      <c r="I160" s="17"/>
      <c r="J160" s="17"/>
      <c r="K160" s="17"/>
    </row>
    <row r="161" spans="1:11" x14ac:dyDescent="0.2">
      <c r="A161" s="99">
        <v>46173</v>
      </c>
      <c r="B161" s="95" t="s">
        <v>1238</v>
      </c>
      <c r="C161" s="94" t="s">
        <v>306</v>
      </c>
      <c r="D161" s="95">
        <v>2.75</v>
      </c>
      <c r="E161" s="95">
        <v>109.01</v>
      </c>
      <c r="F161" s="96">
        <v>300</v>
      </c>
      <c r="G161" s="113" t="s">
        <v>152</v>
      </c>
      <c r="H161" s="98"/>
      <c r="I161" s="17"/>
      <c r="J161" s="17"/>
      <c r="K161" s="17"/>
    </row>
    <row r="162" spans="1:11" x14ac:dyDescent="0.2">
      <c r="A162" s="115">
        <v>46173</v>
      </c>
      <c r="B162" s="95" t="s">
        <v>1239</v>
      </c>
      <c r="C162" s="94" t="s">
        <v>745</v>
      </c>
      <c r="D162" s="95">
        <v>9.17</v>
      </c>
      <c r="E162" s="95">
        <v>109.01</v>
      </c>
      <c r="F162" s="96">
        <v>1000</v>
      </c>
      <c r="G162" s="113" t="s">
        <v>714</v>
      </c>
      <c r="H162" s="114">
        <f t="shared" si="2"/>
        <v>46143</v>
      </c>
      <c r="I162" s="17"/>
      <c r="J162" s="17"/>
      <c r="K162" s="17"/>
    </row>
    <row r="163" spans="1:11" x14ac:dyDescent="0.2">
      <c r="A163" s="115">
        <v>46173</v>
      </c>
      <c r="B163" s="95" t="s">
        <v>1240</v>
      </c>
      <c r="C163" s="94" t="s">
        <v>1241</v>
      </c>
      <c r="D163" s="95">
        <v>50.46</v>
      </c>
      <c r="E163" s="95">
        <v>109.01</v>
      </c>
      <c r="F163" s="96">
        <v>5500</v>
      </c>
      <c r="G163" s="113" t="s">
        <v>202</v>
      </c>
      <c r="H163" s="114">
        <f t="shared" si="2"/>
        <v>46143</v>
      </c>
      <c r="I163" s="17"/>
      <c r="J163" s="17"/>
      <c r="K163" s="17"/>
    </row>
    <row r="164" spans="1:11" x14ac:dyDescent="0.2">
      <c r="A164" s="99">
        <v>46174</v>
      </c>
      <c r="B164" s="95" t="s">
        <v>1269</v>
      </c>
      <c r="C164" s="94" t="s">
        <v>1041</v>
      </c>
      <c r="D164" s="95">
        <v>4.59</v>
      </c>
      <c r="E164" s="95">
        <v>109.01</v>
      </c>
      <c r="F164" s="96">
        <v>500</v>
      </c>
      <c r="G164" s="113" t="s">
        <v>714</v>
      </c>
      <c r="H164" s="114">
        <f t="shared" si="2"/>
        <v>46174</v>
      </c>
      <c r="I164" s="17"/>
      <c r="J164" s="17"/>
      <c r="K164" s="17"/>
    </row>
    <row r="165" spans="1:11" x14ac:dyDescent="0.2">
      <c r="A165" s="115">
        <v>46174</v>
      </c>
      <c r="B165" s="95" t="s">
        <v>1270</v>
      </c>
      <c r="C165" s="101" t="s">
        <v>225</v>
      </c>
      <c r="D165" s="95">
        <v>38.82</v>
      </c>
      <c r="E165" s="95">
        <v>109.01</v>
      </c>
      <c r="F165" s="96">
        <v>4231.76</v>
      </c>
      <c r="G165" s="113" t="s">
        <v>103</v>
      </c>
      <c r="H165" s="114">
        <f t="shared" si="2"/>
        <v>46174</v>
      </c>
      <c r="I165" s="17"/>
      <c r="J165" s="17"/>
      <c r="K165" s="17"/>
    </row>
    <row r="166" spans="1:11" x14ac:dyDescent="0.2">
      <c r="A166" s="115">
        <v>46174</v>
      </c>
      <c r="B166" s="95" t="s">
        <v>1271</v>
      </c>
      <c r="C166" s="94" t="s">
        <v>44</v>
      </c>
      <c r="D166" s="95">
        <v>5</v>
      </c>
      <c r="E166" s="95">
        <v>109.01</v>
      </c>
      <c r="F166" s="96">
        <v>545.04999999999995</v>
      </c>
      <c r="G166" s="113" t="s">
        <v>56</v>
      </c>
      <c r="H166" s="114">
        <f t="shared" si="2"/>
        <v>46174</v>
      </c>
      <c r="I166" s="17"/>
      <c r="J166" s="17"/>
      <c r="K166" s="17"/>
    </row>
    <row r="167" spans="1:11" x14ac:dyDescent="0.2">
      <c r="A167" s="115">
        <v>46174</v>
      </c>
      <c r="B167" s="95" t="s">
        <v>1276</v>
      </c>
      <c r="C167" s="94"/>
      <c r="D167" s="95">
        <v>11.47</v>
      </c>
      <c r="E167" s="95">
        <v>109.01</v>
      </c>
      <c r="F167" s="96">
        <v>1249.98</v>
      </c>
      <c r="G167" s="113" t="s">
        <v>57</v>
      </c>
      <c r="H167" s="114">
        <f t="shared" si="2"/>
        <v>46174</v>
      </c>
      <c r="I167" s="17"/>
      <c r="J167" s="17"/>
      <c r="K167" s="17"/>
    </row>
    <row r="168" spans="1:11" x14ac:dyDescent="0.2">
      <c r="A168" s="115">
        <v>46175</v>
      </c>
      <c r="B168" s="95" t="s">
        <v>1294</v>
      </c>
      <c r="C168" s="94" t="s">
        <v>127</v>
      </c>
      <c r="D168" s="95">
        <v>20</v>
      </c>
      <c r="E168" s="95">
        <v>109.01</v>
      </c>
      <c r="F168" s="96">
        <v>2180.1999999999998</v>
      </c>
      <c r="G168" s="113" t="s">
        <v>59</v>
      </c>
      <c r="H168" s="114">
        <f t="shared" si="2"/>
        <v>46174</v>
      </c>
      <c r="I168" s="17"/>
      <c r="J168" s="17"/>
      <c r="K168" s="17"/>
    </row>
    <row r="169" spans="1:11" x14ac:dyDescent="0.2">
      <c r="A169" s="115">
        <v>46175</v>
      </c>
      <c r="B169" s="95" t="s">
        <v>1295</v>
      </c>
      <c r="C169" s="94" t="s">
        <v>306</v>
      </c>
      <c r="D169" s="95">
        <v>2.75</v>
      </c>
      <c r="E169" s="95">
        <v>109.01</v>
      </c>
      <c r="F169" s="96">
        <v>300</v>
      </c>
      <c r="G169" s="113" t="s">
        <v>152</v>
      </c>
      <c r="H169" s="114">
        <f t="shared" si="2"/>
        <v>46174</v>
      </c>
      <c r="I169" s="17"/>
      <c r="J169" s="17"/>
      <c r="K169" s="17"/>
    </row>
    <row r="170" spans="1:11" x14ac:dyDescent="0.2">
      <c r="A170" s="115">
        <v>46177</v>
      </c>
      <c r="B170" s="95" t="s">
        <v>1340</v>
      </c>
      <c r="C170" s="101" t="s">
        <v>456</v>
      </c>
      <c r="D170" s="95">
        <v>53</v>
      </c>
      <c r="E170" s="95">
        <v>109.01</v>
      </c>
      <c r="F170" s="96">
        <v>5777.53</v>
      </c>
      <c r="G170" s="113" t="s">
        <v>53</v>
      </c>
      <c r="H170" s="114">
        <f t="shared" si="2"/>
        <v>46174</v>
      </c>
      <c r="I170" s="17"/>
      <c r="J170" s="17"/>
      <c r="K170" s="17"/>
    </row>
    <row r="171" spans="1:11" x14ac:dyDescent="0.2">
      <c r="A171" s="115">
        <v>46177</v>
      </c>
      <c r="B171" s="95" t="s">
        <v>1341</v>
      </c>
      <c r="C171" s="101" t="s">
        <v>306</v>
      </c>
      <c r="D171" s="95">
        <v>2.75</v>
      </c>
      <c r="E171" s="95">
        <v>109.01</v>
      </c>
      <c r="F171" s="96">
        <v>300</v>
      </c>
      <c r="G171" s="113" t="s">
        <v>152</v>
      </c>
      <c r="H171" s="114">
        <f t="shared" si="2"/>
        <v>46174</v>
      </c>
      <c r="I171" s="17"/>
      <c r="J171" s="17"/>
      <c r="K171" s="17"/>
    </row>
    <row r="172" spans="1:11" x14ac:dyDescent="0.2">
      <c r="A172" s="115">
        <v>46177</v>
      </c>
      <c r="B172" s="95" t="s">
        <v>1342</v>
      </c>
      <c r="C172" s="101" t="s">
        <v>997</v>
      </c>
      <c r="D172" s="95">
        <v>10</v>
      </c>
      <c r="E172" s="95">
        <v>109.01</v>
      </c>
      <c r="F172" s="96">
        <v>1090.0999999999999</v>
      </c>
      <c r="G172" s="113" t="s">
        <v>257</v>
      </c>
      <c r="H172" s="114">
        <f t="shared" si="2"/>
        <v>46174</v>
      </c>
      <c r="I172" s="17"/>
      <c r="J172" s="17"/>
      <c r="K172" s="17"/>
    </row>
    <row r="173" spans="1:11" x14ac:dyDescent="0.2">
      <c r="A173" s="115">
        <v>46178</v>
      </c>
      <c r="B173" s="95" t="s">
        <v>1354</v>
      </c>
      <c r="C173" s="94" t="s">
        <v>305</v>
      </c>
      <c r="D173" s="95">
        <v>35.92</v>
      </c>
      <c r="E173" s="95">
        <v>109.01</v>
      </c>
      <c r="F173" s="96">
        <v>3915.63</v>
      </c>
      <c r="G173" s="113" t="s">
        <v>59</v>
      </c>
      <c r="H173" s="114">
        <f t="shared" si="2"/>
        <v>46174</v>
      </c>
      <c r="I173" s="17"/>
      <c r="J173" s="17"/>
      <c r="K173" s="17"/>
    </row>
    <row r="174" spans="1:11" x14ac:dyDescent="0.2">
      <c r="A174" s="115">
        <v>46178</v>
      </c>
      <c r="B174" s="95" t="s">
        <v>1355</v>
      </c>
      <c r="C174" s="94" t="s">
        <v>449</v>
      </c>
      <c r="D174" s="95">
        <v>40</v>
      </c>
      <c r="E174" s="95">
        <v>109.01</v>
      </c>
      <c r="F174" s="96">
        <v>4360.3999999999996</v>
      </c>
      <c r="G174" s="113" t="s">
        <v>53</v>
      </c>
      <c r="H174" s="114">
        <f t="shared" si="2"/>
        <v>46174</v>
      </c>
      <c r="I174" s="17"/>
      <c r="J174" s="17"/>
      <c r="K174" s="17"/>
    </row>
    <row r="175" spans="1:11" x14ac:dyDescent="0.2">
      <c r="A175" s="115">
        <v>46178</v>
      </c>
      <c r="B175" s="95" t="s">
        <v>1356</v>
      </c>
      <c r="C175" s="94" t="s">
        <v>1357</v>
      </c>
      <c r="D175" s="95">
        <v>9.17</v>
      </c>
      <c r="E175" s="95">
        <v>109.01</v>
      </c>
      <c r="F175" s="96">
        <v>1000</v>
      </c>
      <c r="G175" s="113" t="s">
        <v>714</v>
      </c>
      <c r="H175" s="114">
        <f t="shared" si="2"/>
        <v>46174</v>
      </c>
      <c r="I175" s="17"/>
      <c r="J175" s="17"/>
      <c r="K175" s="17"/>
    </row>
    <row r="176" spans="1:11" x14ac:dyDescent="0.2">
      <c r="A176" s="115">
        <v>46179</v>
      </c>
      <c r="B176" s="95" t="s">
        <v>1373</v>
      </c>
      <c r="C176" s="94" t="s">
        <v>1041</v>
      </c>
      <c r="D176" s="95">
        <v>1.84</v>
      </c>
      <c r="E176" s="95">
        <v>109.01</v>
      </c>
      <c r="F176" s="96">
        <v>200</v>
      </c>
      <c r="G176" s="113" t="s">
        <v>714</v>
      </c>
      <c r="H176" s="114">
        <f t="shared" si="2"/>
        <v>46174</v>
      </c>
      <c r="I176" s="17"/>
      <c r="J176" s="17"/>
      <c r="K176" s="17"/>
    </row>
    <row r="177" spans="1:11" x14ac:dyDescent="0.2">
      <c r="A177" s="115">
        <v>46179</v>
      </c>
      <c r="B177" s="95" t="s">
        <v>1374</v>
      </c>
      <c r="C177" s="94" t="s">
        <v>61</v>
      </c>
      <c r="D177" s="95">
        <v>10</v>
      </c>
      <c r="E177" s="95">
        <v>109.01</v>
      </c>
      <c r="F177" s="96">
        <v>1090.0999999999999</v>
      </c>
      <c r="G177" s="113" t="s">
        <v>55</v>
      </c>
      <c r="H177" s="114">
        <f t="shared" si="2"/>
        <v>46174</v>
      </c>
      <c r="I177" s="17"/>
      <c r="J177" s="17"/>
      <c r="K177" s="17"/>
    </row>
    <row r="178" spans="1:11" x14ac:dyDescent="0.2">
      <c r="A178" s="115">
        <v>46180</v>
      </c>
      <c r="B178" s="95" t="s">
        <v>1385</v>
      </c>
      <c r="C178" s="94" t="s">
        <v>1388</v>
      </c>
      <c r="D178" s="95">
        <v>2</v>
      </c>
      <c r="E178" s="95">
        <v>109.01</v>
      </c>
      <c r="F178" s="96">
        <v>218.02</v>
      </c>
      <c r="G178" s="113" t="s">
        <v>55</v>
      </c>
      <c r="H178" s="114">
        <f t="shared" si="2"/>
        <v>46174</v>
      </c>
      <c r="I178" s="17"/>
      <c r="J178" s="17"/>
      <c r="K178" s="17"/>
    </row>
    <row r="179" spans="1:11" x14ac:dyDescent="0.2">
      <c r="A179" s="115">
        <v>46180</v>
      </c>
      <c r="B179" s="95" t="s">
        <v>1386</v>
      </c>
      <c r="C179" s="94" t="s">
        <v>201</v>
      </c>
      <c r="D179" s="95">
        <v>20</v>
      </c>
      <c r="E179" s="95">
        <v>109.01</v>
      </c>
      <c r="F179" s="96">
        <v>2180.1999999999998</v>
      </c>
      <c r="G179" s="113" t="s">
        <v>202</v>
      </c>
      <c r="H179" s="114">
        <f t="shared" si="2"/>
        <v>46174</v>
      </c>
      <c r="I179" s="17"/>
      <c r="J179" s="17"/>
      <c r="K179" s="17"/>
    </row>
    <row r="180" spans="1:11" x14ac:dyDescent="0.2">
      <c r="A180" s="115">
        <v>46180</v>
      </c>
      <c r="B180" s="95" t="s">
        <v>1387</v>
      </c>
      <c r="C180" s="94" t="s">
        <v>306</v>
      </c>
      <c r="D180" s="95">
        <v>2.75</v>
      </c>
      <c r="E180" s="95">
        <v>109.01</v>
      </c>
      <c r="F180" s="96">
        <v>300</v>
      </c>
      <c r="G180" s="113" t="s">
        <v>152</v>
      </c>
      <c r="H180" s="114">
        <f t="shared" si="2"/>
        <v>46174</v>
      </c>
      <c r="I180" s="17"/>
      <c r="J180" s="17"/>
      <c r="K180" s="17"/>
    </row>
    <row r="181" spans="1:11" x14ac:dyDescent="0.2">
      <c r="A181" s="115">
        <v>46181</v>
      </c>
      <c r="B181" s="95" t="s">
        <v>1406</v>
      </c>
      <c r="C181" s="94" t="s">
        <v>1071</v>
      </c>
      <c r="D181" s="95">
        <v>8.7899999999999991</v>
      </c>
      <c r="E181" s="95">
        <v>109.01</v>
      </c>
      <c r="F181" s="96">
        <v>958.19</v>
      </c>
      <c r="G181" s="113" t="s">
        <v>59</v>
      </c>
      <c r="H181" s="114">
        <f t="shared" si="2"/>
        <v>46174</v>
      </c>
      <c r="I181" s="17"/>
      <c r="J181" s="17"/>
      <c r="K181" s="17"/>
    </row>
    <row r="182" spans="1:11" x14ac:dyDescent="0.2">
      <c r="A182" s="115">
        <v>46181</v>
      </c>
      <c r="B182" s="95" t="s">
        <v>1407</v>
      </c>
      <c r="C182" s="94" t="s">
        <v>102</v>
      </c>
      <c r="D182" s="95">
        <v>36.520000000000003</v>
      </c>
      <c r="E182" s="95">
        <v>109.01</v>
      </c>
      <c r="F182" s="96">
        <v>3981.04</v>
      </c>
      <c r="G182" s="113" t="s">
        <v>103</v>
      </c>
      <c r="H182" s="114">
        <f t="shared" si="2"/>
        <v>46174</v>
      </c>
      <c r="I182" s="17"/>
      <c r="J182" s="17"/>
      <c r="K182" s="17"/>
    </row>
    <row r="183" spans="1:11" x14ac:dyDescent="0.2">
      <c r="A183" s="115">
        <v>46181</v>
      </c>
      <c r="B183" s="95" t="s">
        <v>1408</v>
      </c>
      <c r="C183" s="94" t="s">
        <v>745</v>
      </c>
      <c r="D183" s="95">
        <v>9.17</v>
      </c>
      <c r="E183" s="95">
        <v>109.01</v>
      </c>
      <c r="F183" s="96">
        <v>1000</v>
      </c>
      <c r="G183" s="113" t="s">
        <v>714</v>
      </c>
      <c r="H183" s="114">
        <f t="shared" si="2"/>
        <v>46174</v>
      </c>
      <c r="I183" s="17"/>
      <c r="J183" s="17"/>
      <c r="K183" s="17"/>
    </row>
    <row r="184" spans="1:11" x14ac:dyDescent="0.2">
      <c r="A184" s="115">
        <v>46182</v>
      </c>
      <c r="B184" s="95" t="s">
        <v>1427</v>
      </c>
      <c r="C184" s="94" t="s">
        <v>225</v>
      </c>
      <c r="D184" s="95">
        <v>37.880000000000003</v>
      </c>
      <c r="E184" s="95">
        <v>109.01</v>
      </c>
      <c r="F184" s="96">
        <v>4129.29</v>
      </c>
      <c r="G184" s="113" t="s">
        <v>103</v>
      </c>
      <c r="H184" s="114">
        <f t="shared" si="2"/>
        <v>46174</v>
      </c>
      <c r="I184" s="17"/>
      <c r="J184" s="17"/>
      <c r="K184" s="17"/>
    </row>
    <row r="185" spans="1:11" x14ac:dyDescent="0.2">
      <c r="A185" s="115">
        <v>46182</v>
      </c>
      <c r="B185" s="95" t="s">
        <v>1428</v>
      </c>
      <c r="C185" s="94" t="s">
        <v>61</v>
      </c>
      <c r="D185" s="95">
        <v>15</v>
      </c>
      <c r="E185" s="95">
        <v>109.01</v>
      </c>
      <c r="F185" s="96">
        <v>1635.15</v>
      </c>
      <c r="G185" s="113" t="s">
        <v>55</v>
      </c>
      <c r="H185" s="114">
        <f t="shared" si="2"/>
        <v>46174</v>
      </c>
      <c r="I185" s="17"/>
      <c r="J185" s="17"/>
      <c r="K185" s="17"/>
    </row>
    <row r="186" spans="1:11" x14ac:dyDescent="0.2">
      <c r="A186" s="115">
        <v>46183</v>
      </c>
      <c r="B186" s="95" t="s">
        <v>1446</v>
      </c>
      <c r="C186" s="94" t="s">
        <v>1451</v>
      </c>
      <c r="D186" s="95">
        <v>3.39</v>
      </c>
      <c r="E186" s="95">
        <v>109.01</v>
      </c>
      <c r="F186" s="96">
        <v>369.54</v>
      </c>
      <c r="G186" s="113" t="s">
        <v>55</v>
      </c>
      <c r="H186" s="114">
        <f t="shared" si="2"/>
        <v>46174</v>
      </c>
      <c r="I186" s="17"/>
      <c r="J186" s="17"/>
      <c r="K186" s="17"/>
    </row>
    <row r="187" spans="1:11" x14ac:dyDescent="0.2">
      <c r="A187" s="115">
        <v>46183</v>
      </c>
      <c r="B187" s="95" t="s">
        <v>1447</v>
      </c>
      <c r="C187" s="94" t="s">
        <v>1452</v>
      </c>
      <c r="D187" s="95">
        <v>10.69</v>
      </c>
      <c r="E187" s="95">
        <v>109.01</v>
      </c>
      <c r="F187" s="96">
        <v>1165.31</v>
      </c>
      <c r="G187" s="113" t="s">
        <v>55</v>
      </c>
      <c r="H187" s="114">
        <f t="shared" si="2"/>
        <v>46174</v>
      </c>
      <c r="I187" s="17"/>
      <c r="J187" s="17"/>
      <c r="K187" s="17"/>
    </row>
    <row r="188" spans="1:11" x14ac:dyDescent="0.2">
      <c r="A188" s="115">
        <v>46183</v>
      </c>
      <c r="B188" s="95" t="s">
        <v>1448</v>
      </c>
      <c r="C188" s="94" t="s">
        <v>142</v>
      </c>
      <c r="D188" s="95">
        <v>4.5</v>
      </c>
      <c r="E188" s="95">
        <v>109.01</v>
      </c>
      <c r="F188" s="96">
        <v>490.54</v>
      </c>
      <c r="G188" s="113" t="s">
        <v>55</v>
      </c>
      <c r="H188" s="114">
        <f t="shared" si="2"/>
        <v>46174</v>
      </c>
      <c r="I188" s="17"/>
      <c r="J188" s="17"/>
      <c r="K188" s="17"/>
    </row>
    <row r="189" spans="1:11" x14ac:dyDescent="0.2">
      <c r="A189" s="115">
        <v>46183</v>
      </c>
      <c r="B189" s="95" t="s">
        <v>1449</v>
      </c>
      <c r="C189" s="94" t="s">
        <v>224</v>
      </c>
      <c r="D189" s="95">
        <v>4.5</v>
      </c>
      <c r="E189" s="95">
        <v>109.01</v>
      </c>
      <c r="F189" s="96">
        <v>490.54</v>
      </c>
      <c r="G189" s="113" t="s">
        <v>202</v>
      </c>
      <c r="H189" s="114">
        <f t="shared" si="2"/>
        <v>46174</v>
      </c>
      <c r="I189" s="17"/>
      <c r="J189" s="17"/>
      <c r="K189" s="17"/>
    </row>
    <row r="190" spans="1:11" x14ac:dyDescent="0.2">
      <c r="A190" s="115">
        <v>46183</v>
      </c>
      <c r="B190" s="95" t="s">
        <v>1450</v>
      </c>
      <c r="C190" s="94" t="s">
        <v>306</v>
      </c>
      <c r="D190" s="95">
        <v>2.75</v>
      </c>
      <c r="E190" s="95">
        <v>109.01</v>
      </c>
      <c r="F190" s="96">
        <v>300</v>
      </c>
      <c r="G190" s="113" t="s">
        <v>152</v>
      </c>
      <c r="H190" s="114">
        <f t="shared" si="2"/>
        <v>46174</v>
      </c>
      <c r="I190" s="17"/>
      <c r="J190" s="17"/>
      <c r="K190" s="17"/>
    </row>
    <row r="191" spans="1:11" x14ac:dyDescent="0.2">
      <c r="A191" s="115">
        <v>46184</v>
      </c>
      <c r="B191" s="95" t="s">
        <v>1465</v>
      </c>
      <c r="C191" s="94" t="s">
        <v>100</v>
      </c>
      <c r="D191" s="95">
        <v>10</v>
      </c>
      <c r="E191" s="95">
        <v>109.01</v>
      </c>
      <c r="F191" s="96">
        <v>1090.0999999999999</v>
      </c>
      <c r="G191" s="113" t="s">
        <v>55</v>
      </c>
      <c r="H191" s="114">
        <f t="shared" si="2"/>
        <v>46174</v>
      </c>
      <c r="I191" s="17"/>
      <c r="J191" s="17"/>
      <c r="K191" s="17"/>
    </row>
    <row r="192" spans="1:11" x14ac:dyDescent="0.2">
      <c r="A192" s="115">
        <v>46185</v>
      </c>
      <c r="B192" s="95" t="s">
        <v>1485</v>
      </c>
      <c r="C192" s="94" t="s">
        <v>13</v>
      </c>
      <c r="D192" s="95">
        <v>18.350000000000001</v>
      </c>
      <c r="E192" s="95">
        <v>109.01</v>
      </c>
      <c r="F192" s="96">
        <v>2000</v>
      </c>
      <c r="G192" s="113" t="s">
        <v>57</v>
      </c>
      <c r="H192" s="114">
        <f t="shared" si="2"/>
        <v>46174</v>
      </c>
      <c r="I192" s="17"/>
      <c r="J192" s="17"/>
      <c r="K192" s="17"/>
    </row>
    <row r="193" spans="1:11" x14ac:dyDescent="0.2">
      <c r="A193" s="115">
        <v>46185</v>
      </c>
      <c r="B193" s="95" t="s">
        <v>1486</v>
      </c>
      <c r="C193" s="94" t="s">
        <v>745</v>
      </c>
      <c r="D193" s="95">
        <v>9.17</v>
      </c>
      <c r="E193" s="95">
        <v>109.01</v>
      </c>
      <c r="F193" s="96">
        <v>1000</v>
      </c>
      <c r="G193" s="113" t="s">
        <v>714</v>
      </c>
      <c r="H193" s="114">
        <f t="shared" si="2"/>
        <v>46174</v>
      </c>
      <c r="I193" s="17"/>
      <c r="J193" s="17"/>
      <c r="K193" s="17"/>
    </row>
    <row r="194" spans="1:11" x14ac:dyDescent="0.2">
      <c r="A194" s="115">
        <v>46185</v>
      </c>
      <c r="B194" s="95" t="s">
        <v>1487</v>
      </c>
      <c r="C194" s="94" t="s">
        <v>306</v>
      </c>
      <c r="D194" s="95">
        <v>2.75</v>
      </c>
      <c r="E194" s="95">
        <v>109.01</v>
      </c>
      <c r="F194" s="96">
        <v>300</v>
      </c>
      <c r="G194" s="113" t="s">
        <v>152</v>
      </c>
      <c r="H194" s="114">
        <f t="shared" si="2"/>
        <v>46174</v>
      </c>
      <c r="I194" s="17"/>
      <c r="J194" s="17"/>
      <c r="K194" s="17"/>
    </row>
    <row r="195" spans="1:11" x14ac:dyDescent="0.2">
      <c r="A195" s="115">
        <v>46185</v>
      </c>
      <c r="B195" s="95" t="s">
        <v>1488</v>
      </c>
      <c r="C195" s="94" t="s">
        <v>1490</v>
      </c>
      <c r="D195" s="95">
        <v>4</v>
      </c>
      <c r="E195" s="95">
        <v>109.01</v>
      </c>
      <c r="F195" s="96">
        <v>436.04</v>
      </c>
      <c r="G195" s="113" t="s">
        <v>552</v>
      </c>
      <c r="H195" s="114">
        <f t="shared" si="2"/>
        <v>46174</v>
      </c>
      <c r="I195" s="17"/>
      <c r="J195" s="17"/>
      <c r="K195" s="17"/>
    </row>
    <row r="196" spans="1:11" x14ac:dyDescent="0.2">
      <c r="A196" s="115">
        <v>46185</v>
      </c>
      <c r="B196" s="95" t="s">
        <v>1489</v>
      </c>
      <c r="C196" s="94" t="s">
        <v>305</v>
      </c>
      <c r="D196" s="95">
        <v>20</v>
      </c>
      <c r="E196" s="95">
        <v>109.01</v>
      </c>
      <c r="F196" s="96">
        <v>2180.1999999999998</v>
      </c>
      <c r="G196" s="113" t="s">
        <v>59</v>
      </c>
      <c r="H196" s="114">
        <f t="shared" ref="H196:H259" si="3">IF(A196&lt;&gt;"", EOMONTH(A196, -1) + 1, "")</f>
        <v>46174</v>
      </c>
      <c r="I196" s="17"/>
      <c r="J196" s="17"/>
      <c r="K196" s="17"/>
    </row>
    <row r="197" spans="1:11" x14ac:dyDescent="0.2">
      <c r="A197" s="115">
        <v>46186</v>
      </c>
      <c r="B197" s="95" t="s">
        <v>1500</v>
      </c>
      <c r="C197" s="94" t="s">
        <v>1071</v>
      </c>
      <c r="D197" s="95">
        <v>10</v>
      </c>
      <c r="E197" s="95">
        <v>109.01</v>
      </c>
      <c r="F197" s="96">
        <v>1090.0999999999999</v>
      </c>
      <c r="G197" s="113" t="s">
        <v>59</v>
      </c>
      <c r="H197" s="114">
        <f t="shared" si="3"/>
        <v>46174</v>
      </c>
      <c r="I197" s="17"/>
      <c r="J197" s="17"/>
      <c r="K197" s="17"/>
    </row>
    <row r="198" spans="1:11" x14ac:dyDescent="0.2">
      <c r="A198" s="115">
        <v>46186</v>
      </c>
      <c r="B198" s="95" t="s">
        <v>1501</v>
      </c>
      <c r="C198" s="94" t="s">
        <v>700</v>
      </c>
      <c r="D198" s="95">
        <v>8</v>
      </c>
      <c r="E198" s="95">
        <v>109.01</v>
      </c>
      <c r="F198" s="96">
        <v>872.08</v>
      </c>
      <c r="G198" s="113" t="s">
        <v>55</v>
      </c>
      <c r="H198" s="114">
        <f t="shared" si="3"/>
        <v>46174</v>
      </c>
      <c r="I198" s="17"/>
      <c r="J198" s="17"/>
      <c r="K198" s="17"/>
    </row>
    <row r="199" spans="1:11" x14ac:dyDescent="0.2">
      <c r="A199" s="115">
        <v>46186</v>
      </c>
      <c r="B199" s="95" t="s">
        <v>1502</v>
      </c>
      <c r="C199" s="94" t="s">
        <v>1133</v>
      </c>
      <c r="D199" s="95">
        <v>10</v>
      </c>
      <c r="E199" s="95">
        <v>109.01</v>
      </c>
      <c r="F199" s="96">
        <v>1090.0999999999999</v>
      </c>
      <c r="G199" s="113" t="s">
        <v>55</v>
      </c>
      <c r="H199" s="114">
        <f t="shared" si="3"/>
        <v>46174</v>
      </c>
      <c r="I199" s="17"/>
      <c r="J199" s="17"/>
      <c r="K199" s="17"/>
    </row>
    <row r="200" spans="1:11" x14ac:dyDescent="0.2">
      <c r="A200" s="115">
        <v>46186</v>
      </c>
      <c r="B200" s="95" t="s">
        <v>1503</v>
      </c>
      <c r="C200" s="94" t="s">
        <v>102</v>
      </c>
      <c r="D200" s="95">
        <v>27.42</v>
      </c>
      <c r="E200" s="95">
        <v>109.01</v>
      </c>
      <c r="F200" s="96">
        <v>2989.05</v>
      </c>
      <c r="G200" s="113" t="s">
        <v>103</v>
      </c>
      <c r="H200" s="114">
        <f t="shared" si="3"/>
        <v>46174</v>
      </c>
      <c r="I200" s="17"/>
      <c r="J200" s="17"/>
      <c r="K200" s="17"/>
    </row>
    <row r="201" spans="1:11" x14ac:dyDescent="0.2">
      <c r="A201" s="115">
        <v>46187</v>
      </c>
      <c r="B201" s="95" t="s">
        <v>1534</v>
      </c>
      <c r="C201" s="94" t="s">
        <v>168</v>
      </c>
      <c r="D201" s="95">
        <v>10.73</v>
      </c>
      <c r="E201" s="95">
        <v>109.01</v>
      </c>
      <c r="F201" s="96">
        <v>1169.67</v>
      </c>
      <c r="G201" s="113" t="s">
        <v>59</v>
      </c>
      <c r="H201" s="114">
        <f t="shared" si="3"/>
        <v>46174</v>
      </c>
      <c r="I201" s="17"/>
      <c r="J201" s="17"/>
      <c r="K201" s="17"/>
    </row>
    <row r="202" spans="1:11" x14ac:dyDescent="0.2">
      <c r="A202" s="115">
        <v>46187</v>
      </c>
      <c r="B202" s="95" t="s">
        <v>1535</v>
      </c>
      <c r="C202" s="94" t="s">
        <v>997</v>
      </c>
      <c r="D202" s="95">
        <v>11.34</v>
      </c>
      <c r="E202" s="95">
        <v>109.01</v>
      </c>
      <c r="F202" s="96">
        <v>1236.17</v>
      </c>
      <c r="G202" s="113" t="s">
        <v>257</v>
      </c>
      <c r="H202" s="114">
        <f t="shared" si="3"/>
        <v>46174</v>
      </c>
      <c r="I202" s="17"/>
      <c r="J202" s="17"/>
      <c r="K202" s="17"/>
    </row>
    <row r="203" spans="1:11" x14ac:dyDescent="0.2">
      <c r="A203" s="115">
        <v>46187</v>
      </c>
      <c r="B203" s="95" t="s">
        <v>1536</v>
      </c>
      <c r="C203" s="94" t="s">
        <v>61</v>
      </c>
      <c r="D203" s="95">
        <v>10</v>
      </c>
      <c r="E203" s="95">
        <v>109.01</v>
      </c>
      <c r="F203" s="96">
        <v>1090.0999999999999</v>
      </c>
      <c r="G203" s="113" t="s">
        <v>55</v>
      </c>
      <c r="H203" s="114">
        <f t="shared" si="3"/>
        <v>46174</v>
      </c>
      <c r="I203" s="17"/>
      <c r="J203" s="17"/>
      <c r="K203" s="17"/>
    </row>
    <row r="204" spans="1:11" x14ac:dyDescent="0.2">
      <c r="A204" s="115">
        <v>46188</v>
      </c>
      <c r="B204" s="95" t="s">
        <v>1549</v>
      </c>
      <c r="C204" s="94" t="s">
        <v>449</v>
      </c>
      <c r="D204" s="95">
        <v>41</v>
      </c>
      <c r="E204" s="95">
        <v>109.01</v>
      </c>
      <c r="F204" s="96">
        <v>4469.41</v>
      </c>
      <c r="G204" s="113" t="s">
        <v>53</v>
      </c>
      <c r="H204" s="114">
        <f t="shared" si="3"/>
        <v>46174</v>
      </c>
      <c r="I204" s="17"/>
      <c r="J204" s="17"/>
      <c r="K204" s="17"/>
    </row>
    <row r="205" spans="1:11" x14ac:dyDescent="0.2">
      <c r="A205" s="115">
        <v>46188</v>
      </c>
      <c r="B205" s="95" t="s">
        <v>1550</v>
      </c>
      <c r="C205" s="94" t="s">
        <v>100</v>
      </c>
      <c r="D205" s="95">
        <v>10</v>
      </c>
      <c r="E205" s="95">
        <v>109.01</v>
      </c>
      <c r="F205" s="96">
        <v>1090.0999999999999</v>
      </c>
      <c r="G205" s="113" t="s">
        <v>55</v>
      </c>
      <c r="H205" s="114">
        <f t="shared" si="3"/>
        <v>46174</v>
      </c>
      <c r="I205" s="17"/>
      <c r="J205" s="17"/>
      <c r="K205" s="17"/>
    </row>
    <row r="206" spans="1:11" x14ac:dyDescent="0.2">
      <c r="A206" s="115">
        <v>46188</v>
      </c>
      <c r="B206" s="95" t="s">
        <v>1551</v>
      </c>
      <c r="C206" s="94" t="s">
        <v>142</v>
      </c>
      <c r="D206" s="95">
        <v>5</v>
      </c>
      <c r="E206" s="95">
        <v>109.01</v>
      </c>
      <c r="F206" s="96">
        <v>545.04999999999995</v>
      </c>
      <c r="G206" s="113" t="s">
        <v>55</v>
      </c>
      <c r="H206" s="114">
        <f t="shared" si="3"/>
        <v>46174</v>
      </c>
      <c r="I206" s="17"/>
      <c r="J206" s="17"/>
      <c r="K206" s="17"/>
    </row>
    <row r="207" spans="1:11" x14ac:dyDescent="0.2">
      <c r="A207" s="115">
        <v>46189</v>
      </c>
      <c r="B207" s="95" t="s">
        <v>1615</v>
      </c>
      <c r="C207" s="94" t="s">
        <v>306</v>
      </c>
      <c r="D207" s="95">
        <v>2.75</v>
      </c>
      <c r="E207" s="95">
        <v>109.01</v>
      </c>
      <c r="F207" s="96">
        <v>300</v>
      </c>
      <c r="G207" s="113" t="s">
        <v>152</v>
      </c>
      <c r="H207" s="114">
        <f t="shared" si="3"/>
        <v>46174</v>
      </c>
      <c r="I207" s="17"/>
      <c r="J207" s="17"/>
      <c r="K207" s="17"/>
    </row>
    <row r="208" spans="1:11" x14ac:dyDescent="0.2">
      <c r="A208" s="115">
        <v>46189</v>
      </c>
      <c r="B208" s="95" t="s">
        <v>1616</v>
      </c>
      <c r="C208" s="94" t="s">
        <v>1618</v>
      </c>
      <c r="D208" s="95">
        <v>1</v>
      </c>
      <c r="E208" s="95">
        <v>109.01</v>
      </c>
      <c r="F208" s="96">
        <v>109.01</v>
      </c>
      <c r="G208" s="113" t="s">
        <v>552</v>
      </c>
      <c r="H208" s="114">
        <f t="shared" si="3"/>
        <v>46174</v>
      </c>
      <c r="I208" s="17"/>
      <c r="J208" s="17"/>
      <c r="K208" s="17"/>
    </row>
    <row r="209" spans="1:11" x14ac:dyDescent="0.2">
      <c r="A209" s="115">
        <v>46189</v>
      </c>
      <c r="B209" s="95" t="s">
        <v>1617</v>
      </c>
      <c r="C209" s="94" t="s">
        <v>1490</v>
      </c>
      <c r="D209" s="95">
        <v>3.95</v>
      </c>
      <c r="E209" s="95">
        <v>109.01</v>
      </c>
      <c r="F209" s="96">
        <v>430.58</v>
      </c>
      <c r="G209" s="113" t="s">
        <v>552</v>
      </c>
      <c r="H209" s="114">
        <f t="shared" si="3"/>
        <v>46174</v>
      </c>
      <c r="I209" s="17"/>
      <c r="J209" s="17"/>
      <c r="K209" s="17"/>
    </row>
    <row r="210" spans="1:11" x14ac:dyDescent="0.2">
      <c r="A210" s="115">
        <v>46190</v>
      </c>
      <c r="B210" s="95" t="s">
        <v>1643</v>
      </c>
      <c r="C210" s="94" t="s">
        <v>1645</v>
      </c>
      <c r="D210" s="95">
        <v>6</v>
      </c>
      <c r="E210" s="95">
        <v>109.01</v>
      </c>
      <c r="F210" s="96">
        <v>654.05999999999995</v>
      </c>
      <c r="G210" s="113" t="s">
        <v>55</v>
      </c>
      <c r="H210" s="114">
        <f t="shared" si="3"/>
        <v>46174</v>
      </c>
      <c r="I210" s="17"/>
      <c r="J210" s="17"/>
      <c r="K210" s="17"/>
    </row>
    <row r="211" spans="1:11" x14ac:dyDescent="0.2">
      <c r="A211" s="115">
        <v>46190</v>
      </c>
      <c r="B211" s="95" t="s">
        <v>1644</v>
      </c>
      <c r="C211" s="94" t="s">
        <v>101</v>
      </c>
      <c r="D211" s="95">
        <v>10</v>
      </c>
      <c r="E211" s="95">
        <v>109.01</v>
      </c>
      <c r="F211" s="96">
        <v>1090.0999999999999</v>
      </c>
      <c r="G211" s="113" t="s">
        <v>55</v>
      </c>
      <c r="H211" s="114">
        <f t="shared" si="3"/>
        <v>46174</v>
      </c>
      <c r="I211" s="17"/>
      <c r="J211" s="17"/>
      <c r="K211" s="17"/>
    </row>
    <row r="212" spans="1:11" x14ac:dyDescent="0.2">
      <c r="A212" s="115">
        <v>46191</v>
      </c>
      <c r="B212" s="95" t="s">
        <v>1664</v>
      </c>
      <c r="C212" s="94" t="s">
        <v>1669</v>
      </c>
      <c r="D212" s="95">
        <v>10</v>
      </c>
      <c r="E212" s="95">
        <v>109.01</v>
      </c>
      <c r="F212" s="96">
        <v>1090.0999999999999</v>
      </c>
      <c r="G212" s="113" t="s">
        <v>55</v>
      </c>
      <c r="H212" s="114">
        <f t="shared" si="3"/>
        <v>46174</v>
      </c>
      <c r="I212" s="17"/>
      <c r="J212" s="17"/>
      <c r="K212" s="17"/>
    </row>
    <row r="213" spans="1:11" x14ac:dyDescent="0.2">
      <c r="A213" s="115">
        <v>46191</v>
      </c>
      <c r="B213" s="95" t="s">
        <v>1665</v>
      </c>
      <c r="C213" s="94" t="s">
        <v>102</v>
      </c>
      <c r="D213" s="95">
        <v>30</v>
      </c>
      <c r="E213" s="95">
        <v>109.01</v>
      </c>
      <c r="F213" s="96">
        <v>3270.3</v>
      </c>
      <c r="G213" s="97" t="s">
        <v>103</v>
      </c>
      <c r="H213" s="114">
        <f t="shared" si="3"/>
        <v>46174</v>
      </c>
      <c r="I213" s="17"/>
      <c r="J213" s="17"/>
      <c r="K213" s="17"/>
    </row>
    <row r="214" spans="1:11" x14ac:dyDescent="0.2">
      <c r="A214" s="115">
        <v>46191</v>
      </c>
      <c r="B214" s="95" t="s">
        <v>1666</v>
      </c>
      <c r="C214" s="94" t="s">
        <v>1670</v>
      </c>
      <c r="D214" s="95">
        <v>6.83</v>
      </c>
      <c r="E214" s="95">
        <v>109.01</v>
      </c>
      <c r="F214" s="96">
        <v>744.53</v>
      </c>
      <c r="G214" s="97" t="s">
        <v>103</v>
      </c>
      <c r="H214" s="114">
        <f t="shared" si="3"/>
        <v>46174</v>
      </c>
      <c r="I214" s="17"/>
      <c r="J214" s="17"/>
      <c r="K214" s="17"/>
    </row>
    <row r="215" spans="1:11" x14ac:dyDescent="0.2">
      <c r="A215" s="115">
        <v>46191</v>
      </c>
      <c r="B215" s="95" t="s">
        <v>1667</v>
      </c>
      <c r="C215" s="94" t="s">
        <v>1671</v>
      </c>
      <c r="D215" s="95">
        <v>11.01</v>
      </c>
      <c r="E215" s="95">
        <v>109.01</v>
      </c>
      <c r="F215" s="96">
        <v>1200.2</v>
      </c>
      <c r="G215" s="97" t="s">
        <v>103</v>
      </c>
      <c r="H215" s="114">
        <f t="shared" si="3"/>
        <v>46174</v>
      </c>
      <c r="I215" s="17"/>
      <c r="J215" s="17"/>
      <c r="K215" s="17"/>
    </row>
    <row r="216" spans="1:11" x14ac:dyDescent="0.2">
      <c r="A216" s="115">
        <v>46191</v>
      </c>
      <c r="B216" s="95" t="s">
        <v>1668</v>
      </c>
      <c r="C216" s="94" t="s">
        <v>225</v>
      </c>
      <c r="D216" s="95">
        <v>30</v>
      </c>
      <c r="E216" s="95">
        <v>109.01</v>
      </c>
      <c r="F216" s="96">
        <v>3270.3</v>
      </c>
      <c r="G216" s="97" t="s">
        <v>103</v>
      </c>
      <c r="H216" s="114">
        <f t="shared" si="3"/>
        <v>46174</v>
      </c>
      <c r="I216" s="17"/>
      <c r="J216" s="17"/>
      <c r="K216" s="17"/>
    </row>
    <row r="217" spans="1:11" x14ac:dyDescent="0.2">
      <c r="A217" s="115">
        <v>46192</v>
      </c>
      <c r="B217" s="95" t="s">
        <v>1697</v>
      </c>
      <c r="C217" s="94" t="s">
        <v>745</v>
      </c>
      <c r="D217" s="95">
        <v>9.17</v>
      </c>
      <c r="E217" s="95">
        <v>109.01</v>
      </c>
      <c r="F217" s="96">
        <v>1000</v>
      </c>
      <c r="G217" s="97" t="s">
        <v>714</v>
      </c>
      <c r="H217" s="114">
        <f t="shared" si="3"/>
        <v>46174</v>
      </c>
      <c r="I217" s="17"/>
      <c r="J217" s="17"/>
      <c r="K217" s="17"/>
    </row>
    <row r="218" spans="1:11" x14ac:dyDescent="0.2">
      <c r="A218" s="115">
        <v>46192</v>
      </c>
      <c r="B218" s="95" t="s">
        <v>1698</v>
      </c>
      <c r="C218" s="94" t="s">
        <v>101</v>
      </c>
      <c r="D218" s="95">
        <v>10</v>
      </c>
      <c r="E218" s="95">
        <v>109.01</v>
      </c>
      <c r="F218" s="96">
        <v>1090.0999999999999</v>
      </c>
      <c r="G218" s="97" t="s">
        <v>55</v>
      </c>
      <c r="H218" s="114">
        <f t="shared" si="3"/>
        <v>46174</v>
      </c>
      <c r="I218" s="17"/>
      <c r="J218" s="17"/>
      <c r="K218" s="17"/>
    </row>
    <row r="219" spans="1:11" x14ac:dyDescent="0.2">
      <c r="A219" s="115">
        <v>46192</v>
      </c>
      <c r="B219" s="95" t="s">
        <v>1699</v>
      </c>
      <c r="C219" s="94" t="s">
        <v>224</v>
      </c>
      <c r="D219" s="95">
        <v>4.3</v>
      </c>
      <c r="E219" s="95">
        <v>109.01</v>
      </c>
      <c r="F219" s="96">
        <v>468.74</v>
      </c>
      <c r="G219" s="97" t="s">
        <v>202</v>
      </c>
      <c r="H219" s="114">
        <f t="shared" si="3"/>
        <v>46174</v>
      </c>
      <c r="I219" s="17"/>
      <c r="J219" s="17"/>
      <c r="K219" s="17"/>
    </row>
    <row r="220" spans="1:11" x14ac:dyDescent="0.2">
      <c r="A220" s="115">
        <v>46192</v>
      </c>
      <c r="B220" s="95" t="s">
        <v>1700</v>
      </c>
      <c r="C220" s="94" t="s">
        <v>306</v>
      </c>
      <c r="D220" s="95">
        <v>2.75</v>
      </c>
      <c r="E220" s="95">
        <v>109.01</v>
      </c>
      <c r="F220" s="96">
        <v>300</v>
      </c>
      <c r="G220" s="97" t="s">
        <v>152</v>
      </c>
      <c r="H220" s="114">
        <f t="shared" si="3"/>
        <v>46174</v>
      </c>
      <c r="I220" s="17"/>
      <c r="J220" s="17"/>
      <c r="K220" s="17"/>
    </row>
    <row r="221" spans="1:11" x14ac:dyDescent="0.2">
      <c r="A221" s="115">
        <v>46194</v>
      </c>
      <c r="B221" s="95" t="s">
        <v>1732</v>
      </c>
      <c r="C221" s="94" t="s">
        <v>201</v>
      </c>
      <c r="D221" s="95">
        <v>20</v>
      </c>
      <c r="E221" s="95">
        <v>109.01</v>
      </c>
      <c r="F221" s="96">
        <v>2180.1999999999998</v>
      </c>
      <c r="G221" s="97" t="s">
        <v>202</v>
      </c>
      <c r="H221" s="114">
        <f t="shared" si="3"/>
        <v>46174</v>
      </c>
      <c r="I221" s="17"/>
      <c r="J221" s="17"/>
      <c r="K221" s="17"/>
    </row>
    <row r="222" spans="1:11" x14ac:dyDescent="0.2">
      <c r="A222" s="115">
        <v>46195</v>
      </c>
      <c r="B222" s="95" t="s">
        <v>1748</v>
      </c>
      <c r="C222" s="101" t="s">
        <v>306</v>
      </c>
      <c r="D222" s="95">
        <v>2.75</v>
      </c>
      <c r="E222" s="95">
        <v>109.01</v>
      </c>
      <c r="F222" s="96">
        <v>300</v>
      </c>
      <c r="G222" s="97" t="s">
        <v>152</v>
      </c>
      <c r="H222" s="114">
        <f t="shared" si="3"/>
        <v>46174</v>
      </c>
      <c r="I222" s="17"/>
      <c r="J222" s="17"/>
      <c r="K222" s="17"/>
    </row>
    <row r="223" spans="1:11" x14ac:dyDescent="0.2">
      <c r="A223" s="115">
        <v>46195</v>
      </c>
      <c r="B223" s="95" t="s">
        <v>1749</v>
      </c>
      <c r="C223" s="101" t="s">
        <v>225</v>
      </c>
      <c r="D223" s="95">
        <v>36.78</v>
      </c>
      <c r="E223" s="95">
        <v>109.01</v>
      </c>
      <c r="F223" s="96">
        <v>4009.38</v>
      </c>
      <c r="G223" s="97" t="s">
        <v>103</v>
      </c>
      <c r="H223" s="114">
        <f t="shared" si="3"/>
        <v>46174</v>
      </c>
      <c r="I223" s="17"/>
      <c r="J223" s="17"/>
      <c r="K223" s="17"/>
    </row>
    <row r="224" spans="1:11" x14ac:dyDescent="0.2">
      <c r="A224" s="115">
        <v>46196</v>
      </c>
      <c r="B224" s="95" t="s">
        <v>1787</v>
      </c>
      <c r="C224" s="94" t="s">
        <v>181</v>
      </c>
      <c r="D224" s="95">
        <v>50</v>
      </c>
      <c r="E224" s="95">
        <v>109.01</v>
      </c>
      <c r="F224" s="96">
        <v>5450.5</v>
      </c>
      <c r="G224" s="97" t="s">
        <v>184</v>
      </c>
      <c r="H224" s="114">
        <f t="shared" si="3"/>
        <v>46174</v>
      </c>
      <c r="I224" s="17"/>
      <c r="J224" s="17"/>
      <c r="K224" s="17"/>
    </row>
    <row r="225" spans="1:11" x14ac:dyDescent="0.2">
      <c r="A225" s="115">
        <v>46196</v>
      </c>
      <c r="B225" s="95" t="s">
        <v>1788</v>
      </c>
      <c r="C225" s="94" t="s">
        <v>1790</v>
      </c>
      <c r="D225" s="95">
        <v>50</v>
      </c>
      <c r="E225" s="95">
        <v>109.01</v>
      </c>
      <c r="F225" s="96">
        <v>5450.5</v>
      </c>
      <c r="G225" s="97" t="s">
        <v>184</v>
      </c>
      <c r="H225" s="114">
        <f t="shared" si="3"/>
        <v>46174</v>
      </c>
      <c r="I225" s="17"/>
      <c r="J225" s="17"/>
      <c r="K225" s="17"/>
    </row>
    <row r="226" spans="1:11" x14ac:dyDescent="0.2">
      <c r="A226" s="115">
        <v>46196</v>
      </c>
      <c r="B226" s="95" t="s">
        <v>1789</v>
      </c>
      <c r="C226" s="94" t="s">
        <v>997</v>
      </c>
      <c r="D226" s="95">
        <v>10</v>
      </c>
      <c r="E226" s="95">
        <v>109.01</v>
      </c>
      <c r="F226" s="96">
        <v>1090.0999999999999</v>
      </c>
      <c r="G226" s="97" t="s">
        <v>257</v>
      </c>
      <c r="H226" s="114">
        <f t="shared" si="3"/>
        <v>46174</v>
      </c>
      <c r="I226" s="17"/>
      <c r="J226" s="17"/>
      <c r="K226" s="17"/>
    </row>
    <row r="227" spans="1:11" x14ac:dyDescent="0.2">
      <c r="A227" s="115">
        <v>46197</v>
      </c>
      <c r="B227" s="95" t="s">
        <v>1969</v>
      </c>
      <c r="C227" s="94" t="s">
        <v>168</v>
      </c>
      <c r="D227" s="95">
        <v>10</v>
      </c>
      <c r="E227" s="95">
        <v>109.01</v>
      </c>
      <c r="F227" s="96">
        <v>1090.0999999999999</v>
      </c>
      <c r="G227" s="97" t="s">
        <v>59</v>
      </c>
      <c r="H227" s="114">
        <f t="shared" si="3"/>
        <v>46174</v>
      </c>
      <c r="I227" s="17"/>
      <c r="J227" s="17"/>
      <c r="K227" s="17"/>
    </row>
    <row r="228" spans="1:11" x14ac:dyDescent="0.2">
      <c r="A228" s="115">
        <v>46197</v>
      </c>
      <c r="B228" s="95" t="s">
        <v>1970</v>
      </c>
      <c r="C228" s="94" t="s">
        <v>305</v>
      </c>
      <c r="D228" s="95">
        <v>20</v>
      </c>
      <c r="E228" s="95">
        <v>109.01</v>
      </c>
      <c r="F228" s="96">
        <v>2180.1999999999998</v>
      </c>
      <c r="G228" s="97" t="s">
        <v>59</v>
      </c>
      <c r="H228" s="114">
        <f t="shared" si="3"/>
        <v>46174</v>
      </c>
      <c r="I228" s="17"/>
      <c r="J228" s="17"/>
      <c r="K228" s="17"/>
    </row>
    <row r="229" spans="1:11" x14ac:dyDescent="0.2">
      <c r="A229" s="115">
        <v>46197</v>
      </c>
      <c r="B229" s="95" t="s">
        <v>1971</v>
      </c>
      <c r="C229" s="94" t="s">
        <v>745</v>
      </c>
      <c r="D229" s="95">
        <v>2.75</v>
      </c>
      <c r="E229" s="95">
        <v>109.01</v>
      </c>
      <c r="F229" s="96">
        <v>300</v>
      </c>
      <c r="G229" s="97" t="s">
        <v>714</v>
      </c>
      <c r="H229" s="114">
        <f t="shared" si="3"/>
        <v>46174</v>
      </c>
      <c r="I229" s="17"/>
      <c r="J229" s="17"/>
      <c r="K229" s="17"/>
    </row>
    <row r="230" spans="1:11" x14ac:dyDescent="0.2">
      <c r="A230" s="115">
        <v>46198</v>
      </c>
      <c r="B230" s="95" t="s">
        <v>2024</v>
      </c>
      <c r="C230" s="94" t="s">
        <v>168</v>
      </c>
      <c r="D230" s="95">
        <v>10</v>
      </c>
      <c r="E230" s="95">
        <v>109.01</v>
      </c>
      <c r="F230" s="96">
        <v>1090.0999999999999</v>
      </c>
      <c r="G230" s="97" t="s">
        <v>59</v>
      </c>
      <c r="H230" s="114">
        <f t="shared" si="3"/>
        <v>46174</v>
      </c>
      <c r="I230" s="17"/>
      <c r="J230" s="17"/>
      <c r="K230" s="17"/>
    </row>
    <row r="231" spans="1:11" x14ac:dyDescent="0.2">
      <c r="A231" s="115">
        <v>46198</v>
      </c>
      <c r="B231" s="95" t="s">
        <v>2025</v>
      </c>
      <c r="C231" s="94" t="s">
        <v>745</v>
      </c>
      <c r="D231" s="95">
        <v>9.17</v>
      </c>
      <c r="E231" s="95">
        <v>109.01</v>
      </c>
      <c r="F231" s="96">
        <v>1000</v>
      </c>
      <c r="G231" s="97" t="s">
        <v>714</v>
      </c>
      <c r="H231" s="114">
        <f t="shared" si="3"/>
        <v>46174</v>
      </c>
      <c r="I231" s="17"/>
      <c r="J231" s="17"/>
      <c r="K231" s="17"/>
    </row>
    <row r="232" spans="1:11" x14ac:dyDescent="0.2">
      <c r="A232" s="115">
        <v>46199</v>
      </c>
      <c r="B232" s="95" t="s">
        <v>2159</v>
      </c>
      <c r="C232" s="94" t="s">
        <v>157</v>
      </c>
      <c r="D232" s="95">
        <v>8</v>
      </c>
      <c r="E232" s="95">
        <v>109.01</v>
      </c>
      <c r="F232" s="96">
        <v>872.08</v>
      </c>
      <c r="G232" s="97" t="s">
        <v>56</v>
      </c>
      <c r="H232" s="114">
        <f t="shared" si="3"/>
        <v>46174</v>
      </c>
      <c r="I232" s="17"/>
      <c r="J232" s="17"/>
      <c r="K232" s="17"/>
    </row>
    <row r="233" spans="1:11" x14ac:dyDescent="0.2">
      <c r="A233" s="115">
        <v>46199</v>
      </c>
      <c r="B233" s="95" t="s">
        <v>2160</v>
      </c>
      <c r="C233" s="94" t="s">
        <v>102</v>
      </c>
      <c r="D233" s="95">
        <v>34.75</v>
      </c>
      <c r="E233" s="95">
        <v>109.01</v>
      </c>
      <c r="F233" s="96">
        <v>3788.09</v>
      </c>
      <c r="G233" s="97" t="s">
        <v>103</v>
      </c>
      <c r="H233" s="114">
        <f t="shared" si="3"/>
        <v>46174</v>
      </c>
      <c r="I233" s="17"/>
      <c r="J233" s="17"/>
      <c r="K233" s="17"/>
    </row>
    <row r="234" spans="1:11" x14ac:dyDescent="0.2">
      <c r="A234" s="115">
        <v>46200</v>
      </c>
      <c r="B234" s="95" t="s">
        <v>2218</v>
      </c>
      <c r="C234" s="94" t="s">
        <v>168</v>
      </c>
      <c r="D234" s="95">
        <v>10</v>
      </c>
      <c r="E234" s="95">
        <v>109.01</v>
      </c>
      <c r="F234" s="96">
        <v>1090.0999999999999</v>
      </c>
      <c r="G234" s="97" t="s">
        <v>59</v>
      </c>
      <c r="H234" s="114">
        <f t="shared" si="3"/>
        <v>46174</v>
      </c>
      <c r="I234" s="17"/>
      <c r="J234" s="17"/>
      <c r="K234" s="17"/>
    </row>
    <row r="235" spans="1:11" x14ac:dyDescent="0.2">
      <c r="A235" s="115">
        <v>46201</v>
      </c>
      <c r="B235" s="95" t="s">
        <v>2323</v>
      </c>
      <c r="C235" s="101" t="s">
        <v>306</v>
      </c>
      <c r="D235" s="95">
        <v>2.75</v>
      </c>
      <c r="E235" s="95">
        <v>109.01</v>
      </c>
      <c r="F235" s="96">
        <v>300</v>
      </c>
      <c r="G235" s="97" t="s">
        <v>152</v>
      </c>
      <c r="H235" s="114">
        <f t="shared" si="3"/>
        <v>46174</v>
      </c>
      <c r="I235" s="17"/>
      <c r="J235" s="17"/>
      <c r="K235" s="17"/>
    </row>
    <row r="236" spans="1:11" x14ac:dyDescent="0.2">
      <c r="A236" s="115">
        <v>46202</v>
      </c>
      <c r="B236" s="95" t="s">
        <v>2334</v>
      </c>
      <c r="C236" s="94" t="s">
        <v>305</v>
      </c>
      <c r="D236" s="95">
        <v>20</v>
      </c>
      <c r="E236" s="95">
        <v>109.01</v>
      </c>
      <c r="F236" s="96">
        <v>2180.1999999999998</v>
      </c>
      <c r="G236" s="97" t="s">
        <v>59</v>
      </c>
      <c r="H236" s="114">
        <f t="shared" si="3"/>
        <v>46174</v>
      </c>
      <c r="I236" s="17"/>
      <c r="J236" s="17"/>
      <c r="K236" s="17"/>
    </row>
    <row r="237" spans="1:11" x14ac:dyDescent="0.2">
      <c r="A237" s="115">
        <v>46202</v>
      </c>
      <c r="B237" s="95" t="s">
        <v>2335</v>
      </c>
      <c r="C237" s="94" t="s">
        <v>224</v>
      </c>
      <c r="D237" s="95">
        <v>4.13</v>
      </c>
      <c r="E237" s="95">
        <v>109.01</v>
      </c>
      <c r="F237" s="96">
        <v>450.21</v>
      </c>
      <c r="G237" s="97" t="s">
        <v>202</v>
      </c>
      <c r="H237" s="114">
        <f t="shared" si="3"/>
        <v>46174</v>
      </c>
      <c r="I237" s="17"/>
      <c r="J237" s="17"/>
      <c r="K237" s="17"/>
    </row>
    <row r="238" spans="1:11" x14ac:dyDescent="0.2">
      <c r="A238" s="115">
        <v>46203</v>
      </c>
      <c r="B238" s="95" t="s">
        <v>2346</v>
      </c>
      <c r="C238" s="94" t="s">
        <v>2347</v>
      </c>
      <c r="D238" s="95">
        <v>36.700000000000003</v>
      </c>
      <c r="E238" s="95">
        <v>109.01</v>
      </c>
      <c r="F238" s="96">
        <v>4000</v>
      </c>
      <c r="G238" s="97" t="s">
        <v>202</v>
      </c>
      <c r="H238" s="114">
        <f t="shared" si="3"/>
        <v>46174</v>
      </c>
      <c r="I238" s="17"/>
      <c r="J238" s="17"/>
      <c r="K238" s="17"/>
    </row>
    <row r="239" spans="1:11" x14ac:dyDescent="0.2">
      <c r="A239" s="115">
        <v>46204</v>
      </c>
      <c r="B239" s="95" t="s">
        <v>2365</v>
      </c>
      <c r="C239" s="94" t="s">
        <v>306</v>
      </c>
      <c r="D239" s="95">
        <v>2.75</v>
      </c>
      <c r="E239" s="95">
        <v>109.01</v>
      </c>
      <c r="F239" s="96">
        <v>300</v>
      </c>
      <c r="G239" s="97" t="s">
        <v>152</v>
      </c>
      <c r="H239" s="114">
        <f t="shared" si="3"/>
        <v>46204</v>
      </c>
      <c r="I239" s="17"/>
      <c r="J239" s="17"/>
      <c r="K239" s="17"/>
    </row>
    <row r="240" spans="1:11" x14ac:dyDescent="0.2">
      <c r="A240" s="115">
        <v>46204</v>
      </c>
      <c r="B240" s="95" t="s">
        <v>2366</v>
      </c>
      <c r="C240" s="94" t="s">
        <v>225</v>
      </c>
      <c r="D240" s="95">
        <v>38.15</v>
      </c>
      <c r="E240" s="95">
        <v>109.01</v>
      </c>
      <c r="F240" s="96">
        <v>4158.7299999999996</v>
      </c>
      <c r="G240" s="97" t="s">
        <v>103</v>
      </c>
      <c r="H240" s="114">
        <f t="shared" si="3"/>
        <v>46204</v>
      </c>
      <c r="I240" s="17"/>
      <c r="J240" s="17"/>
      <c r="K240" s="17"/>
    </row>
    <row r="241" spans="1:11" x14ac:dyDescent="0.2">
      <c r="A241" s="115">
        <v>46204</v>
      </c>
      <c r="B241" s="95" t="s">
        <v>2367</v>
      </c>
      <c r="C241" s="94" t="s">
        <v>456</v>
      </c>
      <c r="D241" s="95">
        <v>30</v>
      </c>
      <c r="E241" s="95">
        <v>109.01</v>
      </c>
      <c r="F241" s="96">
        <v>3270.3</v>
      </c>
      <c r="G241" s="97" t="s">
        <v>53</v>
      </c>
      <c r="H241" s="114">
        <f t="shared" si="3"/>
        <v>46204</v>
      </c>
      <c r="I241" s="17"/>
      <c r="J241" s="17"/>
      <c r="K241" s="17"/>
    </row>
    <row r="242" spans="1:11" x14ac:dyDescent="0.2">
      <c r="A242" s="115">
        <v>46204</v>
      </c>
      <c r="B242" s="95" t="s">
        <v>2368</v>
      </c>
      <c r="C242" s="94" t="s">
        <v>745</v>
      </c>
      <c r="D242" s="95">
        <v>9.18</v>
      </c>
      <c r="E242" s="95">
        <v>109.01</v>
      </c>
      <c r="F242" s="96">
        <v>1000</v>
      </c>
      <c r="G242" s="97" t="s">
        <v>714</v>
      </c>
      <c r="H242" s="114">
        <f t="shared" si="3"/>
        <v>46204</v>
      </c>
      <c r="I242" s="17"/>
      <c r="J242" s="17"/>
      <c r="K242" s="17"/>
    </row>
    <row r="243" spans="1:11" x14ac:dyDescent="0.2">
      <c r="A243" s="115">
        <v>46204</v>
      </c>
      <c r="B243" s="95" t="s">
        <v>2369</v>
      </c>
      <c r="C243" s="94" t="s">
        <v>13</v>
      </c>
      <c r="D243" s="95">
        <v>39.9</v>
      </c>
      <c r="E243" s="95">
        <v>109.01</v>
      </c>
      <c r="F243" s="96">
        <v>4350</v>
      </c>
      <c r="G243" s="97" t="s">
        <v>2364</v>
      </c>
      <c r="H243" s="114">
        <f t="shared" si="3"/>
        <v>46204</v>
      </c>
      <c r="I243" s="17"/>
      <c r="J243" s="17"/>
      <c r="K243" s="17"/>
    </row>
    <row r="244" spans="1:11" x14ac:dyDescent="0.2">
      <c r="A244" s="115">
        <v>46205</v>
      </c>
      <c r="B244" s="95" t="s">
        <v>2396</v>
      </c>
      <c r="C244" s="94" t="s">
        <v>13</v>
      </c>
      <c r="D244" s="95">
        <v>38.68</v>
      </c>
      <c r="E244" s="95">
        <v>109.01</v>
      </c>
      <c r="F244" s="96">
        <v>4216</v>
      </c>
      <c r="G244" s="97" t="s">
        <v>2364</v>
      </c>
      <c r="H244" s="114">
        <f t="shared" si="3"/>
        <v>46204</v>
      </c>
      <c r="I244" s="17"/>
      <c r="J244" s="17"/>
      <c r="K244" s="17"/>
    </row>
    <row r="245" spans="1:11" x14ac:dyDescent="0.2">
      <c r="A245" s="115">
        <v>46205</v>
      </c>
      <c r="B245" s="95" t="s">
        <v>2397</v>
      </c>
      <c r="C245" s="94" t="s">
        <v>467</v>
      </c>
      <c r="D245" s="95">
        <v>30</v>
      </c>
      <c r="E245" s="95">
        <v>109.01</v>
      </c>
      <c r="F245" s="96">
        <v>3270.3</v>
      </c>
      <c r="G245" s="97" t="s">
        <v>202</v>
      </c>
      <c r="H245" s="114">
        <f t="shared" si="3"/>
        <v>46204</v>
      </c>
      <c r="I245" s="17"/>
      <c r="J245" s="17"/>
      <c r="K245" s="17"/>
    </row>
    <row r="246" spans="1:11" x14ac:dyDescent="0.2">
      <c r="A246" s="115">
        <v>46205</v>
      </c>
      <c r="B246" s="95" t="s">
        <v>2398</v>
      </c>
      <c r="C246" s="94" t="s">
        <v>102</v>
      </c>
      <c r="D246" s="95">
        <v>35.68</v>
      </c>
      <c r="E246" s="95">
        <v>109.01</v>
      </c>
      <c r="F246" s="96">
        <v>3889.47</v>
      </c>
      <c r="G246" s="97" t="s">
        <v>103</v>
      </c>
      <c r="H246" s="114">
        <f t="shared" si="3"/>
        <v>46204</v>
      </c>
      <c r="I246" s="17"/>
      <c r="J246" s="17"/>
      <c r="K246" s="17"/>
    </row>
    <row r="247" spans="1:11" x14ac:dyDescent="0.2">
      <c r="A247" s="115">
        <v>46206</v>
      </c>
      <c r="B247" s="95" t="s">
        <v>2430</v>
      </c>
      <c r="C247" s="94" t="s">
        <v>305</v>
      </c>
      <c r="D247" s="95">
        <v>36.43</v>
      </c>
      <c r="E247" s="95">
        <v>109.01</v>
      </c>
      <c r="F247" s="96">
        <v>3971.23</v>
      </c>
      <c r="G247" s="97" t="s">
        <v>59</v>
      </c>
      <c r="H247" s="114">
        <f t="shared" si="3"/>
        <v>46204</v>
      </c>
      <c r="I247" s="17"/>
      <c r="J247" s="17"/>
      <c r="K247" s="17"/>
    </row>
    <row r="248" spans="1:11" x14ac:dyDescent="0.2">
      <c r="A248" s="115">
        <v>46206</v>
      </c>
      <c r="B248" s="95" t="s">
        <v>2431</v>
      </c>
      <c r="C248" s="94"/>
      <c r="D248" s="95">
        <v>56.33</v>
      </c>
      <c r="E248" s="95">
        <v>109.01</v>
      </c>
      <c r="F248" s="96">
        <v>6140.26</v>
      </c>
      <c r="G248" s="97" t="s">
        <v>2364</v>
      </c>
      <c r="H248" s="114">
        <f t="shared" si="3"/>
        <v>46204</v>
      </c>
      <c r="I248" s="17"/>
      <c r="J248" s="17"/>
      <c r="K248" s="17"/>
    </row>
    <row r="249" spans="1:11" x14ac:dyDescent="0.2">
      <c r="A249" s="115">
        <v>46207</v>
      </c>
      <c r="B249" s="95" t="s">
        <v>2451</v>
      </c>
      <c r="C249" s="101" t="s">
        <v>13</v>
      </c>
      <c r="D249" s="95">
        <v>65.27</v>
      </c>
      <c r="E249" s="95">
        <v>109.01</v>
      </c>
      <c r="F249" s="96">
        <v>7115.05</v>
      </c>
      <c r="G249" s="97" t="s">
        <v>2364</v>
      </c>
      <c r="H249" s="114">
        <f t="shared" si="3"/>
        <v>46204</v>
      </c>
      <c r="I249" s="17"/>
      <c r="J249" s="17"/>
      <c r="K249" s="17"/>
    </row>
    <row r="250" spans="1:11" x14ac:dyDescent="0.2">
      <c r="A250" s="115">
        <v>46207</v>
      </c>
      <c r="B250" s="95" t="s">
        <v>2452</v>
      </c>
      <c r="C250" s="101" t="s">
        <v>306</v>
      </c>
      <c r="D250" s="95">
        <v>2.75</v>
      </c>
      <c r="E250" s="95">
        <v>109.01</v>
      </c>
      <c r="F250" s="96">
        <v>300</v>
      </c>
      <c r="G250" s="97" t="s">
        <v>152</v>
      </c>
      <c r="H250" s="114">
        <f t="shared" si="3"/>
        <v>46204</v>
      </c>
      <c r="I250" s="17"/>
      <c r="J250" s="17"/>
      <c r="K250" s="17"/>
    </row>
    <row r="251" spans="1:11" x14ac:dyDescent="0.2">
      <c r="A251" s="115">
        <v>46207</v>
      </c>
      <c r="B251" s="95" t="s">
        <v>2453</v>
      </c>
      <c r="C251" s="101" t="s">
        <v>13</v>
      </c>
      <c r="D251" s="95">
        <v>353.31</v>
      </c>
      <c r="E251" s="95">
        <v>109.01</v>
      </c>
      <c r="F251" s="96">
        <v>38515</v>
      </c>
      <c r="G251" s="97" t="s">
        <v>2450</v>
      </c>
      <c r="H251" s="114">
        <f t="shared" si="3"/>
        <v>46204</v>
      </c>
      <c r="I251" s="17"/>
      <c r="J251" s="17"/>
      <c r="K251" s="17"/>
    </row>
    <row r="252" spans="1:11" x14ac:dyDescent="0.2">
      <c r="A252" s="115">
        <v>46207</v>
      </c>
      <c r="B252" s="95" t="s">
        <v>2454</v>
      </c>
      <c r="C252" s="94" t="s">
        <v>13</v>
      </c>
      <c r="D252" s="95">
        <v>2.02</v>
      </c>
      <c r="E252" s="95">
        <v>109.01</v>
      </c>
      <c r="F252" s="96">
        <v>220</v>
      </c>
      <c r="G252" s="97" t="s">
        <v>2450</v>
      </c>
      <c r="H252" s="114">
        <f t="shared" si="3"/>
        <v>46204</v>
      </c>
      <c r="I252" s="17"/>
      <c r="J252" s="17"/>
      <c r="K252" s="17"/>
    </row>
    <row r="253" spans="1:11" x14ac:dyDescent="0.2">
      <c r="A253" s="115">
        <v>46207</v>
      </c>
      <c r="B253" s="95" t="s">
        <v>2455</v>
      </c>
      <c r="C253" s="94" t="s">
        <v>13</v>
      </c>
      <c r="D253" s="95">
        <v>155.71</v>
      </c>
      <c r="E253" s="95">
        <v>109.01</v>
      </c>
      <c r="F253" s="96">
        <v>16974</v>
      </c>
      <c r="G253" s="97" t="s">
        <v>2450</v>
      </c>
      <c r="H253" s="114">
        <f t="shared" si="3"/>
        <v>46204</v>
      </c>
      <c r="I253" s="17"/>
      <c r="J253" s="17"/>
      <c r="K253" s="17"/>
    </row>
    <row r="254" spans="1:11" x14ac:dyDescent="0.2">
      <c r="A254" s="115">
        <v>46208</v>
      </c>
      <c r="B254" s="95" t="s">
        <v>2499</v>
      </c>
      <c r="C254" s="94" t="s">
        <v>13</v>
      </c>
      <c r="D254" s="95">
        <v>325.05</v>
      </c>
      <c r="E254" s="95">
        <v>109.01</v>
      </c>
      <c r="F254" s="96">
        <v>35434</v>
      </c>
      <c r="G254" s="97" t="s">
        <v>2450</v>
      </c>
      <c r="H254" s="114">
        <f t="shared" si="3"/>
        <v>46204</v>
      </c>
      <c r="I254" s="17"/>
      <c r="J254" s="17"/>
      <c r="K254" s="17"/>
    </row>
    <row r="255" spans="1:11" x14ac:dyDescent="0.2">
      <c r="A255" s="115">
        <v>46208</v>
      </c>
      <c r="B255" s="95" t="s">
        <v>2500</v>
      </c>
      <c r="C255" s="94" t="s">
        <v>13</v>
      </c>
      <c r="D255" s="95">
        <v>1.01</v>
      </c>
      <c r="E255" s="95">
        <v>109.01</v>
      </c>
      <c r="F255" s="96">
        <v>110</v>
      </c>
      <c r="G255" s="97" t="s">
        <v>2450</v>
      </c>
      <c r="H255" s="114">
        <f t="shared" si="3"/>
        <v>46204</v>
      </c>
      <c r="I255" s="17"/>
      <c r="J255" s="17"/>
      <c r="K255" s="17"/>
    </row>
    <row r="256" spans="1:11" x14ac:dyDescent="0.2">
      <c r="A256" s="115">
        <v>46208</v>
      </c>
      <c r="B256" s="95" t="s">
        <v>2501</v>
      </c>
      <c r="C256" s="94" t="s">
        <v>13</v>
      </c>
      <c r="D256" s="95">
        <v>96.47</v>
      </c>
      <c r="E256" s="95">
        <v>109.01</v>
      </c>
      <c r="F256" s="96">
        <v>10515.82</v>
      </c>
      <c r="G256" s="97" t="s">
        <v>2364</v>
      </c>
      <c r="H256" s="114">
        <f t="shared" si="3"/>
        <v>46204</v>
      </c>
      <c r="I256" s="17"/>
      <c r="J256" s="17"/>
      <c r="K256" s="17"/>
    </row>
    <row r="257" spans="1:11" x14ac:dyDescent="0.2">
      <c r="A257" s="115">
        <v>46208</v>
      </c>
      <c r="B257" s="95" t="s">
        <v>2502</v>
      </c>
      <c r="C257" s="94" t="s">
        <v>201</v>
      </c>
      <c r="D257" s="95">
        <v>5</v>
      </c>
      <c r="E257" s="95">
        <v>109.01</v>
      </c>
      <c r="F257" s="96">
        <v>545.04999999999995</v>
      </c>
      <c r="G257" s="97" t="s">
        <v>202</v>
      </c>
      <c r="H257" s="114">
        <f t="shared" si="3"/>
        <v>46204</v>
      </c>
      <c r="I257" s="17"/>
      <c r="J257" s="17"/>
      <c r="K257" s="17"/>
    </row>
    <row r="258" spans="1:11" x14ac:dyDescent="0.2">
      <c r="A258" s="115">
        <v>46209</v>
      </c>
      <c r="B258" s="95" t="s">
        <v>2545</v>
      </c>
      <c r="C258" s="94"/>
      <c r="D258" s="95">
        <v>21.1</v>
      </c>
      <c r="E258" s="95">
        <v>109.01</v>
      </c>
      <c r="F258" s="96">
        <v>2300</v>
      </c>
      <c r="G258" s="97" t="s">
        <v>2364</v>
      </c>
      <c r="H258" s="114">
        <f t="shared" si="3"/>
        <v>46204</v>
      </c>
      <c r="I258" s="17"/>
      <c r="J258" s="17"/>
      <c r="K258" s="17"/>
    </row>
    <row r="259" spans="1:11" x14ac:dyDescent="0.2">
      <c r="A259" s="115">
        <v>46209</v>
      </c>
      <c r="B259" s="95" t="s">
        <v>2546</v>
      </c>
      <c r="C259" s="94"/>
      <c r="D259" s="95">
        <v>362.86</v>
      </c>
      <c r="E259" s="95">
        <v>109.01</v>
      </c>
      <c r="F259" s="96">
        <v>39555.25</v>
      </c>
      <c r="G259" s="97" t="s">
        <v>2450</v>
      </c>
      <c r="H259" s="114">
        <f t="shared" si="3"/>
        <v>46204</v>
      </c>
      <c r="I259" s="17"/>
      <c r="J259" s="17"/>
      <c r="K259" s="17"/>
    </row>
    <row r="260" spans="1:11" x14ac:dyDescent="0.2">
      <c r="A260" s="115">
        <v>46209</v>
      </c>
      <c r="B260" s="95" t="s">
        <v>2547</v>
      </c>
      <c r="C260" s="94"/>
      <c r="D260" s="95">
        <v>3.21</v>
      </c>
      <c r="E260" s="95">
        <v>109.01</v>
      </c>
      <c r="F260" s="96">
        <v>350</v>
      </c>
      <c r="G260" s="97" t="s">
        <v>2450</v>
      </c>
      <c r="H260" s="114">
        <f t="shared" ref="H260:H308" si="4">IF(A260&lt;&gt;"", EOMONTH(A260, -1) + 1, "")</f>
        <v>46204</v>
      </c>
      <c r="I260" s="17"/>
      <c r="J260" s="17"/>
      <c r="K260" s="17"/>
    </row>
    <row r="261" spans="1:11" x14ac:dyDescent="0.2">
      <c r="A261" s="115">
        <v>46209</v>
      </c>
      <c r="B261" s="95" t="s">
        <v>2548</v>
      </c>
      <c r="C261" s="94" t="s">
        <v>201</v>
      </c>
      <c r="D261" s="95">
        <v>7</v>
      </c>
      <c r="E261" s="95">
        <v>109.01</v>
      </c>
      <c r="F261" s="96">
        <v>763.07</v>
      </c>
      <c r="G261" s="97" t="s">
        <v>202</v>
      </c>
      <c r="H261" s="114">
        <f t="shared" si="4"/>
        <v>46204</v>
      </c>
      <c r="I261" s="17"/>
      <c r="J261" s="17"/>
      <c r="K261" s="17"/>
    </row>
    <row r="262" spans="1:11" x14ac:dyDescent="0.2">
      <c r="A262" s="115">
        <v>46210</v>
      </c>
      <c r="B262" s="95" t="s">
        <v>2565</v>
      </c>
      <c r="C262" s="94" t="s">
        <v>224</v>
      </c>
      <c r="D262" s="95">
        <v>4.29</v>
      </c>
      <c r="E262" s="95">
        <v>109.01</v>
      </c>
      <c r="F262" s="96">
        <v>467.65</v>
      </c>
      <c r="G262" s="97" t="s">
        <v>202</v>
      </c>
      <c r="H262" s="114">
        <f t="shared" si="4"/>
        <v>46204</v>
      </c>
      <c r="I262" s="17"/>
      <c r="J262" s="17"/>
      <c r="K262" s="17"/>
    </row>
    <row r="263" spans="1:11" x14ac:dyDescent="0.2">
      <c r="A263" s="115">
        <v>46210</v>
      </c>
      <c r="B263" s="95" t="s">
        <v>2566</v>
      </c>
      <c r="C263" s="94" t="s">
        <v>306</v>
      </c>
      <c r="D263" s="95">
        <v>2.76</v>
      </c>
      <c r="E263" s="95">
        <v>109.01</v>
      </c>
      <c r="F263" s="96">
        <v>300</v>
      </c>
      <c r="G263" s="97" t="s">
        <v>152</v>
      </c>
      <c r="H263" s="114">
        <f t="shared" si="4"/>
        <v>46204</v>
      </c>
      <c r="I263" s="17"/>
      <c r="J263" s="17"/>
      <c r="K263" s="17"/>
    </row>
    <row r="264" spans="1:11" x14ac:dyDescent="0.2">
      <c r="A264" s="115">
        <v>46210</v>
      </c>
      <c r="B264" s="95" t="s">
        <v>2567</v>
      </c>
      <c r="C264" s="94"/>
      <c r="D264" s="95">
        <v>150.32</v>
      </c>
      <c r="E264" s="95">
        <v>109.01</v>
      </c>
      <c r="F264" s="96">
        <v>16385.89</v>
      </c>
      <c r="G264" s="97" t="s">
        <v>2364</v>
      </c>
      <c r="H264" s="114">
        <f t="shared" si="4"/>
        <v>46204</v>
      </c>
      <c r="I264" s="17"/>
      <c r="J264" s="17"/>
      <c r="K264" s="17"/>
    </row>
    <row r="265" spans="1:11" x14ac:dyDescent="0.2">
      <c r="A265" s="115">
        <v>46210</v>
      </c>
      <c r="B265" s="95" t="s">
        <v>2568</v>
      </c>
      <c r="C265" s="94"/>
      <c r="D265" s="95">
        <v>493.3</v>
      </c>
      <c r="E265" s="95">
        <v>109.01</v>
      </c>
      <c r="F265" s="96">
        <v>53775.040000000001</v>
      </c>
      <c r="G265" s="97" t="s">
        <v>2450</v>
      </c>
      <c r="H265" s="114">
        <f t="shared" si="4"/>
        <v>46204</v>
      </c>
      <c r="I265" s="17"/>
      <c r="J265" s="17"/>
      <c r="K265" s="17"/>
    </row>
    <row r="266" spans="1:11" x14ac:dyDescent="0.2">
      <c r="A266" s="115">
        <v>46210</v>
      </c>
      <c r="B266" s="95" t="s">
        <v>2569</v>
      </c>
      <c r="C266" s="94"/>
      <c r="D266" s="95">
        <v>5.69</v>
      </c>
      <c r="E266" s="95">
        <v>109.01</v>
      </c>
      <c r="F266" s="96">
        <v>620</v>
      </c>
      <c r="G266" s="97" t="s">
        <v>2450</v>
      </c>
      <c r="H266" s="114">
        <f t="shared" si="4"/>
        <v>46204</v>
      </c>
      <c r="I266" s="17"/>
      <c r="J266" s="17"/>
      <c r="K266" s="17"/>
    </row>
    <row r="267" spans="1:11" x14ac:dyDescent="0.2">
      <c r="A267" s="115">
        <v>46211</v>
      </c>
      <c r="B267" s="95" t="s">
        <v>2613</v>
      </c>
      <c r="C267" s="94" t="s">
        <v>2620</v>
      </c>
      <c r="D267" s="95">
        <v>5</v>
      </c>
      <c r="E267" s="95">
        <v>109.01</v>
      </c>
      <c r="F267" s="96">
        <v>545.04999999999995</v>
      </c>
      <c r="G267" s="97" t="s">
        <v>1483</v>
      </c>
      <c r="H267" s="114">
        <f t="shared" si="4"/>
        <v>46204</v>
      </c>
      <c r="I267" s="17"/>
      <c r="J267" s="17"/>
      <c r="K267" s="17"/>
    </row>
    <row r="268" spans="1:11" x14ac:dyDescent="0.2">
      <c r="A268" s="115">
        <v>46211</v>
      </c>
      <c r="B268" s="95" t="s">
        <v>2614</v>
      </c>
      <c r="C268" s="94" t="s">
        <v>306</v>
      </c>
      <c r="D268" s="95">
        <v>0.92</v>
      </c>
      <c r="E268" s="95">
        <v>109.01</v>
      </c>
      <c r="F268" s="96">
        <v>100</v>
      </c>
      <c r="G268" s="97" t="s">
        <v>152</v>
      </c>
      <c r="H268" s="114">
        <f t="shared" si="4"/>
        <v>46204</v>
      </c>
      <c r="I268" s="17"/>
      <c r="J268" s="17"/>
      <c r="K268" s="17"/>
    </row>
    <row r="269" spans="1:11" x14ac:dyDescent="0.2">
      <c r="A269" s="115">
        <v>46211</v>
      </c>
      <c r="B269" s="95" t="s">
        <v>2615</v>
      </c>
      <c r="C269" s="94" t="s">
        <v>1041</v>
      </c>
      <c r="D269" s="95">
        <v>6.42</v>
      </c>
      <c r="E269" s="95">
        <v>109.01</v>
      </c>
      <c r="F269" s="96">
        <v>700</v>
      </c>
      <c r="G269" s="97" t="s">
        <v>714</v>
      </c>
      <c r="H269" s="114">
        <f t="shared" si="4"/>
        <v>46204</v>
      </c>
      <c r="I269" s="17"/>
      <c r="J269" s="17"/>
      <c r="K269" s="17"/>
    </row>
    <row r="270" spans="1:11" x14ac:dyDescent="0.2">
      <c r="A270" s="115">
        <v>46211</v>
      </c>
      <c r="B270" s="95" t="s">
        <v>2616</v>
      </c>
      <c r="C270" s="94" t="s">
        <v>225</v>
      </c>
      <c r="D270" s="95">
        <v>40.19</v>
      </c>
      <c r="E270" s="95">
        <v>109.01</v>
      </c>
      <c r="F270" s="96">
        <v>4381.1099999999997</v>
      </c>
      <c r="G270" s="97" t="s">
        <v>103</v>
      </c>
      <c r="H270" s="114">
        <f t="shared" si="4"/>
        <v>46204</v>
      </c>
      <c r="I270" s="17"/>
      <c r="J270" s="17"/>
      <c r="K270" s="17"/>
    </row>
    <row r="271" spans="1:11" x14ac:dyDescent="0.2">
      <c r="A271" s="115">
        <v>46211</v>
      </c>
      <c r="B271" s="95" t="s">
        <v>2617</v>
      </c>
      <c r="C271" s="94"/>
      <c r="D271" s="95">
        <v>42.57</v>
      </c>
      <c r="E271" s="95">
        <v>109.01</v>
      </c>
      <c r="F271" s="96">
        <v>4640.2</v>
      </c>
      <c r="G271" s="97" t="s">
        <v>2364</v>
      </c>
      <c r="H271" s="114">
        <f t="shared" si="4"/>
        <v>46204</v>
      </c>
      <c r="I271" s="17"/>
      <c r="J271" s="17"/>
      <c r="K271" s="17"/>
    </row>
    <row r="272" spans="1:11" x14ac:dyDescent="0.2">
      <c r="A272" s="115">
        <v>46211</v>
      </c>
      <c r="B272" s="95" t="s">
        <v>2618</v>
      </c>
      <c r="C272" s="94"/>
      <c r="D272" s="95">
        <v>413.85</v>
      </c>
      <c r="E272" s="95">
        <v>109.01</v>
      </c>
      <c r="F272" s="96">
        <v>45114</v>
      </c>
      <c r="G272" s="97" t="s">
        <v>2450</v>
      </c>
      <c r="H272" s="114">
        <f t="shared" si="4"/>
        <v>46204</v>
      </c>
      <c r="I272" s="17"/>
      <c r="J272" s="17"/>
      <c r="K272" s="17"/>
    </row>
    <row r="273" spans="1:11" x14ac:dyDescent="0.2">
      <c r="A273" s="115">
        <v>46211</v>
      </c>
      <c r="B273" s="95" t="s">
        <v>2619</v>
      </c>
      <c r="C273" s="94"/>
      <c r="D273" s="95">
        <v>36.79</v>
      </c>
      <c r="E273" s="95">
        <v>109.01</v>
      </c>
      <c r="F273" s="96">
        <v>4010</v>
      </c>
      <c r="G273" s="97" t="s">
        <v>2450</v>
      </c>
      <c r="H273" s="114">
        <f t="shared" si="4"/>
        <v>46204</v>
      </c>
      <c r="I273" s="17"/>
      <c r="J273" s="17"/>
      <c r="K273" s="17"/>
    </row>
    <row r="274" spans="1:11" x14ac:dyDescent="0.2">
      <c r="A274" s="115">
        <v>46212</v>
      </c>
      <c r="B274" s="95" t="s">
        <v>2647</v>
      </c>
      <c r="C274" s="94" t="s">
        <v>13</v>
      </c>
      <c r="D274" s="95">
        <v>366.79</v>
      </c>
      <c r="E274" s="95">
        <v>109.01</v>
      </c>
      <c r="F274" s="96">
        <v>39984.28</v>
      </c>
      <c r="G274" s="97" t="s">
        <v>2450</v>
      </c>
      <c r="H274" s="114">
        <f t="shared" si="4"/>
        <v>46204</v>
      </c>
      <c r="I274" s="17"/>
      <c r="J274" s="17"/>
      <c r="K274" s="17"/>
    </row>
    <row r="275" spans="1:11" x14ac:dyDescent="0.2">
      <c r="A275" s="115">
        <v>46212</v>
      </c>
      <c r="B275" s="95" t="s">
        <v>2648</v>
      </c>
      <c r="C275" s="94" t="s">
        <v>13</v>
      </c>
      <c r="D275" s="95">
        <v>34.380000000000003</v>
      </c>
      <c r="E275" s="95">
        <v>109.01</v>
      </c>
      <c r="F275" s="96">
        <v>3747</v>
      </c>
      <c r="G275" s="97" t="s">
        <v>2450</v>
      </c>
      <c r="H275" s="114">
        <f t="shared" si="4"/>
        <v>46204</v>
      </c>
      <c r="I275" s="17"/>
      <c r="J275" s="17"/>
      <c r="K275" s="17"/>
    </row>
    <row r="276" spans="1:11" x14ac:dyDescent="0.2">
      <c r="A276" s="115">
        <v>46212</v>
      </c>
      <c r="B276" s="95" t="s">
        <v>2649</v>
      </c>
      <c r="C276" s="94" t="s">
        <v>13</v>
      </c>
      <c r="D276" s="95">
        <v>43.19</v>
      </c>
      <c r="E276" s="95">
        <v>109.01</v>
      </c>
      <c r="F276" s="96">
        <v>4708</v>
      </c>
      <c r="G276" s="97" t="s">
        <v>2364</v>
      </c>
      <c r="H276" s="114">
        <f t="shared" si="4"/>
        <v>46204</v>
      </c>
      <c r="I276" s="17"/>
      <c r="J276" s="17"/>
      <c r="K276" s="17"/>
    </row>
    <row r="277" spans="1:11" x14ac:dyDescent="0.2">
      <c r="A277" s="115">
        <v>46212</v>
      </c>
      <c r="B277" s="95" t="s">
        <v>2650</v>
      </c>
      <c r="C277" s="94" t="s">
        <v>306</v>
      </c>
      <c r="D277" s="95">
        <v>0.92</v>
      </c>
      <c r="E277" s="95">
        <v>109.01</v>
      </c>
      <c r="F277" s="96">
        <v>100</v>
      </c>
      <c r="G277" s="97" t="s">
        <v>152</v>
      </c>
      <c r="H277" s="114">
        <f t="shared" si="4"/>
        <v>46204</v>
      </c>
      <c r="I277" s="17"/>
      <c r="J277" s="17"/>
      <c r="K277" s="17"/>
    </row>
    <row r="278" spans="1:11" x14ac:dyDescent="0.2">
      <c r="A278" s="115">
        <v>46212</v>
      </c>
      <c r="B278" s="95" t="s">
        <v>2651</v>
      </c>
      <c r="C278" s="94" t="s">
        <v>745</v>
      </c>
      <c r="D278" s="95">
        <v>9.18</v>
      </c>
      <c r="E278" s="95">
        <v>109.01</v>
      </c>
      <c r="F278" s="96">
        <v>1000</v>
      </c>
      <c r="G278" s="97" t="s">
        <v>714</v>
      </c>
      <c r="H278" s="114">
        <f t="shared" si="4"/>
        <v>46204</v>
      </c>
      <c r="I278" s="17"/>
      <c r="J278" s="17"/>
      <c r="K278" s="17"/>
    </row>
    <row r="279" spans="1:11" x14ac:dyDescent="0.2">
      <c r="A279" s="115">
        <v>46212</v>
      </c>
      <c r="B279" s="95" t="s">
        <v>2652</v>
      </c>
      <c r="C279" s="94" t="s">
        <v>456</v>
      </c>
      <c r="D279" s="95">
        <v>54</v>
      </c>
      <c r="E279" s="95">
        <v>109.01</v>
      </c>
      <c r="F279" s="96">
        <v>5886.54</v>
      </c>
      <c r="G279" s="97" t="s">
        <v>53</v>
      </c>
      <c r="H279" s="114">
        <f t="shared" si="4"/>
        <v>46204</v>
      </c>
      <c r="I279" s="17"/>
      <c r="J279" s="17"/>
      <c r="K279" s="17"/>
    </row>
    <row r="280" spans="1:11" x14ac:dyDescent="0.2">
      <c r="A280" s="115">
        <v>46213</v>
      </c>
      <c r="B280" s="95" t="s">
        <v>2688</v>
      </c>
      <c r="C280" s="94" t="s">
        <v>306</v>
      </c>
      <c r="D280" s="95">
        <v>2.75</v>
      </c>
      <c r="E280" s="95">
        <v>109.01</v>
      </c>
      <c r="F280" s="96">
        <v>300</v>
      </c>
      <c r="G280" s="97" t="s">
        <v>152</v>
      </c>
      <c r="H280" s="114">
        <f t="shared" si="4"/>
        <v>46204</v>
      </c>
      <c r="I280" s="17"/>
      <c r="J280" s="17"/>
      <c r="K280" s="17"/>
    </row>
    <row r="281" spans="1:11" x14ac:dyDescent="0.2">
      <c r="A281" s="115">
        <v>46213</v>
      </c>
      <c r="B281" s="95" t="s">
        <v>2689</v>
      </c>
      <c r="C281" s="94" t="s">
        <v>157</v>
      </c>
      <c r="D281" s="95">
        <v>7</v>
      </c>
      <c r="E281" s="95">
        <v>109.01</v>
      </c>
      <c r="F281" s="96">
        <v>763.07</v>
      </c>
      <c r="G281" s="97" t="s">
        <v>56</v>
      </c>
      <c r="H281" s="114">
        <f t="shared" si="4"/>
        <v>46204</v>
      </c>
      <c r="I281" s="17"/>
      <c r="J281" s="17"/>
      <c r="K281" s="17"/>
    </row>
    <row r="282" spans="1:11" x14ac:dyDescent="0.2">
      <c r="A282" s="115">
        <v>46213</v>
      </c>
      <c r="B282" s="95" t="s">
        <v>2690</v>
      </c>
      <c r="C282" s="94"/>
      <c r="D282" s="95">
        <v>56.66</v>
      </c>
      <c r="E282" s="95">
        <v>109.01</v>
      </c>
      <c r="F282" s="96">
        <v>6177.05</v>
      </c>
      <c r="G282" s="97" t="s">
        <v>2364</v>
      </c>
      <c r="H282" s="114">
        <f t="shared" si="4"/>
        <v>46204</v>
      </c>
      <c r="I282" s="17"/>
      <c r="J282" s="17"/>
      <c r="K282" s="17"/>
    </row>
    <row r="283" spans="1:11" x14ac:dyDescent="0.2">
      <c r="A283" s="115">
        <v>46213</v>
      </c>
      <c r="B283" s="95" t="s">
        <v>2691</v>
      </c>
      <c r="C283" s="94"/>
      <c r="D283" s="95">
        <v>409.45</v>
      </c>
      <c r="E283" s="95">
        <v>109.01</v>
      </c>
      <c r="F283" s="96">
        <v>44634.05</v>
      </c>
      <c r="G283" s="97" t="s">
        <v>2450</v>
      </c>
      <c r="H283" s="114">
        <f t="shared" si="4"/>
        <v>46204</v>
      </c>
      <c r="I283" s="17"/>
      <c r="J283" s="17"/>
      <c r="K283" s="17"/>
    </row>
    <row r="284" spans="1:11" x14ac:dyDescent="0.2">
      <c r="A284" s="115">
        <v>46213</v>
      </c>
      <c r="B284" s="95" t="s">
        <v>2692</v>
      </c>
      <c r="C284" s="94"/>
      <c r="D284" s="95">
        <v>29.82</v>
      </c>
      <c r="E284" s="95">
        <v>109.01</v>
      </c>
      <c r="F284" s="96">
        <v>3250</v>
      </c>
      <c r="G284" s="97" t="s">
        <v>2450</v>
      </c>
      <c r="H284" s="114">
        <f t="shared" si="4"/>
        <v>46204</v>
      </c>
      <c r="I284" s="17"/>
      <c r="J284" s="17"/>
      <c r="K284" s="17"/>
    </row>
    <row r="285" spans="1:11" x14ac:dyDescent="0.2">
      <c r="A285" s="115">
        <v>46214</v>
      </c>
      <c r="B285" s="112" t="s">
        <v>2713</v>
      </c>
      <c r="C285" s="101" t="s">
        <v>13</v>
      </c>
      <c r="D285" s="95">
        <v>64.27</v>
      </c>
      <c r="E285" s="95">
        <v>109.01</v>
      </c>
      <c r="F285" s="96">
        <v>7006.1</v>
      </c>
      <c r="G285" s="97" t="s">
        <v>2364</v>
      </c>
      <c r="H285" s="114">
        <f t="shared" si="4"/>
        <v>46204</v>
      </c>
      <c r="I285" s="17"/>
      <c r="J285" s="17"/>
      <c r="K285" s="17"/>
    </row>
    <row r="286" spans="1:11" x14ac:dyDescent="0.2">
      <c r="A286" s="115">
        <v>46214</v>
      </c>
      <c r="B286" s="112" t="s">
        <v>2714</v>
      </c>
      <c r="C286" s="101" t="s">
        <v>13</v>
      </c>
      <c r="D286" s="95">
        <v>439.19</v>
      </c>
      <c r="E286" s="95">
        <v>109.01</v>
      </c>
      <c r="F286" s="96">
        <v>47875.9</v>
      </c>
      <c r="G286" s="97" t="s">
        <v>2450</v>
      </c>
      <c r="H286" s="114">
        <f t="shared" si="4"/>
        <v>46204</v>
      </c>
      <c r="I286" s="17"/>
      <c r="J286" s="17"/>
      <c r="K286" s="17"/>
    </row>
    <row r="287" spans="1:11" x14ac:dyDescent="0.2">
      <c r="A287" s="115">
        <v>46214</v>
      </c>
      <c r="B287" s="112" t="s">
        <v>2715</v>
      </c>
      <c r="C287" s="94"/>
      <c r="D287" s="95">
        <v>66.97</v>
      </c>
      <c r="E287" s="95">
        <v>109.01</v>
      </c>
      <c r="F287" s="96">
        <v>7300</v>
      </c>
      <c r="G287" s="97" t="s">
        <v>2450</v>
      </c>
      <c r="H287" s="114">
        <f t="shared" si="4"/>
        <v>46204</v>
      </c>
      <c r="I287" s="17"/>
      <c r="J287" s="17"/>
      <c r="K287" s="17"/>
    </row>
    <row r="288" spans="1:11" x14ac:dyDescent="0.2">
      <c r="A288" s="115">
        <v>46215</v>
      </c>
      <c r="B288" s="112" t="s">
        <v>2744</v>
      </c>
      <c r="C288" s="94"/>
      <c r="D288" s="95">
        <v>451.44</v>
      </c>
      <c r="E288" s="95">
        <v>109.01</v>
      </c>
      <c r="F288" s="96">
        <v>49211.31</v>
      </c>
      <c r="G288" s="97" t="s">
        <v>2450</v>
      </c>
      <c r="H288" s="114">
        <f t="shared" si="4"/>
        <v>46204</v>
      </c>
      <c r="I288" s="17"/>
      <c r="J288" s="17"/>
      <c r="K288" s="17"/>
    </row>
    <row r="289" spans="1:11" x14ac:dyDescent="0.2">
      <c r="A289" s="115">
        <v>46215</v>
      </c>
      <c r="B289" s="112" t="s">
        <v>2745</v>
      </c>
      <c r="C289" s="94"/>
      <c r="D289" s="95">
        <v>5.87</v>
      </c>
      <c r="E289" s="95">
        <v>109.01</v>
      </c>
      <c r="F289" s="96">
        <v>640</v>
      </c>
      <c r="G289" s="97" t="s">
        <v>2450</v>
      </c>
      <c r="H289" s="114">
        <f t="shared" si="4"/>
        <v>46204</v>
      </c>
      <c r="I289" s="17"/>
      <c r="J289" s="17"/>
      <c r="K289" s="17"/>
    </row>
    <row r="290" spans="1:11" x14ac:dyDescent="0.2">
      <c r="A290" s="115">
        <v>46215</v>
      </c>
      <c r="B290" s="112" t="s">
        <v>2746</v>
      </c>
      <c r="C290" s="94"/>
      <c r="D290" s="95">
        <v>88.62</v>
      </c>
      <c r="E290" s="95">
        <v>109.01</v>
      </c>
      <c r="F290" s="96">
        <v>9660</v>
      </c>
      <c r="G290" s="97" t="s">
        <v>2364</v>
      </c>
      <c r="H290" s="114">
        <f t="shared" si="4"/>
        <v>46204</v>
      </c>
      <c r="I290" s="17"/>
      <c r="J290" s="17"/>
      <c r="K290" s="17"/>
    </row>
    <row r="291" spans="1:11" x14ac:dyDescent="0.2">
      <c r="A291" s="115">
        <v>46215</v>
      </c>
      <c r="B291" s="112" t="s">
        <v>2747</v>
      </c>
      <c r="C291" s="94" t="s">
        <v>306</v>
      </c>
      <c r="D291" s="95">
        <v>2.75</v>
      </c>
      <c r="E291" s="95">
        <v>109.01</v>
      </c>
      <c r="F291" s="96">
        <v>300</v>
      </c>
      <c r="G291" s="97" t="s">
        <v>152</v>
      </c>
      <c r="H291" s="114">
        <f t="shared" si="4"/>
        <v>46204</v>
      </c>
      <c r="I291" s="17"/>
      <c r="J291" s="17"/>
      <c r="K291" s="17"/>
    </row>
    <row r="292" spans="1:11" x14ac:dyDescent="0.2">
      <c r="A292" s="115">
        <v>46215</v>
      </c>
      <c r="B292" s="112" t="s">
        <v>2748</v>
      </c>
      <c r="C292" s="94" t="s">
        <v>2749</v>
      </c>
      <c r="D292" s="95">
        <v>10</v>
      </c>
      <c r="E292" s="95">
        <v>109.01</v>
      </c>
      <c r="F292" s="96">
        <v>1090.0999999999999</v>
      </c>
      <c r="G292" s="97" t="s">
        <v>95</v>
      </c>
      <c r="H292" s="114">
        <f t="shared" si="4"/>
        <v>46204</v>
      </c>
      <c r="I292" s="17"/>
      <c r="J292" s="17"/>
      <c r="K292" s="17"/>
    </row>
    <row r="293" spans="1:11" x14ac:dyDescent="0.2">
      <c r="A293" s="115">
        <v>46216</v>
      </c>
      <c r="B293" s="112" t="s">
        <v>2769</v>
      </c>
      <c r="C293" s="94"/>
      <c r="D293" s="95">
        <v>32.67</v>
      </c>
      <c r="E293" s="95">
        <v>109.01</v>
      </c>
      <c r="F293" s="96">
        <v>3561.2</v>
      </c>
      <c r="G293" s="97" t="s">
        <v>2364</v>
      </c>
      <c r="H293" s="114">
        <f t="shared" si="4"/>
        <v>46204</v>
      </c>
      <c r="I293" s="17"/>
      <c r="J293" s="17"/>
      <c r="K293" s="17"/>
    </row>
    <row r="294" spans="1:11" x14ac:dyDescent="0.2">
      <c r="A294" s="115">
        <v>46216</v>
      </c>
      <c r="B294" s="112" t="s">
        <v>2770</v>
      </c>
      <c r="C294" s="94" t="s">
        <v>306</v>
      </c>
      <c r="D294" s="95">
        <v>2.75</v>
      </c>
      <c r="E294" s="95">
        <v>109.01</v>
      </c>
      <c r="F294" s="96">
        <v>300</v>
      </c>
      <c r="G294" s="97" t="s">
        <v>152</v>
      </c>
      <c r="H294" s="114">
        <f t="shared" si="4"/>
        <v>46204</v>
      </c>
      <c r="I294" s="17"/>
      <c r="J294" s="17"/>
      <c r="K294" s="17"/>
    </row>
    <row r="295" spans="1:11" x14ac:dyDescent="0.2">
      <c r="A295" s="115">
        <v>46216</v>
      </c>
      <c r="B295" s="112" t="s">
        <v>2771</v>
      </c>
      <c r="C295" s="94" t="s">
        <v>102</v>
      </c>
      <c r="D295" s="95">
        <v>32.82</v>
      </c>
      <c r="E295" s="95">
        <v>109.01</v>
      </c>
      <c r="F295" s="96">
        <v>3577.7</v>
      </c>
      <c r="G295" s="97" t="s">
        <v>103</v>
      </c>
      <c r="H295" s="114">
        <f t="shared" si="4"/>
        <v>46204</v>
      </c>
      <c r="I295" s="17"/>
      <c r="J295" s="17"/>
      <c r="K295" s="17"/>
    </row>
    <row r="296" spans="1:11" x14ac:dyDescent="0.2">
      <c r="A296" s="115">
        <v>46216</v>
      </c>
      <c r="B296" s="112" t="s">
        <v>2772</v>
      </c>
      <c r="C296" s="94"/>
      <c r="D296" s="95">
        <v>726.5</v>
      </c>
      <c r="E296" s="95">
        <v>109.01</v>
      </c>
      <c r="F296" s="96">
        <v>79195.53</v>
      </c>
      <c r="G296" s="97" t="s">
        <v>2450</v>
      </c>
      <c r="H296" s="114">
        <f t="shared" si="4"/>
        <v>46204</v>
      </c>
      <c r="I296" s="17"/>
      <c r="J296" s="17"/>
      <c r="K296" s="17"/>
    </row>
    <row r="297" spans="1:11" x14ac:dyDescent="0.2">
      <c r="A297" s="115">
        <v>46217</v>
      </c>
      <c r="B297" s="112" t="s">
        <v>2798</v>
      </c>
      <c r="C297" s="94"/>
      <c r="D297" s="95">
        <v>291.82</v>
      </c>
      <c r="E297" s="95">
        <v>109.01</v>
      </c>
      <c r="F297" s="96">
        <v>31811.02</v>
      </c>
      <c r="G297" s="97" t="s">
        <v>2450</v>
      </c>
      <c r="H297" s="114">
        <f t="shared" si="4"/>
        <v>46204</v>
      </c>
      <c r="I297" s="17"/>
      <c r="J297" s="17"/>
      <c r="K297" s="17"/>
    </row>
    <row r="298" spans="1:11" x14ac:dyDescent="0.2">
      <c r="A298" s="115">
        <v>46217</v>
      </c>
      <c r="B298" s="112" t="s">
        <v>2799</v>
      </c>
      <c r="C298" s="94"/>
      <c r="D298" s="95">
        <v>9.18</v>
      </c>
      <c r="E298" s="95">
        <v>109.01</v>
      </c>
      <c r="F298" s="96">
        <v>1000</v>
      </c>
      <c r="G298" s="97" t="s">
        <v>2450</v>
      </c>
      <c r="H298" s="114">
        <f t="shared" si="4"/>
        <v>46204</v>
      </c>
      <c r="I298" s="17"/>
      <c r="J298" s="17"/>
      <c r="K298" s="17"/>
    </row>
    <row r="299" spans="1:11" x14ac:dyDescent="0.2">
      <c r="A299" s="115">
        <v>46217</v>
      </c>
      <c r="B299" s="112" t="s">
        <v>2800</v>
      </c>
      <c r="C299" s="94"/>
      <c r="D299" s="95">
        <v>142.96</v>
      </c>
      <c r="E299" s="95">
        <v>109.01</v>
      </c>
      <c r="F299" s="96">
        <v>15584.26</v>
      </c>
      <c r="G299" s="97" t="s">
        <v>2364</v>
      </c>
      <c r="H299" s="114">
        <f t="shared" si="4"/>
        <v>46204</v>
      </c>
      <c r="I299" s="17"/>
      <c r="J299" s="17"/>
      <c r="K299" s="17"/>
    </row>
    <row r="300" spans="1:11" x14ac:dyDescent="0.2">
      <c r="A300" s="115">
        <v>46217</v>
      </c>
      <c r="B300" s="112" t="s">
        <v>2801</v>
      </c>
      <c r="C300" s="94" t="s">
        <v>745</v>
      </c>
      <c r="D300" s="95">
        <v>9.18</v>
      </c>
      <c r="E300" s="95">
        <v>109.01</v>
      </c>
      <c r="F300" s="96">
        <v>1000</v>
      </c>
      <c r="G300" s="97" t="s">
        <v>714</v>
      </c>
      <c r="H300" s="114">
        <f t="shared" si="4"/>
        <v>46204</v>
      </c>
      <c r="I300" s="17"/>
      <c r="J300" s="17"/>
      <c r="K300" s="17"/>
    </row>
    <row r="301" spans="1:11" x14ac:dyDescent="0.2">
      <c r="A301" s="115">
        <v>46217</v>
      </c>
      <c r="B301" s="112" t="s">
        <v>2802</v>
      </c>
      <c r="C301" s="94" t="s">
        <v>2749</v>
      </c>
      <c r="D301" s="95">
        <v>10</v>
      </c>
      <c r="E301" s="95">
        <v>109.01</v>
      </c>
      <c r="F301" s="96">
        <v>1090.0999999999999</v>
      </c>
      <c r="G301" s="97" t="s">
        <v>95</v>
      </c>
      <c r="H301" s="114">
        <f t="shared" si="4"/>
        <v>46204</v>
      </c>
      <c r="I301" s="17"/>
      <c r="J301" s="17"/>
      <c r="K301" s="17"/>
    </row>
    <row r="302" spans="1:11" x14ac:dyDescent="0.2">
      <c r="A302" s="115">
        <v>46217</v>
      </c>
      <c r="B302" s="112" t="s">
        <v>2803</v>
      </c>
      <c r="C302" s="94" t="s">
        <v>225</v>
      </c>
      <c r="D302" s="95">
        <v>34.18</v>
      </c>
      <c r="E302" s="95">
        <v>109.01</v>
      </c>
      <c r="F302" s="96">
        <v>3725.96</v>
      </c>
      <c r="G302" s="97" t="s">
        <v>103</v>
      </c>
      <c r="H302" s="114">
        <f t="shared" si="4"/>
        <v>46204</v>
      </c>
      <c r="I302" s="17"/>
      <c r="J302" s="17"/>
      <c r="K302" s="17"/>
    </row>
    <row r="303" spans="1:11" x14ac:dyDescent="0.2">
      <c r="A303" s="115">
        <v>46217</v>
      </c>
      <c r="B303" s="112" t="s">
        <v>2804</v>
      </c>
      <c r="C303" s="94" t="s">
        <v>449</v>
      </c>
      <c r="D303" s="95">
        <v>44.09</v>
      </c>
      <c r="E303" s="95">
        <v>109.01</v>
      </c>
      <c r="F303" s="96">
        <v>4806.25</v>
      </c>
      <c r="G303" s="97" t="s">
        <v>53</v>
      </c>
      <c r="H303" s="114">
        <f t="shared" si="4"/>
        <v>46204</v>
      </c>
      <c r="I303" s="17"/>
      <c r="J303" s="17"/>
      <c r="K303" s="17"/>
    </row>
    <row r="304" spans="1:11" x14ac:dyDescent="0.2">
      <c r="A304" s="115">
        <v>46218</v>
      </c>
      <c r="B304" s="112" t="s">
        <v>2829</v>
      </c>
      <c r="C304" s="94" t="s">
        <v>224</v>
      </c>
      <c r="D304" s="95">
        <v>4.28</v>
      </c>
      <c r="E304" s="95">
        <v>109.01</v>
      </c>
      <c r="F304" s="96">
        <v>466.56</v>
      </c>
      <c r="G304" s="97" t="s">
        <v>202</v>
      </c>
      <c r="H304" s="114">
        <f t="shared" si="4"/>
        <v>46204</v>
      </c>
      <c r="I304" s="17"/>
      <c r="J304" s="17"/>
      <c r="K304" s="17"/>
    </row>
    <row r="305" spans="1:11" x14ac:dyDescent="0.2">
      <c r="A305" s="115">
        <v>46218</v>
      </c>
      <c r="B305" s="112" t="s">
        <v>2830</v>
      </c>
      <c r="C305" s="94"/>
      <c r="D305" s="95">
        <v>31.48</v>
      </c>
      <c r="E305" s="95">
        <v>109.01</v>
      </c>
      <c r="F305" s="96">
        <v>3431.2</v>
      </c>
      <c r="G305" s="97" t="s">
        <v>2364</v>
      </c>
      <c r="H305" s="114">
        <f t="shared" si="4"/>
        <v>46204</v>
      </c>
      <c r="I305" s="17"/>
      <c r="J305" s="17"/>
      <c r="K305" s="17"/>
    </row>
    <row r="306" spans="1:11" x14ac:dyDescent="0.2">
      <c r="A306" s="115">
        <v>46218</v>
      </c>
      <c r="B306" s="112" t="s">
        <v>2831</v>
      </c>
      <c r="C306" s="94"/>
      <c r="D306" s="95">
        <v>366.65</v>
      </c>
      <c r="E306" s="95">
        <v>109.01</v>
      </c>
      <c r="F306" s="96">
        <v>39968.550000000003</v>
      </c>
      <c r="G306" s="97" t="s">
        <v>2450</v>
      </c>
      <c r="H306" s="114">
        <f t="shared" si="4"/>
        <v>46204</v>
      </c>
      <c r="I306" s="17"/>
      <c r="J306" s="17"/>
      <c r="K306" s="17"/>
    </row>
    <row r="307" spans="1:11" x14ac:dyDescent="0.2">
      <c r="A307" s="115">
        <v>46219</v>
      </c>
      <c r="B307" s="112" t="s">
        <v>2850</v>
      </c>
      <c r="C307" s="101" t="s">
        <v>13</v>
      </c>
      <c r="D307" s="95">
        <v>397.37</v>
      </c>
      <c r="E307" s="95">
        <v>109.01</v>
      </c>
      <c r="F307" s="96">
        <v>43317.05</v>
      </c>
      <c r="G307" s="97" t="s">
        <v>2450</v>
      </c>
      <c r="H307" s="114">
        <f t="shared" si="4"/>
        <v>46204</v>
      </c>
      <c r="I307" s="17"/>
      <c r="J307" s="17"/>
      <c r="K307" s="17"/>
    </row>
    <row r="308" spans="1:11" x14ac:dyDescent="0.2">
      <c r="A308" s="115">
        <v>46219</v>
      </c>
      <c r="B308" s="112" t="s">
        <v>2851</v>
      </c>
      <c r="C308" s="101" t="s">
        <v>13</v>
      </c>
      <c r="D308" s="95">
        <v>72.39</v>
      </c>
      <c r="E308" s="95">
        <v>109.01</v>
      </c>
      <c r="F308" s="96">
        <v>7890.77</v>
      </c>
      <c r="G308" s="97" t="s">
        <v>2364</v>
      </c>
      <c r="H308" s="114">
        <f t="shared" si="4"/>
        <v>46204</v>
      </c>
      <c r="I308" s="17"/>
      <c r="J308" s="17"/>
      <c r="K308" s="17"/>
    </row>
    <row r="309" spans="1:11" x14ac:dyDescent="0.2">
      <c r="A309" s="115">
        <v>46220</v>
      </c>
      <c r="B309" s="112" t="s">
        <v>2883</v>
      </c>
      <c r="C309" s="94"/>
      <c r="D309" s="95">
        <v>10</v>
      </c>
      <c r="E309" s="95">
        <v>109.01</v>
      </c>
      <c r="F309" s="96">
        <v>1090.0999999999999</v>
      </c>
      <c r="G309" s="97" t="s">
        <v>2364</v>
      </c>
      <c r="H309" s="114">
        <v>46204</v>
      </c>
      <c r="I309" s="17"/>
      <c r="J309" s="17"/>
      <c r="K309" s="17"/>
    </row>
    <row r="310" spans="1:11" x14ac:dyDescent="0.2">
      <c r="A310" s="115">
        <v>46220</v>
      </c>
      <c r="B310" s="112" t="s">
        <v>2884</v>
      </c>
      <c r="C310" s="94"/>
      <c r="D310" s="95">
        <v>297.52</v>
      </c>
      <c r="E310" s="95">
        <v>109.01</v>
      </c>
      <c r="F310" s="96">
        <v>32433.13</v>
      </c>
      <c r="G310" s="97" t="s">
        <v>2450</v>
      </c>
      <c r="H310" s="114">
        <v>46204</v>
      </c>
      <c r="I310" s="17"/>
      <c r="J310" s="17"/>
      <c r="K310" s="17"/>
    </row>
    <row r="311" spans="1:11" x14ac:dyDescent="0.2">
      <c r="A311" s="115">
        <v>46220</v>
      </c>
      <c r="B311" s="112" t="s">
        <v>2885</v>
      </c>
      <c r="C311" s="94"/>
      <c r="D311" s="95">
        <v>4.7699999999999996</v>
      </c>
      <c r="E311" s="95">
        <v>109.01</v>
      </c>
      <c r="F311" s="96">
        <v>520</v>
      </c>
      <c r="G311" s="97" t="s">
        <v>2450</v>
      </c>
      <c r="H311" s="114">
        <v>46204</v>
      </c>
      <c r="I311" s="17"/>
      <c r="J311" s="17"/>
      <c r="K311" s="17"/>
    </row>
    <row r="312" spans="1:11" x14ac:dyDescent="0.2">
      <c r="A312" s="115">
        <v>46220</v>
      </c>
      <c r="B312" s="112" t="s">
        <v>2886</v>
      </c>
      <c r="C312" s="94" t="s">
        <v>305</v>
      </c>
      <c r="D312" s="95">
        <v>34.869999999999997</v>
      </c>
      <c r="E312" s="95">
        <v>109.01</v>
      </c>
      <c r="F312" s="96">
        <v>3801.17</v>
      </c>
      <c r="G312" s="97" t="s">
        <v>59</v>
      </c>
      <c r="H312" s="114">
        <v>46204</v>
      </c>
      <c r="I312" s="17"/>
      <c r="J312" s="17"/>
      <c r="K312" s="17"/>
    </row>
    <row r="313" spans="1:11" x14ac:dyDescent="0.2">
      <c r="A313" s="115">
        <v>46220</v>
      </c>
      <c r="B313" s="112" t="s">
        <v>2887</v>
      </c>
      <c r="C313" s="94" t="s">
        <v>306</v>
      </c>
      <c r="D313" s="95">
        <v>2.75</v>
      </c>
      <c r="E313" s="95">
        <v>109.01</v>
      </c>
      <c r="F313" s="96">
        <v>300</v>
      </c>
      <c r="G313" s="97" t="s">
        <v>152</v>
      </c>
      <c r="H313" s="114">
        <v>46204</v>
      </c>
      <c r="I313" s="17"/>
      <c r="J313" s="17"/>
      <c r="K313" s="17"/>
    </row>
    <row r="314" spans="1:11" x14ac:dyDescent="0.2">
      <c r="A314" s="115">
        <v>46221</v>
      </c>
      <c r="B314" s="112" t="s">
        <v>2906</v>
      </c>
      <c r="C314" s="94"/>
      <c r="D314" s="95">
        <v>16.579999999999998</v>
      </c>
      <c r="E314" s="95">
        <v>109.01</v>
      </c>
      <c r="F314" s="96">
        <v>1807</v>
      </c>
      <c r="G314" s="97" t="s">
        <v>2450</v>
      </c>
      <c r="H314" s="114">
        <v>46204</v>
      </c>
      <c r="I314" s="17"/>
      <c r="J314" s="17"/>
      <c r="K314" s="17"/>
    </row>
    <row r="315" spans="1:11" x14ac:dyDescent="0.2">
      <c r="A315" s="115">
        <v>46221</v>
      </c>
      <c r="B315" s="112" t="s">
        <v>2907</v>
      </c>
      <c r="C315" s="94"/>
      <c r="D315" s="95">
        <v>370.18</v>
      </c>
      <c r="E315" s="95">
        <v>109.01</v>
      </c>
      <c r="F315" s="96">
        <v>40353.519999999997</v>
      </c>
      <c r="G315" s="97" t="s">
        <v>2450</v>
      </c>
      <c r="H315" s="114">
        <v>46204</v>
      </c>
      <c r="I315" s="17"/>
      <c r="J315" s="17"/>
      <c r="K315" s="17"/>
    </row>
    <row r="316" spans="1:11" x14ac:dyDescent="0.2">
      <c r="A316" s="115">
        <v>46221</v>
      </c>
      <c r="B316" s="112" t="s">
        <v>2908</v>
      </c>
      <c r="C316" s="94"/>
      <c r="D316" s="95">
        <v>45.92</v>
      </c>
      <c r="E316" s="95">
        <v>109.01</v>
      </c>
      <c r="F316" s="96">
        <v>5005.49</v>
      </c>
      <c r="G316" s="97" t="s">
        <v>2364</v>
      </c>
      <c r="H316" s="114">
        <v>46204</v>
      </c>
      <c r="I316" s="17"/>
      <c r="J316" s="17"/>
      <c r="K316" s="17"/>
    </row>
    <row r="317" spans="1:11" x14ac:dyDescent="0.2">
      <c r="A317" s="115">
        <v>46222</v>
      </c>
      <c r="B317" s="112" t="s">
        <v>2931</v>
      </c>
      <c r="C317" s="94" t="s">
        <v>141</v>
      </c>
      <c r="D317" s="95">
        <v>200</v>
      </c>
      <c r="E317" s="95">
        <v>109.01</v>
      </c>
      <c r="F317" s="96">
        <v>21802</v>
      </c>
      <c r="G317" s="97" t="s">
        <v>143</v>
      </c>
      <c r="H317" s="114">
        <v>46204</v>
      </c>
      <c r="I317" s="17"/>
      <c r="J317" s="17"/>
      <c r="K317" s="17"/>
    </row>
    <row r="318" spans="1:11" x14ac:dyDescent="0.2">
      <c r="A318" s="115">
        <v>46222</v>
      </c>
      <c r="B318" s="112" t="s">
        <v>2932</v>
      </c>
      <c r="C318" s="94" t="s">
        <v>306</v>
      </c>
      <c r="D318" s="95">
        <v>2.75</v>
      </c>
      <c r="E318" s="95">
        <v>109.01</v>
      </c>
      <c r="F318" s="96">
        <v>300</v>
      </c>
      <c r="G318" s="97" t="s">
        <v>152</v>
      </c>
      <c r="H318" s="114">
        <v>46204</v>
      </c>
      <c r="I318" s="17"/>
      <c r="J318" s="17"/>
      <c r="K318" s="17"/>
    </row>
    <row r="319" spans="1:11" x14ac:dyDescent="0.2">
      <c r="A319" s="115">
        <v>46222</v>
      </c>
      <c r="B319" s="112" t="s">
        <v>2933</v>
      </c>
      <c r="C319" s="94"/>
      <c r="D319" s="95">
        <v>51.52</v>
      </c>
      <c r="E319" s="95">
        <v>109.01</v>
      </c>
      <c r="F319" s="96">
        <v>5616.05</v>
      </c>
      <c r="G319" s="97" t="s">
        <v>2364</v>
      </c>
      <c r="H319" s="114">
        <v>46204</v>
      </c>
      <c r="I319" s="17"/>
      <c r="J319" s="17"/>
      <c r="K319" s="17"/>
    </row>
    <row r="320" spans="1:11" x14ac:dyDescent="0.2">
      <c r="A320" s="115">
        <v>46222</v>
      </c>
      <c r="B320" s="112" t="s">
        <v>2934</v>
      </c>
      <c r="C320" s="94"/>
      <c r="D320" s="95">
        <v>304.81</v>
      </c>
      <c r="E320" s="95">
        <v>109.01</v>
      </c>
      <c r="F320" s="96">
        <v>33227</v>
      </c>
      <c r="G320" s="97" t="s">
        <v>2450</v>
      </c>
      <c r="H320" s="114">
        <v>46204</v>
      </c>
      <c r="I320" s="17"/>
      <c r="J320" s="17"/>
      <c r="K320" s="17"/>
    </row>
    <row r="321" spans="1:11" x14ac:dyDescent="0.2">
      <c r="A321" s="115">
        <v>46223</v>
      </c>
      <c r="B321" s="112" t="s">
        <v>2956</v>
      </c>
      <c r="C321" s="94"/>
      <c r="D321" s="95">
        <v>348.49</v>
      </c>
      <c r="E321" s="95">
        <v>109.01</v>
      </c>
      <c r="F321" s="96">
        <v>37988.699999999997</v>
      </c>
      <c r="G321" s="97" t="s">
        <v>2450</v>
      </c>
      <c r="H321" s="114">
        <v>46204</v>
      </c>
      <c r="I321" s="17"/>
      <c r="J321" s="17"/>
      <c r="K321" s="17"/>
    </row>
    <row r="322" spans="1:11" x14ac:dyDescent="0.2">
      <c r="A322" s="115">
        <v>46223</v>
      </c>
      <c r="B322" s="112" t="s">
        <v>2957</v>
      </c>
      <c r="C322" s="94"/>
      <c r="D322" s="95">
        <v>47.41</v>
      </c>
      <c r="E322" s="95">
        <v>109.01</v>
      </c>
      <c r="F322" s="96">
        <v>5168.67</v>
      </c>
      <c r="G322" s="97" t="s">
        <v>2364</v>
      </c>
      <c r="H322" s="114">
        <v>46204</v>
      </c>
      <c r="I322" s="17"/>
      <c r="J322" s="17"/>
      <c r="K322" s="17"/>
    </row>
    <row r="323" spans="1:11" x14ac:dyDescent="0.2">
      <c r="A323" s="115">
        <v>46224</v>
      </c>
      <c r="B323" s="112" t="s">
        <v>2976</v>
      </c>
      <c r="C323" s="94"/>
      <c r="D323" s="95">
        <v>59.99</v>
      </c>
      <c r="E323" s="95">
        <v>109.01</v>
      </c>
      <c r="F323" s="96">
        <v>6540</v>
      </c>
      <c r="G323" s="97" t="s">
        <v>2364</v>
      </c>
      <c r="H323" s="114">
        <v>46204</v>
      </c>
      <c r="I323" s="17"/>
      <c r="J323" s="17"/>
      <c r="K323" s="17"/>
    </row>
    <row r="324" spans="1:11" x14ac:dyDescent="0.2">
      <c r="A324" s="115">
        <v>46224</v>
      </c>
      <c r="B324" s="112" t="s">
        <v>2977</v>
      </c>
      <c r="C324" s="94"/>
      <c r="D324" s="95">
        <v>277.55</v>
      </c>
      <c r="E324" s="95">
        <v>109.01</v>
      </c>
      <c r="F324" s="96">
        <v>30255.99</v>
      </c>
      <c r="G324" s="97" t="s">
        <v>2450</v>
      </c>
      <c r="H324" s="114">
        <v>46204</v>
      </c>
      <c r="I324" s="17"/>
      <c r="J324" s="17"/>
      <c r="K324" s="17"/>
    </row>
    <row r="325" spans="1:11" x14ac:dyDescent="0.2">
      <c r="A325" s="115">
        <v>46224</v>
      </c>
      <c r="B325" s="112" t="s">
        <v>2978</v>
      </c>
      <c r="C325" s="94" t="s">
        <v>2979</v>
      </c>
      <c r="D325" s="95">
        <v>41.75</v>
      </c>
      <c r="E325" s="95">
        <v>109.01</v>
      </c>
      <c r="F325" s="96">
        <v>4551.16</v>
      </c>
      <c r="G325" s="97" t="s">
        <v>56</v>
      </c>
      <c r="H325" s="114">
        <v>46204</v>
      </c>
      <c r="I325" s="17"/>
      <c r="J325" s="17"/>
      <c r="K325" s="17"/>
    </row>
    <row r="326" spans="1:11" x14ac:dyDescent="0.2">
      <c r="A326" s="115">
        <v>46224</v>
      </c>
      <c r="B326" s="112" t="s">
        <v>2980</v>
      </c>
      <c r="C326" s="94" t="s">
        <v>157</v>
      </c>
      <c r="D326" s="95">
        <v>7</v>
      </c>
      <c r="E326" s="95">
        <v>109.01</v>
      </c>
      <c r="F326" s="96">
        <v>763.07</v>
      </c>
      <c r="G326" s="97" t="s">
        <v>56</v>
      </c>
      <c r="H326" s="114">
        <v>46204</v>
      </c>
      <c r="I326" s="17"/>
      <c r="J326" s="17"/>
      <c r="K326" s="17"/>
    </row>
    <row r="327" spans="1:11" x14ac:dyDescent="0.2">
      <c r="A327" s="115">
        <v>46224</v>
      </c>
      <c r="B327" s="112" t="s">
        <v>2981</v>
      </c>
      <c r="C327" s="94"/>
      <c r="D327" s="95">
        <v>3.85</v>
      </c>
      <c r="E327" s="95">
        <v>109.01</v>
      </c>
      <c r="F327" s="96">
        <v>420</v>
      </c>
      <c r="G327" s="97" t="s">
        <v>2450</v>
      </c>
      <c r="H327" s="114">
        <v>46204</v>
      </c>
      <c r="I327" s="17"/>
      <c r="J327" s="17"/>
      <c r="K327" s="17"/>
    </row>
    <row r="328" spans="1:11" x14ac:dyDescent="0.2">
      <c r="A328" s="115">
        <v>46225</v>
      </c>
      <c r="B328" s="112" t="s">
        <v>3010</v>
      </c>
      <c r="C328" s="94"/>
      <c r="D328" s="95">
        <v>10.33</v>
      </c>
      <c r="E328" s="95">
        <v>109.01</v>
      </c>
      <c r="F328" s="96">
        <v>1126</v>
      </c>
      <c r="G328" s="97" t="s">
        <v>2450</v>
      </c>
      <c r="H328" s="114">
        <v>46204</v>
      </c>
      <c r="I328" s="17"/>
      <c r="J328" s="17"/>
      <c r="K328" s="17"/>
    </row>
    <row r="329" spans="1:11" x14ac:dyDescent="0.2">
      <c r="A329" s="115">
        <v>46225</v>
      </c>
      <c r="B329" s="112" t="s">
        <v>3011</v>
      </c>
      <c r="C329" s="94"/>
      <c r="D329" s="95">
        <v>265.45</v>
      </c>
      <c r="E329" s="95">
        <v>109.01</v>
      </c>
      <c r="F329" s="96">
        <v>28937</v>
      </c>
      <c r="G329" s="97" t="s">
        <v>2450</v>
      </c>
      <c r="H329" s="114">
        <v>46204</v>
      </c>
      <c r="I329" s="17"/>
      <c r="J329" s="17"/>
      <c r="K329" s="17"/>
    </row>
    <row r="330" spans="1:11" x14ac:dyDescent="0.2">
      <c r="A330" s="115">
        <v>46225</v>
      </c>
      <c r="B330" s="112" t="s">
        <v>3012</v>
      </c>
      <c r="C330" s="94"/>
      <c r="D330" s="95">
        <v>20.51</v>
      </c>
      <c r="E330" s="95">
        <v>109.01</v>
      </c>
      <c r="F330" s="96">
        <v>2235.15</v>
      </c>
      <c r="G330" s="97" t="s">
        <v>2364</v>
      </c>
      <c r="H330" s="114">
        <v>46204</v>
      </c>
      <c r="I330" s="17"/>
      <c r="J330" s="17"/>
      <c r="K330" s="17"/>
    </row>
    <row r="331" spans="1:11" x14ac:dyDescent="0.2">
      <c r="A331" s="115">
        <v>46225</v>
      </c>
      <c r="B331" s="112" t="s">
        <v>3013</v>
      </c>
      <c r="C331" s="94" t="s">
        <v>102</v>
      </c>
      <c r="D331" s="95">
        <v>36.43</v>
      </c>
      <c r="E331" s="95">
        <v>109.01</v>
      </c>
      <c r="F331" s="96">
        <v>3971.23</v>
      </c>
      <c r="G331" s="97" t="s">
        <v>103</v>
      </c>
      <c r="H331" s="114">
        <v>46204</v>
      </c>
      <c r="I331" s="17"/>
      <c r="J331" s="17"/>
      <c r="K331" s="17"/>
    </row>
    <row r="332" spans="1:11" x14ac:dyDescent="0.2">
      <c r="A332" s="115">
        <v>46226</v>
      </c>
      <c r="B332" s="112" t="s">
        <v>3045</v>
      </c>
      <c r="C332" s="94"/>
      <c r="D332" s="95">
        <v>478.55</v>
      </c>
      <c r="E332" s="95">
        <v>109.01</v>
      </c>
      <c r="F332" s="96">
        <v>52167</v>
      </c>
      <c r="G332" s="97" t="s">
        <v>2450</v>
      </c>
      <c r="H332" s="114">
        <v>46204</v>
      </c>
      <c r="I332" s="17"/>
      <c r="J332" s="17"/>
      <c r="K332" s="17"/>
    </row>
    <row r="333" spans="1:11" x14ac:dyDescent="0.2">
      <c r="A333" s="115">
        <v>46226</v>
      </c>
      <c r="B333" s="112" t="s">
        <v>3046</v>
      </c>
      <c r="C333" s="94"/>
      <c r="D333" s="95">
        <v>53.15</v>
      </c>
      <c r="E333" s="95">
        <v>109.01</v>
      </c>
      <c r="F333" s="96">
        <v>5794.1</v>
      </c>
      <c r="G333" s="97" t="s">
        <v>2364</v>
      </c>
      <c r="H333" s="114">
        <v>46204</v>
      </c>
      <c r="I333" s="17"/>
      <c r="J333" s="17"/>
      <c r="K333" s="17"/>
    </row>
    <row r="334" spans="1:11" x14ac:dyDescent="0.2">
      <c r="A334" s="115">
        <v>46226</v>
      </c>
      <c r="B334" s="112" t="s">
        <v>3047</v>
      </c>
      <c r="C334" s="94" t="s">
        <v>2979</v>
      </c>
      <c r="D334" s="95">
        <v>6</v>
      </c>
      <c r="E334" s="95">
        <v>109.01</v>
      </c>
      <c r="F334" s="96">
        <v>654.05999999999995</v>
      </c>
      <c r="G334" s="97" t="s">
        <v>56</v>
      </c>
      <c r="H334" s="114">
        <v>46204</v>
      </c>
      <c r="I334" s="17"/>
      <c r="J334" s="17"/>
      <c r="K334" s="17"/>
    </row>
    <row r="335" spans="1:11" x14ac:dyDescent="0.2">
      <c r="A335" s="115">
        <v>46226</v>
      </c>
      <c r="B335" s="112" t="s">
        <v>3048</v>
      </c>
      <c r="C335" s="94" t="s">
        <v>224</v>
      </c>
      <c r="D335" s="95">
        <v>4.22</v>
      </c>
      <c r="E335" s="95">
        <v>109.01</v>
      </c>
      <c r="F335" s="96">
        <v>460.02</v>
      </c>
      <c r="G335" s="97" t="s">
        <v>202</v>
      </c>
      <c r="H335" s="114">
        <v>46204</v>
      </c>
      <c r="I335" s="17"/>
      <c r="J335" s="17"/>
      <c r="K335" s="17"/>
    </row>
    <row r="336" spans="1:11" x14ac:dyDescent="0.2">
      <c r="A336" s="115">
        <v>46226</v>
      </c>
      <c r="B336" s="112" t="s">
        <v>3049</v>
      </c>
      <c r="C336" s="94" t="s">
        <v>306</v>
      </c>
      <c r="D336" s="95">
        <v>2.75</v>
      </c>
      <c r="E336" s="95">
        <v>109.01</v>
      </c>
      <c r="F336" s="96">
        <v>300</v>
      </c>
      <c r="G336" s="97" t="s">
        <v>152</v>
      </c>
      <c r="H336" s="114">
        <v>46204</v>
      </c>
      <c r="I336" s="17"/>
      <c r="J336" s="17"/>
      <c r="K336" s="17"/>
    </row>
    <row r="337" spans="1:11" x14ac:dyDescent="0.2">
      <c r="A337" s="115">
        <v>46227</v>
      </c>
      <c r="B337" s="112" t="s">
        <v>3070</v>
      </c>
      <c r="C337" s="94"/>
      <c r="D337" s="95">
        <v>42.01</v>
      </c>
      <c r="E337" s="95">
        <v>109.01</v>
      </c>
      <c r="F337" s="96">
        <v>4580</v>
      </c>
      <c r="G337" s="97" t="s">
        <v>2364</v>
      </c>
      <c r="H337" s="114">
        <v>46204</v>
      </c>
      <c r="I337" s="17"/>
      <c r="J337" s="17"/>
      <c r="K337" s="17"/>
    </row>
    <row r="338" spans="1:11" x14ac:dyDescent="0.2">
      <c r="A338" s="115">
        <v>46227</v>
      </c>
      <c r="B338" s="112" t="s">
        <v>3071</v>
      </c>
      <c r="C338" s="94" t="s">
        <v>1041</v>
      </c>
      <c r="D338" s="95">
        <v>4.59</v>
      </c>
      <c r="E338" s="95">
        <v>109.01</v>
      </c>
      <c r="F338" s="96">
        <v>500</v>
      </c>
      <c r="G338" s="97" t="s">
        <v>714</v>
      </c>
      <c r="H338" s="114">
        <v>46204</v>
      </c>
      <c r="I338" s="17"/>
      <c r="J338" s="17"/>
      <c r="K338" s="17"/>
    </row>
    <row r="339" spans="1:11" x14ac:dyDescent="0.2">
      <c r="A339" s="115">
        <v>46227</v>
      </c>
      <c r="B339" s="112" t="s">
        <v>3072</v>
      </c>
      <c r="C339" s="94" t="s">
        <v>3073</v>
      </c>
      <c r="D339" s="95">
        <v>54.64</v>
      </c>
      <c r="E339" s="95">
        <v>109.01</v>
      </c>
      <c r="F339" s="96">
        <v>5956.3</v>
      </c>
      <c r="G339" s="97" t="s">
        <v>56</v>
      </c>
      <c r="H339" s="114">
        <v>46204</v>
      </c>
      <c r="I339" s="17"/>
      <c r="J339" s="17"/>
      <c r="K339" s="17"/>
    </row>
    <row r="340" spans="1:11" x14ac:dyDescent="0.2">
      <c r="A340" s="115">
        <v>46227</v>
      </c>
      <c r="B340" s="112" t="s">
        <v>3074</v>
      </c>
      <c r="C340" s="94"/>
      <c r="D340" s="95">
        <v>1.83</v>
      </c>
      <c r="E340" s="95">
        <v>109.01</v>
      </c>
      <c r="F340" s="96">
        <v>200</v>
      </c>
      <c r="G340" s="97" t="s">
        <v>2450</v>
      </c>
      <c r="H340" s="114">
        <v>46204</v>
      </c>
      <c r="I340" s="17"/>
      <c r="J340" s="17"/>
      <c r="K340" s="17"/>
    </row>
    <row r="341" spans="1:11" x14ac:dyDescent="0.2">
      <c r="A341" s="115">
        <v>46227</v>
      </c>
      <c r="B341" s="112" t="s">
        <v>3075</v>
      </c>
      <c r="C341" s="94"/>
      <c r="D341" s="95">
        <v>257.86</v>
      </c>
      <c r="E341" s="95">
        <v>109.01</v>
      </c>
      <c r="F341" s="96">
        <v>28109.71</v>
      </c>
      <c r="G341" s="97" t="s">
        <v>2450</v>
      </c>
      <c r="H341" s="114">
        <v>46204</v>
      </c>
      <c r="I341" s="17"/>
      <c r="J341" s="17"/>
      <c r="K341" s="17"/>
    </row>
    <row r="342" spans="1:11" x14ac:dyDescent="0.2">
      <c r="A342" s="115">
        <v>46228</v>
      </c>
      <c r="B342" s="112" t="s">
        <v>3105</v>
      </c>
      <c r="C342" s="94"/>
      <c r="D342" s="95">
        <v>203.9</v>
      </c>
      <c r="E342" s="95">
        <v>109.01</v>
      </c>
      <c r="F342" s="96">
        <v>22227.27</v>
      </c>
      <c r="G342" s="97" t="s">
        <v>2450</v>
      </c>
      <c r="H342" s="114">
        <v>46204</v>
      </c>
      <c r="I342" s="17"/>
      <c r="J342" s="17"/>
      <c r="K342" s="17"/>
    </row>
    <row r="343" spans="1:11" x14ac:dyDescent="0.2">
      <c r="A343" s="115">
        <v>46228</v>
      </c>
      <c r="B343" s="112" t="s">
        <v>3106</v>
      </c>
      <c r="C343" s="94"/>
      <c r="D343" s="95">
        <v>2.75</v>
      </c>
      <c r="E343" s="95">
        <v>109.01</v>
      </c>
      <c r="F343" s="96">
        <v>300</v>
      </c>
      <c r="G343" s="97" t="s">
        <v>2450</v>
      </c>
      <c r="H343" s="114">
        <v>46204</v>
      </c>
      <c r="I343" s="17"/>
      <c r="J343" s="17"/>
      <c r="K343" s="17"/>
    </row>
    <row r="344" spans="1:11" x14ac:dyDescent="0.2">
      <c r="A344" s="115">
        <v>46228</v>
      </c>
      <c r="B344" s="112" t="s">
        <v>3107</v>
      </c>
      <c r="C344" s="94"/>
      <c r="D344" s="95">
        <v>78.5</v>
      </c>
      <c r="E344" s="95">
        <v>109.01</v>
      </c>
      <c r="F344" s="96">
        <v>8557.7199999999993</v>
      </c>
      <c r="G344" s="97" t="s">
        <v>2364</v>
      </c>
      <c r="H344" s="114">
        <v>46204</v>
      </c>
      <c r="I344" s="17"/>
      <c r="J344" s="17"/>
      <c r="K344" s="17"/>
    </row>
    <row r="345" spans="1:11" x14ac:dyDescent="0.2">
      <c r="A345" s="115">
        <v>46228</v>
      </c>
      <c r="B345" s="112" t="s">
        <v>3108</v>
      </c>
      <c r="C345" s="94" t="s">
        <v>306</v>
      </c>
      <c r="D345" s="95">
        <v>2.75</v>
      </c>
      <c r="E345" s="95">
        <v>109.01</v>
      </c>
      <c r="F345" s="96">
        <v>300</v>
      </c>
      <c r="G345" s="97" t="s">
        <v>152</v>
      </c>
      <c r="H345" s="114">
        <v>46204</v>
      </c>
      <c r="I345" s="17"/>
      <c r="J345" s="17"/>
      <c r="K345" s="17"/>
    </row>
    <row r="346" spans="1:11" x14ac:dyDescent="0.2">
      <c r="A346" s="115">
        <v>46229</v>
      </c>
      <c r="B346" s="112" t="s">
        <v>3131</v>
      </c>
      <c r="C346" s="94" t="s">
        <v>3132</v>
      </c>
      <c r="D346" s="95">
        <v>18.350000000000001</v>
      </c>
      <c r="E346" s="95">
        <v>109.01</v>
      </c>
      <c r="F346" s="96">
        <v>2000</v>
      </c>
      <c r="G346" s="97" t="s">
        <v>3083</v>
      </c>
      <c r="H346" s="114">
        <v>46204</v>
      </c>
      <c r="I346" s="17"/>
      <c r="J346" s="17"/>
      <c r="K346" s="17"/>
    </row>
    <row r="347" spans="1:11" x14ac:dyDescent="0.2">
      <c r="A347" s="115">
        <v>46229</v>
      </c>
      <c r="B347" s="112" t="s">
        <v>3133</v>
      </c>
      <c r="C347" s="94"/>
      <c r="D347" s="95">
        <v>109.3</v>
      </c>
      <c r="E347" s="95">
        <v>109.01</v>
      </c>
      <c r="F347" s="96">
        <v>11915</v>
      </c>
      <c r="G347" s="97" t="s">
        <v>2364</v>
      </c>
      <c r="H347" s="114">
        <v>46204</v>
      </c>
      <c r="I347" s="17"/>
      <c r="J347" s="17"/>
      <c r="K347" s="17"/>
    </row>
    <row r="348" spans="1:11" x14ac:dyDescent="0.2">
      <c r="A348" s="115">
        <v>46229</v>
      </c>
      <c r="B348" s="112" t="s">
        <v>3134</v>
      </c>
      <c r="C348" s="94"/>
      <c r="D348" s="95">
        <v>224.48</v>
      </c>
      <c r="E348" s="95">
        <v>109.01</v>
      </c>
      <c r="F348" s="96">
        <v>24471</v>
      </c>
      <c r="G348" s="97" t="s">
        <v>2450</v>
      </c>
      <c r="H348" s="114">
        <v>46204</v>
      </c>
      <c r="I348" s="17"/>
      <c r="J348" s="17"/>
      <c r="K348" s="17"/>
    </row>
    <row r="349" spans="1:11" x14ac:dyDescent="0.2">
      <c r="A349" s="115">
        <v>46229</v>
      </c>
      <c r="B349" s="112" t="s">
        <v>3135</v>
      </c>
      <c r="C349" s="94"/>
      <c r="D349" s="95">
        <v>6.97</v>
      </c>
      <c r="E349" s="95">
        <v>109.01</v>
      </c>
      <c r="F349" s="96">
        <v>760</v>
      </c>
      <c r="G349" s="97" t="s">
        <v>2450</v>
      </c>
      <c r="H349" s="114">
        <v>46204</v>
      </c>
      <c r="I349" s="17"/>
      <c r="J349" s="17"/>
      <c r="K349" s="17"/>
    </row>
    <row r="350" spans="1:11" x14ac:dyDescent="0.2">
      <c r="A350" s="115">
        <v>46230</v>
      </c>
      <c r="B350" s="112" t="s">
        <v>3148</v>
      </c>
      <c r="C350" s="94"/>
      <c r="D350" s="95">
        <v>301.27</v>
      </c>
      <c r="E350" s="95">
        <v>109.01</v>
      </c>
      <c r="F350" s="96">
        <v>32841.019999999997</v>
      </c>
      <c r="G350" s="97" t="s">
        <v>2450</v>
      </c>
      <c r="H350" s="114">
        <v>46204</v>
      </c>
      <c r="I350" s="17"/>
      <c r="J350" s="17"/>
      <c r="K350" s="17"/>
    </row>
    <row r="351" spans="1:11" x14ac:dyDescent="0.2">
      <c r="A351" s="115">
        <v>46230</v>
      </c>
      <c r="B351" s="112" t="s">
        <v>3149</v>
      </c>
      <c r="C351" s="94"/>
      <c r="D351" s="95">
        <v>28.47</v>
      </c>
      <c r="E351" s="95">
        <v>109.01</v>
      </c>
      <c r="F351" s="96">
        <v>3103.1</v>
      </c>
      <c r="G351" s="97" t="s">
        <v>2364</v>
      </c>
      <c r="H351" s="114">
        <v>46204</v>
      </c>
      <c r="I351" s="17"/>
      <c r="J351" s="17"/>
      <c r="K351" s="17"/>
    </row>
    <row r="352" spans="1:11" x14ac:dyDescent="0.2">
      <c r="A352" s="115">
        <v>46230</v>
      </c>
      <c r="B352" s="112" t="s">
        <v>3150</v>
      </c>
      <c r="C352" s="94" t="s">
        <v>225</v>
      </c>
      <c r="D352" s="95">
        <v>39.590000000000003</v>
      </c>
      <c r="E352" s="95">
        <v>109.01</v>
      </c>
      <c r="F352" s="96">
        <v>4315.7</v>
      </c>
      <c r="G352" s="97" t="s">
        <v>103</v>
      </c>
      <c r="H352" s="114">
        <v>46204</v>
      </c>
      <c r="I352" s="17"/>
      <c r="J352" s="17"/>
      <c r="K352" s="17"/>
    </row>
    <row r="353" spans="1:11" x14ac:dyDescent="0.2">
      <c r="A353" s="115">
        <v>46231</v>
      </c>
      <c r="B353" s="112" t="s">
        <v>3162</v>
      </c>
      <c r="C353" s="94" t="s">
        <v>1041</v>
      </c>
      <c r="D353" s="95">
        <v>4.59</v>
      </c>
      <c r="E353" s="95">
        <v>109.01</v>
      </c>
      <c r="F353" s="96">
        <v>500</v>
      </c>
      <c r="G353" s="97" t="s">
        <v>714</v>
      </c>
      <c r="H353" s="114">
        <v>46204</v>
      </c>
      <c r="I353" s="17"/>
      <c r="J353" s="17"/>
      <c r="K353" s="17"/>
    </row>
    <row r="354" spans="1:11" x14ac:dyDescent="0.2">
      <c r="A354" s="115">
        <v>46231</v>
      </c>
      <c r="B354" s="112" t="s">
        <v>3163</v>
      </c>
      <c r="C354" s="94"/>
      <c r="D354" s="95">
        <v>10.09</v>
      </c>
      <c r="E354" s="95">
        <v>109.01</v>
      </c>
      <c r="F354" s="96">
        <v>1100</v>
      </c>
      <c r="G354" s="97" t="s">
        <v>2364</v>
      </c>
      <c r="H354" s="114">
        <v>46204</v>
      </c>
      <c r="I354" s="17"/>
      <c r="J354" s="17"/>
      <c r="K354" s="17"/>
    </row>
    <row r="355" spans="1:11" x14ac:dyDescent="0.2">
      <c r="A355" s="115">
        <v>46231</v>
      </c>
      <c r="B355" s="112" t="s">
        <v>3164</v>
      </c>
      <c r="C355" s="94"/>
      <c r="D355" s="95">
        <v>2.02</v>
      </c>
      <c r="E355" s="95">
        <v>109.01</v>
      </c>
      <c r="F355" s="96">
        <v>220</v>
      </c>
      <c r="G355" s="97" t="s">
        <v>2450</v>
      </c>
      <c r="H355" s="114">
        <v>46204</v>
      </c>
      <c r="I355" s="17"/>
      <c r="J355" s="17"/>
      <c r="K355" s="17"/>
    </row>
    <row r="356" spans="1:11" x14ac:dyDescent="0.2">
      <c r="A356" s="115">
        <v>46231</v>
      </c>
      <c r="B356" s="112" t="s">
        <v>3165</v>
      </c>
      <c r="C356" s="94"/>
      <c r="D356" s="95">
        <v>306.42</v>
      </c>
      <c r="E356" s="95">
        <v>109.01</v>
      </c>
      <c r="F356" s="96">
        <v>33403.050000000003</v>
      </c>
      <c r="G356" s="97" t="s">
        <v>2450</v>
      </c>
      <c r="H356" s="114">
        <v>46204</v>
      </c>
      <c r="I356" s="17"/>
      <c r="J356" s="17"/>
      <c r="K356" s="17"/>
    </row>
    <row r="357" spans="1:11" x14ac:dyDescent="0.2">
      <c r="A357" s="115">
        <v>46232</v>
      </c>
      <c r="B357" s="112" t="s">
        <v>3196</v>
      </c>
      <c r="C357" s="94"/>
      <c r="D357" s="95">
        <v>122.95</v>
      </c>
      <c r="E357" s="95">
        <v>109.01</v>
      </c>
      <c r="F357" s="96">
        <v>13402.9</v>
      </c>
      <c r="G357" s="97" t="s">
        <v>2364</v>
      </c>
      <c r="H357" s="114">
        <v>46204</v>
      </c>
      <c r="I357" s="17"/>
      <c r="J357" s="17"/>
      <c r="K357" s="17"/>
    </row>
    <row r="358" spans="1:11" x14ac:dyDescent="0.2">
      <c r="A358" s="115">
        <v>46232</v>
      </c>
      <c r="B358" s="112" t="s">
        <v>3197</v>
      </c>
      <c r="C358" s="94"/>
      <c r="D358" s="95">
        <v>182.97</v>
      </c>
      <c r="E358" s="95">
        <v>109.01</v>
      </c>
      <c r="F358" s="96">
        <v>19946</v>
      </c>
      <c r="G358" s="97" t="s">
        <v>2450</v>
      </c>
      <c r="H358" s="114">
        <v>46204</v>
      </c>
      <c r="I358" s="17"/>
      <c r="J358" s="17"/>
      <c r="K358" s="17"/>
    </row>
    <row r="359" spans="1:11" x14ac:dyDescent="0.2">
      <c r="A359" s="115">
        <v>46232</v>
      </c>
      <c r="B359" s="112" t="s">
        <v>3198</v>
      </c>
      <c r="C359" s="94"/>
      <c r="D359" s="95">
        <v>4.95</v>
      </c>
      <c r="E359" s="95">
        <v>109.01</v>
      </c>
      <c r="F359" s="96">
        <v>540</v>
      </c>
      <c r="G359" s="97" t="s">
        <v>2450</v>
      </c>
      <c r="H359" s="114">
        <v>46204</v>
      </c>
      <c r="I359" s="17"/>
      <c r="J359" s="17"/>
      <c r="K359" s="17"/>
    </row>
    <row r="360" spans="1:11" x14ac:dyDescent="0.2">
      <c r="A360" s="115">
        <v>46233</v>
      </c>
      <c r="B360" s="112" t="s">
        <v>3227</v>
      </c>
      <c r="C360" s="94"/>
      <c r="D360" s="95">
        <v>0.55000000000000004</v>
      </c>
      <c r="E360" s="95">
        <v>109.01</v>
      </c>
      <c r="F360" s="96">
        <v>60</v>
      </c>
      <c r="G360" s="97" t="s">
        <v>2450</v>
      </c>
      <c r="H360" s="114">
        <v>46204</v>
      </c>
      <c r="I360" s="17"/>
      <c r="J360" s="17"/>
      <c r="K360" s="17"/>
    </row>
    <row r="361" spans="1:11" x14ac:dyDescent="0.2">
      <c r="A361" s="115">
        <v>46233</v>
      </c>
      <c r="B361" s="112" t="s">
        <v>3228</v>
      </c>
      <c r="C361" s="94"/>
      <c r="D361" s="95">
        <v>309.19</v>
      </c>
      <c r="E361" s="95">
        <v>109.01</v>
      </c>
      <c r="F361" s="96">
        <v>33704.6</v>
      </c>
      <c r="G361" s="97" t="s">
        <v>2450</v>
      </c>
      <c r="H361" s="114">
        <v>46204</v>
      </c>
      <c r="I361" s="17"/>
      <c r="J361" s="17"/>
      <c r="K361" s="17"/>
    </row>
    <row r="362" spans="1:11" x14ac:dyDescent="0.2">
      <c r="A362" s="115">
        <v>46233</v>
      </c>
      <c r="B362" s="112" t="s">
        <v>3229</v>
      </c>
      <c r="C362" s="94"/>
      <c r="D362" s="95">
        <v>12.53</v>
      </c>
      <c r="E362" s="95">
        <v>109.01</v>
      </c>
      <c r="F362" s="96">
        <v>1366.02</v>
      </c>
      <c r="G362" s="97" t="s">
        <v>2364</v>
      </c>
      <c r="H362" s="114">
        <v>46204</v>
      </c>
      <c r="I362" s="17"/>
      <c r="J362" s="17"/>
      <c r="K362" s="17"/>
    </row>
    <row r="363" spans="1:11" x14ac:dyDescent="0.2">
      <c r="A363" s="115">
        <v>46233</v>
      </c>
      <c r="B363" s="112" t="s">
        <v>3230</v>
      </c>
      <c r="C363" s="94" t="s">
        <v>306</v>
      </c>
      <c r="D363" s="95">
        <v>2.75</v>
      </c>
      <c r="E363" s="95">
        <v>109.01</v>
      </c>
      <c r="F363" s="96">
        <v>300</v>
      </c>
      <c r="G363" s="97" t="s">
        <v>152</v>
      </c>
      <c r="H363" s="114">
        <v>46204</v>
      </c>
      <c r="I363" s="17"/>
      <c r="J363" s="17"/>
      <c r="K363" s="17"/>
    </row>
    <row r="364" spans="1:11" x14ac:dyDescent="0.2">
      <c r="A364" s="115">
        <v>46233</v>
      </c>
      <c r="B364" s="112" t="s">
        <v>3231</v>
      </c>
      <c r="C364" s="94" t="s">
        <v>3232</v>
      </c>
      <c r="D364" s="95">
        <v>23.85</v>
      </c>
      <c r="E364" s="95">
        <v>109.01</v>
      </c>
      <c r="F364" s="96">
        <v>2600</v>
      </c>
      <c r="G364" s="97" t="s">
        <v>56</v>
      </c>
      <c r="H364" s="114">
        <v>46204</v>
      </c>
      <c r="I364" s="17"/>
      <c r="J364" s="17"/>
      <c r="K364" s="17"/>
    </row>
    <row r="365" spans="1:11" x14ac:dyDescent="0.2">
      <c r="A365" s="115">
        <v>46234</v>
      </c>
      <c r="B365" s="112" t="s">
        <v>3259</v>
      </c>
      <c r="C365" s="94"/>
      <c r="D365" s="95">
        <v>55.91</v>
      </c>
      <c r="E365" s="95">
        <v>109.01</v>
      </c>
      <c r="F365" s="96">
        <v>6094.06</v>
      </c>
      <c r="G365" s="97" t="s">
        <v>2364</v>
      </c>
      <c r="H365" s="114">
        <v>46204</v>
      </c>
      <c r="I365" s="17"/>
      <c r="J365" s="17"/>
      <c r="K365" s="17"/>
    </row>
    <row r="366" spans="1:11" x14ac:dyDescent="0.2">
      <c r="A366" s="115">
        <v>46234</v>
      </c>
      <c r="B366" s="112" t="s">
        <v>3260</v>
      </c>
      <c r="C366" s="94"/>
      <c r="D366" s="95">
        <v>6.61</v>
      </c>
      <c r="E366" s="95">
        <v>109.01</v>
      </c>
      <c r="F366" s="96">
        <v>720</v>
      </c>
      <c r="G366" s="97" t="s">
        <v>2450</v>
      </c>
      <c r="H366" s="114">
        <v>46204</v>
      </c>
      <c r="I366" s="17"/>
      <c r="J366" s="17"/>
      <c r="K366" s="17"/>
    </row>
    <row r="367" spans="1:11" x14ac:dyDescent="0.2">
      <c r="A367" s="115">
        <v>46234</v>
      </c>
      <c r="B367" s="112" t="s">
        <v>3261</v>
      </c>
      <c r="C367" s="94"/>
      <c r="D367" s="95">
        <v>467.14</v>
      </c>
      <c r="E367" s="95">
        <v>109.01</v>
      </c>
      <c r="F367" s="96">
        <v>50922.85</v>
      </c>
      <c r="G367" s="97" t="s">
        <v>2450</v>
      </c>
      <c r="H367" s="114">
        <v>46204</v>
      </c>
      <c r="I367" s="17"/>
      <c r="J367" s="17"/>
      <c r="K367" s="17"/>
    </row>
    <row r="368" spans="1:11" x14ac:dyDescent="0.2">
      <c r="A368" s="115">
        <v>46234</v>
      </c>
      <c r="B368" s="112" t="s">
        <v>3262</v>
      </c>
      <c r="C368" s="94" t="s">
        <v>102</v>
      </c>
      <c r="D368" s="95">
        <v>38.53</v>
      </c>
      <c r="E368" s="95">
        <v>109.01</v>
      </c>
      <c r="F368" s="96">
        <v>4200.1499999999996</v>
      </c>
      <c r="G368" s="97" t="s">
        <v>103</v>
      </c>
      <c r="H368" s="114">
        <v>46204</v>
      </c>
      <c r="I368" s="17"/>
      <c r="J368" s="17"/>
      <c r="K368" s="17"/>
    </row>
    <row r="369" spans="1:11" x14ac:dyDescent="0.2">
      <c r="A369" s="115">
        <v>46234</v>
      </c>
      <c r="B369" s="112" t="s">
        <v>3263</v>
      </c>
      <c r="C369" s="94" t="s">
        <v>456</v>
      </c>
      <c r="D369" s="95">
        <v>48</v>
      </c>
      <c r="E369" s="95">
        <v>109.01</v>
      </c>
      <c r="F369" s="96">
        <v>5232.4799999999996</v>
      </c>
      <c r="G369" s="97" t="s">
        <v>53</v>
      </c>
      <c r="H369" s="114">
        <v>46204</v>
      </c>
      <c r="I369" s="17"/>
      <c r="J369" s="17"/>
      <c r="K369" s="17"/>
    </row>
    <row r="370" spans="1:11" x14ac:dyDescent="0.2">
      <c r="A370" s="115">
        <v>46234</v>
      </c>
      <c r="B370" s="112" t="s">
        <v>3264</v>
      </c>
      <c r="C370" s="94" t="s">
        <v>449</v>
      </c>
      <c r="D370" s="95">
        <v>42</v>
      </c>
      <c r="E370" s="95">
        <v>109.01</v>
      </c>
      <c r="F370" s="96">
        <v>4578.42</v>
      </c>
      <c r="G370" s="97" t="s">
        <v>53</v>
      </c>
      <c r="H370" s="114">
        <v>46204</v>
      </c>
      <c r="I370" s="17"/>
      <c r="J370" s="17"/>
      <c r="K370" s="17"/>
    </row>
    <row r="371" spans="1:11" x14ac:dyDescent="0.2">
      <c r="A371" s="115">
        <v>46234</v>
      </c>
      <c r="B371" s="112" t="s">
        <v>3265</v>
      </c>
      <c r="C371" s="94" t="s">
        <v>3266</v>
      </c>
      <c r="D371" s="95">
        <v>18.350000000000001</v>
      </c>
      <c r="E371" s="95">
        <v>109.01</v>
      </c>
      <c r="F371" s="96">
        <v>2000</v>
      </c>
      <c r="G371" s="97" t="s">
        <v>202</v>
      </c>
      <c r="H371" s="114">
        <v>46204</v>
      </c>
      <c r="I371" s="17"/>
      <c r="J371" s="17"/>
      <c r="K371" s="17"/>
    </row>
    <row r="372" spans="1:11" x14ac:dyDescent="0.2">
      <c r="A372" s="115">
        <v>46235</v>
      </c>
      <c r="B372" s="112" t="s">
        <v>3292</v>
      </c>
      <c r="C372" s="94" t="s">
        <v>2749</v>
      </c>
      <c r="D372" s="95">
        <v>10</v>
      </c>
      <c r="E372" s="95">
        <v>109.01</v>
      </c>
      <c r="F372" s="96">
        <v>1090.0999999999999</v>
      </c>
      <c r="G372" s="97" t="s">
        <v>95</v>
      </c>
      <c r="H372" s="114">
        <v>46235</v>
      </c>
      <c r="I372" s="17"/>
      <c r="J372" s="17"/>
      <c r="K372" s="17"/>
    </row>
    <row r="373" spans="1:11" x14ac:dyDescent="0.2">
      <c r="A373" s="115">
        <v>46235</v>
      </c>
      <c r="B373" s="112" t="s">
        <v>3293</v>
      </c>
      <c r="C373" s="94" t="s">
        <v>157</v>
      </c>
      <c r="D373" s="95">
        <v>7</v>
      </c>
      <c r="E373" s="95">
        <v>109.01</v>
      </c>
      <c r="F373" s="96">
        <v>763.07</v>
      </c>
      <c r="G373" s="97" t="s">
        <v>56</v>
      </c>
      <c r="H373" s="114">
        <v>46235</v>
      </c>
      <c r="I373" s="17"/>
      <c r="J373" s="17"/>
      <c r="K373" s="17"/>
    </row>
    <row r="374" spans="1:11" x14ac:dyDescent="0.2">
      <c r="A374" s="115">
        <v>46235</v>
      </c>
      <c r="B374" s="112" t="s">
        <v>3294</v>
      </c>
      <c r="C374" s="94" t="s">
        <v>3073</v>
      </c>
      <c r="D374" s="95">
        <v>51.88</v>
      </c>
      <c r="E374" s="95">
        <v>109.01</v>
      </c>
      <c r="F374" s="96">
        <v>5655.43</v>
      </c>
      <c r="G374" s="97" t="s">
        <v>56</v>
      </c>
      <c r="H374" s="114">
        <v>46235</v>
      </c>
      <c r="I374" s="17"/>
      <c r="J374" s="17"/>
      <c r="K374" s="17"/>
    </row>
    <row r="375" spans="1:11" x14ac:dyDescent="0.2">
      <c r="A375" s="115">
        <v>46235</v>
      </c>
      <c r="B375" s="112" t="s">
        <v>3295</v>
      </c>
      <c r="C375" s="94"/>
      <c r="D375" s="95">
        <v>92.56</v>
      </c>
      <c r="E375" s="95">
        <v>109.01</v>
      </c>
      <c r="F375" s="96">
        <v>10089.69</v>
      </c>
      <c r="G375" s="97" t="s">
        <v>2364</v>
      </c>
      <c r="H375" s="114">
        <v>46235</v>
      </c>
      <c r="I375" s="17"/>
      <c r="J375" s="17"/>
      <c r="K375" s="17"/>
    </row>
    <row r="376" spans="1:11" x14ac:dyDescent="0.2">
      <c r="A376" s="115">
        <v>46235</v>
      </c>
      <c r="B376" s="112" t="s">
        <v>3296</v>
      </c>
      <c r="C376" s="94"/>
      <c r="D376" s="95">
        <v>296.89999999999998</v>
      </c>
      <c r="E376" s="95">
        <v>109.01</v>
      </c>
      <c r="F376" s="96">
        <v>32365.25</v>
      </c>
      <c r="G376" s="97" t="s">
        <v>2450</v>
      </c>
      <c r="H376" s="114">
        <v>46235</v>
      </c>
      <c r="I376" s="17"/>
      <c r="J376" s="17"/>
      <c r="K376" s="17"/>
    </row>
    <row r="377" spans="1:11" x14ac:dyDescent="0.2">
      <c r="A377" s="115">
        <v>46235</v>
      </c>
      <c r="B377" s="112" t="s">
        <v>3297</v>
      </c>
      <c r="C377" s="94"/>
      <c r="D377" s="95">
        <v>9.6300000000000008</v>
      </c>
      <c r="E377" s="95">
        <v>109.01</v>
      </c>
      <c r="F377" s="96">
        <v>1050</v>
      </c>
      <c r="G377" s="97" t="s">
        <v>2450</v>
      </c>
      <c r="H377" s="114">
        <v>46235</v>
      </c>
      <c r="I377" s="17"/>
      <c r="J377" s="17"/>
      <c r="K377" s="17"/>
    </row>
    <row r="378" spans="1:11" x14ac:dyDescent="0.2">
      <c r="A378" s="115">
        <v>46236</v>
      </c>
      <c r="B378" s="112" t="s">
        <v>3325</v>
      </c>
      <c r="C378" s="94" t="s">
        <v>306</v>
      </c>
      <c r="D378" s="95">
        <v>2.75</v>
      </c>
      <c r="E378" s="95">
        <v>109.01</v>
      </c>
      <c r="F378" s="96">
        <v>300</v>
      </c>
      <c r="G378" s="97" t="s">
        <v>152</v>
      </c>
      <c r="H378" s="114">
        <v>46235</v>
      </c>
      <c r="I378" s="17"/>
      <c r="J378" s="17"/>
      <c r="K378" s="17"/>
    </row>
    <row r="379" spans="1:11" x14ac:dyDescent="0.2">
      <c r="A379" s="115">
        <v>46236</v>
      </c>
      <c r="B379" s="112" t="s">
        <v>3326</v>
      </c>
      <c r="C379" s="94"/>
      <c r="D379" s="95">
        <v>27.44</v>
      </c>
      <c r="E379" s="95">
        <v>109.01</v>
      </c>
      <c r="F379" s="96">
        <v>2990.87</v>
      </c>
      <c r="G379" s="97" t="s">
        <v>2364</v>
      </c>
      <c r="H379" s="114">
        <v>46235</v>
      </c>
      <c r="I379" s="17"/>
      <c r="J379" s="17"/>
      <c r="K379" s="17"/>
    </row>
    <row r="380" spans="1:11" x14ac:dyDescent="0.2">
      <c r="A380" s="115">
        <v>46236</v>
      </c>
      <c r="B380" s="112" t="s">
        <v>3327</v>
      </c>
      <c r="C380" s="94"/>
      <c r="D380" s="95">
        <v>3.16</v>
      </c>
      <c r="E380" s="95">
        <v>109.01</v>
      </c>
      <c r="F380" s="96">
        <v>345</v>
      </c>
      <c r="G380" s="97" t="s">
        <v>2450</v>
      </c>
      <c r="H380" s="114">
        <v>46235</v>
      </c>
      <c r="I380" s="17"/>
      <c r="J380" s="17"/>
      <c r="K380" s="17"/>
    </row>
    <row r="381" spans="1:11" x14ac:dyDescent="0.2">
      <c r="A381" s="115">
        <v>46236</v>
      </c>
      <c r="B381" s="112" t="s">
        <v>3328</v>
      </c>
      <c r="C381" s="94"/>
      <c r="D381" s="95">
        <v>580.55999999999995</v>
      </c>
      <c r="E381" s="95">
        <v>109.01</v>
      </c>
      <c r="F381" s="96">
        <v>63287</v>
      </c>
      <c r="G381" s="97" t="s">
        <v>2450</v>
      </c>
      <c r="H381" s="114">
        <v>46235</v>
      </c>
      <c r="I381" s="17"/>
      <c r="J381" s="17"/>
      <c r="K381" s="17"/>
    </row>
    <row r="382" spans="1:11" x14ac:dyDescent="0.2">
      <c r="A382" s="115">
        <v>46237</v>
      </c>
      <c r="B382" s="112" t="s">
        <v>3343</v>
      </c>
      <c r="C382" s="94"/>
      <c r="D382" s="95">
        <v>363.05</v>
      </c>
      <c r="E382" s="95">
        <v>109.01</v>
      </c>
      <c r="F382" s="96">
        <v>39576</v>
      </c>
      <c r="G382" s="97" t="s">
        <v>2450</v>
      </c>
      <c r="H382" s="114">
        <v>46235</v>
      </c>
      <c r="I382" s="17"/>
      <c r="J382" s="17"/>
      <c r="K382" s="17"/>
    </row>
    <row r="383" spans="1:11" x14ac:dyDescent="0.2">
      <c r="A383" s="115">
        <v>46237</v>
      </c>
      <c r="B383" s="112" t="s">
        <v>3344</v>
      </c>
      <c r="C383" s="94"/>
      <c r="D383" s="95">
        <v>4.59</v>
      </c>
      <c r="E383" s="95">
        <v>109.01</v>
      </c>
      <c r="F383" s="96">
        <v>500</v>
      </c>
      <c r="G383" s="97" t="s">
        <v>2450</v>
      </c>
      <c r="H383" s="114">
        <v>46235</v>
      </c>
      <c r="I383" s="17"/>
      <c r="J383" s="17"/>
      <c r="K383" s="17"/>
    </row>
    <row r="384" spans="1:11" x14ac:dyDescent="0.2">
      <c r="A384" s="115">
        <v>46237</v>
      </c>
      <c r="B384" s="112" t="s">
        <v>3345</v>
      </c>
      <c r="C384" s="94"/>
      <c r="D384" s="95">
        <v>35.08</v>
      </c>
      <c r="E384" s="95">
        <v>109.01</v>
      </c>
      <c r="F384" s="96">
        <v>3824.1</v>
      </c>
      <c r="G384" s="97" t="s">
        <v>2364</v>
      </c>
      <c r="H384" s="114">
        <v>46235</v>
      </c>
      <c r="I384" s="17"/>
      <c r="J384" s="17"/>
      <c r="K384" s="17"/>
    </row>
    <row r="385" spans="1:11" x14ac:dyDescent="0.2">
      <c r="A385" s="115">
        <v>46238</v>
      </c>
      <c r="B385" s="112" t="s">
        <v>3384</v>
      </c>
      <c r="C385" s="94"/>
      <c r="D385" s="95">
        <v>481.1</v>
      </c>
      <c r="E385" s="95">
        <v>109.01</v>
      </c>
      <c r="F385" s="96">
        <v>52444.9</v>
      </c>
      <c r="G385" s="97" t="s">
        <v>2450</v>
      </c>
      <c r="H385" s="114">
        <v>46235</v>
      </c>
      <c r="I385" s="17"/>
      <c r="J385" s="17"/>
      <c r="K385" s="17"/>
    </row>
    <row r="386" spans="1:11" x14ac:dyDescent="0.2">
      <c r="A386" s="115">
        <v>46238</v>
      </c>
      <c r="B386" s="112" t="s">
        <v>3385</v>
      </c>
      <c r="C386" s="94"/>
      <c r="D386" s="95">
        <v>4.13</v>
      </c>
      <c r="E386" s="95">
        <v>109.01</v>
      </c>
      <c r="F386" s="96">
        <v>450</v>
      </c>
      <c r="G386" s="97" t="s">
        <v>2450</v>
      </c>
      <c r="H386" s="114">
        <v>46235</v>
      </c>
      <c r="I386" s="17"/>
      <c r="J386" s="17"/>
      <c r="K386" s="17"/>
    </row>
    <row r="387" spans="1:11" x14ac:dyDescent="0.2">
      <c r="A387" s="115">
        <v>46238</v>
      </c>
      <c r="B387" s="112" t="s">
        <v>3386</v>
      </c>
      <c r="C387" s="94"/>
      <c r="D387" s="95">
        <v>55.68</v>
      </c>
      <c r="E387" s="95">
        <v>109.01</v>
      </c>
      <c r="F387" s="96">
        <v>6070</v>
      </c>
      <c r="G387" s="97" t="s">
        <v>2364</v>
      </c>
      <c r="H387" s="114">
        <v>46235</v>
      </c>
      <c r="I387" s="17"/>
      <c r="J387" s="17"/>
      <c r="K387" s="17"/>
    </row>
    <row r="388" spans="1:11" x14ac:dyDescent="0.2">
      <c r="A388" s="115">
        <v>46239</v>
      </c>
      <c r="B388" s="112" t="s">
        <v>3387</v>
      </c>
      <c r="C388" s="101" t="s">
        <v>141</v>
      </c>
      <c r="D388" s="95">
        <v>200</v>
      </c>
      <c r="E388" s="95">
        <v>109.01</v>
      </c>
      <c r="F388" s="96">
        <v>21802</v>
      </c>
      <c r="G388" s="97" t="s">
        <v>143</v>
      </c>
      <c r="H388" s="114">
        <f t="shared" ref="H388" si="5">IF(A388&lt;&gt;"", EOMONTH(A388, -1) + 1, "")</f>
        <v>46235</v>
      </c>
      <c r="I388" s="17"/>
      <c r="J388" s="17"/>
      <c r="K388" s="17"/>
    </row>
    <row r="389" spans="1:11" x14ac:dyDescent="0.2">
      <c r="A389" s="115">
        <v>46239</v>
      </c>
      <c r="B389" s="112" t="s">
        <v>3420</v>
      </c>
      <c r="C389" s="94" t="s">
        <v>102</v>
      </c>
      <c r="D389" s="95">
        <v>32.090000000000003</v>
      </c>
      <c r="E389" s="95">
        <v>109.01</v>
      </c>
      <c r="F389" s="96">
        <v>3498.13</v>
      </c>
      <c r="G389" s="97" t="s">
        <v>103</v>
      </c>
      <c r="H389" s="114">
        <v>46235</v>
      </c>
      <c r="I389" s="17"/>
      <c r="J389" s="17"/>
      <c r="K389" s="17"/>
    </row>
    <row r="390" spans="1:11" x14ac:dyDescent="0.2">
      <c r="A390" s="115">
        <v>46239</v>
      </c>
      <c r="B390" s="112" t="s">
        <v>3421</v>
      </c>
      <c r="C390" s="94"/>
      <c r="D390" s="95">
        <v>36.369999999999997</v>
      </c>
      <c r="E390" s="95">
        <v>109.01</v>
      </c>
      <c r="F390" s="96">
        <v>3965.1</v>
      </c>
      <c r="G390" s="97" t="s">
        <v>2364</v>
      </c>
      <c r="H390" s="114">
        <v>46235</v>
      </c>
      <c r="I390" s="17"/>
      <c r="J390" s="17"/>
      <c r="K390" s="17"/>
    </row>
    <row r="391" spans="1:11" x14ac:dyDescent="0.2">
      <c r="A391" s="115">
        <v>46239</v>
      </c>
      <c r="B391" s="112" t="s">
        <v>3422</v>
      </c>
      <c r="C391" s="94"/>
      <c r="D391" s="95">
        <v>13.3</v>
      </c>
      <c r="E391" s="95">
        <v>109.01</v>
      </c>
      <c r="F391" s="96">
        <v>1450</v>
      </c>
      <c r="G391" s="97" t="s">
        <v>2450</v>
      </c>
      <c r="H391" s="114">
        <v>46235</v>
      </c>
      <c r="I391" s="17"/>
      <c r="J391" s="17"/>
      <c r="K391" s="17"/>
    </row>
    <row r="392" spans="1:11" x14ac:dyDescent="0.2">
      <c r="A392" s="115">
        <v>46239</v>
      </c>
      <c r="B392" s="112" t="s">
        <v>3423</v>
      </c>
      <c r="C392" s="94"/>
      <c r="D392" s="95">
        <v>345.09</v>
      </c>
      <c r="E392" s="95">
        <v>109.01</v>
      </c>
      <c r="F392" s="96">
        <v>37617.75</v>
      </c>
      <c r="G392" s="97" t="s">
        <v>2450</v>
      </c>
      <c r="H392" s="114">
        <v>46235</v>
      </c>
      <c r="I392" s="17"/>
      <c r="J392" s="17"/>
      <c r="K392" s="17"/>
    </row>
    <row r="393" spans="1:11" x14ac:dyDescent="0.2">
      <c r="A393" s="115">
        <v>46240</v>
      </c>
      <c r="B393" s="112" t="s">
        <v>3449</v>
      </c>
      <c r="C393" s="94"/>
      <c r="D393" s="95">
        <v>350.33</v>
      </c>
      <c r="E393" s="95">
        <v>109.01</v>
      </c>
      <c r="F393" s="96">
        <v>38189</v>
      </c>
      <c r="G393" s="97" t="s">
        <v>2450</v>
      </c>
      <c r="H393" s="114">
        <v>46235</v>
      </c>
      <c r="I393" s="17"/>
      <c r="J393" s="17"/>
      <c r="K393" s="17"/>
    </row>
    <row r="394" spans="1:11" x14ac:dyDescent="0.2">
      <c r="A394" s="115">
        <v>46240</v>
      </c>
      <c r="B394" s="112" t="s">
        <v>3450</v>
      </c>
      <c r="C394" s="94"/>
      <c r="D394" s="95">
        <v>2.85</v>
      </c>
      <c r="E394" s="95">
        <v>109.01</v>
      </c>
      <c r="F394" s="96">
        <v>310</v>
      </c>
      <c r="G394" s="97" t="s">
        <v>2450</v>
      </c>
      <c r="H394" s="114">
        <v>46235</v>
      </c>
      <c r="I394" s="17"/>
      <c r="J394" s="17"/>
      <c r="K394" s="17"/>
    </row>
    <row r="395" spans="1:11" x14ac:dyDescent="0.2">
      <c r="A395" s="115">
        <v>46240</v>
      </c>
      <c r="B395" s="112" t="s">
        <v>3451</v>
      </c>
      <c r="C395" s="94"/>
      <c r="D395" s="95">
        <v>52.75</v>
      </c>
      <c r="E395" s="95">
        <v>109.01</v>
      </c>
      <c r="F395" s="96">
        <v>5750</v>
      </c>
      <c r="G395" s="97" t="s">
        <v>2364</v>
      </c>
      <c r="H395" s="114">
        <v>46235</v>
      </c>
      <c r="I395" s="17"/>
      <c r="J395" s="17"/>
      <c r="K395" s="17"/>
    </row>
    <row r="396" spans="1:11" x14ac:dyDescent="0.2">
      <c r="A396" s="115">
        <v>46240</v>
      </c>
      <c r="B396" s="112" t="s">
        <v>3452</v>
      </c>
      <c r="C396" s="94" t="s">
        <v>225</v>
      </c>
      <c r="D396" s="95">
        <v>38.92</v>
      </c>
      <c r="E396" s="95">
        <v>109.01</v>
      </c>
      <c r="F396" s="96">
        <v>4242.66</v>
      </c>
      <c r="G396" s="97" t="s">
        <v>103</v>
      </c>
      <c r="H396" s="114">
        <v>46235</v>
      </c>
      <c r="I396" s="17"/>
      <c r="J396" s="17"/>
      <c r="K396" s="17"/>
    </row>
    <row r="397" spans="1:11" x14ac:dyDescent="0.2">
      <c r="A397" s="115">
        <v>46241</v>
      </c>
      <c r="B397" s="112" t="s">
        <v>3481</v>
      </c>
      <c r="C397" s="94" t="s">
        <v>306</v>
      </c>
      <c r="D397" s="95">
        <v>2.75</v>
      </c>
      <c r="E397" s="95">
        <v>109.01</v>
      </c>
      <c r="F397" s="96">
        <v>300</v>
      </c>
      <c r="G397" s="97" t="s">
        <v>152</v>
      </c>
      <c r="H397" s="114">
        <v>46235</v>
      </c>
      <c r="I397" s="17"/>
      <c r="J397" s="17"/>
      <c r="K397" s="17"/>
    </row>
    <row r="398" spans="1:11" x14ac:dyDescent="0.2">
      <c r="A398" s="115">
        <v>46241</v>
      </c>
      <c r="B398" s="112" t="s">
        <v>3482</v>
      </c>
      <c r="C398" s="94"/>
      <c r="D398" s="95">
        <v>39.979999999999997</v>
      </c>
      <c r="E398" s="95">
        <v>109.01</v>
      </c>
      <c r="F398" s="96">
        <v>4358</v>
      </c>
      <c r="G398" s="97" t="s">
        <v>2364</v>
      </c>
      <c r="H398" s="114">
        <v>46235</v>
      </c>
      <c r="I398" s="17"/>
      <c r="J398" s="17"/>
      <c r="K398" s="17"/>
    </row>
    <row r="399" spans="1:11" x14ac:dyDescent="0.2">
      <c r="A399" s="115">
        <v>46241</v>
      </c>
      <c r="B399" s="112" t="s">
        <v>3483</v>
      </c>
      <c r="C399" s="94"/>
      <c r="D399" s="95">
        <v>433.11</v>
      </c>
      <c r="E399" s="95">
        <v>109.01</v>
      </c>
      <c r="F399" s="96">
        <v>47213.08</v>
      </c>
      <c r="G399" s="97" t="s">
        <v>2450</v>
      </c>
      <c r="H399" s="114">
        <v>46235</v>
      </c>
      <c r="I399" s="17"/>
      <c r="J399" s="17"/>
      <c r="K399" s="17"/>
    </row>
    <row r="400" spans="1:11" x14ac:dyDescent="0.2">
      <c r="A400" s="115">
        <v>46242</v>
      </c>
      <c r="B400" s="112" t="s">
        <v>3505</v>
      </c>
      <c r="C400" s="94"/>
      <c r="D400" s="95">
        <v>308.92</v>
      </c>
      <c r="E400" s="95">
        <v>109.01</v>
      </c>
      <c r="F400" s="96">
        <v>33675</v>
      </c>
      <c r="G400" s="97" t="s">
        <v>2450</v>
      </c>
      <c r="H400" s="114">
        <v>46235</v>
      </c>
      <c r="I400" s="17"/>
      <c r="J400" s="17"/>
      <c r="K400" s="17"/>
    </row>
    <row r="401" spans="1:11" x14ac:dyDescent="0.2">
      <c r="A401" s="115">
        <v>46242</v>
      </c>
      <c r="B401" s="112" t="s">
        <v>3506</v>
      </c>
      <c r="C401" s="94"/>
      <c r="D401" s="95">
        <v>8.35</v>
      </c>
      <c r="E401" s="95">
        <v>109.01</v>
      </c>
      <c r="F401" s="96">
        <v>910</v>
      </c>
      <c r="G401" s="97" t="s">
        <v>2450</v>
      </c>
      <c r="H401" s="114">
        <v>46235</v>
      </c>
      <c r="I401" s="17"/>
      <c r="J401" s="17"/>
      <c r="K401" s="17"/>
    </row>
    <row r="402" spans="1:11" x14ac:dyDescent="0.2">
      <c r="A402" s="115">
        <v>46242</v>
      </c>
      <c r="B402" s="112" t="s">
        <v>3507</v>
      </c>
      <c r="C402" s="94"/>
      <c r="D402" s="95">
        <v>94.36</v>
      </c>
      <c r="E402" s="95">
        <v>109.01</v>
      </c>
      <c r="F402" s="96">
        <v>10286.1</v>
      </c>
      <c r="G402" s="97" t="s">
        <v>2364</v>
      </c>
      <c r="H402" s="114">
        <v>46235</v>
      </c>
      <c r="I402" s="17"/>
      <c r="J402" s="17"/>
      <c r="K402" s="17"/>
    </row>
    <row r="403" spans="1:11" x14ac:dyDescent="0.2">
      <c r="A403" s="115">
        <v>46243</v>
      </c>
      <c r="B403" s="112" t="s">
        <v>3528</v>
      </c>
      <c r="C403" s="94"/>
      <c r="D403" s="95">
        <v>22</v>
      </c>
      <c r="E403" s="95">
        <v>109.01</v>
      </c>
      <c r="F403" s="96">
        <v>2397.87</v>
      </c>
      <c r="G403" s="97" t="s">
        <v>2364</v>
      </c>
      <c r="H403" s="114">
        <v>46235</v>
      </c>
      <c r="I403" s="17"/>
      <c r="J403" s="17"/>
      <c r="K403" s="17"/>
    </row>
    <row r="404" spans="1:11" x14ac:dyDescent="0.2">
      <c r="A404" s="115">
        <v>46243</v>
      </c>
      <c r="B404" s="112" t="s">
        <v>3529</v>
      </c>
      <c r="C404" s="94"/>
      <c r="D404" s="95">
        <v>5.41</v>
      </c>
      <c r="E404" s="95">
        <v>109.01</v>
      </c>
      <c r="F404" s="96">
        <v>590</v>
      </c>
      <c r="G404" s="97" t="s">
        <v>2450</v>
      </c>
      <c r="H404" s="114">
        <v>46235</v>
      </c>
      <c r="I404" s="17"/>
      <c r="J404" s="17"/>
      <c r="K404" s="17"/>
    </row>
    <row r="405" spans="1:11" x14ac:dyDescent="0.2">
      <c r="A405" s="115">
        <v>46243</v>
      </c>
      <c r="B405" s="112" t="s">
        <v>3530</v>
      </c>
      <c r="C405" s="94"/>
      <c r="D405" s="95">
        <v>450.6</v>
      </c>
      <c r="E405" s="95">
        <v>109.01</v>
      </c>
      <c r="F405" s="96">
        <v>49119.8</v>
      </c>
      <c r="G405" s="97" t="s">
        <v>2450</v>
      </c>
      <c r="H405" s="114">
        <v>46235</v>
      </c>
      <c r="I405" s="17"/>
      <c r="J405" s="17"/>
      <c r="K405" s="17"/>
    </row>
    <row r="406" spans="1:11" x14ac:dyDescent="0.2">
      <c r="A406" s="115">
        <v>46244</v>
      </c>
      <c r="B406" s="112" t="s">
        <v>3551</v>
      </c>
      <c r="C406" s="94" t="s">
        <v>3552</v>
      </c>
      <c r="D406" s="95">
        <v>2.76</v>
      </c>
      <c r="E406" s="95">
        <v>109.01</v>
      </c>
      <c r="F406" s="96">
        <v>300</v>
      </c>
      <c r="G406" s="97" t="s">
        <v>152</v>
      </c>
      <c r="H406" s="114">
        <v>46235</v>
      </c>
      <c r="I406" s="17"/>
      <c r="J406" s="17"/>
      <c r="K406" s="17"/>
    </row>
    <row r="407" spans="1:11" x14ac:dyDescent="0.2">
      <c r="A407" s="115">
        <v>46244</v>
      </c>
      <c r="B407" s="112" t="s">
        <v>3553</v>
      </c>
      <c r="C407" s="94"/>
      <c r="D407" s="95">
        <v>26.22</v>
      </c>
      <c r="E407" s="95">
        <v>109.01</v>
      </c>
      <c r="F407" s="96">
        <v>2857.87</v>
      </c>
      <c r="G407" s="97" t="s">
        <v>2364</v>
      </c>
      <c r="H407" s="114">
        <v>46235</v>
      </c>
      <c r="I407" s="17"/>
      <c r="J407" s="17"/>
      <c r="K407" s="17"/>
    </row>
    <row r="408" spans="1:11" x14ac:dyDescent="0.2">
      <c r="A408" s="115">
        <v>46244</v>
      </c>
      <c r="B408" s="112" t="s">
        <v>3554</v>
      </c>
      <c r="C408" s="94"/>
      <c r="D408" s="95">
        <v>413.72</v>
      </c>
      <c r="E408" s="95">
        <v>109.01</v>
      </c>
      <c r="F408" s="96">
        <v>45100</v>
      </c>
      <c r="G408" s="97" t="s">
        <v>2450</v>
      </c>
      <c r="H408" s="114">
        <v>46235</v>
      </c>
      <c r="I408" s="17"/>
      <c r="J408" s="17"/>
      <c r="K408" s="17"/>
    </row>
    <row r="409" spans="1:11" x14ac:dyDescent="0.2">
      <c r="A409" s="115">
        <v>46245</v>
      </c>
      <c r="B409" s="112" t="s">
        <v>3575</v>
      </c>
      <c r="C409" s="94" t="s">
        <v>1041</v>
      </c>
      <c r="D409" s="95">
        <v>4.59</v>
      </c>
      <c r="E409" s="95">
        <v>109.01</v>
      </c>
      <c r="F409" s="96">
        <v>500</v>
      </c>
      <c r="G409" s="97" t="s">
        <v>714</v>
      </c>
      <c r="H409" s="114">
        <v>46235</v>
      </c>
      <c r="I409" s="17"/>
      <c r="J409" s="17"/>
      <c r="K409" s="17"/>
    </row>
    <row r="410" spans="1:11" x14ac:dyDescent="0.2">
      <c r="A410" s="115">
        <v>46245</v>
      </c>
      <c r="B410" s="112" t="s">
        <v>3576</v>
      </c>
      <c r="C410" s="94" t="s">
        <v>3577</v>
      </c>
      <c r="D410" s="95">
        <v>6</v>
      </c>
      <c r="E410" s="95">
        <v>109.01</v>
      </c>
      <c r="F410" s="96">
        <v>654.05999999999995</v>
      </c>
      <c r="G410" s="97" t="s">
        <v>56</v>
      </c>
      <c r="H410" s="114">
        <v>46235</v>
      </c>
      <c r="I410" s="17"/>
      <c r="J410" s="17"/>
      <c r="K410" s="17"/>
    </row>
    <row r="411" spans="1:11" x14ac:dyDescent="0.2">
      <c r="A411" s="115">
        <v>46245</v>
      </c>
      <c r="B411" s="112" t="s">
        <v>3578</v>
      </c>
      <c r="C411" s="94" t="s">
        <v>306</v>
      </c>
      <c r="D411" s="95">
        <v>2.76</v>
      </c>
      <c r="E411" s="95">
        <v>109.01</v>
      </c>
      <c r="F411" s="96">
        <v>300</v>
      </c>
      <c r="G411" s="100" t="s">
        <v>152</v>
      </c>
      <c r="H411" s="114">
        <v>46235</v>
      </c>
      <c r="I411" s="17"/>
      <c r="J411" s="17"/>
      <c r="K411" s="17"/>
    </row>
    <row r="412" spans="1:11" x14ac:dyDescent="0.2">
      <c r="A412" s="115">
        <v>46245</v>
      </c>
      <c r="B412" s="112" t="s">
        <v>3579</v>
      </c>
      <c r="C412" s="94"/>
      <c r="D412" s="95">
        <v>14.98</v>
      </c>
      <c r="E412" s="95">
        <v>109.01</v>
      </c>
      <c r="F412" s="96">
        <v>1632.61</v>
      </c>
      <c r="G412" s="100" t="s">
        <v>2364</v>
      </c>
      <c r="H412" s="114">
        <v>46235</v>
      </c>
      <c r="I412" s="17"/>
      <c r="J412" s="17"/>
      <c r="K412" s="17"/>
    </row>
    <row r="413" spans="1:11" x14ac:dyDescent="0.2">
      <c r="A413" s="115">
        <v>46245</v>
      </c>
      <c r="B413" s="112" t="s">
        <v>3580</v>
      </c>
      <c r="C413" s="94"/>
      <c r="D413" s="95">
        <v>412.62</v>
      </c>
      <c r="E413" s="95">
        <v>109.01</v>
      </c>
      <c r="F413" s="96">
        <v>44979.79</v>
      </c>
      <c r="G413" s="97" t="s">
        <v>2450</v>
      </c>
      <c r="H413" s="114">
        <v>46235</v>
      </c>
      <c r="I413" s="17"/>
      <c r="J413" s="17"/>
      <c r="K413" s="17"/>
    </row>
    <row r="414" spans="1:11" x14ac:dyDescent="0.2">
      <c r="A414" s="115">
        <v>46245</v>
      </c>
      <c r="B414" s="112" t="s">
        <v>3581</v>
      </c>
      <c r="C414" s="94"/>
      <c r="D414" s="95">
        <v>25.26</v>
      </c>
      <c r="E414" s="95">
        <v>109.01</v>
      </c>
      <c r="F414" s="96">
        <v>2753</v>
      </c>
      <c r="G414" s="97" t="s">
        <v>2450</v>
      </c>
      <c r="H414" s="114">
        <v>46235</v>
      </c>
      <c r="I414" s="17"/>
      <c r="J414" s="17"/>
      <c r="K414" s="17"/>
    </row>
    <row r="415" spans="1:11" x14ac:dyDescent="0.2">
      <c r="A415" s="115">
        <v>46246</v>
      </c>
      <c r="B415" s="112" t="s">
        <v>3619</v>
      </c>
      <c r="C415" s="94"/>
      <c r="D415" s="95">
        <v>345.26</v>
      </c>
      <c r="E415" s="95">
        <v>109.01</v>
      </c>
      <c r="F415" s="96">
        <v>37637</v>
      </c>
      <c r="G415" s="97" t="s">
        <v>2450</v>
      </c>
      <c r="H415" s="114">
        <v>46235</v>
      </c>
      <c r="I415" s="17"/>
      <c r="J415" s="17"/>
      <c r="K415" s="17"/>
    </row>
    <row r="416" spans="1:11" x14ac:dyDescent="0.2">
      <c r="A416" s="115">
        <v>46246</v>
      </c>
      <c r="B416" s="112" t="s">
        <v>3620</v>
      </c>
      <c r="C416" s="94"/>
      <c r="D416" s="95">
        <v>70.42</v>
      </c>
      <c r="E416" s="95">
        <v>109.01</v>
      </c>
      <c r="F416" s="96">
        <v>7676.1</v>
      </c>
      <c r="G416" s="97" t="s">
        <v>2364</v>
      </c>
      <c r="H416" s="114">
        <v>46235</v>
      </c>
      <c r="I416" s="17"/>
      <c r="J416" s="17"/>
      <c r="K416" s="17"/>
    </row>
    <row r="417" spans="1:11" x14ac:dyDescent="0.2">
      <c r="A417" s="115">
        <v>46247</v>
      </c>
      <c r="B417" s="112" t="s">
        <v>3648</v>
      </c>
      <c r="C417" s="94" t="s">
        <v>102</v>
      </c>
      <c r="D417" s="95">
        <v>37.43</v>
      </c>
      <c r="E417" s="95">
        <v>109.01</v>
      </c>
      <c r="F417" s="96">
        <v>4080.24</v>
      </c>
      <c r="G417" s="97" t="s">
        <v>103</v>
      </c>
      <c r="H417" s="114">
        <v>46235</v>
      </c>
      <c r="I417" s="17"/>
      <c r="J417" s="17"/>
      <c r="K417" s="17"/>
    </row>
    <row r="418" spans="1:11" x14ac:dyDescent="0.2">
      <c r="A418" s="115">
        <v>46247</v>
      </c>
      <c r="B418" s="112" t="s">
        <v>3649</v>
      </c>
      <c r="C418" s="94"/>
      <c r="D418" s="95">
        <v>220.17</v>
      </c>
      <c r="E418" s="95">
        <v>109.01</v>
      </c>
      <c r="F418" s="96">
        <v>24001</v>
      </c>
      <c r="G418" s="97" t="s">
        <v>2450</v>
      </c>
      <c r="H418" s="114">
        <v>46235</v>
      </c>
      <c r="I418" s="17"/>
      <c r="J418" s="17"/>
      <c r="K418" s="17"/>
    </row>
    <row r="419" spans="1:11" x14ac:dyDescent="0.2">
      <c r="A419" s="115">
        <v>46247</v>
      </c>
      <c r="B419" s="112" t="s">
        <v>3650</v>
      </c>
      <c r="C419" s="94"/>
      <c r="D419" s="95">
        <v>2.02</v>
      </c>
      <c r="E419" s="95">
        <v>109.01</v>
      </c>
      <c r="F419" s="96">
        <v>220</v>
      </c>
      <c r="G419" s="97" t="s">
        <v>2450</v>
      </c>
      <c r="H419" s="114">
        <v>46235</v>
      </c>
      <c r="I419" s="17"/>
      <c r="J419" s="17"/>
      <c r="K419" s="17"/>
    </row>
    <row r="420" spans="1:11" x14ac:dyDescent="0.2">
      <c r="A420" s="115">
        <v>46247</v>
      </c>
      <c r="B420" s="112" t="s">
        <v>3651</v>
      </c>
      <c r="C420" s="101" t="s">
        <v>13</v>
      </c>
      <c r="D420" s="95">
        <v>25.23</v>
      </c>
      <c r="E420" s="95">
        <v>109.01</v>
      </c>
      <c r="F420" s="96">
        <v>2750</v>
      </c>
      <c r="G420" s="97" t="s">
        <v>2364</v>
      </c>
      <c r="H420" s="114">
        <v>46235</v>
      </c>
      <c r="I420" s="17"/>
      <c r="J420" s="17"/>
      <c r="K420" s="17"/>
    </row>
    <row r="421" spans="1:11" x14ac:dyDescent="0.2">
      <c r="A421" s="115">
        <v>46248</v>
      </c>
      <c r="B421" s="112" t="s">
        <v>3682</v>
      </c>
      <c r="C421" s="101" t="s">
        <v>13</v>
      </c>
      <c r="D421" s="95">
        <v>120.56</v>
      </c>
      <c r="E421" s="95">
        <v>109.01</v>
      </c>
      <c r="F421" s="96">
        <v>13141.85</v>
      </c>
      <c r="G421" s="97" t="s">
        <v>2364</v>
      </c>
      <c r="H421" s="114">
        <v>46235</v>
      </c>
      <c r="I421" s="17"/>
      <c r="J421" s="17"/>
      <c r="K421" s="17"/>
    </row>
    <row r="422" spans="1:11" x14ac:dyDescent="0.2">
      <c r="A422" s="115">
        <v>46248</v>
      </c>
      <c r="B422" s="112" t="s">
        <v>3683</v>
      </c>
      <c r="C422" s="94"/>
      <c r="D422" s="95">
        <v>373.36</v>
      </c>
      <c r="E422" s="95">
        <v>109.01</v>
      </c>
      <c r="F422" s="96">
        <v>40699.75</v>
      </c>
      <c r="G422" s="97" t="s">
        <v>2450</v>
      </c>
      <c r="H422" s="114">
        <v>46235</v>
      </c>
      <c r="I422" s="17"/>
      <c r="J422" s="17"/>
      <c r="K422" s="17"/>
    </row>
    <row r="423" spans="1:11" x14ac:dyDescent="0.2">
      <c r="A423" s="115">
        <v>46249</v>
      </c>
      <c r="B423" s="112" t="s">
        <v>3696</v>
      </c>
      <c r="C423" s="94"/>
      <c r="D423" s="95">
        <v>436.86</v>
      </c>
      <c r="E423" s="95">
        <v>109.01</v>
      </c>
      <c r="F423" s="96">
        <v>47621.99</v>
      </c>
      <c r="G423" s="97" t="s">
        <v>2450</v>
      </c>
      <c r="H423" s="114">
        <v>46235</v>
      </c>
      <c r="I423" s="17"/>
      <c r="J423" s="17"/>
      <c r="K423" s="17"/>
    </row>
    <row r="424" spans="1:11" x14ac:dyDescent="0.2">
      <c r="A424" s="115">
        <v>46249</v>
      </c>
      <c r="B424" s="112" t="s">
        <v>3697</v>
      </c>
      <c r="C424" s="94"/>
      <c r="D424" s="95">
        <v>13.03</v>
      </c>
      <c r="E424" s="95">
        <v>109.01</v>
      </c>
      <c r="F424" s="96">
        <v>1420</v>
      </c>
      <c r="G424" s="97" t="s">
        <v>2364</v>
      </c>
      <c r="H424" s="114">
        <v>46235</v>
      </c>
      <c r="I424" s="17"/>
      <c r="J424" s="17"/>
      <c r="K424" s="17"/>
    </row>
    <row r="425" spans="1:11" x14ac:dyDescent="0.2">
      <c r="A425" s="115">
        <v>46249</v>
      </c>
      <c r="B425" s="112" t="s">
        <v>3698</v>
      </c>
      <c r="C425" s="94" t="s">
        <v>306</v>
      </c>
      <c r="D425" s="95">
        <v>2.75</v>
      </c>
      <c r="E425" s="95">
        <v>109.01</v>
      </c>
      <c r="F425" s="96">
        <v>300</v>
      </c>
      <c r="G425" s="97" t="s">
        <v>152</v>
      </c>
      <c r="H425" s="114">
        <v>46235</v>
      </c>
      <c r="I425" s="17"/>
      <c r="J425" s="17"/>
      <c r="K425" s="17"/>
    </row>
    <row r="426" spans="1:11" x14ac:dyDescent="0.2">
      <c r="A426" s="115">
        <v>46250</v>
      </c>
      <c r="B426" s="112" t="s">
        <v>3712</v>
      </c>
      <c r="C426" s="94" t="s">
        <v>1041</v>
      </c>
      <c r="D426" s="95">
        <v>4.59</v>
      </c>
      <c r="E426" s="95">
        <v>109.01</v>
      </c>
      <c r="F426" s="96">
        <v>500</v>
      </c>
      <c r="G426" s="97" t="s">
        <v>714</v>
      </c>
      <c r="H426" s="114">
        <v>46235</v>
      </c>
      <c r="I426" s="17"/>
      <c r="J426" s="17"/>
      <c r="K426" s="17"/>
    </row>
    <row r="427" spans="1:11" x14ac:dyDescent="0.2">
      <c r="A427" s="115">
        <v>46250</v>
      </c>
      <c r="B427" s="112" t="s">
        <v>3713</v>
      </c>
      <c r="C427" s="94"/>
      <c r="D427" s="95">
        <v>100.8</v>
      </c>
      <c r="E427" s="95">
        <v>109.01</v>
      </c>
      <c r="F427" s="96">
        <v>10987.82</v>
      </c>
      <c r="G427" s="97" t="s">
        <v>2364</v>
      </c>
      <c r="H427" s="114">
        <v>46235</v>
      </c>
      <c r="I427" s="17"/>
      <c r="J427" s="17"/>
      <c r="K427" s="17"/>
    </row>
    <row r="428" spans="1:11" x14ac:dyDescent="0.2">
      <c r="A428" s="115">
        <v>46250</v>
      </c>
      <c r="B428" s="112" t="s">
        <v>3714</v>
      </c>
      <c r="C428" s="94"/>
      <c r="D428" s="95">
        <v>279.3</v>
      </c>
      <c r="E428" s="95">
        <v>109.01</v>
      </c>
      <c r="F428" s="96">
        <v>30446.87</v>
      </c>
      <c r="G428" s="97" t="s">
        <v>2450</v>
      </c>
      <c r="H428" s="114">
        <v>46235</v>
      </c>
      <c r="I428" s="17"/>
      <c r="J428" s="17"/>
      <c r="K428" s="17"/>
    </row>
    <row r="429" spans="1:11" x14ac:dyDescent="0.2">
      <c r="A429" s="115">
        <v>46250</v>
      </c>
      <c r="B429" s="112" t="s">
        <v>3715</v>
      </c>
      <c r="C429" s="94"/>
      <c r="D429" s="95">
        <v>5.41</v>
      </c>
      <c r="E429" s="95">
        <v>109.01</v>
      </c>
      <c r="F429" s="96">
        <v>590</v>
      </c>
      <c r="G429" s="97" t="s">
        <v>2450</v>
      </c>
      <c r="H429" s="114">
        <v>46235</v>
      </c>
      <c r="I429" s="17"/>
      <c r="J429" s="17"/>
      <c r="K429" s="17"/>
    </row>
    <row r="430" spans="1:11" x14ac:dyDescent="0.2">
      <c r="A430" s="115">
        <v>46251</v>
      </c>
      <c r="B430" s="112" t="s">
        <v>3729</v>
      </c>
      <c r="C430" s="94"/>
      <c r="D430" s="95">
        <v>375.94</v>
      </c>
      <c r="E430" s="95">
        <v>109.01</v>
      </c>
      <c r="F430" s="96">
        <v>40980.800000000003</v>
      </c>
      <c r="G430" s="97" t="s">
        <v>2450</v>
      </c>
      <c r="H430" s="114">
        <v>46235</v>
      </c>
      <c r="I430" s="17"/>
      <c r="J430" s="17"/>
      <c r="K430" s="17"/>
    </row>
    <row r="431" spans="1:11" x14ac:dyDescent="0.2">
      <c r="A431" s="115">
        <v>46251</v>
      </c>
      <c r="B431" s="112" t="s">
        <v>3730</v>
      </c>
      <c r="C431" s="94"/>
      <c r="D431" s="95">
        <v>54.73</v>
      </c>
      <c r="E431" s="95">
        <v>109.01</v>
      </c>
      <c r="F431" s="96">
        <v>5966</v>
      </c>
      <c r="G431" s="97" t="s">
        <v>2364</v>
      </c>
      <c r="H431" s="114">
        <v>46235</v>
      </c>
      <c r="I431" s="17"/>
      <c r="J431" s="17"/>
      <c r="K431" s="17"/>
    </row>
    <row r="432" spans="1:11" x14ac:dyDescent="0.2">
      <c r="A432" s="115">
        <v>46251</v>
      </c>
      <c r="B432" s="112" t="s">
        <v>3731</v>
      </c>
      <c r="C432" s="94" t="s">
        <v>225</v>
      </c>
      <c r="D432" s="95">
        <v>40.74</v>
      </c>
      <c r="E432" s="95">
        <v>109.01</v>
      </c>
      <c r="F432" s="96">
        <v>4441.0600000000004</v>
      </c>
      <c r="G432" s="97" t="s">
        <v>103</v>
      </c>
      <c r="H432" s="114">
        <v>46235</v>
      </c>
      <c r="I432" s="17"/>
      <c r="J432" s="17"/>
      <c r="K432" s="17"/>
    </row>
    <row r="433" spans="1:11" x14ac:dyDescent="0.2">
      <c r="A433" s="115">
        <v>46252</v>
      </c>
      <c r="B433" s="112" t="s">
        <v>3749</v>
      </c>
      <c r="C433" s="94"/>
      <c r="D433" s="95">
        <v>30.27</v>
      </c>
      <c r="E433" s="95">
        <v>109.01</v>
      </c>
      <c r="F433" s="96">
        <v>3300</v>
      </c>
      <c r="G433" s="97" t="s">
        <v>2364</v>
      </c>
      <c r="H433" s="114">
        <v>46235</v>
      </c>
      <c r="I433" s="17"/>
      <c r="J433" s="17"/>
      <c r="K433" s="17"/>
    </row>
    <row r="434" spans="1:11" x14ac:dyDescent="0.2">
      <c r="A434" s="115">
        <v>46252</v>
      </c>
      <c r="B434" s="112" t="s">
        <v>3750</v>
      </c>
      <c r="C434" s="94"/>
      <c r="D434" s="95">
        <v>13.76</v>
      </c>
      <c r="E434" s="95">
        <v>109.01</v>
      </c>
      <c r="F434" s="96">
        <v>1500</v>
      </c>
      <c r="G434" s="97" t="s">
        <v>2450</v>
      </c>
      <c r="H434" s="114">
        <v>46235</v>
      </c>
      <c r="I434" s="17"/>
      <c r="J434" s="17"/>
      <c r="K434" s="17"/>
    </row>
    <row r="435" spans="1:11" x14ac:dyDescent="0.2">
      <c r="A435" s="115">
        <v>46252</v>
      </c>
      <c r="B435" s="112" t="s">
        <v>3751</v>
      </c>
      <c r="C435" s="94"/>
      <c r="D435" s="95">
        <v>252.64</v>
      </c>
      <c r="E435" s="95">
        <v>109.01</v>
      </c>
      <c r="F435" s="96">
        <v>27540.7</v>
      </c>
      <c r="G435" s="97" t="s">
        <v>2450</v>
      </c>
      <c r="H435" s="114">
        <v>46235</v>
      </c>
      <c r="I435" s="17"/>
      <c r="J435" s="17"/>
      <c r="K435" s="17"/>
    </row>
    <row r="436" spans="1:11" x14ac:dyDescent="0.2">
      <c r="A436" s="115">
        <v>46253</v>
      </c>
      <c r="B436" s="112" t="s">
        <v>3763</v>
      </c>
      <c r="C436" s="94" t="s">
        <v>306</v>
      </c>
      <c r="D436" s="95">
        <v>2.75</v>
      </c>
      <c r="E436" s="95">
        <v>109.01</v>
      </c>
      <c r="F436" s="96">
        <v>300</v>
      </c>
      <c r="G436" s="97" t="s">
        <v>152</v>
      </c>
      <c r="H436" s="114">
        <v>46235</v>
      </c>
      <c r="I436" s="17"/>
      <c r="J436" s="17"/>
      <c r="K436" s="17"/>
    </row>
    <row r="437" spans="1:11" x14ac:dyDescent="0.2">
      <c r="A437" s="115">
        <v>46253</v>
      </c>
      <c r="B437" s="112" t="s">
        <v>3764</v>
      </c>
      <c r="C437" s="94"/>
      <c r="D437" s="95">
        <v>33.299999999999997</v>
      </c>
      <c r="E437" s="95">
        <v>109.01</v>
      </c>
      <c r="F437" s="96">
        <v>3630</v>
      </c>
      <c r="G437" s="97" t="s">
        <v>2364</v>
      </c>
      <c r="H437" s="114">
        <v>46235</v>
      </c>
      <c r="I437" s="17"/>
      <c r="J437" s="17"/>
      <c r="K437" s="17"/>
    </row>
    <row r="438" spans="1:11" x14ac:dyDescent="0.2">
      <c r="A438" s="115">
        <v>46253</v>
      </c>
      <c r="B438" s="112" t="s">
        <v>3765</v>
      </c>
      <c r="C438" s="94"/>
      <c r="D438" s="95">
        <v>330.2</v>
      </c>
      <c r="E438" s="95">
        <v>109.01</v>
      </c>
      <c r="F438" s="96">
        <v>35994.99</v>
      </c>
      <c r="G438" s="97" t="s">
        <v>2450</v>
      </c>
      <c r="H438" s="114">
        <v>46235</v>
      </c>
      <c r="I438" s="17"/>
      <c r="J438" s="17"/>
      <c r="K438" s="17"/>
    </row>
    <row r="439" spans="1:11" x14ac:dyDescent="0.2">
      <c r="A439" s="115">
        <v>46253</v>
      </c>
      <c r="B439" s="112" t="s">
        <v>3766</v>
      </c>
      <c r="C439" s="94"/>
      <c r="D439" s="95">
        <v>3.51</v>
      </c>
      <c r="E439" s="95">
        <v>109.01</v>
      </c>
      <c r="F439" s="96">
        <v>383</v>
      </c>
      <c r="G439" s="97" t="s">
        <v>2450</v>
      </c>
      <c r="H439" s="114">
        <v>46235</v>
      </c>
      <c r="I439" s="17"/>
      <c r="J439" s="17"/>
      <c r="K439" s="17"/>
    </row>
    <row r="440" spans="1:11" x14ac:dyDescent="0.2">
      <c r="A440" s="115">
        <v>46254</v>
      </c>
      <c r="B440" s="112" t="s">
        <v>3782</v>
      </c>
      <c r="C440" s="94"/>
      <c r="D440" s="95">
        <v>4.59</v>
      </c>
      <c r="E440" s="95">
        <v>109.01</v>
      </c>
      <c r="F440" s="96">
        <v>500</v>
      </c>
      <c r="G440" s="97" t="s">
        <v>2450</v>
      </c>
      <c r="H440" s="114">
        <v>46235</v>
      </c>
      <c r="I440" s="17"/>
      <c r="J440" s="17"/>
      <c r="K440" s="17"/>
    </row>
    <row r="441" spans="1:11" x14ac:dyDescent="0.2">
      <c r="A441" s="115">
        <v>46254</v>
      </c>
      <c r="B441" s="112" t="s">
        <v>3783</v>
      </c>
      <c r="C441" s="94"/>
      <c r="D441" s="95">
        <v>331.41</v>
      </c>
      <c r="E441" s="95">
        <v>109.01</v>
      </c>
      <c r="F441" s="96">
        <v>36127.199999999997</v>
      </c>
      <c r="G441" s="97" t="s">
        <v>2450</v>
      </c>
      <c r="H441" s="114">
        <v>46235</v>
      </c>
      <c r="I441" s="17"/>
      <c r="J441" s="17"/>
      <c r="K441" s="17"/>
    </row>
    <row r="442" spans="1:11" x14ac:dyDescent="0.2">
      <c r="A442" s="115">
        <v>46254</v>
      </c>
      <c r="B442" s="112" t="s">
        <v>3784</v>
      </c>
      <c r="C442" s="94"/>
      <c r="D442" s="95">
        <v>79.11</v>
      </c>
      <c r="E442" s="95">
        <v>109.01</v>
      </c>
      <c r="F442" s="96">
        <v>8623.82</v>
      </c>
      <c r="G442" s="97" t="s">
        <v>2364</v>
      </c>
      <c r="H442" s="114">
        <v>46235</v>
      </c>
      <c r="I442" s="17"/>
      <c r="J442" s="17"/>
      <c r="K442" s="17"/>
    </row>
    <row r="443" spans="1:11" x14ac:dyDescent="0.2">
      <c r="A443" s="115">
        <v>46255</v>
      </c>
      <c r="B443" s="112" t="s">
        <v>3826</v>
      </c>
      <c r="C443" s="94"/>
      <c r="D443" s="95">
        <v>128.46</v>
      </c>
      <c r="E443" s="95">
        <v>109.01</v>
      </c>
      <c r="F443" s="96">
        <v>14003.95</v>
      </c>
      <c r="G443" s="97" t="s">
        <v>2364</v>
      </c>
      <c r="H443" s="114">
        <v>46235</v>
      </c>
      <c r="I443" s="17"/>
      <c r="J443" s="17"/>
      <c r="K443" s="17"/>
    </row>
    <row r="444" spans="1:11" x14ac:dyDescent="0.2">
      <c r="A444" s="115">
        <v>46255</v>
      </c>
      <c r="B444" s="112" t="s">
        <v>3827</v>
      </c>
      <c r="C444" s="94"/>
      <c r="D444" s="95">
        <v>284.08</v>
      </c>
      <c r="E444" s="95">
        <v>109.01</v>
      </c>
      <c r="F444" s="96">
        <v>30967.99</v>
      </c>
      <c r="G444" s="97" t="s">
        <v>2450</v>
      </c>
      <c r="H444" s="114">
        <v>46235</v>
      </c>
      <c r="I444" s="17"/>
      <c r="J444" s="17"/>
      <c r="K444" s="17"/>
    </row>
    <row r="445" spans="1:11" x14ac:dyDescent="0.2">
      <c r="A445" s="115">
        <v>46255</v>
      </c>
      <c r="B445" s="112" t="s">
        <v>3828</v>
      </c>
      <c r="C445" s="94" t="s">
        <v>102</v>
      </c>
      <c r="D445" s="95">
        <v>36.39</v>
      </c>
      <c r="E445" s="95">
        <v>109.01</v>
      </c>
      <c r="F445" s="96">
        <v>3966.87</v>
      </c>
      <c r="G445" s="97" t="s">
        <v>103</v>
      </c>
      <c r="H445" s="114">
        <v>46235</v>
      </c>
      <c r="I445" s="17"/>
      <c r="J445" s="17"/>
      <c r="K445" s="17"/>
    </row>
    <row r="446" spans="1:11" x14ac:dyDescent="0.2">
      <c r="A446" s="115">
        <v>46255</v>
      </c>
      <c r="B446" s="112" t="s">
        <v>3829</v>
      </c>
      <c r="C446" s="94" t="s">
        <v>3073</v>
      </c>
      <c r="D446" s="95">
        <v>20</v>
      </c>
      <c r="E446" s="95">
        <v>109.01</v>
      </c>
      <c r="F446" s="96">
        <v>2180.1999999999998</v>
      </c>
      <c r="G446" s="97" t="s">
        <v>56</v>
      </c>
      <c r="H446" s="114">
        <v>46235</v>
      </c>
      <c r="I446" s="17"/>
      <c r="J446" s="17"/>
      <c r="K446" s="17"/>
    </row>
    <row r="447" spans="1:11" x14ac:dyDescent="0.2">
      <c r="A447" s="115">
        <v>46256</v>
      </c>
      <c r="B447" s="112" t="s">
        <v>3856</v>
      </c>
      <c r="C447" s="94" t="s">
        <v>1041</v>
      </c>
      <c r="D447" s="95">
        <v>4.59</v>
      </c>
      <c r="E447" s="95">
        <v>109.01</v>
      </c>
      <c r="F447" s="96">
        <v>500</v>
      </c>
      <c r="G447" s="97" t="s">
        <v>714</v>
      </c>
      <c r="H447" s="114">
        <v>46235</v>
      </c>
      <c r="I447" s="17"/>
      <c r="J447" s="17"/>
      <c r="K447" s="17"/>
    </row>
    <row r="448" spans="1:11" x14ac:dyDescent="0.2">
      <c r="A448" s="115">
        <v>46256</v>
      </c>
      <c r="B448" s="112" t="s">
        <v>3857</v>
      </c>
      <c r="C448" s="94" t="s">
        <v>997</v>
      </c>
      <c r="D448" s="95">
        <v>11.01</v>
      </c>
      <c r="E448" s="95">
        <v>109.01</v>
      </c>
      <c r="F448" s="96">
        <v>1200.2</v>
      </c>
      <c r="G448" s="97" t="s">
        <v>257</v>
      </c>
      <c r="H448" s="114">
        <v>46235</v>
      </c>
      <c r="I448" s="17"/>
      <c r="J448" s="17"/>
      <c r="K448" s="17"/>
    </row>
    <row r="449" spans="1:11" x14ac:dyDescent="0.2">
      <c r="A449" s="115">
        <v>46256</v>
      </c>
      <c r="B449" s="112" t="s">
        <v>3858</v>
      </c>
      <c r="C449" s="94"/>
      <c r="D449" s="95">
        <v>4.13</v>
      </c>
      <c r="E449" s="95">
        <v>109.01</v>
      </c>
      <c r="F449" s="96">
        <v>450</v>
      </c>
      <c r="G449" s="97" t="s">
        <v>2450</v>
      </c>
      <c r="H449" s="114">
        <v>46235</v>
      </c>
      <c r="I449" s="17"/>
      <c r="J449" s="17"/>
      <c r="K449" s="17"/>
    </row>
    <row r="450" spans="1:11" x14ac:dyDescent="0.2">
      <c r="A450" s="115">
        <v>46256</v>
      </c>
      <c r="B450" s="112" t="s">
        <v>3859</v>
      </c>
      <c r="C450" s="94"/>
      <c r="D450" s="95">
        <v>133.5</v>
      </c>
      <c r="E450" s="95">
        <v>109.01</v>
      </c>
      <c r="F450" s="96">
        <v>14552.79</v>
      </c>
      <c r="G450" s="97" t="s">
        <v>2450</v>
      </c>
      <c r="H450" s="114">
        <v>46235</v>
      </c>
      <c r="I450" s="17"/>
      <c r="J450" s="17"/>
      <c r="K450" s="17"/>
    </row>
    <row r="451" spans="1:11" x14ac:dyDescent="0.2">
      <c r="A451" s="115">
        <v>46256</v>
      </c>
      <c r="B451" s="112" t="s">
        <v>3860</v>
      </c>
      <c r="C451" s="94"/>
      <c r="D451" s="95">
        <v>71.02</v>
      </c>
      <c r="E451" s="95">
        <v>109.01</v>
      </c>
      <c r="F451" s="96">
        <v>7742</v>
      </c>
      <c r="G451" s="97" t="s">
        <v>2364</v>
      </c>
      <c r="H451" s="114">
        <v>46235</v>
      </c>
      <c r="I451" s="17"/>
      <c r="J451" s="17"/>
      <c r="K451" s="17"/>
    </row>
    <row r="452" spans="1:11" x14ac:dyDescent="0.2">
      <c r="A452" s="115">
        <v>46257</v>
      </c>
      <c r="B452" s="112" t="s">
        <v>3875</v>
      </c>
      <c r="C452" s="94" t="s">
        <v>306</v>
      </c>
      <c r="D452" s="95">
        <v>2.75</v>
      </c>
      <c r="E452" s="95">
        <v>109.01</v>
      </c>
      <c r="F452" s="96">
        <v>300</v>
      </c>
      <c r="G452" s="97" t="s">
        <v>152</v>
      </c>
      <c r="H452" s="114">
        <v>46235</v>
      </c>
      <c r="I452" s="17"/>
      <c r="J452" s="17"/>
      <c r="K452" s="17"/>
    </row>
    <row r="453" spans="1:11" x14ac:dyDescent="0.2">
      <c r="A453" s="115">
        <v>46257</v>
      </c>
      <c r="B453" s="112" t="s">
        <v>3876</v>
      </c>
      <c r="C453" s="94"/>
      <c r="D453" s="95">
        <v>121.32</v>
      </c>
      <c r="E453" s="95">
        <v>109.01</v>
      </c>
      <c r="F453" s="96">
        <v>13224.85</v>
      </c>
      <c r="G453" s="97" t="s">
        <v>2364</v>
      </c>
      <c r="H453" s="114">
        <v>46235</v>
      </c>
      <c r="I453" s="17"/>
      <c r="J453" s="17"/>
      <c r="K453" s="17"/>
    </row>
    <row r="454" spans="1:11" x14ac:dyDescent="0.2">
      <c r="A454" s="115">
        <v>46257</v>
      </c>
      <c r="B454" s="112" t="s">
        <v>3877</v>
      </c>
      <c r="C454" s="94"/>
      <c r="D454" s="95">
        <v>552.21</v>
      </c>
      <c r="E454" s="95">
        <v>109.01</v>
      </c>
      <c r="F454" s="96">
        <v>60196</v>
      </c>
      <c r="G454" s="97" t="s">
        <v>2450</v>
      </c>
      <c r="H454" s="114">
        <v>46235</v>
      </c>
      <c r="I454" s="17"/>
      <c r="J454" s="17"/>
      <c r="K454" s="17"/>
    </row>
    <row r="455" spans="1:11" x14ac:dyDescent="0.2">
      <c r="A455" s="115">
        <v>46258</v>
      </c>
      <c r="B455" s="112" t="s">
        <v>3905</v>
      </c>
      <c r="C455" s="94"/>
      <c r="D455" s="95">
        <v>427.3</v>
      </c>
      <c r="E455" s="95">
        <v>109.01</v>
      </c>
      <c r="F455" s="96">
        <v>46579.99</v>
      </c>
      <c r="G455" s="97" t="s">
        <v>2450</v>
      </c>
      <c r="H455" s="114">
        <v>46235</v>
      </c>
      <c r="I455" s="17"/>
      <c r="J455" s="17"/>
      <c r="K455" s="17"/>
    </row>
    <row r="456" spans="1:11" x14ac:dyDescent="0.2">
      <c r="A456" s="115">
        <v>46258</v>
      </c>
      <c r="B456" s="112" t="s">
        <v>3906</v>
      </c>
      <c r="C456" s="94"/>
      <c r="D456" s="95">
        <v>2.75</v>
      </c>
      <c r="E456" s="95">
        <v>109.01</v>
      </c>
      <c r="F456" s="96">
        <v>300</v>
      </c>
      <c r="G456" s="97" t="s">
        <v>2450</v>
      </c>
      <c r="H456" s="114">
        <v>46235</v>
      </c>
      <c r="I456" s="17"/>
      <c r="J456" s="17"/>
      <c r="K456" s="17"/>
    </row>
    <row r="457" spans="1:11" x14ac:dyDescent="0.2">
      <c r="A457" s="115">
        <v>46258</v>
      </c>
      <c r="B457" s="112" t="s">
        <v>3907</v>
      </c>
      <c r="C457" s="94"/>
      <c r="D457" s="95">
        <v>93.16</v>
      </c>
      <c r="E457" s="95">
        <v>109.01</v>
      </c>
      <c r="F457" s="96">
        <v>10155.84</v>
      </c>
      <c r="G457" s="97" t="s">
        <v>2364</v>
      </c>
      <c r="H457" s="114">
        <v>46235</v>
      </c>
      <c r="I457" s="17"/>
      <c r="J457" s="17"/>
      <c r="K457" s="17"/>
    </row>
    <row r="458" spans="1:11" x14ac:dyDescent="0.2">
      <c r="A458" s="115">
        <v>46259</v>
      </c>
      <c r="B458" s="112" t="s">
        <v>3936</v>
      </c>
      <c r="C458" s="94"/>
      <c r="D458" s="95">
        <v>43.04</v>
      </c>
      <c r="E458" s="95">
        <v>109.01</v>
      </c>
      <c r="F458" s="96">
        <v>4692</v>
      </c>
      <c r="G458" s="97" t="s">
        <v>2364</v>
      </c>
      <c r="H458" s="114">
        <v>46235</v>
      </c>
      <c r="I458" s="17"/>
      <c r="J458" s="17"/>
      <c r="K458" s="17"/>
    </row>
    <row r="459" spans="1:11" x14ac:dyDescent="0.2">
      <c r="A459" s="115">
        <v>46259</v>
      </c>
      <c r="B459" s="112" t="s">
        <v>3937</v>
      </c>
      <c r="C459" s="94"/>
      <c r="D459" s="95">
        <v>371.76</v>
      </c>
      <c r="E459" s="95">
        <v>109.01</v>
      </c>
      <c r="F459" s="96">
        <v>40526</v>
      </c>
      <c r="G459" s="100" t="s">
        <v>2450</v>
      </c>
      <c r="H459" s="114">
        <v>46235</v>
      </c>
      <c r="I459" s="17"/>
      <c r="J459" s="17"/>
      <c r="K459" s="17"/>
    </row>
    <row r="460" spans="1:11" x14ac:dyDescent="0.2">
      <c r="A460" s="115">
        <v>46259</v>
      </c>
      <c r="B460" s="112" t="s">
        <v>3938</v>
      </c>
      <c r="C460" s="94" t="s">
        <v>3073</v>
      </c>
      <c r="D460" s="95">
        <v>25</v>
      </c>
      <c r="E460" s="95">
        <v>109.01</v>
      </c>
      <c r="F460" s="96">
        <v>2725.25</v>
      </c>
      <c r="G460" s="100" t="s">
        <v>56</v>
      </c>
      <c r="H460" s="114">
        <v>46235</v>
      </c>
      <c r="I460" s="17"/>
      <c r="J460" s="17"/>
      <c r="K460" s="17"/>
    </row>
    <row r="461" spans="1:11" x14ac:dyDescent="0.2">
      <c r="A461" s="115">
        <v>46259</v>
      </c>
      <c r="B461" s="112" t="s">
        <v>3939</v>
      </c>
      <c r="C461" s="94" t="s">
        <v>449</v>
      </c>
      <c r="D461" s="95">
        <v>38.64</v>
      </c>
      <c r="E461" s="95">
        <v>109.01</v>
      </c>
      <c r="F461" s="96">
        <v>4212.1400000000003</v>
      </c>
      <c r="G461" s="100" t="s">
        <v>53</v>
      </c>
      <c r="H461" s="114">
        <v>46235</v>
      </c>
      <c r="I461" s="17"/>
      <c r="J461" s="17"/>
      <c r="K461" s="17"/>
    </row>
    <row r="462" spans="1:11" x14ac:dyDescent="0.2">
      <c r="A462" s="115">
        <v>46260</v>
      </c>
      <c r="B462" s="112" t="s">
        <v>3990</v>
      </c>
      <c r="C462" s="94" t="s">
        <v>157</v>
      </c>
      <c r="D462" s="95">
        <v>5</v>
      </c>
      <c r="E462" s="95">
        <v>109.01</v>
      </c>
      <c r="F462" s="96">
        <v>545.04999999999995</v>
      </c>
      <c r="G462" s="97" t="s">
        <v>56</v>
      </c>
      <c r="H462" s="114">
        <v>46235</v>
      </c>
      <c r="I462" s="17"/>
      <c r="J462" s="17"/>
      <c r="K462" s="17"/>
    </row>
    <row r="463" spans="1:11" x14ac:dyDescent="0.2">
      <c r="A463" s="115">
        <v>46260</v>
      </c>
      <c r="B463" s="112" t="s">
        <v>3991</v>
      </c>
      <c r="C463" s="94" t="s">
        <v>225</v>
      </c>
      <c r="D463" s="95">
        <v>39.78</v>
      </c>
      <c r="E463" s="95">
        <v>109.01</v>
      </c>
      <c r="F463" s="96">
        <v>4336.41</v>
      </c>
      <c r="G463" s="97" t="s">
        <v>103</v>
      </c>
      <c r="H463" s="114">
        <v>46235</v>
      </c>
      <c r="I463" s="17"/>
      <c r="J463" s="17"/>
      <c r="K463" s="17"/>
    </row>
    <row r="464" spans="1:11" x14ac:dyDescent="0.2">
      <c r="A464" s="115">
        <v>46260</v>
      </c>
      <c r="B464" s="112" t="s">
        <v>3992</v>
      </c>
      <c r="C464" s="94" t="s">
        <v>745</v>
      </c>
      <c r="D464" s="95">
        <v>9.17</v>
      </c>
      <c r="E464" s="95">
        <v>109.01</v>
      </c>
      <c r="F464" s="96">
        <v>1000</v>
      </c>
      <c r="G464" s="97" t="s">
        <v>714</v>
      </c>
      <c r="H464" s="114">
        <v>46235</v>
      </c>
      <c r="I464" s="17"/>
      <c r="J464" s="17"/>
      <c r="K464" s="17"/>
    </row>
    <row r="465" spans="1:11" x14ac:dyDescent="0.2">
      <c r="A465" s="115">
        <v>46260</v>
      </c>
      <c r="B465" s="112" t="s">
        <v>3993</v>
      </c>
      <c r="C465" s="94" t="s">
        <v>306</v>
      </c>
      <c r="D465" s="95">
        <v>2.75</v>
      </c>
      <c r="E465" s="95">
        <v>109.01</v>
      </c>
      <c r="F465" s="96">
        <v>300</v>
      </c>
      <c r="G465" s="97" t="s">
        <v>152</v>
      </c>
      <c r="H465" s="114">
        <v>46235</v>
      </c>
      <c r="I465" s="17"/>
      <c r="J465" s="17"/>
      <c r="K465" s="17"/>
    </row>
    <row r="466" spans="1:11" x14ac:dyDescent="0.2">
      <c r="A466" s="115">
        <v>46260</v>
      </c>
      <c r="B466" s="112" t="s">
        <v>3994</v>
      </c>
      <c r="C466" s="94"/>
      <c r="D466" s="95">
        <v>7.8</v>
      </c>
      <c r="E466" s="95">
        <v>109.01</v>
      </c>
      <c r="F466" s="96">
        <v>850</v>
      </c>
      <c r="G466" s="97" t="s">
        <v>2450</v>
      </c>
      <c r="H466" s="114">
        <v>46235</v>
      </c>
      <c r="I466" s="17"/>
      <c r="J466" s="17"/>
      <c r="K466" s="17"/>
    </row>
    <row r="467" spans="1:11" x14ac:dyDescent="0.2">
      <c r="A467" s="115">
        <v>46260</v>
      </c>
      <c r="B467" s="112" t="s">
        <v>3995</v>
      </c>
      <c r="C467" s="94"/>
      <c r="D467" s="95">
        <v>263.16000000000003</v>
      </c>
      <c r="E467" s="95">
        <v>109.01</v>
      </c>
      <c r="F467" s="96">
        <v>28687</v>
      </c>
      <c r="G467" s="97" t="s">
        <v>2450</v>
      </c>
      <c r="H467" s="114">
        <v>46235</v>
      </c>
      <c r="I467" s="17"/>
      <c r="J467" s="17"/>
      <c r="K467" s="17"/>
    </row>
    <row r="468" spans="1:11" x14ac:dyDescent="0.2">
      <c r="A468" s="115">
        <v>46260</v>
      </c>
      <c r="B468" s="112" t="s">
        <v>3996</v>
      </c>
      <c r="C468" s="94"/>
      <c r="D468" s="95">
        <v>82.66</v>
      </c>
      <c r="E468" s="95">
        <v>109.01</v>
      </c>
      <c r="F468" s="96">
        <v>9011</v>
      </c>
      <c r="G468" s="97" t="s">
        <v>2364</v>
      </c>
      <c r="H468" s="114">
        <v>46235</v>
      </c>
      <c r="I468" s="17"/>
      <c r="J468" s="17"/>
      <c r="K468" s="17"/>
    </row>
    <row r="469" spans="1:11" x14ac:dyDescent="0.2">
      <c r="A469" s="115">
        <v>46261</v>
      </c>
      <c r="B469" s="112" t="s">
        <v>4050</v>
      </c>
      <c r="C469" s="94"/>
      <c r="D469" s="95">
        <v>47.61</v>
      </c>
      <c r="E469" s="95">
        <v>109.01</v>
      </c>
      <c r="F469" s="96">
        <v>5190</v>
      </c>
      <c r="G469" s="97" t="s">
        <v>2364</v>
      </c>
      <c r="H469" s="114">
        <v>46235</v>
      </c>
      <c r="I469" s="17"/>
      <c r="J469" s="17"/>
      <c r="K469" s="17"/>
    </row>
    <row r="470" spans="1:11" x14ac:dyDescent="0.2">
      <c r="A470" s="115">
        <v>46261</v>
      </c>
      <c r="B470" s="112" t="s">
        <v>4051</v>
      </c>
      <c r="C470" s="94"/>
      <c r="D470" s="95">
        <v>352.67</v>
      </c>
      <c r="E470" s="95">
        <v>109.01</v>
      </c>
      <c r="F470" s="96">
        <v>38444.019999999997</v>
      </c>
      <c r="G470" s="97" t="s">
        <v>2450</v>
      </c>
      <c r="H470" s="114">
        <v>46235</v>
      </c>
      <c r="I470" s="17"/>
      <c r="J470" s="17"/>
      <c r="K470" s="17"/>
    </row>
    <row r="471" spans="1:11" x14ac:dyDescent="0.2">
      <c r="A471" s="115">
        <v>46261</v>
      </c>
      <c r="B471" s="112" t="s">
        <v>4052</v>
      </c>
      <c r="C471" s="94"/>
      <c r="D471" s="95">
        <v>51.37</v>
      </c>
      <c r="E471" s="95">
        <v>109.01</v>
      </c>
      <c r="F471" s="96">
        <v>5600</v>
      </c>
      <c r="G471" s="97" t="s">
        <v>2450</v>
      </c>
      <c r="H471" s="114">
        <v>46235</v>
      </c>
      <c r="I471" s="17"/>
      <c r="J471" s="17"/>
      <c r="K471" s="17"/>
    </row>
    <row r="472" spans="1:11" x14ac:dyDescent="0.2">
      <c r="A472" s="115">
        <v>46262</v>
      </c>
      <c r="B472" s="112" t="s">
        <v>4112</v>
      </c>
      <c r="C472" s="94"/>
      <c r="D472" s="95">
        <v>260.75</v>
      </c>
      <c r="E472" s="95">
        <v>109.01</v>
      </c>
      <c r="F472" s="96">
        <v>28424</v>
      </c>
      <c r="G472" s="97" t="s">
        <v>2450</v>
      </c>
      <c r="H472" s="114">
        <v>46235</v>
      </c>
      <c r="I472" s="17"/>
      <c r="J472" s="17"/>
      <c r="K472" s="17"/>
    </row>
    <row r="473" spans="1:11" x14ac:dyDescent="0.2">
      <c r="A473" s="115">
        <v>46262</v>
      </c>
      <c r="B473" s="112" t="s">
        <v>4113</v>
      </c>
      <c r="C473" s="94"/>
      <c r="D473" s="95">
        <v>27.98</v>
      </c>
      <c r="E473" s="95">
        <v>109.01</v>
      </c>
      <c r="F473" s="96">
        <v>3050.1</v>
      </c>
      <c r="G473" s="97" t="s">
        <v>2364</v>
      </c>
      <c r="H473" s="114">
        <v>46235</v>
      </c>
      <c r="I473" s="17"/>
      <c r="J473" s="17"/>
      <c r="K473" s="17"/>
    </row>
    <row r="474" spans="1:11" x14ac:dyDescent="0.2">
      <c r="A474" s="115"/>
      <c r="B474" s="112"/>
      <c r="C474" s="94"/>
      <c r="D474" s="95"/>
      <c r="E474" s="95"/>
      <c r="F474" s="96"/>
      <c r="G474" s="97"/>
      <c r="H474" s="114" t="str">
        <f t="shared" ref="H474:H515" si="6">IF(A474&lt;&gt;"", EOMONTH(A474, -1) + 1, "")</f>
        <v/>
      </c>
      <c r="I474" s="17"/>
      <c r="J474" s="17"/>
      <c r="K474" s="17"/>
    </row>
    <row r="475" spans="1:11" x14ac:dyDescent="0.2">
      <c r="A475" s="115"/>
      <c r="B475" s="112"/>
      <c r="C475" s="94"/>
      <c r="D475" s="95"/>
      <c r="E475" s="95"/>
      <c r="F475" s="96"/>
      <c r="G475" s="97"/>
      <c r="H475" s="114" t="str">
        <f t="shared" si="6"/>
        <v/>
      </c>
      <c r="I475" s="17"/>
      <c r="J475" s="17"/>
      <c r="K475" s="17"/>
    </row>
    <row r="476" spans="1:11" x14ac:dyDescent="0.2">
      <c r="A476" s="115"/>
      <c r="B476" s="112"/>
      <c r="C476" s="94"/>
      <c r="D476" s="95"/>
      <c r="E476" s="95"/>
      <c r="F476" s="96"/>
      <c r="G476" s="97"/>
      <c r="H476" s="114" t="str">
        <f t="shared" si="6"/>
        <v/>
      </c>
      <c r="I476" s="17"/>
      <c r="J476" s="17"/>
      <c r="K476" s="17"/>
    </row>
    <row r="477" spans="1:11" x14ac:dyDescent="0.2">
      <c r="A477" s="115"/>
      <c r="B477" s="112"/>
      <c r="C477" s="94"/>
      <c r="D477" s="95"/>
      <c r="E477" s="95"/>
      <c r="F477" s="96"/>
      <c r="G477" s="97"/>
      <c r="H477" s="114" t="str">
        <f t="shared" si="6"/>
        <v/>
      </c>
      <c r="I477" s="17"/>
      <c r="J477" s="17"/>
      <c r="K477" s="17"/>
    </row>
    <row r="478" spans="1:11" x14ac:dyDescent="0.2">
      <c r="A478" s="115"/>
      <c r="B478" s="112"/>
      <c r="C478" s="94"/>
      <c r="D478" s="95"/>
      <c r="E478" s="95"/>
      <c r="F478" s="96"/>
      <c r="G478" s="97"/>
      <c r="H478" s="114" t="str">
        <f t="shared" si="6"/>
        <v/>
      </c>
      <c r="I478" s="17"/>
      <c r="J478" s="17"/>
      <c r="K478" s="17"/>
    </row>
    <row r="479" spans="1:11" x14ac:dyDescent="0.2">
      <c r="A479" s="115"/>
      <c r="B479" s="112"/>
      <c r="C479" s="94"/>
      <c r="D479" s="95"/>
      <c r="E479" s="95"/>
      <c r="F479" s="96"/>
      <c r="G479" s="97"/>
      <c r="H479" s="114" t="str">
        <f t="shared" si="6"/>
        <v/>
      </c>
      <c r="I479" s="17"/>
      <c r="J479" s="17"/>
      <c r="K479" s="17"/>
    </row>
    <row r="480" spans="1:11" x14ac:dyDescent="0.2">
      <c r="A480" s="115"/>
      <c r="B480" s="112"/>
      <c r="C480" s="94"/>
      <c r="D480" s="95"/>
      <c r="E480" s="95"/>
      <c r="F480" s="96"/>
      <c r="G480" s="97"/>
      <c r="H480" s="114" t="str">
        <f t="shared" si="6"/>
        <v/>
      </c>
      <c r="I480" s="17"/>
      <c r="J480" s="17"/>
      <c r="K480" s="17"/>
    </row>
    <row r="481" spans="1:11" x14ac:dyDescent="0.2">
      <c r="A481" s="115"/>
      <c r="B481" s="112"/>
      <c r="C481" s="94"/>
      <c r="D481" s="95"/>
      <c r="E481" s="95"/>
      <c r="F481" s="96"/>
      <c r="G481" s="97"/>
      <c r="H481" s="114" t="str">
        <f t="shared" si="6"/>
        <v/>
      </c>
      <c r="I481" s="17"/>
      <c r="J481" s="17"/>
      <c r="K481" s="17"/>
    </row>
    <row r="482" spans="1:11" x14ac:dyDescent="0.2">
      <c r="A482" s="115"/>
      <c r="B482" s="112"/>
      <c r="C482" s="94"/>
      <c r="D482" s="95"/>
      <c r="E482" s="95"/>
      <c r="F482" s="96"/>
      <c r="G482" s="97"/>
      <c r="H482" s="114" t="str">
        <f t="shared" si="6"/>
        <v/>
      </c>
      <c r="I482" s="17"/>
      <c r="J482" s="17"/>
      <c r="K482" s="17"/>
    </row>
    <row r="483" spans="1:11" x14ac:dyDescent="0.2">
      <c r="A483" s="115"/>
      <c r="B483" s="112"/>
      <c r="C483" s="94"/>
      <c r="D483" s="95"/>
      <c r="E483" s="95"/>
      <c r="F483" s="96"/>
      <c r="G483" s="97"/>
      <c r="H483" s="114" t="str">
        <f t="shared" si="6"/>
        <v/>
      </c>
      <c r="I483" s="17"/>
      <c r="J483" s="17"/>
      <c r="K483" s="17"/>
    </row>
    <row r="484" spans="1:11" x14ac:dyDescent="0.2">
      <c r="A484" s="115"/>
      <c r="B484" s="112"/>
      <c r="C484" s="94"/>
      <c r="D484" s="95"/>
      <c r="E484" s="95"/>
      <c r="F484" s="96"/>
      <c r="G484" s="97"/>
      <c r="H484" s="114" t="str">
        <f t="shared" si="6"/>
        <v/>
      </c>
      <c r="I484" s="17"/>
      <c r="J484" s="17"/>
      <c r="K484" s="17"/>
    </row>
    <row r="485" spans="1:11" x14ac:dyDescent="0.2">
      <c r="A485" s="115"/>
      <c r="B485" s="112"/>
      <c r="C485" s="94"/>
      <c r="D485" s="95"/>
      <c r="E485" s="95"/>
      <c r="F485" s="96"/>
      <c r="G485" s="97"/>
      <c r="H485" s="114" t="str">
        <f t="shared" si="6"/>
        <v/>
      </c>
      <c r="I485" s="17"/>
      <c r="J485" s="17"/>
      <c r="K485" s="17"/>
    </row>
    <row r="486" spans="1:11" x14ac:dyDescent="0.2">
      <c r="A486" s="115"/>
      <c r="B486" s="112"/>
      <c r="C486" s="94"/>
      <c r="D486" s="95"/>
      <c r="E486" s="95"/>
      <c r="F486" s="96"/>
      <c r="G486" s="97"/>
      <c r="H486" s="114" t="str">
        <f t="shared" si="6"/>
        <v/>
      </c>
      <c r="I486" s="17"/>
      <c r="J486" s="17"/>
      <c r="K486" s="17"/>
    </row>
    <row r="487" spans="1:11" x14ac:dyDescent="0.2">
      <c r="A487" s="115"/>
      <c r="B487" s="112"/>
      <c r="C487" s="94"/>
      <c r="D487" s="95"/>
      <c r="E487" s="95"/>
      <c r="F487" s="96"/>
      <c r="G487" s="97"/>
      <c r="H487" s="114" t="str">
        <f t="shared" si="6"/>
        <v/>
      </c>
      <c r="I487" s="17"/>
      <c r="J487" s="17"/>
      <c r="K487" s="17"/>
    </row>
    <row r="488" spans="1:11" x14ac:dyDescent="0.2">
      <c r="A488" s="115"/>
      <c r="B488" s="112"/>
      <c r="C488" s="94"/>
      <c r="D488" s="95"/>
      <c r="E488" s="95"/>
      <c r="F488" s="96"/>
      <c r="G488" s="97"/>
      <c r="H488" s="114" t="str">
        <f t="shared" si="6"/>
        <v/>
      </c>
      <c r="I488" s="17"/>
      <c r="J488" s="17"/>
      <c r="K488" s="17"/>
    </row>
    <row r="489" spans="1:11" x14ac:dyDescent="0.2">
      <c r="A489" s="115"/>
      <c r="B489" s="112"/>
      <c r="C489" s="94"/>
      <c r="D489" s="95"/>
      <c r="E489" s="95"/>
      <c r="F489" s="96"/>
      <c r="G489" s="97"/>
      <c r="H489" s="114" t="str">
        <f t="shared" si="6"/>
        <v/>
      </c>
      <c r="I489" s="17"/>
      <c r="J489" s="17"/>
      <c r="K489" s="17"/>
    </row>
    <row r="490" spans="1:11" x14ac:dyDescent="0.2">
      <c r="A490" s="115"/>
      <c r="B490" s="112"/>
      <c r="C490" s="94"/>
      <c r="D490" s="95"/>
      <c r="E490" s="95"/>
      <c r="F490" s="96"/>
      <c r="G490" s="97"/>
      <c r="H490" s="114" t="str">
        <f t="shared" si="6"/>
        <v/>
      </c>
      <c r="I490" s="17"/>
      <c r="J490" s="17"/>
      <c r="K490" s="17"/>
    </row>
    <row r="491" spans="1:11" x14ac:dyDescent="0.2">
      <c r="A491" s="115"/>
      <c r="B491" s="112"/>
      <c r="C491" s="94"/>
      <c r="D491" s="95"/>
      <c r="E491" s="95"/>
      <c r="F491" s="96"/>
      <c r="G491" s="97"/>
      <c r="H491" s="114" t="str">
        <f t="shared" si="6"/>
        <v/>
      </c>
      <c r="I491" s="17"/>
      <c r="J491" s="17"/>
      <c r="K491" s="17"/>
    </row>
    <row r="492" spans="1:11" x14ac:dyDescent="0.2">
      <c r="A492" s="115"/>
      <c r="B492" s="112"/>
      <c r="C492" s="94"/>
      <c r="D492" s="95"/>
      <c r="E492" s="95"/>
      <c r="F492" s="96"/>
      <c r="G492" s="97"/>
      <c r="H492" s="114" t="str">
        <f t="shared" si="6"/>
        <v/>
      </c>
      <c r="I492" s="17"/>
      <c r="J492" s="17"/>
      <c r="K492" s="17"/>
    </row>
    <row r="493" spans="1:11" x14ac:dyDescent="0.2">
      <c r="A493" s="115"/>
      <c r="B493" s="112"/>
      <c r="C493" s="94"/>
      <c r="D493" s="95"/>
      <c r="E493" s="95"/>
      <c r="F493" s="96"/>
      <c r="G493" s="97"/>
      <c r="H493" s="114" t="str">
        <f t="shared" si="6"/>
        <v/>
      </c>
      <c r="I493" s="17"/>
      <c r="J493" s="17"/>
      <c r="K493" s="17"/>
    </row>
    <row r="494" spans="1:11" x14ac:dyDescent="0.2">
      <c r="A494" s="115"/>
      <c r="B494" s="112"/>
      <c r="C494" s="94"/>
      <c r="D494" s="95"/>
      <c r="E494" s="95"/>
      <c r="F494" s="96"/>
      <c r="G494" s="97"/>
      <c r="H494" s="114" t="str">
        <f t="shared" si="6"/>
        <v/>
      </c>
      <c r="I494" s="17"/>
      <c r="J494" s="17"/>
      <c r="K494" s="17"/>
    </row>
    <row r="495" spans="1:11" x14ac:dyDescent="0.2">
      <c r="A495" s="115"/>
      <c r="B495" s="112"/>
      <c r="C495" s="94"/>
      <c r="D495" s="95"/>
      <c r="E495" s="95"/>
      <c r="F495" s="96"/>
      <c r="G495" s="97"/>
      <c r="H495" s="114" t="str">
        <f t="shared" si="6"/>
        <v/>
      </c>
      <c r="I495" s="17"/>
      <c r="J495" s="17"/>
      <c r="K495" s="17"/>
    </row>
    <row r="496" spans="1:11" x14ac:dyDescent="0.2">
      <c r="A496" s="115"/>
      <c r="B496" s="112"/>
      <c r="C496" s="94"/>
      <c r="D496" s="95"/>
      <c r="E496" s="95"/>
      <c r="F496" s="96"/>
      <c r="G496" s="97"/>
      <c r="H496" s="114" t="str">
        <f t="shared" si="6"/>
        <v/>
      </c>
      <c r="I496" s="17"/>
      <c r="J496" s="17"/>
      <c r="K496" s="17"/>
    </row>
    <row r="497" spans="1:11" x14ac:dyDescent="0.2">
      <c r="A497" s="115"/>
      <c r="B497" s="112"/>
      <c r="C497" s="94"/>
      <c r="D497" s="95"/>
      <c r="E497" s="95"/>
      <c r="F497" s="96"/>
      <c r="G497" s="97"/>
      <c r="H497" s="114" t="str">
        <f t="shared" si="6"/>
        <v/>
      </c>
      <c r="I497" s="17"/>
      <c r="J497" s="17"/>
      <c r="K497" s="17"/>
    </row>
    <row r="498" spans="1:11" x14ac:dyDescent="0.2">
      <c r="A498" s="115"/>
      <c r="B498" s="112"/>
      <c r="C498" s="94"/>
      <c r="D498" s="95"/>
      <c r="E498" s="95"/>
      <c r="F498" s="96"/>
      <c r="G498" s="97"/>
      <c r="H498" s="114" t="str">
        <f t="shared" si="6"/>
        <v/>
      </c>
      <c r="I498" s="17"/>
      <c r="J498" s="17"/>
      <c r="K498" s="17"/>
    </row>
    <row r="499" spans="1:11" x14ac:dyDescent="0.2">
      <c r="A499" s="115"/>
      <c r="B499" s="112"/>
      <c r="C499" s="94"/>
      <c r="D499" s="95"/>
      <c r="E499" s="95"/>
      <c r="F499" s="96"/>
      <c r="G499" s="97"/>
      <c r="H499" s="114" t="str">
        <f t="shared" si="6"/>
        <v/>
      </c>
      <c r="I499" s="17"/>
      <c r="J499" s="17"/>
      <c r="K499" s="17"/>
    </row>
    <row r="500" spans="1:11" x14ac:dyDescent="0.2">
      <c r="A500" s="115"/>
      <c r="B500" s="112"/>
      <c r="C500" s="94"/>
      <c r="D500" s="95"/>
      <c r="E500" s="95"/>
      <c r="F500" s="96"/>
      <c r="G500" s="97"/>
      <c r="H500" s="114" t="str">
        <f t="shared" si="6"/>
        <v/>
      </c>
      <c r="I500" s="17"/>
      <c r="J500" s="17"/>
      <c r="K500" s="17"/>
    </row>
    <row r="501" spans="1:11" x14ac:dyDescent="0.2">
      <c r="A501" s="115"/>
      <c r="B501" s="112"/>
      <c r="C501" s="94"/>
      <c r="D501" s="95"/>
      <c r="E501" s="95"/>
      <c r="F501" s="96"/>
      <c r="G501" s="97"/>
      <c r="H501" s="114" t="str">
        <f t="shared" si="6"/>
        <v/>
      </c>
      <c r="I501" s="17"/>
      <c r="J501" s="17"/>
      <c r="K501" s="17"/>
    </row>
    <row r="502" spans="1:11" x14ac:dyDescent="0.2">
      <c r="A502" s="115"/>
      <c r="B502" s="112"/>
      <c r="C502" s="94"/>
      <c r="D502" s="95"/>
      <c r="E502" s="95"/>
      <c r="F502" s="96"/>
      <c r="G502" s="97"/>
      <c r="H502" s="114" t="str">
        <f t="shared" si="6"/>
        <v/>
      </c>
      <c r="I502" s="17"/>
      <c r="J502" s="17"/>
      <c r="K502" s="17"/>
    </row>
    <row r="503" spans="1:11" x14ac:dyDescent="0.2">
      <c r="A503" s="115"/>
      <c r="B503" s="112"/>
      <c r="C503" s="94"/>
      <c r="D503" s="95"/>
      <c r="E503" s="95"/>
      <c r="F503" s="96"/>
      <c r="G503" s="97"/>
      <c r="H503" s="114" t="str">
        <f t="shared" si="6"/>
        <v/>
      </c>
      <c r="I503" s="17"/>
      <c r="J503" s="17"/>
      <c r="K503" s="17"/>
    </row>
    <row r="504" spans="1:11" x14ac:dyDescent="0.2">
      <c r="A504" s="115"/>
      <c r="B504" s="112"/>
      <c r="C504" s="94"/>
      <c r="D504" s="95"/>
      <c r="E504" s="95"/>
      <c r="F504" s="96"/>
      <c r="G504" s="97"/>
      <c r="H504" s="114" t="str">
        <f t="shared" si="6"/>
        <v/>
      </c>
      <c r="I504" s="17"/>
      <c r="J504" s="17"/>
      <c r="K504" s="17"/>
    </row>
    <row r="505" spans="1:11" x14ac:dyDescent="0.2">
      <c r="A505" s="115"/>
      <c r="B505" s="112"/>
      <c r="C505" s="94"/>
      <c r="D505" s="95"/>
      <c r="E505" s="95"/>
      <c r="F505" s="96"/>
      <c r="G505" s="97"/>
      <c r="H505" s="114" t="str">
        <f t="shared" si="6"/>
        <v/>
      </c>
      <c r="I505" s="17"/>
      <c r="J505" s="17"/>
      <c r="K505" s="17"/>
    </row>
    <row r="506" spans="1:11" x14ac:dyDescent="0.2">
      <c r="A506" s="115"/>
      <c r="B506" s="112"/>
      <c r="C506" s="94"/>
      <c r="D506" s="95"/>
      <c r="E506" s="95"/>
      <c r="F506" s="96"/>
      <c r="G506" s="97"/>
      <c r="H506" s="114" t="str">
        <f t="shared" si="6"/>
        <v/>
      </c>
      <c r="I506" s="17"/>
      <c r="J506" s="17"/>
      <c r="K506" s="17"/>
    </row>
    <row r="507" spans="1:11" x14ac:dyDescent="0.2">
      <c r="A507" s="115"/>
      <c r="B507" s="112"/>
      <c r="C507" s="94"/>
      <c r="D507" s="95"/>
      <c r="E507" s="95"/>
      <c r="F507" s="96"/>
      <c r="G507" s="97"/>
      <c r="H507" s="114" t="str">
        <f t="shared" si="6"/>
        <v/>
      </c>
      <c r="I507" s="17"/>
      <c r="J507" s="17"/>
      <c r="K507" s="17"/>
    </row>
    <row r="508" spans="1:11" x14ac:dyDescent="0.2">
      <c r="A508" s="115"/>
      <c r="B508" s="112"/>
      <c r="C508" s="94"/>
      <c r="D508" s="95"/>
      <c r="E508" s="95"/>
      <c r="F508" s="96"/>
      <c r="G508" s="97"/>
      <c r="H508" s="114" t="str">
        <f t="shared" si="6"/>
        <v/>
      </c>
      <c r="I508" s="17"/>
      <c r="J508" s="17"/>
      <c r="K508" s="17"/>
    </row>
    <row r="509" spans="1:11" x14ac:dyDescent="0.2">
      <c r="A509" s="115"/>
      <c r="B509" s="112"/>
      <c r="C509" s="94"/>
      <c r="D509" s="95"/>
      <c r="E509" s="95"/>
      <c r="F509" s="96"/>
      <c r="G509" s="97"/>
      <c r="H509" s="114" t="str">
        <f t="shared" si="6"/>
        <v/>
      </c>
      <c r="I509" s="17"/>
      <c r="J509" s="17"/>
      <c r="K509" s="17"/>
    </row>
    <row r="510" spans="1:11" x14ac:dyDescent="0.2">
      <c r="A510" s="115"/>
      <c r="B510" s="112"/>
      <c r="C510" s="94"/>
      <c r="D510" s="95"/>
      <c r="E510" s="95"/>
      <c r="F510" s="96"/>
      <c r="G510" s="97"/>
      <c r="H510" s="114" t="str">
        <f t="shared" si="6"/>
        <v/>
      </c>
      <c r="I510" s="17"/>
      <c r="J510" s="17"/>
      <c r="K510" s="17"/>
    </row>
    <row r="511" spans="1:11" x14ac:dyDescent="0.2">
      <c r="A511" s="115"/>
      <c r="B511" s="112"/>
      <c r="C511" s="94"/>
      <c r="D511" s="95"/>
      <c r="E511" s="95"/>
      <c r="F511" s="96"/>
      <c r="G511" s="97"/>
      <c r="H511" s="114" t="str">
        <f t="shared" si="6"/>
        <v/>
      </c>
      <c r="I511" s="17"/>
      <c r="J511" s="17"/>
      <c r="K511" s="17"/>
    </row>
    <row r="512" spans="1:11" x14ac:dyDescent="0.2">
      <c r="A512" s="115"/>
      <c r="B512" s="112"/>
      <c r="C512" s="94"/>
      <c r="D512" s="95"/>
      <c r="E512" s="95"/>
      <c r="F512" s="96"/>
      <c r="G512" s="97"/>
      <c r="H512" s="114" t="str">
        <f t="shared" si="6"/>
        <v/>
      </c>
      <c r="I512" s="17"/>
      <c r="J512" s="17"/>
      <c r="K512" s="17"/>
    </row>
    <row r="513" spans="1:11" x14ac:dyDescent="0.2">
      <c r="A513" s="115"/>
      <c r="B513" s="112"/>
      <c r="C513" s="94"/>
      <c r="D513" s="95"/>
      <c r="E513" s="95"/>
      <c r="F513" s="96"/>
      <c r="G513" s="97"/>
      <c r="H513" s="114" t="str">
        <f t="shared" si="6"/>
        <v/>
      </c>
      <c r="I513" s="17"/>
      <c r="J513" s="17"/>
      <c r="K513" s="17"/>
    </row>
    <row r="514" spans="1:11" x14ac:dyDescent="0.2">
      <c r="A514" s="115"/>
      <c r="B514" s="112"/>
      <c r="C514" s="94"/>
      <c r="D514" s="95"/>
      <c r="E514" s="95"/>
      <c r="F514" s="96"/>
      <c r="G514" s="97"/>
      <c r="H514" s="114" t="str">
        <f t="shared" si="6"/>
        <v/>
      </c>
      <c r="I514" s="17"/>
      <c r="J514" s="17"/>
      <c r="K514" s="17"/>
    </row>
    <row r="515" spans="1:11" x14ac:dyDescent="0.2">
      <c r="A515" s="115"/>
      <c r="B515" s="112"/>
      <c r="C515" s="94"/>
      <c r="D515" s="95"/>
      <c r="E515" s="95"/>
      <c r="F515" s="96"/>
      <c r="G515" s="97"/>
      <c r="H515" s="114" t="str">
        <f t="shared" si="6"/>
        <v/>
      </c>
      <c r="I515" s="17"/>
      <c r="J515" s="17"/>
      <c r="K515" s="17"/>
    </row>
    <row r="516" spans="1:11" x14ac:dyDescent="0.2">
      <c r="A516" s="115"/>
      <c r="B516" s="112"/>
      <c r="C516" s="94"/>
      <c r="D516" s="95"/>
      <c r="E516" s="95"/>
      <c r="F516" s="96"/>
      <c r="G516" s="97"/>
      <c r="H516" s="114" t="str">
        <f t="shared" ref="H516:H579" si="7">IF(A516&lt;&gt;"", EOMONTH(A516, -1) + 1, "")</f>
        <v/>
      </c>
      <c r="I516" s="17"/>
      <c r="J516" s="17"/>
      <c r="K516" s="17"/>
    </row>
    <row r="517" spans="1:11" x14ac:dyDescent="0.2">
      <c r="A517" s="115"/>
      <c r="B517" s="112"/>
      <c r="C517" s="94"/>
      <c r="D517" s="95"/>
      <c r="E517" s="95"/>
      <c r="F517" s="96"/>
      <c r="G517" s="97"/>
      <c r="H517" s="114" t="str">
        <f t="shared" si="7"/>
        <v/>
      </c>
      <c r="I517" s="17"/>
      <c r="J517" s="17"/>
      <c r="K517" s="17"/>
    </row>
    <row r="518" spans="1:11" x14ac:dyDescent="0.2">
      <c r="A518" s="115"/>
      <c r="B518" s="112"/>
      <c r="C518" s="94"/>
      <c r="D518" s="95"/>
      <c r="E518" s="95"/>
      <c r="F518" s="96"/>
      <c r="G518" s="97"/>
      <c r="H518" s="114" t="str">
        <f t="shared" si="7"/>
        <v/>
      </c>
      <c r="I518" s="17"/>
      <c r="J518" s="17"/>
      <c r="K518" s="17"/>
    </row>
    <row r="519" spans="1:11" x14ac:dyDescent="0.2">
      <c r="A519" s="115"/>
      <c r="B519" s="112"/>
      <c r="C519" s="94"/>
      <c r="D519" s="95"/>
      <c r="E519" s="95"/>
      <c r="F519" s="96"/>
      <c r="G519" s="97"/>
      <c r="H519" s="114" t="str">
        <f t="shared" si="7"/>
        <v/>
      </c>
      <c r="I519" s="17"/>
      <c r="J519" s="17"/>
      <c r="K519" s="17"/>
    </row>
    <row r="520" spans="1:11" x14ac:dyDescent="0.2">
      <c r="A520" s="115"/>
      <c r="B520" s="112"/>
      <c r="C520" s="94"/>
      <c r="D520" s="95"/>
      <c r="E520" s="95"/>
      <c r="F520" s="96"/>
      <c r="G520" s="97"/>
      <c r="H520" s="114" t="str">
        <f t="shared" si="7"/>
        <v/>
      </c>
      <c r="I520" s="17"/>
      <c r="J520" s="17"/>
      <c r="K520" s="17"/>
    </row>
    <row r="521" spans="1:11" x14ac:dyDescent="0.2">
      <c r="A521" s="115"/>
      <c r="B521" s="112"/>
      <c r="C521" s="94"/>
      <c r="D521" s="95"/>
      <c r="E521" s="95"/>
      <c r="F521" s="96"/>
      <c r="G521" s="97"/>
      <c r="H521" s="114" t="str">
        <f t="shared" si="7"/>
        <v/>
      </c>
      <c r="I521" s="17"/>
      <c r="J521" s="17"/>
      <c r="K521" s="17"/>
    </row>
    <row r="522" spans="1:11" x14ac:dyDescent="0.2">
      <c r="A522" s="115"/>
      <c r="B522" s="112"/>
      <c r="C522" s="101"/>
      <c r="D522" s="95"/>
      <c r="E522" s="95"/>
      <c r="F522" s="96"/>
      <c r="G522" s="97"/>
      <c r="H522" s="114" t="str">
        <f t="shared" si="7"/>
        <v/>
      </c>
      <c r="I522" s="17"/>
      <c r="J522" s="17"/>
      <c r="K522" s="17"/>
    </row>
    <row r="523" spans="1:11" x14ac:dyDescent="0.2">
      <c r="A523" s="115"/>
      <c r="B523" s="112"/>
      <c r="C523" s="101"/>
      <c r="D523" s="95"/>
      <c r="E523" s="95"/>
      <c r="F523" s="96"/>
      <c r="G523" s="97"/>
      <c r="H523" s="114" t="str">
        <f t="shared" si="7"/>
        <v/>
      </c>
      <c r="I523" s="17"/>
      <c r="J523" s="17"/>
      <c r="K523" s="17"/>
    </row>
    <row r="524" spans="1:11" x14ac:dyDescent="0.2">
      <c r="A524" s="115"/>
      <c r="B524" s="112"/>
      <c r="C524" s="94"/>
      <c r="D524" s="95"/>
      <c r="E524" s="95"/>
      <c r="F524" s="96"/>
      <c r="G524" s="97"/>
      <c r="H524" s="114" t="str">
        <f t="shared" si="7"/>
        <v/>
      </c>
      <c r="I524" s="17"/>
      <c r="J524" s="17"/>
      <c r="K524" s="17"/>
    </row>
    <row r="525" spans="1:11" x14ac:dyDescent="0.2">
      <c r="A525" s="115"/>
      <c r="B525" s="112"/>
      <c r="C525" s="94"/>
      <c r="D525" s="95"/>
      <c r="E525" s="95"/>
      <c r="F525" s="96"/>
      <c r="G525" s="97"/>
      <c r="H525" s="114" t="str">
        <f t="shared" si="7"/>
        <v/>
      </c>
      <c r="I525" s="17"/>
      <c r="J525" s="17"/>
      <c r="K525" s="17"/>
    </row>
    <row r="526" spans="1:11" x14ac:dyDescent="0.2">
      <c r="A526" s="115"/>
      <c r="B526" s="112"/>
      <c r="C526" s="94"/>
      <c r="D526" s="95"/>
      <c r="E526" s="95"/>
      <c r="F526" s="96"/>
      <c r="G526" s="97"/>
      <c r="H526" s="114" t="str">
        <f t="shared" si="7"/>
        <v/>
      </c>
      <c r="I526" s="17"/>
      <c r="J526" s="17"/>
      <c r="K526" s="17"/>
    </row>
    <row r="527" spans="1:11" x14ac:dyDescent="0.2">
      <c r="A527" s="115"/>
      <c r="B527" s="95"/>
      <c r="C527" s="94"/>
      <c r="D527" s="95"/>
      <c r="E527" s="95"/>
      <c r="F527" s="96"/>
      <c r="G527" s="97"/>
      <c r="H527" s="114" t="str">
        <f t="shared" si="7"/>
        <v/>
      </c>
      <c r="I527" s="17"/>
      <c r="J527" s="17"/>
      <c r="K527" s="17"/>
    </row>
    <row r="528" spans="1:11" x14ac:dyDescent="0.2">
      <c r="A528" s="115"/>
      <c r="B528" s="95"/>
      <c r="C528" s="94"/>
      <c r="D528" s="95"/>
      <c r="E528" s="95"/>
      <c r="F528" s="96"/>
      <c r="G528" s="97"/>
      <c r="H528" s="114" t="str">
        <f t="shared" si="7"/>
        <v/>
      </c>
      <c r="I528" s="17"/>
      <c r="J528" s="17"/>
      <c r="K528" s="17"/>
    </row>
    <row r="529" spans="1:11" x14ac:dyDescent="0.2">
      <c r="A529" s="115"/>
      <c r="B529" s="95"/>
      <c r="C529" s="94"/>
      <c r="D529" s="95"/>
      <c r="E529" s="95"/>
      <c r="F529" s="96"/>
      <c r="G529" s="97"/>
      <c r="H529" s="114" t="str">
        <f t="shared" si="7"/>
        <v/>
      </c>
      <c r="I529" s="17"/>
      <c r="J529" s="17"/>
      <c r="K529" s="17"/>
    </row>
    <row r="530" spans="1:11" x14ac:dyDescent="0.2">
      <c r="A530" s="115"/>
      <c r="B530" s="95"/>
      <c r="C530" s="94"/>
      <c r="D530" s="95"/>
      <c r="E530" s="95"/>
      <c r="F530" s="96"/>
      <c r="G530" s="97"/>
      <c r="H530" s="114" t="str">
        <f t="shared" si="7"/>
        <v/>
      </c>
      <c r="I530" s="17"/>
      <c r="J530" s="17"/>
      <c r="K530" s="17"/>
    </row>
    <row r="531" spans="1:11" x14ac:dyDescent="0.2">
      <c r="A531" s="115"/>
      <c r="B531" s="95"/>
      <c r="C531" s="94"/>
      <c r="D531" s="95"/>
      <c r="E531" s="95"/>
      <c r="F531" s="96"/>
      <c r="G531" s="97"/>
      <c r="H531" s="114" t="str">
        <f t="shared" si="7"/>
        <v/>
      </c>
      <c r="I531" s="17"/>
      <c r="J531" s="17"/>
      <c r="K531" s="17"/>
    </row>
    <row r="532" spans="1:11" x14ac:dyDescent="0.2">
      <c r="A532" s="115"/>
      <c r="B532" s="95"/>
      <c r="C532" s="94"/>
      <c r="D532" s="95"/>
      <c r="E532" s="95"/>
      <c r="F532" s="96"/>
      <c r="G532" s="97"/>
      <c r="H532" s="114" t="str">
        <f t="shared" si="7"/>
        <v/>
      </c>
      <c r="I532" s="17"/>
      <c r="J532" s="17"/>
      <c r="K532" s="17"/>
    </row>
    <row r="533" spans="1:11" x14ac:dyDescent="0.2">
      <c r="A533" s="115"/>
      <c r="B533" s="95"/>
      <c r="C533" s="94"/>
      <c r="D533" s="95"/>
      <c r="E533" s="95"/>
      <c r="F533" s="96"/>
      <c r="G533" s="97"/>
      <c r="H533" s="114" t="str">
        <f t="shared" si="7"/>
        <v/>
      </c>
      <c r="I533" s="17"/>
      <c r="J533" s="17"/>
      <c r="K533" s="17"/>
    </row>
    <row r="534" spans="1:11" x14ac:dyDescent="0.2">
      <c r="A534" s="115"/>
      <c r="B534" s="95"/>
      <c r="C534" s="94"/>
      <c r="D534" s="95"/>
      <c r="E534" s="95"/>
      <c r="F534" s="96"/>
      <c r="G534" s="97"/>
      <c r="H534" s="114" t="str">
        <f t="shared" si="7"/>
        <v/>
      </c>
      <c r="I534" s="17"/>
      <c r="J534" s="17"/>
      <c r="K534" s="17"/>
    </row>
    <row r="535" spans="1:11" x14ac:dyDescent="0.2">
      <c r="A535" s="115"/>
      <c r="B535" s="95"/>
      <c r="C535" s="94"/>
      <c r="D535" s="95"/>
      <c r="E535" s="95"/>
      <c r="F535" s="96"/>
      <c r="G535" s="97"/>
      <c r="H535" s="114" t="str">
        <f t="shared" si="7"/>
        <v/>
      </c>
      <c r="I535" s="17"/>
      <c r="J535" s="17"/>
      <c r="K535" s="17"/>
    </row>
    <row r="536" spans="1:11" x14ac:dyDescent="0.2">
      <c r="A536" s="115"/>
      <c r="B536" s="95"/>
      <c r="C536" s="94"/>
      <c r="D536" s="95"/>
      <c r="E536" s="95"/>
      <c r="F536" s="96"/>
      <c r="G536" s="97"/>
      <c r="H536" s="114" t="str">
        <f t="shared" si="7"/>
        <v/>
      </c>
      <c r="I536" s="17"/>
      <c r="J536" s="17"/>
      <c r="K536" s="17"/>
    </row>
    <row r="537" spans="1:11" x14ac:dyDescent="0.2">
      <c r="A537" s="115"/>
      <c r="B537" s="95"/>
      <c r="C537" s="94"/>
      <c r="D537" s="95"/>
      <c r="E537" s="95"/>
      <c r="F537" s="96"/>
      <c r="G537" s="97"/>
      <c r="H537" s="114" t="str">
        <f t="shared" si="7"/>
        <v/>
      </c>
      <c r="I537" s="17"/>
      <c r="J537" s="17"/>
      <c r="K537" s="17"/>
    </row>
    <row r="538" spans="1:11" x14ac:dyDescent="0.2">
      <c r="A538" s="115"/>
      <c r="B538" s="95"/>
      <c r="C538" s="94"/>
      <c r="D538" s="95"/>
      <c r="E538" s="95"/>
      <c r="F538" s="96"/>
      <c r="G538" s="97"/>
      <c r="H538" s="114" t="str">
        <f t="shared" si="7"/>
        <v/>
      </c>
      <c r="I538" s="17"/>
      <c r="J538" s="17"/>
      <c r="K538" s="17"/>
    </row>
    <row r="539" spans="1:11" x14ac:dyDescent="0.2">
      <c r="A539" s="115"/>
      <c r="B539" s="95"/>
      <c r="C539" s="94"/>
      <c r="D539" s="95"/>
      <c r="E539" s="95"/>
      <c r="F539" s="96"/>
      <c r="G539" s="97"/>
      <c r="H539" s="114" t="str">
        <f t="shared" si="7"/>
        <v/>
      </c>
      <c r="I539" s="17"/>
      <c r="J539" s="17"/>
      <c r="K539" s="17"/>
    </row>
    <row r="540" spans="1:11" x14ac:dyDescent="0.2">
      <c r="A540" s="115"/>
      <c r="B540" s="95"/>
      <c r="C540" s="94"/>
      <c r="D540" s="95"/>
      <c r="E540" s="95"/>
      <c r="F540" s="96"/>
      <c r="G540" s="97"/>
      <c r="H540" s="114" t="str">
        <f t="shared" si="7"/>
        <v/>
      </c>
      <c r="I540" s="17"/>
      <c r="J540" s="17"/>
      <c r="K540" s="17"/>
    </row>
    <row r="541" spans="1:11" x14ac:dyDescent="0.2">
      <c r="A541" s="115"/>
      <c r="B541" s="95"/>
      <c r="C541" s="94"/>
      <c r="D541" s="95"/>
      <c r="E541" s="95"/>
      <c r="F541" s="96"/>
      <c r="G541" s="97"/>
      <c r="H541" s="114" t="str">
        <f t="shared" si="7"/>
        <v/>
      </c>
      <c r="I541" s="17"/>
      <c r="J541" s="17"/>
      <c r="K541" s="17"/>
    </row>
    <row r="542" spans="1:11" x14ac:dyDescent="0.2">
      <c r="A542" s="115"/>
      <c r="B542" s="95"/>
      <c r="C542" s="94"/>
      <c r="D542" s="95"/>
      <c r="E542" s="95"/>
      <c r="F542" s="96"/>
      <c r="G542" s="97"/>
      <c r="H542" s="114" t="str">
        <f t="shared" si="7"/>
        <v/>
      </c>
      <c r="I542" s="17"/>
      <c r="J542" s="17"/>
      <c r="K542" s="17"/>
    </row>
    <row r="543" spans="1:11" x14ac:dyDescent="0.2">
      <c r="A543" s="115"/>
      <c r="B543" s="95"/>
      <c r="C543" s="94"/>
      <c r="D543" s="95"/>
      <c r="E543" s="95"/>
      <c r="F543" s="96"/>
      <c r="G543" s="97"/>
      <c r="H543" s="114" t="str">
        <f t="shared" si="7"/>
        <v/>
      </c>
      <c r="I543" s="17"/>
      <c r="J543" s="17"/>
      <c r="K543" s="17"/>
    </row>
    <row r="544" spans="1:11" x14ac:dyDescent="0.2">
      <c r="A544" s="115"/>
      <c r="B544" s="95"/>
      <c r="C544" s="94"/>
      <c r="D544" s="95"/>
      <c r="E544" s="95"/>
      <c r="F544" s="96"/>
      <c r="G544" s="97"/>
      <c r="H544" s="114" t="str">
        <f t="shared" si="7"/>
        <v/>
      </c>
      <c r="I544" s="17"/>
      <c r="J544" s="17"/>
      <c r="K544" s="17"/>
    </row>
    <row r="545" spans="1:11" x14ac:dyDescent="0.2">
      <c r="A545" s="115"/>
      <c r="B545" s="95"/>
      <c r="C545" s="94"/>
      <c r="D545" s="95"/>
      <c r="E545" s="95"/>
      <c r="F545" s="96"/>
      <c r="G545" s="97"/>
      <c r="H545" s="114" t="str">
        <f t="shared" si="7"/>
        <v/>
      </c>
      <c r="I545" s="17"/>
      <c r="J545" s="17"/>
      <c r="K545" s="17"/>
    </row>
    <row r="546" spans="1:11" x14ac:dyDescent="0.2">
      <c r="A546" s="115"/>
      <c r="B546" s="95"/>
      <c r="C546" s="94"/>
      <c r="D546" s="95"/>
      <c r="E546" s="95"/>
      <c r="F546" s="96"/>
      <c r="G546" s="97"/>
      <c r="H546" s="114" t="str">
        <f t="shared" si="7"/>
        <v/>
      </c>
      <c r="I546" s="17"/>
      <c r="J546" s="17"/>
      <c r="K546" s="17"/>
    </row>
    <row r="547" spans="1:11" x14ac:dyDescent="0.2">
      <c r="A547" s="115"/>
      <c r="B547" s="95"/>
      <c r="C547" s="94"/>
      <c r="D547" s="95"/>
      <c r="E547" s="95"/>
      <c r="F547" s="96"/>
      <c r="G547" s="97"/>
      <c r="H547" s="114" t="str">
        <f t="shared" si="7"/>
        <v/>
      </c>
      <c r="I547" s="17"/>
      <c r="J547" s="17"/>
      <c r="K547" s="17"/>
    </row>
    <row r="548" spans="1:11" x14ac:dyDescent="0.2">
      <c r="A548" s="115"/>
      <c r="B548" s="95"/>
      <c r="C548" s="94"/>
      <c r="D548" s="95"/>
      <c r="E548" s="95"/>
      <c r="F548" s="96"/>
      <c r="G548" s="97"/>
      <c r="H548" s="114" t="str">
        <f t="shared" si="7"/>
        <v/>
      </c>
      <c r="I548" s="17"/>
      <c r="J548" s="17"/>
      <c r="K548" s="17"/>
    </row>
    <row r="549" spans="1:11" x14ac:dyDescent="0.2">
      <c r="A549" s="115"/>
      <c r="B549" s="95"/>
      <c r="C549" s="94"/>
      <c r="D549" s="95"/>
      <c r="E549" s="95"/>
      <c r="F549" s="96"/>
      <c r="G549" s="97"/>
      <c r="H549" s="114" t="str">
        <f t="shared" si="7"/>
        <v/>
      </c>
      <c r="I549" s="17"/>
      <c r="J549" s="17"/>
      <c r="K549" s="17"/>
    </row>
    <row r="550" spans="1:11" x14ac:dyDescent="0.2">
      <c r="A550" s="115"/>
      <c r="B550" s="95"/>
      <c r="C550" s="94"/>
      <c r="D550" s="95"/>
      <c r="E550" s="95"/>
      <c r="F550" s="96"/>
      <c r="G550" s="97"/>
      <c r="H550" s="114" t="str">
        <f t="shared" si="7"/>
        <v/>
      </c>
      <c r="I550" s="17"/>
      <c r="J550" s="17"/>
      <c r="K550" s="17"/>
    </row>
    <row r="551" spans="1:11" x14ac:dyDescent="0.2">
      <c r="A551" s="115"/>
      <c r="B551" s="95"/>
      <c r="C551" s="94"/>
      <c r="D551" s="95"/>
      <c r="E551" s="95"/>
      <c r="F551" s="96"/>
      <c r="G551" s="97"/>
      <c r="H551" s="114" t="str">
        <f t="shared" si="7"/>
        <v/>
      </c>
      <c r="I551" s="17"/>
      <c r="J551" s="17"/>
      <c r="K551" s="17"/>
    </row>
    <row r="552" spans="1:11" x14ac:dyDescent="0.2">
      <c r="A552" s="115"/>
      <c r="B552" s="95"/>
      <c r="C552" s="94"/>
      <c r="D552" s="95"/>
      <c r="E552" s="95"/>
      <c r="F552" s="96"/>
      <c r="G552" s="97"/>
      <c r="H552" s="114" t="str">
        <f t="shared" si="7"/>
        <v/>
      </c>
      <c r="I552" s="17"/>
      <c r="J552" s="17"/>
      <c r="K552" s="17"/>
    </row>
    <row r="553" spans="1:11" x14ac:dyDescent="0.2">
      <c r="A553" s="115"/>
      <c r="B553" s="95"/>
      <c r="C553" s="94"/>
      <c r="D553" s="95"/>
      <c r="E553" s="95"/>
      <c r="F553" s="96"/>
      <c r="G553" s="97"/>
      <c r="H553" s="114" t="str">
        <f t="shared" si="7"/>
        <v/>
      </c>
      <c r="I553" s="17"/>
      <c r="J553" s="17"/>
      <c r="K553" s="17"/>
    </row>
    <row r="554" spans="1:11" x14ac:dyDescent="0.2">
      <c r="A554" s="115"/>
      <c r="B554" s="95"/>
      <c r="C554" s="94"/>
      <c r="D554" s="95"/>
      <c r="E554" s="95"/>
      <c r="F554" s="96"/>
      <c r="G554" s="97"/>
      <c r="H554" s="114" t="str">
        <f t="shared" si="7"/>
        <v/>
      </c>
      <c r="I554" s="17"/>
      <c r="J554" s="17"/>
      <c r="K554" s="17"/>
    </row>
    <row r="555" spans="1:11" x14ac:dyDescent="0.2">
      <c r="A555" s="115"/>
      <c r="B555" s="95"/>
      <c r="C555" s="94"/>
      <c r="D555" s="95"/>
      <c r="E555" s="95"/>
      <c r="F555" s="96"/>
      <c r="G555" s="97"/>
      <c r="H555" s="114" t="str">
        <f t="shared" si="7"/>
        <v/>
      </c>
      <c r="I555" s="17"/>
      <c r="J555" s="17"/>
      <c r="K555" s="17"/>
    </row>
    <row r="556" spans="1:11" x14ac:dyDescent="0.2">
      <c r="A556" s="115"/>
      <c r="B556" s="95"/>
      <c r="C556" s="94"/>
      <c r="D556" s="95"/>
      <c r="E556" s="95"/>
      <c r="F556" s="96"/>
      <c r="G556" s="97"/>
      <c r="H556" s="114" t="str">
        <f t="shared" si="7"/>
        <v/>
      </c>
      <c r="I556" s="17"/>
      <c r="J556" s="17"/>
      <c r="K556" s="17"/>
    </row>
    <row r="557" spans="1:11" x14ac:dyDescent="0.2">
      <c r="A557" s="115"/>
      <c r="B557" s="95"/>
      <c r="C557" s="94"/>
      <c r="D557" s="95"/>
      <c r="E557" s="95"/>
      <c r="F557" s="96"/>
      <c r="G557" s="97"/>
      <c r="H557" s="114" t="str">
        <f t="shared" si="7"/>
        <v/>
      </c>
      <c r="I557" s="17"/>
      <c r="J557" s="17"/>
      <c r="K557" s="17"/>
    </row>
    <row r="558" spans="1:11" x14ac:dyDescent="0.2">
      <c r="A558" s="115"/>
      <c r="B558" s="95"/>
      <c r="C558" s="94"/>
      <c r="D558" s="95"/>
      <c r="E558" s="95"/>
      <c r="F558" s="96"/>
      <c r="G558" s="97"/>
      <c r="H558" s="114" t="str">
        <f t="shared" si="7"/>
        <v/>
      </c>
      <c r="I558" s="17"/>
      <c r="J558" s="17"/>
      <c r="K558" s="17"/>
    </row>
    <row r="559" spans="1:11" x14ac:dyDescent="0.2">
      <c r="A559" s="115"/>
      <c r="B559" s="95"/>
      <c r="C559" s="94"/>
      <c r="D559" s="95"/>
      <c r="E559" s="95"/>
      <c r="F559" s="96"/>
      <c r="G559" s="97"/>
      <c r="H559" s="114" t="str">
        <f t="shared" si="7"/>
        <v/>
      </c>
      <c r="I559" s="17"/>
      <c r="J559" s="17"/>
      <c r="K559" s="17"/>
    </row>
    <row r="560" spans="1:11" x14ac:dyDescent="0.2">
      <c r="A560" s="115"/>
      <c r="B560" s="95"/>
      <c r="C560" s="94"/>
      <c r="D560" s="95"/>
      <c r="E560" s="95"/>
      <c r="F560" s="96"/>
      <c r="G560" s="97"/>
      <c r="H560" s="114" t="str">
        <f t="shared" si="7"/>
        <v/>
      </c>
      <c r="I560" s="17"/>
      <c r="J560" s="17"/>
      <c r="K560" s="17"/>
    </row>
    <row r="561" spans="1:11" x14ac:dyDescent="0.2">
      <c r="A561" s="115"/>
      <c r="B561" s="95"/>
      <c r="C561" s="94"/>
      <c r="D561" s="95"/>
      <c r="E561" s="95"/>
      <c r="F561" s="96"/>
      <c r="G561" s="97"/>
      <c r="H561" s="114" t="str">
        <f t="shared" si="7"/>
        <v/>
      </c>
      <c r="I561" s="17"/>
      <c r="J561" s="17"/>
      <c r="K561" s="17"/>
    </row>
    <row r="562" spans="1:11" x14ac:dyDescent="0.2">
      <c r="A562" s="115"/>
      <c r="B562" s="95"/>
      <c r="C562" s="94"/>
      <c r="D562" s="95"/>
      <c r="E562" s="95"/>
      <c r="F562" s="96"/>
      <c r="G562" s="97"/>
      <c r="H562" s="114" t="str">
        <f t="shared" si="7"/>
        <v/>
      </c>
      <c r="I562" s="17"/>
      <c r="J562" s="17"/>
      <c r="K562" s="17"/>
    </row>
    <row r="563" spans="1:11" x14ac:dyDescent="0.2">
      <c r="A563" s="115"/>
      <c r="B563" s="95"/>
      <c r="C563" s="94"/>
      <c r="D563" s="95"/>
      <c r="E563" s="95"/>
      <c r="F563" s="96"/>
      <c r="G563" s="97"/>
      <c r="H563" s="114" t="str">
        <f t="shared" si="7"/>
        <v/>
      </c>
      <c r="I563" s="17"/>
      <c r="J563" s="17"/>
      <c r="K563" s="17"/>
    </row>
    <row r="564" spans="1:11" x14ac:dyDescent="0.2">
      <c r="A564" s="115"/>
      <c r="B564" s="95"/>
      <c r="C564" s="94"/>
      <c r="D564" s="95"/>
      <c r="E564" s="95"/>
      <c r="F564" s="96"/>
      <c r="G564" s="97"/>
      <c r="H564" s="114" t="str">
        <f t="shared" si="7"/>
        <v/>
      </c>
      <c r="I564" s="17"/>
      <c r="J564" s="17"/>
      <c r="K564" s="17"/>
    </row>
    <row r="565" spans="1:11" x14ac:dyDescent="0.2">
      <c r="A565" s="115"/>
      <c r="B565" s="95"/>
      <c r="C565" s="94"/>
      <c r="D565" s="95"/>
      <c r="E565" s="95"/>
      <c r="F565" s="96"/>
      <c r="G565" s="97"/>
      <c r="H565" s="114" t="str">
        <f t="shared" si="7"/>
        <v/>
      </c>
      <c r="I565" s="17"/>
      <c r="J565" s="17"/>
      <c r="K565" s="17"/>
    </row>
    <row r="566" spans="1:11" x14ac:dyDescent="0.2">
      <c r="A566" s="115"/>
      <c r="B566" s="95"/>
      <c r="C566" s="94"/>
      <c r="D566" s="95"/>
      <c r="E566" s="95"/>
      <c r="F566" s="96"/>
      <c r="G566" s="97"/>
      <c r="H566" s="114" t="str">
        <f t="shared" si="7"/>
        <v/>
      </c>
      <c r="I566" s="17"/>
      <c r="J566" s="17"/>
      <c r="K566" s="17"/>
    </row>
    <row r="567" spans="1:11" x14ac:dyDescent="0.2">
      <c r="A567" s="115"/>
      <c r="B567" s="95"/>
      <c r="C567" s="94"/>
      <c r="D567" s="95"/>
      <c r="E567" s="95"/>
      <c r="F567" s="96"/>
      <c r="G567" s="97"/>
      <c r="H567" s="114" t="str">
        <f t="shared" si="7"/>
        <v/>
      </c>
      <c r="I567" s="17"/>
      <c r="J567" s="17"/>
      <c r="K567" s="17"/>
    </row>
    <row r="568" spans="1:11" x14ac:dyDescent="0.2">
      <c r="A568" s="115"/>
      <c r="B568" s="95"/>
      <c r="C568" s="94"/>
      <c r="D568" s="95"/>
      <c r="E568" s="95"/>
      <c r="F568" s="96"/>
      <c r="G568" s="97"/>
      <c r="H568" s="114" t="str">
        <f t="shared" si="7"/>
        <v/>
      </c>
      <c r="I568" s="17"/>
      <c r="J568" s="17"/>
      <c r="K568" s="17"/>
    </row>
    <row r="569" spans="1:11" x14ac:dyDescent="0.2">
      <c r="A569" s="115"/>
      <c r="B569" s="95"/>
      <c r="C569" s="94"/>
      <c r="D569" s="95"/>
      <c r="E569" s="95"/>
      <c r="F569" s="96"/>
      <c r="G569" s="97"/>
      <c r="H569" s="114" t="str">
        <f t="shared" si="7"/>
        <v/>
      </c>
      <c r="I569" s="17"/>
      <c r="J569" s="17"/>
      <c r="K569" s="17"/>
    </row>
    <row r="570" spans="1:11" x14ac:dyDescent="0.2">
      <c r="A570" s="115"/>
      <c r="B570" s="95"/>
      <c r="C570" s="94"/>
      <c r="D570" s="95"/>
      <c r="E570" s="95"/>
      <c r="F570" s="96"/>
      <c r="G570" s="97"/>
      <c r="H570" s="114" t="str">
        <f t="shared" si="7"/>
        <v/>
      </c>
      <c r="I570" s="17"/>
      <c r="J570" s="17"/>
      <c r="K570" s="17"/>
    </row>
    <row r="571" spans="1:11" x14ac:dyDescent="0.2">
      <c r="A571" s="115"/>
      <c r="B571" s="95"/>
      <c r="C571" s="94"/>
      <c r="D571" s="95"/>
      <c r="E571" s="95"/>
      <c r="F571" s="96"/>
      <c r="G571" s="97"/>
      <c r="H571" s="114" t="str">
        <f t="shared" si="7"/>
        <v/>
      </c>
      <c r="I571" s="17"/>
      <c r="J571" s="17"/>
      <c r="K571" s="17"/>
    </row>
    <row r="572" spans="1:11" x14ac:dyDescent="0.2">
      <c r="A572" s="115"/>
      <c r="B572" s="95"/>
      <c r="C572" s="94"/>
      <c r="D572" s="95"/>
      <c r="E572" s="95"/>
      <c r="F572" s="96"/>
      <c r="G572" s="97"/>
      <c r="H572" s="114" t="str">
        <f t="shared" si="7"/>
        <v/>
      </c>
      <c r="I572" s="17"/>
      <c r="J572" s="17"/>
      <c r="K572" s="17"/>
    </row>
    <row r="573" spans="1:11" x14ac:dyDescent="0.2">
      <c r="A573" s="115"/>
      <c r="B573" s="95"/>
      <c r="C573" s="94"/>
      <c r="D573" s="95"/>
      <c r="E573" s="95"/>
      <c r="F573" s="96"/>
      <c r="G573" s="97"/>
      <c r="H573" s="114" t="str">
        <f t="shared" si="7"/>
        <v/>
      </c>
      <c r="I573" s="17"/>
      <c r="J573" s="17"/>
      <c r="K573" s="17"/>
    </row>
    <row r="574" spans="1:11" x14ac:dyDescent="0.2">
      <c r="A574" s="115"/>
      <c r="B574" s="95"/>
      <c r="C574" s="94"/>
      <c r="D574" s="95"/>
      <c r="E574" s="95"/>
      <c r="F574" s="96"/>
      <c r="G574" s="97"/>
      <c r="H574" s="114" t="str">
        <f t="shared" si="7"/>
        <v/>
      </c>
      <c r="I574" s="17"/>
      <c r="J574" s="17"/>
      <c r="K574" s="17"/>
    </row>
    <row r="575" spans="1:11" x14ac:dyDescent="0.2">
      <c r="A575" s="115"/>
      <c r="B575" s="95"/>
      <c r="C575" s="94"/>
      <c r="D575" s="95"/>
      <c r="E575" s="95"/>
      <c r="F575" s="96"/>
      <c r="G575" s="97"/>
      <c r="H575" s="114" t="str">
        <f t="shared" si="7"/>
        <v/>
      </c>
      <c r="I575" s="17"/>
      <c r="J575" s="17"/>
      <c r="K575" s="17"/>
    </row>
    <row r="576" spans="1:11" x14ac:dyDescent="0.2">
      <c r="A576" s="115"/>
      <c r="B576" s="95"/>
      <c r="C576" s="94"/>
      <c r="D576" s="95"/>
      <c r="E576" s="95"/>
      <c r="F576" s="96"/>
      <c r="G576" s="97"/>
      <c r="H576" s="114" t="str">
        <f t="shared" si="7"/>
        <v/>
      </c>
      <c r="I576" s="17"/>
      <c r="J576" s="17"/>
      <c r="K576" s="17"/>
    </row>
    <row r="577" spans="1:11" x14ac:dyDescent="0.2">
      <c r="A577" s="115"/>
      <c r="B577" s="95"/>
      <c r="C577" s="94"/>
      <c r="D577" s="95"/>
      <c r="E577" s="95"/>
      <c r="F577" s="96"/>
      <c r="G577" s="97"/>
      <c r="H577" s="114" t="str">
        <f t="shared" si="7"/>
        <v/>
      </c>
      <c r="I577" s="17"/>
      <c r="J577" s="17"/>
      <c r="K577" s="17"/>
    </row>
    <row r="578" spans="1:11" x14ac:dyDescent="0.2">
      <c r="A578" s="115"/>
      <c r="B578" s="95"/>
      <c r="C578" s="94"/>
      <c r="D578" s="95"/>
      <c r="E578" s="95"/>
      <c r="F578" s="96"/>
      <c r="G578" s="97"/>
      <c r="H578" s="114" t="str">
        <f t="shared" si="7"/>
        <v/>
      </c>
      <c r="I578" s="17"/>
      <c r="J578" s="17"/>
      <c r="K578" s="17"/>
    </row>
    <row r="579" spans="1:11" x14ac:dyDescent="0.2">
      <c r="A579" s="115"/>
      <c r="B579" s="95"/>
      <c r="C579" s="94"/>
      <c r="D579" s="95"/>
      <c r="E579" s="95"/>
      <c r="F579" s="96"/>
      <c r="G579" s="97"/>
      <c r="H579" s="114" t="str">
        <f t="shared" si="7"/>
        <v/>
      </c>
      <c r="I579" s="17"/>
      <c r="J579" s="17"/>
      <c r="K579" s="17"/>
    </row>
    <row r="580" spans="1:11" x14ac:dyDescent="0.2">
      <c r="A580" s="115"/>
      <c r="B580" s="95"/>
      <c r="C580" s="94"/>
      <c r="D580" s="95"/>
      <c r="E580" s="95"/>
      <c r="F580" s="96"/>
      <c r="G580" s="97"/>
      <c r="H580" s="114" t="str">
        <f t="shared" ref="H580:H643" si="8">IF(A580&lt;&gt;"", EOMONTH(A580, -1) + 1, "")</f>
        <v/>
      </c>
      <c r="I580" s="17"/>
      <c r="J580" s="17"/>
      <c r="K580" s="17"/>
    </row>
    <row r="581" spans="1:11" x14ac:dyDescent="0.2">
      <c r="A581" s="115"/>
      <c r="B581" s="108"/>
      <c r="C581" s="107"/>
      <c r="D581" s="108"/>
      <c r="E581" s="108"/>
      <c r="F581" s="96"/>
      <c r="G581" s="110"/>
      <c r="H581" s="114" t="str">
        <f t="shared" si="8"/>
        <v/>
      </c>
      <c r="I581" s="17"/>
      <c r="J581" s="17"/>
      <c r="K581" s="17"/>
    </row>
    <row r="582" spans="1:11" x14ac:dyDescent="0.2">
      <c r="A582" s="115"/>
      <c r="B582" s="95"/>
      <c r="C582" s="94"/>
      <c r="D582" s="95"/>
      <c r="E582" s="95"/>
      <c r="F582" s="96"/>
      <c r="G582" s="97"/>
      <c r="H582" s="114" t="str">
        <f t="shared" si="8"/>
        <v/>
      </c>
      <c r="I582" s="17"/>
      <c r="J582" s="17"/>
      <c r="K582" s="17"/>
    </row>
    <row r="583" spans="1:11" x14ac:dyDescent="0.2">
      <c r="A583" s="115"/>
      <c r="B583" s="108"/>
      <c r="C583" s="107"/>
      <c r="D583" s="108"/>
      <c r="E583" s="108"/>
      <c r="F583" s="96"/>
      <c r="G583" s="110"/>
      <c r="H583" s="114" t="str">
        <f t="shared" si="8"/>
        <v/>
      </c>
      <c r="I583" s="17"/>
      <c r="J583" s="17"/>
      <c r="K583" s="17"/>
    </row>
    <row r="584" spans="1:11" x14ac:dyDescent="0.2">
      <c r="A584" s="115"/>
      <c r="B584" s="95"/>
      <c r="C584" s="94"/>
      <c r="D584" s="95"/>
      <c r="E584" s="95"/>
      <c r="F584" s="96"/>
      <c r="G584" s="97"/>
      <c r="H584" s="114" t="str">
        <f t="shared" si="8"/>
        <v/>
      </c>
      <c r="I584" s="17"/>
      <c r="J584" s="17"/>
      <c r="K584" s="17"/>
    </row>
    <row r="585" spans="1:11" x14ac:dyDescent="0.2">
      <c r="A585" s="115"/>
      <c r="B585" s="108"/>
      <c r="C585" s="107"/>
      <c r="D585" s="108"/>
      <c r="E585" s="108"/>
      <c r="F585" s="109"/>
      <c r="G585" s="110"/>
      <c r="H585" s="114" t="str">
        <f t="shared" si="8"/>
        <v/>
      </c>
      <c r="I585" s="17"/>
      <c r="J585" s="17"/>
      <c r="K585" s="17"/>
    </row>
    <row r="586" spans="1:11" x14ac:dyDescent="0.2">
      <c r="A586" s="115"/>
      <c r="B586" s="95"/>
      <c r="C586" s="94"/>
      <c r="D586" s="95"/>
      <c r="E586" s="95"/>
      <c r="F586" s="96"/>
      <c r="G586" s="97"/>
      <c r="H586" s="114" t="str">
        <f t="shared" si="8"/>
        <v/>
      </c>
      <c r="I586" s="17"/>
      <c r="J586" s="17"/>
      <c r="K586" s="17"/>
    </row>
    <row r="587" spans="1:11" x14ac:dyDescent="0.2">
      <c r="A587" s="115"/>
      <c r="B587" s="108"/>
      <c r="C587" s="107"/>
      <c r="D587" s="108"/>
      <c r="E587" s="108"/>
      <c r="F587" s="109"/>
      <c r="G587" s="110"/>
      <c r="H587" s="114" t="str">
        <f t="shared" si="8"/>
        <v/>
      </c>
      <c r="I587" s="17"/>
      <c r="J587" s="17"/>
      <c r="K587" s="17"/>
    </row>
    <row r="588" spans="1:11" x14ac:dyDescent="0.2">
      <c r="A588" s="115"/>
      <c r="B588" s="95"/>
      <c r="C588" s="94"/>
      <c r="D588" s="95"/>
      <c r="E588" s="95"/>
      <c r="F588" s="96"/>
      <c r="G588" s="97"/>
      <c r="H588" s="114" t="str">
        <f t="shared" si="8"/>
        <v/>
      </c>
      <c r="I588" s="17"/>
      <c r="J588" s="17"/>
      <c r="K588" s="17"/>
    </row>
    <row r="589" spans="1:11" x14ac:dyDescent="0.2">
      <c r="A589" s="115"/>
      <c r="B589" s="108"/>
      <c r="C589" s="107"/>
      <c r="D589" s="108"/>
      <c r="E589" s="108"/>
      <c r="F589" s="109"/>
      <c r="G589" s="110"/>
      <c r="H589" s="114" t="str">
        <f t="shared" si="8"/>
        <v/>
      </c>
      <c r="I589" s="17"/>
      <c r="J589" s="17"/>
      <c r="K589" s="17"/>
    </row>
    <row r="590" spans="1:11" x14ac:dyDescent="0.2">
      <c r="A590" s="115"/>
      <c r="B590" s="95"/>
      <c r="C590" s="94"/>
      <c r="D590" s="95"/>
      <c r="E590" s="95"/>
      <c r="F590" s="96"/>
      <c r="G590" s="97"/>
      <c r="H590" s="114" t="str">
        <f t="shared" si="8"/>
        <v/>
      </c>
      <c r="I590" s="17"/>
      <c r="J590" s="17"/>
      <c r="K590" s="17"/>
    </row>
    <row r="591" spans="1:11" x14ac:dyDescent="0.2">
      <c r="A591" s="115"/>
      <c r="B591" s="108"/>
      <c r="C591" s="107"/>
      <c r="D591" s="108"/>
      <c r="E591" s="108"/>
      <c r="F591" s="109"/>
      <c r="G591" s="110"/>
      <c r="H591" s="114" t="str">
        <f t="shared" si="8"/>
        <v/>
      </c>
      <c r="I591" s="17"/>
      <c r="J591" s="17"/>
      <c r="K591" s="17"/>
    </row>
    <row r="592" spans="1:11" x14ac:dyDescent="0.2">
      <c r="A592" s="115"/>
      <c r="B592" s="95"/>
      <c r="C592" s="94"/>
      <c r="D592" s="95"/>
      <c r="E592" s="95"/>
      <c r="F592" s="96"/>
      <c r="G592" s="97"/>
      <c r="H592" s="114" t="str">
        <f t="shared" si="8"/>
        <v/>
      </c>
      <c r="I592" s="17"/>
      <c r="J592" s="17"/>
      <c r="K592" s="17"/>
    </row>
    <row r="593" spans="1:11" x14ac:dyDescent="0.2">
      <c r="A593" s="115"/>
      <c r="B593" s="108"/>
      <c r="C593" s="107"/>
      <c r="D593" s="108"/>
      <c r="E593" s="108"/>
      <c r="F593" s="109"/>
      <c r="G593" s="110"/>
      <c r="H593" s="114" t="str">
        <f t="shared" si="8"/>
        <v/>
      </c>
      <c r="I593" s="17"/>
      <c r="J593" s="17"/>
      <c r="K593" s="17"/>
    </row>
    <row r="594" spans="1:11" x14ac:dyDescent="0.2">
      <c r="A594" s="115"/>
      <c r="B594" s="95"/>
      <c r="C594" s="94"/>
      <c r="D594" s="95"/>
      <c r="E594" s="95"/>
      <c r="F594" s="96"/>
      <c r="G594" s="97"/>
      <c r="H594" s="114" t="str">
        <f t="shared" si="8"/>
        <v/>
      </c>
      <c r="I594" s="17"/>
      <c r="J594" s="17"/>
      <c r="K594" s="17"/>
    </row>
    <row r="595" spans="1:11" x14ac:dyDescent="0.2">
      <c r="A595" s="115"/>
      <c r="B595" s="108"/>
      <c r="C595" s="107"/>
      <c r="D595" s="108"/>
      <c r="E595" s="108"/>
      <c r="F595" s="109"/>
      <c r="G595" s="110"/>
      <c r="H595" s="114" t="str">
        <f t="shared" si="8"/>
        <v/>
      </c>
      <c r="I595" s="17"/>
      <c r="J595" s="17"/>
      <c r="K595" s="17"/>
    </row>
    <row r="596" spans="1:11" x14ac:dyDescent="0.2">
      <c r="A596" s="115"/>
      <c r="B596" s="95"/>
      <c r="C596" s="94"/>
      <c r="D596" s="95"/>
      <c r="E596" s="95"/>
      <c r="F596" s="96"/>
      <c r="G596" s="97"/>
      <c r="H596" s="114" t="str">
        <f t="shared" si="8"/>
        <v/>
      </c>
      <c r="I596" s="17"/>
      <c r="J596" s="17"/>
      <c r="K596" s="17"/>
    </row>
    <row r="597" spans="1:11" x14ac:dyDescent="0.2">
      <c r="A597" s="115"/>
      <c r="B597" s="108"/>
      <c r="C597" s="107"/>
      <c r="D597" s="108"/>
      <c r="E597" s="108"/>
      <c r="F597" s="109"/>
      <c r="G597" s="110"/>
      <c r="H597" s="114" t="str">
        <f t="shared" si="8"/>
        <v/>
      </c>
      <c r="I597" s="17"/>
      <c r="J597" s="17"/>
      <c r="K597" s="17"/>
    </row>
    <row r="598" spans="1:11" x14ac:dyDescent="0.2">
      <c r="A598" s="115"/>
      <c r="B598" s="95"/>
      <c r="C598" s="94"/>
      <c r="D598" s="95"/>
      <c r="E598" s="95"/>
      <c r="F598" s="96"/>
      <c r="G598" s="97"/>
      <c r="H598" s="114" t="str">
        <f t="shared" si="8"/>
        <v/>
      </c>
      <c r="I598" s="17"/>
      <c r="J598" s="17"/>
      <c r="K598" s="17"/>
    </row>
    <row r="599" spans="1:11" x14ac:dyDescent="0.2">
      <c r="A599" s="115"/>
      <c r="B599" s="108"/>
      <c r="C599" s="107"/>
      <c r="D599" s="108"/>
      <c r="E599" s="108"/>
      <c r="F599" s="109"/>
      <c r="G599" s="110"/>
      <c r="H599" s="114" t="str">
        <f t="shared" si="8"/>
        <v/>
      </c>
      <c r="I599" s="17"/>
      <c r="J599" s="17"/>
      <c r="K599" s="17"/>
    </row>
    <row r="600" spans="1:11" x14ac:dyDescent="0.2">
      <c r="A600" s="115"/>
      <c r="B600" s="95"/>
      <c r="C600" s="94"/>
      <c r="D600" s="95"/>
      <c r="E600" s="95"/>
      <c r="F600" s="96"/>
      <c r="G600" s="97"/>
      <c r="H600" s="114" t="str">
        <f t="shared" si="8"/>
        <v/>
      </c>
      <c r="I600" s="17"/>
      <c r="J600" s="17"/>
      <c r="K600" s="17"/>
    </row>
    <row r="601" spans="1:11" x14ac:dyDescent="0.2">
      <c r="A601" s="115"/>
      <c r="B601" s="108"/>
      <c r="C601" s="107"/>
      <c r="D601" s="108"/>
      <c r="E601" s="108"/>
      <c r="F601" s="109"/>
      <c r="G601" s="110"/>
      <c r="H601" s="114" t="str">
        <f t="shared" si="8"/>
        <v/>
      </c>
      <c r="I601" s="17"/>
      <c r="J601" s="17"/>
      <c r="K601" s="17"/>
    </row>
    <row r="602" spans="1:11" x14ac:dyDescent="0.2">
      <c r="A602" s="115"/>
      <c r="B602" s="95"/>
      <c r="C602" s="94"/>
      <c r="D602" s="95"/>
      <c r="E602" s="95"/>
      <c r="F602" s="96"/>
      <c r="G602" s="97"/>
      <c r="H602" s="114" t="str">
        <f t="shared" si="8"/>
        <v/>
      </c>
      <c r="I602" s="17"/>
      <c r="J602" s="17"/>
      <c r="K602" s="17"/>
    </row>
    <row r="603" spans="1:11" x14ac:dyDescent="0.2">
      <c r="A603" s="115"/>
      <c r="B603" s="108"/>
      <c r="C603" s="107"/>
      <c r="D603" s="95"/>
      <c r="E603" s="95"/>
      <c r="F603" s="96"/>
      <c r="G603" s="97"/>
      <c r="H603" s="114" t="str">
        <f t="shared" si="8"/>
        <v/>
      </c>
      <c r="I603" s="17"/>
      <c r="J603" s="17"/>
      <c r="K603" s="17"/>
    </row>
    <row r="604" spans="1:11" x14ac:dyDescent="0.2">
      <c r="A604" s="115"/>
      <c r="B604" s="95"/>
      <c r="C604" s="94"/>
      <c r="D604" s="95"/>
      <c r="E604" s="95"/>
      <c r="F604" s="96"/>
      <c r="G604" s="97"/>
      <c r="H604" s="114" t="str">
        <f t="shared" si="8"/>
        <v/>
      </c>
      <c r="I604" s="17"/>
      <c r="J604" s="17"/>
      <c r="K604" s="17"/>
    </row>
    <row r="605" spans="1:11" x14ac:dyDescent="0.2">
      <c r="A605" s="115"/>
      <c r="B605" s="108"/>
      <c r="C605" s="107"/>
      <c r="D605" s="108"/>
      <c r="E605" s="108"/>
      <c r="F605" s="109"/>
      <c r="G605" s="110"/>
      <c r="H605" s="114" t="str">
        <f t="shared" si="8"/>
        <v/>
      </c>
      <c r="I605" s="17"/>
      <c r="J605" s="17"/>
      <c r="K605" s="17"/>
    </row>
    <row r="606" spans="1:11" x14ac:dyDescent="0.2">
      <c r="A606" s="115"/>
      <c r="B606" s="95"/>
      <c r="C606" s="94"/>
      <c r="D606" s="95"/>
      <c r="E606" s="95"/>
      <c r="F606" s="96"/>
      <c r="G606" s="97"/>
      <c r="H606" s="114" t="str">
        <f t="shared" si="8"/>
        <v/>
      </c>
      <c r="I606" s="17"/>
      <c r="J606" s="17"/>
      <c r="K606" s="17"/>
    </row>
    <row r="607" spans="1:11" x14ac:dyDescent="0.2">
      <c r="A607" s="115"/>
      <c r="B607" s="108"/>
      <c r="C607" s="107"/>
      <c r="D607" s="108"/>
      <c r="E607" s="108"/>
      <c r="F607" s="109"/>
      <c r="G607" s="110"/>
      <c r="H607" s="114" t="str">
        <f t="shared" si="8"/>
        <v/>
      </c>
      <c r="I607" s="17"/>
      <c r="J607" s="17"/>
      <c r="K607" s="17"/>
    </row>
    <row r="608" spans="1:11" x14ac:dyDescent="0.2">
      <c r="A608" s="115"/>
      <c r="B608" s="95"/>
      <c r="C608" s="94"/>
      <c r="D608" s="95"/>
      <c r="E608" s="95"/>
      <c r="F608" s="96"/>
      <c r="G608" s="97"/>
      <c r="H608" s="114" t="str">
        <f t="shared" si="8"/>
        <v/>
      </c>
      <c r="I608" s="17"/>
      <c r="J608" s="17"/>
      <c r="K608" s="17"/>
    </row>
    <row r="609" spans="1:11" x14ac:dyDescent="0.2">
      <c r="A609" s="115"/>
      <c r="B609" s="108"/>
      <c r="C609" s="107"/>
      <c r="D609" s="108"/>
      <c r="E609" s="108"/>
      <c r="F609" s="109"/>
      <c r="G609" s="110"/>
      <c r="H609" s="114" t="str">
        <f t="shared" si="8"/>
        <v/>
      </c>
      <c r="I609" s="17"/>
      <c r="J609" s="17"/>
      <c r="K609" s="17"/>
    </row>
    <row r="610" spans="1:11" x14ac:dyDescent="0.2">
      <c r="A610" s="115"/>
      <c r="B610" s="95"/>
      <c r="C610" s="94"/>
      <c r="D610" s="95"/>
      <c r="E610" s="95"/>
      <c r="F610" s="96"/>
      <c r="G610" s="97"/>
      <c r="H610" s="114" t="str">
        <f t="shared" si="8"/>
        <v/>
      </c>
      <c r="I610" s="17"/>
      <c r="J610" s="17"/>
      <c r="K610" s="17"/>
    </row>
    <row r="611" spans="1:11" x14ac:dyDescent="0.2">
      <c r="A611" s="115"/>
      <c r="B611" s="108"/>
      <c r="C611" s="107"/>
      <c r="D611" s="108"/>
      <c r="E611" s="108"/>
      <c r="F611" s="109"/>
      <c r="G611" s="97"/>
      <c r="H611" s="114" t="str">
        <f t="shared" si="8"/>
        <v/>
      </c>
      <c r="I611" s="17"/>
      <c r="J611" s="17"/>
      <c r="K611" s="17"/>
    </row>
    <row r="612" spans="1:11" x14ac:dyDescent="0.2">
      <c r="A612" s="115"/>
      <c r="B612" s="95"/>
      <c r="C612" s="94"/>
      <c r="D612" s="95"/>
      <c r="E612" s="95"/>
      <c r="F612" s="96"/>
      <c r="G612" s="97"/>
      <c r="H612" s="114" t="str">
        <f t="shared" si="8"/>
        <v/>
      </c>
      <c r="I612" s="17"/>
      <c r="J612" s="17"/>
      <c r="K612" s="17"/>
    </row>
    <row r="613" spans="1:11" x14ac:dyDescent="0.2">
      <c r="A613" s="115"/>
      <c r="B613" s="108"/>
      <c r="C613" s="107"/>
      <c r="D613" s="108"/>
      <c r="E613" s="108"/>
      <c r="F613" s="109"/>
      <c r="G613" s="110"/>
      <c r="H613" s="114" t="str">
        <f t="shared" si="8"/>
        <v/>
      </c>
      <c r="I613" s="17"/>
      <c r="J613" s="17"/>
      <c r="K613" s="17"/>
    </row>
    <row r="614" spans="1:11" x14ac:dyDescent="0.2">
      <c r="A614" s="115"/>
      <c r="B614" s="95"/>
      <c r="C614" s="94"/>
      <c r="D614" s="95"/>
      <c r="E614" s="95"/>
      <c r="F614" s="96"/>
      <c r="G614" s="97"/>
      <c r="H614" s="114" t="str">
        <f t="shared" si="8"/>
        <v/>
      </c>
      <c r="I614" s="17"/>
      <c r="J614" s="17"/>
      <c r="K614" s="17"/>
    </row>
    <row r="615" spans="1:11" x14ac:dyDescent="0.2">
      <c r="A615" s="115"/>
      <c r="B615" s="108"/>
      <c r="C615" s="107"/>
      <c r="D615" s="108"/>
      <c r="E615" s="108"/>
      <c r="F615" s="109"/>
      <c r="G615" s="110"/>
      <c r="H615" s="114" t="str">
        <f t="shared" si="8"/>
        <v/>
      </c>
      <c r="I615" s="17"/>
      <c r="J615" s="17"/>
      <c r="K615" s="17"/>
    </row>
    <row r="616" spans="1:11" x14ac:dyDescent="0.2">
      <c r="A616" s="115"/>
      <c r="B616" s="95"/>
      <c r="C616" s="94"/>
      <c r="D616" s="95"/>
      <c r="E616" s="95"/>
      <c r="F616" s="96"/>
      <c r="G616" s="97"/>
      <c r="H616" s="114" t="str">
        <f t="shared" si="8"/>
        <v/>
      </c>
      <c r="I616" s="17"/>
      <c r="J616" s="17"/>
      <c r="K616" s="17"/>
    </row>
    <row r="617" spans="1:11" x14ac:dyDescent="0.2">
      <c r="A617" s="115"/>
      <c r="B617" s="108"/>
      <c r="C617" s="107"/>
      <c r="D617" s="108"/>
      <c r="E617" s="108"/>
      <c r="F617" s="109"/>
      <c r="G617" s="110"/>
      <c r="H617" s="114" t="str">
        <f t="shared" si="8"/>
        <v/>
      </c>
      <c r="I617" s="17"/>
      <c r="J617" s="17"/>
      <c r="K617" s="17"/>
    </row>
    <row r="618" spans="1:11" x14ac:dyDescent="0.2">
      <c r="A618" s="115"/>
      <c r="B618" s="95"/>
      <c r="C618" s="94"/>
      <c r="D618" s="95"/>
      <c r="E618" s="95"/>
      <c r="F618" s="96"/>
      <c r="G618" s="97"/>
      <c r="H618" s="114" t="str">
        <f t="shared" si="8"/>
        <v/>
      </c>
      <c r="I618" s="17"/>
      <c r="J618" s="17"/>
      <c r="K618" s="17"/>
    </row>
    <row r="619" spans="1:11" x14ac:dyDescent="0.2">
      <c r="A619" s="115"/>
      <c r="B619" s="108"/>
      <c r="C619" s="107"/>
      <c r="D619" s="108"/>
      <c r="E619" s="108"/>
      <c r="F619" s="109"/>
      <c r="G619" s="110"/>
      <c r="H619" s="114" t="str">
        <f t="shared" si="8"/>
        <v/>
      </c>
      <c r="I619" s="17"/>
      <c r="J619" s="17"/>
      <c r="K619" s="17"/>
    </row>
    <row r="620" spans="1:11" x14ac:dyDescent="0.2">
      <c r="A620" s="115"/>
      <c r="B620" s="95"/>
      <c r="C620" s="94"/>
      <c r="D620" s="95"/>
      <c r="E620" s="95"/>
      <c r="F620" s="96"/>
      <c r="G620" s="97"/>
      <c r="H620" s="114" t="str">
        <f t="shared" si="8"/>
        <v/>
      </c>
      <c r="I620" s="17"/>
      <c r="J620" s="17"/>
      <c r="K620" s="17"/>
    </row>
    <row r="621" spans="1:11" x14ac:dyDescent="0.2">
      <c r="A621" s="115"/>
      <c r="B621" s="108"/>
      <c r="C621" s="107"/>
      <c r="D621" s="108"/>
      <c r="E621" s="108"/>
      <c r="F621" s="109"/>
      <c r="G621" s="110"/>
      <c r="H621" s="114" t="str">
        <f t="shared" si="8"/>
        <v/>
      </c>
      <c r="I621" s="17"/>
      <c r="J621" s="17"/>
      <c r="K621" s="17"/>
    </row>
    <row r="622" spans="1:11" x14ac:dyDescent="0.2">
      <c r="A622" s="115"/>
      <c r="B622" s="95"/>
      <c r="C622" s="94"/>
      <c r="D622" s="95"/>
      <c r="E622" s="95"/>
      <c r="F622" s="96"/>
      <c r="G622" s="97"/>
      <c r="H622" s="114" t="str">
        <f t="shared" si="8"/>
        <v/>
      </c>
      <c r="I622" s="17"/>
      <c r="J622" s="17"/>
      <c r="K622" s="17"/>
    </row>
    <row r="623" spans="1:11" x14ac:dyDescent="0.2">
      <c r="A623" s="115"/>
      <c r="B623" s="108"/>
      <c r="C623" s="107"/>
      <c r="D623" s="108"/>
      <c r="E623" s="108"/>
      <c r="F623" s="109"/>
      <c r="G623" s="110"/>
      <c r="H623" s="114" t="str">
        <f t="shared" si="8"/>
        <v/>
      </c>
      <c r="I623" s="17"/>
      <c r="J623" s="17"/>
      <c r="K623" s="17"/>
    </row>
    <row r="624" spans="1:11" x14ac:dyDescent="0.2">
      <c r="A624" s="115"/>
      <c r="B624" s="95"/>
      <c r="C624" s="94"/>
      <c r="D624" s="95"/>
      <c r="E624" s="95"/>
      <c r="F624" s="96"/>
      <c r="G624" s="97"/>
      <c r="H624" s="114" t="str">
        <f t="shared" si="8"/>
        <v/>
      </c>
      <c r="I624" s="17"/>
      <c r="J624" s="17"/>
      <c r="K624" s="17"/>
    </row>
    <row r="625" spans="1:11" x14ac:dyDescent="0.2">
      <c r="A625" s="115"/>
      <c r="B625" s="108"/>
      <c r="C625" s="107"/>
      <c r="D625" s="108"/>
      <c r="E625" s="108"/>
      <c r="F625" s="109"/>
      <c r="G625" s="110"/>
      <c r="H625" s="114" t="str">
        <f t="shared" si="8"/>
        <v/>
      </c>
      <c r="I625" s="17"/>
      <c r="J625" s="17"/>
      <c r="K625" s="17"/>
    </row>
    <row r="626" spans="1:11" x14ac:dyDescent="0.2">
      <c r="A626" s="115"/>
      <c r="B626" s="95"/>
      <c r="C626" s="94"/>
      <c r="D626" s="95"/>
      <c r="E626" s="95"/>
      <c r="F626" s="96"/>
      <c r="G626" s="97"/>
      <c r="H626" s="114" t="str">
        <f t="shared" si="8"/>
        <v/>
      </c>
      <c r="I626" s="17"/>
      <c r="J626" s="17"/>
      <c r="K626" s="17"/>
    </row>
    <row r="627" spans="1:11" x14ac:dyDescent="0.2">
      <c r="A627" s="115"/>
      <c r="B627" s="108"/>
      <c r="C627" s="107"/>
      <c r="D627" s="108"/>
      <c r="E627" s="108"/>
      <c r="F627" s="109"/>
      <c r="G627" s="110"/>
      <c r="H627" s="114" t="str">
        <f t="shared" si="8"/>
        <v/>
      </c>
      <c r="I627" s="17"/>
      <c r="J627" s="17"/>
      <c r="K627" s="17"/>
    </row>
    <row r="628" spans="1:11" x14ac:dyDescent="0.2">
      <c r="A628" s="115"/>
      <c r="B628" s="95"/>
      <c r="C628" s="94"/>
      <c r="D628" s="95"/>
      <c r="E628" s="95"/>
      <c r="F628" s="96"/>
      <c r="G628" s="97"/>
      <c r="H628" s="114" t="str">
        <f t="shared" si="8"/>
        <v/>
      </c>
      <c r="I628" s="17"/>
      <c r="J628" s="17"/>
      <c r="K628" s="17"/>
    </row>
    <row r="629" spans="1:11" x14ac:dyDescent="0.2">
      <c r="A629" s="115"/>
      <c r="B629" s="108"/>
      <c r="C629" s="107"/>
      <c r="D629" s="108"/>
      <c r="E629" s="108"/>
      <c r="F629" s="109"/>
      <c r="G629" s="110"/>
      <c r="H629" s="114" t="str">
        <f t="shared" si="8"/>
        <v/>
      </c>
      <c r="I629" s="17"/>
      <c r="J629" s="17"/>
      <c r="K629" s="17"/>
    </row>
    <row r="630" spans="1:11" x14ac:dyDescent="0.2">
      <c r="A630" s="115"/>
      <c r="B630" s="95"/>
      <c r="C630" s="94"/>
      <c r="D630" s="95"/>
      <c r="E630" s="95"/>
      <c r="F630" s="96"/>
      <c r="G630" s="97"/>
      <c r="H630" s="114" t="str">
        <f t="shared" si="8"/>
        <v/>
      </c>
      <c r="I630" s="17"/>
      <c r="J630" s="17"/>
      <c r="K630" s="17"/>
    </row>
    <row r="631" spans="1:11" x14ac:dyDescent="0.2">
      <c r="A631" s="115"/>
      <c r="B631" s="108"/>
      <c r="C631" s="107"/>
      <c r="D631" s="108"/>
      <c r="E631" s="108"/>
      <c r="F631" s="109"/>
      <c r="G631" s="110"/>
      <c r="H631" s="114" t="str">
        <f t="shared" si="8"/>
        <v/>
      </c>
      <c r="I631" s="17"/>
      <c r="J631" s="17"/>
      <c r="K631" s="17"/>
    </row>
    <row r="632" spans="1:11" x14ac:dyDescent="0.2">
      <c r="A632" s="115"/>
      <c r="B632" s="95"/>
      <c r="C632" s="94"/>
      <c r="D632" s="95"/>
      <c r="E632" s="95"/>
      <c r="F632" s="96"/>
      <c r="G632" s="97"/>
      <c r="H632" s="114" t="str">
        <f t="shared" si="8"/>
        <v/>
      </c>
      <c r="I632" s="17"/>
      <c r="J632" s="17"/>
      <c r="K632" s="17"/>
    </row>
    <row r="633" spans="1:11" x14ac:dyDescent="0.2">
      <c r="A633" s="115"/>
      <c r="B633" s="108"/>
      <c r="C633" s="107"/>
      <c r="D633" s="108"/>
      <c r="E633" s="108"/>
      <c r="F633" s="109"/>
      <c r="G633" s="110"/>
      <c r="H633" s="114" t="str">
        <f t="shared" si="8"/>
        <v/>
      </c>
      <c r="I633" s="17"/>
      <c r="J633" s="17"/>
      <c r="K633" s="17"/>
    </row>
    <row r="634" spans="1:11" x14ac:dyDescent="0.2">
      <c r="A634" s="115"/>
      <c r="B634" s="95"/>
      <c r="C634" s="94"/>
      <c r="D634" s="95"/>
      <c r="E634" s="95"/>
      <c r="F634" s="96"/>
      <c r="G634" s="97"/>
      <c r="H634" s="114" t="str">
        <f t="shared" si="8"/>
        <v/>
      </c>
      <c r="I634" s="17"/>
      <c r="J634" s="17"/>
      <c r="K634" s="17"/>
    </row>
    <row r="635" spans="1:11" x14ac:dyDescent="0.2">
      <c r="A635" s="115"/>
      <c r="B635" s="108"/>
      <c r="C635" s="107"/>
      <c r="D635" s="108"/>
      <c r="E635" s="108"/>
      <c r="F635" s="109"/>
      <c r="G635" s="110"/>
      <c r="H635" s="114" t="str">
        <f t="shared" si="8"/>
        <v/>
      </c>
      <c r="I635" s="17"/>
      <c r="J635" s="17"/>
      <c r="K635" s="17"/>
    </row>
    <row r="636" spans="1:11" x14ac:dyDescent="0.2">
      <c r="A636" s="115"/>
      <c r="B636" s="95"/>
      <c r="C636" s="94"/>
      <c r="D636" s="95"/>
      <c r="E636" s="95"/>
      <c r="F636" s="96"/>
      <c r="G636" s="97"/>
      <c r="H636" s="114" t="str">
        <f t="shared" si="8"/>
        <v/>
      </c>
      <c r="I636" s="17"/>
      <c r="J636" s="17"/>
      <c r="K636" s="17"/>
    </row>
    <row r="637" spans="1:11" x14ac:dyDescent="0.2">
      <c r="A637" s="115"/>
      <c r="B637" s="108"/>
      <c r="C637" s="107"/>
      <c r="D637" s="108"/>
      <c r="E637" s="108"/>
      <c r="F637" s="109"/>
      <c r="G637" s="110"/>
      <c r="H637" s="114" t="str">
        <f t="shared" si="8"/>
        <v/>
      </c>
      <c r="I637" s="17"/>
      <c r="J637" s="17"/>
      <c r="K637" s="17"/>
    </row>
    <row r="638" spans="1:11" x14ac:dyDescent="0.2">
      <c r="A638" s="115"/>
      <c r="B638" s="95"/>
      <c r="C638" s="94"/>
      <c r="D638" s="95"/>
      <c r="E638" s="95"/>
      <c r="F638" s="96"/>
      <c r="G638" s="97"/>
      <c r="H638" s="114" t="str">
        <f t="shared" si="8"/>
        <v/>
      </c>
      <c r="I638" s="17"/>
      <c r="J638" s="17"/>
      <c r="K638" s="17"/>
    </row>
    <row r="639" spans="1:11" x14ac:dyDescent="0.2">
      <c r="A639" s="115"/>
      <c r="B639" s="108"/>
      <c r="C639" s="107"/>
      <c r="D639" s="108"/>
      <c r="E639" s="108"/>
      <c r="F639" s="109"/>
      <c r="G639" s="110"/>
      <c r="H639" s="114" t="str">
        <f t="shared" si="8"/>
        <v/>
      </c>
      <c r="I639" s="17"/>
      <c r="J639" s="17"/>
      <c r="K639" s="17"/>
    </row>
    <row r="640" spans="1:11" x14ac:dyDescent="0.2">
      <c r="A640" s="115"/>
      <c r="B640" s="108"/>
      <c r="C640" s="94"/>
      <c r="D640" s="95"/>
      <c r="E640" s="95"/>
      <c r="F640" s="96"/>
      <c r="G640" s="97"/>
      <c r="H640" s="114" t="str">
        <f t="shared" si="8"/>
        <v/>
      </c>
      <c r="I640" s="17"/>
      <c r="J640" s="17"/>
      <c r="K640" s="17"/>
    </row>
    <row r="641" spans="1:11" x14ac:dyDescent="0.2">
      <c r="A641" s="115"/>
      <c r="B641" s="108"/>
      <c r="C641" s="107"/>
      <c r="D641" s="108"/>
      <c r="E641" s="108"/>
      <c r="F641" s="109"/>
      <c r="G641" s="110"/>
      <c r="H641" s="114" t="str">
        <f t="shared" si="8"/>
        <v/>
      </c>
      <c r="I641" s="17"/>
      <c r="J641" s="17"/>
      <c r="K641" s="17"/>
    </row>
    <row r="642" spans="1:11" x14ac:dyDescent="0.2">
      <c r="A642" s="115"/>
      <c r="B642" s="108"/>
      <c r="C642" s="94"/>
      <c r="D642" s="95"/>
      <c r="E642" s="95"/>
      <c r="F642" s="96"/>
      <c r="G642" s="110"/>
      <c r="H642" s="114" t="str">
        <f t="shared" si="8"/>
        <v/>
      </c>
      <c r="I642" s="17"/>
      <c r="J642" s="17"/>
      <c r="K642" s="17"/>
    </row>
    <row r="643" spans="1:11" x14ac:dyDescent="0.2">
      <c r="A643" s="115"/>
      <c r="B643" s="108"/>
      <c r="C643" s="107"/>
      <c r="D643" s="108"/>
      <c r="E643" s="108"/>
      <c r="F643" s="109"/>
      <c r="G643" s="110"/>
      <c r="H643" s="114" t="str">
        <f t="shared" si="8"/>
        <v/>
      </c>
      <c r="I643" s="17"/>
      <c r="J643" s="17"/>
      <c r="K643" s="17"/>
    </row>
    <row r="644" spans="1:11" x14ac:dyDescent="0.2">
      <c r="A644" s="115"/>
      <c r="B644" s="108"/>
      <c r="C644" s="94"/>
      <c r="D644" s="95"/>
      <c r="E644" s="95"/>
      <c r="F644" s="96"/>
      <c r="G644" s="110"/>
      <c r="H644" s="114" t="str">
        <f t="shared" ref="H644:H707" si="9">IF(A644&lt;&gt;"", EOMONTH(A644, -1) + 1, "")</f>
        <v/>
      </c>
      <c r="I644" s="17"/>
      <c r="J644" s="17"/>
      <c r="K644" s="17"/>
    </row>
    <row r="645" spans="1:11" x14ac:dyDescent="0.2">
      <c r="A645" s="115"/>
      <c r="B645" s="108"/>
      <c r="C645" s="107"/>
      <c r="D645" s="108"/>
      <c r="E645" s="108"/>
      <c r="F645" s="109"/>
      <c r="G645" s="110"/>
      <c r="H645" s="114" t="str">
        <f t="shared" si="9"/>
        <v/>
      </c>
      <c r="I645" s="17"/>
      <c r="J645" s="17"/>
      <c r="K645" s="17"/>
    </row>
    <row r="646" spans="1:11" x14ac:dyDescent="0.2">
      <c r="A646" s="115"/>
      <c r="B646" s="108"/>
      <c r="C646" s="94"/>
      <c r="D646" s="95"/>
      <c r="E646" s="95"/>
      <c r="F646" s="96"/>
      <c r="G646" s="110"/>
      <c r="H646" s="114" t="str">
        <f t="shared" si="9"/>
        <v/>
      </c>
      <c r="I646" s="17"/>
      <c r="J646" s="17"/>
      <c r="K646" s="17"/>
    </row>
    <row r="647" spans="1:11" x14ac:dyDescent="0.2">
      <c r="A647" s="115"/>
      <c r="B647" s="108"/>
      <c r="C647" s="107"/>
      <c r="D647" s="108"/>
      <c r="E647" s="108"/>
      <c r="F647" s="109"/>
      <c r="G647" s="110"/>
      <c r="H647" s="114" t="str">
        <f t="shared" si="9"/>
        <v/>
      </c>
      <c r="I647" s="17"/>
      <c r="J647" s="17"/>
      <c r="K647" s="17"/>
    </row>
    <row r="648" spans="1:11" x14ac:dyDescent="0.2">
      <c r="A648" s="115"/>
      <c r="B648" s="108"/>
      <c r="C648" s="107"/>
      <c r="D648" s="95"/>
      <c r="E648" s="95"/>
      <c r="F648" s="96"/>
      <c r="G648" s="97"/>
      <c r="H648" s="114" t="str">
        <f t="shared" si="9"/>
        <v/>
      </c>
      <c r="I648" s="17"/>
      <c r="J648" s="17"/>
      <c r="K648" s="17"/>
    </row>
    <row r="649" spans="1:11" x14ac:dyDescent="0.2">
      <c r="A649" s="115"/>
      <c r="B649" s="108"/>
      <c r="C649" s="107"/>
      <c r="D649" s="108"/>
      <c r="E649" s="108"/>
      <c r="F649" s="109"/>
      <c r="G649" s="110"/>
      <c r="H649" s="114" t="str">
        <f t="shared" si="9"/>
        <v/>
      </c>
      <c r="I649" s="17"/>
      <c r="J649" s="17"/>
      <c r="K649" s="17"/>
    </row>
    <row r="650" spans="1:11" x14ac:dyDescent="0.2">
      <c r="A650" s="115"/>
      <c r="B650" s="108"/>
      <c r="C650" s="107"/>
      <c r="D650" s="95"/>
      <c r="E650" s="95"/>
      <c r="F650" s="96"/>
      <c r="G650" s="97"/>
      <c r="H650" s="114" t="str">
        <f t="shared" si="9"/>
        <v/>
      </c>
      <c r="I650" s="17"/>
      <c r="J650" s="17"/>
      <c r="K650" s="17"/>
    </row>
    <row r="651" spans="1:11" x14ac:dyDescent="0.2">
      <c r="A651" s="115"/>
      <c r="B651" s="108"/>
      <c r="C651" s="107"/>
      <c r="D651" s="108"/>
      <c r="E651" s="108"/>
      <c r="F651" s="109"/>
      <c r="G651" s="110"/>
      <c r="H651" s="114" t="str">
        <f t="shared" si="9"/>
        <v/>
      </c>
      <c r="I651" s="17"/>
      <c r="J651" s="17"/>
      <c r="K651" s="17"/>
    </row>
    <row r="652" spans="1:11" x14ac:dyDescent="0.2">
      <c r="A652" s="115"/>
      <c r="B652" s="108"/>
      <c r="C652" s="94"/>
      <c r="D652" s="95"/>
      <c r="E652" s="95"/>
      <c r="F652" s="96"/>
      <c r="G652" s="97"/>
      <c r="H652" s="114" t="str">
        <f t="shared" si="9"/>
        <v/>
      </c>
      <c r="I652" s="17"/>
      <c r="J652" s="17"/>
      <c r="K652" s="17"/>
    </row>
    <row r="653" spans="1:11" x14ac:dyDescent="0.2">
      <c r="A653" s="115"/>
      <c r="B653" s="108"/>
      <c r="C653" s="107"/>
      <c r="D653" s="108"/>
      <c r="E653" s="108"/>
      <c r="F653" s="109"/>
      <c r="G653" s="110"/>
      <c r="H653" s="114" t="str">
        <f t="shared" si="9"/>
        <v/>
      </c>
      <c r="I653" s="17"/>
      <c r="J653" s="17"/>
      <c r="K653" s="17"/>
    </row>
    <row r="654" spans="1:11" x14ac:dyDescent="0.2">
      <c r="A654" s="115"/>
      <c r="B654" s="108"/>
      <c r="C654" s="94"/>
      <c r="D654" s="95"/>
      <c r="E654" s="95"/>
      <c r="F654" s="96"/>
      <c r="G654" s="97"/>
      <c r="H654" s="114" t="str">
        <f t="shared" si="9"/>
        <v/>
      </c>
      <c r="I654" s="17"/>
      <c r="J654" s="17"/>
      <c r="K654" s="17"/>
    </row>
    <row r="655" spans="1:11" x14ac:dyDescent="0.2">
      <c r="A655" s="115"/>
      <c r="B655" s="108"/>
      <c r="C655" s="107"/>
      <c r="D655" s="108"/>
      <c r="E655" s="108"/>
      <c r="F655" s="109"/>
      <c r="G655" s="110"/>
      <c r="H655" s="114" t="str">
        <f t="shared" si="9"/>
        <v/>
      </c>
      <c r="I655" s="17"/>
      <c r="J655" s="17"/>
      <c r="K655" s="17"/>
    </row>
    <row r="656" spans="1:11" x14ac:dyDescent="0.2">
      <c r="A656" s="115"/>
      <c r="B656" s="108"/>
      <c r="C656" s="94"/>
      <c r="D656" s="95"/>
      <c r="E656" s="95"/>
      <c r="F656" s="96"/>
      <c r="G656" s="97"/>
      <c r="H656" s="114" t="str">
        <f t="shared" si="9"/>
        <v/>
      </c>
      <c r="I656" s="17"/>
      <c r="J656" s="17"/>
      <c r="K656" s="17"/>
    </row>
    <row r="657" spans="1:11" x14ac:dyDescent="0.2">
      <c r="A657" s="115"/>
      <c r="B657" s="108"/>
      <c r="C657" s="107"/>
      <c r="D657" s="108"/>
      <c r="E657" s="108"/>
      <c r="F657" s="109"/>
      <c r="G657" s="97"/>
      <c r="H657" s="114" t="str">
        <f t="shared" si="9"/>
        <v/>
      </c>
      <c r="I657" s="17"/>
      <c r="J657" s="17"/>
      <c r="K657" s="17"/>
    </row>
    <row r="658" spans="1:11" x14ac:dyDescent="0.2">
      <c r="A658" s="115"/>
      <c r="B658" s="108"/>
      <c r="C658" s="94"/>
      <c r="D658" s="95"/>
      <c r="E658" s="95"/>
      <c r="F658" s="96"/>
      <c r="G658" s="97"/>
      <c r="H658" s="114" t="str">
        <f t="shared" si="9"/>
        <v/>
      </c>
      <c r="I658" s="17"/>
      <c r="J658" s="17"/>
      <c r="K658" s="17"/>
    </row>
    <row r="659" spans="1:11" x14ac:dyDescent="0.2">
      <c r="A659" s="115"/>
      <c r="B659" s="108"/>
      <c r="C659" s="107"/>
      <c r="D659" s="108"/>
      <c r="E659" s="108"/>
      <c r="F659" s="109"/>
      <c r="G659" s="110"/>
      <c r="H659" s="114" t="str">
        <f t="shared" si="9"/>
        <v/>
      </c>
      <c r="I659" s="17"/>
      <c r="J659" s="17"/>
      <c r="K659" s="17"/>
    </row>
    <row r="660" spans="1:11" x14ac:dyDescent="0.2">
      <c r="A660" s="115"/>
      <c r="B660" s="108"/>
      <c r="C660" s="94"/>
      <c r="D660" s="95"/>
      <c r="E660" s="95"/>
      <c r="F660" s="96"/>
      <c r="G660" s="97"/>
      <c r="H660" s="114" t="str">
        <f t="shared" si="9"/>
        <v/>
      </c>
      <c r="I660" s="17"/>
      <c r="J660" s="17"/>
      <c r="K660" s="17"/>
    </row>
    <row r="661" spans="1:11" x14ac:dyDescent="0.2">
      <c r="A661" s="115"/>
      <c r="B661" s="108"/>
      <c r="C661" s="107"/>
      <c r="D661" s="108"/>
      <c r="E661" s="108"/>
      <c r="F661" s="109"/>
      <c r="G661" s="110"/>
      <c r="H661" s="114" t="str">
        <f t="shared" si="9"/>
        <v/>
      </c>
      <c r="I661" s="17"/>
      <c r="J661" s="17"/>
      <c r="K661" s="17"/>
    </row>
    <row r="662" spans="1:11" x14ac:dyDescent="0.2">
      <c r="A662" s="115"/>
      <c r="B662" s="108"/>
      <c r="C662" s="94"/>
      <c r="D662" s="95"/>
      <c r="E662" s="95"/>
      <c r="F662" s="96"/>
      <c r="G662" s="97"/>
      <c r="H662" s="114" t="str">
        <f t="shared" si="9"/>
        <v/>
      </c>
      <c r="I662" s="17"/>
      <c r="J662" s="17"/>
      <c r="K662" s="17"/>
    </row>
    <row r="663" spans="1:11" x14ac:dyDescent="0.2">
      <c r="A663" s="115"/>
      <c r="B663" s="108"/>
      <c r="C663" s="107"/>
      <c r="D663" s="108"/>
      <c r="E663" s="108"/>
      <c r="F663" s="109"/>
      <c r="G663" s="110"/>
      <c r="H663" s="114" t="str">
        <f t="shared" si="9"/>
        <v/>
      </c>
      <c r="I663" s="17"/>
      <c r="J663" s="17"/>
      <c r="K663" s="17"/>
    </row>
    <row r="664" spans="1:11" x14ac:dyDescent="0.2">
      <c r="A664" s="115"/>
      <c r="B664" s="108"/>
      <c r="C664" s="94"/>
      <c r="D664" s="95"/>
      <c r="E664" s="95"/>
      <c r="F664" s="96"/>
      <c r="G664" s="97"/>
      <c r="H664" s="114" t="str">
        <f t="shared" si="9"/>
        <v/>
      </c>
      <c r="I664" s="17"/>
      <c r="J664" s="17"/>
      <c r="K664" s="17"/>
    </row>
    <row r="665" spans="1:11" x14ac:dyDescent="0.2">
      <c r="A665" s="115"/>
      <c r="B665" s="108"/>
      <c r="C665" s="107"/>
      <c r="D665" s="108"/>
      <c r="E665" s="108"/>
      <c r="F665" s="109"/>
      <c r="G665" s="110"/>
      <c r="H665" s="114" t="str">
        <f t="shared" si="9"/>
        <v/>
      </c>
      <c r="I665" s="17"/>
      <c r="J665" s="17"/>
      <c r="K665" s="17"/>
    </row>
    <row r="666" spans="1:11" x14ac:dyDescent="0.2">
      <c r="A666" s="115"/>
      <c r="B666" s="108"/>
      <c r="C666" s="94"/>
      <c r="D666" s="95"/>
      <c r="E666" s="95"/>
      <c r="F666" s="96"/>
      <c r="G666" s="97"/>
      <c r="H666" s="114" t="str">
        <f t="shared" si="9"/>
        <v/>
      </c>
      <c r="I666" s="17"/>
      <c r="J666" s="17"/>
      <c r="K666" s="17"/>
    </row>
    <row r="667" spans="1:11" x14ac:dyDescent="0.2">
      <c r="A667" s="115"/>
      <c r="B667" s="108"/>
      <c r="C667" s="107"/>
      <c r="D667" s="108"/>
      <c r="E667" s="108"/>
      <c r="F667" s="109"/>
      <c r="G667" s="110"/>
      <c r="H667" s="114" t="str">
        <f t="shared" si="9"/>
        <v/>
      </c>
      <c r="I667" s="17"/>
      <c r="J667" s="17"/>
      <c r="K667" s="17"/>
    </row>
    <row r="668" spans="1:11" x14ac:dyDescent="0.2">
      <c r="A668" s="115"/>
      <c r="B668" s="108"/>
      <c r="C668" s="94"/>
      <c r="D668" s="95"/>
      <c r="E668" s="95"/>
      <c r="F668" s="96"/>
      <c r="G668" s="97"/>
      <c r="H668" s="114" t="str">
        <f t="shared" si="9"/>
        <v/>
      </c>
      <c r="I668" s="17"/>
      <c r="J668" s="17"/>
      <c r="K668" s="17"/>
    </row>
    <row r="669" spans="1:11" x14ac:dyDescent="0.2">
      <c r="A669" s="115"/>
      <c r="B669" s="108"/>
      <c r="C669" s="107"/>
      <c r="D669" s="108"/>
      <c r="E669" s="108"/>
      <c r="F669" s="109"/>
      <c r="G669" s="110"/>
      <c r="H669" s="114" t="str">
        <f t="shared" si="9"/>
        <v/>
      </c>
      <c r="I669" s="17"/>
      <c r="J669" s="17"/>
      <c r="K669" s="17"/>
    </row>
    <row r="670" spans="1:11" x14ac:dyDescent="0.2">
      <c r="A670" s="115"/>
      <c r="B670" s="108"/>
      <c r="C670" s="94"/>
      <c r="D670" s="95"/>
      <c r="E670" s="95"/>
      <c r="F670" s="96"/>
      <c r="G670" s="97"/>
      <c r="H670" s="114" t="str">
        <f t="shared" si="9"/>
        <v/>
      </c>
      <c r="I670" s="17"/>
      <c r="J670" s="17"/>
      <c r="K670" s="17"/>
    </row>
    <row r="671" spans="1:11" x14ac:dyDescent="0.2">
      <c r="A671" s="115"/>
      <c r="B671" s="108"/>
      <c r="C671" s="107"/>
      <c r="D671" s="108"/>
      <c r="E671" s="108"/>
      <c r="F671" s="109"/>
      <c r="G671" s="110"/>
      <c r="H671" s="114" t="str">
        <f t="shared" si="9"/>
        <v/>
      </c>
      <c r="I671" s="17"/>
      <c r="J671" s="17"/>
      <c r="K671" s="17"/>
    </row>
    <row r="672" spans="1:11" x14ac:dyDescent="0.2">
      <c r="A672" s="115"/>
      <c r="B672" s="108"/>
      <c r="C672" s="94"/>
      <c r="D672" s="95"/>
      <c r="E672" s="95"/>
      <c r="F672" s="96"/>
      <c r="G672" s="97"/>
      <c r="H672" s="114" t="str">
        <f t="shared" si="9"/>
        <v/>
      </c>
      <c r="I672" s="17"/>
      <c r="J672" s="17"/>
      <c r="K672" s="17"/>
    </row>
    <row r="673" spans="1:11" x14ac:dyDescent="0.2">
      <c r="A673" s="115"/>
      <c r="B673" s="108"/>
      <c r="C673" s="107"/>
      <c r="D673" s="108"/>
      <c r="E673" s="108"/>
      <c r="F673" s="109"/>
      <c r="G673" s="110"/>
      <c r="H673" s="114" t="str">
        <f t="shared" si="9"/>
        <v/>
      </c>
      <c r="I673" s="17"/>
      <c r="J673" s="17"/>
      <c r="K673" s="17"/>
    </row>
    <row r="674" spans="1:11" x14ac:dyDescent="0.2">
      <c r="A674" s="115"/>
      <c r="B674" s="108"/>
      <c r="C674" s="94"/>
      <c r="D674" s="95"/>
      <c r="E674" s="95"/>
      <c r="F674" s="96"/>
      <c r="G674" s="97"/>
      <c r="H674" s="114" t="str">
        <f t="shared" si="9"/>
        <v/>
      </c>
      <c r="I674" s="17"/>
      <c r="J674" s="17"/>
      <c r="K674" s="17"/>
    </row>
    <row r="675" spans="1:11" x14ac:dyDescent="0.2">
      <c r="A675" s="115"/>
      <c r="B675" s="108"/>
      <c r="C675" s="107"/>
      <c r="D675" s="108"/>
      <c r="E675" s="108"/>
      <c r="F675" s="109"/>
      <c r="G675" s="110"/>
      <c r="H675" s="114" t="str">
        <f t="shared" si="9"/>
        <v/>
      </c>
      <c r="I675" s="17"/>
      <c r="J675" s="17"/>
      <c r="K675" s="17"/>
    </row>
    <row r="676" spans="1:11" x14ac:dyDescent="0.2">
      <c r="A676" s="115"/>
      <c r="B676" s="108"/>
      <c r="C676" s="94"/>
      <c r="D676" s="95"/>
      <c r="E676" s="95"/>
      <c r="F676" s="96"/>
      <c r="G676" s="97"/>
      <c r="H676" s="114" t="str">
        <f t="shared" si="9"/>
        <v/>
      </c>
      <c r="I676" s="17"/>
      <c r="J676" s="17"/>
      <c r="K676" s="17"/>
    </row>
    <row r="677" spans="1:11" x14ac:dyDescent="0.2">
      <c r="A677" s="115"/>
      <c r="B677" s="108"/>
      <c r="C677" s="107"/>
      <c r="D677" s="108"/>
      <c r="E677" s="108"/>
      <c r="F677" s="109"/>
      <c r="G677" s="110"/>
      <c r="H677" s="114" t="str">
        <f t="shared" si="9"/>
        <v/>
      </c>
      <c r="I677" s="17"/>
      <c r="J677" s="17"/>
      <c r="K677" s="17"/>
    </row>
    <row r="678" spans="1:11" x14ac:dyDescent="0.2">
      <c r="A678" s="115"/>
      <c r="B678" s="108"/>
      <c r="C678" s="94"/>
      <c r="D678" s="95"/>
      <c r="E678" s="95"/>
      <c r="F678" s="96"/>
      <c r="G678" s="97"/>
      <c r="H678" s="114" t="str">
        <f t="shared" si="9"/>
        <v/>
      </c>
      <c r="I678" s="17"/>
      <c r="J678" s="17"/>
      <c r="K678" s="17"/>
    </row>
    <row r="679" spans="1:11" x14ac:dyDescent="0.2">
      <c r="A679" s="115"/>
      <c r="B679" s="108"/>
      <c r="C679" s="107"/>
      <c r="D679" s="108"/>
      <c r="E679" s="108"/>
      <c r="F679" s="109"/>
      <c r="G679" s="110"/>
      <c r="H679" s="114" t="str">
        <f t="shared" si="9"/>
        <v/>
      </c>
      <c r="I679" s="17"/>
      <c r="J679" s="17"/>
      <c r="K679" s="17"/>
    </row>
    <row r="680" spans="1:11" x14ac:dyDescent="0.2">
      <c r="A680" s="115"/>
      <c r="B680" s="108"/>
      <c r="C680" s="94"/>
      <c r="D680" s="95"/>
      <c r="E680" s="95"/>
      <c r="F680" s="96"/>
      <c r="G680" s="97"/>
      <c r="H680" s="114" t="str">
        <f t="shared" si="9"/>
        <v/>
      </c>
      <c r="I680" s="17"/>
      <c r="J680" s="17"/>
      <c r="K680" s="17"/>
    </row>
    <row r="681" spans="1:11" x14ac:dyDescent="0.2">
      <c r="A681" s="115"/>
      <c r="B681" s="108"/>
      <c r="C681" s="107"/>
      <c r="D681" s="108"/>
      <c r="E681" s="108"/>
      <c r="F681" s="109"/>
      <c r="G681" s="110"/>
      <c r="H681" s="114" t="str">
        <f t="shared" si="9"/>
        <v/>
      </c>
      <c r="I681" s="17"/>
      <c r="J681" s="17"/>
      <c r="K681" s="17"/>
    </row>
    <row r="682" spans="1:11" x14ac:dyDescent="0.2">
      <c r="A682" s="115"/>
      <c r="B682" s="108"/>
      <c r="C682" s="94"/>
      <c r="D682" s="95"/>
      <c r="E682" s="95"/>
      <c r="F682" s="96"/>
      <c r="G682" s="97"/>
      <c r="H682" s="114" t="str">
        <f t="shared" si="9"/>
        <v/>
      </c>
      <c r="I682" s="17"/>
      <c r="J682" s="17"/>
      <c r="K682" s="17"/>
    </row>
    <row r="683" spans="1:11" x14ac:dyDescent="0.2">
      <c r="A683" s="115"/>
      <c r="B683" s="108"/>
      <c r="C683" s="107"/>
      <c r="D683" s="108"/>
      <c r="E683" s="108"/>
      <c r="F683" s="109"/>
      <c r="G683" s="110"/>
      <c r="H683" s="114" t="str">
        <f t="shared" si="9"/>
        <v/>
      </c>
      <c r="I683" s="17"/>
      <c r="J683" s="17"/>
      <c r="K683" s="17"/>
    </row>
    <row r="684" spans="1:11" x14ac:dyDescent="0.2">
      <c r="A684" s="115"/>
      <c r="B684" s="108"/>
      <c r="C684" s="94"/>
      <c r="D684" s="95"/>
      <c r="E684" s="95"/>
      <c r="F684" s="96"/>
      <c r="G684" s="97"/>
      <c r="H684" s="114" t="str">
        <f t="shared" si="9"/>
        <v/>
      </c>
      <c r="I684" s="17"/>
      <c r="J684" s="17"/>
      <c r="K684" s="17"/>
    </row>
    <row r="685" spans="1:11" x14ac:dyDescent="0.2">
      <c r="A685" s="115"/>
      <c r="B685" s="108"/>
      <c r="C685" s="107"/>
      <c r="D685" s="108"/>
      <c r="E685" s="108"/>
      <c r="F685" s="109"/>
      <c r="G685" s="110"/>
      <c r="H685" s="114" t="str">
        <f t="shared" si="9"/>
        <v/>
      </c>
      <c r="I685" s="17"/>
      <c r="J685" s="17"/>
      <c r="K685" s="17"/>
    </row>
    <row r="686" spans="1:11" x14ac:dyDescent="0.2">
      <c r="A686" s="115"/>
      <c r="B686" s="108"/>
      <c r="C686" s="94"/>
      <c r="D686" s="95"/>
      <c r="E686" s="95"/>
      <c r="F686" s="96"/>
      <c r="G686" s="97"/>
      <c r="H686" s="114" t="str">
        <f t="shared" si="9"/>
        <v/>
      </c>
      <c r="I686" s="17"/>
      <c r="J686" s="17"/>
      <c r="K686" s="17"/>
    </row>
    <row r="687" spans="1:11" x14ac:dyDescent="0.2">
      <c r="A687" s="115"/>
      <c r="B687" s="108"/>
      <c r="C687" s="107"/>
      <c r="D687" s="108"/>
      <c r="E687" s="108"/>
      <c r="F687" s="109"/>
      <c r="G687" s="110"/>
      <c r="H687" s="114" t="str">
        <f t="shared" si="9"/>
        <v/>
      </c>
      <c r="I687" s="17"/>
      <c r="J687" s="17"/>
      <c r="K687" s="17"/>
    </row>
    <row r="688" spans="1:11" x14ac:dyDescent="0.2">
      <c r="A688" s="115"/>
      <c r="B688" s="108"/>
      <c r="C688" s="94"/>
      <c r="D688" s="95"/>
      <c r="E688" s="95"/>
      <c r="F688" s="96"/>
      <c r="G688" s="97"/>
      <c r="H688" s="114" t="str">
        <f t="shared" si="9"/>
        <v/>
      </c>
      <c r="I688" s="17"/>
      <c r="J688" s="17"/>
      <c r="K688" s="17"/>
    </row>
    <row r="689" spans="1:11" x14ac:dyDescent="0.2">
      <c r="A689" s="115"/>
      <c r="B689" s="108"/>
      <c r="C689" s="107"/>
      <c r="D689" s="108"/>
      <c r="E689" s="108"/>
      <c r="F689" s="109"/>
      <c r="G689" s="110"/>
      <c r="H689" s="114" t="str">
        <f t="shared" si="9"/>
        <v/>
      </c>
      <c r="I689" s="17"/>
      <c r="J689" s="17"/>
      <c r="K689" s="17"/>
    </row>
    <row r="690" spans="1:11" x14ac:dyDescent="0.2">
      <c r="A690" s="115"/>
      <c r="B690" s="108"/>
      <c r="C690" s="94"/>
      <c r="D690" s="95"/>
      <c r="E690" s="95"/>
      <c r="F690" s="96"/>
      <c r="G690" s="97"/>
      <c r="H690" s="114" t="str">
        <f t="shared" si="9"/>
        <v/>
      </c>
      <c r="I690" s="17"/>
      <c r="J690" s="17"/>
      <c r="K690" s="17"/>
    </row>
    <row r="691" spans="1:11" x14ac:dyDescent="0.2">
      <c r="A691" s="115"/>
      <c r="B691" s="108"/>
      <c r="C691" s="107"/>
      <c r="D691" s="108"/>
      <c r="E691" s="108"/>
      <c r="F691" s="109"/>
      <c r="G691" s="97"/>
      <c r="H691" s="114" t="str">
        <f t="shared" si="9"/>
        <v/>
      </c>
      <c r="I691" s="17"/>
      <c r="J691" s="17"/>
      <c r="K691" s="17"/>
    </row>
    <row r="692" spans="1:11" x14ac:dyDescent="0.2">
      <c r="A692" s="115"/>
      <c r="B692" s="108"/>
      <c r="C692" s="94"/>
      <c r="D692" s="95"/>
      <c r="E692" s="95"/>
      <c r="F692" s="96"/>
      <c r="G692" s="97"/>
      <c r="H692" s="114" t="str">
        <f t="shared" si="9"/>
        <v/>
      </c>
      <c r="I692" s="17"/>
      <c r="J692" s="17"/>
      <c r="K692" s="17"/>
    </row>
    <row r="693" spans="1:11" x14ac:dyDescent="0.2">
      <c r="A693" s="115"/>
      <c r="B693" s="108"/>
      <c r="C693" s="107"/>
      <c r="D693" s="108"/>
      <c r="E693" s="108"/>
      <c r="F693" s="109"/>
      <c r="G693" s="110"/>
      <c r="H693" s="114" t="str">
        <f t="shared" si="9"/>
        <v/>
      </c>
      <c r="I693" s="17"/>
      <c r="J693" s="17"/>
      <c r="K693" s="17"/>
    </row>
    <row r="694" spans="1:11" x14ac:dyDescent="0.2">
      <c r="A694" s="115"/>
      <c r="B694" s="108"/>
      <c r="C694" s="94"/>
      <c r="D694" s="95"/>
      <c r="E694" s="95"/>
      <c r="F694" s="96"/>
      <c r="G694" s="97"/>
      <c r="H694" s="114" t="str">
        <f t="shared" si="9"/>
        <v/>
      </c>
      <c r="I694" s="17"/>
      <c r="J694" s="17"/>
      <c r="K694" s="17"/>
    </row>
    <row r="695" spans="1:11" x14ac:dyDescent="0.2">
      <c r="A695" s="115"/>
      <c r="B695" s="108"/>
      <c r="C695" s="107"/>
      <c r="D695" s="108"/>
      <c r="E695" s="108"/>
      <c r="F695" s="109"/>
      <c r="G695" s="97"/>
      <c r="H695" s="114" t="str">
        <f t="shared" si="9"/>
        <v/>
      </c>
      <c r="I695" s="17"/>
      <c r="J695" s="17"/>
      <c r="K695" s="17"/>
    </row>
    <row r="696" spans="1:11" x14ac:dyDescent="0.2">
      <c r="A696" s="115"/>
      <c r="B696" s="108"/>
      <c r="C696" s="94"/>
      <c r="D696" s="95"/>
      <c r="E696" s="95"/>
      <c r="F696" s="96"/>
      <c r="G696" s="97"/>
      <c r="H696" s="114" t="str">
        <f t="shared" si="9"/>
        <v/>
      </c>
      <c r="I696" s="17"/>
      <c r="J696" s="17"/>
      <c r="K696" s="17"/>
    </row>
    <row r="697" spans="1:11" x14ac:dyDescent="0.2">
      <c r="A697" s="115"/>
      <c r="B697" s="108"/>
      <c r="C697" s="107"/>
      <c r="D697" s="108"/>
      <c r="E697" s="108"/>
      <c r="F697" s="109"/>
      <c r="G697" s="110"/>
      <c r="H697" s="114" t="str">
        <f t="shared" si="9"/>
        <v/>
      </c>
      <c r="I697" s="17"/>
      <c r="J697" s="17"/>
      <c r="K697" s="17"/>
    </row>
    <row r="698" spans="1:11" x14ac:dyDescent="0.2">
      <c r="A698" s="115"/>
      <c r="B698" s="108"/>
      <c r="C698" s="94"/>
      <c r="D698" s="95"/>
      <c r="E698" s="95"/>
      <c r="F698" s="96"/>
      <c r="G698" s="97"/>
      <c r="H698" s="114" t="str">
        <f t="shared" si="9"/>
        <v/>
      </c>
      <c r="I698" s="17"/>
      <c r="J698" s="17"/>
      <c r="K698" s="17"/>
    </row>
    <row r="699" spans="1:11" x14ac:dyDescent="0.2">
      <c r="A699" s="115"/>
      <c r="B699" s="108"/>
      <c r="C699" s="107"/>
      <c r="D699" s="108"/>
      <c r="E699" s="108"/>
      <c r="F699" s="109"/>
      <c r="G699" s="110"/>
      <c r="H699" s="114" t="str">
        <f t="shared" si="9"/>
        <v/>
      </c>
      <c r="I699" s="17"/>
      <c r="J699" s="17"/>
      <c r="K699" s="17"/>
    </row>
    <row r="700" spans="1:11" x14ac:dyDescent="0.2">
      <c r="A700" s="115"/>
      <c r="B700" s="108"/>
      <c r="C700" s="94"/>
      <c r="D700" s="95"/>
      <c r="E700" s="95"/>
      <c r="F700" s="96"/>
      <c r="G700" s="97"/>
      <c r="H700" s="114" t="str">
        <f t="shared" si="9"/>
        <v/>
      </c>
      <c r="I700" s="17"/>
      <c r="J700" s="17"/>
      <c r="K700" s="17"/>
    </row>
    <row r="701" spans="1:11" x14ac:dyDescent="0.2">
      <c r="A701" s="115"/>
      <c r="B701" s="108"/>
      <c r="C701" s="107"/>
      <c r="D701" s="108"/>
      <c r="E701" s="108"/>
      <c r="F701" s="109"/>
      <c r="G701" s="110"/>
      <c r="H701" s="114" t="str">
        <f t="shared" si="9"/>
        <v/>
      </c>
      <c r="I701" s="17"/>
      <c r="J701" s="17"/>
      <c r="K701" s="17"/>
    </row>
    <row r="702" spans="1:11" x14ac:dyDescent="0.2">
      <c r="A702" s="115"/>
      <c r="B702" s="108"/>
      <c r="C702" s="94"/>
      <c r="D702" s="95"/>
      <c r="E702" s="95"/>
      <c r="F702" s="96"/>
      <c r="G702" s="97"/>
      <c r="H702" s="114" t="str">
        <f t="shared" si="9"/>
        <v/>
      </c>
      <c r="I702" s="17"/>
      <c r="J702" s="17"/>
      <c r="K702" s="17"/>
    </row>
    <row r="703" spans="1:11" x14ac:dyDescent="0.2">
      <c r="A703" s="115"/>
      <c r="B703" s="108"/>
      <c r="C703" s="107"/>
      <c r="D703" s="108"/>
      <c r="E703" s="108"/>
      <c r="F703" s="109"/>
      <c r="G703" s="110"/>
      <c r="H703" s="114" t="str">
        <f t="shared" si="9"/>
        <v/>
      </c>
      <c r="I703" s="17"/>
      <c r="J703" s="17"/>
      <c r="K703" s="17"/>
    </row>
    <row r="704" spans="1:11" x14ac:dyDescent="0.2">
      <c r="A704" s="115"/>
      <c r="B704" s="108"/>
      <c r="C704" s="94"/>
      <c r="D704" s="95"/>
      <c r="E704" s="95"/>
      <c r="F704" s="96"/>
      <c r="G704" s="97"/>
      <c r="H704" s="114" t="str">
        <f t="shared" si="9"/>
        <v/>
      </c>
      <c r="I704" s="17"/>
      <c r="J704" s="17"/>
      <c r="K704" s="17"/>
    </row>
    <row r="705" spans="1:11" x14ac:dyDescent="0.2">
      <c r="A705" s="115"/>
      <c r="B705" s="108"/>
      <c r="C705" s="107"/>
      <c r="D705" s="108"/>
      <c r="E705" s="108"/>
      <c r="F705" s="109"/>
      <c r="G705" s="110"/>
      <c r="H705" s="114" t="str">
        <f t="shared" si="9"/>
        <v/>
      </c>
      <c r="I705" s="17"/>
      <c r="J705" s="17"/>
      <c r="K705" s="17"/>
    </row>
    <row r="706" spans="1:11" x14ac:dyDescent="0.2">
      <c r="A706" s="115"/>
      <c r="B706" s="108"/>
      <c r="C706" s="94"/>
      <c r="D706" s="95"/>
      <c r="E706" s="95"/>
      <c r="F706" s="96"/>
      <c r="G706" s="97"/>
      <c r="H706" s="114" t="str">
        <f t="shared" si="9"/>
        <v/>
      </c>
      <c r="I706" s="17"/>
      <c r="J706" s="17"/>
      <c r="K706" s="17"/>
    </row>
    <row r="707" spans="1:11" x14ac:dyDescent="0.2">
      <c r="A707" s="115"/>
      <c r="B707" s="108"/>
      <c r="C707" s="107"/>
      <c r="D707" s="108"/>
      <c r="E707" s="108"/>
      <c r="F707" s="109"/>
      <c r="G707" s="110"/>
      <c r="H707" s="114" t="str">
        <f t="shared" si="9"/>
        <v/>
      </c>
      <c r="I707" s="17"/>
      <c r="J707" s="17"/>
      <c r="K707" s="17"/>
    </row>
    <row r="708" spans="1:11" x14ac:dyDescent="0.2">
      <c r="A708" s="115"/>
      <c r="B708" s="108"/>
      <c r="C708" s="94"/>
      <c r="D708" s="95"/>
      <c r="E708" s="95"/>
      <c r="F708" s="96"/>
      <c r="G708" s="97"/>
      <c r="H708" s="114" t="str">
        <f t="shared" ref="H708:H771" si="10">IF(A708&lt;&gt;"", EOMONTH(A708, -1) + 1, "")</f>
        <v/>
      </c>
      <c r="I708" s="17"/>
      <c r="J708" s="17"/>
      <c r="K708" s="17"/>
    </row>
    <row r="709" spans="1:11" x14ac:dyDescent="0.2">
      <c r="A709" s="115"/>
      <c r="B709" s="108"/>
      <c r="C709" s="107"/>
      <c r="D709" s="108"/>
      <c r="E709" s="108"/>
      <c r="F709" s="109"/>
      <c r="G709" s="110"/>
      <c r="H709" s="114" t="str">
        <f t="shared" si="10"/>
        <v/>
      </c>
      <c r="I709" s="17"/>
      <c r="J709" s="17"/>
      <c r="K709" s="17"/>
    </row>
    <row r="710" spans="1:11" x14ac:dyDescent="0.2">
      <c r="A710" s="115"/>
      <c r="B710" s="108"/>
      <c r="C710" s="94"/>
      <c r="D710" s="95"/>
      <c r="E710" s="95"/>
      <c r="F710" s="96"/>
      <c r="G710" s="100"/>
      <c r="H710" s="114" t="str">
        <f t="shared" si="10"/>
        <v/>
      </c>
      <c r="I710" s="17"/>
      <c r="J710" s="17"/>
      <c r="K710" s="17"/>
    </row>
    <row r="711" spans="1:11" x14ac:dyDescent="0.2">
      <c r="A711" s="115"/>
      <c r="B711" s="108"/>
      <c r="C711" s="107"/>
      <c r="D711" s="108"/>
      <c r="E711" s="108"/>
      <c r="F711" s="109"/>
      <c r="G711" s="131"/>
      <c r="H711" s="114" t="str">
        <f t="shared" si="10"/>
        <v/>
      </c>
      <c r="I711" s="17"/>
      <c r="J711" s="17"/>
      <c r="K711" s="17"/>
    </row>
    <row r="712" spans="1:11" x14ac:dyDescent="0.2">
      <c r="A712" s="115"/>
      <c r="B712" s="108"/>
      <c r="C712" s="94"/>
      <c r="D712" s="95"/>
      <c r="E712" s="95"/>
      <c r="F712" s="96"/>
      <c r="G712" s="100"/>
      <c r="H712" s="114" t="str">
        <f t="shared" si="10"/>
        <v/>
      </c>
      <c r="I712" s="17"/>
      <c r="J712" s="17"/>
      <c r="K712" s="17"/>
    </row>
    <row r="713" spans="1:11" x14ac:dyDescent="0.2">
      <c r="A713" s="115"/>
      <c r="B713" s="108"/>
      <c r="C713" s="107"/>
      <c r="D713" s="108"/>
      <c r="E713" s="108"/>
      <c r="F713" s="109"/>
      <c r="G713" s="131"/>
      <c r="H713" s="114" t="str">
        <f t="shared" si="10"/>
        <v/>
      </c>
      <c r="I713" s="17"/>
      <c r="J713" s="17"/>
      <c r="K713" s="17"/>
    </row>
    <row r="714" spans="1:11" x14ac:dyDescent="0.2">
      <c r="A714" s="115"/>
      <c r="B714" s="108"/>
      <c r="C714" s="94"/>
      <c r="D714" s="95"/>
      <c r="E714" s="95"/>
      <c r="F714" s="96"/>
      <c r="G714" s="97"/>
      <c r="H714" s="114" t="str">
        <f t="shared" si="10"/>
        <v/>
      </c>
      <c r="I714" s="17"/>
      <c r="J714" s="17"/>
      <c r="K714" s="17"/>
    </row>
    <row r="715" spans="1:11" x14ac:dyDescent="0.2">
      <c r="A715" s="115"/>
      <c r="B715" s="108"/>
      <c r="C715" s="107"/>
      <c r="D715" s="108"/>
      <c r="E715" s="108"/>
      <c r="F715" s="109"/>
      <c r="G715" s="110"/>
      <c r="H715" s="114" t="str">
        <f t="shared" si="10"/>
        <v/>
      </c>
      <c r="I715" s="17"/>
      <c r="J715" s="17"/>
      <c r="K715" s="17"/>
    </row>
    <row r="716" spans="1:11" x14ac:dyDescent="0.2">
      <c r="A716" s="115"/>
      <c r="B716" s="108"/>
      <c r="C716" s="94"/>
      <c r="D716" s="95"/>
      <c r="E716" s="95"/>
      <c r="F716" s="96"/>
      <c r="G716" s="97"/>
      <c r="H716" s="114" t="str">
        <f t="shared" si="10"/>
        <v/>
      </c>
      <c r="I716" s="17"/>
      <c r="J716" s="17"/>
      <c r="K716" s="17"/>
    </row>
    <row r="717" spans="1:11" x14ac:dyDescent="0.2">
      <c r="A717" s="115"/>
      <c r="B717" s="108"/>
      <c r="C717" s="107"/>
      <c r="D717" s="108"/>
      <c r="E717" s="108"/>
      <c r="F717" s="109"/>
      <c r="G717" s="110"/>
      <c r="H717" s="114" t="str">
        <f t="shared" si="10"/>
        <v/>
      </c>
      <c r="I717" s="17"/>
      <c r="J717" s="17"/>
      <c r="K717" s="17"/>
    </row>
    <row r="718" spans="1:11" x14ac:dyDescent="0.2">
      <c r="A718" s="115"/>
      <c r="B718" s="108"/>
      <c r="C718" s="94"/>
      <c r="D718" s="95"/>
      <c r="E718" s="95"/>
      <c r="F718" s="96"/>
      <c r="G718" s="97"/>
      <c r="H718" s="114" t="str">
        <f t="shared" si="10"/>
        <v/>
      </c>
      <c r="I718" s="17"/>
      <c r="J718" s="17"/>
      <c r="K718" s="17"/>
    </row>
    <row r="719" spans="1:11" x14ac:dyDescent="0.2">
      <c r="A719" s="115"/>
      <c r="B719" s="108"/>
      <c r="C719" s="107"/>
      <c r="D719" s="108"/>
      <c r="E719" s="108"/>
      <c r="F719" s="109"/>
      <c r="G719" s="110"/>
      <c r="H719" s="114" t="str">
        <f t="shared" si="10"/>
        <v/>
      </c>
      <c r="I719" s="17"/>
      <c r="J719" s="17"/>
      <c r="K719" s="17"/>
    </row>
    <row r="720" spans="1:11" x14ac:dyDescent="0.2">
      <c r="A720" s="115"/>
      <c r="B720" s="108"/>
      <c r="C720" s="94"/>
      <c r="D720" s="95"/>
      <c r="E720" s="95"/>
      <c r="F720" s="96"/>
      <c r="G720" s="97"/>
      <c r="H720" s="114" t="str">
        <f t="shared" si="10"/>
        <v/>
      </c>
      <c r="I720" s="17"/>
      <c r="J720" s="17"/>
      <c r="K720" s="17"/>
    </row>
    <row r="721" spans="1:11" x14ac:dyDescent="0.2">
      <c r="A721" s="115"/>
      <c r="B721" s="108"/>
      <c r="C721" s="107"/>
      <c r="D721" s="108"/>
      <c r="E721" s="108"/>
      <c r="F721" s="109"/>
      <c r="G721" s="97"/>
      <c r="H721" s="114" t="str">
        <f t="shared" si="10"/>
        <v/>
      </c>
      <c r="I721" s="17"/>
      <c r="J721" s="17"/>
      <c r="K721" s="17"/>
    </row>
    <row r="722" spans="1:11" x14ac:dyDescent="0.2">
      <c r="A722" s="115"/>
      <c r="B722" s="108"/>
      <c r="C722" s="94"/>
      <c r="D722" s="95"/>
      <c r="E722" s="95"/>
      <c r="F722" s="96"/>
      <c r="G722" s="97"/>
      <c r="H722" s="114" t="str">
        <f t="shared" si="10"/>
        <v/>
      </c>
      <c r="I722" s="17"/>
      <c r="J722" s="17"/>
      <c r="K722" s="17"/>
    </row>
    <row r="723" spans="1:11" x14ac:dyDescent="0.2">
      <c r="A723" s="115"/>
      <c r="B723" s="108"/>
      <c r="C723" s="107"/>
      <c r="D723" s="95"/>
      <c r="E723" s="95"/>
      <c r="F723" s="96"/>
      <c r="G723" s="97"/>
      <c r="H723" s="114" t="str">
        <f t="shared" si="10"/>
        <v/>
      </c>
      <c r="I723" s="17"/>
      <c r="J723" s="17"/>
      <c r="K723" s="17"/>
    </row>
    <row r="724" spans="1:11" x14ac:dyDescent="0.2">
      <c r="A724" s="115"/>
      <c r="B724" s="108"/>
      <c r="C724" s="94"/>
      <c r="D724" s="95"/>
      <c r="E724" s="95"/>
      <c r="F724" s="96"/>
      <c r="G724" s="97"/>
      <c r="H724" s="114" t="str">
        <f t="shared" si="10"/>
        <v/>
      </c>
      <c r="I724" s="17"/>
      <c r="J724" s="17"/>
      <c r="K724" s="17"/>
    </row>
    <row r="725" spans="1:11" x14ac:dyDescent="0.2">
      <c r="A725" s="115"/>
      <c r="B725" s="108"/>
      <c r="C725" s="107"/>
      <c r="D725" s="108"/>
      <c r="E725" s="108"/>
      <c r="F725" s="109"/>
      <c r="G725" s="110"/>
      <c r="H725" s="114" t="str">
        <f t="shared" si="10"/>
        <v/>
      </c>
      <c r="I725" s="17"/>
      <c r="J725" s="17"/>
      <c r="K725" s="17"/>
    </row>
    <row r="726" spans="1:11" x14ac:dyDescent="0.2">
      <c r="A726" s="115"/>
      <c r="B726" s="108"/>
      <c r="C726" s="94"/>
      <c r="D726" s="95"/>
      <c r="E726" s="95"/>
      <c r="F726" s="96"/>
      <c r="G726" s="97"/>
      <c r="H726" s="114" t="str">
        <f t="shared" si="10"/>
        <v/>
      </c>
      <c r="I726" s="17"/>
      <c r="J726" s="17"/>
      <c r="K726" s="17"/>
    </row>
    <row r="727" spans="1:11" x14ac:dyDescent="0.2">
      <c r="A727" s="115"/>
      <c r="B727" s="108"/>
      <c r="C727" s="107"/>
      <c r="D727" s="108"/>
      <c r="E727" s="108"/>
      <c r="F727" s="109"/>
      <c r="G727" s="110"/>
      <c r="H727" s="114" t="str">
        <f t="shared" si="10"/>
        <v/>
      </c>
      <c r="I727" s="17"/>
      <c r="J727" s="17"/>
      <c r="K727" s="17"/>
    </row>
    <row r="728" spans="1:11" x14ac:dyDescent="0.2">
      <c r="A728" s="115"/>
      <c r="B728" s="108"/>
      <c r="C728" s="94"/>
      <c r="D728" s="95"/>
      <c r="E728" s="95"/>
      <c r="F728" s="96"/>
      <c r="G728" s="97"/>
      <c r="H728" s="114" t="str">
        <f t="shared" si="10"/>
        <v/>
      </c>
      <c r="I728" s="17"/>
      <c r="J728" s="17"/>
      <c r="K728" s="17"/>
    </row>
    <row r="729" spans="1:11" x14ac:dyDescent="0.2">
      <c r="A729" s="115"/>
      <c r="B729" s="108"/>
      <c r="C729" s="107"/>
      <c r="D729" s="108"/>
      <c r="E729" s="108"/>
      <c r="F729" s="109"/>
      <c r="G729" s="110"/>
      <c r="H729" s="114" t="str">
        <f t="shared" si="10"/>
        <v/>
      </c>
      <c r="I729" s="17"/>
      <c r="J729" s="17"/>
      <c r="K729" s="17"/>
    </row>
    <row r="730" spans="1:11" x14ac:dyDescent="0.2">
      <c r="A730" s="115"/>
      <c r="B730" s="108"/>
      <c r="C730" s="94"/>
      <c r="D730" s="95"/>
      <c r="E730" s="95"/>
      <c r="F730" s="96"/>
      <c r="G730" s="97"/>
      <c r="H730" s="114" t="str">
        <f t="shared" si="10"/>
        <v/>
      </c>
      <c r="I730" s="17"/>
      <c r="J730" s="17"/>
      <c r="K730" s="17"/>
    </row>
    <row r="731" spans="1:11" x14ac:dyDescent="0.2">
      <c r="A731" s="115"/>
      <c r="B731" s="108"/>
      <c r="C731" s="107"/>
      <c r="D731" s="108"/>
      <c r="E731" s="108"/>
      <c r="F731" s="109"/>
      <c r="G731" s="110"/>
      <c r="H731" s="114" t="str">
        <f t="shared" si="10"/>
        <v/>
      </c>
      <c r="I731" s="17"/>
      <c r="J731" s="17"/>
      <c r="K731" s="17"/>
    </row>
    <row r="732" spans="1:11" x14ac:dyDescent="0.2">
      <c r="A732" s="115"/>
      <c r="B732" s="108"/>
      <c r="C732" s="94"/>
      <c r="D732" s="95"/>
      <c r="E732" s="95"/>
      <c r="F732" s="96"/>
      <c r="G732" s="97"/>
      <c r="H732" s="114" t="str">
        <f t="shared" si="10"/>
        <v/>
      </c>
      <c r="I732" s="17"/>
      <c r="J732" s="17"/>
      <c r="K732" s="17"/>
    </row>
    <row r="733" spans="1:11" x14ac:dyDescent="0.2">
      <c r="A733" s="115"/>
      <c r="B733" s="108"/>
      <c r="C733" s="107"/>
      <c r="D733" s="108"/>
      <c r="E733" s="108"/>
      <c r="F733" s="109"/>
      <c r="G733" s="110"/>
      <c r="H733" s="114" t="str">
        <f t="shared" si="10"/>
        <v/>
      </c>
      <c r="I733" s="17"/>
      <c r="J733" s="17"/>
      <c r="K733" s="17"/>
    </row>
    <row r="734" spans="1:11" x14ac:dyDescent="0.2">
      <c r="A734" s="115"/>
      <c r="B734" s="108"/>
      <c r="C734" s="94"/>
      <c r="D734" s="95"/>
      <c r="E734" s="95"/>
      <c r="F734" s="96"/>
      <c r="G734" s="97"/>
      <c r="H734" s="114" t="str">
        <f t="shared" si="10"/>
        <v/>
      </c>
      <c r="I734" s="17"/>
      <c r="J734" s="17"/>
      <c r="K734" s="17"/>
    </row>
    <row r="735" spans="1:11" x14ac:dyDescent="0.2">
      <c r="A735" s="115"/>
      <c r="B735" s="108"/>
      <c r="C735" s="107"/>
      <c r="D735" s="108"/>
      <c r="E735" s="108"/>
      <c r="F735" s="109"/>
      <c r="G735" s="110"/>
      <c r="H735" s="114" t="str">
        <f t="shared" si="10"/>
        <v/>
      </c>
      <c r="I735" s="17"/>
      <c r="J735" s="17"/>
      <c r="K735" s="17"/>
    </row>
    <row r="736" spans="1:11" x14ac:dyDescent="0.2">
      <c r="A736" s="115"/>
      <c r="B736" s="108"/>
      <c r="C736" s="94"/>
      <c r="D736" s="95"/>
      <c r="E736" s="95"/>
      <c r="F736" s="96"/>
      <c r="G736" s="97"/>
      <c r="H736" s="114" t="str">
        <f t="shared" si="10"/>
        <v/>
      </c>
      <c r="I736" s="17"/>
      <c r="J736" s="17"/>
      <c r="K736" s="17"/>
    </row>
    <row r="737" spans="1:11" x14ac:dyDescent="0.2">
      <c r="A737" s="115"/>
      <c r="B737" s="108"/>
      <c r="C737" s="107"/>
      <c r="D737" s="108"/>
      <c r="E737" s="108"/>
      <c r="F737" s="109"/>
      <c r="G737" s="110"/>
      <c r="H737" s="114" t="str">
        <f t="shared" si="10"/>
        <v/>
      </c>
      <c r="I737" s="17"/>
      <c r="J737" s="17"/>
      <c r="K737" s="17"/>
    </row>
    <row r="738" spans="1:11" x14ac:dyDescent="0.2">
      <c r="A738" s="115"/>
      <c r="B738" s="108"/>
      <c r="C738" s="94"/>
      <c r="D738" s="95"/>
      <c r="E738" s="95"/>
      <c r="F738" s="96"/>
      <c r="G738" s="97"/>
      <c r="H738" s="114" t="str">
        <f t="shared" si="10"/>
        <v/>
      </c>
      <c r="I738" s="17"/>
      <c r="J738" s="17"/>
      <c r="K738" s="17"/>
    </row>
    <row r="739" spans="1:11" x14ac:dyDescent="0.2">
      <c r="A739" s="115"/>
      <c r="B739" s="108"/>
      <c r="C739" s="107"/>
      <c r="D739" s="108"/>
      <c r="E739" s="108"/>
      <c r="F739" s="109"/>
      <c r="G739" s="110"/>
      <c r="H739" s="114" t="str">
        <f t="shared" si="10"/>
        <v/>
      </c>
      <c r="I739" s="17"/>
      <c r="J739" s="17"/>
      <c r="K739" s="17"/>
    </row>
    <row r="740" spans="1:11" x14ac:dyDescent="0.2">
      <c r="A740" s="115"/>
      <c r="B740" s="95"/>
      <c r="C740" s="94"/>
      <c r="D740" s="95"/>
      <c r="E740" s="95"/>
      <c r="F740" s="96"/>
      <c r="G740" s="97"/>
      <c r="H740" s="114" t="str">
        <f t="shared" si="10"/>
        <v/>
      </c>
      <c r="I740" s="17"/>
      <c r="J740" s="17"/>
      <c r="K740" s="17"/>
    </row>
    <row r="741" spans="1:11" x14ac:dyDescent="0.2">
      <c r="A741" s="115"/>
      <c r="B741" s="108"/>
      <c r="C741" s="107"/>
      <c r="D741" s="108"/>
      <c r="E741" s="108"/>
      <c r="F741" s="109"/>
      <c r="G741" s="110"/>
      <c r="H741" s="114" t="str">
        <f t="shared" si="10"/>
        <v/>
      </c>
      <c r="I741" s="17"/>
      <c r="J741" s="17"/>
      <c r="K741" s="17"/>
    </row>
    <row r="742" spans="1:11" x14ac:dyDescent="0.2">
      <c r="A742" s="115"/>
      <c r="B742" s="95"/>
      <c r="C742" s="94"/>
      <c r="D742" s="95"/>
      <c r="E742" s="95"/>
      <c r="F742" s="96"/>
      <c r="G742" s="97"/>
      <c r="H742" s="114" t="str">
        <f t="shared" si="10"/>
        <v/>
      </c>
      <c r="I742" s="17"/>
      <c r="J742" s="17"/>
      <c r="K742" s="17"/>
    </row>
    <row r="743" spans="1:11" x14ac:dyDescent="0.2">
      <c r="A743" s="115"/>
      <c r="B743" s="108"/>
      <c r="C743" s="107"/>
      <c r="D743" s="108"/>
      <c r="E743" s="108"/>
      <c r="F743" s="109"/>
      <c r="G743" s="110"/>
      <c r="H743" s="114" t="str">
        <f t="shared" si="10"/>
        <v/>
      </c>
      <c r="I743" s="17"/>
      <c r="J743" s="17"/>
      <c r="K743" s="17"/>
    </row>
    <row r="744" spans="1:11" x14ac:dyDescent="0.2">
      <c r="A744" s="115"/>
      <c r="B744" s="95"/>
      <c r="C744" s="94"/>
      <c r="D744" s="95"/>
      <c r="E744" s="95"/>
      <c r="F744" s="96"/>
      <c r="G744" s="110"/>
      <c r="H744" s="114" t="str">
        <f t="shared" si="10"/>
        <v/>
      </c>
      <c r="I744" s="17"/>
      <c r="J744" s="17"/>
      <c r="K744" s="17"/>
    </row>
    <row r="745" spans="1:11" x14ac:dyDescent="0.2">
      <c r="A745" s="115"/>
      <c r="B745" s="108"/>
      <c r="C745" s="107"/>
      <c r="D745" s="108"/>
      <c r="E745" s="108"/>
      <c r="F745" s="109"/>
      <c r="G745" s="110"/>
      <c r="H745" s="114" t="str">
        <f t="shared" si="10"/>
        <v/>
      </c>
      <c r="I745" s="17"/>
      <c r="J745" s="17"/>
      <c r="K745" s="17"/>
    </row>
    <row r="746" spans="1:11" x14ac:dyDescent="0.2">
      <c r="A746" s="115"/>
      <c r="B746" s="95"/>
      <c r="C746" s="94"/>
      <c r="D746" s="95"/>
      <c r="E746" s="95"/>
      <c r="F746" s="96"/>
      <c r="G746" s="97"/>
      <c r="H746" s="114" t="str">
        <f t="shared" si="10"/>
        <v/>
      </c>
      <c r="I746" s="17"/>
      <c r="J746" s="17"/>
      <c r="K746" s="17"/>
    </row>
    <row r="747" spans="1:11" x14ac:dyDescent="0.2">
      <c r="A747" s="115"/>
      <c r="B747" s="108"/>
      <c r="C747" s="107"/>
      <c r="D747" s="108"/>
      <c r="E747" s="108"/>
      <c r="F747" s="109"/>
      <c r="G747" s="110"/>
      <c r="H747" s="114" t="str">
        <f t="shared" si="10"/>
        <v/>
      </c>
      <c r="I747" s="17"/>
      <c r="J747" s="17"/>
      <c r="K747" s="17"/>
    </row>
    <row r="748" spans="1:11" x14ac:dyDescent="0.2">
      <c r="A748" s="115"/>
      <c r="B748" s="95"/>
      <c r="C748" s="94"/>
      <c r="D748" s="95"/>
      <c r="E748" s="95"/>
      <c r="F748" s="96"/>
      <c r="G748" s="97"/>
      <c r="H748" s="114" t="str">
        <f t="shared" si="10"/>
        <v/>
      </c>
      <c r="I748" s="17"/>
      <c r="J748" s="17"/>
      <c r="K748" s="17"/>
    </row>
    <row r="749" spans="1:11" x14ac:dyDescent="0.2">
      <c r="A749" s="115"/>
      <c r="B749" s="108"/>
      <c r="C749" s="107"/>
      <c r="D749" s="108"/>
      <c r="E749" s="108"/>
      <c r="F749" s="109"/>
      <c r="G749" s="97"/>
      <c r="H749" s="114" t="str">
        <f t="shared" si="10"/>
        <v/>
      </c>
      <c r="I749" s="17"/>
      <c r="J749" s="17"/>
      <c r="K749" s="17"/>
    </row>
    <row r="750" spans="1:11" x14ac:dyDescent="0.2">
      <c r="A750" s="115"/>
      <c r="B750" s="95"/>
      <c r="C750" s="94"/>
      <c r="D750" s="95"/>
      <c r="E750" s="95"/>
      <c r="F750" s="96"/>
      <c r="G750" s="97"/>
      <c r="H750" s="114" t="str">
        <f t="shared" si="10"/>
        <v/>
      </c>
      <c r="I750" s="17"/>
      <c r="J750" s="17"/>
      <c r="K750" s="17"/>
    </row>
    <row r="751" spans="1:11" x14ac:dyDescent="0.2">
      <c r="A751" s="115"/>
      <c r="B751" s="108"/>
      <c r="C751" s="107"/>
      <c r="D751" s="108"/>
      <c r="E751" s="108"/>
      <c r="F751" s="109"/>
      <c r="G751" s="110"/>
      <c r="H751" s="114" t="str">
        <f t="shared" si="10"/>
        <v/>
      </c>
      <c r="I751" s="17"/>
      <c r="J751" s="17"/>
      <c r="K751" s="17"/>
    </row>
    <row r="752" spans="1:11" x14ac:dyDescent="0.2">
      <c r="A752" s="115"/>
      <c r="B752" s="95"/>
      <c r="C752" s="94"/>
      <c r="D752" s="95"/>
      <c r="E752" s="95"/>
      <c r="F752" s="96"/>
      <c r="G752" s="97"/>
      <c r="H752" s="114" t="str">
        <f t="shared" si="10"/>
        <v/>
      </c>
      <c r="I752" s="17"/>
      <c r="J752" s="17"/>
      <c r="K752" s="17"/>
    </row>
    <row r="753" spans="1:11" x14ac:dyDescent="0.2">
      <c r="A753" s="115"/>
      <c r="B753" s="108"/>
      <c r="C753" s="107"/>
      <c r="D753" s="108"/>
      <c r="E753" s="108"/>
      <c r="F753" s="109"/>
      <c r="G753" s="110"/>
      <c r="H753" s="114" t="str">
        <f t="shared" si="10"/>
        <v/>
      </c>
      <c r="I753" s="17"/>
      <c r="J753" s="17"/>
      <c r="K753" s="17"/>
    </row>
    <row r="754" spans="1:11" x14ac:dyDescent="0.2">
      <c r="A754" s="115"/>
      <c r="B754" s="95"/>
      <c r="C754" s="94"/>
      <c r="D754" s="95"/>
      <c r="E754" s="95"/>
      <c r="F754" s="96"/>
      <c r="G754" s="97"/>
      <c r="H754" s="114" t="str">
        <f t="shared" si="10"/>
        <v/>
      </c>
      <c r="I754" s="17"/>
      <c r="J754" s="17"/>
      <c r="K754" s="17"/>
    </row>
    <row r="755" spans="1:11" x14ac:dyDescent="0.2">
      <c r="A755" s="115"/>
      <c r="B755" s="108"/>
      <c r="C755" s="107"/>
      <c r="D755" s="108"/>
      <c r="E755" s="108"/>
      <c r="F755" s="109"/>
      <c r="G755" s="110"/>
      <c r="H755" s="114" t="str">
        <f t="shared" si="10"/>
        <v/>
      </c>
      <c r="I755" s="17"/>
      <c r="J755" s="17"/>
      <c r="K755" s="17"/>
    </row>
    <row r="756" spans="1:11" x14ac:dyDescent="0.2">
      <c r="A756" s="115"/>
      <c r="B756" s="95"/>
      <c r="C756" s="94"/>
      <c r="D756" s="95"/>
      <c r="E756" s="95"/>
      <c r="F756" s="96"/>
      <c r="G756" s="97"/>
      <c r="H756" s="114" t="str">
        <f t="shared" si="10"/>
        <v/>
      </c>
      <c r="I756" s="17"/>
      <c r="J756" s="17"/>
      <c r="K756" s="17"/>
    </row>
    <row r="757" spans="1:11" x14ac:dyDescent="0.2">
      <c r="A757" s="115"/>
      <c r="B757" s="108"/>
      <c r="C757" s="107"/>
      <c r="D757" s="108"/>
      <c r="E757" s="108"/>
      <c r="F757" s="109"/>
      <c r="G757" s="110"/>
      <c r="H757" s="114" t="str">
        <f t="shared" si="10"/>
        <v/>
      </c>
      <c r="I757" s="17"/>
      <c r="J757" s="17"/>
      <c r="K757" s="17"/>
    </row>
    <row r="758" spans="1:11" x14ac:dyDescent="0.2">
      <c r="A758" s="115"/>
      <c r="B758" s="95"/>
      <c r="C758" s="94"/>
      <c r="D758" s="95"/>
      <c r="E758" s="95"/>
      <c r="F758" s="96"/>
      <c r="G758" s="97"/>
      <c r="H758" s="114" t="str">
        <f t="shared" si="10"/>
        <v/>
      </c>
      <c r="I758" s="17"/>
      <c r="J758" s="17"/>
      <c r="K758" s="17"/>
    </row>
    <row r="759" spans="1:11" x14ac:dyDescent="0.2">
      <c r="A759" s="115"/>
      <c r="B759" s="108"/>
      <c r="C759" s="107"/>
      <c r="D759" s="108"/>
      <c r="E759" s="108"/>
      <c r="F759" s="109"/>
      <c r="G759" s="110"/>
      <c r="H759" s="114" t="str">
        <f t="shared" si="10"/>
        <v/>
      </c>
      <c r="I759" s="17"/>
      <c r="J759" s="17"/>
      <c r="K759" s="17"/>
    </row>
    <row r="760" spans="1:11" x14ac:dyDescent="0.2">
      <c r="A760" s="115"/>
      <c r="B760" s="95"/>
      <c r="C760" s="94"/>
      <c r="D760" s="95"/>
      <c r="E760" s="95"/>
      <c r="F760" s="96"/>
      <c r="G760" s="97"/>
      <c r="H760" s="114" t="str">
        <f t="shared" si="10"/>
        <v/>
      </c>
      <c r="I760" s="17"/>
      <c r="J760" s="17"/>
      <c r="K760" s="17"/>
    </row>
    <row r="761" spans="1:11" x14ac:dyDescent="0.2">
      <c r="A761" s="115"/>
      <c r="B761" s="108"/>
      <c r="C761" s="107"/>
      <c r="D761" s="108"/>
      <c r="E761" s="108"/>
      <c r="F761" s="109"/>
      <c r="G761" s="110"/>
      <c r="H761" s="114" t="str">
        <f t="shared" si="10"/>
        <v/>
      </c>
      <c r="I761" s="17"/>
      <c r="J761" s="17"/>
      <c r="K761" s="17"/>
    </row>
    <row r="762" spans="1:11" x14ac:dyDescent="0.2">
      <c r="A762" s="115"/>
      <c r="B762" s="95"/>
      <c r="C762" s="94"/>
      <c r="D762" s="95"/>
      <c r="E762" s="95"/>
      <c r="F762" s="96"/>
      <c r="G762" s="97"/>
      <c r="H762" s="114" t="str">
        <f t="shared" si="10"/>
        <v/>
      </c>
      <c r="I762" s="17"/>
      <c r="J762" s="17"/>
      <c r="K762" s="17"/>
    </row>
    <row r="763" spans="1:11" x14ac:dyDescent="0.2">
      <c r="A763" s="115"/>
      <c r="B763" s="108"/>
      <c r="C763" s="107"/>
      <c r="D763" s="95"/>
      <c r="E763" s="95"/>
      <c r="F763" s="96"/>
      <c r="G763" s="97"/>
      <c r="H763" s="114" t="str">
        <f t="shared" si="10"/>
        <v/>
      </c>
      <c r="I763" s="17"/>
      <c r="J763" s="17"/>
      <c r="K763" s="17"/>
    </row>
    <row r="764" spans="1:11" x14ac:dyDescent="0.2">
      <c r="A764" s="115"/>
      <c r="B764" s="95"/>
      <c r="C764" s="94"/>
      <c r="D764" s="95"/>
      <c r="E764" s="95"/>
      <c r="F764" s="96"/>
      <c r="G764" s="97"/>
      <c r="H764" s="114" t="str">
        <f t="shared" si="10"/>
        <v/>
      </c>
      <c r="I764" s="17"/>
      <c r="J764" s="17"/>
      <c r="K764" s="17"/>
    </row>
    <row r="765" spans="1:11" x14ac:dyDescent="0.2">
      <c r="A765" s="115"/>
      <c r="B765" s="108"/>
      <c r="C765" s="107"/>
      <c r="D765" s="108"/>
      <c r="E765" s="108"/>
      <c r="F765" s="109"/>
      <c r="G765" s="110"/>
      <c r="H765" s="114" t="str">
        <f t="shared" si="10"/>
        <v/>
      </c>
      <c r="I765" s="17"/>
      <c r="J765" s="17"/>
      <c r="K765" s="17"/>
    </row>
    <row r="766" spans="1:11" x14ac:dyDescent="0.2">
      <c r="A766" s="115"/>
      <c r="B766" s="95"/>
      <c r="C766" s="94"/>
      <c r="D766" s="95"/>
      <c r="E766" s="95"/>
      <c r="F766" s="96"/>
      <c r="G766" s="97"/>
      <c r="H766" s="114" t="str">
        <f t="shared" si="10"/>
        <v/>
      </c>
      <c r="I766" s="17"/>
      <c r="J766" s="17"/>
      <c r="K766" s="17"/>
    </row>
    <row r="767" spans="1:11" x14ac:dyDescent="0.2">
      <c r="A767" s="115"/>
      <c r="B767" s="108"/>
      <c r="C767" s="107"/>
      <c r="D767" s="108"/>
      <c r="E767" s="108"/>
      <c r="F767" s="109"/>
      <c r="G767" s="110"/>
      <c r="H767" s="114" t="str">
        <f t="shared" si="10"/>
        <v/>
      </c>
      <c r="I767" s="17"/>
      <c r="J767" s="17"/>
      <c r="K767" s="17"/>
    </row>
    <row r="768" spans="1:11" x14ac:dyDescent="0.2">
      <c r="A768" s="115"/>
      <c r="B768" s="95"/>
      <c r="C768" s="94"/>
      <c r="D768" s="95"/>
      <c r="E768" s="95"/>
      <c r="F768" s="96"/>
      <c r="G768" s="97"/>
      <c r="H768" s="114" t="str">
        <f t="shared" si="10"/>
        <v/>
      </c>
      <c r="I768" s="17"/>
      <c r="J768" s="17"/>
      <c r="K768" s="17"/>
    </row>
    <row r="769" spans="1:11" x14ac:dyDescent="0.2">
      <c r="A769" s="115"/>
      <c r="B769" s="108"/>
      <c r="C769" s="107"/>
      <c r="D769" s="108"/>
      <c r="E769" s="108"/>
      <c r="F769" s="109"/>
      <c r="G769" s="110"/>
      <c r="H769" s="114" t="str">
        <f t="shared" si="10"/>
        <v/>
      </c>
      <c r="I769" s="17"/>
      <c r="J769" s="17"/>
      <c r="K769" s="17"/>
    </row>
    <row r="770" spans="1:11" x14ac:dyDescent="0.2">
      <c r="A770" s="115"/>
      <c r="B770" s="95"/>
      <c r="C770" s="94"/>
      <c r="D770" s="95"/>
      <c r="E770" s="95"/>
      <c r="F770" s="96"/>
      <c r="G770" s="97"/>
      <c r="H770" s="114" t="str">
        <f t="shared" si="10"/>
        <v/>
      </c>
      <c r="I770" s="17"/>
      <c r="J770" s="17"/>
      <c r="K770" s="17"/>
    </row>
    <row r="771" spans="1:11" x14ac:dyDescent="0.2">
      <c r="A771" s="115"/>
      <c r="B771" s="108"/>
      <c r="C771" s="107"/>
      <c r="D771" s="108"/>
      <c r="E771" s="108"/>
      <c r="F771" s="109"/>
      <c r="G771" s="110"/>
      <c r="H771" s="114" t="str">
        <f t="shared" si="10"/>
        <v/>
      </c>
      <c r="I771" s="17"/>
      <c r="J771" s="17"/>
      <c r="K771" s="17"/>
    </row>
    <row r="772" spans="1:11" x14ac:dyDescent="0.2">
      <c r="A772" s="115"/>
      <c r="B772" s="95"/>
      <c r="C772" s="94"/>
      <c r="D772" s="95"/>
      <c r="E772" s="95"/>
      <c r="F772" s="96"/>
      <c r="G772" s="97"/>
      <c r="H772" s="114" t="str">
        <f t="shared" ref="H772:H835" si="11">IF(A772&lt;&gt;"", EOMONTH(A772, -1) + 1, "")</f>
        <v/>
      </c>
      <c r="I772" s="17"/>
      <c r="J772" s="17"/>
      <c r="K772" s="17"/>
    </row>
    <row r="773" spans="1:11" x14ac:dyDescent="0.2">
      <c r="A773" s="115"/>
      <c r="B773" s="108"/>
      <c r="C773" s="107"/>
      <c r="D773" s="108"/>
      <c r="E773" s="108"/>
      <c r="F773" s="109"/>
      <c r="G773" s="110"/>
      <c r="H773" s="114" t="str">
        <f t="shared" si="11"/>
        <v/>
      </c>
      <c r="I773" s="17"/>
      <c r="J773" s="17"/>
      <c r="K773" s="17"/>
    </row>
    <row r="774" spans="1:11" x14ac:dyDescent="0.2">
      <c r="A774" s="115"/>
      <c r="B774" s="108"/>
      <c r="C774" s="94"/>
      <c r="D774" s="95"/>
      <c r="E774" s="95"/>
      <c r="F774" s="96"/>
      <c r="G774" s="100"/>
      <c r="H774" s="114" t="str">
        <f t="shared" si="11"/>
        <v/>
      </c>
      <c r="I774" s="17"/>
      <c r="J774" s="17"/>
      <c r="K774" s="17"/>
    </row>
    <row r="775" spans="1:11" x14ac:dyDescent="0.2">
      <c r="A775" s="115"/>
      <c r="B775" s="95"/>
      <c r="C775" s="107"/>
      <c r="D775" s="108"/>
      <c r="E775" s="108"/>
      <c r="F775" s="109"/>
      <c r="G775" s="131"/>
      <c r="H775" s="114" t="str">
        <f t="shared" si="11"/>
        <v/>
      </c>
      <c r="I775" s="17"/>
      <c r="J775" s="17"/>
      <c r="K775" s="17"/>
    </row>
    <row r="776" spans="1:11" x14ac:dyDescent="0.2">
      <c r="A776" s="115"/>
      <c r="B776" s="108"/>
      <c r="C776" s="101"/>
      <c r="D776" s="95"/>
      <c r="E776" s="95"/>
      <c r="F776" s="96"/>
      <c r="G776" s="97"/>
      <c r="H776" s="114" t="str">
        <f t="shared" si="11"/>
        <v/>
      </c>
      <c r="I776" s="17"/>
      <c r="J776" s="17"/>
      <c r="K776" s="17"/>
    </row>
    <row r="777" spans="1:11" x14ac:dyDescent="0.2">
      <c r="A777" s="115"/>
      <c r="B777" s="108"/>
      <c r="C777" s="132"/>
      <c r="D777" s="108"/>
      <c r="E777" s="108"/>
      <c r="F777" s="109"/>
      <c r="G777" s="110"/>
      <c r="H777" s="114" t="str">
        <f t="shared" si="11"/>
        <v/>
      </c>
      <c r="I777" s="17"/>
      <c r="J777" s="17"/>
      <c r="K777" s="17"/>
    </row>
    <row r="778" spans="1:11" x14ac:dyDescent="0.2">
      <c r="A778" s="115"/>
      <c r="B778" s="108"/>
      <c r="C778" s="94"/>
      <c r="D778" s="95"/>
      <c r="E778" s="95"/>
      <c r="F778" s="96"/>
      <c r="G778" s="97"/>
      <c r="H778" s="114" t="str">
        <f t="shared" si="11"/>
        <v/>
      </c>
      <c r="I778" s="17"/>
      <c r="J778" s="17"/>
      <c r="K778" s="17"/>
    </row>
    <row r="779" spans="1:11" x14ac:dyDescent="0.2">
      <c r="A779" s="115"/>
      <c r="B779" s="108"/>
      <c r="C779" s="107"/>
      <c r="D779" s="108"/>
      <c r="E779" s="108"/>
      <c r="F779" s="109"/>
      <c r="G779" s="110"/>
      <c r="H779" s="114" t="str">
        <f t="shared" si="11"/>
        <v/>
      </c>
      <c r="I779" s="17"/>
      <c r="J779" s="17"/>
      <c r="K779" s="17"/>
    </row>
    <row r="780" spans="1:11" x14ac:dyDescent="0.2">
      <c r="A780" s="115"/>
      <c r="B780" s="108"/>
      <c r="C780" s="94"/>
      <c r="D780" s="95"/>
      <c r="E780" s="95"/>
      <c r="F780" s="96"/>
      <c r="G780" s="97"/>
      <c r="H780" s="114" t="str">
        <f t="shared" si="11"/>
        <v/>
      </c>
      <c r="I780" s="17"/>
      <c r="J780" s="17"/>
      <c r="K780" s="17"/>
    </row>
    <row r="781" spans="1:11" x14ac:dyDescent="0.2">
      <c r="A781" s="115"/>
      <c r="B781" s="108"/>
      <c r="C781" s="107"/>
      <c r="D781" s="108"/>
      <c r="E781" s="108"/>
      <c r="F781" s="109"/>
      <c r="G781" s="110"/>
      <c r="H781" s="114" t="str">
        <f t="shared" si="11"/>
        <v/>
      </c>
      <c r="I781" s="17"/>
      <c r="J781" s="17"/>
      <c r="K781" s="17"/>
    </row>
    <row r="782" spans="1:11" x14ac:dyDescent="0.2">
      <c r="A782" s="115"/>
      <c r="B782" s="108"/>
      <c r="C782" s="94"/>
      <c r="D782" s="108"/>
      <c r="E782" s="108"/>
      <c r="F782" s="109"/>
      <c r="G782" s="110"/>
      <c r="H782" s="114" t="str">
        <f t="shared" si="11"/>
        <v/>
      </c>
      <c r="I782" s="17"/>
      <c r="J782" s="17"/>
      <c r="K782" s="17"/>
    </row>
    <row r="783" spans="1:11" x14ac:dyDescent="0.2">
      <c r="A783" s="115"/>
      <c r="B783" s="108"/>
      <c r="C783" s="107"/>
      <c r="D783" s="108"/>
      <c r="E783" s="108"/>
      <c r="F783" s="109"/>
      <c r="G783" s="110"/>
      <c r="H783" s="114" t="str">
        <f t="shared" si="11"/>
        <v/>
      </c>
      <c r="I783" s="17"/>
      <c r="J783" s="17"/>
      <c r="K783" s="17"/>
    </row>
    <row r="784" spans="1:11" x14ac:dyDescent="0.2">
      <c r="A784" s="115"/>
      <c r="B784" s="108"/>
      <c r="C784" s="94"/>
      <c r="D784" s="95"/>
      <c r="E784" s="108"/>
      <c r="F784" s="96"/>
      <c r="G784" s="97"/>
      <c r="H784" s="114" t="str">
        <f t="shared" si="11"/>
        <v/>
      </c>
      <c r="I784" s="17"/>
      <c r="J784" s="17"/>
      <c r="K784" s="17"/>
    </row>
    <row r="785" spans="1:11" x14ac:dyDescent="0.2">
      <c r="A785" s="115"/>
      <c r="B785" s="108"/>
      <c r="C785" s="107"/>
      <c r="D785" s="108"/>
      <c r="E785" s="108"/>
      <c r="F785" s="109"/>
      <c r="G785" s="110"/>
      <c r="H785" s="114" t="str">
        <f t="shared" si="11"/>
        <v/>
      </c>
      <c r="I785" s="17"/>
      <c r="J785" s="17"/>
      <c r="K785" s="17"/>
    </row>
    <row r="786" spans="1:11" x14ac:dyDescent="0.2">
      <c r="A786" s="115"/>
      <c r="B786" s="108"/>
      <c r="C786" s="94"/>
      <c r="D786" s="95"/>
      <c r="E786" s="95"/>
      <c r="F786" s="96"/>
      <c r="G786" s="110"/>
      <c r="H786" s="114" t="str">
        <f t="shared" si="11"/>
        <v/>
      </c>
      <c r="I786" s="17"/>
      <c r="J786" s="17"/>
      <c r="K786" s="17"/>
    </row>
    <row r="787" spans="1:11" x14ac:dyDescent="0.2">
      <c r="A787" s="115"/>
      <c r="B787" s="108"/>
      <c r="C787" s="107"/>
      <c r="D787" s="108"/>
      <c r="E787" s="108"/>
      <c r="F787" s="109"/>
      <c r="G787" s="110"/>
      <c r="H787" s="114" t="str">
        <f t="shared" si="11"/>
        <v/>
      </c>
      <c r="I787" s="17"/>
      <c r="J787" s="17"/>
      <c r="K787" s="17"/>
    </row>
    <row r="788" spans="1:11" x14ac:dyDescent="0.2">
      <c r="A788" s="115"/>
      <c r="B788" s="108"/>
      <c r="C788" s="94"/>
      <c r="D788" s="95"/>
      <c r="E788" s="95"/>
      <c r="F788" s="96"/>
      <c r="G788" s="97"/>
      <c r="H788" s="114" t="str">
        <f t="shared" si="11"/>
        <v/>
      </c>
      <c r="I788" s="17"/>
      <c r="J788" s="17"/>
      <c r="K788" s="17"/>
    </row>
    <row r="789" spans="1:11" x14ac:dyDescent="0.2">
      <c r="A789" s="115"/>
      <c r="B789" s="108"/>
      <c r="C789" s="107"/>
      <c r="D789" s="108"/>
      <c r="E789" s="108"/>
      <c r="F789" s="109"/>
      <c r="G789" s="110"/>
      <c r="H789" s="114" t="str">
        <f t="shared" si="11"/>
        <v/>
      </c>
      <c r="I789" s="17"/>
      <c r="J789" s="17"/>
      <c r="K789" s="17"/>
    </row>
    <row r="790" spans="1:11" x14ac:dyDescent="0.2">
      <c r="A790" s="115"/>
      <c r="B790" s="108"/>
      <c r="C790" s="94"/>
      <c r="D790" s="95"/>
      <c r="E790" s="95"/>
      <c r="F790" s="96"/>
      <c r="G790" s="97"/>
      <c r="H790" s="114" t="str">
        <f t="shared" si="11"/>
        <v/>
      </c>
      <c r="I790" s="17"/>
      <c r="J790" s="17"/>
      <c r="K790" s="17"/>
    </row>
    <row r="791" spans="1:11" x14ac:dyDescent="0.2">
      <c r="A791" s="115"/>
      <c r="B791" s="108"/>
      <c r="C791" s="107"/>
      <c r="D791" s="108"/>
      <c r="E791" s="108"/>
      <c r="F791" s="109"/>
      <c r="G791" s="110"/>
      <c r="H791" s="114" t="str">
        <f t="shared" si="11"/>
        <v/>
      </c>
      <c r="I791" s="17"/>
      <c r="J791" s="17"/>
      <c r="K791" s="17"/>
    </row>
    <row r="792" spans="1:11" x14ac:dyDescent="0.2">
      <c r="A792" s="115"/>
      <c r="B792" s="108"/>
      <c r="C792" s="94"/>
      <c r="D792" s="95"/>
      <c r="E792" s="95"/>
      <c r="F792" s="96"/>
      <c r="G792" s="97"/>
      <c r="H792" s="114" t="str">
        <f t="shared" si="11"/>
        <v/>
      </c>
      <c r="I792" s="17"/>
      <c r="J792" s="17"/>
      <c r="K792" s="17"/>
    </row>
    <row r="793" spans="1:11" x14ac:dyDescent="0.2">
      <c r="A793" s="115"/>
      <c r="B793" s="108"/>
      <c r="C793" s="107"/>
      <c r="D793" s="108"/>
      <c r="E793" s="108"/>
      <c r="F793" s="109"/>
      <c r="G793" s="110"/>
      <c r="H793" s="114" t="str">
        <f t="shared" si="11"/>
        <v/>
      </c>
      <c r="I793" s="17"/>
      <c r="J793" s="17"/>
      <c r="K793" s="17"/>
    </row>
    <row r="794" spans="1:11" x14ac:dyDescent="0.2">
      <c r="A794" s="115"/>
      <c r="B794" s="108"/>
      <c r="C794" s="94"/>
      <c r="D794" s="95"/>
      <c r="E794" s="95"/>
      <c r="F794" s="96"/>
      <c r="G794" s="97"/>
      <c r="H794" s="114" t="str">
        <f t="shared" si="11"/>
        <v/>
      </c>
      <c r="I794" s="17"/>
      <c r="J794" s="17"/>
      <c r="K794" s="17"/>
    </row>
    <row r="795" spans="1:11" x14ac:dyDescent="0.2">
      <c r="A795" s="115"/>
      <c r="B795" s="108"/>
      <c r="C795" s="107"/>
      <c r="D795" s="108"/>
      <c r="E795" s="108"/>
      <c r="F795" s="109"/>
      <c r="G795" s="110"/>
      <c r="H795" s="114" t="str">
        <f t="shared" si="11"/>
        <v/>
      </c>
      <c r="I795" s="17"/>
      <c r="J795" s="17"/>
      <c r="K795" s="17"/>
    </row>
    <row r="796" spans="1:11" x14ac:dyDescent="0.2">
      <c r="A796" s="115"/>
      <c r="B796" s="108"/>
      <c r="C796" s="94"/>
      <c r="D796" s="95"/>
      <c r="E796" s="95"/>
      <c r="F796" s="96"/>
      <c r="G796" s="97"/>
      <c r="H796" s="114" t="str">
        <f t="shared" si="11"/>
        <v/>
      </c>
      <c r="I796" s="17"/>
      <c r="J796" s="17"/>
      <c r="K796" s="17"/>
    </row>
    <row r="797" spans="1:11" x14ac:dyDescent="0.2">
      <c r="A797" s="115"/>
      <c r="B797" s="108"/>
      <c r="C797" s="107"/>
      <c r="D797" s="108"/>
      <c r="E797" s="108"/>
      <c r="F797" s="109"/>
      <c r="G797" s="110"/>
      <c r="H797" s="114" t="str">
        <f t="shared" si="11"/>
        <v/>
      </c>
      <c r="I797" s="17"/>
      <c r="J797" s="17"/>
      <c r="K797" s="17"/>
    </row>
    <row r="798" spans="1:11" x14ac:dyDescent="0.2">
      <c r="A798" s="115"/>
      <c r="B798" s="108"/>
      <c r="C798" s="94"/>
      <c r="D798" s="95"/>
      <c r="E798" s="95"/>
      <c r="F798" s="96"/>
      <c r="G798" s="97"/>
      <c r="H798" s="114" t="str">
        <f t="shared" si="11"/>
        <v/>
      </c>
      <c r="I798" s="17"/>
      <c r="J798" s="17"/>
      <c r="K798" s="17"/>
    </row>
    <row r="799" spans="1:11" x14ac:dyDescent="0.2">
      <c r="A799" s="115"/>
      <c r="B799" s="108"/>
      <c r="C799" s="107"/>
      <c r="D799" s="108"/>
      <c r="E799" s="108"/>
      <c r="F799" s="109"/>
      <c r="G799" s="110"/>
      <c r="H799" s="114" t="str">
        <f t="shared" si="11"/>
        <v/>
      </c>
      <c r="I799" s="17"/>
      <c r="J799" s="17"/>
      <c r="K799" s="17"/>
    </row>
    <row r="800" spans="1:11" x14ac:dyDescent="0.2">
      <c r="A800" s="115"/>
      <c r="B800" s="108"/>
      <c r="C800" s="94"/>
      <c r="D800" s="95"/>
      <c r="E800" s="95"/>
      <c r="F800" s="96"/>
      <c r="G800" s="97"/>
      <c r="H800" s="114" t="str">
        <f t="shared" si="11"/>
        <v/>
      </c>
      <c r="I800" s="17"/>
      <c r="J800" s="17"/>
      <c r="K800" s="17"/>
    </row>
    <row r="801" spans="1:11" x14ac:dyDescent="0.2">
      <c r="A801" s="115"/>
      <c r="B801" s="108"/>
      <c r="C801" s="107"/>
      <c r="D801" s="108"/>
      <c r="E801" s="108"/>
      <c r="F801" s="109"/>
      <c r="G801" s="110"/>
      <c r="H801" s="114" t="str">
        <f t="shared" si="11"/>
        <v/>
      </c>
      <c r="I801" s="17"/>
      <c r="J801" s="17"/>
      <c r="K801" s="17"/>
    </row>
    <row r="802" spans="1:11" x14ac:dyDescent="0.2">
      <c r="A802" s="115"/>
      <c r="B802" s="108"/>
      <c r="C802" s="94"/>
      <c r="D802" s="95"/>
      <c r="E802" s="95"/>
      <c r="F802" s="96"/>
      <c r="G802" s="97"/>
      <c r="H802" s="114" t="str">
        <f t="shared" si="11"/>
        <v/>
      </c>
      <c r="I802" s="17"/>
      <c r="J802" s="17"/>
      <c r="K802" s="17"/>
    </row>
    <row r="803" spans="1:11" x14ac:dyDescent="0.2">
      <c r="A803" s="115"/>
      <c r="B803" s="108"/>
      <c r="C803" s="132"/>
      <c r="D803" s="108"/>
      <c r="E803" s="108"/>
      <c r="F803" s="109"/>
      <c r="G803" s="110"/>
      <c r="H803" s="114" t="str">
        <f t="shared" si="11"/>
        <v/>
      </c>
      <c r="I803" s="17"/>
      <c r="J803" s="17"/>
      <c r="K803" s="17"/>
    </row>
    <row r="804" spans="1:11" x14ac:dyDescent="0.2">
      <c r="A804" s="115"/>
      <c r="B804" s="108"/>
      <c r="C804" s="101"/>
      <c r="D804" s="95"/>
      <c r="E804" s="95"/>
      <c r="F804" s="96"/>
      <c r="G804" s="97"/>
      <c r="H804" s="114" t="str">
        <f t="shared" si="11"/>
        <v/>
      </c>
      <c r="I804" s="17"/>
      <c r="J804" s="17"/>
      <c r="K804" s="17"/>
    </row>
    <row r="805" spans="1:11" x14ac:dyDescent="0.2">
      <c r="A805" s="115"/>
      <c r="B805" s="108"/>
      <c r="C805" s="132"/>
      <c r="D805" s="108"/>
      <c r="E805" s="108"/>
      <c r="F805" s="109"/>
      <c r="G805" s="110"/>
      <c r="H805" s="114" t="str">
        <f t="shared" si="11"/>
        <v/>
      </c>
      <c r="I805" s="17"/>
      <c r="J805" s="17"/>
      <c r="K805" s="17"/>
    </row>
    <row r="806" spans="1:11" x14ac:dyDescent="0.2">
      <c r="A806" s="115"/>
      <c r="B806" s="108"/>
      <c r="C806" s="101"/>
      <c r="D806" s="95"/>
      <c r="E806" s="95"/>
      <c r="F806" s="96"/>
      <c r="G806" s="97"/>
      <c r="H806" s="114" t="str">
        <f t="shared" si="11"/>
        <v/>
      </c>
      <c r="I806" s="17"/>
      <c r="J806" s="17"/>
      <c r="K806" s="17"/>
    </row>
    <row r="807" spans="1:11" x14ac:dyDescent="0.2">
      <c r="A807" s="115"/>
      <c r="B807" s="108"/>
      <c r="C807" s="107"/>
      <c r="D807" s="108"/>
      <c r="E807" s="108"/>
      <c r="F807" s="109"/>
      <c r="G807" s="110"/>
      <c r="H807" s="114" t="str">
        <f t="shared" si="11"/>
        <v/>
      </c>
      <c r="I807" s="17"/>
      <c r="J807" s="17"/>
      <c r="K807" s="17"/>
    </row>
    <row r="808" spans="1:11" x14ac:dyDescent="0.2">
      <c r="A808" s="115"/>
      <c r="B808" s="108"/>
      <c r="C808" s="94"/>
      <c r="D808" s="95"/>
      <c r="E808" s="95"/>
      <c r="F808" s="96"/>
      <c r="G808" s="97"/>
      <c r="H808" s="114" t="str">
        <f t="shared" si="11"/>
        <v/>
      </c>
      <c r="I808" s="17"/>
      <c r="J808" s="17"/>
      <c r="K808" s="17"/>
    </row>
    <row r="809" spans="1:11" x14ac:dyDescent="0.2">
      <c r="A809" s="115"/>
      <c r="B809" s="108"/>
      <c r="C809" s="107"/>
      <c r="D809" s="108"/>
      <c r="E809" s="108"/>
      <c r="F809" s="109"/>
      <c r="G809" s="110"/>
      <c r="H809" s="114" t="str">
        <f t="shared" si="11"/>
        <v/>
      </c>
      <c r="I809" s="17"/>
      <c r="J809" s="17"/>
      <c r="K809" s="17"/>
    </row>
    <row r="810" spans="1:11" x14ac:dyDescent="0.2">
      <c r="A810" s="115"/>
      <c r="B810" s="108"/>
      <c r="C810" s="94"/>
      <c r="D810" s="95"/>
      <c r="E810" s="95"/>
      <c r="F810" s="96"/>
      <c r="G810" s="97"/>
      <c r="H810" s="114" t="str">
        <f t="shared" si="11"/>
        <v/>
      </c>
      <c r="I810" s="17"/>
      <c r="J810" s="17"/>
      <c r="K810" s="17"/>
    </row>
    <row r="811" spans="1:11" x14ac:dyDescent="0.2">
      <c r="A811" s="115"/>
      <c r="B811" s="108"/>
      <c r="C811" s="107"/>
      <c r="D811" s="108"/>
      <c r="E811" s="108"/>
      <c r="F811" s="109"/>
      <c r="G811" s="110"/>
      <c r="H811" s="114" t="str">
        <f t="shared" si="11"/>
        <v/>
      </c>
      <c r="I811" s="17"/>
      <c r="J811" s="17"/>
      <c r="K811" s="17"/>
    </row>
    <row r="812" spans="1:11" x14ac:dyDescent="0.2">
      <c r="A812" s="115"/>
      <c r="B812" s="108"/>
      <c r="C812" s="94"/>
      <c r="D812" s="95"/>
      <c r="E812" s="95"/>
      <c r="F812" s="96"/>
      <c r="G812" s="97"/>
      <c r="H812" s="114" t="str">
        <f t="shared" si="11"/>
        <v/>
      </c>
      <c r="I812" s="17"/>
      <c r="J812" s="17"/>
      <c r="K812" s="17"/>
    </row>
    <row r="813" spans="1:11" x14ac:dyDescent="0.2">
      <c r="A813" s="115"/>
      <c r="B813" s="108"/>
      <c r="C813" s="107"/>
      <c r="D813" s="108"/>
      <c r="E813" s="108"/>
      <c r="F813" s="109"/>
      <c r="G813" s="110"/>
      <c r="H813" s="114" t="str">
        <f t="shared" si="11"/>
        <v/>
      </c>
      <c r="I813" s="17"/>
      <c r="J813" s="17"/>
      <c r="K813" s="17"/>
    </row>
    <row r="814" spans="1:11" x14ac:dyDescent="0.2">
      <c r="A814" s="115"/>
      <c r="B814" s="108"/>
      <c r="C814" s="94"/>
      <c r="D814" s="95"/>
      <c r="E814" s="95"/>
      <c r="F814" s="96"/>
      <c r="G814" s="97"/>
      <c r="H814" s="114" t="str">
        <f t="shared" si="11"/>
        <v/>
      </c>
      <c r="I814" s="17"/>
      <c r="J814" s="17"/>
      <c r="K814" s="17"/>
    </row>
    <row r="815" spans="1:11" x14ac:dyDescent="0.2">
      <c r="A815" s="115"/>
      <c r="B815" s="108"/>
      <c r="C815" s="107"/>
      <c r="D815" s="108"/>
      <c r="E815" s="108"/>
      <c r="F815" s="109"/>
      <c r="G815" s="110"/>
      <c r="H815" s="114" t="str">
        <f t="shared" si="11"/>
        <v/>
      </c>
      <c r="I815" s="17"/>
      <c r="J815" s="17"/>
      <c r="K815" s="17"/>
    </row>
    <row r="816" spans="1:11" x14ac:dyDescent="0.2">
      <c r="A816" s="115"/>
      <c r="B816" s="108"/>
      <c r="C816" s="94"/>
      <c r="D816" s="95"/>
      <c r="E816" s="95"/>
      <c r="F816" s="96"/>
      <c r="G816" s="97"/>
      <c r="H816" s="114" t="str">
        <f t="shared" si="11"/>
        <v/>
      </c>
      <c r="I816" s="17"/>
      <c r="J816" s="17"/>
      <c r="K816" s="17"/>
    </row>
    <row r="817" spans="1:11" x14ac:dyDescent="0.2">
      <c r="A817" s="115"/>
      <c r="B817" s="108"/>
      <c r="C817" s="107"/>
      <c r="D817" s="108"/>
      <c r="E817" s="108"/>
      <c r="F817" s="109"/>
      <c r="G817" s="110"/>
      <c r="H817" s="114" t="str">
        <f t="shared" si="11"/>
        <v/>
      </c>
      <c r="I817" s="17"/>
      <c r="J817" s="17"/>
      <c r="K817" s="17"/>
    </row>
    <row r="818" spans="1:11" x14ac:dyDescent="0.2">
      <c r="A818" s="115"/>
      <c r="B818" s="108"/>
      <c r="C818" s="94"/>
      <c r="D818" s="95"/>
      <c r="E818" s="95"/>
      <c r="F818" s="96"/>
      <c r="G818" s="97"/>
      <c r="H818" s="114" t="str">
        <f t="shared" si="11"/>
        <v/>
      </c>
      <c r="I818" s="17"/>
      <c r="J818" s="17"/>
      <c r="K818" s="17"/>
    </row>
    <row r="819" spans="1:11" x14ac:dyDescent="0.2">
      <c r="A819" s="115"/>
      <c r="B819" s="108"/>
      <c r="C819" s="107"/>
      <c r="D819" s="108"/>
      <c r="E819" s="108"/>
      <c r="F819" s="109"/>
      <c r="G819" s="110"/>
      <c r="H819" s="114" t="str">
        <f t="shared" si="11"/>
        <v/>
      </c>
      <c r="I819" s="17"/>
      <c r="J819" s="17"/>
      <c r="K819" s="17"/>
    </row>
    <row r="820" spans="1:11" x14ac:dyDescent="0.2">
      <c r="A820" s="115"/>
      <c r="B820" s="108"/>
      <c r="C820" s="94"/>
      <c r="D820" s="95"/>
      <c r="E820" s="95"/>
      <c r="F820" s="96"/>
      <c r="G820" s="97"/>
      <c r="H820" s="114" t="str">
        <f t="shared" si="11"/>
        <v/>
      </c>
      <c r="I820" s="17"/>
      <c r="J820" s="17"/>
      <c r="K820" s="17"/>
    </row>
    <row r="821" spans="1:11" x14ac:dyDescent="0.2">
      <c r="A821" s="115"/>
      <c r="B821" s="108"/>
      <c r="C821" s="107"/>
      <c r="D821" s="108"/>
      <c r="E821" s="108"/>
      <c r="F821" s="109"/>
      <c r="G821" s="110"/>
      <c r="H821" s="114" t="str">
        <f t="shared" si="11"/>
        <v/>
      </c>
      <c r="I821" s="17"/>
      <c r="J821" s="17"/>
      <c r="K821" s="17"/>
    </row>
    <row r="822" spans="1:11" x14ac:dyDescent="0.2">
      <c r="A822" s="115"/>
      <c r="B822" s="108"/>
      <c r="C822" s="94"/>
      <c r="D822" s="95"/>
      <c r="E822" s="95"/>
      <c r="F822" s="96"/>
      <c r="G822" s="97"/>
      <c r="H822" s="114" t="str">
        <f t="shared" si="11"/>
        <v/>
      </c>
      <c r="I822" s="17"/>
      <c r="J822" s="17"/>
      <c r="K822" s="17"/>
    </row>
    <row r="823" spans="1:11" x14ac:dyDescent="0.2">
      <c r="A823" s="115"/>
      <c r="B823" s="108"/>
      <c r="C823" s="107"/>
      <c r="D823" s="108"/>
      <c r="E823" s="108"/>
      <c r="F823" s="109"/>
      <c r="G823" s="110"/>
      <c r="H823" s="114" t="str">
        <f t="shared" si="11"/>
        <v/>
      </c>
      <c r="I823" s="17"/>
      <c r="J823" s="17"/>
      <c r="K823" s="17"/>
    </row>
    <row r="824" spans="1:11" x14ac:dyDescent="0.2">
      <c r="A824" s="115"/>
      <c r="B824" s="108"/>
      <c r="C824" s="94"/>
      <c r="D824" s="95"/>
      <c r="E824" s="95"/>
      <c r="F824" s="96"/>
      <c r="G824" s="97"/>
      <c r="H824" s="114" t="str">
        <f t="shared" si="11"/>
        <v/>
      </c>
      <c r="I824" s="17"/>
      <c r="J824" s="17"/>
      <c r="K824" s="17"/>
    </row>
    <row r="825" spans="1:11" x14ac:dyDescent="0.2">
      <c r="A825" s="115"/>
      <c r="B825" s="108"/>
      <c r="C825" s="107"/>
      <c r="D825" s="108"/>
      <c r="E825" s="108"/>
      <c r="F825" s="109"/>
      <c r="G825" s="110"/>
      <c r="H825" s="114" t="str">
        <f t="shared" si="11"/>
        <v/>
      </c>
      <c r="I825" s="17"/>
      <c r="J825" s="17"/>
      <c r="K825" s="17"/>
    </row>
    <row r="826" spans="1:11" x14ac:dyDescent="0.2">
      <c r="A826" s="115"/>
      <c r="B826" s="108"/>
      <c r="C826" s="94"/>
      <c r="D826" s="95"/>
      <c r="E826" s="95"/>
      <c r="F826" s="96"/>
      <c r="G826" s="97"/>
      <c r="H826" s="114" t="str">
        <f t="shared" si="11"/>
        <v/>
      </c>
      <c r="I826" s="17"/>
      <c r="J826" s="17"/>
      <c r="K826" s="17"/>
    </row>
    <row r="827" spans="1:11" x14ac:dyDescent="0.2">
      <c r="A827" s="115"/>
      <c r="B827" s="108"/>
      <c r="C827" s="107"/>
      <c r="D827" s="108"/>
      <c r="E827" s="108"/>
      <c r="F827" s="109"/>
      <c r="G827" s="110"/>
      <c r="H827" s="114" t="str">
        <f t="shared" si="11"/>
        <v/>
      </c>
      <c r="I827" s="17"/>
      <c r="J827" s="17"/>
      <c r="K827" s="17"/>
    </row>
    <row r="828" spans="1:11" x14ac:dyDescent="0.2">
      <c r="A828" s="115"/>
      <c r="B828" s="108"/>
      <c r="C828" s="94"/>
      <c r="D828" s="95"/>
      <c r="E828" s="95"/>
      <c r="F828" s="96"/>
      <c r="G828" s="97"/>
      <c r="H828" s="114" t="str">
        <f t="shared" si="11"/>
        <v/>
      </c>
      <c r="I828" s="17"/>
      <c r="J828" s="17"/>
      <c r="K828" s="17"/>
    </row>
    <row r="829" spans="1:11" x14ac:dyDescent="0.2">
      <c r="A829" s="115"/>
      <c r="B829" s="108"/>
      <c r="C829" s="107"/>
      <c r="D829" s="108"/>
      <c r="E829" s="108"/>
      <c r="F829" s="109"/>
      <c r="G829" s="110"/>
      <c r="H829" s="114" t="str">
        <f t="shared" si="11"/>
        <v/>
      </c>
      <c r="I829" s="17"/>
      <c r="J829" s="17"/>
      <c r="K829" s="17"/>
    </row>
    <row r="830" spans="1:11" x14ac:dyDescent="0.2">
      <c r="A830" s="115"/>
      <c r="B830" s="108"/>
      <c r="C830" s="94"/>
      <c r="D830" s="95"/>
      <c r="E830" s="95"/>
      <c r="F830" s="96"/>
      <c r="G830" s="97"/>
      <c r="H830" s="114" t="str">
        <f t="shared" si="11"/>
        <v/>
      </c>
      <c r="I830" s="17"/>
      <c r="J830" s="17"/>
      <c r="K830" s="17"/>
    </row>
    <row r="831" spans="1:11" x14ac:dyDescent="0.2">
      <c r="A831" s="115"/>
      <c r="B831" s="108"/>
      <c r="C831" s="107"/>
      <c r="D831" s="108"/>
      <c r="E831" s="108"/>
      <c r="F831" s="109"/>
      <c r="G831" s="110"/>
      <c r="H831" s="114" t="str">
        <f t="shared" si="11"/>
        <v/>
      </c>
      <c r="I831" s="17"/>
      <c r="J831" s="17"/>
      <c r="K831" s="17"/>
    </row>
    <row r="832" spans="1:11" x14ac:dyDescent="0.2">
      <c r="A832" s="115"/>
      <c r="B832" s="108"/>
      <c r="C832" s="94"/>
      <c r="D832" s="95"/>
      <c r="E832" s="95"/>
      <c r="F832" s="96"/>
      <c r="G832" s="110"/>
      <c r="H832" s="114" t="str">
        <f t="shared" si="11"/>
        <v/>
      </c>
      <c r="I832" s="17"/>
      <c r="J832" s="17"/>
      <c r="K832" s="17"/>
    </row>
    <row r="833" spans="1:11" x14ac:dyDescent="0.2">
      <c r="A833" s="115"/>
      <c r="B833" s="108"/>
      <c r="C833" s="107"/>
      <c r="D833" s="108"/>
      <c r="E833" s="108"/>
      <c r="F833" s="109"/>
      <c r="G833" s="110"/>
      <c r="H833" s="114" t="str">
        <f t="shared" si="11"/>
        <v/>
      </c>
      <c r="I833" s="17"/>
      <c r="J833" s="17"/>
      <c r="K833" s="17"/>
    </row>
    <row r="834" spans="1:11" x14ac:dyDescent="0.2">
      <c r="A834" s="115"/>
      <c r="B834" s="108"/>
      <c r="C834" s="94"/>
      <c r="D834" s="95"/>
      <c r="E834" s="95"/>
      <c r="F834" s="96"/>
      <c r="G834" s="97"/>
      <c r="H834" s="114" t="str">
        <f t="shared" si="11"/>
        <v/>
      </c>
      <c r="I834" s="17"/>
      <c r="J834" s="17"/>
      <c r="K834" s="17"/>
    </row>
    <row r="835" spans="1:11" x14ac:dyDescent="0.2">
      <c r="A835" s="115"/>
      <c r="B835" s="108"/>
      <c r="C835" s="107"/>
      <c r="D835" s="108"/>
      <c r="E835" s="108"/>
      <c r="F835" s="109"/>
      <c r="G835" s="110"/>
      <c r="H835" s="114" t="str">
        <f t="shared" si="11"/>
        <v/>
      </c>
      <c r="I835" s="17"/>
      <c r="J835" s="17"/>
      <c r="K835" s="17"/>
    </row>
    <row r="836" spans="1:11" x14ac:dyDescent="0.2">
      <c r="A836" s="115"/>
      <c r="B836" s="108"/>
      <c r="C836" s="94"/>
      <c r="D836" s="95"/>
      <c r="E836" s="95"/>
      <c r="F836" s="96"/>
      <c r="G836" s="97"/>
      <c r="H836" s="114" t="str">
        <f t="shared" ref="H836:H899" si="12">IF(A836&lt;&gt;"", EOMONTH(A836, -1) + 1, "")</f>
        <v/>
      </c>
      <c r="I836" s="17"/>
      <c r="J836" s="17"/>
      <c r="K836" s="17"/>
    </row>
    <row r="837" spans="1:11" x14ac:dyDescent="0.2">
      <c r="A837" s="115"/>
      <c r="B837" s="108"/>
      <c r="C837" s="107"/>
      <c r="D837" s="108"/>
      <c r="E837" s="108"/>
      <c r="F837" s="109"/>
      <c r="G837" s="110"/>
      <c r="H837" s="114" t="str">
        <f t="shared" si="12"/>
        <v/>
      </c>
      <c r="I837" s="17"/>
      <c r="J837" s="17"/>
      <c r="K837" s="17"/>
    </row>
    <row r="838" spans="1:11" x14ac:dyDescent="0.2">
      <c r="A838" s="115"/>
      <c r="B838" s="108"/>
      <c r="C838" s="94"/>
      <c r="D838" s="95"/>
      <c r="E838" s="95"/>
      <c r="F838" s="96"/>
      <c r="G838" s="97"/>
      <c r="H838" s="114" t="str">
        <f t="shared" si="12"/>
        <v/>
      </c>
      <c r="I838" s="17"/>
      <c r="J838" s="17"/>
      <c r="K838" s="17"/>
    </row>
    <row r="839" spans="1:11" x14ac:dyDescent="0.2">
      <c r="A839" s="115"/>
      <c r="B839" s="108"/>
      <c r="C839" s="107"/>
      <c r="D839" s="108"/>
      <c r="E839" s="108"/>
      <c r="F839" s="109"/>
      <c r="G839" s="110"/>
      <c r="H839" s="114" t="str">
        <f t="shared" si="12"/>
        <v/>
      </c>
      <c r="I839" s="17"/>
      <c r="J839" s="17"/>
      <c r="K839" s="17"/>
    </row>
    <row r="840" spans="1:11" x14ac:dyDescent="0.2">
      <c r="A840" s="115"/>
      <c r="B840" s="108"/>
      <c r="C840" s="94"/>
      <c r="D840" s="95"/>
      <c r="E840" s="95"/>
      <c r="F840" s="96"/>
      <c r="G840" s="97"/>
      <c r="H840" s="114" t="str">
        <f t="shared" si="12"/>
        <v/>
      </c>
      <c r="I840" s="17"/>
      <c r="J840" s="17"/>
      <c r="K840" s="17"/>
    </row>
    <row r="841" spans="1:11" x14ac:dyDescent="0.2">
      <c r="A841" s="115"/>
      <c r="B841" s="108"/>
      <c r="C841" s="107"/>
      <c r="D841" s="108"/>
      <c r="E841" s="108"/>
      <c r="F841" s="109"/>
      <c r="G841" s="110"/>
      <c r="H841" s="114" t="str">
        <f t="shared" si="12"/>
        <v/>
      </c>
      <c r="I841" s="17"/>
      <c r="J841" s="17"/>
      <c r="K841" s="17"/>
    </row>
    <row r="842" spans="1:11" x14ac:dyDescent="0.2">
      <c r="A842" s="115"/>
      <c r="B842" s="108"/>
      <c r="C842" s="94"/>
      <c r="D842" s="95"/>
      <c r="E842" s="95"/>
      <c r="F842" s="96"/>
      <c r="G842" s="97"/>
      <c r="H842" s="114" t="str">
        <f t="shared" si="12"/>
        <v/>
      </c>
      <c r="I842" s="17"/>
      <c r="J842" s="17"/>
      <c r="K842" s="17"/>
    </row>
    <row r="843" spans="1:11" x14ac:dyDescent="0.2">
      <c r="A843" s="115"/>
      <c r="B843" s="108"/>
      <c r="C843" s="107"/>
      <c r="D843" s="108"/>
      <c r="E843" s="108"/>
      <c r="F843" s="109"/>
      <c r="G843" s="110"/>
      <c r="H843" s="114" t="str">
        <f t="shared" si="12"/>
        <v/>
      </c>
      <c r="I843" s="17"/>
      <c r="J843" s="17"/>
      <c r="K843" s="17"/>
    </row>
    <row r="844" spans="1:11" x14ac:dyDescent="0.2">
      <c r="A844" s="115"/>
      <c r="B844" s="108"/>
      <c r="C844" s="94"/>
      <c r="D844" s="95"/>
      <c r="E844" s="95"/>
      <c r="F844" s="96"/>
      <c r="G844" s="97"/>
      <c r="H844" s="114" t="str">
        <f t="shared" si="12"/>
        <v/>
      </c>
      <c r="I844" s="17"/>
      <c r="J844" s="17"/>
      <c r="K844" s="17"/>
    </row>
    <row r="845" spans="1:11" x14ac:dyDescent="0.2">
      <c r="A845" s="115"/>
      <c r="B845" s="108"/>
      <c r="C845" s="107"/>
      <c r="D845" s="108"/>
      <c r="E845" s="108"/>
      <c r="F845" s="109"/>
      <c r="G845" s="110"/>
      <c r="H845" s="114" t="str">
        <f t="shared" si="12"/>
        <v/>
      </c>
      <c r="I845" s="17"/>
      <c r="J845" s="17"/>
      <c r="K845" s="17"/>
    </row>
    <row r="846" spans="1:11" x14ac:dyDescent="0.2">
      <c r="A846" s="115"/>
      <c r="B846" s="108"/>
      <c r="C846" s="94"/>
      <c r="D846" s="95"/>
      <c r="E846" s="95"/>
      <c r="F846" s="96"/>
      <c r="G846" s="97"/>
      <c r="H846" s="114" t="str">
        <f t="shared" si="12"/>
        <v/>
      </c>
      <c r="I846" s="17"/>
      <c r="J846" s="17"/>
      <c r="K846" s="17"/>
    </row>
    <row r="847" spans="1:11" x14ac:dyDescent="0.2">
      <c r="A847" s="115"/>
      <c r="B847" s="108"/>
      <c r="C847" s="107"/>
      <c r="D847" s="108"/>
      <c r="E847" s="108"/>
      <c r="F847" s="109"/>
      <c r="G847" s="110"/>
      <c r="H847" s="114" t="str">
        <f t="shared" si="12"/>
        <v/>
      </c>
      <c r="I847" s="17"/>
      <c r="J847" s="17"/>
      <c r="K847" s="17"/>
    </row>
    <row r="848" spans="1:11" x14ac:dyDescent="0.2">
      <c r="A848" s="115"/>
      <c r="B848" s="108"/>
      <c r="C848" s="94"/>
      <c r="D848" s="95"/>
      <c r="E848" s="95"/>
      <c r="F848" s="96"/>
      <c r="G848" s="97"/>
      <c r="H848" s="114" t="str">
        <f t="shared" si="12"/>
        <v/>
      </c>
      <c r="I848" s="17"/>
      <c r="J848" s="17"/>
      <c r="K848" s="17"/>
    </row>
    <row r="849" spans="1:11" x14ac:dyDescent="0.2">
      <c r="A849" s="115"/>
      <c r="B849" s="108"/>
      <c r="C849" s="107"/>
      <c r="D849" s="108"/>
      <c r="E849" s="108"/>
      <c r="F849" s="109"/>
      <c r="G849" s="97"/>
      <c r="H849" s="114" t="str">
        <f t="shared" si="12"/>
        <v/>
      </c>
      <c r="I849" s="17"/>
      <c r="J849" s="17"/>
      <c r="K849" s="17"/>
    </row>
    <row r="850" spans="1:11" x14ac:dyDescent="0.2">
      <c r="A850" s="115"/>
      <c r="B850" s="95"/>
      <c r="C850" s="94"/>
      <c r="D850" s="95"/>
      <c r="E850" s="95"/>
      <c r="F850" s="96"/>
      <c r="G850" s="97"/>
      <c r="H850" s="114" t="str">
        <f t="shared" si="12"/>
        <v/>
      </c>
      <c r="I850" s="17"/>
      <c r="J850" s="17"/>
      <c r="K850" s="17"/>
    </row>
    <row r="851" spans="1:11" x14ac:dyDescent="0.2">
      <c r="A851" s="115"/>
      <c r="B851" s="108"/>
      <c r="C851" s="107"/>
      <c r="D851" s="108"/>
      <c r="E851" s="108"/>
      <c r="F851" s="109"/>
      <c r="G851" s="110"/>
      <c r="H851" s="114" t="str">
        <f t="shared" si="12"/>
        <v/>
      </c>
      <c r="I851" s="17"/>
      <c r="J851" s="17"/>
      <c r="K851" s="17"/>
    </row>
    <row r="852" spans="1:11" x14ac:dyDescent="0.2">
      <c r="A852" s="115"/>
      <c r="B852" s="95"/>
      <c r="C852" s="94"/>
      <c r="D852" s="95"/>
      <c r="E852" s="95"/>
      <c r="F852" s="96"/>
      <c r="G852" s="97"/>
      <c r="H852" s="114" t="str">
        <f t="shared" si="12"/>
        <v/>
      </c>
      <c r="I852" s="17"/>
      <c r="J852" s="17"/>
      <c r="K852" s="17"/>
    </row>
    <row r="853" spans="1:11" x14ac:dyDescent="0.2">
      <c r="A853" s="115"/>
      <c r="B853" s="108"/>
      <c r="C853" s="107"/>
      <c r="D853" s="108"/>
      <c r="E853" s="108"/>
      <c r="F853" s="109"/>
      <c r="G853" s="110"/>
      <c r="H853" s="114" t="str">
        <f t="shared" si="12"/>
        <v/>
      </c>
      <c r="I853" s="17"/>
      <c r="J853" s="17"/>
      <c r="K853" s="17"/>
    </row>
    <row r="854" spans="1:11" x14ac:dyDescent="0.2">
      <c r="A854" s="115"/>
      <c r="B854" s="95"/>
      <c r="C854" s="94"/>
      <c r="D854" s="95"/>
      <c r="E854" s="95"/>
      <c r="F854" s="96"/>
      <c r="G854" s="97"/>
      <c r="H854" s="114" t="str">
        <f t="shared" si="12"/>
        <v/>
      </c>
      <c r="I854" s="17"/>
      <c r="J854" s="17"/>
      <c r="K854" s="17"/>
    </row>
    <row r="855" spans="1:11" x14ac:dyDescent="0.2">
      <c r="A855" s="115"/>
      <c r="B855" s="108"/>
      <c r="C855" s="107"/>
      <c r="D855" s="108"/>
      <c r="E855" s="108"/>
      <c r="F855" s="109"/>
      <c r="G855" s="110"/>
      <c r="H855" s="114" t="str">
        <f t="shared" si="12"/>
        <v/>
      </c>
      <c r="I855" s="17"/>
      <c r="J855" s="17"/>
      <c r="K855" s="17"/>
    </row>
    <row r="856" spans="1:11" x14ac:dyDescent="0.2">
      <c r="A856" s="115"/>
      <c r="B856" s="95"/>
      <c r="C856" s="94"/>
      <c r="D856" s="95"/>
      <c r="E856" s="95"/>
      <c r="F856" s="96"/>
      <c r="G856" s="97"/>
      <c r="H856" s="114" t="str">
        <f t="shared" si="12"/>
        <v/>
      </c>
      <c r="I856" s="17"/>
      <c r="J856" s="17"/>
      <c r="K856" s="17"/>
    </row>
    <row r="857" spans="1:11" x14ac:dyDescent="0.2">
      <c r="A857" s="115"/>
      <c r="B857" s="108"/>
      <c r="C857" s="107"/>
      <c r="D857" s="108"/>
      <c r="E857" s="108"/>
      <c r="F857" s="109"/>
      <c r="G857" s="110"/>
      <c r="H857" s="114" t="str">
        <f t="shared" si="12"/>
        <v/>
      </c>
      <c r="I857" s="17"/>
      <c r="J857" s="17"/>
      <c r="K857" s="17"/>
    </row>
    <row r="858" spans="1:11" x14ac:dyDescent="0.2">
      <c r="A858" s="115"/>
      <c r="B858" s="95"/>
      <c r="C858" s="94"/>
      <c r="D858" s="95"/>
      <c r="E858" s="95"/>
      <c r="F858" s="96"/>
      <c r="G858" s="97"/>
      <c r="H858" s="114" t="str">
        <f t="shared" si="12"/>
        <v/>
      </c>
      <c r="I858" s="17"/>
      <c r="J858" s="17"/>
      <c r="K858" s="17"/>
    </row>
    <row r="859" spans="1:11" x14ac:dyDescent="0.2">
      <c r="A859" s="115"/>
      <c r="B859" s="108"/>
      <c r="C859" s="107"/>
      <c r="D859" s="108"/>
      <c r="E859" s="108"/>
      <c r="F859" s="109"/>
      <c r="G859" s="110"/>
      <c r="H859" s="114" t="str">
        <f t="shared" si="12"/>
        <v/>
      </c>
      <c r="I859" s="17"/>
      <c r="J859" s="17"/>
      <c r="K859" s="17"/>
    </row>
    <row r="860" spans="1:11" x14ac:dyDescent="0.2">
      <c r="A860" s="115"/>
      <c r="B860" s="95"/>
      <c r="C860" s="94"/>
      <c r="D860" s="95"/>
      <c r="E860" s="95"/>
      <c r="F860" s="96"/>
      <c r="G860" s="97"/>
      <c r="H860" s="114" t="str">
        <f t="shared" si="12"/>
        <v/>
      </c>
      <c r="I860" s="17"/>
      <c r="J860" s="17"/>
      <c r="K860" s="17"/>
    </row>
    <row r="861" spans="1:11" x14ac:dyDescent="0.2">
      <c r="A861" s="115"/>
      <c r="B861" s="108"/>
      <c r="C861" s="107"/>
      <c r="D861" s="108"/>
      <c r="E861" s="108"/>
      <c r="F861" s="109"/>
      <c r="G861" s="110"/>
      <c r="H861" s="114" t="str">
        <f t="shared" si="12"/>
        <v/>
      </c>
      <c r="I861" s="17"/>
      <c r="J861" s="17"/>
      <c r="K861" s="17"/>
    </row>
    <row r="862" spans="1:11" x14ac:dyDescent="0.2">
      <c r="A862" s="115"/>
      <c r="B862" s="95"/>
      <c r="C862" s="94"/>
      <c r="D862" s="95"/>
      <c r="E862" s="95"/>
      <c r="F862" s="96"/>
      <c r="G862" s="97"/>
      <c r="H862" s="114" t="str">
        <f t="shared" si="12"/>
        <v/>
      </c>
      <c r="I862" s="17"/>
      <c r="J862" s="17"/>
      <c r="K862" s="17"/>
    </row>
    <row r="863" spans="1:11" x14ac:dyDescent="0.2">
      <c r="A863" s="115"/>
      <c r="B863" s="108"/>
      <c r="C863" s="107"/>
      <c r="D863" s="108"/>
      <c r="E863" s="108"/>
      <c r="F863" s="109"/>
      <c r="G863" s="131"/>
      <c r="H863" s="114" t="str">
        <f t="shared" si="12"/>
        <v/>
      </c>
      <c r="I863" s="17"/>
      <c r="J863" s="17"/>
      <c r="K863" s="17"/>
    </row>
    <row r="864" spans="1:11" x14ac:dyDescent="0.2">
      <c r="A864" s="115"/>
      <c r="B864" s="95"/>
      <c r="C864" s="94"/>
      <c r="D864" s="95"/>
      <c r="E864" s="95"/>
      <c r="F864" s="96"/>
      <c r="G864" s="100"/>
      <c r="H864" s="114" t="str">
        <f t="shared" si="12"/>
        <v/>
      </c>
      <c r="I864" s="17"/>
      <c r="J864" s="17"/>
      <c r="K864" s="17"/>
    </row>
    <row r="865" spans="1:11" x14ac:dyDescent="0.2">
      <c r="A865" s="115"/>
      <c r="B865" s="108"/>
      <c r="C865" s="107"/>
      <c r="D865" s="108"/>
      <c r="E865" s="108"/>
      <c r="F865" s="109"/>
      <c r="G865" s="131"/>
      <c r="H865" s="114" t="str">
        <f t="shared" si="12"/>
        <v/>
      </c>
      <c r="I865" s="17"/>
      <c r="J865" s="17"/>
      <c r="K865" s="17"/>
    </row>
    <row r="866" spans="1:11" x14ac:dyDescent="0.2">
      <c r="A866" s="115"/>
      <c r="B866" s="95"/>
      <c r="C866" s="94"/>
      <c r="D866" s="95"/>
      <c r="E866" s="95"/>
      <c r="F866" s="96"/>
      <c r="G866" s="97"/>
      <c r="H866" s="114" t="str">
        <f t="shared" si="12"/>
        <v/>
      </c>
      <c r="I866" s="17"/>
      <c r="J866" s="17"/>
      <c r="K866" s="17"/>
    </row>
    <row r="867" spans="1:11" x14ac:dyDescent="0.2">
      <c r="A867" s="115"/>
      <c r="B867" s="108"/>
      <c r="C867" s="107"/>
      <c r="D867" s="108"/>
      <c r="E867" s="108"/>
      <c r="F867" s="109"/>
      <c r="G867" s="110"/>
      <c r="H867" s="114" t="str">
        <f t="shared" si="12"/>
        <v/>
      </c>
      <c r="I867" s="17"/>
      <c r="J867" s="17"/>
      <c r="K867" s="17"/>
    </row>
    <row r="868" spans="1:11" x14ac:dyDescent="0.2">
      <c r="A868" s="115"/>
      <c r="B868" s="95"/>
      <c r="C868" s="94"/>
      <c r="D868" s="95"/>
      <c r="E868" s="95"/>
      <c r="F868" s="96"/>
      <c r="G868" s="97"/>
      <c r="H868" s="114" t="str">
        <f t="shared" si="12"/>
        <v/>
      </c>
      <c r="I868" s="17"/>
      <c r="J868" s="17"/>
      <c r="K868" s="17"/>
    </row>
    <row r="869" spans="1:11" x14ac:dyDescent="0.2">
      <c r="A869" s="115"/>
      <c r="B869" s="108"/>
      <c r="C869" s="107"/>
      <c r="D869" s="108"/>
      <c r="E869" s="108"/>
      <c r="F869" s="109"/>
      <c r="G869" s="110"/>
      <c r="H869" s="114" t="str">
        <f t="shared" si="12"/>
        <v/>
      </c>
      <c r="I869" s="17"/>
      <c r="J869" s="17"/>
      <c r="K869" s="17"/>
    </row>
    <row r="870" spans="1:11" x14ac:dyDescent="0.2">
      <c r="A870" s="115"/>
      <c r="B870" s="95"/>
      <c r="C870" s="94"/>
      <c r="D870" s="95"/>
      <c r="E870" s="95"/>
      <c r="F870" s="96"/>
      <c r="G870" s="97"/>
      <c r="H870" s="114" t="str">
        <f t="shared" si="12"/>
        <v/>
      </c>
      <c r="I870" s="17"/>
      <c r="J870" s="17"/>
      <c r="K870" s="17"/>
    </row>
    <row r="871" spans="1:11" x14ac:dyDescent="0.2">
      <c r="A871" s="115"/>
      <c r="B871" s="108"/>
      <c r="C871" s="107"/>
      <c r="D871" s="108"/>
      <c r="E871" s="108"/>
      <c r="F871" s="109"/>
      <c r="G871" s="110"/>
      <c r="H871" s="114" t="str">
        <f t="shared" si="12"/>
        <v/>
      </c>
      <c r="I871" s="17"/>
      <c r="J871" s="17"/>
      <c r="K871" s="17"/>
    </row>
    <row r="872" spans="1:11" x14ac:dyDescent="0.2">
      <c r="A872" s="115"/>
      <c r="B872" s="95"/>
      <c r="C872" s="94"/>
      <c r="D872" s="95"/>
      <c r="E872" s="95"/>
      <c r="F872" s="96"/>
      <c r="G872" s="97"/>
      <c r="H872" s="114" t="str">
        <f t="shared" si="12"/>
        <v/>
      </c>
      <c r="I872" s="17"/>
      <c r="J872" s="17"/>
      <c r="K872" s="17"/>
    </row>
    <row r="873" spans="1:11" x14ac:dyDescent="0.2">
      <c r="A873" s="115"/>
      <c r="B873" s="108"/>
      <c r="C873" s="107"/>
      <c r="D873" s="108"/>
      <c r="E873" s="108"/>
      <c r="F873" s="109"/>
      <c r="G873" s="110"/>
      <c r="H873" s="114" t="str">
        <f t="shared" si="12"/>
        <v/>
      </c>
      <c r="I873" s="17"/>
      <c r="J873" s="17"/>
      <c r="K873" s="17"/>
    </row>
    <row r="874" spans="1:11" x14ac:dyDescent="0.2">
      <c r="A874" s="115"/>
      <c r="B874" s="95"/>
      <c r="C874" s="94"/>
      <c r="D874" s="95"/>
      <c r="E874" s="95"/>
      <c r="F874" s="96"/>
      <c r="G874" s="97"/>
      <c r="H874" s="114" t="str">
        <f t="shared" si="12"/>
        <v/>
      </c>
      <c r="I874" s="17"/>
      <c r="J874" s="17"/>
      <c r="K874" s="17"/>
    </row>
    <row r="875" spans="1:11" x14ac:dyDescent="0.2">
      <c r="A875" s="115"/>
      <c r="B875" s="108"/>
      <c r="C875" s="107"/>
      <c r="D875" s="108"/>
      <c r="E875" s="108"/>
      <c r="F875" s="109"/>
      <c r="G875" s="110"/>
      <c r="H875" s="114" t="str">
        <f t="shared" si="12"/>
        <v/>
      </c>
      <c r="I875" s="17"/>
      <c r="J875" s="17"/>
      <c r="K875" s="17"/>
    </row>
    <row r="876" spans="1:11" x14ac:dyDescent="0.2">
      <c r="A876" s="115"/>
      <c r="B876" s="95"/>
      <c r="C876" s="94"/>
      <c r="D876" s="95"/>
      <c r="E876" s="95"/>
      <c r="F876" s="96"/>
      <c r="G876" s="97"/>
      <c r="H876" s="114" t="str">
        <f t="shared" si="12"/>
        <v/>
      </c>
      <c r="I876" s="17"/>
      <c r="J876" s="17"/>
      <c r="K876" s="17"/>
    </row>
    <row r="877" spans="1:11" x14ac:dyDescent="0.2">
      <c r="A877" s="115"/>
      <c r="B877" s="108"/>
      <c r="C877" s="107"/>
      <c r="D877" s="108"/>
      <c r="E877" s="108"/>
      <c r="F877" s="109"/>
      <c r="G877" s="110"/>
      <c r="H877" s="114" t="str">
        <f t="shared" si="12"/>
        <v/>
      </c>
      <c r="I877" s="17"/>
      <c r="J877" s="17"/>
      <c r="K877" s="17"/>
    </row>
    <row r="878" spans="1:11" x14ac:dyDescent="0.2">
      <c r="A878" s="115"/>
      <c r="B878" s="95"/>
      <c r="C878" s="94"/>
      <c r="D878" s="95"/>
      <c r="E878" s="95"/>
      <c r="F878" s="96"/>
      <c r="G878" s="97"/>
      <c r="H878" s="114" t="str">
        <f t="shared" si="12"/>
        <v/>
      </c>
      <c r="I878" s="17"/>
      <c r="J878" s="17"/>
      <c r="K878" s="17"/>
    </row>
    <row r="879" spans="1:11" x14ac:dyDescent="0.2">
      <c r="A879" s="115"/>
      <c r="B879" s="108"/>
      <c r="C879" s="107"/>
      <c r="D879" s="108"/>
      <c r="E879" s="108"/>
      <c r="F879" s="109"/>
      <c r="G879" s="110"/>
      <c r="H879" s="114" t="str">
        <f t="shared" si="12"/>
        <v/>
      </c>
      <c r="I879" s="17"/>
      <c r="J879" s="17"/>
      <c r="K879" s="17"/>
    </row>
    <row r="880" spans="1:11" x14ac:dyDescent="0.2">
      <c r="A880" s="115"/>
      <c r="B880" s="95"/>
      <c r="C880" s="94"/>
      <c r="D880" s="95"/>
      <c r="E880" s="95"/>
      <c r="F880" s="96"/>
      <c r="G880" s="97"/>
      <c r="H880" s="114" t="str">
        <f t="shared" si="12"/>
        <v/>
      </c>
      <c r="I880" s="17"/>
      <c r="J880" s="17"/>
      <c r="K880" s="17"/>
    </row>
    <row r="881" spans="1:11" x14ac:dyDescent="0.2">
      <c r="A881" s="115"/>
      <c r="B881" s="108"/>
      <c r="C881" s="107"/>
      <c r="D881" s="108"/>
      <c r="E881" s="108"/>
      <c r="F881" s="109"/>
      <c r="G881" s="110"/>
      <c r="H881" s="114" t="str">
        <f t="shared" si="12"/>
        <v/>
      </c>
      <c r="I881" s="17"/>
      <c r="J881" s="17"/>
      <c r="K881" s="17"/>
    </row>
    <row r="882" spans="1:11" x14ac:dyDescent="0.2">
      <c r="A882" s="115"/>
      <c r="B882" s="95"/>
      <c r="C882" s="94"/>
      <c r="D882" s="95"/>
      <c r="E882" s="95"/>
      <c r="F882" s="96"/>
      <c r="G882" s="97"/>
      <c r="H882" s="114" t="str">
        <f t="shared" si="12"/>
        <v/>
      </c>
      <c r="I882" s="17"/>
      <c r="J882" s="17"/>
      <c r="K882" s="17"/>
    </row>
    <row r="883" spans="1:11" x14ac:dyDescent="0.2">
      <c r="A883" s="115"/>
      <c r="B883" s="108"/>
      <c r="C883" s="107"/>
      <c r="D883" s="108"/>
      <c r="E883" s="108"/>
      <c r="F883" s="109"/>
      <c r="G883" s="110"/>
      <c r="H883" s="114" t="str">
        <f t="shared" si="12"/>
        <v/>
      </c>
      <c r="I883" s="17"/>
      <c r="J883" s="17"/>
      <c r="K883" s="17"/>
    </row>
    <row r="884" spans="1:11" x14ac:dyDescent="0.2">
      <c r="A884" s="115"/>
      <c r="B884" s="95"/>
      <c r="C884" s="94"/>
      <c r="D884" s="95"/>
      <c r="E884" s="95"/>
      <c r="F884" s="96"/>
      <c r="G884" s="97"/>
      <c r="H884" s="114" t="str">
        <f t="shared" si="12"/>
        <v/>
      </c>
      <c r="I884" s="17"/>
      <c r="J884" s="17"/>
      <c r="K884" s="17"/>
    </row>
    <row r="885" spans="1:11" x14ac:dyDescent="0.2">
      <c r="A885" s="115"/>
      <c r="B885" s="108"/>
      <c r="C885" s="107"/>
      <c r="D885" s="108"/>
      <c r="E885" s="108"/>
      <c r="F885" s="109"/>
      <c r="G885" s="110"/>
      <c r="H885" s="114" t="str">
        <f t="shared" si="12"/>
        <v/>
      </c>
      <c r="I885" s="17"/>
      <c r="J885" s="17"/>
      <c r="K885" s="17"/>
    </row>
    <row r="886" spans="1:11" x14ac:dyDescent="0.2">
      <c r="A886" s="115"/>
      <c r="B886" s="95"/>
      <c r="C886" s="94"/>
      <c r="D886" s="95"/>
      <c r="E886" s="95"/>
      <c r="F886" s="96"/>
      <c r="G886" s="97"/>
      <c r="H886" s="114" t="str">
        <f t="shared" si="12"/>
        <v/>
      </c>
      <c r="I886" s="17"/>
      <c r="J886" s="17"/>
      <c r="K886" s="17"/>
    </row>
    <row r="887" spans="1:11" x14ac:dyDescent="0.2">
      <c r="A887" s="115"/>
      <c r="B887" s="108"/>
      <c r="C887" s="107"/>
      <c r="D887" s="108"/>
      <c r="E887" s="108"/>
      <c r="F887" s="109"/>
      <c r="G887" s="110"/>
      <c r="H887" s="114" t="str">
        <f t="shared" si="12"/>
        <v/>
      </c>
      <c r="I887" s="17"/>
      <c r="J887" s="17"/>
      <c r="K887" s="17"/>
    </row>
    <row r="888" spans="1:11" x14ac:dyDescent="0.2">
      <c r="A888" s="115"/>
      <c r="B888" s="95"/>
      <c r="C888" s="94"/>
      <c r="D888" s="95"/>
      <c r="E888" s="95"/>
      <c r="F888" s="96"/>
      <c r="G888" s="97"/>
      <c r="H888" s="114" t="str">
        <f t="shared" si="12"/>
        <v/>
      </c>
      <c r="I888" s="17"/>
      <c r="J888" s="17"/>
      <c r="K888" s="17"/>
    </row>
    <row r="889" spans="1:11" x14ac:dyDescent="0.2">
      <c r="A889" s="115"/>
      <c r="B889" s="108"/>
      <c r="C889" s="107"/>
      <c r="D889" s="108"/>
      <c r="E889" s="108"/>
      <c r="F889" s="109"/>
      <c r="G889" s="110"/>
      <c r="H889" s="114" t="str">
        <f t="shared" si="12"/>
        <v/>
      </c>
      <c r="I889" s="17"/>
      <c r="J889" s="17"/>
      <c r="K889" s="17"/>
    </row>
    <row r="890" spans="1:11" x14ac:dyDescent="0.2">
      <c r="A890" s="115"/>
      <c r="B890" s="95"/>
      <c r="C890" s="94"/>
      <c r="D890" s="95"/>
      <c r="E890" s="95"/>
      <c r="F890" s="96"/>
      <c r="G890" s="97"/>
      <c r="H890" s="114" t="str">
        <f t="shared" si="12"/>
        <v/>
      </c>
      <c r="I890" s="17"/>
      <c r="J890" s="17"/>
      <c r="K890" s="17"/>
    </row>
    <row r="891" spans="1:11" x14ac:dyDescent="0.2">
      <c r="A891" s="115"/>
      <c r="B891" s="108"/>
      <c r="C891" s="107"/>
      <c r="D891" s="108"/>
      <c r="E891" s="108"/>
      <c r="F891" s="109"/>
      <c r="G891" s="110"/>
      <c r="H891" s="114" t="str">
        <f t="shared" si="12"/>
        <v/>
      </c>
      <c r="I891" s="17"/>
      <c r="J891" s="17"/>
      <c r="K891" s="17"/>
    </row>
    <row r="892" spans="1:11" x14ac:dyDescent="0.2">
      <c r="A892" s="115"/>
      <c r="B892" s="95"/>
      <c r="C892" s="94"/>
      <c r="D892" s="95"/>
      <c r="E892" s="95"/>
      <c r="F892" s="96"/>
      <c r="G892" s="97"/>
      <c r="H892" s="114" t="str">
        <f t="shared" si="12"/>
        <v/>
      </c>
      <c r="I892" s="17"/>
      <c r="J892" s="17"/>
      <c r="K892" s="17"/>
    </row>
    <row r="893" spans="1:11" x14ac:dyDescent="0.2">
      <c r="A893" s="115"/>
      <c r="B893" s="108"/>
      <c r="C893" s="107"/>
      <c r="D893" s="108"/>
      <c r="E893" s="108"/>
      <c r="F893" s="109"/>
      <c r="G893" s="110"/>
      <c r="H893" s="114" t="str">
        <f t="shared" si="12"/>
        <v/>
      </c>
      <c r="I893" s="17"/>
      <c r="J893" s="17"/>
      <c r="K893" s="17"/>
    </row>
    <row r="894" spans="1:11" x14ac:dyDescent="0.2">
      <c r="A894" s="115"/>
      <c r="B894" s="95"/>
      <c r="C894" s="94"/>
      <c r="D894" s="95"/>
      <c r="E894" s="95"/>
      <c r="F894" s="96"/>
      <c r="G894" s="97"/>
      <c r="H894" s="114" t="str">
        <f t="shared" si="12"/>
        <v/>
      </c>
      <c r="I894" s="17"/>
      <c r="J894" s="17"/>
      <c r="K894" s="17"/>
    </row>
    <row r="895" spans="1:11" x14ac:dyDescent="0.2">
      <c r="A895" s="115"/>
      <c r="B895" s="108"/>
      <c r="C895" s="107"/>
      <c r="D895" s="108"/>
      <c r="E895" s="108"/>
      <c r="F895" s="109"/>
      <c r="G895" s="110"/>
      <c r="H895" s="114" t="str">
        <f t="shared" si="12"/>
        <v/>
      </c>
      <c r="I895" s="17"/>
      <c r="J895" s="17"/>
      <c r="K895" s="17"/>
    </row>
    <row r="896" spans="1:11" x14ac:dyDescent="0.2">
      <c r="A896" s="115"/>
      <c r="B896" s="95"/>
      <c r="C896" s="94"/>
      <c r="D896" s="95"/>
      <c r="E896" s="95"/>
      <c r="F896" s="96"/>
      <c r="G896" s="97"/>
      <c r="H896" s="114" t="str">
        <f t="shared" si="12"/>
        <v/>
      </c>
      <c r="I896" s="17"/>
      <c r="J896" s="17"/>
      <c r="K896" s="17"/>
    </row>
    <row r="897" spans="1:11" x14ac:dyDescent="0.2">
      <c r="A897" s="115"/>
      <c r="B897" s="108"/>
      <c r="C897" s="107"/>
      <c r="D897" s="108"/>
      <c r="E897" s="108"/>
      <c r="F897" s="109"/>
      <c r="G897" s="110"/>
      <c r="H897" s="114" t="str">
        <f t="shared" si="12"/>
        <v/>
      </c>
      <c r="I897" s="17"/>
      <c r="J897" s="17"/>
      <c r="K897" s="17"/>
    </row>
    <row r="898" spans="1:11" x14ac:dyDescent="0.2">
      <c r="A898" s="115"/>
      <c r="B898" s="95"/>
      <c r="C898" s="94"/>
      <c r="D898" s="95"/>
      <c r="E898" s="95"/>
      <c r="F898" s="96"/>
      <c r="G898" s="97"/>
      <c r="H898" s="114" t="str">
        <f t="shared" si="12"/>
        <v/>
      </c>
      <c r="I898" s="17"/>
      <c r="J898" s="17"/>
      <c r="K898" s="17"/>
    </row>
    <row r="899" spans="1:11" x14ac:dyDescent="0.2">
      <c r="A899" s="115"/>
      <c r="B899" s="108"/>
      <c r="C899" s="107"/>
      <c r="D899" s="108"/>
      <c r="E899" s="108"/>
      <c r="F899" s="109"/>
      <c r="G899" s="110"/>
      <c r="H899" s="114" t="str">
        <f t="shared" si="12"/>
        <v/>
      </c>
      <c r="I899" s="17"/>
      <c r="J899" s="17"/>
      <c r="K899" s="17"/>
    </row>
    <row r="900" spans="1:11" x14ac:dyDescent="0.2">
      <c r="A900" s="115"/>
      <c r="B900" s="95"/>
      <c r="C900" s="94"/>
      <c r="D900" s="95"/>
      <c r="E900" s="95"/>
      <c r="F900" s="96"/>
      <c r="G900" s="97"/>
      <c r="H900" s="114" t="str">
        <f t="shared" ref="H900:H963" si="13">IF(A900&lt;&gt;"", EOMONTH(A900, -1) + 1, "")</f>
        <v/>
      </c>
      <c r="I900" s="17"/>
      <c r="J900" s="17"/>
      <c r="K900" s="17"/>
    </row>
    <row r="901" spans="1:11" x14ac:dyDescent="0.2">
      <c r="A901" s="115"/>
      <c r="B901" s="108"/>
      <c r="C901" s="107"/>
      <c r="D901" s="108"/>
      <c r="E901" s="108"/>
      <c r="F901" s="109"/>
      <c r="G901" s="110"/>
      <c r="H901" s="114" t="str">
        <f t="shared" si="13"/>
        <v/>
      </c>
      <c r="I901" s="17"/>
      <c r="J901" s="17"/>
      <c r="K901" s="17"/>
    </row>
    <row r="902" spans="1:11" x14ac:dyDescent="0.2">
      <c r="A902" s="115"/>
      <c r="B902" s="95"/>
      <c r="C902" s="94"/>
      <c r="D902" s="95"/>
      <c r="E902" s="95"/>
      <c r="F902" s="96"/>
      <c r="G902" s="97"/>
      <c r="H902" s="114" t="str">
        <f t="shared" si="13"/>
        <v/>
      </c>
      <c r="I902" s="17"/>
      <c r="J902" s="17"/>
      <c r="K902" s="17"/>
    </row>
    <row r="903" spans="1:11" x14ac:dyDescent="0.2">
      <c r="A903" s="115"/>
      <c r="B903" s="108"/>
      <c r="C903" s="107"/>
      <c r="D903" s="108"/>
      <c r="E903" s="108"/>
      <c r="F903" s="109"/>
      <c r="G903" s="110"/>
      <c r="H903" s="114" t="str">
        <f t="shared" si="13"/>
        <v/>
      </c>
      <c r="I903" s="17"/>
      <c r="J903" s="17"/>
      <c r="K903" s="17"/>
    </row>
    <row r="904" spans="1:11" x14ac:dyDescent="0.2">
      <c r="A904" s="115"/>
      <c r="B904" s="95"/>
      <c r="C904" s="94"/>
      <c r="D904" s="95"/>
      <c r="E904" s="95"/>
      <c r="F904" s="96"/>
      <c r="G904" s="97"/>
      <c r="H904" s="114" t="str">
        <f t="shared" si="13"/>
        <v/>
      </c>
      <c r="I904" s="17"/>
      <c r="J904" s="17"/>
      <c r="K904" s="17"/>
    </row>
    <row r="905" spans="1:11" x14ac:dyDescent="0.2">
      <c r="A905" s="115"/>
      <c r="B905" s="108"/>
      <c r="C905" s="107"/>
      <c r="D905" s="108"/>
      <c r="E905" s="108"/>
      <c r="F905" s="109"/>
      <c r="G905" s="110"/>
      <c r="H905" s="114" t="str">
        <f t="shared" si="13"/>
        <v/>
      </c>
      <c r="I905" s="17"/>
      <c r="J905" s="17"/>
      <c r="K905" s="17"/>
    </row>
    <row r="906" spans="1:11" x14ac:dyDescent="0.2">
      <c r="A906" s="115"/>
      <c r="B906" s="95"/>
      <c r="C906" s="94"/>
      <c r="D906" s="95"/>
      <c r="E906" s="95"/>
      <c r="F906" s="96"/>
      <c r="G906" s="97"/>
      <c r="H906" s="114" t="str">
        <f t="shared" si="13"/>
        <v/>
      </c>
      <c r="I906" s="17"/>
      <c r="J906" s="17"/>
      <c r="K906" s="17"/>
    </row>
    <row r="907" spans="1:11" x14ac:dyDescent="0.2">
      <c r="A907" s="115"/>
      <c r="B907" s="108"/>
      <c r="C907" s="107"/>
      <c r="D907" s="108"/>
      <c r="E907" s="108"/>
      <c r="F907" s="109"/>
      <c r="G907" s="110"/>
      <c r="H907" s="114" t="str">
        <f t="shared" si="13"/>
        <v/>
      </c>
      <c r="I907" s="17"/>
      <c r="J907" s="17"/>
      <c r="K907" s="17"/>
    </row>
    <row r="908" spans="1:11" x14ac:dyDescent="0.2">
      <c r="A908" s="115"/>
      <c r="B908" s="95"/>
      <c r="C908" s="94"/>
      <c r="D908" s="95"/>
      <c r="E908" s="95"/>
      <c r="F908" s="96"/>
      <c r="G908" s="97"/>
      <c r="H908" s="114" t="str">
        <f t="shared" si="13"/>
        <v/>
      </c>
      <c r="I908" s="17"/>
      <c r="J908" s="17"/>
      <c r="K908" s="17"/>
    </row>
    <row r="909" spans="1:11" x14ac:dyDescent="0.2">
      <c r="A909" s="115"/>
      <c r="B909" s="108"/>
      <c r="C909" s="107"/>
      <c r="D909" s="108"/>
      <c r="E909" s="108"/>
      <c r="F909" s="109"/>
      <c r="G909" s="110"/>
      <c r="H909" s="114" t="str">
        <f t="shared" si="13"/>
        <v/>
      </c>
      <c r="I909" s="17"/>
      <c r="J909" s="17"/>
      <c r="K909" s="17"/>
    </row>
    <row r="910" spans="1:11" x14ac:dyDescent="0.2">
      <c r="A910" s="115"/>
      <c r="B910" s="95"/>
      <c r="C910" s="94"/>
      <c r="D910" s="95"/>
      <c r="E910" s="95"/>
      <c r="F910" s="96"/>
      <c r="G910" s="97"/>
      <c r="H910" s="114" t="str">
        <f t="shared" si="13"/>
        <v/>
      </c>
      <c r="I910" s="17"/>
      <c r="J910" s="17"/>
      <c r="K910" s="17"/>
    </row>
    <row r="911" spans="1:11" x14ac:dyDescent="0.2">
      <c r="A911" s="115"/>
      <c r="B911" s="108"/>
      <c r="C911" s="107"/>
      <c r="D911" s="108"/>
      <c r="E911" s="108"/>
      <c r="F911" s="109"/>
      <c r="G911" s="110"/>
      <c r="H911" s="114" t="str">
        <f t="shared" si="13"/>
        <v/>
      </c>
      <c r="I911" s="17"/>
      <c r="J911" s="17"/>
      <c r="K911" s="17"/>
    </row>
    <row r="912" spans="1:11" x14ac:dyDescent="0.2">
      <c r="A912" s="115"/>
      <c r="B912" s="95"/>
      <c r="C912" s="94"/>
      <c r="D912" s="95"/>
      <c r="E912" s="95"/>
      <c r="F912" s="96"/>
      <c r="G912" s="97"/>
      <c r="H912" s="114" t="str">
        <f t="shared" si="13"/>
        <v/>
      </c>
      <c r="I912" s="17"/>
      <c r="J912" s="17"/>
      <c r="K912" s="17"/>
    </row>
    <row r="913" spans="1:11" x14ac:dyDescent="0.2">
      <c r="A913" s="115"/>
      <c r="B913" s="108"/>
      <c r="C913" s="107"/>
      <c r="D913" s="108"/>
      <c r="E913" s="108"/>
      <c r="F913" s="109"/>
      <c r="G913" s="110"/>
      <c r="H913" s="114" t="str">
        <f t="shared" si="13"/>
        <v/>
      </c>
      <c r="I913" s="17"/>
      <c r="J913" s="17"/>
      <c r="K913" s="17"/>
    </row>
    <row r="914" spans="1:11" x14ac:dyDescent="0.2">
      <c r="A914" s="115"/>
      <c r="B914" s="95"/>
      <c r="C914" s="94"/>
      <c r="D914" s="95"/>
      <c r="E914" s="95"/>
      <c r="F914" s="96"/>
      <c r="G914" s="97"/>
      <c r="H914" s="114" t="str">
        <f t="shared" si="13"/>
        <v/>
      </c>
      <c r="I914" s="17"/>
      <c r="J914" s="17"/>
      <c r="K914" s="17"/>
    </row>
    <row r="915" spans="1:11" x14ac:dyDescent="0.2">
      <c r="A915" s="115"/>
      <c r="B915" s="108"/>
      <c r="C915" s="107"/>
      <c r="D915" s="108"/>
      <c r="E915" s="108"/>
      <c r="F915" s="109"/>
      <c r="G915" s="110"/>
      <c r="H915" s="114" t="str">
        <f t="shared" si="13"/>
        <v/>
      </c>
      <c r="I915" s="17"/>
      <c r="J915" s="17"/>
      <c r="K915" s="17"/>
    </row>
    <row r="916" spans="1:11" x14ac:dyDescent="0.2">
      <c r="A916" s="115"/>
      <c r="B916" s="95"/>
      <c r="C916" s="94"/>
      <c r="D916" s="95"/>
      <c r="E916" s="95"/>
      <c r="F916" s="96"/>
      <c r="G916" s="97"/>
      <c r="H916" s="114" t="str">
        <f t="shared" si="13"/>
        <v/>
      </c>
      <c r="I916" s="17"/>
      <c r="J916" s="17"/>
      <c r="K916" s="17"/>
    </row>
    <row r="917" spans="1:11" x14ac:dyDescent="0.2">
      <c r="A917" s="115"/>
      <c r="B917" s="108"/>
      <c r="C917" s="107"/>
      <c r="D917" s="108"/>
      <c r="E917" s="108"/>
      <c r="F917" s="109"/>
      <c r="G917" s="110"/>
      <c r="H917" s="114" t="str">
        <f t="shared" si="13"/>
        <v/>
      </c>
      <c r="I917" s="17"/>
      <c r="J917" s="17"/>
      <c r="K917" s="17"/>
    </row>
    <row r="918" spans="1:11" x14ac:dyDescent="0.2">
      <c r="A918" s="115"/>
      <c r="B918" s="95"/>
      <c r="C918" s="94"/>
      <c r="D918" s="95"/>
      <c r="E918" s="95"/>
      <c r="F918" s="96"/>
      <c r="G918" s="97"/>
      <c r="H918" s="114" t="str">
        <f t="shared" si="13"/>
        <v/>
      </c>
      <c r="I918" s="17"/>
      <c r="J918" s="17"/>
      <c r="K918" s="17"/>
    </row>
    <row r="919" spans="1:11" x14ac:dyDescent="0.2">
      <c r="A919" s="115"/>
      <c r="B919" s="108"/>
      <c r="C919" s="107"/>
      <c r="D919" s="108"/>
      <c r="E919" s="108"/>
      <c r="F919" s="109"/>
      <c r="G919" s="110"/>
      <c r="H919" s="114" t="str">
        <f t="shared" si="13"/>
        <v/>
      </c>
      <c r="I919" s="17"/>
      <c r="J919" s="17"/>
      <c r="K919" s="17"/>
    </row>
    <row r="920" spans="1:11" x14ac:dyDescent="0.2">
      <c r="A920" s="115"/>
      <c r="B920" s="95"/>
      <c r="C920" s="94"/>
      <c r="D920" s="95"/>
      <c r="E920" s="95"/>
      <c r="F920" s="96"/>
      <c r="G920" s="97"/>
      <c r="H920" s="114" t="str">
        <f t="shared" si="13"/>
        <v/>
      </c>
      <c r="I920" s="17"/>
      <c r="J920" s="17"/>
      <c r="K920" s="17"/>
    </row>
    <row r="921" spans="1:11" x14ac:dyDescent="0.2">
      <c r="A921" s="115"/>
      <c r="B921" s="108"/>
      <c r="C921" s="107"/>
      <c r="D921" s="108"/>
      <c r="E921" s="108"/>
      <c r="F921" s="109"/>
      <c r="G921" s="110"/>
      <c r="H921" s="114" t="str">
        <f t="shared" si="13"/>
        <v/>
      </c>
      <c r="I921" s="17"/>
      <c r="J921" s="17"/>
      <c r="K921" s="17"/>
    </row>
    <row r="922" spans="1:11" x14ac:dyDescent="0.2">
      <c r="A922" s="115"/>
      <c r="B922" s="95"/>
      <c r="C922" s="94"/>
      <c r="D922" s="95"/>
      <c r="E922" s="95"/>
      <c r="F922" s="96"/>
      <c r="G922" s="97"/>
      <c r="H922" s="114" t="str">
        <f t="shared" si="13"/>
        <v/>
      </c>
      <c r="I922" s="17"/>
      <c r="J922" s="17"/>
      <c r="K922" s="17"/>
    </row>
    <row r="923" spans="1:11" x14ac:dyDescent="0.2">
      <c r="A923" s="115"/>
      <c r="B923" s="108"/>
      <c r="C923" s="107"/>
      <c r="D923" s="108"/>
      <c r="E923" s="108"/>
      <c r="F923" s="109"/>
      <c r="G923" s="110"/>
      <c r="H923" s="114" t="str">
        <f t="shared" si="13"/>
        <v/>
      </c>
      <c r="I923" s="17"/>
      <c r="J923" s="17"/>
      <c r="K923" s="17"/>
    </row>
    <row r="924" spans="1:11" x14ac:dyDescent="0.2">
      <c r="A924" s="115"/>
      <c r="B924" s="95"/>
      <c r="C924" s="94"/>
      <c r="D924" s="95"/>
      <c r="E924" s="95"/>
      <c r="F924" s="96"/>
      <c r="G924" s="97"/>
      <c r="H924" s="114" t="str">
        <f t="shared" si="13"/>
        <v/>
      </c>
      <c r="I924" s="17"/>
      <c r="J924" s="17"/>
      <c r="K924" s="17"/>
    </row>
    <row r="925" spans="1:11" x14ac:dyDescent="0.2">
      <c r="A925" s="115"/>
      <c r="B925" s="108"/>
      <c r="C925" s="107"/>
      <c r="D925" s="108"/>
      <c r="E925" s="108"/>
      <c r="F925" s="109"/>
      <c r="G925" s="110"/>
      <c r="H925" s="114" t="str">
        <f t="shared" si="13"/>
        <v/>
      </c>
      <c r="I925" s="17"/>
      <c r="J925" s="17"/>
      <c r="K925" s="17"/>
    </row>
    <row r="926" spans="1:11" x14ac:dyDescent="0.2">
      <c r="A926" s="115"/>
      <c r="B926" s="95"/>
      <c r="C926" s="94"/>
      <c r="D926" s="95"/>
      <c r="E926" s="95"/>
      <c r="F926" s="96"/>
      <c r="G926" s="97"/>
      <c r="H926" s="114" t="str">
        <f t="shared" si="13"/>
        <v/>
      </c>
      <c r="I926" s="17"/>
      <c r="J926" s="17"/>
      <c r="K926" s="17"/>
    </row>
    <row r="927" spans="1:11" x14ac:dyDescent="0.2">
      <c r="A927" s="115"/>
      <c r="B927" s="108"/>
      <c r="C927" s="107"/>
      <c r="D927" s="108"/>
      <c r="E927" s="108"/>
      <c r="F927" s="109"/>
      <c r="G927" s="110"/>
      <c r="H927" s="114" t="str">
        <f t="shared" si="13"/>
        <v/>
      </c>
      <c r="I927" s="17"/>
      <c r="J927" s="17"/>
      <c r="K927" s="17"/>
    </row>
    <row r="928" spans="1:11" x14ac:dyDescent="0.2">
      <c r="A928" s="115"/>
      <c r="B928" s="95"/>
      <c r="C928" s="94"/>
      <c r="D928" s="95"/>
      <c r="E928" s="95"/>
      <c r="F928" s="96"/>
      <c r="G928" s="97"/>
      <c r="H928" s="114" t="str">
        <f t="shared" si="13"/>
        <v/>
      </c>
      <c r="I928" s="17"/>
      <c r="J928" s="17"/>
      <c r="K928" s="17"/>
    </row>
    <row r="929" spans="1:11" x14ac:dyDescent="0.2">
      <c r="A929" s="115"/>
      <c r="B929" s="108"/>
      <c r="C929" s="107"/>
      <c r="D929" s="108"/>
      <c r="E929" s="108"/>
      <c r="F929" s="109"/>
      <c r="G929" s="110"/>
      <c r="H929" s="114" t="str">
        <f t="shared" si="13"/>
        <v/>
      </c>
      <c r="I929" s="17"/>
      <c r="J929" s="17"/>
      <c r="K929" s="17"/>
    </row>
    <row r="930" spans="1:11" x14ac:dyDescent="0.2">
      <c r="A930" s="115"/>
      <c r="B930" s="95"/>
      <c r="C930" s="94"/>
      <c r="D930" s="95"/>
      <c r="E930" s="95"/>
      <c r="F930" s="96"/>
      <c r="G930" s="97"/>
      <c r="H930" s="114" t="str">
        <f t="shared" si="13"/>
        <v/>
      </c>
      <c r="I930" s="17"/>
      <c r="J930" s="17"/>
      <c r="K930" s="17"/>
    </row>
    <row r="931" spans="1:11" x14ac:dyDescent="0.2">
      <c r="A931" s="115"/>
      <c r="B931" s="108"/>
      <c r="C931" s="107"/>
      <c r="D931" s="108"/>
      <c r="E931" s="108"/>
      <c r="F931" s="109"/>
      <c r="G931" s="110"/>
      <c r="H931" s="114" t="str">
        <f t="shared" si="13"/>
        <v/>
      </c>
      <c r="I931" s="17"/>
      <c r="J931" s="17"/>
      <c r="K931" s="17"/>
    </row>
    <row r="932" spans="1:11" x14ac:dyDescent="0.2">
      <c r="A932" s="115"/>
      <c r="B932" s="95"/>
      <c r="C932" s="94"/>
      <c r="D932" s="95"/>
      <c r="E932" s="95"/>
      <c r="F932" s="96"/>
      <c r="G932" s="97"/>
      <c r="H932" s="114" t="str">
        <f t="shared" si="13"/>
        <v/>
      </c>
      <c r="I932" s="17"/>
      <c r="J932" s="17"/>
      <c r="K932" s="17"/>
    </row>
    <row r="933" spans="1:11" x14ac:dyDescent="0.2">
      <c r="A933" s="115"/>
      <c r="B933" s="108"/>
      <c r="C933" s="107"/>
      <c r="D933" s="108"/>
      <c r="E933" s="108"/>
      <c r="F933" s="109"/>
      <c r="G933" s="110"/>
      <c r="H933" s="114" t="str">
        <f t="shared" si="13"/>
        <v/>
      </c>
      <c r="I933" s="17"/>
      <c r="J933" s="17"/>
      <c r="K933" s="17"/>
    </row>
    <row r="934" spans="1:11" x14ac:dyDescent="0.2">
      <c r="A934" s="115"/>
      <c r="B934" s="95"/>
      <c r="C934" s="94"/>
      <c r="D934" s="95"/>
      <c r="E934" s="95"/>
      <c r="F934" s="96"/>
      <c r="G934" s="97"/>
      <c r="H934" s="114" t="str">
        <f t="shared" si="13"/>
        <v/>
      </c>
      <c r="I934" s="17"/>
      <c r="J934" s="17"/>
      <c r="K934" s="17"/>
    </row>
    <row r="935" spans="1:11" x14ac:dyDescent="0.2">
      <c r="A935" s="115"/>
      <c r="B935" s="108"/>
      <c r="C935" s="107"/>
      <c r="D935" s="108"/>
      <c r="E935" s="108"/>
      <c r="F935" s="109"/>
      <c r="G935" s="110"/>
      <c r="H935" s="114" t="str">
        <f t="shared" si="13"/>
        <v/>
      </c>
      <c r="I935" s="17"/>
      <c r="J935" s="17"/>
      <c r="K935" s="17"/>
    </row>
    <row r="936" spans="1:11" x14ac:dyDescent="0.2">
      <c r="A936" s="115"/>
      <c r="B936" s="95"/>
      <c r="C936" s="94"/>
      <c r="D936" s="95"/>
      <c r="E936" s="95"/>
      <c r="F936" s="96"/>
      <c r="G936" s="97"/>
      <c r="H936" s="114" t="str">
        <f t="shared" si="13"/>
        <v/>
      </c>
      <c r="I936" s="17"/>
      <c r="J936" s="17"/>
      <c r="K936" s="17"/>
    </row>
    <row r="937" spans="1:11" x14ac:dyDescent="0.2">
      <c r="A937" s="115"/>
      <c r="B937" s="108"/>
      <c r="C937" s="107"/>
      <c r="D937" s="108"/>
      <c r="E937" s="108"/>
      <c r="F937" s="109"/>
      <c r="G937" s="110"/>
      <c r="H937" s="114" t="str">
        <f t="shared" si="13"/>
        <v/>
      </c>
      <c r="I937" s="17"/>
      <c r="J937" s="17"/>
      <c r="K937" s="17"/>
    </row>
    <row r="938" spans="1:11" x14ac:dyDescent="0.2">
      <c r="A938" s="115"/>
      <c r="B938" s="95"/>
      <c r="C938" s="94"/>
      <c r="D938" s="95"/>
      <c r="E938" s="95"/>
      <c r="F938" s="96"/>
      <c r="G938" s="97"/>
      <c r="H938" s="114" t="str">
        <f t="shared" si="13"/>
        <v/>
      </c>
      <c r="I938" s="17"/>
      <c r="J938" s="17"/>
      <c r="K938" s="17"/>
    </row>
    <row r="939" spans="1:11" x14ac:dyDescent="0.2">
      <c r="A939" s="115"/>
      <c r="B939" s="108"/>
      <c r="C939" s="107"/>
      <c r="D939" s="108"/>
      <c r="E939" s="108"/>
      <c r="F939" s="109"/>
      <c r="G939" s="110"/>
      <c r="H939" s="114" t="str">
        <f t="shared" si="13"/>
        <v/>
      </c>
      <c r="I939" s="17"/>
      <c r="J939" s="17"/>
      <c r="K939" s="17"/>
    </row>
    <row r="940" spans="1:11" x14ac:dyDescent="0.2">
      <c r="A940" s="115"/>
      <c r="B940" s="95"/>
      <c r="C940" s="94"/>
      <c r="D940" s="95"/>
      <c r="E940" s="95"/>
      <c r="F940" s="96"/>
      <c r="G940" s="97"/>
      <c r="H940" s="114" t="str">
        <f t="shared" si="13"/>
        <v/>
      </c>
      <c r="I940" s="17"/>
      <c r="J940" s="17"/>
      <c r="K940" s="17"/>
    </row>
    <row r="941" spans="1:11" x14ac:dyDescent="0.2">
      <c r="A941" s="115"/>
      <c r="B941" s="108"/>
      <c r="C941" s="107"/>
      <c r="D941" s="108"/>
      <c r="E941" s="108"/>
      <c r="F941" s="109"/>
      <c r="G941" s="110"/>
      <c r="H941" s="114" t="str">
        <f t="shared" si="13"/>
        <v/>
      </c>
      <c r="I941" s="17"/>
      <c r="J941" s="17"/>
      <c r="K941" s="17"/>
    </row>
    <row r="942" spans="1:11" x14ac:dyDescent="0.2">
      <c r="A942" s="115"/>
      <c r="B942" s="95"/>
      <c r="C942" s="94"/>
      <c r="D942" s="95"/>
      <c r="E942" s="95"/>
      <c r="F942" s="96"/>
      <c r="G942" s="97"/>
      <c r="H942" s="114" t="str">
        <f t="shared" si="13"/>
        <v/>
      </c>
      <c r="I942" s="17"/>
      <c r="J942" s="17"/>
      <c r="K942" s="17"/>
    </row>
    <row r="943" spans="1:11" x14ac:dyDescent="0.2">
      <c r="A943" s="115"/>
      <c r="B943" s="108"/>
      <c r="C943" s="107"/>
      <c r="D943" s="108"/>
      <c r="E943" s="108"/>
      <c r="F943" s="109"/>
      <c r="G943" s="110"/>
      <c r="H943" s="114" t="str">
        <f t="shared" si="13"/>
        <v/>
      </c>
      <c r="I943" s="17"/>
      <c r="J943" s="17"/>
      <c r="K943" s="17"/>
    </row>
    <row r="944" spans="1:11" x14ac:dyDescent="0.2">
      <c r="A944" s="115"/>
      <c r="B944" s="95"/>
      <c r="C944" s="94"/>
      <c r="D944" s="95"/>
      <c r="E944" s="95"/>
      <c r="F944" s="96"/>
      <c r="G944" s="97"/>
      <c r="H944" s="114" t="str">
        <f t="shared" si="13"/>
        <v/>
      </c>
      <c r="I944" s="17"/>
      <c r="J944" s="17"/>
      <c r="K944" s="17"/>
    </row>
    <row r="945" spans="1:11" x14ac:dyDescent="0.2">
      <c r="A945" s="115"/>
      <c r="B945" s="108"/>
      <c r="C945" s="107"/>
      <c r="D945" s="108"/>
      <c r="E945" s="108"/>
      <c r="F945" s="109"/>
      <c r="G945" s="110"/>
      <c r="H945" s="114" t="str">
        <f t="shared" si="13"/>
        <v/>
      </c>
      <c r="I945" s="17"/>
      <c r="J945" s="17"/>
      <c r="K945" s="17"/>
    </row>
    <row r="946" spans="1:11" x14ac:dyDescent="0.2">
      <c r="A946" s="115"/>
      <c r="B946" s="95"/>
      <c r="C946" s="94"/>
      <c r="D946" s="95"/>
      <c r="E946" s="95"/>
      <c r="F946" s="96"/>
      <c r="G946" s="97"/>
      <c r="H946" s="114" t="str">
        <f t="shared" si="13"/>
        <v/>
      </c>
      <c r="I946" s="17"/>
      <c r="J946" s="17"/>
      <c r="K946" s="17"/>
    </row>
    <row r="947" spans="1:11" x14ac:dyDescent="0.2">
      <c r="A947" s="115"/>
      <c r="B947" s="108"/>
      <c r="C947" s="107"/>
      <c r="D947" s="108"/>
      <c r="E947" s="108"/>
      <c r="F947" s="109"/>
      <c r="G947" s="110"/>
      <c r="H947" s="114" t="str">
        <f t="shared" si="13"/>
        <v/>
      </c>
      <c r="I947" s="17"/>
      <c r="J947" s="17"/>
      <c r="K947" s="17"/>
    </row>
    <row r="948" spans="1:11" x14ac:dyDescent="0.2">
      <c r="A948" s="115"/>
      <c r="B948" s="95"/>
      <c r="C948" s="94"/>
      <c r="D948" s="95"/>
      <c r="E948" s="95"/>
      <c r="F948" s="96"/>
      <c r="G948" s="97"/>
      <c r="H948" s="114" t="str">
        <f t="shared" si="13"/>
        <v/>
      </c>
      <c r="I948" s="17"/>
      <c r="J948" s="17"/>
      <c r="K948" s="17"/>
    </row>
    <row r="949" spans="1:11" x14ac:dyDescent="0.2">
      <c r="A949" s="115"/>
      <c r="B949" s="108"/>
      <c r="C949" s="107"/>
      <c r="D949" s="108"/>
      <c r="E949" s="108"/>
      <c r="F949" s="109"/>
      <c r="G949" s="110"/>
      <c r="H949" s="114" t="str">
        <f t="shared" si="13"/>
        <v/>
      </c>
      <c r="I949" s="17"/>
      <c r="J949" s="17"/>
      <c r="K949" s="17"/>
    </row>
    <row r="950" spans="1:11" x14ac:dyDescent="0.2">
      <c r="A950" s="115"/>
      <c r="B950" s="95"/>
      <c r="C950" s="94"/>
      <c r="D950" s="95"/>
      <c r="E950" s="95"/>
      <c r="F950" s="96"/>
      <c r="G950" s="97"/>
      <c r="H950" s="114" t="str">
        <f t="shared" si="13"/>
        <v/>
      </c>
      <c r="I950" s="17"/>
      <c r="J950" s="17"/>
      <c r="K950" s="17"/>
    </row>
    <row r="951" spans="1:11" x14ac:dyDescent="0.2">
      <c r="A951" s="115"/>
      <c r="B951" s="108"/>
      <c r="C951" s="107"/>
      <c r="D951" s="108"/>
      <c r="E951" s="108"/>
      <c r="F951" s="109"/>
      <c r="G951" s="110"/>
      <c r="H951" s="114" t="str">
        <f t="shared" si="13"/>
        <v/>
      </c>
      <c r="I951" s="17"/>
      <c r="J951" s="17"/>
      <c r="K951" s="17"/>
    </row>
    <row r="952" spans="1:11" x14ac:dyDescent="0.2">
      <c r="A952" s="115"/>
      <c r="B952" s="95"/>
      <c r="C952" s="94"/>
      <c r="D952" s="95"/>
      <c r="E952" s="95"/>
      <c r="F952" s="96"/>
      <c r="G952" s="97"/>
      <c r="H952" s="114" t="str">
        <f t="shared" si="13"/>
        <v/>
      </c>
      <c r="I952" s="17"/>
      <c r="J952" s="17"/>
      <c r="K952" s="17"/>
    </row>
    <row r="953" spans="1:11" x14ac:dyDescent="0.2">
      <c r="A953" s="115"/>
      <c r="B953" s="108"/>
      <c r="C953" s="107"/>
      <c r="D953" s="108"/>
      <c r="E953" s="108"/>
      <c r="F953" s="109"/>
      <c r="G953" s="110"/>
      <c r="H953" s="114" t="str">
        <f t="shared" si="13"/>
        <v/>
      </c>
      <c r="I953" s="17"/>
      <c r="J953" s="17"/>
      <c r="K953" s="17"/>
    </row>
    <row r="954" spans="1:11" x14ac:dyDescent="0.2">
      <c r="A954" s="115"/>
      <c r="B954" s="95"/>
      <c r="C954" s="94"/>
      <c r="D954" s="95"/>
      <c r="E954" s="95"/>
      <c r="F954" s="96"/>
      <c r="G954" s="97"/>
      <c r="H954" s="114" t="str">
        <f t="shared" si="13"/>
        <v/>
      </c>
      <c r="I954" s="17"/>
      <c r="J954" s="17"/>
      <c r="K954" s="17"/>
    </row>
    <row r="955" spans="1:11" x14ac:dyDescent="0.2">
      <c r="A955" s="115"/>
      <c r="B955" s="108"/>
      <c r="C955" s="107"/>
      <c r="D955" s="108"/>
      <c r="E955" s="108"/>
      <c r="F955" s="109"/>
      <c r="G955" s="110"/>
      <c r="H955" s="114" t="str">
        <f t="shared" si="13"/>
        <v/>
      </c>
      <c r="I955" s="17"/>
      <c r="J955" s="17"/>
      <c r="K955" s="17"/>
    </row>
    <row r="956" spans="1:11" x14ac:dyDescent="0.2">
      <c r="A956" s="115"/>
      <c r="B956" s="95"/>
      <c r="C956" s="94"/>
      <c r="D956" s="95"/>
      <c r="E956" s="95"/>
      <c r="F956" s="96"/>
      <c r="G956" s="97"/>
      <c r="H956" s="114" t="str">
        <f t="shared" si="13"/>
        <v/>
      </c>
      <c r="I956" s="17"/>
      <c r="J956" s="17"/>
      <c r="K956" s="17"/>
    </row>
    <row r="957" spans="1:11" x14ac:dyDescent="0.2">
      <c r="A957" s="115"/>
      <c r="B957" s="108"/>
      <c r="C957" s="107"/>
      <c r="D957" s="108"/>
      <c r="E957" s="108"/>
      <c r="F957" s="109"/>
      <c r="G957" s="110"/>
      <c r="H957" s="114" t="str">
        <f t="shared" si="13"/>
        <v/>
      </c>
      <c r="I957" s="17"/>
      <c r="J957" s="17"/>
      <c r="K957" s="17"/>
    </row>
    <row r="958" spans="1:11" x14ac:dyDescent="0.2">
      <c r="A958" s="115"/>
      <c r="B958" s="95"/>
      <c r="C958" s="94"/>
      <c r="D958" s="95"/>
      <c r="E958" s="95"/>
      <c r="F958" s="96"/>
      <c r="G958" s="97"/>
      <c r="H958" s="114" t="str">
        <f t="shared" si="13"/>
        <v/>
      </c>
      <c r="I958" s="17"/>
      <c r="J958" s="17"/>
      <c r="K958" s="17"/>
    </row>
    <row r="959" spans="1:11" x14ac:dyDescent="0.2">
      <c r="A959" s="115"/>
      <c r="B959" s="108"/>
      <c r="C959" s="107"/>
      <c r="D959" s="108"/>
      <c r="E959" s="108"/>
      <c r="F959" s="109"/>
      <c r="G959" s="110"/>
      <c r="H959" s="114" t="str">
        <f t="shared" si="13"/>
        <v/>
      </c>
      <c r="I959" s="17"/>
      <c r="J959" s="17"/>
      <c r="K959" s="17"/>
    </row>
    <row r="960" spans="1:11" x14ac:dyDescent="0.2">
      <c r="A960" s="115"/>
      <c r="B960" s="95"/>
      <c r="C960" s="94"/>
      <c r="D960" s="95"/>
      <c r="E960" s="95"/>
      <c r="F960" s="96"/>
      <c r="G960" s="97"/>
      <c r="H960" s="114" t="str">
        <f t="shared" si="13"/>
        <v/>
      </c>
      <c r="I960" s="17"/>
      <c r="J960" s="17"/>
      <c r="K960" s="17"/>
    </row>
    <row r="961" spans="1:11" x14ac:dyDescent="0.2">
      <c r="A961" s="115"/>
      <c r="B961" s="108"/>
      <c r="C961" s="107"/>
      <c r="D961" s="108"/>
      <c r="E961" s="108"/>
      <c r="F961" s="109"/>
      <c r="G961" s="110"/>
      <c r="H961" s="114" t="str">
        <f t="shared" si="13"/>
        <v/>
      </c>
      <c r="I961" s="17"/>
      <c r="J961" s="17"/>
      <c r="K961" s="17"/>
    </row>
    <row r="962" spans="1:11" x14ac:dyDescent="0.2">
      <c r="A962" s="115"/>
      <c r="B962" s="95"/>
      <c r="C962" s="94"/>
      <c r="D962" s="95"/>
      <c r="E962" s="95"/>
      <c r="F962" s="96"/>
      <c r="G962" s="97"/>
      <c r="H962" s="114" t="str">
        <f t="shared" si="13"/>
        <v/>
      </c>
      <c r="I962" s="17"/>
      <c r="J962" s="17"/>
      <c r="K962" s="17"/>
    </row>
    <row r="963" spans="1:11" x14ac:dyDescent="0.2">
      <c r="A963" s="115"/>
      <c r="B963" s="108"/>
      <c r="C963" s="107"/>
      <c r="D963" s="108"/>
      <c r="E963" s="108"/>
      <c r="F963" s="109"/>
      <c r="G963" s="110"/>
      <c r="H963" s="114" t="str">
        <f t="shared" si="13"/>
        <v/>
      </c>
      <c r="I963" s="17"/>
      <c r="J963" s="17"/>
      <c r="K963" s="17"/>
    </row>
    <row r="964" spans="1:11" x14ac:dyDescent="0.2">
      <c r="A964" s="115"/>
      <c r="B964" s="95"/>
      <c r="C964" s="94"/>
      <c r="D964" s="95"/>
      <c r="E964" s="95"/>
      <c r="F964" s="96"/>
      <c r="G964" s="97"/>
      <c r="H964" s="114" t="str">
        <f t="shared" ref="H964:H1000" si="14">IF(A964&lt;&gt;"", EOMONTH(A964, -1) + 1, "")</f>
        <v/>
      </c>
      <c r="I964" s="17"/>
      <c r="J964" s="17"/>
      <c r="K964" s="17"/>
    </row>
    <row r="965" spans="1:11" x14ac:dyDescent="0.2">
      <c r="A965" s="115"/>
      <c r="B965" s="108"/>
      <c r="C965" s="107"/>
      <c r="D965" s="108"/>
      <c r="E965" s="108"/>
      <c r="F965" s="109"/>
      <c r="G965" s="110"/>
      <c r="H965" s="114" t="str">
        <f t="shared" si="14"/>
        <v/>
      </c>
      <c r="I965" s="17"/>
      <c r="J965" s="17"/>
      <c r="K965" s="17"/>
    </row>
    <row r="966" spans="1:11" x14ac:dyDescent="0.2">
      <c r="A966" s="115"/>
      <c r="B966" s="95"/>
      <c r="C966" s="94"/>
      <c r="D966" s="95"/>
      <c r="E966" s="95"/>
      <c r="F966" s="96"/>
      <c r="G966" s="97"/>
      <c r="H966" s="114" t="str">
        <f t="shared" si="14"/>
        <v/>
      </c>
      <c r="I966" s="17"/>
      <c r="J966" s="17"/>
      <c r="K966" s="17"/>
    </row>
    <row r="967" spans="1:11" x14ac:dyDescent="0.2">
      <c r="A967" s="115"/>
      <c r="B967" s="108"/>
      <c r="C967" s="107"/>
      <c r="D967" s="108"/>
      <c r="E967" s="108"/>
      <c r="F967" s="109"/>
      <c r="G967" s="110"/>
      <c r="H967" s="114" t="str">
        <f t="shared" si="14"/>
        <v/>
      </c>
      <c r="I967" s="17"/>
      <c r="J967" s="17"/>
      <c r="K967" s="17"/>
    </row>
    <row r="968" spans="1:11" x14ac:dyDescent="0.2">
      <c r="A968" s="115"/>
      <c r="B968" s="95"/>
      <c r="C968" s="94"/>
      <c r="D968" s="95"/>
      <c r="E968" s="95"/>
      <c r="F968" s="96"/>
      <c r="G968" s="97"/>
      <c r="H968" s="114" t="str">
        <f t="shared" si="14"/>
        <v/>
      </c>
      <c r="I968" s="17"/>
      <c r="J968" s="17"/>
      <c r="K968" s="17"/>
    </row>
    <row r="969" spans="1:11" x14ac:dyDescent="0.2">
      <c r="A969" s="115"/>
      <c r="B969" s="108"/>
      <c r="C969" s="107"/>
      <c r="D969" s="108"/>
      <c r="E969" s="108"/>
      <c r="F969" s="109"/>
      <c r="G969" s="110"/>
      <c r="H969" s="114" t="str">
        <f t="shared" si="14"/>
        <v/>
      </c>
      <c r="I969" s="17"/>
      <c r="J969" s="17"/>
      <c r="K969" s="17"/>
    </row>
    <row r="970" spans="1:11" x14ac:dyDescent="0.2">
      <c r="A970" s="115"/>
      <c r="B970" s="95"/>
      <c r="C970" s="94"/>
      <c r="D970" s="95"/>
      <c r="E970" s="95"/>
      <c r="F970" s="96"/>
      <c r="G970" s="97"/>
      <c r="H970" s="114" t="str">
        <f t="shared" si="14"/>
        <v/>
      </c>
      <c r="I970" s="17"/>
      <c r="J970" s="17"/>
      <c r="K970" s="17"/>
    </row>
    <row r="971" spans="1:11" x14ac:dyDescent="0.2">
      <c r="A971" s="115"/>
      <c r="B971" s="108"/>
      <c r="C971" s="107"/>
      <c r="D971" s="108"/>
      <c r="E971" s="108"/>
      <c r="F971" s="109"/>
      <c r="G971" s="110"/>
      <c r="H971" s="114" t="str">
        <f t="shared" si="14"/>
        <v/>
      </c>
      <c r="I971" s="17"/>
      <c r="J971" s="17"/>
      <c r="K971" s="17"/>
    </row>
    <row r="972" spans="1:11" x14ac:dyDescent="0.2">
      <c r="A972" s="115"/>
      <c r="B972" s="95"/>
      <c r="C972" s="94"/>
      <c r="D972" s="95"/>
      <c r="E972" s="95"/>
      <c r="F972" s="96"/>
      <c r="G972" s="97"/>
      <c r="H972" s="114" t="str">
        <f t="shared" si="14"/>
        <v/>
      </c>
      <c r="I972" s="17"/>
      <c r="J972" s="17"/>
      <c r="K972" s="17"/>
    </row>
    <row r="973" spans="1:11" x14ac:dyDescent="0.2">
      <c r="A973" s="115"/>
      <c r="B973" s="108"/>
      <c r="C973" s="107"/>
      <c r="D973" s="108"/>
      <c r="E973" s="108"/>
      <c r="F973" s="109"/>
      <c r="G973" s="110"/>
      <c r="H973" s="114" t="str">
        <f t="shared" si="14"/>
        <v/>
      </c>
      <c r="I973" s="17"/>
      <c r="J973" s="17"/>
      <c r="K973" s="17"/>
    </row>
    <row r="974" spans="1:11" x14ac:dyDescent="0.2">
      <c r="A974" s="115"/>
      <c r="B974" s="95"/>
      <c r="C974" s="94"/>
      <c r="D974" s="95"/>
      <c r="E974" s="95"/>
      <c r="F974" s="96"/>
      <c r="G974" s="97"/>
      <c r="H974" s="114" t="str">
        <f t="shared" si="14"/>
        <v/>
      </c>
      <c r="I974" s="17"/>
      <c r="J974" s="17"/>
      <c r="K974" s="17"/>
    </row>
    <row r="975" spans="1:11" x14ac:dyDescent="0.2">
      <c r="A975" s="115"/>
      <c r="B975" s="108"/>
      <c r="C975" s="107"/>
      <c r="D975" s="108"/>
      <c r="E975" s="108"/>
      <c r="F975" s="109"/>
      <c r="G975" s="110"/>
      <c r="H975" s="114" t="str">
        <f t="shared" si="14"/>
        <v/>
      </c>
      <c r="I975" s="17"/>
      <c r="J975" s="17"/>
      <c r="K975" s="17"/>
    </row>
    <row r="976" spans="1:11" x14ac:dyDescent="0.2">
      <c r="A976" s="115"/>
      <c r="B976" s="95"/>
      <c r="C976" s="94"/>
      <c r="D976" s="95"/>
      <c r="E976" s="95"/>
      <c r="F976" s="96"/>
      <c r="G976" s="97"/>
      <c r="H976" s="114" t="str">
        <f t="shared" si="14"/>
        <v/>
      </c>
      <c r="I976" s="17"/>
      <c r="J976" s="17"/>
      <c r="K976" s="17"/>
    </row>
    <row r="977" spans="1:11" x14ac:dyDescent="0.2">
      <c r="A977" s="115"/>
      <c r="B977" s="108"/>
      <c r="C977" s="107"/>
      <c r="D977" s="108"/>
      <c r="E977" s="108"/>
      <c r="F977" s="109"/>
      <c r="G977" s="110"/>
      <c r="H977" s="114" t="str">
        <f t="shared" si="14"/>
        <v/>
      </c>
      <c r="I977" s="17"/>
      <c r="J977" s="17"/>
      <c r="K977" s="17"/>
    </row>
    <row r="978" spans="1:11" x14ac:dyDescent="0.2">
      <c r="A978" s="115"/>
      <c r="B978" s="95"/>
      <c r="C978" s="94"/>
      <c r="D978" s="95"/>
      <c r="E978" s="95"/>
      <c r="F978" s="96"/>
      <c r="G978" s="97"/>
      <c r="H978" s="114" t="str">
        <f t="shared" si="14"/>
        <v/>
      </c>
      <c r="I978" s="17"/>
      <c r="J978" s="17"/>
      <c r="K978" s="17"/>
    </row>
    <row r="979" spans="1:11" x14ac:dyDescent="0.2">
      <c r="A979" s="115"/>
      <c r="B979" s="108"/>
      <c r="C979" s="107"/>
      <c r="D979" s="108"/>
      <c r="E979" s="108"/>
      <c r="F979" s="109"/>
      <c r="G979" s="110"/>
      <c r="H979" s="114" t="str">
        <f t="shared" si="14"/>
        <v/>
      </c>
      <c r="I979" s="17"/>
      <c r="J979" s="17"/>
      <c r="K979" s="17"/>
    </row>
    <row r="980" spans="1:11" x14ac:dyDescent="0.2">
      <c r="A980" s="115"/>
      <c r="B980" s="95"/>
      <c r="C980" s="94"/>
      <c r="D980" s="95"/>
      <c r="E980" s="95"/>
      <c r="F980" s="96"/>
      <c r="G980" s="97"/>
      <c r="H980" s="114" t="str">
        <f t="shared" si="14"/>
        <v/>
      </c>
      <c r="I980" s="17"/>
      <c r="J980" s="17"/>
      <c r="K980" s="17"/>
    </row>
    <row r="981" spans="1:11" x14ac:dyDescent="0.2">
      <c r="A981" s="115"/>
      <c r="B981" s="108"/>
      <c r="C981" s="107"/>
      <c r="D981" s="108"/>
      <c r="E981" s="108"/>
      <c r="F981" s="109"/>
      <c r="G981" s="110"/>
      <c r="H981" s="114" t="str">
        <f t="shared" si="14"/>
        <v/>
      </c>
      <c r="I981" s="17"/>
      <c r="J981" s="17"/>
      <c r="K981" s="17"/>
    </row>
    <row r="982" spans="1:11" x14ac:dyDescent="0.2">
      <c r="A982" s="115"/>
      <c r="B982" s="95"/>
      <c r="C982" s="94"/>
      <c r="D982" s="95"/>
      <c r="E982" s="95"/>
      <c r="F982" s="96"/>
      <c r="G982" s="97"/>
      <c r="H982" s="114" t="str">
        <f t="shared" si="14"/>
        <v/>
      </c>
      <c r="I982" s="17"/>
      <c r="J982" s="17"/>
      <c r="K982" s="17"/>
    </row>
    <row r="983" spans="1:11" x14ac:dyDescent="0.2">
      <c r="A983" s="115"/>
      <c r="B983" s="108"/>
      <c r="C983" s="107"/>
      <c r="D983" s="108"/>
      <c r="E983" s="108"/>
      <c r="F983" s="109"/>
      <c r="G983" s="110"/>
      <c r="H983" s="114" t="str">
        <f t="shared" si="14"/>
        <v/>
      </c>
      <c r="I983" s="17"/>
      <c r="J983" s="17"/>
      <c r="K983" s="17"/>
    </row>
    <row r="984" spans="1:11" x14ac:dyDescent="0.2">
      <c r="A984" s="115"/>
      <c r="B984" s="95"/>
      <c r="C984" s="94"/>
      <c r="D984" s="95"/>
      <c r="E984" s="95"/>
      <c r="F984" s="96"/>
      <c r="G984" s="97"/>
      <c r="H984" s="114" t="str">
        <f t="shared" si="14"/>
        <v/>
      </c>
      <c r="I984" s="17"/>
      <c r="J984" s="17"/>
      <c r="K984" s="17"/>
    </row>
    <row r="985" spans="1:11" x14ac:dyDescent="0.2">
      <c r="A985" s="115"/>
      <c r="B985" s="108"/>
      <c r="C985" s="107"/>
      <c r="D985" s="108"/>
      <c r="E985" s="108"/>
      <c r="F985" s="109"/>
      <c r="G985" s="110"/>
      <c r="H985" s="114" t="str">
        <f t="shared" si="14"/>
        <v/>
      </c>
      <c r="I985" s="17"/>
      <c r="J985" s="17"/>
      <c r="K985" s="17"/>
    </row>
    <row r="986" spans="1:11" x14ac:dyDescent="0.2">
      <c r="A986" s="115"/>
      <c r="B986" s="95"/>
      <c r="C986" s="94"/>
      <c r="D986" s="95"/>
      <c r="E986" s="95"/>
      <c r="F986" s="96"/>
      <c r="G986" s="97"/>
      <c r="H986" s="114" t="str">
        <f t="shared" si="14"/>
        <v/>
      </c>
      <c r="I986" s="17"/>
      <c r="J986" s="17"/>
      <c r="K986" s="17"/>
    </row>
    <row r="987" spans="1:11" x14ac:dyDescent="0.2">
      <c r="A987" s="115"/>
      <c r="B987" s="108"/>
      <c r="C987" s="107"/>
      <c r="D987" s="108"/>
      <c r="E987" s="108"/>
      <c r="F987" s="109"/>
      <c r="G987" s="110"/>
      <c r="H987" s="114" t="str">
        <f t="shared" si="14"/>
        <v/>
      </c>
      <c r="I987" s="17"/>
      <c r="J987" s="17"/>
      <c r="K987" s="17"/>
    </row>
    <row r="988" spans="1:11" x14ac:dyDescent="0.2">
      <c r="A988" s="115"/>
      <c r="B988" s="95"/>
      <c r="C988" s="94"/>
      <c r="D988" s="95"/>
      <c r="E988" s="95"/>
      <c r="F988" s="96"/>
      <c r="G988" s="97"/>
      <c r="H988" s="114" t="str">
        <f t="shared" si="14"/>
        <v/>
      </c>
      <c r="I988" s="17"/>
      <c r="J988" s="17"/>
      <c r="K988" s="17"/>
    </row>
    <row r="989" spans="1:11" x14ac:dyDescent="0.2">
      <c r="A989" s="115"/>
      <c r="B989" s="108"/>
      <c r="C989" s="107"/>
      <c r="D989" s="108"/>
      <c r="E989" s="108"/>
      <c r="F989" s="109"/>
      <c r="G989" s="110"/>
      <c r="H989" s="114" t="str">
        <f t="shared" si="14"/>
        <v/>
      </c>
      <c r="I989" s="17"/>
      <c r="J989" s="17"/>
      <c r="K989" s="17"/>
    </row>
    <row r="990" spans="1:11" x14ac:dyDescent="0.2">
      <c r="A990" s="115"/>
      <c r="B990" s="95"/>
      <c r="C990" s="94"/>
      <c r="D990" s="95"/>
      <c r="E990" s="95"/>
      <c r="F990" s="96"/>
      <c r="G990" s="97"/>
      <c r="H990" s="114" t="str">
        <f t="shared" si="14"/>
        <v/>
      </c>
      <c r="I990" s="17"/>
      <c r="J990" s="17"/>
      <c r="K990" s="17"/>
    </row>
    <row r="991" spans="1:11" x14ac:dyDescent="0.2">
      <c r="A991" s="115"/>
      <c r="B991" s="108"/>
      <c r="C991" s="107"/>
      <c r="D991" s="108"/>
      <c r="E991" s="108"/>
      <c r="F991" s="109"/>
      <c r="G991" s="110"/>
      <c r="H991" s="114" t="str">
        <f t="shared" si="14"/>
        <v/>
      </c>
      <c r="I991" s="17"/>
      <c r="J991" s="17"/>
      <c r="K991" s="17"/>
    </row>
    <row r="992" spans="1:11" x14ac:dyDescent="0.2">
      <c r="A992" s="115"/>
      <c r="B992" s="95"/>
      <c r="C992" s="94"/>
      <c r="D992" s="95"/>
      <c r="E992" s="95"/>
      <c r="F992" s="96"/>
      <c r="G992" s="97"/>
      <c r="H992" s="114" t="str">
        <f t="shared" si="14"/>
        <v/>
      </c>
      <c r="I992" s="17"/>
      <c r="J992" s="17"/>
      <c r="K992" s="17"/>
    </row>
    <row r="993" spans="1:11" x14ac:dyDescent="0.2">
      <c r="A993" s="115"/>
      <c r="B993" s="108"/>
      <c r="C993" s="107"/>
      <c r="D993" s="108"/>
      <c r="E993" s="108"/>
      <c r="F993" s="109"/>
      <c r="G993" s="110"/>
      <c r="H993" s="114" t="str">
        <f t="shared" si="14"/>
        <v/>
      </c>
      <c r="I993" s="17"/>
      <c r="J993" s="17"/>
      <c r="K993" s="17"/>
    </row>
    <row r="994" spans="1:11" x14ac:dyDescent="0.2">
      <c r="A994" s="115"/>
      <c r="B994" s="95"/>
      <c r="C994" s="94"/>
      <c r="D994" s="95"/>
      <c r="E994" s="95"/>
      <c r="F994" s="96"/>
      <c r="G994" s="97"/>
      <c r="H994" s="114" t="str">
        <f t="shared" si="14"/>
        <v/>
      </c>
      <c r="I994" s="17"/>
      <c r="J994" s="17"/>
      <c r="K994" s="17"/>
    </row>
    <row r="995" spans="1:11" x14ac:dyDescent="0.2">
      <c r="A995" s="115"/>
      <c r="B995" s="108"/>
      <c r="C995" s="107"/>
      <c r="D995" s="108"/>
      <c r="E995" s="108"/>
      <c r="F995" s="109"/>
      <c r="G995" s="110"/>
      <c r="H995" s="114" t="str">
        <f t="shared" si="14"/>
        <v/>
      </c>
      <c r="I995" s="17"/>
      <c r="J995" s="17"/>
      <c r="K995" s="17"/>
    </row>
    <row r="996" spans="1:11" x14ac:dyDescent="0.2">
      <c r="A996" s="115"/>
      <c r="B996" s="95"/>
      <c r="C996" s="94"/>
      <c r="D996" s="95"/>
      <c r="E996" s="95"/>
      <c r="F996" s="96"/>
      <c r="G996" s="97"/>
      <c r="H996" s="114" t="str">
        <f t="shared" si="14"/>
        <v/>
      </c>
      <c r="I996" s="17"/>
      <c r="J996" s="17"/>
      <c r="K996" s="17"/>
    </row>
    <row r="997" spans="1:11" x14ac:dyDescent="0.2">
      <c r="A997" s="115"/>
      <c r="B997" s="108"/>
      <c r="C997" s="107"/>
      <c r="D997" s="108"/>
      <c r="E997" s="108"/>
      <c r="F997" s="109"/>
      <c r="G997" s="110"/>
      <c r="H997" s="114" t="str">
        <f t="shared" si="14"/>
        <v/>
      </c>
      <c r="I997" s="17"/>
      <c r="J997" s="17"/>
      <c r="K997" s="17"/>
    </row>
    <row r="998" spans="1:11" x14ac:dyDescent="0.2">
      <c r="A998" s="115"/>
      <c r="B998" s="95"/>
      <c r="C998" s="94"/>
      <c r="D998" s="95"/>
      <c r="E998" s="95"/>
      <c r="F998" s="96"/>
      <c r="G998" s="97"/>
      <c r="H998" s="114" t="str">
        <f t="shared" si="14"/>
        <v/>
      </c>
      <c r="I998" s="17"/>
      <c r="J998" s="17"/>
      <c r="K998" s="17"/>
    </row>
    <row r="999" spans="1:11" x14ac:dyDescent="0.2">
      <c r="A999" s="115"/>
      <c r="B999" s="108"/>
      <c r="C999" s="107"/>
      <c r="D999" s="108"/>
      <c r="E999" s="108"/>
      <c r="F999" s="109"/>
      <c r="G999" s="110"/>
      <c r="H999" s="114" t="str">
        <f t="shared" si="14"/>
        <v/>
      </c>
      <c r="I999" s="17"/>
      <c r="J999" s="17"/>
      <c r="K999" s="17"/>
    </row>
    <row r="1000" spans="1:11" x14ac:dyDescent="0.2">
      <c r="A1000" s="115"/>
      <c r="B1000" s="95"/>
      <c r="C1000" s="94"/>
      <c r="D1000" s="95"/>
      <c r="E1000" s="95"/>
      <c r="F1000" s="96"/>
      <c r="G1000" s="97"/>
      <c r="H1000" s="114" t="str">
        <f t="shared" si="14"/>
        <v/>
      </c>
      <c r="I1000" s="17"/>
      <c r="J1000" s="17"/>
      <c r="K1000" s="17"/>
    </row>
  </sheetData>
  <sheetProtection formatCells="0" formatColumns="0" formatRows="0" insertRows="0" deleteRows="0" sort="0" autoFilter="0"/>
  <phoneticPr fontId="11" type="noConversion"/>
  <conditionalFormatting sqref="A4:A1000">
    <cfRule type="expression" dxfId="433" priority="1">
      <formula>AND(A4=A3, B4&lt;&gt;"")</formula>
    </cfRule>
  </conditionalFormatting>
  <hyperlinks>
    <hyperlink ref="K1" location="Index!A1" display="→ Index" xr:uid="{A8982CA7-5E57-6E47-B564-4C0F1A210751}"/>
  </hyperlinks>
  <pageMargins left="0.7" right="0.7" top="0.75" bottom="0.75" header="0.3" footer="0.3"/>
  <pageSetup paperSize="9" orientation="portrait" horizontalDpi="0" verticalDpi="0"/>
  <ignoredErrors>
    <ignoredError sqref="H2:H3" calculatedColumn="1"/>
  </ignoredErrors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9F2F-FA5A-DF48-9FC3-F75E92D2AC30}">
  <sheetPr codeName="Sheet26">
    <pageSetUpPr fitToPage="1"/>
  </sheetPr>
  <dimension ref="A1:K540"/>
  <sheetViews>
    <sheetView topLeftCell="I1" zoomScale="180" zoomScaleNormal="180" workbookViewId="0">
      <selection activeCell="K1" sqref="K1"/>
    </sheetView>
  </sheetViews>
  <sheetFormatPr baseColWidth="10" defaultColWidth="10.83203125" defaultRowHeight="16" x14ac:dyDescent="0.2"/>
  <cols>
    <col min="1" max="1" width="54.1640625" bestFit="1" customWidth="1"/>
    <col min="2" max="2" width="19.5" bestFit="1" customWidth="1"/>
    <col min="3" max="3" width="20.5" bestFit="1" customWidth="1"/>
  </cols>
  <sheetData>
    <row r="1" spans="1:11" ht="20" x14ac:dyDescent="0.2">
      <c r="A1" s="133" t="s">
        <v>21</v>
      </c>
      <c r="B1" s="133" t="s">
        <v>11</v>
      </c>
      <c r="C1" s="133" t="s">
        <v>10</v>
      </c>
      <c r="D1" s="17"/>
      <c r="E1" s="17"/>
      <c r="F1" s="17"/>
      <c r="G1" s="17"/>
      <c r="H1" s="17"/>
      <c r="I1" s="17"/>
      <c r="J1" s="17"/>
      <c r="K1" s="18" t="s">
        <v>1288</v>
      </c>
    </row>
    <row r="2" spans="1:11" ht="18" x14ac:dyDescent="0.2">
      <c r="A2" s="119" t="s">
        <v>8</v>
      </c>
      <c r="B2" s="477"/>
      <c r="C2" s="477"/>
      <c r="D2" s="17"/>
      <c r="E2" s="17"/>
      <c r="F2" s="17"/>
      <c r="G2" s="17"/>
      <c r="H2" s="17"/>
      <c r="I2" s="17"/>
      <c r="J2" s="17"/>
      <c r="K2" s="17"/>
    </row>
    <row r="3" spans="1:11" ht="18" x14ac:dyDescent="0.2">
      <c r="A3" s="121" t="s">
        <v>8</v>
      </c>
      <c r="B3" s="117"/>
      <c r="C3" s="117"/>
      <c r="D3" s="17"/>
      <c r="E3" s="17"/>
      <c r="F3" s="17"/>
      <c r="G3" s="17"/>
      <c r="H3" s="17"/>
      <c r="I3" s="17"/>
      <c r="J3" s="17"/>
      <c r="K3" s="17"/>
    </row>
    <row r="4" spans="1:11" s="4" customFormat="1" ht="18" x14ac:dyDescent="0.2">
      <c r="A4" s="122">
        <v>46262</v>
      </c>
      <c r="B4" s="117">
        <v>31474.1</v>
      </c>
      <c r="C4" s="117">
        <v>288.73</v>
      </c>
      <c r="D4" s="120"/>
      <c r="E4" s="120"/>
      <c r="F4" s="120"/>
      <c r="G4" s="120"/>
      <c r="H4" s="120"/>
      <c r="I4" s="120"/>
      <c r="J4" s="120"/>
      <c r="K4" s="120"/>
    </row>
    <row r="5" spans="1:11" ht="18" x14ac:dyDescent="0.2">
      <c r="A5" s="121" t="s">
        <v>2364</v>
      </c>
      <c r="B5" s="117">
        <v>3050.1</v>
      </c>
      <c r="C5" s="117">
        <v>27.98</v>
      </c>
      <c r="D5" s="17"/>
      <c r="E5" s="17"/>
      <c r="F5" s="17"/>
      <c r="G5" s="17"/>
      <c r="H5" s="17"/>
      <c r="I5" s="17"/>
      <c r="J5" s="17"/>
      <c r="K5" s="17"/>
    </row>
    <row r="6" spans="1:11" ht="18" x14ac:dyDescent="0.2">
      <c r="A6" s="121" t="s">
        <v>2450</v>
      </c>
      <c r="B6" s="117">
        <v>28424</v>
      </c>
      <c r="C6" s="117">
        <v>260.75</v>
      </c>
      <c r="D6" s="17"/>
      <c r="E6" s="17"/>
      <c r="F6" s="17"/>
      <c r="G6" s="17"/>
      <c r="H6" s="17"/>
      <c r="I6" s="17"/>
      <c r="J6" s="17"/>
      <c r="K6" s="17"/>
    </row>
    <row r="7" spans="1:11" ht="18" x14ac:dyDescent="0.2">
      <c r="A7" s="122">
        <v>46261</v>
      </c>
      <c r="B7" s="117">
        <v>49234.02</v>
      </c>
      <c r="C7" s="117">
        <v>451.65000000000003</v>
      </c>
      <c r="D7" s="17"/>
      <c r="E7" s="17"/>
      <c r="F7" s="17"/>
      <c r="G7" s="17"/>
      <c r="H7" s="17"/>
      <c r="I7" s="17"/>
      <c r="J7" s="17"/>
      <c r="K7" s="17"/>
    </row>
    <row r="8" spans="1:11" ht="18" x14ac:dyDescent="0.2">
      <c r="A8" s="121" t="s">
        <v>2364</v>
      </c>
      <c r="B8" s="117">
        <v>5190</v>
      </c>
      <c r="C8" s="117">
        <v>47.61</v>
      </c>
      <c r="D8" s="17"/>
      <c r="E8" s="17"/>
      <c r="F8" s="17"/>
      <c r="G8" s="17"/>
      <c r="H8" s="17"/>
      <c r="I8" s="17"/>
      <c r="J8" s="17"/>
      <c r="K8" s="17"/>
    </row>
    <row r="9" spans="1:11" ht="18" x14ac:dyDescent="0.2">
      <c r="A9" s="121" t="s">
        <v>2450</v>
      </c>
      <c r="B9" s="117">
        <v>44044.02</v>
      </c>
      <c r="C9" s="117">
        <v>404.04</v>
      </c>
      <c r="D9" s="17"/>
      <c r="E9" s="17"/>
      <c r="F9" s="17"/>
      <c r="G9" s="17"/>
      <c r="H9" s="17"/>
      <c r="I9" s="17"/>
      <c r="J9" s="17"/>
      <c r="K9" s="17"/>
    </row>
    <row r="10" spans="1:11" ht="18" x14ac:dyDescent="0.2">
      <c r="A10" s="122">
        <v>46260</v>
      </c>
      <c r="B10" s="117">
        <v>44729.46</v>
      </c>
      <c r="C10" s="117">
        <v>410.32000000000005</v>
      </c>
      <c r="D10" s="17"/>
      <c r="E10" s="17"/>
      <c r="F10" s="17"/>
      <c r="G10" s="17"/>
      <c r="H10" s="17"/>
      <c r="I10" s="17"/>
      <c r="J10" s="17"/>
      <c r="K10" s="17"/>
    </row>
    <row r="11" spans="1:11" ht="18" x14ac:dyDescent="0.2">
      <c r="A11" s="121" t="s">
        <v>56</v>
      </c>
      <c r="B11" s="117">
        <v>545.04999999999995</v>
      </c>
      <c r="C11" s="117">
        <v>5</v>
      </c>
      <c r="D11" s="17"/>
      <c r="E11" s="17"/>
      <c r="F11" s="17"/>
      <c r="G11" s="17"/>
      <c r="H11" s="17"/>
      <c r="I11" s="17"/>
      <c r="J11" s="17"/>
      <c r="K11" s="17"/>
    </row>
    <row r="12" spans="1:11" ht="18" x14ac:dyDescent="0.2">
      <c r="A12" s="121" t="s">
        <v>103</v>
      </c>
      <c r="B12" s="117">
        <v>4336.41</v>
      </c>
      <c r="C12" s="117">
        <v>39.78</v>
      </c>
      <c r="D12" s="17"/>
      <c r="E12" s="17" t="s">
        <v>12</v>
      </c>
      <c r="F12" s="17"/>
      <c r="G12" s="17"/>
      <c r="H12" s="17"/>
      <c r="I12" s="17"/>
      <c r="J12" s="17"/>
      <c r="K12" s="17"/>
    </row>
    <row r="13" spans="1:11" ht="18" x14ac:dyDescent="0.2">
      <c r="A13" s="121" t="s">
        <v>152</v>
      </c>
      <c r="B13" s="117">
        <v>300</v>
      </c>
      <c r="C13" s="117">
        <v>2.75</v>
      </c>
      <c r="D13" s="17"/>
      <c r="E13" s="17"/>
      <c r="F13" s="17"/>
      <c r="G13" s="17"/>
      <c r="H13" s="17"/>
      <c r="I13" s="17"/>
      <c r="J13" s="17"/>
      <c r="K13" s="17"/>
    </row>
    <row r="14" spans="1:11" ht="18" x14ac:dyDescent="0.2">
      <c r="A14" s="121" t="s">
        <v>714</v>
      </c>
      <c r="B14" s="117">
        <v>1000</v>
      </c>
      <c r="C14" s="117">
        <v>9.17</v>
      </c>
      <c r="D14" s="17"/>
      <c r="E14" s="17"/>
      <c r="F14" s="17"/>
      <c r="G14" s="17"/>
      <c r="H14" s="17"/>
      <c r="I14" s="17"/>
      <c r="J14" s="17"/>
      <c r="K14" s="17"/>
    </row>
    <row r="15" spans="1:11" ht="18" x14ac:dyDescent="0.2">
      <c r="A15" s="121" t="s">
        <v>2364</v>
      </c>
      <c r="B15" s="117">
        <v>9011</v>
      </c>
      <c r="C15" s="117">
        <v>82.66</v>
      </c>
      <c r="D15" s="17"/>
      <c r="E15" s="17"/>
      <c r="F15" s="17"/>
      <c r="G15" s="17"/>
      <c r="H15" s="17"/>
      <c r="I15" s="17"/>
      <c r="J15" s="17"/>
      <c r="K15" s="17"/>
    </row>
    <row r="16" spans="1:11" ht="18" x14ac:dyDescent="0.2">
      <c r="A16" s="121" t="s">
        <v>2450</v>
      </c>
      <c r="B16" s="117">
        <v>29537</v>
      </c>
      <c r="C16" s="117">
        <v>270.96000000000004</v>
      </c>
      <c r="D16" s="17"/>
      <c r="E16" s="17"/>
      <c r="F16" s="17"/>
      <c r="G16" s="17"/>
      <c r="H16" s="17"/>
      <c r="I16" s="17"/>
      <c r="J16" s="17"/>
      <c r="K16" s="17"/>
    </row>
    <row r="17" spans="1:11" ht="18" x14ac:dyDescent="0.2">
      <c r="A17" s="122">
        <v>46259</v>
      </c>
      <c r="B17" s="117">
        <v>52155.39</v>
      </c>
      <c r="C17" s="117">
        <v>478.44</v>
      </c>
      <c r="D17" s="17"/>
      <c r="E17" s="17"/>
      <c r="F17" s="17"/>
      <c r="G17" s="17"/>
      <c r="H17" s="17"/>
      <c r="I17" s="17"/>
      <c r="J17" s="17"/>
      <c r="K17" s="17"/>
    </row>
    <row r="18" spans="1:11" ht="18" x14ac:dyDescent="0.2">
      <c r="A18" s="121" t="s">
        <v>53</v>
      </c>
      <c r="B18" s="117">
        <v>4212.1400000000003</v>
      </c>
      <c r="C18" s="117">
        <v>38.64</v>
      </c>
      <c r="D18" s="17"/>
      <c r="E18" s="17"/>
      <c r="F18" s="17"/>
      <c r="G18" s="17"/>
      <c r="H18" s="17"/>
      <c r="I18" s="17"/>
      <c r="J18" s="17"/>
      <c r="K18" s="17"/>
    </row>
    <row r="19" spans="1:11" ht="18" x14ac:dyDescent="0.2">
      <c r="A19" s="121" t="s">
        <v>56</v>
      </c>
      <c r="B19" s="117">
        <v>2725.25</v>
      </c>
      <c r="C19" s="117">
        <v>25</v>
      </c>
      <c r="D19" s="17"/>
      <c r="E19" s="17"/>
      <c r="F19" s="17"/>
      <c r="G19" s="17"/>
      <c r="H19" s="17"/>
      <c r="I19" s="17"/>
      <c r="J19" s="17"/>
      <c r="K19" s="17"/>
    </row>
    <row r="20" spans="1:11" ht="18" x14ac:dyDescent="0.2">
      <c r="A20" s="121" t="s">
        <v>2364</v>
      </c>
      <c r="B20" s="117">
        <v>4692</v>
      </c>
      <c r="C20" s="117">
        <v>43.04</v>
      </c>
      <c r="D20" s="17"/>
      <c r="E20" s="17"/>
      <c r="F20" s="17"/>
      <c r="G20" s="17"/>
      <c r="H20" s="17"/>
      <c r="I20" s="17"/>
      <c r="J20" s="17"/>
      <c r="K20" s="17"/>
    </row>
    <row r="21" spans="1:11" ht="18" x14ac:dyDescent="0.2">
      <c r="A21" s="121" t="s">
        <v>2450</v>
      </c>
      <c r="B21" s="117">
        <v>40526</v>
      </c>
      <c r="C21" s="117">
        <v>371.76</v>
      </c>
      <c r="D21" s="17"/>
      <c r="E21" s="17"/>
      <c r="F21" s="17"/>
      <c r="G21" s="17"/>
      <c r="H21" s="17"/>
      <c r="I21" s="17"/>
      <c r="J21" s="17"/>
      <c r="K21" s="17"/>
    </row>
    <row r="22" spans="1:11" ht="18" x14ac:dyDescent="0.2">
      <c r="A22" s="122">
        <v>46258</v>
      </c>
      <c r="B22" s="117">
        <v>57035.83</v>
      </c>
      <c r="C22" s="117">
        <v>523.21</v>
      </c>
      <c r="D22" s="17"/>
      <c r="E22" s="17"/>
      <c r="F22" s="17"/>
      <c r="G22" s="17"/>
      <c r="H22" s="17"/>
      <c r="I22" s="17"/>
      <c r="J22" s="17"/>
      <c r="K22" s="17"/>
    </row>
    <row r="23" spans="1:11" ht="18" x14ac:dyDescent="0.2">
      <c r="A23" s="121" t="s">
        <v>2364</v>
      </c>
      <c r="B23" s="117">
        <v>10155.84</v>
      </c>
      <c r="C23" s="117">
        <v>93.16</v>
      </c>
      <c r="D23" s="17"/>
      <c r="E23" s="17"/>
      <c r="F23" s="17"/>
      <c r="G23" s="17"/>
      <c r="H23" s="17"/>
      <c r="I23" s="17"/>
      <c r="J23" s="17"/>
      <c r="K23" s="17"/>
    </row>
    <row r="24" spans="1:11" ht="18" x14ac:dyDescent="0.2">
      <c r="A24" s="121" t="s">
        <v>2450</v>
      </c>
      <c r="B24" s="117">
        <v>46879.99</v>
      </c>
      <c r="C24" s="117">
        <v>430.05</v>
      </c>
      <c r="D24" s="17"/>
      <c r="E24" s="17"/>
      <c r="F24" s="17"/>
      <c r="G24" s="17"/>
      <c r="H24" s="17"/>
      <c r="I24" s="17"/>
      <c r="J24" s="17"/>
      <c r="K24" s="17"/>
    </row>
    <row r="25" spans="1:11" ht="18" x14ac:dyDescent="0.2">
      <c r="A25" s="122">
        <v>46257</v>
      </c>
      <c r="B25" s="117">
        <v>73720.850000000006</v>
      </c>
      <c r="C25" s="117">
        <v>676.28</v>
      </c>
      <c r="D25" s="17"/>
      <c r="E25" s="17"/>
      <c r="F25" s="17"/>
      <c r="G25" s="17"/>
      <c r="H25" s="17"/>
      <c r="I25" s="17"/>
      <c r="J25" s="17"/>
      <c r="K25" s="17"/>
    </row>
    <row r="26" spans="1:11" ht="18" x14ac:dyDescent="0.2">
      <c r="A26" s="121" t="s">
        <v>152</v>
      </c>
      <c r="B26" s="117">
        <v>300</v>
      </c>
      <c r="C26" s="117">
        <v>2.75</v>
      </c>
      <c r="D26" s="17"/>
      <c r="E26" s="17"/>
      <c r="F26" s="17"/>
      <c r="G26" s="17"/>
      <c r="H26" s="17"/>
      <c r="I26" s="17"/>
      <c r="J26" s="17"/>
      <c r="K26" s="17"/>
    </row>
    <row r="27" spans="1:11" ht="18" x14ac:dyDescent="0.2">
      <c r="A27" s="121" t="s">
        <v>2364</v>
      </c>
      <c r="B27" s="117">
        <v>13224.85</v>
      </c>
      <c r="C27" s="117">
        <v>121.32</v>
      </c>
      <c r="D27" s="17"/>
      <c r="E27" s="17"/>
      <c r="F27" s="17"/>
      <c r="G27" s="17"/>
      <c r="H27" s="17"/>
      <c r="I27" s="17"/>
      <c r="J27" s="17"/>
      <c r="K27" s="17"/>
    </row>
    <row r="28" spans="1:11" ht="18" x14ac:dyDescent="0.2">
      <c r="A28" s="121" t="s">
        <v>2450</v>
      </c>
      <c r="B28" s="117">
        <v>60196</v>
      </c>
      <c r="C28" s="117">
        <v>552.21</v>
      </c>
      <c r="D28" s="17"/>
      <c r="E28" s="17"/>
      <c r="F28" s="17"/>
      <c r="G28" s="17"/>
      <c r="H28" s="17"/>
      <c r="I28" s="17"/>
      <c r="J28" s="17"/>
      <c r="K28" s="17"/>
    </row>
    <row r="29" spans="1:11" ht="18" x14ac:dyDescent="0.2">
      <c r="A29" s="122">
        <v>46256</v>
      </c>
      <c r="B29" s="117">
        <v>24444.99</v>
      </c>
      <c r="C29" s="117">
        <v>224.25</v>
      </c>
      <c r="D29" s="17"/>
      <c r="E29" s="17"/>
      <c r="F29" s="17"/>
      <c r="G29" s="17"/>
      <c r="H29" s="17"/>
      <c r="I29" s="17"/>
      <c r="J29" s="17"/>
      <c r="K29" s="17"/>
    </row>
    <row r="30" spans="1:11" ht="18" x14ac:dyDescent="0.2">
      <c r="A30" s="121" t="s">
        <v>714</v>
      </c>
      <c r="B30" s="117">
        <v>500</v>
      </c>
      <c r="C30" s="117">
        <v>4.59</v>
      </c>
      <c r="D30" s="17"/>
      <c r="E30" s="17"/>
      <c r="F30" s="17"/>
      <c r="G30" s="17"/>
      <c r="H30" s="17"/>
      <c r="I30" s="17"/>
      <c r="J30" s="17"/>
      <c r="K30" s="17"/>
    </row>
    <row r="31" spans="1:11" ht="18" x14ac:dyDescent="0.2">
      <c r="A31" s="121" t="s">
        <v>257</v>
      </c>
      <c r="B31" s="117">
        <v>1200.2</v>
      </c>
      <c r="C31" s="117">
        <v>11.01</v>
      </c>
      <c r="D31" s="17"/>
      <c r="E31" s="17"/>
      <c r="F31" s="17"/>
      <c r="G31" s="17"/>
      <c r="H31" s="17"/>
      <c r="I31" s="17"/>
      <c r="J31" s="17"/>
      <c r="K31" s="17"/>
    </row>
    <row r="32" spans="1:11" ht="18" x14ac:dyDescent="0.2">
      <c r="A32" s="121" t="s">
        <v>2364</v>
      </c>
      <c r="B32" s="117">
        <v>7742</v>
      </c>
      <c r="C32" s="117">
        <v>71.02</v>
      </c>
      <c r="D32" s="17"/>
      <c r="E32" s="17"/>
      <c r="F32" s="17"/>
      <c r="G32" s="17"/>
      <c r="H32" s="17"/>
      <c r="I32" s="17"/>
      <c r="J32" s="17"/>
      <c r="K32" s="17"/>
    </row>
    <row r="33" spans="1:11" ht="18" x14ac:dyDescent="0.2">
      <c r="A33" s="121" t="s">
        <v>2450</v>
      </c>
      <c r="B33" s="117">
        <v>15002.79</v>
      </c>
      <c r="C33" s="117">
        <v>137.63</v>
      </c>
      <c r="D33" s="17"/>
      <c r="E33" s="17"/>
      <c r="F33" s="17"/>
      <c r="G33" s="17"/>
      <c r="H33" s="17"/>
      <c r="I33" s="17"/>
      <c r="J33" s="17"/>
      <c r="K33" s="17"/>
    </row>
    <row r="34" spans="1:11" ht="18" x14ac:dyDescent="0.2">
      <c r="A34" s="122">
        <v>46255</v>
      </c>
      <c r="B34" s="117">
        <v>51119.01</v>
      </c>
      <c r="C34" s="117">
        <v>468.93</v>
      </c>
      <c r="D34" s="17"/>
      <c r="E34" s="17"/>
      <c r="F34" s="17"/>
      <c r="G34" s="17"/>
      <c r="H34" s="17"/>
      <c r="I34" s="17"/>
      <c r="J34" s="17"/>
      <c r="K34" s="17"/>
    </row>
    <row r="35" spans="1:11" ht="18" x14ac:dyDescent="0.2">
      <c r="A35" s="121" t="s">
        <v>56</v>
      </c>
      <c r="B35" s="117">
        <v>2180.1999999999998</v>
      </c>
      <c r="C35" s="117">
        <v>20</v>
      </c>
      <c r="D35" s="17"/>
      <c r="E35" s="17"/>
      <c r="F35" s="17"/>
      <c r="G35" s="17"/>
      <c r="H35" s="17"/>
      <c r="I35" s="17"/>
      <c r="J35" s="17"/>
      <c r="K35" s="17"/>
    </row>
    <row r="36" spans="1:11" ht="18" x14ac:dyDescent="0.2">
      <c r="A36" s="121" t="s">
        <v>103</v>
      </c>
      <c r="B36" s="117">
        <v>3966.87</v>
      </c>
      <c r="C36" s="117">
        <v>36.39</v>
      </c>
      <c r="D36" s="17"/>
      <c r="E36" s="17"/>
      <c r="F36" s="17"/>
      <c r="G36" s="17"/>
      <c r="H36" s="17"/>
      <c r="I36" s="17"/>
      <c r="J36" s="17"/>
      <c r="K36" s="17"/>
    </row>
    <row r="37" spans="1:11" ht="18" x14ac:dyDescent="0.2">
      <c r="A37" s="121" t="s">
        <v>2364</v>
      </c>
      <c r="B37" s="117">
        <v>14003.95</v>
      </c>
      <c r="C37" s="117">
        <v>128.46</v>
      </c>
      <c r="D37" s="17"/>
      <c r="E37" s="17"/>
      <c r="F37" s="17"/>
      <c r="G37" s="17"/>
      <c r="H37" s="17"/>
      <c r="I37" s="17"/>
      <c r="J37" s="17"/>
      <c r="K37" s="17"/>
    </row>
    <row r="38" spans="1:11" ht="18" x14ac:dyDescent="0.2">
      <c r="A38" s="121" t="s">
        <v>2450</v>
      </c>
      <c r="B38" s="117">
        <v>30967.99</v>
      </c>
      <c r="C38" s="117">
        <v>284.08</v>
      </c>
      <c r="D38" s="17"/>
      <c r="E38" s="17"/>
      <c r="F38" s="17"/>
      <c r="G38" s="17"/>
      <c r="H38" s="17"/>
      <c r="I38" s="17"/>
      <c r="J38" s="17"/>
      <c r="K38" s="17"/>
    </row>
    <row r="39" spans="1:11" ht="18" x14ac:dyDescent="0.2">
      <c r="A39" s="122">
        <v>46254</v>
      </c>
      <c r="B39" s="117">
        <v>45251.02</v>
      </c>
      <c r="C39" s="117">
        <v>415.11</v>
      </c>
      <c r="D39" s="17"/>
      <c r="E39" s="17"/>
      <c r="F39" s="17"/>
      <c r="G39" s="17"/>
      <c r="H39" s="17"/>
      <c r="I39" s="17"/>
      <c r="J39" s="17"/>
      <c r="K39" s="17"/>
    </row>
    <row r="40" spans="1:11" ht="18" x14ac:dyDescent="0.2">
      <c r="A40" s="121" t="s">
        <v>2364</v>
      </c>
      <c r="B40" s="117">
        <v>8623.82</v>
      </c>
      <c r="C40" s="117">
        <v>79.11</v>
      </c>
      <c r="D40" s="17"/>
      <c r="E40" s="17"/>
      <c r="F40" s="17"/>
      <c r="G40" s="17"/>
      <c r="H40" s="17"/>
      <c r="I40" s="17"/>
      <c r="J40" s="17"/>
      <c r="K40" s="17"/>
    </row>
    <row r="41" spans="1:11" ht="18" x14ac:dyDescent="0.2">
      <c r="A41" s="121" t="s">
        <v>2450</v>
      </c>
      <c r="B41" s="117">
        <v>36627.199999999997</v>
      </c>
      <c r="C41" s="117">
        <v>336</v>
      </c>
      <c r="D41" s="17"/>
      <c r="E41" s="17"/>
      <c r="F41" s="17"/>
      <c r="G41" s="17"/>
      <c r="H41" s="17"/>
      <c r="I41" s="17"/>
      <c r="J41" s="17"/>
      <c r="K41" s="17"/>
    </row>
    <row r="42" spans="1:11" ht="18" x14ac:dyDescent="0.2">
      <c r="A42" s="122">
        <v>46253</v>
      </c>
      <c r="B42" s="117">
        <v>40307.99</v>
      </c>
      <c r="C42" s="117">
        <v>369.76</v>
      </c>
      <c r="D42" s="17"/>
      <c r="E42" s="17"/>
      <c r="F42" s="17"/>
      <c r="G42" s="17"/>
      <c r="H42" s="17"/>
      <c r="I42" s="17"/>
      <c r="J42" s="17"/>
      <c r="K42" s="17"/>
    </row>
    <row r="43" spans="1:11" ht="18" x14ac:dyDescent="0.2">
      <c r="A43" s="121" t="s">
        <v>152</v>
      </c>
      <c r="B43" s="117">
        <v>300</v>
      </c>
      <c r="C43" s="117">
        <v>2.75</v>
      </c>
      <c r="D43" s="17"/>
      <c r="E43" s="17"/>
      <c r="F43" s="17"/>
      <c r="G43" s="17"/>
      <c r="H43" s="17"/>
      <c r="I43" s="17"/>
      <c r="J43" s="17"/>
      <c r="K43" s="17"/>
    </row>
    <row r="44" spans="1:11" ht="18" x14ac:dyDescent="0.2">
      <c r="A44" s="121" t="s">
        <v>2364</v>
      </c>
      <c r="B44" s="117">
        <v>3630</v>
      </c>
      <c r="C44" s="117">
        <v>33.299999999999997</v>
      </c>
      <c r="D44" s="17"/>
      <c r="E44" s="17"/>
      <c r="F44" s="17"/>
      <c r="G44" s="17"/>
      <c r="H44" s="17"/>
      <c r="I44" s="17"/>
      <c r="J44" s="17"/>
      <c r="K44" s="17"/>
    </row>
    <row r="45" spans="1:11" ht="18" x14ac:dyDescent="0.2">
      <c r="A45" s="121" t="s">
        <v>2450</v>
      </c>
      <c r="B45" s="117">
        <v>36377.99</v>
      </c>
      <c r="C45" s="117">
        <v>333.71</v>
      </c>
      <c r="D45" s="17"/>
      <c r="E45" s="17"/>
      <c r="F45" s="17"/>
      <c r="G45" s="17"/>
      <c r="H45" s="17"/>
      <c r="I45" s="17"/>
      <c r="J45" s="17"/>
      <c r="K45" s="17"/>
    </row>
    <row r="46" spans="1:11" ht="18" x14ac:dyDescent="0.2">
      <c r="A46" s="122">
        <v>46252</v>
      </c>
      <c r="B46" s="117">
        <v>32340.7</v>
      </c>
      <c r="C46" s="117">
        <v>296.66999999999996</v>
      </c>
      <c r="D46" s="17"/>
      <c r="E46" s="17"/>
      <c r="F46" s="17"/>
      <c r="G46" s="17"/>
      <c r="H46" s="17"/>
      <c r="I46" s="17"/>
      <c r="J46" s="17"/>
      <c r="K46" s="17"/>
    </row>
    <row r="47" spans="1:11" ht="18" x14ac:dyDescent="0.2">
      <c r="A47" s="121" t="s">
        <v>2364</v>
      </c>
      <c r="B47" s="117">
        <v>3300</v>
      </c>
      <c r="C47" s="117">
        <v>30.27</v>
      </c>
      <c r="D47" s="17"/>
      <c r="E47" s="17"/>
      <c r="F47" s="17"/>
      <c r="G47" s="17"/>
      <c r="H47" s="17"/>
      <c r="I47" s="17"/>
      <c r="J47" s="17"/>
      <c r="K47" s="17"/>
    </row>
    <row r="48" spans="1:11" ht="18" x14ac:dyDescent="0.2">
      <c r="A48" s="121" t="s">
        <v>2450</v>
      </c>
      <c r="B48" s="117">
        <v>29040.7</v>
      </c>
      <c r="C48" s="117">
        <v>266.39999999999998</v>
      </c>
      <c r="D48" s="17"/>
      <c r="E48" s="17"/>
      <c r="F48" s="17"/>
      <c r="G48" s="17"/>
      <c r="H48" s="17"/>
      <c r="I48" s="17"/>
      <c r="J48" s="17"/>
      <c r="K48" s="17"/>
    </row>
    <row r="49" spans="1:11" ht="18" x14ac:dyDescent="0.2">
      <c r="A49" s="122">
        <v>46251</v>
      </c>
      <c r="B49" s="117">
        <v>51387.86</v>
      </c>
      <c r="C49" s="117">
        <v>471.40999999999997</v>
      </c>
      <c r="D49" s="17"/>
      <c r="E49" s="17"/>
      <c r="F49" s="17"/>
      <c r="G49" s="17"/>
      <c r="H49" s="17"/>
      <c r="I49" s="17"/>
      <c r="J49" s="17"/>
      <c r="K49" s="17"/>
    </row>
    <row r="50" spans="1:11" ht="18" x14ac:dyDescent="0.2">
      <c r="A50" s="121" t="s">
        <v>103</v>
      </c>
      <c r="B50" s="117">
        <v>4441.0600000000004</v>
      </c>
      <c r="C50" s="117">
        <v>40.74</v>
      </c>
      <c r="D50" s="17"/>
      <c r="E50" s="17"/>
      <c r="F50" s="17"/>
      <c r="G50" s="17"/>
      <c r="H50" s="17"/>
      <c r="I50" s="17"/>
      <c r="J50" s="17"/>
      <c r="K50" s="17"/>
    </row>
    <row r="51" spans="1:11" ht="18" x14ac:dyDescent="0.2">
      <c r="A51" s="121" t="s">
        <v>2364</v>
      </c>
      <c r="B51" s="117">
        <v>5966</v>
      </c>
      <c r="C51" s="117">
        <v>54.73</v>
      </c>
      <c r="D51" s="17"/>
      <c r="E51" s="17"/>
      <c r="F51" s="17"/>
      <c r="G51" s="17"/>
      <c r="H51" s="17"/>
      <c r="I51" s="17"/>
      <c r="J51" s="17"/>
      <c r="K51" s="17"/>
    </row>
    <row r="52" spans="1:11" ht="18" x14ac:dyDescent="0.2">
      <c r="A52" s="121" t="s">
        <v>2450</v>
      </c>
      <c r="B52" s="117">
        <v>40980.800000000003</v>
      </c>
      <c r="C52" s="117">
        <v>375.94</v>
      </c>
      <c r="D52" s="17"/>
      <c r="E52" s="17"/>
      <c r="F52" s="17"/>
      <c r="G52" s="17"/>
      <c r="H52" s="17"/>
      <c r="I52" s="17"/>
      <c r="J52" s="17"/>
      <c r="K52" s="17"/>
    </row>
    <row r="53" spans="1:11" ht="18" x14ac:dyDescent="0.2">
      <c r="A53" s="122">
        <v>46250</v>
      </c>
      <c r="B53" s="117">
        <v>42524.69</v>
      </c>
      <c r="C53" s="117">
        <v>390.1</v>
      </c>
      <c r="D53" s="17"/>
      <c r="E53" s="17"/>
      <c r="F53" s="17"/>
      <c r="G53" s="17"/>
      <c r="H53" s="17"/>
      <c r="I53" s="17"/>
      <c r="J53" s="17"/>
      <c r="K53" s="17"/>
    </row>
    <row r="54" spans="1:11" ht="18" x14ac:dyDescent="0.2">
      <c r="A54" s="121" t="s">
        <v>714</v>
      </c>
      <c r="B54" s="117">
        <v>500</v>
      </c>
      <c r="C54" s="117">
        <v>4.59</v>
      </c>
      <c r="D54" s="17"/>
      <c r="E54" s="17"/>
      <c r="F54" s="17"/>
      <c r="G54" s="17"/>
      <c r="H54" s="17"/>
      <c r="I54" s="17"/>
      <c r="J54" s="17"/>
      <c r="K54" s="17"/>
    </row>
    <row r="55" spans="1:11" ht="18" x14ac:dyDescent="0.2">
      <c r="A55" s="121" t="s">
        <v>2364</v>
      </c>
      <c r="B55" s="117">
        <v>10987.82</v>
      </c>
      <c r="C55" s="117">
        <v>100.8</v>
      </c>
      <c r="D55" s="17"/>
      <c r="E55" s="17"/>
      <c r="F55" s="17"/>
      <c r="G55" s="17"/>
      <c r="H55" s="17"/>
      <c r="I55" s="17"/>
      <c r="J55" s="17"/>
      <c r="K55" s="17"/>
    </row>
    <row r="56" spans="1:11" ht="18" x14ac:dyDescent="0.2">
      <c r="A56" s="121" t="s">
        <v>2450</v>
      </c>
      <c r="B56" s="117">
        <v>31036.87</v>
      </c>
      <c r="C56" s="117">
        <v>284.71000000000004</v>
      </c>
      <c r="D56" s="17"/>
      <c r="E56" s="17"/>
      <c r="F56" s="17"/>
      <c r="G56" s="17"/>
      <c r="H56" s="17"/>
      <c r="I56" s="17"/>
      <c r="J56" s="17"/>
      <c r="K56" s="17"/>
    </row>
    <row r="57" spans="1:11" ht="18" x14ac:dyDescent="0.2">
      <c r="A57" s="122">
        <v>46249</v>
      </c>
      <c r="B57" s="117">
        <v>49341.99</v>
      </c>
      <c r="C57" s="117">
        <v>452.64</v>
      </c>
      <c r="D57" s="17"/>
      <c r="E57" s="17"/>
      <c r="F57" s="17"/>
      <c r="G57" s="17"/>
      <c r="H57" s="17"/>
      <c r="I57" s="17"/>
      <c r="J57" s="17"/>
      <c r="K57" s="17"/>
    </row>
    <row r="58" spans="1:11" ht="18" x14ac:dyDescent="0.2">
      <c r="A58" s="121" t="s">
        <v>152</v>
      </c>
      <c r="B58" s="117">
        <v>300</v>
      </c>
      <c r="C58" s="117">
        <v>2.75</v>
      </c>
      <c r="D58" s="17"/>
      <c r="E58" s="17"/>
      <c r="F58" s="17"/>
      <c r="G58" s="17"/>
      <c r="H58" s="17"/>
      <c r="I58" s="17"/>
      <c r="J58" s="17"/>
      <c r="K58" s="17"/>
    </row>
    <row r="59" spans="1:11" ht="18" x14ac:dyDescent="0.2">
      <c r="A59" s="121" t="s">
        <v>2364</v>
      </c>
      <c r="B59" s="117">
        <v>1420</v>
      </c>
      <c r="C59" s="117">
        <v>13.03</v>
      </c>
      <c r="D59" s="17"/>
      <c r="E59" s="17"/>
      <c r="F59" s="17"/>
      <c r="G59" s="17"/>
      <c r="H59" s="17"/>
      <c r="I59" s="17"/>
      <c r="J59" s="17"/>
      <c r="K59" s="17"/>
    </row>
    <row r="60" spans="1:11" ht="18" x14ac:dyDescent="0.2">
      <c r="A60" s="121" t="s">
        <v>2450</v>
      </c>
      <c r="B60" s="117">
        <v>47621.99</v>
      </c>
      <c r="C60" s="117">
        <v>436.86</v>
      </c>
      <c r="D60" s="17"/>
      <c r="E60" s="17"/>
      <c r="F60" s="17"/>
      <c r="G60" s="17"/>
      <c r="H60" s="17"/>
      <c r="I60" s="17"/>
      <c r="J60" s="17"/>
      <c r="K60" s="17"/>
    </row>
    <row r="61" spans="1:11" ht="18" x14ac:dyDescent="0.2">
      <c r="A61" s="122">
        <v>46248</v>
      </c>
      <c r="B61" s="117">
        <v>53841.599999999999</v>
      </c>
      <c r="C61" s="117">
        <v>493.92</v>
      </c>
      <c r="D61" s="17"/>
      <c r="E61" s="17"/>
      <c r="F61" s="17"/>
      <c r="G61" s="17"/>
      <c r="H61" s="17"/>
      <c r="I61" s="17"/>
      <c r="J61" s="17"/>
      <c r="K61" s="17"/>
    </row>
    <row r="62" spans="1:11" ht="18" x14ac:dyDescent="0.2">
      <c r="A62" s="121" t="s">
        <v>2364</v>
      </c>
      <c r="B62" s="117">
        <v>13141.85</v>
      </c>
      <c r="C62" s="117">
        <v>120.56</v>
      </c>
      <c r="D62" s="17"/>
      <c r="E62" s="17"/>
      <c r="F62" s="17"/>
      <c r="G62" s="17"/>
      <c r="H62" s="17"/>
      <c r="I62" s="17"/>
      <c r="J62" s="17"/>
      <c r="K62" s="17"/>
    </row>
    <row r="63" spans="1:11" ht="18" x14ac:dyDescent="0.2">
      <c r="A63" s="121" t="s">
        <v>2450</v>
      </c>
      <c r="B63" s="117">
        <v>40699.75</v>
      </c>
      <c r="C63" s="117">
        <v>373.36</v>
      </c>
      <c r="D63" s="17"/>
      <c r="E63" s="17"/>
      <c r="F63" s="17"/>
      <c r="G63" s="17"/>
      <c r="H63" s="17"/>
      <c r="I63" s="17"/>
      <c r="J63" s="17"/>
      <c r="K63" s="17"/>
    </row>
    <row r="64" spans="1:11" ht="18" x14ac:dyDescent="0.2">
      <c r="A64" s="122">
        <v>46247</v>
      </c>
      <c r="B64" s="117">
        <v>31051.239999999998</v>
      </c>
      <c r="C64" s="117">
        <v>284.85000000000002</v>
      </c>
      <c r="D64" s="17"/>
      <c r="E64" s="17"/>
      <c r="F64" s="17"/>
      <c r="G64" s="17"/>
      <c r="H64" s="17"/>
      <c r="I64" s="17"/>
      <c r="J64" s="17"/>
      <c r="K64" s="17"/>
    </row>
    <row r="65" spans="1:11" ht="18" x14ac:dyDescent="0.2">
      <c r="A65" s="121" t="s">
        <v>103</v>
      </c>
      <c r="B65" s="117">
        <v>4080.24</v>
      </c>
      <c r="C65" s="117">
        <v>37.43</v>
      </c>
      <c r="D65" s="17"/>
      <c r="E65" s="17"/>
      <c r="F65" s="17"/>
      <c r="G65" s="17"/>
      <c r="H65" s="17"/>
      <c r="I65" s="17"/>
      <c r="J65" s="17"/>
      <c r="K65" s="17"/>
    </row>
    <row r="66" spans="1:11" ht="18" x14ac:dyDescent="0.2">
      <c r="A66" s="121" t="s">
        <v>2364</v>
      </c>
      <c r="B66" s="117">
        <v>2750</v>
      </c>
      <c r="C66" s="117">
        <v>25.23</v>
      </c>
      <c r="D66" s="17"/>
      <c r="E66" s="17"/>
      <c r="F66" s="17"/>
      <c r="G66" s="17"/>
      <c r="H66" s="17"/>
      <c r="I66" s="17"/>
      <c r="J66" s="17"/>
      <c r="K66" s="17"/>
    </row>
    <row r="67" spans="1:11" ht="18" x14ac:dyDescent="0.2">
      <c r="A67" s="121" t="s">
        <v>2450</v>
      </c>
      <c r="B67" s="117">
        <v>24221</v>
      </c>
      <c r="C67" s="117">
        <v>222.19</v>
      </c>
      <c r="D67" s="17"/>
      <c r="E67" s="17"/>
      <c r="F67" s="17"/>
      <c r="G67" s="17"/>
      <c r="H67" s="17"/>
      <c r="I67" s="17"/>
      <c r="J67" s="17"/>
      <c r="K67" s="17"/>
    </row>
    <row r="68" spans="1:11" ht="18" x14ac:dyDescent="0.2">
      <c r="A68" s="122">
        <v>46246</v>
      </c>
      <c r="B68" s="117">
        <v>45313.1</v>
      </c>
      <c r="C68" s="117">
        <v>415.68</v>
      </c>
      <c r="D68" s="17"/>
      <c r="E68" s="17"/>
      <c r="F68" s="17"/>
      <c r="G68" s="17"/>
      <c r="H68" s="17"/>
      <c r="I68" s="17"/>
      <c r="J68" s="17"/>
      <c r="K68" s="17"/>
    </row>
    <row r="69" spans="1:11" ht="18" x14ac:dyDescent="0.2">
      <c r="A69" s="121" t="s">
        <v>2364</v>
      </c>
      <c r="B69" s="117">
        <v>7676.1</v>
      </c>
      <c r="C69" s="117">
        <v>70.42</v>
      </c>
      <c r="D69" s="17"/>
      <c r="E69" s="17"/>
      <c r="F69" s="17"/>
      <c r="G69" s="17"/>
      <c r="H69" s="17"/>
      <c r="I69" s="17"/>
      <c r="J69" s="17"/>
      <c r="K69" s="17"/>
    </row>
    <row r="70" spans="1:11" ht="18" x14ac:dyDescent="0.2">
      <c r="A70" s="121" t="s">
        <v>2450</v>
      </c>
      <c r="B70" s="117">
        <v>37637</v>
      </c>
      <c r="C70" s="117">
        <v>345.26</v>
      </c>
      <c r="D70" s="17"/>
      <c r="E70" s="17"/>
      <c r="F70" s="17"/>
      <c r="G70" s="17"/>
      <c r="H70" s="17"/>
      <c r="I70" s="17"/>
      <c r="J70" s="17"/>
      <c r="K70" s="17"/>
    </row>
    <row r="71" spans="1:11" ht="18" x14ac:dyDescent="0.2">
      <c r="A71" s="122">
        <v>46245</v>
      </c>
      <c r="B71" s="117">
        <v>50819.46</v>
      </c>
      <c r="C71" s="117">
        <v>466.21</v>
      </c>
      <c r="D71" s="17"/>
      <c r="E71" s="17"/>
      <c r="F71" s="17"/>
      <c r="G71" s="17"/>
      <c r="H71" s="17"/>
      <c r="I71" s="17"/>
      <c r="J71" s="17"/>
      <c r="K71" s="17"/>
    </row>
    <row r="72" spans="1:11" ht="18" x14ac:dyDescent="0.2">
      <c r="A72" s="121" t="s">
        <v>56</v>
      </c>
      <c r="B72" s="117">
        <v>654.05999999999995</v>
      </c>
      <c r="C72" s="117">
        <v>6</v>
      </c>
      <c r="D72" s="17"/>
      <c r="E72" s="17"/>
      <c r="F72" s="17"/>
      <c r="G72" s="17"/>
      <c r="H72" s="17"/>
      <c r="I72" s="17"/>
      <c r="J72" s="17"/>
      <c r="K72" s="17"/>
    </row>
    <row r="73" spans="1:11" ht="18" x14ac:dyDescent="0.2">
      <c r="A73" s="121" t="s">
        <v>152</v>
      </c>
      <c r="B73" s="117">
        <v>300</v>
      </c>
      <c r="C73" s="117">
        <v>2.76</v>
      </c>
      <c r="D73" s="17"/>
      <c r="E73" s="17"/>
      <c r="F73" s="17"/>
      <c r="G73" s="17"/>
      <c r="H73" s="17"/>
      <c r="I73" s="17"/>
      <c r="J73" s="17"/>
      <c r="K73" s="17"/>
    </row>
    <row r="74" spans="1:11" ht="18" x14ac:dyDescent="0.2">
      <c r="A74" s="121" t="s">
        <v>714</v>
      </c>
      <c r="B74" s="117">
        <v>500</v>
      </c>
      <c r="C74" s="117">
        <v>4.59</v>
      </c>
      <c r="D74" s="17"/>
      <c r="E74" s="17"/>
      <c r="F74" s="17"/>
      <c r="G74" s="17"/>
      <c r="H74" s="17"/>
      <c r="I74" s="17"/>
      <c r="J74" s="17"/>
      <c r="K74" s="17"/>
    </row>
    <row r="75" spans="1:11" ht="18" x14ac:dyDescent="0.2">
      <c r="A75" s="121" t="s">
        <v>2364</v>
      </c>
      <c r="B75" s="117">
        <v>1632.61</v>
      </c>
      <c r="C75" s="117">
        <v>14.98</v>
      </c>
      <c r="D75" s="17"/>
      <c r="E75" s="17"/>
      <c r="F75" s="17"/>
      <c r="G75" s="17"/>
      <c r="H75" s="17"/>
      <c r="I75" s="17"/>
      <c r="J75" s="17"/>
      <c r="K75" s="17"/>
    </row>
    <row r="76" spans="1:11" ht="18" x14ac:dyDescent="0.2">
      <c r="A76" s="121" t="s">
        <v>2450</v>
      </c>
      <c r="B76" s="117">
        <v>47732.79</v>
      </c>
      <c r="C76" s="117">
        <v>437.88</v>
      </c>
      <c r="D76" s="17"/>
      <c r="E76" s="17"/>
      <c r="F76" s="17"/>
      <c r="G76" s="17"/>
      <c r="H76" s="17"/>
      <c r="I76" s="17"/>
      <c r="J76" s="17"/>
      <c r="K76" s="17"/>
    </row>
    <row r="77" spans="1:11" ht="18" x14ac:dyDescent="0.2">
      <c r="A77" s="122">
        <v>46244</v>
      </c>
      <c r="B77" s="117">
        <v>48257.87</v>
      </c>
      <c r="C77" s="117">
        <v>442.70000000000005</v>
      </c>
      <c r="D77" s="17"/>
      <c r="E77" s="17"/>
      <c r="F77" s="17"/>
      <c r="G77" s="17"/>
      <c r="H77" s="17"/>
      <c r="I77" s="17"/>
      <c r="J77" s="17"/>
      <c r="K77" s="17"/>
    </row>
    <row r="78" spans="1:11" ht="18" x14ac:dyDescent="0.2">
      <c r="A78" s="121" t="s">
        <v>152</v>
      </c>
      <c r="B78" s="117">
        <v>300</v>
      </c>
      <c r="C78" s="117">
        <v>2.76</v>
      </c>
      <c r="D78" s="17"/>
      <c r="E78" s="17"/>
      <c r="F78" s="17"/>
      <c r="G78" s="17"/>
      <c r="H78" s="17"/>
      <c r="I78" s="17"/>
      <c r="J78" s="17"/>
      <c r="K78" s="17"/>
    </row>
    <row r="79" spans="1:11" ht="18" x14ac:dyDescent="0.2">
      <c r="A79" s="121" t="s">
        <v>2364</v>
      </c>
      <c r="B79" s="117">
        <v>2857.87</v>
      </c>
      <c r="C79" s="117">
        <v>26.22</v>
      </c>
      <c r="D79" s="17"/>
      <c r="E79" s="17"/>
      <c r="F79" s="17"/>
      <c r="G79" s="17"/>
      <c r="H79" s="17"/>
      <c r="I79" s="17"/>
      <c r="J79" s="17"/>
      <c r="K79" s="17"/>
    </row>
    <row r="80" spans="1:11" ht="18" x14ac:dyDescent="0.2">
      <c r="A80" s="121" t="s">
        <v>2450</v>
      </c>
      <c r="B80" s="117">
        <v>45100</v>
      </c>
      <c r="C80" s="117">
        <v>413.72</v>
      </c>
      <c r="D80" s="17"/>
      <c r="E80" s="17"/>
      <c r="F80" s="17"/>
      <c r="G80" s="17"/>
      <c r="H80" s="17"/>
      <c r="I80" s="17"/>
      <c r="J80" s="17"/>
      <c r="K80" s="17"/>
    </row>
    <row r="81" spans="1:11" ht="18" x14ac:dyDescent="0.2">
      <c r="A81" s="122">
        <v>46243</v>
      </c>
      <c r="B81" s="117">
        <v>52107.670000000006</v>
      </c>
      <c r="C81" s="117">
        <v>478.01000000000005</v>
      </c>
      <c r="D81" s="17"/>
      <c r="E81" s="17"/>
      <c r="F81" s="17"/>
      <c r="G81" s="17"/>
      <c r="H81" s="17"/>
      <c r="I81" s="17"/>
      <c r="J81" s="17"/>
      <c r="K81" s="17"/>
    </row>
    <row r="82" spans="1:11" ht="18" x14ac:dyDescent="0.2">
      <c r="A82" s="121" t="s">
        <v>2364</v>
      </c>
      <c r="B82" s="117">
        <v>2397.87</v>
      </c>
      <c r="C82" s="117">
        <v>22</v>
      </c>
      <c r="D82" s="17"/>
      <c r="E82" s="17"/>
      <c r="F82" s="17"/>
      <c r="G82" s="17"/>
      <c r="H82" s="17"/>
      <c r="I82" s="17"/>
      <c r="J82" s="17"/>
      <c r="K82" s="17"/>
    </row>
    <row r="83" spans="1:11" ht="18" x14ac:dyDescent="0.2">
      <c r="A83" s="121" t="s">
        <v>2450</v>
      </c>
      <c r="B83" s="117">
        <v>49709.8</v>
      </c>
      <c r="C83" s="117">
        <v>456.01000000000005</v>
      </c>
      <c r="D83" s="17"/>
      <c r="E83" s="17"/>
      <c r="F83" s="17"/>
      <c r="G83" s="17"/>
      <c r="H83" s="17"/>
      <c r="I83" s="17"/>
      <c r="J83" s="17"/>
      <c r="K83" s="17"/>
    </row>
    <row r="84" spans="1:11" ht="18" x14ac:dyDescent="0.2">
      <c r="A84" s="122">
        <v>46242</v>
      </c>
      <c r="B84" s="117">
        <v>44871.1</v>
      </c>
      <c r="C84" s="117">
        <v>411.63000000000005</v>
      </c>
      <c r="D84" s="17"/>
      <c r="E84" s="17"/>
      <c r="F84" s="17"/>
      <c r="G84" s="17"/>
      <c r="H84" s="17"/>
      <c r="I84" s="17"/>
      <c r="J84" s="17"/>
      <c r="K84" s="17"/>
    </row>
    <row r="85" spans="1:11" ht="18" x14ac:dyDescent="0.2">
      <c r="A85" s="121" t="s">
        <v>2364</v>
      </c>
      <c r="B85" s="117">
        <v>10286.1</v>
      </c>
      <c r="C85" s="117">
        <v>94.36</v>
      </c>
      <c r="D85" s="17"/>
      <c r="E85" s="17"/>
      <c r="F85" s="17"/>
      <c r="G85" s="17"/>
      <c r="H85" s="17"/>
      <c r="I85" s="17"/>
      <c r="J85" s="17"/>
      <c r="K85" s="17"/>
    </row>
    <row r="86" spans="1:11" ht="18" x14ac:dyDescent="0.2">
      <c r="A86" s="121" t="s">
        <v>2450</v>
      </c>
      <c r="B86" s="117">
        <v>34585</v>
      </c>
      <c r="C86" s="117">
        <v>317.27000000000004</v>
      </c>
      <c r="D86" s="17"/>
      <c r="E86" s="17"/>
      <c r="F86" s="17"/>
      <c r="G86" s="17"/>
      <c r="H86" s="17"/>
      <c r="I86" s="17"/>
      <c r="J86" s="17"/>
      <c r="K86" s="17"/>
    </row>
    <row r="87" spans="1:11" ht="18" x14ac:dyDescent="0.2">
      <c r="A87" s="122">
        <v>46241</v>
      </c>
      <c r="B87" s="117">
        <v>51871.08</v>
      </c>
      <c r="C87" s="117">
        <v>475.84000000000003</v>
      </c>
      <c r="D87" s="17"/>
      <c r="E87" s="17"/>
      <c r="F87" s="17"/>
      <c r="G87" s="17"/>
      <c r="H87" s="17"/>
      <c r="I87" s="17"/>
      <c r="J87" s="17"/>
      <c r="K87" s="17"/>
    </row>
    <row r="88" spans="1:11" ht="18" x14ac:dyDescent="0.2">
      <c r="A88" s="121" t="s">
        <v>152</v>
      </c>
      <c r="B88" s="117">
        <v>300</v>
      </c>
      <c r="C88" s="117">
        <v>2.75</v>
      </c>
      <c r="D88" s="17"/>
      <c r="E88" s="17"/>
      <c r="F88" s="17"/>
      <c r="G88" s="17"/>
      <c r="H88" s="17"/>
      <c r="I88" s="17"/>
      <c r="J88" s="17"/>
      <c r="K88" s="17"/>
    </row>
    <row r="89" spans="1:11" ht="18" x14ac:dyDescent="0.2">
      <c r="A89" s="121" t="s">
        <v>2364</v>
      </c>
      <c r="B89" s="117">
        <v>4358</v>
      </c>
      <c r="C89" s="117">
        <v>39.979999999999997</v>
      </c>
      <c r="D89" s="17"/>
      <c r="E89" s="17"/>
      <c r="F89" s="17"/>
      <c r="G89" s="17"/>
      <c r="H89" s="17"/>
      <c r="I89" s="17"/>
      <c r="J89" s="17"/>
      <c r="K89" s="17"/>
    </row>
    <row r="90" spans="1:11" ht="18" x14ac:dyDescent="0.2">
      <c r="A90" s="121" t="s">
        <v>2450</v>
      </c>
      <c r="B90" s="117">
        <v>47213.08</v>
      </c>
      <c r="C90" s="117">
        <v>433.11</v>
      </c>
      <c r="D90" s="17"/>
      <c r="E90" s="17"/>
      <c r="F90" s="17"/>
      <c r="G90" s="17"/>
      <c r="H90" s="17"/>
      <c r="I90" s="17"/>
      <c r="J90" s="17"/>
      <c r="K90" s="17"/>
    </row>
    <row r="91" spans="1:11" ht="18" x14ac:dyDescent="0.2">
      <c r="A91" s="122">
        <v>46240</v>
      </c>
      <c r="B91" s="117">
        <v>48491.66</v>
      </c>
      <c r="C91" s="117">
        <v>444.85</v>
      </c>
      <c r="D91" s="17"/>
      <c r="E91" s="17"/>
      <c r="F91" s="17"/>
      <c r="G91" s="17"/>
      <c r="H91" s="17"/>
      <c r="I91" s="17"/>
      <c r="J91" s="17"/>
      <c r="K91" s="17"/>
    </row>
    <row r="92" spans="1:11" ht="18" x14ac:dyDescent="0.2">
      <c r="A92" s="121" t="s">
        <v>103</v>
      </c>
      <c r="B92" s="117">
        <v>4242.66</v>
      </c>
      <c r="C92" s="117">
        <v>38.92</v>
      </c>
      <c r="D92" s="17"/>
      <c r="E92" s="17"/>
      <c r="F92" s="17"/>
      <c r="G92" s="17"/>
      <c r="H92" s="17"/>
      <c r="I92" s="17"/>
      <c r="J92" s="17"/>
      <c r="K92" s="17"/>
    </row>
    <row r="93" spans="1:11" ht="18" x14ac:dyDescent="0.2">
      <c r="A93" s="121" t="s">
        <v>2364</v>
      </c>
      <c r="B93" s="117">
        <v>5750</v>
      </c>
      <c r="C93" s="117">
        <v>52.75</v>
      </c>
      <c r="D93" s="17"/>
      <c r="E93" s="17"/>
      <c r="F93" s="17"/>
      <c r="G93" s="17"/>
      <c r="H93" s="17"/>
      <c r="I93" s="17"/>
      <c r="J93" s="17"/>
      <c r="K93" s="17"/>
    </row>
    <row r="94" spans="1:11" ht="18" x14ac:dyDescent="0.2">
      <c r="A94" s="121" t="s">
        <v>2450</v>
      </c>
      <c r="B94" s="117">
        <v>38499</v>
      </c>
      <c r="C94" s="117">
        <v>353.18</v>
      </c>
      <c r="D94" s="17"/>
      <c r="E94" s="17"/>
      <c r="F94" s="17"/>
      <c r="G94" s="17"/>
      <c r="H94" s="17"/>
      <c r="I94" s="17"/>
      <c r="J94" s="17"/>
      <c r="K94" s="17"/>
    </row>
    <row r="95" spans="1:11" ht="18" x14ac:dyDescent="0.2">
      <c r="A95" s="122">
        <v>46239</v>
      </c>
      <c r="B95" s="117">
        <v>68332.98</v>
      </c>
      <c r="C95" s="117">
        <v>626.84999999999991</v>
      </c>
      <c r="D95" s="17"/>
      <c r="E95" s="17"/>
      <c r="F95" s="17"/>
      <c r="G95" s="17"/>
      <c r="H95" s="17"/>
      <c r="I95" s="17"/>
      <c r="J95" s="17"/>
      <c r="K95" s="17"/>
    </row>
    <row r="96" spans="1:11" ht="18" x14ac:dyDescent="0.2">
      <c r="A96" s="121" t="s">
        <v>103</v>
      </c>
      <c r="B96" s="117">
        <v>3498.13</v>
      </c>
      <c r="C96" s="117">
        <v>32.090000000000003</v>
      </c>
      <c r="D96" s="17"/>
      <c r="E96" s="17"/>
      <c r="F96" s="17"/>
      <c r="G96" s="17"/>
      <c r="H96" s="17"/>
      <c r="I96" s="17"/>
      <c r="J96" s="17"/>
      <c r="K96" s="17"/>
    </row>
    <row r="97" spans="1:11" ht="18" x14ac:dyDescent="0.2">
      <c r="A97" s="121" t="s">
        <v>143</v>
      </c>
      <c r="B97" s="117">
        <v>21802</v>
      </c>
      <c r="C97" s="117">
        <v>200</v>
      </c>
      <c r="D97" s="17"/>
      <c r="E97" s="17"/>
      <c r="F97" s="17"/>
      <c r="G97" s="17"/>
      <c r="H97" s="17"/>
      <c r="I97" s="17"/>
      <c r="J97" s="17"/>
      <c r="K97" s="17"/>
    </row>
    <row r="98" spans="1:11" ht="18" x14ac:dyDescent="0.2">
      <c r="A98" s="121" t="s">
        <v>2364</v>
      </c>
      <c r="B98" s="117">
        <v>3965.1</v>
      </c>
      <c r="C98" s="117">
        <v>36.369999999999997</v>
      </c>
      <c r="D98" s="17"/>
      <c r="E98" s="17"/>
      <c r="F98" s="17"/>
      <c r="G98" s="17"/>
      <c r="H98" s="17"/>
      <c r="I98" s="17"/>
      <c r="J98" s="17"/>
      <c r="K98" s="17"/>
    </row>
    <row r="99" spans="1:11" ht="18" x14ac:dyDescent="0.2">
      <c r="A99" s="121" t="s">
        <v>2450</v>
      </c>
      <c r="B99" s="117">
        <v>39067.75</v>
      </c>
      <c r="C99" s="117">
        <v>358.39</v>
      </c>
      <c r="D99" s="17"/>
      <c r="E99" s="17"/>
      <c r="F99" s="17"/>
      <c r="G99" s="17"/>
      <c r="H99" s="17"/>
      <c r="I99" s="17"/>
      <c r="J99" s="17"/>
      <c r="K99" s="17"/>
    </row>
    <row r="100" spans="1:11" ht="18" x14ac:dyDescent="0.2">
      <c r="A100" s="122">
        <v>46238</v>
      </c>
      <c r="B100" s="117">
        <v>58964.9</v>
      </c>
      <c r="C100" s="117">
        <v>540.91</v>
      </c>
      <c r="D100" s="17"/>
      <c r="E100" s="17"/>
      <c r="F100" s="17"/>
      <c r="G100" s="17"/>
      <c r="H100" s="17"/>
      <c r="I100" s="17"/>
      <c r="J100" s="17"/>
      <c r="K100" s="17"/>
    </row>
    <row r="101" spans="1:11" ht="18" x14ac:dyDescent="0.2">
      <c r="A101" s="121" t="s">
        <v>2364</v>
      </c>
      <c r="B101" s="117">
        <v>6070</v>
      </c>
      <c r="C101" s="117">
        <v>55.68</v>
      </c>
      <c r="D101" s="17"/>
      <c r="E101" s="17"/>
      <c r="F101" s="17"/>
      <c r="G101" s="17"/>
      <c r="H101" s="17"/>
      <c r="I101" s="17"/>
      <c r="J101" s="17"/>
      <c r="K101" s="17"/>
    </row>
    <row r="102" spans="1:11" ht="18" x14ac:dyDescent="0.2">
      <c r="A102" s="121" t="s">
        <v>2450</v>
      </c>
      <c r="B102" s="117">
        <v>52894.9</v>
      </c>
      <c r="C102" s="117">
        <v>485.23</v>
      </c>
      <c r="D102" s="17"/>
      <c r="E102" s="17"/>
      <c r="F102" s="17"/>
      <c r="G102" s="17"/>
      <c r="H102" s="17"/>
      <c r="I102" s="17"/>
      <c r="J102" s="17"/>
      <c r="K102" s="17"/>
    </row>
    <row r="103" spans="1:11" ht="18" x14ac:dyDescent="0.2">
      <c r="A103" s="122">
        <v>46237</v>
      </c>
      <c r="B103" s="117">
        <v>43900.1</v>
      </c>
      <c r="C103" s="117">
        <v>402.71999999999997</v>
      </c>
      <c r="D103" s="17"/>
      <c r="E103" s="17"/>
      <c r="F103" s="17"/>
      <c r="G103" s="17"/>
      <c r="H103" s="17"/>
      <c r="I103" s="17"/>
      <c r="J103" s="17"/>
      <c r="K103" s="17"/>
    </row>
    <row r="104" spans="1:11" ht="18" x14ac:dyDescent="0.2">
      <c r="A104" s="121" t="s">
        <v>2364</v>
      </c>
      <c r="B104" s="117">
        <v>3824.1</v>
      </c>
      <c r="C104" s="117">
        <v>35.08</v>
      </c>
      <c r="D104" s="17"/>
      <c r="E104" s="17"/>
      <c r="F104" s="17"/>
      <c r="G104" s="17"/>
      <c r="H104" s="17"/>
      <c r="I104" s="17"/>
      <c r="J104" s="17"/>
      <c r="K104" s="17"/>
    </row>
    <row r="105" spans="1:11" ht="18" x14ac:dyDescent="0.2">
      <c r="A105" s="121" t="s">
        <v>2450</v>
      </c>
      <c r="B105" s="117">
        <v>40076</v>
      </c>
      <c r="C105" s="117">
        <v>367.64</v>
      </c>
      <c r="D105" s="17"/>
      <c r="E105" s="17"/>
      <c r="F105" s="17"/>
      <c r="G105" s="17"/>
      <c r="H105" s="17"/>
      <c r="I105" s="17"/>
      <c r="J105" s="17"/>
      <c r="K105" s="17"/>
    </row>
    <row r="106" spans="1:11" ht="18" x14ac:dyDescent="0.2">
      <c r="A106" s="122">
        <v>46236</v>
      </c>
      <c r="B106" s="117">
        <v>66922.87</v>
      </c>
      <c r="C106" s="117">
        <v>613.91</v>
      </c>
      <c r="D106" s="17"/>
      <c r="E106" s="17"/>
      <c r="F106" s="17"/>
      <c r="G106" s="17"/>
      <c r="H106" s="17"/>
      <c r="I106" s="17"/>
      <c r="J106" s="17"/>
      <c r="K106" s="17"/>
    </row>
    <row r="107" spans="1:11" ht="18" x14ac:dyDescent="0.2">
      <c r="A107" s="121" t="s">
        <v>152</v>
      </c>
      <c r="B107" s="117">
        <v>300</v>
      </c>
      <c r="C107" s="117">
        <v>2.75</v>
      </c>
      <c r="D107" s="17"/>
      <c r="E107" s="17"/>
      <c r="F107" s="17"/>
      <c r="G107" s="17"/>
      <c r="H107" s="17"/>
      <c r="I107" s="17"/>
      <c r="J107" s="17"/>
      <c r="K107" s="17"/>
    </row>
    <row r="108" spans="1:11" ht="18" x14ac:dyDescent="0.2">
      <c r="A108" s="121" t="s">
        <v>2364</v>
      </c>
      <c r="B108" s="117">
        <v>2990.87</v>
      </c>
      <c r="C108" s="117">
        <v>27.44</v>
      </c>
      <c r="D108" s="17"/>
      <c r="E108" s="17"/>
      <c r="F108" s="17"/>
      <c r="G108" s="17"/>
      <c r="H108" s="17"/>
      <c r="I108" s="17"/>
      <c r="J108" s="17"/>
      <c r="K108" s="17"/>
    </row>
    <row r="109" spans="1:11" ht="18" x14ac:dyDescent="0.2">
      <c r="A109" s="121" t="s">
        <v>2450</v>
      </c>
      <c r="B109" s="117">
        <v>63632</v>
      </c>
      <c r="C109" s="117">
        <v>583.71999999999991</v>
      </c>
      <c r="D109" s="17"/>
      <c r="E109" s="17"/>
      <c r="F109" s="17"/>
      <c r="G109" s="17"/>
      <c r="H109" s="17"/>
      <c r="I109" s="17"/>
      <c r="J109" s="17"/>
      <c r="K109" s="17"/>
    </row>
    <row r="110" spans="1:11" ht="18" x14ac:dyDescent="0.2">
      <c r="A110" s="122">
        <v>46235</v>
      </c>
      <c r="B110" s="117">
        <v>51013.54</v>
      </c>
      <c r="C110" s="117">
        <v>467.96999999999997</v>
      </c>
      <c r="D110" s="17"/>
      <c r="E110" s="17"/>
      <c r="F110" s="17"/>
      <c r="G110" s="17"/>
      <c r="H110" s="17"/>
      <c r="I110" s="17"/>
      <c r="J110" s="17"/>
      <c r="K110" s="17"/>
    </row>
    <row r="111" spans="1:11" ht="18" x14ac:dyDescent="0.2">
      <c r="A111" s="121" t="s">
        <v>56</v>
      </c>
      <c r="B111" s="117">
        <v>6418.5</v>
      </c>
      <c r="C111" s="117">
        <v>58.88</v>
      </c>
      <c r="D111" s="17"/>
      <c r="E111" s="17"/>
      <c r="F111" s="17"/>
      <c r="G111" s="17"/>
      <c r="H111" s="17"/>
      <c r="I111" s="17"/>
      <c r="J111" s="17"/>
      <c r="K111" s="17"/>
    </row>
    <row r="112" spans="1:11" ht="18" x14ac:dyDescent="0.2">
      <c r="A112" s="121" t="s">
        <v>95</v>
      </c>
      <c r="B112" s="117">
        <v>1090.0999999999999</v>
      </c>
      <c r="C112" s="117">
        <v>10</v>
      </c>
      <c r="D112" s="17"/>
      <c r="E112" s="17"/>
      <c r="F112" s="17"/>
      <c r="G112" s="17"/>
      <c r="H112" s="17"/>
      <c r="I112" s="17"/>
      <c r="J112" s="17"/>
      <c r="K112" s="17"/>
    </row>
    <row r="113" spans="1:11" ht="18" x14ac:dyDescent="0.2">
      <c r="A113" s="121" t="s">
        <v>2364</v>
      </c>
      <c r="B113" s="117">
        <v>10089.69</v>
      </c>
      <c r="C113" s="117">
        <v>92.56</v>
      </c>
      <c r="D113" s="17"/>
      <c r="E113" s="17"/>
      <c r="F113" s="17"/>
      <c r="G113" s="17"/>
      <c r="H113" s="17"/>
      <c r="I113" s="17"/>
      <c r="J113" s="17"/>
      <c r="K113" s="17"/>
    </row>
    <row r="114" spans="1:11" ht="18" x14ac:dyDescent="0.2">
      <c r="A114" s="121" t="s">
        <v>2450</v>
      </c>
      <c r="B114" s="117">
        <v>33415.25</v>
      </c>
      <c r="C114" s="117">
        <v>306.52999999999997</v>
      </c>
      <c r="D114" s="17"/>
      <c r="E114" s="17"/>
      <c r="F114" s="17"/>
      <c r="G114" s="17"/>
      <c r="H114" s="17"/>
      <c r="I114" s="17"/>
      <c r="J114" s="17"/>
      <c r="K114" s="17"/>
    </row>
    <row r="115" spans="1:11" ht="18" x14ac:dyDescent="0.2">
      <c r="A115" s="122">
        <v>46234</v>
      </c>
      <c r="B115" s="117">
        <v>73747.959999999992</v>
      </c>
      <c r="C115" s="117">
        <v>676.54</v>
      </c>
      <c r="D115" s="17"/>
      <c r="E115" s="17"/>
      <c r="F115" s="17"/>
      <c r="G115" s="17"/>
      <c r="H115" s="17"/>
      <c r="I115" s="17"/>
      <c r="J115" s="17"/>
      <c r="K115" s="17"/>
    </row>
    <row r="116" spans="1:11" ht="18" x14ac:dyDescent="0.2">
      <c r="A116" s="121" t="s">
        <v>53</v>
      </c>
      <c r="B116" s="117">
        <v>9810.9</v>
      </c>
      <c r="C116" s="117">
        <v>90</v>
      </c>
      <c r="D116" s="17"/>
      <c r="E116" s="17"/>
      <c r="F116" s="17"/>
      <c r="G116" s="17"/>
      <c r="H116" s="17"/>
      <c r="I116" s="17"/>
      <c r="J116" s="17"/>
      <c r="K116" s="17"/>
    </row>
    <row r="117" spans="1:11" ht="18" x14ac:dyDescent="0.2">
      <c r="A117" s="121" t="s">
        <v>202</v>
      </c>
      <c r="B117" s="117">
        <v>2000</v>
      </c>
      <c r="C117" s="117">
        <v>18.350000000000001</v>
      </c>
      <c r="D117" s="17"/>
      <c r="E117" s="17"/>
      <c r="F117" s="17"/>
      <c r="G117" s="17"/>
      <c r="H117" s="17"/>
      <c r="I117" s="17"/>
      <c r="J117" s="17"/>
      <c r="K117" s="17"/>
    </row>
    <row r="118" spans="1:11" ht="18" x14ac:dyDescent="0.2">
      <c r="A118" s="121" t="s">
        <v>103</v>
      </c>
      <c r="B118" s="117">
        <v>4200.1499999999996</v>
      </c>
      <c r="C118" s="117">
        <v>38.53</v>
      </c>
      <c r="D118" s="17"/>
      <c r="E118" s="17"/>
      <c r="F118" s="17"/>
      <c r="G118" s="17"/>
      <c r="H118" s="17"/>
      <c r="I118" s="17"/>
      <c r="J118" s="17"/>
      <c r="K118" s="17"/>
    </row>
    <row r="119" spans="1:11" ht="18" x14ac:dyDescent="0.2">
      <c r="A119" s="121" t="s">
        <v>2364</v>
      </c>
      <c r="B119" s="117">
        <v>6094.06</v>
      </c>
      <c r="C119" s="117">
        <v>55.91</v>
      </c>
      <c r="D119" s="17"/>
      <c r="E119" s="17"/>
      <c r="F119" s="17"/>
      <c r="G119" s="17"/>
      <c r="H119" s="17"/>
      <c r="I119" s="17"/>
      <c r="J119" s="17"/>
      <c r="K119" s="17"/>
    </row>
    <row r="120" spans="1:11" ht="18" x14ac:dyDescent="0.2">
      <c r="A120" s="121" t="s">
        <v>2450</v>
      </c>
      <c r="B120" s="117">
        <v>51642.85</v>
      </c>
      <c r="C120" s="117">
        <v>473.75</v>
      </c>
      <c r="D120" s="17"/>
      <c r="E120" s="17"/>
      <c r="F120" s="17"/>
      <c r="G120" s="17"/>
      <c r="H120" s="17"/>
      <c r="I120" s="17"/>
      <c r="J120" s="17"/>
      <c r="K120" s="17"/>
    </row>
    <row r="121" spans="1:11" ht="18" x14ac:dyDescent="0.2">
      <c r="A121" s="122">
        <v>46233</v>
      </c>
      <c r="B121" s="117">
        <v>38030.619999999995</v>
      </c>
      <c r="C121" s="117">
        <v>348.87</v>
      </c>
      <c r="D121" s="17"/>
      <c r="E121" s="17"/>
      <c r="F121" s="17"/>
      <c r="G121" s="17"/>
      <c r="H121" s="17"/>
      <c r="I121" s="17"/>
      <c r="J121" s="17"/>
      <c r="K121" s="17"/>
    </row>
    <row r="122" spans="1:11" ht="18" x14ac:dyDescent="0.2">
      <c r="A122" s="121" t="s">
        <v>56</v>
      </c>
      <c r="B122" s="117">
        <v>2600</v>
      </c>
      <c r="C122" s="117">
        <v>23.85</v>
      </c>
      <c r="D122" s="17"/>
      <c r="E122" s="17"/>
      <c r="F122" s="17"/>
      <c r="G122" s="17"/>
      <c r="H122" s="17"/>
      <c r="I122" s="17"/>
      <c r="J122" s="17"/>
      <c r="K122" s="17"/>
    </row>
    <row r="123" spans="1:11" ht="18" x14ac:dyDescent="0.2">
      <c r="A123" s="121" t="s">
        <v>152</v>
      </c>
      <c r="B123" s="117">
        <v>300</v>
      </c>
      <c r="C123" s="117">
        <v>2.75</v>
      </c>
      <c r="D123" s="17"/>
      <c r="E123" s="17"/>
      <c r="F123" s="17"/>
      <c r="G123" s="17"/>
      <c r="H123" s="17"/>
      <c r="I123" s="17"/>
      <c r="J123" s="17"/>
      <c r="K123" s="17"/>
    </row>
    <row r="124" spans="1:11" ht="18" x14ac:dyDescent="0.2">
      <c r="A124" s="121" t="s">
        <v>2364</v>
      </c>
      <c r="B124" s="117">
        <v>1366.02</v>
      </c>
      <c r="C124" s="117">
        <v>12.53</v>
      </c>
      <c r="D124" s="17"/>
      <c r="E124" s="17"/>
      <c r="F124" s="17"/>
      <c r="G124" s="17"/>
      <c r="H124" s="17"/>
      <c r="I124" s="17"/>
      <c r="J124" s="17"/>
      <c r="K124" s="17"/>
    </row>
    <row r="125" spans="1:11" ht="18" x14ac:dyDescent="0.2">
      <c r="A125" s="121" t="s">
        <v>2450</v>
      </c>
      <c r="B125" s="117">
        <v>33764.6</v>
      </c>
      <c r="C125" s="117">
        <v>309.74</v>
      </c>
      <c r="D125" s="17"/>
      <c r="E125" s="17"/>
      <c r="F125" s="17"/>
      <c r="G125" s="17"/>
      <c r="H125" s="17"/>
      <c r="I125" s="17"/>
      <c r="J125" s="17"/>
      <c r="K125" s="17"/>
    </row>
    <row r="126" spans="1:11" ht="18" x14ac:dyDescent="0.2">
      <c r="A126" s="122">
        <v>46232</v>
      </c>
      <c r="B126" s="117">
        <v>33888.9</v>
      </c>
      <c r="C126" s="117">
        <v>310.87</v>
      </c>
      <c r="D126" s="17"/>
      <c r="E126" s="17"/>
      <c r="F126" s="17"/>
      <c r="G126" s="17"/>
      <c r="H126" s="17"/>
      <c r="I126" s="17"/>
      <c r="J126" s="17"/>
      <c r="K126" s="17"/>
    </row>
    <row r="127" spans="1:11" ht="18" x14ac:dyDescent="0.2">
      <c r="A127" s="121" t="s">
        <v>2364</v>
      </c>
      <c r="B127" s="117">
        <v>13402.9</v>
      </c>
      <c r="C127" s="117">
        <v>122.95</v>
      </c>
      <c r="D127" s="17"/>
      <c r="E127" s="17"/>
      <c r="F127" s="17"/>
      <c r="G127" s="17"/>
      <c r="H127" s="17"/>
      <c r="I127" s="17"/>
      <c r="J127" s="17"/>
      <c r="K127" s="17"/>
    </row>
    <row r="128" spans="1:11" ht="18" x14ac:dyDescent="0.2">
      <c r="A128" s="121" t="s">
        <v>2450</v>
      </c>
      <c r="B128" s="117">
        <v>20486</v>
      </c>
      <c r="C128" s="117">
        <v>187.92</v>
      </c>
      <c r="D128" s="17"/>
      <c r="E128" s="17"/>
      <c r="F128" s="17"/>
      <c r="G128" s="17"/>
      <c r="H128" s="17"/>
      <c r="I128" s="17"/>
      <c r="J128" s="17"/>
      <c r="K128" s="17"/>
    </row>
    <row r="129" spans="1:11" ht="18" x14ac:dyDescent="0.2">
      <c r="A129" s="122">
        <v>46231</v>
      </c>
      <c r="B129" s="117">
        <v>35223.050000000003</v>
      </c>
      <c r="C129" s="117">
        <v>323.12</v>
      </c>
      <c r="D129" s="17"/>
      <c r="E129" s="17"/>
      <c r="F129" s="17"/>
      <c r="G129" s="17"/>
      <c r="H129" s="17"/>
      <c r="I129" s="17"/>
      <c r="J129" s="17"/>
      <c r="K129" s="17"/>
    </row>
    <row r="130" spans="1:11" ht="18" x14ac:dyDescent="0.2">
      <c r="A130" s="121" t="s">
        <v>714</v>
      </c>
      <c r="B130" s="117">
        <v>500</v>
      </c>
      <c r="C130" s="117">
        <v>4.59</v>
      </c>
      <c r="D130" s="17"/>
      <c r="E130" s="17"/>
      <c r="F130" s="17"/>
      <c r="G130" s="17"/>
      <c r="H130" s="17"/>
      <c r="I130" s="17"/>
      <c r="J130" s="17"/>
      <c r="K130" s="17"/>
    </row>
    <row r="131" spans="1:11" ht="18" x14ac:dyDescent="0.2">
      <c r="A131" s="121" t="s">
        <v>2364</v>
      </c>
      <c r="B131" s="117">
        <v>1100</v>
      </c>
      <c r="C131" s="117">
        <v>10.09</v>
      </c>
      <c r="D131" s="17"/>
      <c r="E131" s="17"/>
      <c r="F131" s="17"/>
      <c r="G131" s="17"/>
      <c r="H131" s="17"/>
      <c r="I131" s="17"/>
      <c r="J131" s="17"/>
      <c r="K131" s="17"/>
    </row>
    <row r="132" spans="1:11" ht="18" x14ac:dyDescent="0.2">
      <c r="A132" s="121" t="s">
        <v>2450</v>
      </c>
      <c r="B132" s="117">
        <v>33623.050000000003</v>
      </c>
      <c r="C132" s="117">
        <v>308.44</v>
      </c>
      <c r="D132" s="17"/>
      <c r="E132" s="17"/>
      <c r="F132" s="17"/>
      <c r="G132" s="17"/>
      <c r="H132" s="17"/>
      <c r="I132" s="17"/>
      <c r="J132" s="17"/>
      <c r="K132" s="17"/>
    </row>
    <row r="133" spans="1:11" ht="18" x14ac:dyDescent="0.2">
      <c r="A133" s="122">
        <v>46230</v>
      </c>
      <c r="B133" s="117">
        <v>40259.819999999992</v>
      </c>
      <c r="C133" s="117">
        <v>369.33</v>
      </c>
      <c r="D133" s="17"/>
      <c r="E133" s="17"/>
      <c r="F133" s="17"/>
      <c r="G133" s="17"/>
      <c r="H133" s="17"/>
      <c r="I133" s="17"/>
      <c r="J133" s="17"/>
      <c r="K133" s="17"/>
    </row>
    <row r="134" spans="1:11" ht="18" x14ac:dyDescent="0.2">
      <c r="A134" s="121" t="s">
        <v>103</v>
      </c>
      <c r="B134" s="117">
        <v>4315.7</v>
      </c>
      <c r="C134" s="117">
        <v>39.590000000000003</v>
      </c>
      <c r="D134" s="17"/>
      <c r="E134" s="17"/>
      <c r="F134" s="17"/>
      <c r="G134" s="17"/>
      <c r="H134" s="17"/>
      <c r="I134" s="17"/>
      <c r="J134" s="17"/>
      <c r="K134" s="17"/>
    </row>
    <row r="135" spans="1:11" ht="18" x14ac:dyDescent="0.2">
      <c r="A135" s="121" t="s">
        <v>2364</v>
      </c>
      <c r="B135" s="117">
        <v>3103.1</v>
      </c>
      <c r="C135" s="117">
        <v>28.47</v>
      </c>
      <c r="D135" s="17"/>
      <c r="E135" s="17"/>
      <c r="F135" s="17"/>
      <c r="G135" s="17"/>
      <c r="H135" s="17"/>
      <c r="I135" s="17"/>
      <c r="J135" s="17"/>
      <c r="K135" s="17"/>
    </row>
    <row r="136" spans="1:11" ht="18" x14ac:dyDescent="0.2">
      <c r="A136" s="121" t="s">
        <v>2450</v>
      </c>
      <c r="B136" s="117">
        <v>32841.019999999997</v>
      </c>
      <c r="C136" s="117">
        <v>301.27</v>
      </c>
      <c r="D136" s="17"/>
      <c r="E136" s="17"/>
      <c r="F136" s="17"/>
      <c r="G136" s="17"/>
      <c r="H136" s="17"/>
      <c r="I136" s="17"/>
      <c r="J136" s="17"/>
      <c r="K136" s="17"/>
    </row>
    <row r="137" spans="1:11" ht="18" x14ac:dyDescent="0.2">
      <c r="A137" s="122">
        <v>46229</v>
      </c>
      <c r="B137" s="477">
        <v>39146</v>
      </c>
      <c r="C137" s="477">
        <v>359.1</v>
      </c>
      <c r="D137" s="17"/>
      <c r="E137" s="17"/>
      <c r="F137" s="17"/>
      <c r="G137" s="17"/>
      <c r="H137" s="17"/>
      <c r="I137" s="17"/>
      <c r="J137" s="17"/>
      <c r="K137" s="17"/>
    </row>
    <row r="138" spans="1:11" ht="18" x14ac:dyDescent="0.2">
      <c r="A138" s="121" t="s">
        <v>2364</v>
      </c>
      <c r="B138" s="117">
        <v>11915</v>
      </c>
      <c r="C138" s="117">
        <v>109.3</v>
      </c>
      <c r="D138" s="17"/>
      <c r="E138" s="17"/>
      <c r="F138" s="17"/>
      <c r="G138" s="17"/>
      <c r="H138" s="17"/>
      <c r="I138" s="17"/>
      <c r="J138" s="17"/>
      <c r="K138" s="17"/>
    </row>
    <row r="139" spans="1:11" ht="18" x14ac:dyDescent="0.2">
      <c r="A139" s="121" t="s">
        <v>2450</v>
      </c>
      <c r="B139" s="117">
        <v>25231</v>
      </c>
      <c r="C139" s="117">
        <v>231.45</v>
      </c>
      <c r="D139" s="17"/>
      <c r="E139" s="17"/>
      <c r="F139" s="17"/>
      <c r="G139" s="17"/>
      <c r="H139" s="17"/>
      <c r="I139" s="17"/>
      <c r="J139" s="17"/>
      <c r="K139" s="17"/>
    </row>
    <row r="140" spans="1:11" ht="18" x14ac:dyDescent="0.2">
      <c r="A140" s="121" t="s">
        <v>3083</v>
      </c>
      <c r="B140" s="117">
        <v>2000</v>
      </c>
      <c r="C140" s="117">
        <v>18.350000000000001</v>
      </c>
      <c r="D140" s="17"/>
      <c r="E140" s="17"/>
      <c r="F140" s="17"/>
      <c r="G140" s="17"/>
      <c r="H140" s="17"/>
      <c r="I140" s="17"/>
      <c r="J140" s="17"/>
      <c r="K140" s="17"/>
    </row>
    <row r="141" spans="1:11" ht="18" x14ac:dyDescent="0.2">
      <c r="A141" s="122">
        <v>46228</v>
      </c>
      <c r="B141" s="477">
        <v>31384.989999999998</v>
      </c>
      <c r="C141" s="477">
        <v>287.89999999999998</v>
      </c>
      <c r="D141" s="17"/>
      <c r="E141" s="17"/>
      <c r="F141" s="17"/>
      <c r="G141" s="17"/>
      <c r="H141" s="17"/>
      <c r="I141" s="17"/>
      <c r="J141" s="17"/>
      <c r="K141" s="17"/>
    </row>
    <row r="142" spans="1:11" ht="18" x14ac:dyDescent="0.2">
      <c r="A142" s="121" t="s">
        <v>152</v>
      </c>
      <c r="B142" s="117">
        <v>300</v>
      </c>
      <c r="C142" s="117">
        <v>2.75</v>
      </c>
      <c r="D142" s="17"/>
      <c r="E142" s="17"/>
      <c r="F142" s="17"/>
      <c r="G142" s="17"/>
      <c r="H142" s="17"/>
      <c r="I142" s="17"/>
      <c r="J142" s="17"/>
      <c r="K142" s="17"/>
    </row>
    <row r="143" spans="1:11" ht="18" x14ac:dyDescent="0.2">
      <c r="A143" s="121" t="s">
        <v>2364</v>
      </c>
      <c r="B143" s="117">
        <v>8557.7199999999993</v>
      </c>
      <c r="C143" s="117">
        <v>78.5</v>
      </c>
      <c r="D143" s="17"/>
      <c r="E143" s="17"/>
      <c r="F143" s="17"/>
      <c r="G143" s="17"/>
      <c r="H143" s="17"/>
      <c r="I143" s="17"/>
      <c r="J143" s="17"/>
      <c r="K143" s="17"/>
    </row>
    <row r="144" spans="1:11" ht="18" x14ac:dyDescent="0.2">
      <c r="A144" s="121" t="s">
        <v>2450</v>
      </c>
      <c r="B144" s="117">
        <v>22527.27</v>
      </c>
      <c r="C144" s="117">
        <v>206.65</v>
      </c>
      <c r="D144" s="17"/>
      <c r="E144" s="17"/>
      <c r="F144" s="17"/>
      <c r="G144" s="17"/>
      <c r="H144" s="17"/>
      <c r="I144" s="17"/>
      <c r="J144" s="17"/>
      <c r="K144" s="17"/>
    </row>
    <row r="145" spans="1:11" ht="18" x14ac:dyDescent="0.2">
      <c r="A145" s="122">
        <v>46227</v>
      </c>
      <c r="B145" s="477">
        <v>39346.009999999995</v>
      </c>
      <c r="C145" s="477">
        <v>360.93</v>
      </c>
      <c r="D145" s="17"/>
      <c r="E145" s="17"/>
      <c r="F145" s="17"/>
      <c r="G145" s="17"/>
      <c r="H145" s="17"/>
      <c r="I145" s="17"/>
      <c r="J145" s="17"/>
      <c r="K145" s="17"/>
    </row>
    <row r="146" spans="1:11" ht="18" x14ac:dyDescent="0.2">
      <c r="A146" s="121" t="s">
        <v>56</v>
      </c>
      <c r="B146" s="117">
        <v>5956.3</v>
      </c>
      <c r="C146" s="117">
        <v>54.64</v>
      </c>
      <c r="D146" s="17"/>
      <c r="E146" s="17"/>
      <c r="F146" s="17"/>
      <c r="G146" s="17"/>
      <c r="H146" s="17"/>
      <c r="I146" s="17"/>
      <c r="J146" s="17"/>
      <c r="K146" s="17"/>
    </row>
    <row r="147" spans="1:11" ht="18" x14ac:dyDescent="0.2">
      <c r="A147" s="121" t="s">
        <v>714</v>
      </c>
      <c r="B147" s="117">
        <v>500</v>
      </c>
      <c r="C147" s="117">
        <v>4.59</v>
      </c>
      <c r="D147" s="17"/>
      <c r="E147" s="17"/>
      <c r="F147" s="17"/>
      <c r="G147" s="17"/>
      <c r="H147" s="17"/>
      <c r="I147" s="17"/>
      <c r="J147" s="17"/>
      <c r="K147" s="17"/>
    </row>
    <row r="148" spans="1:11" ht="18" x14ac:dyDescent="0.2">
      <c r="A148" s="121" t="s">
        <v>2364</v>
      </c>
      <c r="B148" s="117">
        <v>4580</v>
      </c>
      <c r="C148" s="117">
        <v>42.01</v>
      </c>
      <c r="D148" s="17"/>
      <c r="E148" s="17"/>
      <c r="F148" s="17"/>
      <c r="G148" s="17"/>
      <c r="H148" s="17"/>
      <c r="I148" s="17"/>
      <c r="J148" s="17"/>
      <c r="K148" s="17"/>
    </row>
    <row r="149" spans="1:11" ht="18" x14ac:dyDescent="0.2">
      <c r="A149" s="121" t="s">
        <v>2450</v>
      </c>
      <c r="B149" s="117">
        <v>28309.71</v>
      </c>
      <c r="C149" s="117">
        <v>259.69</v>
      </c>
      <c r="D149" s="17"/>
      <c r="E149" s="17"/>
      <c r="F149" s="17"/>
      <c r="G149" s="17"/>
      <c r="H149" s="17"/>
      <c r="I149" s="17"/>
      <c r="J149" s="17"/>
      <c r="K149" s="17"/>
    </row>
    <row r="150" spans="1:11" ht="18" x14ac:dyDescent="0.2">
      <c r="A150" s="122">
        <v>46226</v>
      </c>
      <c r="B150" s="477">
        <v>59375.18</v>
      </c>
      <c r="C150" s="477">
        <v>544.67000000000007</v>
      </c>
      <c r="D150" s="17"/>
      <c r="E150" s="17"/>
      <c r="F150" s="17"/>
      <c r="G150" s="17"/>
      <c r="H150" s="17"/>
      <c r="I150" s="17"/>
      <c r="J150" s="17"/>
      <c r="K150" s="17"/>
    </row>
    <row r="151" spans="1:11" ht="18" x14ac:dyDescent="0.2">
      <c r="A151" s="121" t="s">
        <v>202</v>
      </c>
      <c r="B151" s="117">
        <v>460.02</v>
      </c>
      <c r="C151" s="117">
        <v>4.22</v>
      </c>
      <c r="D151" s="17"/>
      <c r="E151" s="17"/>
      <c r="F151" s="17"/>
      <c r="G151" s="17"/>
      <c r="H151" s="17"/>
      <c r="I151" s="17"/>
      <c r="J151" s="17"/>
      <c r="K151" s="17"/>
    </row>
    <row r="152" spans="1:11" ht="18" x14ac:dyDescent="0.2">
      <c r="A152" s="121" t="s">
        <v>56</v>
      </c>
      <c r="B152" s="117">
        <v>654.05999999999995</v>
      </c>
      <c r="C152" s="117">
        <v>6</v>
      </c>
      <c r="D152" s="17"/>
      <c r="E152" s="17"/>
      <c r="F152" s="17"/>
      <c r="G152" s="17"/>
      <c r="H152" s="17"/>
      <c r="I152" s="17"/>
      <c r="J152" s="17"/>
      <c r="K152" s="17"/>
    </row>
    <row r="153" spans="1:11" ht="18" x14ac:dyDescent="0.2">
      <c r="A153" s="121" t="s">
        <v>152</v>
      </c>
      <c r="B153" s="117">
        <v>300</v>
      </c>
      <c r="C153" s="117">
        <v>2.75</v>
      </c>
      <c r="D153" s="17"/>
      <c r="E153" s="17"/>
      <c r="F153" s="17"/>
      <c r="G153" s="17"/>
      <c r="H153" s="17"/>
      <c r="I153" s="17"/>
      <c r="J153" s="17"/>
      <c r="K153" s="17"/>
    </row>
    <row r="154" spans="1:11" ht="18" x14ac:dyDescent="0.2">
      <c r="A154" s="121" t="s">
        <v>2364</v>
      </c>
      <c r="B154" s="117">
        <v>5794.1</v>
      </c>
      <c r="C154" s="117">
        <v>53.15</v>
      </c>
      <c r="D154" s="17"/>
      <c r="E154" s="17"/>
      <c r="F154" s="17"/>
      <c r="G154" s="17"/>
      <c r="H154" s="17"/>
      <c r="I154" s="17"/>
      <c r="J154" s="17"/>
      <c r="K154" s="17"/>
    </row>
    <row r="155" spans="1:11" ht="18" x14ac:dyDescent="0.2">
      <c r="A155" s="121" t="s">
        <v>2450</v>
      </c>
      <c r="B155" s="117">
        <v>52167</v>
      </c>
      <c r="C155" s="117">
        <v>478.55</v>
      </c>
      <c r="D155" s="17"/>
      <c r="E155" s="17"/>
      <c r="F155" s="17"/>
      <c r="G155" s="17"/>
      <c r="H155" s="17"/>
      <c r="I155" s="17"/>
      <c r="J155" s="17"/>
      <c r="K155" s="17"/>
    </row>
    <row r="156" spans="1:11" ht="18" x14ac:dyDescent="0.2">
      <c r="A156" s="122">
        <v>46225</v>
      </c>
      <c r="B156" s="477">
        <v>36269.379999999997</v>
      </c>
      <c r="C156" s="477">
        <v>332.71999999999997</v>
      </c>
      <c r="D156" s="17"/>
      <c r="E156" s="17"/>
      <c r="F156" s="17"/>
      <c r="G156" s="17"/>
      <c r="H156" s="17"/>
      <c r="I156" s="17"/>
      <c r="J156" s="17"/>
      <c r="K156" s="17"/>
    </row>
    <row r="157" spans="1:11" ht="18" x14ac:dyDescent="0.2">
      <c r="A157" s="121" t="s">
        <v>103</v>
      </c>
      <c r="B157" s="117">
        <v>3971.23</v>
      </c>
      <c r="C157" s="117">
        <v>36.43</v>
      </c>
      <c r="D157" s="17"/>
      <c r="E157" s="17"/>
      <c r="F157" s="17"/>
      <c r="G157" s="17"/>
      <c r="H157" s="17"/>
      <c r="I157" s="17"/>
      <c r="J157" s="17"/>
      <c r="K157" s="17"/>
    </row>
    <row r="158" spans="1:11" ht="18" x14ac:dyDescent="0.2">
      <c r="A158" s="121" t="s">
        <v>2364</v>
      </c>
      <c r="B158" s="117">
        <v>2235.15</v>
      </c>
      <c r="C158" s="117">
        <v>20.51</v>
      </c>
      <c r="D158" s="17"/>
      <c r="E158" s="17"/>
      <c r="F158" s="17"/>
      <c r="G158" s="17"/>
      <c r="H158" s="17"/>
      <c r="I158" s="17"/>
      <c r="J158" s="17"/>
      <c r="K158" s="17"/>
    </row>
    <row r="159" spans="1:11" ht="18" x14ac:dyDescent="0.2">
      <c r="A159" s="121" t="s">
        <v>2450</v>
      </c>
      <c r="B159" s="117">
        <v>30063</v>
      </c>
      <c r="C159" s="117">
        <v>275.77999999999997</v>
      </c>
      <c r="D159" s="17"/>
      <c r="E159" s="17"/>
      <c r="F159" s="17"/>
      <c r="G159" s="17"/>
      <c r="H159" s="17"/>
      <c r="I159" s="17"/>
      <c r="J159" s="17"/>
      <c r="K159" s="17"/>
    </row>
    <row r="160" spans="1:11" ht="18" x14ac:dyDescent="0.2">
      <c r="A160" s="122">
        <v>46224</v>
      </c>
      <c r="B160" s="477">
        <v>42530.22</v>
      </c>
      <c r="C160" s="477">
        <v>390.14000000000004</v>
      </c>
      <c r="D160" s="17"/>
      <c r="E160" s="17"/>
      <c r="F160" s="17"/>
      <c r="G160" s="17"/>
      <c r="H160" s="17"/>
      <c r="I160" s="17"/>
      <c r="J160" s="17"/>
      <c r="K160" s="17"/>
    </row>
    <row r="161" spans="1:11" ht="18" x14ac:dyDescent="0.2">
      <c r="A161" s="121" t="s">
        <v>56</v>
      </c>
      <c r="B161" s="117">
        <v>5314.23</v>
      </c>
      <c r="C161" s="117">
        <v>48.75</v>
      </c>
      <c r="D161" s="17"/>
      <c r="E161" s="17"/>
      <c r="F161" s="17"/>
      <c r="G161" s="17"/>
      <c r="H161" s="17"/>
      <c r="I161" s="17"/>
      <c r="J161" s="17"/>
      <c r="K161" s="17"/>
    </row>
    <row r="162" spans="1:11" ht="18" x14ac:dyDescent="0.2">
      <c r="A162" s="121" t="s">
        <v>2364</v>
      </c>
      <c r="B162" s="117">
        <v>6540</v>
      </c>
      <c r="C162" s="117">
        <v>59.99</v>
      </c>
      <c r="D162" s="17"/>
      <c r="E162" s="17"/>
      <c r="F162" s="17"/>
      <c r="G162" s="17"/>
      <c r="H162" s="17"/>
      <c r="I162" s="17"/>
      <c r="J162" s="17"/>
      <c r="K162" s="17"/>
    </row>
    <row r="163" spans="1:11" ht="18" x14ac:dyDescent="0.2">
      <c r="A163" s="121" t="s">
        <v>2450</v>
      </c>
      <c r="B163" s="117">
        <v>30675.99</v>
      </c>
      <c r="C163" s="117">
        <v>281.40000000000003</v>
      </c>
      <c r="D163" s="17"/>
      <c r="E163" s="17"/>
      <c r="F163" s="17"/>
      <c r="G163" s="17"/>
      <c r="H163" s="17"/>
      <c r="I163" s="17"/>
      <c r="J163" s="17"/>
      <c r="K163" s="17"/>
    </row>
    <row r="164" spans="1:11" ht="18" x14ac:dyDescent="0.2">
      <c r="A164" s="122">
        <v>46223</v>
      </c>
      <c r="B164" s="477">
        <v>43157.369999999995</v>
      </c>
      <c r="C164" s="477">
        <v>395.9</v>
      </c>
      <c r="D164" s="17"/>
      <c r="E164" s="17"/>
      <c r="F164" s="17"/>
      <c r="G164" s="17"/>
      <c r="H164" s="17"/>
      <c r="I164" s="17"/>
      <c r="J164" s="17"/>
      <c r="K164" s="17"/>
    </row>
    <row r="165" spans="1:11" ht="18" x14ac:dyDescent="0.2">
      <c r="A165" s="121" t="s">
        <v>2364</v>
      </c>
      <c r="B165" s="117">
        <v>5168.67</v>
      </c>
      <c r="C165" s="117">
        <v>47.41</v>
      </c>
      <c r="D165" s="17"/>
      <c r="E165" s="17"/>
      <c r="F165" s="17"/>
      <c r="G165" s="17"/>
      <c r="H165" s="17"/>
      <c r="I165" s="17"/>
      <c r="J165" s="17"/>
      <c r="K165" s="17"/>
    </row>
    <row r="166" spans="1:11" ht="18" x14ac:dyDescent="0.2">
      <c r="A166" s="121" t="s">
        <v>2450</v>
      </c>
      <c r="B166" s="117">
        <v>37988.699999999997</v>
      </c>
      <c r="C166" s="117">
        <v>348.49</v>
      </c>
      <c r="D166" s="17"/>
      <c r="E166" s="17"/>
      <c r="F166" s="17"/>
      <c r="G166" s="17"/>
      <c r="H166" s="17"/>
      <c r="I166" s="17"/>
      <c r="J166" s="17"/>
      <c r="K166" s="17"/>
    </row>
    <row r="167" spans="1:11" ht="18" x14ac:dyDescent="0.2">
      <c r="A167" s="122">
        <v>46222</v>
      </c>
      <c r="B167" s="477">
        <v>60945.05</v>
      </c>
      <c r="C167" s="477">
        <v>559.08000000000004</v>
      </c>
      <c r="D167" s="17"/>
      <c r="E167" s="17"/>
      <c r="F167" s="17"/>
      <c r="G167" s="17"/>
      <c r="H167" s="17"/>
      <c r="I167" s="17"/>
      <c r="J167" s="17"/>
      <c r="K167" s="17"/>
    </row>
    <row r="168" spans="1:11" ht="18" x14ac:dyDescent="0.2">
      <c r="A168" s="121" t="s">
        <v>143</v>
      </c>
      <c r="B168" s="117">
        <v>21802</v>
      </c>
      <c r="C168" s="117">
        <v>200</v>
      </c>
      <c r="D168" s="17"/>
      <c r="E168" s="17"/>
      <c r="F168" s="17"/>
      <c r="G168" s="17"/>
      <c r="H168" s="17"/>
      <c r="I168" s="17"/>
      <c r="J168" s="17"/>
      <c r="K168" s="17"/>
    </row>
    <row r="169" spans="1:11" ht="18" x14ac:dyDescent="0.2">
      <c r="A169" s="121" t="s">
        <v>152</v>
      </c>
      <c r="B169" s="117">
        <v>300</v>
      </c>
      <c r="C169" s="117">
        <v>2.75</v>
      </c>
      <c r="D169" s="17"/>
      <c r="E169" s="17"/>
      <c r="F169" s="17"/>
      <c r="G169" s="17"/>
      <c r="H169" s="17"/>
      <c r="I169" s="17"/>
      <c r="J169" s="17"/>
      <c r="K169" s="17"/>
    </row>
    <row r="170" spans="1:11" ht="18" x14ac:dyDescent="0.2">
      <c r="A170" s="121" t="s">
        <v>2364</v>
      </c>
      <c r="B170" s="117">
        <v>5616.05</v>
      </c>
      <c r="C170" s="117">
        <v>51.52</v>
      </c>
      <c r="D170" s="17"/>
      <c r="E170" s="17"/>
      <c r="F170" s="17"/>
      <c r="G170" s="17"/>
      <c r="H170" s="17"/>
      <c r="I170" s="17"/>
      <c r="J170" s="17"/>
      <c r="K170" s="17"/>
    </row>
    <row r="171" spans="1:11" ht="18" x14ac:dyDescent="0.2">
      <c r="A171" s="121" t="s">
        <v>2450</v>
      </c>
      <c r="B171" s="117">
        <v>33227</v>
      </c>
      <c r="C171" s="117">
        <v>304.81</v>
      </c>
      <c r="D171" s="17"/>
      <c r="E171" s="17"/>
      <c r="F171" s="17"/>
      <c r="G171" s="17"/>
      <c r="H171" s="17"/>
      <c r="I171" s="17"/>
      <c r="J171" s="17"/>
      <c r="K171" s="17"/>
    </row>
    <row r="172" spans="1:11" ht="18" x14ac:dyDescent="0.2">
      <c r="A172" s="122">
        <v>46221</v>
      </c>
      <c r="B172" s="477">
        <v>47166.009999999995</v>
      </c>
      <c r="C172" s="477">
        <v>432.68</v>
      </c>
      <c r="D172" s="17"/>
      <c r="E172" s="17"/>
      <c r="F172" s="17"/>
      <c r="G172" s="17"/>
      <c r="H172" s="17"/>
      <c r="I172" s="17"/>
      <c r="J172" s="17"/>
      <c r="K172" s="17"/>
    </row>
    <row r="173" spans="1:11" ht="18" x14ac:dyDescent="0.2">
      <c r="A173" s="121" t="s">
        <v>2364</v>
      </c>
      <c r="B173" s="117">
        <v>5005.49</v>
      </c>
      <c r="C173" s="117">
        <v>45.92</v>
      </c>
      <c r="D173" s="17"/>
      <c r="E173" s="17"/>
      <c r="F173" s="17"/>
      <c r="G173" s="17"/>
      <c r="H173" s="17"/>
      <c r="I173" s="17"/>
      <c r="J173" s="17"/>
      <c r="K173" s="17"/>
    </row>
    <row r="174" spans="1:11" ht="18" x14ac:dyDescent="0.2">
      <c r="A174" s="121" t="s">
        <v>2450</v>
      </c>
      <c r="B174" s="117">
        <v>42160.52</v>
      </c>
      <c r="C174" s="117">
        <v>386.76</v>
      </c>
      <c r="D174" s="17"/>
      <c r="E174" s="17"/>
      <c r="F174" s="17"/>
      <c r="G174" s="17"/>
      <c r="H174" s="17"/>
      <c r="I174" s="17"/>
      <c r="J174" s="17"/>
      <c r="K174" s="17"/>
    </row>
    <row r="175" spans="1:11" ht="18" x14ac:dyDescent="0.2">
      <c r="A175" s="122">
        <v>46220</v>
      </c>
      <c r="B175" s="477">
        <v>38144.400000000009</v>
      </c>
      <c r="C175" s="477">
        <v>349.90999999999997</v>
      </c>
      <c r="D175" s="17"/>
      <c r="E175" s="17"/>
      <c r="F175" s="17"/>
      <c r="G175" s="17"/>
      <c r="H175" s="17"/>
      <c r="I175" s="17"/>
      <c r="J175" s="17"/>
      <c r="K175" s="17"/>
    </row>
    <row r="176" spans="1:11" ht="18" x14ac:dyDescent="0.2">
      <c r="A176" s="121" t="s">
        <v>59</v>
      </c>
      <c r="B176" s="117">
        <v>3801.17</v>
      </c>
      <c r="C176" s="117">
        <v>34.869999999999997</v>
      </c>
      <c r="D176" s="17"/>
      <c r="E176" s="17"/>
      <c r="F176" s="17"/>
      <c r="G176" s="17"/>
      <c r="H176" s="17"/>
      <c r="I176" s="17"/>
      <c r="J176" s="17"/>
      <c r="K176" s="17"/>
    </row>
    <row r="177" spans="1:11" ht="18" x14ac:dyDescent="0.2">
      <c r="A177" s="121" t="s">
        <v>152</v>
      </c>
      <c r="B177" s="117">
        <v>300</v>
      </c>
      <c r="C177" s="117">
        <v>2.75</v>
      </c>
      <c r="D177" s="17"/>
      <c r="E177" s="17"/>
      <c r="F177" s="17"/>
      <c r="G177" s="17"/>
      <c r="H177" s="17"/>
      <c r="I177" s="17"/>
      <c r="J177" s="17"/>
      <c r="K177" s="17"/>
    </row>
    <row r="178" spans="1:11" ht="18" x14ac:dyDescent="0.2">
      <c r="A178" s="121" t="s">
        <v>2364</v>
      </c>
      <c r="B178" s="117">
        <v>1090.0999999999999</v>
      </c>
      <c r="C178" s="117">
        <v>10</v>
      </c>
      <c r="D178" s="17"/>
      <c r="E178" s="17"/>
      <c r="F178" s="17"/>
      <c r="G178" s="17"/>
      <c r="H178" s="17"/>
      <c r="I178" s="17"/>
      <c r="J178" s="17"/>
      <c r="K178" s="17"/>
    </row>
    <row r="179" spans="1:11" ht="18" x14ac:dyDescent="0.2">
      <c r="A179" s="121" t="s">
        <v>2450</v>
      </c>
      <c r="B179" s="117">
        <v>32953.130000000005</v>
      </c>
      <c r="C179" s="117">
        <v>302.28999999999996</v>
      </c>
      <c r="D179" s="17"/>
      <c r="E179" s="17"/>
      <c r="F179" s="17"/>
      <c r="G179" s="17"/>
      <c r="H179" s="17"/>
      <c r="I179" s="17"/>
      <c r="J179" s="17"/>
      <c r="K179" s="17"/>
    </row>
    <row r="180" spans="1:11" ht="18" x14ac:dyDescent="0.2">
      <c r="A180" s="122">
        <v>46219</v>
      </c>
      <c r="B180" s="477">
        <v>51207.820000000007</v>
      </c>
      <c r="C180" s="477">
        <v>469.76</v>
      </c>
      <c r="D180" s="17"/>
      <c r="E180" s="17"/>
      <c r="F180" s="17"/>
      <c r="G180" s="17"/>
      <c r="H180" s="17"/>
      <c r="I180" s="17"/>
      <c r="J180" s="17"/>
      <c r="K180" s="17"/>
    </row>
    <row r="181" spans="1:11" ht="18" x14ac:dyDescent="0.2">
      <c r="A181" s="121" t="s">
        <v>2364</v>
      </c>
      <c r="B181" s="117">
        <v>7890.77</v>
      </c>
      <c r="C181" s="117">
        <v>72.39</v>
      </c>
      <c r="D181" s="17"/>
      <c r="E181" s="17"/>
      <c r="F181" s="17"/>
      <c r="G181" s="17"/>
      <c r="H181" s="17"/>
      <c r="I181" s="17"/>
      <c r="J181" s="17"/>
      <c r="K181" s="17"/>
    </row>
    <row r="182" spans="1:11" ht="18" x14ac:dyDescent="0.2">
      <c r="A182" s="121" t="s">
        <v>2450</v>
      </c>
      <c r="B182" s="117">
        <v>43317.05</v>
      </c>
      <c r="C182" s="117">
        <v>397.37</v>
      </c>
      <c r="D182" s="17"/>
      <c r="E182" s="17"/>
      <c r="F182" s="17"/>
      <c r="G182" s="17"/>
      <c r="H182" s="17"/>
      <c r="I182" s="17"/>
      <c r="J182" s="17"/>
      <c r="K182" s="17"/>
    </row>
    <row r="183" spans="1:11" ht="18" x14ac:dyDescent="0.2">
      <c r="A183" s="122">
        <v>46218</v>
      </c>
      <c r="B183" s="477">
        <v>43866.310000000005</v>
      </c>
      <c r="C183" s="477">
        <v>402.40999999999997</v>
      </c>
      <c r="D183" s="17"/>
      <c r="E183" s="17"/>
      <c r="F183" s="17"/>
      <c r="G183" s="17"/>
      <c r="H183" s="17"/>
      <c r="I183" s="17"/>
      <c r="J183" s="17"/>
      <c r="K183" s="17"/>
    </row>
    <row r="184" spans="1:11" ht="18" x14ac:dyDescent="0.2">
      <c r="A184" s="121" t="s">
        <v>202</v>
      </c>
      <c r="B184" s="117">
        <v>466.56</v>
      </c>
      <c r="C184" s="117">
        <v>4.28</v>
      </c>
      <c r="D184" s="17"/>
      <c r="E184" s="17"/>
      <c r="F184" s="17"/>
      <c r="G184" s="17"/>
      <c r="H184" s="17"/>
      <c r="I184" s="17"/>
      <c r="J184" s="17"/>
      <c r="K184" s="17"/>
    </row>
    <row r="185" spans="1:11" ht="18" x14ac:dyDescent="0.2">
      <c r="A185" s="121" t="s">
        <v>2364</v>
      </c>
      <c r="B185" s="117">
        <v>3431.2</v>
      </c>
      <c r="C185" s="117">
        <v>31.48</v>
      </c>
      <c r="D185" s="17"/>
      <c r="E185" s="17"/>
      <c r="F185" s="17"/>
      <c r="G185" s="17"/>
      <c r="H185" s="17"/>
      <c r="I185" s="17"/>
      <c r="J185" s="17"/>
      <c r="K185" s="17"/>
    </row>
    <row r="186" spans="1:11" ht="18" x14ac:dyDescent="0.2">
      <c r="A186" s="121" t="s">
        <v>2450</v>
      </c>
      <c r="B186" s="117">
        <v>39968.550000000003</v>
      </c>
      <c r="C186" s="117">
        <v>366.65</v>
      </c>
      <c r="D186" s="17"/>
      <c r="E186" s="17"/>
      <c r="F186" s="17"/>
      <c r="G186" s="17"/>
      <c r="H186" s="17"/>
      <c r="I186" s="17"/>
      <c r="J186" s="17"/>
      <c r="K186" s="17"/>
    </row>
    <row r="187" spans="1:11" ht="18" x14ac:dyDescent="0.2">
      <c r="A187" s="122">
        <v>46217</v>
      </c>
      <c r="B187" s="477">
        <v>59017.590000000004</v>
      </c>
      <c r="C187" s="477">
        <v>541.41000000000008</v>
      </c>
      <c r="D187" s="17"/>
      <c r="E187" s="17"/>
      <c r="F187" s="17"/>
      <c r="G187" s="17"/>
      <c r="H187" s="17"/>
      <c r="I187" s="17"/>
      <c r="J187" s="17"/>
      <c r="K187" s="17"/>
    </row>
    <row r="188" spans="1:11" ht="18" x14ac:dyDescent="0.2">
      <c r="A188" s="121" t="s">
        <v>53</v>
      </c>
      <c r="B188" s="117">
        <v>4806.25</v>
      </c>
      <c r="C188" s="117">
        <v>44.09</v>
      </c>
      <c r="D188" s="17"/>
      <c r="E188" s="17"/>
      <c r="F188" s="17"/>
      <c r="G188" s="17"/>
      <c r="H188" s="17"/>
      <c r="I188" s="17"/>
      <c r="J188" s="17"/>
      <c r="K188" s="17"/>
    </row>
    <row r="189" spans="1:11" ht="18" x14ac:dyDescent="0.2">
      <c r="A189" s="121" t="s">
        <v>103</v>
      </c>
      <c r="B189" s="117">
        <v>3725.96</v>
      </c>
      <c r="C189" s="117">
        <v>34.18</v>
      </c>
      <c r="D189" s="17"/>
      <c r="E189" s="17"/>
      <c r="F189" s="17"/>
      <c r="G189" s="17"/>
      <c r="H189" s="17"/>
      <c r="I189" s="17"/>
      <c r="J189" s="17"/>
      <c r="K189" s="17"/>
    </row>
    <row r="190" spans="1:11" ht="18" x14ac:dyDescent="0.2">
      <c r="A190" s="121" t="s">
        <v>95</v>
      </c>
      <c r="B190" s="117">
        <v>1090.0999999999999</v>
      </c>
      <c r="C190" s="117">
        <v>10</v>
      </c>
      <c r="D190" s="17"/>
      <c r="E190" s="17"/>
      <c r="F190" s="17"/>
      <c r="G190" s="17"/>
      <c r="H190" s="17"/>
      <c r="I190" s="17"/>
      <c r="J190" s="17"/>
      <c r="K190" s="17"/>
    </row>
    <row r="191" spans="1:11" ht="18" x14ac:dyDescent="0.2">
      <c r="A191" s="121" t="s">
        <v>714</v>
      </c>
      <c r="B191" s="117">
        <v>1000</v>
      </c>
      <c r="C191" s="117">
        <v>9.18</v>
      </c>
      <c r="D191" s="17"/>
      <c r="E191" s="17"/>
      <c r="F191" s="17"/>
      <c r="G191" s="17"/>
      <c r="H191" s="17"/>
      <c r="I191" s="17"/>
      <c r="J191" s="17"/>
      <c r="K191" s="17"/>
    </row>
    <row r="192" spans="1:11" ht="18" x14ac:dyDescent="0.2">
      <c r="A192" s="121" t="s">
        <v>2364</v>
      </c>
      <c r="B192" s="117">
        <v>15584.26</v>
      </c>
      <c r="C192" s="117">
        <v>142.96</v>
      </c>
      <c r="D192" s="17"/>
      <c r="E192" s="17"/>
      <c r="F192" s="17"/>
      <c r="G192" s="17"/>
      <c r="H192" s="17"/>
      <c r="I192" s="17"/>
      <c r="J192" s="17"/>
      <c r="K192" s="17"/>
    </row>
    <row r="193" spans="1:11" ht="18" x14ac:dyDescent="0.2">
      <c r="A193" s="121" t="s">
        <v>2450</v>
      </c>
      <c r="B193" s="117">
        <v>32811.020000000004</v>
      </c>
      <c r="C193" s="117">
        <v>301</v>
      </c>
      <c r="D193" s="17"/>
      <c r="E193" s="17"/>
      <c r="F193" s="17"/>
      <c r="G193" s="17"/>
      <c r="H193" s="17"/>
      <c r="I193" s="17"/>
      <c r="J193" s="17"/>
      <c r="K193" s="17"/>
    </row>
    <row r="194" spans="1:11" ht="18" x14ac:dyDescent="0.2">
      <c r="A194" s="122">
        <v>46216</v>
      </c>
      <c r="B194" s="477">
        <v>86634.43</v>
      </c>
      <c r="C194" s="477">
        <v>794.74</v>
      </c>
      <c r="D194" s="17"/>
      <c r="E194" s="17"/>
      <c r="F194" s="17"/>
      <c r="G194" s="17"/>
      <c r="H194" s="17"/>
      <c r="I194" s="17"/>
      <c r="J194" s="17"/>
      <c r="K194" s="17"/>
    </row>
    <row r="195" spans="1:11" ht="18" x14ac:dyDescent="0.2">
      <c r="A195" s="121" t="s">
        <v>103</v>
      </c>
      <c r="B195" s="117">
        <v>3577.7</v>
      </c>
      <c r="C195" s="117">
        <v>32.82</v>
      </c>
      <c r="D195" s="17"/>
      <c r="E195" s="17"/>
      <c r="F195" s="17"/>
      <c r="G195" s="17"/>
      <c r="H195" s="17"/>
      <c r="I195" s="17"/>
      <c r="J195" s="17"/>
      <c r="K195" s="17"/>
    </row>
    <row r="196" spans="1:11" ht="18" x14ac:dyDescent="0.2">
      <c r="A196" s="121" t="s">
        <v>152</v>
      </c>
      <c r="B196" s="117">
        <v>300</v>
      </c>
      <c r="C196" s="117">
        <v>2.75</v>
      </c>
      <c r="D196" s="17"/>
      <c r="E196" s="17"/>
      <c r="F196" s="17"/>
      <c r="G196" s="17"/>
      <c r="H196" s="17"/>
      <c r="I196" s="17"/>
      <c r="J196" s="17"/>
      <c r="K196" s="17"/>
    </row>
    <row r="197" spans="1:11" ht="18" x14ac:dyDescent="0.2">
      <c r="A197" s="121" t="s">
        <v>2364</v>
      </c>
      <c r="B197" s="117">
        <v>3561.2</v>
      </c>
      <c r="C197" s="117">
        <v>32.67</v>
      </c>
      <c r="D197" s="17"/>
      <c r="E197" s="17"/>
      <c r="F197" s="17"/>
      <c r="G197" s="17"/>
      <c r="H197" s="17"/>
      <c r="I197" s="17"/>
      <c r="J197" s="17"/>
      <c r="K197" s="17"/>
    </row>
    <row r="198" spans="1:11" ht="18" x14ac:dyDescent="0.2">
      <c r="A198" s="121" t="s">
        <v>2450</v>
      </c>
      <c r="B198" s="117">
        <v>79195.53</v>
      </c>
      <c r="C198" s="117">
        <v>726.5</v>
      </c>
      <c r="D198" s="17"/>
      <c r="E198" s="17"/>
      <c r="F198" s="17"/>
      <c r="G198" s="17"/>
      <c r="H198" s="17"/>
      <c r="I198" s="17"/>
      <c r="J198" s="17"/>
      <c r="K198" s="17"/>
    </row>
    <row r="199" spans="1:11" ht="18" x14ac:dyDescent="0.2">
      <c r="A199" s="122">
        <v>46215</v>
      </c>
      <c r="B199" s="477">
        <v>60901.409999999996</v>
      </c>
      <c r="C199" s="477">
        <v>558.68000000000006</v>
      </c>
      <c r="D199" s="17"/>
      <c r="E199" s="17"/>
      <c r="F199" s="17"/>
      <c r="G199" s="17"/>
      <c r="H199" s="17"/>
      <c r="I199" s="17"/>
      <c r="J199" s="17"/>
      <c r="K199" s="17"/>
    </row>
    <row r="200" spans="1:11" ht="18" x14ac:dyDescent="0.2">
      <c r="A200" s="121" t="s">
        <v>95</v>
      </c>
      <c r="B200" s="117">
        <v>1090.0999999999999</v>
      </c>
      <c r="C200" s="117">
        <v>10</v>
      </c>
      <c r="D200" s="17"/>
      <c r="E200" s="17"/>
      <c r="F200" s="17"/>
      <c r="G200" s="17"/>
      <c r="H200" s="17"/>
      <c r="I200" s="17"/>
      <c r="J200" s="17"/>
      <c r="K200" s="17"/>
    </row>
    <row r="201" spans="1:11" ht="18" x14ac:dyDescent="0.2">
      <c r="A201" s="121" t="s">
        <v>152</v>
      </c>
      <c r="B201" s="117">
        <v>300</v>
      </c>
      <c r="C201" s="117">
        <v>2.75</v>
      </c>
      <c r="D201" s="17"/>
      <c r="E201" s="17"/>
      <c r="F201" s="17"/>
      <c r="G201" s="17"/>
      <c r="H201" s="17"/>
      <c r="I201" s="17"/>
      <c r="J201" s="17"/>
      <c r="K201" s="17"/>
    </row>
    <row r="202" spans="1:11" ht="18" x14ac:dyDescent="0.2">
      <c r="A202" s="121" t="s">
        <v>2364</v>
      </c>
      <c r="B202" s="117">
        <v>9660</v>
      </c>
      <c r="C202" s="117">
        <v>88.62</v>
      </c>
      <c r="D202" s="17"/>
      <c r="E202" s="17"/>
      <c r="F202" s="17"/>
      <c r="G202" s="17"/>
      <c r="H202" s="17"/>
      <c r="I202" s="17"/>
      <c r="J202" s="17"/>
      <c r="K202" s="17"/>
    </row>
    <row r="203" spans="1:11" ht="18" x14ac:dyDescent="0.2">
      <c r="A203" s="121" t="s">
        <v>2450</v>
      </c>
      <c r="B203" s="117">
        <v>49851.31</v>
      </c>
      <c r="C203" s="117">
        <v>457.31</v>
      </c>
      <c r="D203" s="17"/>
      <c r="E203" s="17"/>
      <c r="F203" s="17"/>
      <c r="G203" s="17"/>
      <c r="H203" s="17"/>
      <c r="I203" s="17"/>
      <c r="J203" s="17"/>
      <c r="K203" s="17"/>
    </row>
    <row r="204" spans="1:11" ht="18" x14ac:dyDescent="0.2">
      <c r="A204" s="122">
        <v>46214</v>
      </c>
      <c r="B204" s="477">
        <v>62182</v>
      </c>
      <c r="C204" s="477">
        <v>570.42999999999995</v>
      </c>
      <c r="D204" s="17"/>
      <c r="E204" s="17"/>
      <c r="F204" s="17"/>
      <c r="G204" s="17"/>
      <c r="H204" s="17"/>
      <c r="I204" s="17"/>
      <c r="J204" s="17"/>
      <c r="K204" s="17"/>
    </row>
    <row r="205" spans="1:11" ht="18" x14ac:dyDescent="0.2">
      <c r="A205" s="121" t="s">
        <v>2364</v>
      </c>
      <c r="B205" s="117">
        <v>7006.1</v>
      </c>
      <c r="C205" s="117">
        <v>64.27</v>
      </c>
    </row>
    <row r="206" spans="1:11" ht="18" x14ac:dyDescent="0.2">
      <c r="A206" s="121" t="s">
        <v>2450</v>
      </c>
      <c r="B206" s="117">
        <v>55175.9</v>
      </c>
      <c r="C206" s="117">
        <v>506.15999999999997</v>
      </c>
    </row>
    <row r="207" spans="1:11" ht="18" x14ac:dyDescent="0.2">
      <c r="A207" s="122">
        <v>46213</v>
      </c>
      <c r="B207" s="477">
        <v>55124.170000000006</v>
      </c>
      <c r="C207" s="477">
        <v>505.67999999999995</v>
      </c>
    </row>
    <row r="208" spans="1:11" ht="18" x14ac:dyDescent="0.2">
      <c r="A208" s="121" t="s">
        <v>56</v>
      </c>
      <c r="B208" s="117">
        <v>763.07</v>
      </c>
      <c r="C208" s="117">
        <v>7</v>
      </c>
    </row>
    <row r="209" spans="1:3" ht="18" x14ac:dyDescent="0.2">
      <c r="A209" s="121" t="s">
        <v>152</v>
      </c>
      <c r="B209" s="117">
        <v>300</v>
      </c>
      <c r="C209" s="117">
        <v>2.75</v>
      </c>
    </row>
    <row r="210" spans="1:3" ht="18" x14ac:dyDescent="0.2">
      <c r="A210" s="121" t="s">
        <v>2364</v>
      </c>
      <c r="B210" s="117">
        <v>6177.05</v>
      </c>
      <c r="C210" s="117">
        <v>56.66</v>
      </c>
    </row>
    <row r="211" spans="1:3" ht="18" x14ac:dyDescent="0.2">
      <c r="A211" s="121" t="s">
        <v>2450</v>
      </c>
      <c r="B211" s="117">
        <v>47884.05</v>
      </c>
      <c r="C211" s="117">
        <v>439.27</v>
      </c>
    </row>
    <row r="212" spans="1:3" ht="18" x14ac:dyDescent="0.2">
      <c r="A212" s="122">
        <v>46212</v>
      </c>
      <c r="B212" s="477">
        <v>55425.82</v>
      </c>
      <c r="C212" s="477">
        <v>508.46000000000004</v>
      </c>
    </row>
    <row r="213" spans="1:3" ht="18" x14ac:dyDescent="0.2">
      <c r="A213" s="121" t="s">
        <v>53</v>
      </c>
      <c r="B213" s="117">
        <v>5886.54</v>
      </c>
      <c r="C213" s="117">
        <v>54</v>
      </c>
    </row>
    <row r="214" spans="1:3" ht="18" x14ac:dyDescent="0.2">
      <c r="A214" s="121" t="s">
        <v>152</v>
      </c>
      <c r="B214" s="117">
        <v>100</v>
      </c>
      <c r="C214" s="117">
        <v>0.92</v>
      </c>
    </row>
    <row r="215" spans="1:3" ht="18" x14ac:dyDescent="0.2">
      <c r="A215" s="121" t="s">
        <v>714</v>
      </c>
      <c r="B215" s="117">
        <v>1000</v>
      </c>
      <c r="C215" s="117">
        <v>9.18</v>
      </c>
    </row>
    <row r="216" spans="1:3" ht="18" x14ac:dyDescent="0.2">
      <c r="A216" s="121" t="s">
        <v>2364</v>
      </c>
      <c r="B216" s="117">
        <v>4708</v>
      </c>
      <c r="C216" s="117">
        <v>43.19</v>
      </c>
    </row>
    <row r="217" spans="1:3" ht="18" x14ac:dyDescent="0.2">
      <c r="A217" s="121" t="s">
        <v>2450</v>
      </c>
      <c r="B217" s="117">
        <v>43731.28</v>
      </c>
      <c r="C217" s="117">
        <v>401.17</v>
      </c>
    </row>
    <row r="218" spans="1:3" ht="18" x14ac:dyDescent="0.2">
      <c r="A218" s="122">
        <v>46211</v>
      </c>
      <c r="B218" s="477">
        <v>59490.36</v>
      </c>
      <c r="C218" s="477">
        <v>545.74</v>
      </c>
    </row>
    <row r="219" spans="1:3" ht="18" x14ac:dyDescent="0.2">
      <c r="A219" s="121" t="s">
        <v>103</v>
      </c>
      <c r="B219" s="117">
        <v>4381.1099999999997</v>
      </c>
      <c r="C219" s="117">
        <v>40.19</v>
      </c>
    </row>
    <row r="220" spans="1:3" ht="18" x14ac:dyDescent="0.2">
      <c r="A220" s="121" t="s">
        <v>152</v>
      </c>
      <c r="B220" s="117">
        <v>100</v>
      </c>
      <c r="C220" s="117">
        <v>0.92</v>
      </c>
    </row>
    <row r="221" spans="1:3" ht="18" x14ac:dyDescent="0.2">
      <c r="A221" s="121" t="s">
        <v>714</v>
      </c>
      <c r="B221" s="117">
        <v>700</v>
      </c>
      <c r="C221" s="117">
        <v>6.42</v>
      </c>
    </row>
    <row r="222" spans="1:3" ht="18" x14ac:dyDescent="0.2">
      <c r="A222" s="121" t="s">
        <v>2364</v>
      </c>
      <c r="B222" s="117">
        <v>4640.2</v>
      </c>
      <c r="C222" s="117">
        <v>42.57</v>
      </c>
    </row>
    <row r="223" spans="1:3" ht="18" x14ac:dyDescent="0.2">
      <c r="A223" s="121" t="s">
        <v>2450</v>
      </c>
      <c r="B223" s="117">
        <v>49124</v>
      </c>
      <c r="C223" s="117">
        <v>450.64000000000004</v>
      </c>
    </row>
    <row r="224" spans="1:3" ht="18" x14ac:dyDescent="0.2">
      <c r="A224" s="121" t="s">
        <v>1483</v>
      </c>
      <c r="B224" s="117">
        <v>545.04999999999995</v>
      </c>
      <c r="C224" s="117">
        <v>5</v>
      </c>
    </row>
    <row r="225" spans="1:3" ht="18" x14ac:dyDescent="0.2">
      <c r="A225" s="122">
        <v>46210</v>
      </c>
      <c r="B225" s="477">
        <v>71548.58</v>
      </c>
      <c r="C225" s="477">
        <v>656.36</v>
      </c>
    </row>
    <row r="226" spans="1:3" ht="18" x14ac:dyDescent="0.2">
      <c r="A226" s="121" t="s">
        <v>202</v>
      </c>
      <c r="B226" s="117">
        <v>467.65</v>
      </c>
      <c r="C226" s="117">
        <v>4.29</v>
      </c>
    </row>
    <row r="227" spans="1:3" ht="18" x14ac:dyDescent="0.2">
      <c r="A227" s="121" t="s">
        <v>152</v>
      </c>
      <c r="B227" s="117">
        <v>300</v>
      </c>
      <c r="C227" s="117">
        <v>2.76</v>
      </c>
    </row>
    <row r="228" spans="1:3" ht="18" x14ac:dyDescent="0.2">
      <c r="A228" s="121" t="s">
        <v>2364</v>
      </c>
      <c r="B228" s="117">
        <v>16385.89</v>
      </c>
      <c r="C228" s="117">
        <v>150.32</v>
      </c>
    </row>
    <row r="229" spans="1:3" ht="18" x14ac:dyDescent="0.2">
      <c r="A229" s="121" t="s">
        <v>2450</v>
      </c>
      <c r="B229" s="117">
        <v>54395.040000000001</v>
      </c>
      <c r="C229" s="117">
        <v>498.99</v>
      </c>
    </row>
    <row r="230" spans="1:3" ht="18" x14ac:dyDescent="0.2">
      <c r="A230" s="122">
        <v>46209</v>
      </c>
      <c r="B230" s="477">
        <v>42968.32</v>
      </c>
      <c r="C230" s="477">
        <v>394.17</v>
      </c>
    </row>
    <row r="231" spans="1:3" ht="18" x14ac:dyDescent="0.2">
      <c r="A231" s="121" t="s">
        <v>202</v>
      </c>
      <c r="B231" s="117">
        <v>763.07</v>
      </c>
      <c r="C231" s="117">
        <v>7</v>
      </c>
    </row>
    <row r="232" spans="1:3" ht="18" x14ac:dyDescent="0.2">
      <c r="A232" s="121" t="s">
        <v>2364</v>
      </c>
      <c r="B232" s="117">
        <v>2300</v>
      </c>
      <c r="C232" s="117">
        <v>21.1</v>
      </c>
    </row>
    <row r="233" spans="1:3" ht="18" x14ac:dyDescent="0.2">
      <c r="A233" s="121" t="s">
        <v>2450</v>
      </c>
      <c r="B233" s="117">
        <v>39905.25</v>
      </c>
      <c r="C233" s="117">
        <v>366.07</v>
      </c>
    </row>
    <row r="234" spans="1:3" ht="18" x14ac:dyDescent="0.2">
      <c r="A234" s="122">
        <v>46208</v>
      </c>
      <c r="B234" s="477">
        <v>46604.869999999995</v>
      </c>
      <c r="C234" s="477">
        <v>427.53</v>
      </c>
    </row>
    <row r="235" spans="1:3" ht="18" x14ac:dyDescent="0.2">
      <c r="A235" s="121" t="s">
        <v>202</v>
      </c>
      <c r="B235" s="117">
        <v>545.04999999999995</v>
      </c>
      <c r="C235" s="117">
        <v>5</v>
      </c>
    </row>
    <row r="236" spans="1:3" ht="18" x14ac:dyDescent="0.2">
      <c r="A236" s="121" t="s">
        <v>2364</v>
      </c>
      <c r="B236" s="117">
        <v>10515.82</v>
      </c>
      <c r="C236" s="117">
        <v>96.47</v>
      </c>
    </row>
    <row r="237" spans="1:3" ht="18" x14ac:dyDescent="0.2">
      <c r="A237" s="121" t="s">
        <v>2450</v>
      </c>
      <c r="B237" s="117">
        <v>35544</v>
      </c>
      <c r="C237" s="117">
        <v>326.06</v>
      </c>
    </row>
    <row r="238" spans="1:3" ht="18" x14ac:dyDescent="0.2">
      <c r="A238" s="122">
        <v>46207</v>
      </c>
      <c r="B238" s="477">
        <v>63124.05</v>
      </c>
      <c r="C238" s="477">
        <v>579.05999999999995</v>
      </c>
    </row>
    <row r="239" spans="1:3" ht="18" x14ac:dyDescent="0.2">
      <c r="A239" s="121" t="s">
        <v>152</v>
      </c>
      <c r="B239" s="117">
        <v>300</v>
      </c>
      <c r="C239" s="117">
        <v>2.75</v>
      </c>
    </row>
    <row r="240" spans="1:3" ht="18" x14ac:dyDescent="0.2">
      <c r="A240" s="121" t="s">
        <v>2364</v>
      </c>
      <c r="B240" s="117">
        <v>7115.05</v>
      </c>
      <c r="C240" s="117">
        <v>65.27</v>
      </c>
    </row>
    <row r="241" spans="1:3" ht="18" x14ac:dyDescent="0.2">
      <c r="A241" s="121" t="s">
        <v>2450</v>
      </c>
      <c r="B241" s="117">
        <v>55709</v>
      </c>
      <c r="C241" s="117">
        <v>511.03999999999996</v>
      </c>
    </row>
    <row r="242" spans="1:3" ht="18" x14ac:dyDescent="0.2">
      <c r="A242" s="122">
        <v>46206</v>
      </c>
      <c r="B242" s="477">
        <v>10111.49</v>
      </c>
      <c r="C242" s="477">
        <v>92.759999999999991</v>
      </c>
    </row>
    <row r="243" spans="1:3" ht="18" x14ac:dyDescent="0.2">
      <c r="A243" s="121" t="s">
        <v>59</v>
      </c>
      <c r="B243" s="117">
        <v>3971.23</v>
      </c>
      <c r="C243" s="117">
        <v>36.43</v>
      </c>
    </row>
    <row r="244" spans="1:3" ht="18" x14ac:dyDescent="0.2">
      <c r="A244" s="121" t="s">
        <v>2364</v>
      </c>
      <c r="B244" s="117">
        <v>6140.26</v>
      </c>
      <c r="C244" s="117">
        <v>56.33</v>
      </c>
    </row>
    <row r="245" spans="1:3" ht="18" x14ac:dyDescent="0.2">
      <c r="A245" s="122">
        <v>46205</v>
      </c>
      <c r="B245" s="477">
        <v>11375.77</v>
      </c>
      <c r="C245" s="477">
        <v>104.36000000000001</v>
      </c>
    </row>
    <row r="246" spans="1:3" ht="18" x14ac:dyDescent="0.2">
      <c r="A246" s="121" t="s">
        <v>202</v>
      </c>
      <c r="B246" s="117">
        <v>3270.3</v>
      </c>
      <c r="C246" s="117">
        <v>30</v>
      </c>
    </row>
    <row r="247" spans="1:3" ht="18" x14ac:dyDescent="0.2">
      <c r="A247" s="121" t="s">
        <v>103</v>
      </c>
      <c r="B247" s="117">
        <v>3889.47</v>
      </c>
      <c r="C247" s="117">
        <v>35.68</v>
      </c>
    </row>
    <row r="248" spans="1:3" ht="18" x14ac:dyDescent="0.2">
      <c r="A248" s="121" t="s">
        <v>2364</v>
      </c>
      <c r="B248" s="117">
        <v>4216</v>
      </c>
      <c r="C248" s="117">
        <v>38.68</v>
      </c>
    </row>
    <row r="249" spans="1:3" ht="18" x14ac:dyDescent="0.2">
      <c r="A249" s="122">
        <v>46204</v>
      </c>
      <c r="B249" s="477">
        <v>13079.029999999999</v>
      </c>
      <c r="C249" s="477">
        <v>119.98000000000002</v>
      </c>
    </row>
    <row r="250" spans="1:3" ht="18" x14ac:dyDescent="0.2">
      <c r="A250" s="121" t="s">
        <v>53</v>
      </c>
      <c r="B250" s="117">
        <v>3270.3</v>
      </c>
      <c r="C250" s="117">
        <v>30</v>
      </c>
    </row>
    <row r="251" spans="1:3" ht="18" x14ac:dyDescent="0.2">
      <c r="A251" s="121" t="s">
        <v>103</v>
      </c>
      <c r="B251" s="117">
        <v>4158.7299999999996</v>
      </c>
      <c r="C251" s="117">
        <v>38.15</v>
      </c>
    </row>
    <row r="252" spans="1:3" ht="18" x14ac:dyDescent="0.2">
      <c r="A252" s="121" t="s">
        <v>152</v>
      </c>
      <c r="B252" s="117">
        <v>300</v>
      </c>
      <c r="C252" s="117">
        <v>2.75</v>
      </c>
    </row>
    <row r="253" spans="1:3" ht="18" x14ac:dyDescent="0.2">
      <c r="A253" s="121" t="s">
        <v>714</v>
      </c>
      <c r="B253" s="117">
        <v>1000</v>
      </c>
      <c r="C253" s="117">
        <v>9.18</v>
      </c>
    </row>
    <row r="254" spans="1:3" ht="18" x14ac:dyDescent="0.2">
      <c r="A254" s="121" t="s">
        <v>2364</v>
      </c>
      <c r="B254" s="117">
        <v>4350</v>
      </c>
      <c r="C254" s="117">
        <v>39.9</v>
      </c>
    </row>
    <row r="255" spans="1:3" ht="18" x14ac:dyDescent="0.2">
      <c r="A255" s="122">
        <v>46203</v>
      </c>
      <c r="B255" s="477">
        <v>4000</v>
      </c>
      <c r="C255" s="477">
        <v>36.700000000000003</v>
      </c>
    </row>
    <row r="256" spans="1:3" ht="18" x14ac:dyDescent="0.2">
      <c r="A256" s="121" t="s">
        <v>202</v>
      </c>
      <c r="B256" s="117">
        <v>4000</v>
      </c>
      <c r="C256" s="117">
        <v>36.700000000000003</v>
      </c>
    </row>
    <row r="257" spans="1:3" ht="18" x14ac:dyDescent="0.2">
      <c r="A257" s="122">
        <v>46202</v>
      </c>
      <c r="B257" s="477">
        <v>2630.41</v>
      </c>
      <c r="C257" s="477">
        <v>24.13</v>
      </c>
    </row>
    <row r="258" spans="1:3" ht="18" x14ac:dyDescent="0.2">
      <c r="A258" s="121" t="s">
        <v>202</v>
      </c>
      <c r="B258" s="117">
        <v>450.21</v>
      </c>
      <c r="C258" s="117">
        <v>4.13</v>
      </c>
    </row>
    <row r="259" spans="1:3" ht="18" x14ac:dyDescent="0.2">
      <c r="A259" s="121" t="s">
        <v>59</v>
      </c>
      <c r="B259" s="117">
        <v>2180.1999999999998</v>
      </c>
      <c r="C259" s="117">
        <v>20</v>
      </c>
    </row>
    <row r="260" spans="1:3" ht="18" x14ac:dyDescent="0.2">
      <c r="A260" s="122">
        <v>46201</v>
      </c>
      <c r="B260" s="477">
        <v>300</v>
      </c>
      <c r="C260" s="477">
        <v>2.75</v>
      </c>
    </row>
    <row r="261" spans="1:3" ht="18" x14ac:dyDescent="0.2">
      <c r="A261" s="121" t="s">
        <v>152</v>
      </c>
      <c r="B261" s="117">
        <v>300</v>
      </c>
      <c r="C261" s="117">
        <v>2.75</v>
      </c>
    </row>
    <row r="262" spans="1:3" ht="18" x14ac:dyDescent="0.2">
      <c r="A262" s="122">
        <v>46200</v>
      </c>
      <c r="B262" s="477">
        <v>1090.0999999999999</v>
      </c>
      <c r="C262" s="477">
        <v>10</v>
      </c>
    </row>
    <row r="263" spans="1:3" ht="18" x14ac:dyDescent="0.2">
      <c r="A263" s="121" t="s">
        <v>59</v>
      </c>
      <c r="B263" s="117">
        <v>1090.0999999999999</v>
      </c>
      <c r="C263" s="117">
        <v>10</v>
      </c>
    </row>
    <row r="264" spans="1:3" ht="18" x14ac:dyDescent="0.2">
      <c r="A264" s="122">
        <v>46199</v>
      </c>
      <c r="B264" s="477">
        <v>4660.17</v>
      </c>
      <c r="C264" s="477">
        <v>42.75</v>
      </c>
    </row>
    <row r="265" spans="1:3" ht="18" x14ac:dyDescent="0.2">
      <c r="A265" s="121" t="s">
        <v>56</v>
      </c>
      <c r="B265" s="117">
        <v>872.08</v>
      </c>
      <c r="C265" s="117">
        <v>8</v>
      </c>
    </row>
    <row r="266" spans="1:3" ht="18" x14ac:dyDescent="0.2">
      <c r="A266" s="121" t="s">
        <v>103</v>
      </c>
      <c r="B266" s="117">
        <v>3788.09</v>
      </c>
      <c r="C266" s="117">
        <v>34.75</v>
      </c>
    </row>
    <row r="267" spans="1:3" ht="18" x14ac:dyDescent="0.2">
      <c r="A267" s="122">
        <v>46198</v>
      </c>
      <c r="B267" s="477">
        <v>2090.1</v>
      </c>
      <c r="C267" s="477">
        <v>19.170000000000002</v>
      </c>
    </row>
    <row r="268" spans="1:3" ht="18" x14ac:dyDescent="0.2">
      <c r="A268" s="121" t="s">
        <v>59</v>
      </c>
      <c r="B268" s="117">
        <v>1090.0999999999999</v>
      </c>
      <c r="C268" s="117">
        <v>10</v>
      </c>
    </row>
    <row r="269" spans="1:3" ht="18" x14ac:dyDescent="0.2">
      <c r="A269" s="121" t="s">
        <v>714</v>
      </c>
      <c r="B269" s="117">
        <v>1000</v>
      </c>
      <c r="C269" s="117">
        <v>9.17</v>
      </c>
    </row>
    <row r="270" spans="1:3" ht="18" x14ac:dyDescent="0.2">
      <c r="A270" s="122">
        <v>46197</v>
      </c>
      <c r="B270" s="477">
        <v>3570.2999999999997</v>
      </c>
      <c r="C270" s="477">
        <v>32.75</v>
      </c>
    </row>
    <row r="271" spans="1:3" ht="18" x14ac:dyDescent="0.2">
      <c r="A271" s="121" t="s">
        <v>59</v>
      </c>
      <c r="B271" s="117">
        <v>3270.2999999999997</v>
      </c>
      <c r="C271" s="117">
        <v>30</v>
      </c>
    </row>
    <row r="272" spans="1:3" ht="18" x14ac:dyDescent="0.2">
      <c r="A272" s="121" t="s">
        <v>714</v>
      </c>
      <c r="B272" s="117">
        <v>300</v>
      </c>
      <c r="C272" s="117">
        <v>2.75</v>
      </c>
    </row>
    <row r="273" spans="1:3" ht="18" x14ac:dyDescent="0.2">
      <c r="A273" s="122">
        <v>46196</v>
      </c>
      <c r="B273" s="477">
        <v>11991.1</v>
      </c>
      <c r="C273" s="477">
        <v>110</v>
      </c>
    </row>
    <row r="274" spans="1:3" ht="18" x14ac:dyDescent="0.2">
      <c r="A274" s="121" t="s">
        <v>184</v>
      </c>
      <c r="B274" s="117">
        <v>10901</v>
      </c>
      <c r="C274" s="117">
        <v>100</v>
      </c>
    </row>
    <row r="275" spans="1:3" ht="18" x14ac:dyDescent="0.2">
      <c r="A275" s="121" t="s">
        <v>257</v>
      </c>
      <c r="B275" s="117">
        <v>1090.0999999999999</v>
      </c>
      <c r="C275" s="117">
        <v>10</v>
      </c>
    </row>
    <row r="276" spans="1:3" ht="18" x14ac:dyDescent="0.2">
      <c r="A276" s="122">
        <v>46195</v>
      </c>
      <c r="B276" s="477">
        <v>4309.38</v>
      </c>
      <c r="C276" s="477">
        <v>39.53</v>
      </c>
    </row>
    <row r="277" spans="1:3" ht="18" x14ac:dyDescent="0.2">
      <c r="A277" s="121" t="s">
        <v>103</v>
      </c>
      <c r="B277" s="117">
        <v>4009.38</v>
      </c>
      <c r="C277" s="117">
        <v>36.78</v>
      </c>
    </row>
    <row r="278" spans="1:3" ht="18" x14ac:dyDescent="0.2">
      <c r="A278" s="121" t="s">
        <v>152</v>
      </c>
      <c r="B278" s="117">
        <v>300</v>
      </c>
      <c r="C278" s="117">
        <v>2.75</v>
      </c>
    </row>
    <row r="279" spans="1:3" ht="18" x14ac:dyDescent="0.2">
      <c r="A279" s="122">
        <v>46194</v>
      </c>
      <c r="B279" s="477">
        <v>2180.1999999999998</v>
      </c>
      <c r="C279" s="477">
        <v>20</v>
      </c>
    </row>
    <row r="280" spans="1:3" ht="18" x14ac:dyDescent="0.2">
      <c r="A280" s="121" t="s">
        <v>202</v>
      </c>
      <c r="B280" s="117">
        <v>2180.1999999999998</v>
      </c>
      <c r="C280" s="117">
        <v>20</v>
      </c>
    </row>
    <row r="281" spans="1:3" ht="18" x14ac:dyDescent="0.2">
      <c r="A281" s="122">
        <v>46192</v>
      </c>
      <c r="B281" s="477">
        <v>2858.84</v>
      </c>
      <c r="C281" s="477">
        <v>26.22</v>
      </c>
    </row>
    <row r="282" spans="1:3" ht="18" x14ac:dyDescent="0.2">
      <c r="A282" s="121" t="s">
        <v>202</v>
      </c>
      <c r="B282" s="117">
        <v>468.74</v>
      </c>
      <c r="C282" s="117">
        <v>4.3</v>
      </c>
    </row>
    <row r="283" spans="1:3" ht="18" x14ac:dyDescent="0.2">
      <c r="A283" s="121" t="s">
        <v>55</v>
      </c>
      <c r="B283" s="117">
        <v>1090.0999999999999</v>
      </c>
      <c r="C283" s="117">
        <v>10</v>
      </c>
    </row>
    <row r="284" spans="1:3" ht="18" x14ac:dyDescent="0.2">
      <c r="A284" s="121" t="s">
        <v>152</v>
      </c>
      <c r="B284" s="117">
        <v>300</v>
      </c>
      <c r="C284" s="117">
        <v>2.75</v>
      </c>
    </row>
    <row r="285" spans="1:3" ht="18" x14ac:dyDescent="0.2">
      <c r="A285" s="121" t="s">
        <v>714</v>
      </c>
      <c r="B285" s="117">
        <v>1000</v>
      </c>
      <c r="C285" s="117">
        <v>9.17</v>
      </c>
    </row>
    <row r="286" spans="1:3" ht="18" x14ac:dyDescent="0.2">
      <c r="A286" s="122">
        <v>46191</v>
      </c>
      <c r="B286" s="477">
        <v>9575.43</v>
      </c>
      <c r="C286" s="477">
        <v>87.84</v>
      </c>
    </row>
    <row r="287" spans="1:3" ht="18" x14ac:dyDescent="0.2">
      <c r="A287" s="121" t="s">
        <v>55</v>
      </c>
      <c r="B287" s="117">
        <v>1090.0999999999999</v>
      </c>
      <c r="C287" s="117">
        <v>10</v>
      </c>
    </row>
    <row r="288" spans="1:3" ht="18" x14ac:dyDescent="0.2">
      <c r="A288" s="121" t="s">
        <v>103</v>
      </c>
      <c r="B288" s="117">
        <v>8485.33</v>
      </c>
      <c r="C288" s="117">
        <v>77.84</v>
      </c>
    </row>
    <row r="289" spans="1:3" ht="18" x14ac:dyDescent="0.2">
      <c r="A289" s="122">
        <v>46190</v>
      </c>
      <c r="B289" s="477">
        <v>1744.1599999999999</v>
      </c>
      <c r="C289" s="477">
        <v>16</v>
      </c>
    </row>
    <row r="290" spans="1:3" ht="18" x14ac:dyDescent="0.2">
      <c r="A290" s="121" t="s">
        <v>55</v>
      </c>
      <c r="B290" s="117">
        <v>1744.1599999999999</v>
      </c>
      <c r="C290" s="117">
        <v>16</v>
      </c>
    </row>
    <row r="291" spans="1:3" ht="18" x14ac:dyDescent="0.2">
      <c r="A291" s="122">
        <v>46189</v>
      </c>
      <c r="B291" s="477">
        <v>839.59</v>
      </c>
      <c r="C291" s="477">
        <v>7.7</v>
      </c>
    </row>
    <row r="292" spans="1:3" ht="18" x14ac:dyDescent="0.2">
      <c r="A292" s="121" t="s">
        <v>552</v>
      </c>
      <c r="B292" s="117">
        <v>539.59</v>
      </c>
      <c r="C292" s="117">
        <v>4.95</v>
      </c>
    </row>
    <row r="293" spans="1:3" ht="18" x14ac:dyDescent="0.2">
      <c r="A293" s="121" t="s">
        <v>152</v>
      </c>
      <c r="B293" s="117">
        <v>300</v>
      </c>
      <c r="C293" s="117">
        <v>2.75</v>
      </c>
    </row>
    <row r="294" spans="1:3" ht="18" x14ac:dyDescent="0.2">
      <c r="A294" s="122">
        <v>46188</v>
      </c>
      <c r="B294" s="477">
        <v>6104.5599999999995</v>
      </c>
      <c r="C294" s="477">
        <v>56</v>
      </c>
    </row>
    <row r="295" spans="1:3" ht="18" x14ac:dyDescent="0.2">
      <c r="A295" s="121" t="s">
        <v>53</v>
      </c>
      <c r="B295" s="117">
        <v>4469.41</v>
      </c>
      <c r="C295" s="117">
        <v>41</v>
      </c>
    </row>
    <row r="296" spans="1:3" ht="18" x14ac:dyDescent="0.2">
      <c r="A296" s="121" t="s">
        <v>55</v>
      </c>
      <c r="B296" s="117">
        <v>1635.1499999999999</v>
      </c>
      <c r="C296" s="117">
        <v>15</v>
      </c>
    </row>
    <row r="297" spans="1:3" ht="18" x14ac:dyDescent="0.2">
      <c r="A297" s="122">
        <v>46187</v>
      </c>
      <c r="B297" s="477">
        <v>3495.94</v>
      </c>
      <c r="C297" s="477">
        <v>32.07</v>
      </c>
    </row>
    <row r="298" spans="1:3" ht="18" x14ac:dyDescent="0.2">
      <c r="A298" s="121" t="s">
        <v>55</v>
      </c>
      <c r="B298" s="117">
        <v>1090.0999999999999</v>
      </c>
      <c r="C298" s="117">
        <v>10</v>
      </c>
    </row>
    <row r="299" spans="1:3" ht="18" x14ac:dyDescent="0.2">
      <c r="A299" s="121" t="s">
        <v>59</v>
      </c>
      <c r="B299" s="117">
        <v>1169.67</v>
      </c>
      <c r="C299" s="117">
        <v>10.73</v>
      </c>
    </row>
    <row r="300" spans="1:3" ht="18" x14ac:dyDescent="0.2">
      <c r="A300" s="121" t="s">
        <v>257</v>
      </c>
      <c r="B300" s="117">
        <v>1236.17</v>
      </c>
      <c r="C300" s="117">
        <v>11.34</v>
      </c>
    </row>
    <row r="301" spans="1:3" ht="18" x14ac:dyDescent="0.2">
      <c r="A301" s="122">
        <v>46186</v>
      </c>
      <c r="B301" s="477">
        <v>6041.33</v>
      </c>
      <c r="C301" s="477">
        <v>55.42</v>
      </c>
    </row>
    <row r="302" spans="1:3" ht="18" x14ac:dyDescent="0.2">
      <c r="A302" s="121" t="s">
        <v>55</v>
      </c>
      <c r="B302" s="117">
        <v>1962.1799999999998</v>
      </c>
      <c r="C302" s="117">
        <v>18</v>
      </c>
    </row>
    <row r="303" spans="1:3" ht="18" x14ac:dyDescent="0.2">
      <c r="A303" s="121" t="s">
        <v>103</v>
      </c>
      <c r="B303" s="117">
        <v>2989.05</v>
      </c>
      <c r="C303" s="117">
        <v>27.42</v>
      </c>
    </row>
    <row r="304" spans="1:3" ht="18" x14ac:dyDescent="0.2">
      <c r="A304" s="121" t="s">
        <v>59</v>
      </c>
      <c r="B304" s="117">
        <v>1090.0999999999999</v>
      </c>
      <c r="C304" s="117">
        <v>10</v>
      </c>
    </row>
    <row r="305" spans="1:3" ht="18" x14ac:dyDescent="0.2">
      <c r="A305" s="122">
        <v>46185</v>
      </c>
      <c r="B305" s="477">
        <v>5916.24</v>
      </c>
      <c r="C305" s="477">
        <v>54.27</v>
      </c>
    </row>
    <row r="306" spans="1:3" ht="18" x14ac:dyDescent="0.2">
      <c r="A306" s="121" t="s">
        <v>57</v>
      </c>
      <c r="B306" s="117">
        <v>2000</v>
      </c>
      <c r="C306" s="117">
        <v>18.350000000000001</v>
      </c>
    </row>
    <row r="307" spans="1:3" ht="18" x14ac:dyDescent="0.2">
      <c r="A307" s="121" t="s">
        <v>552</v>
      </c>
      <c r="B307" s="117">
        <v>436.04</v>
      </c>
      <c r="C307" s="117">
        <v>4</v>
      </c>
    </row>
    <row r="308" spans="1:3" ht="18" x14ac:dyDescent="0.2">
      <c r="A308" s="121" t="s">
        <v>59</v>
      </c>
      <c r="B308" s="117">
        <v>2180.1999999999998</v>
      </c>
      <c r="C308" s="117">
        <v>20</v>
      </c>
    </row>
    <row r="309" spans="1:3" ht="18" x14ac:dyDescent="0.2">
      <c r="A309" s="121" t="s">
        <v>152</v>
      </c>
      <c r="B309" s="117">
        <v>300</v>
      </c>
      <c r="C309" s="117">
        <v>2.75</v>
      </c>
    </row>
    <row r="310" spans="1:3" ht="18" x14ac:dyDescent="0.2">
      <c r="A310" s="121" t="s">
        <v>714</v>
      </c>
      <c r="B310" s="117">
        <v>1000</v>
      </c>
      <c r="C310" s="117">
        <v>9.17</v>
      </c>
    </row>
    <row r="311" spans="1:3" ht="18" x14ac:dyDescent="0.2">
      <c r="A311" s="122">
        <v>46184</v>
      </c>
      <c r="B311" s="477">
        <v>1090.0999999999999</v>
      </c>
      <c r="C311" s="477">
        <v>10</v>
      </c>
    </row>
    <row r="312" spans="1:3" ht="18" x14ac:dyDescent="0.2">
      <c r="A312" s="121" t="s">
        <v>55</v>
      </c>
      <c r="B312" s="117">
        <v>1090.0999999999999</v>
      </c>
      <c r="C312" s="117">
        <v>10</v>
      </c>
    </row>
    <row r="313" spans="1:3" ht="18" x14ac:dyDescent="0.2">
      <c r="A313" s="122">
        <v>46183</v>
      </c>
      <c r="B313" s="477">
        <v>2815.93</v>
      </c>
      <c r="C313" s="477">
        <v>25.83</v>
      </c>
    </row>
    <row r="314" spans="1:3" ht="18" x14ac:dyDescent="0.2">
      <c r="A314" s="121" t="s">
        <v>202</v>
      </c>
      <c r="B314" s="117">
        <v>490.54</v>
      </c>
      <c r="C314" s="117">
        <v>4.5</v>
      </c>
    </row>
    <row r="315" spans="1:3" ht="18" x14ac:dyDescent="0.2">
      <c r="A315" s="121" t="s">
        <v>55</v>
      </c>
      <c r="B315" s="117">
        <v>2025.3899999999999</v>
      </c>
      <c r="C315" s="117">
        <v>18.579999999999998</v>
      </c>
    </row>
    <row r="316" spans="1:3" ht="18" x14ac:dyDescent="0.2">
      <c r="A316" s="121" t="s">
        <v>152</v>
      </c>
      <c r="B316" s="117">
        <v>300</v>
      </c>
      <c r="C316" s="117">
        <v>2.75</v>
      </c>
    </row>
    <row r="317" spans="1:3" ht="18" x14ac:dyDescent="0.2">
      <c r="A317" s="122">
        <v>46182</v>
      </c>
      <c r="B317" s="477">
        <v>5764.4400000000005</v>
      </c>
      <c r="C317" s="477">
        <v>52.88</v>
      </c>
    </row>
    <row r="318" spans="1:3" ht="18" x14ac:dyDescent="0.2">
      <c r="A318" s="121" t="s">
        <v>55</v>
      </c>
      <c r="B318" s="117">
        <v>1635.15</v>
      </c>
      <c r="C318" s="117">
        <v>15</v>
      </c>
    </row>
    <row r="319" spans="1:3" ht="18" x14ac:dyDescent="0.2">
      <c r="A319" s="121" t="s">
        <v>103</v>
      </c>
      <c r="B319" s="117">
        <v>4129.29</v>
      </c>
      <c r="C319" s="117">
        <v>37.880000000000003</v>
      </c>
    </row>
    <row r="320" spans="1:3" ht="18" x14ac:dyDescent="0.2">
      <c r="A320" s="122">
        <v>46181</v>
      </c>
      <c r="B320" s="477">
        <v>5939.23</v>
      </c>
      <c r="C320" s="477">
        <v>54.480000000000004</v>
      </c>
    </row>
    <row r="321" spans="1:3" ht="18" x14ac:dyDescent="0.2">
      <c r="A321" s="121" t="s">
        <v>103</v>
      </c>
      <c r="B321" s="117">
        <v>3981.04</v>
      </c>
      <c r="C321" s="117">
        <v>36.520000000000003</v>
      </c>
    </row>
    <row r="322" spans="1:3" ht="18" x14ac:dyDescent="0.2">
      <c r="A322" s="121" t="s">
        <v>59</v>
      </c>
      <c r="B322" s="117">
        <v>958.19</v>
      </c>
      <c r="C322" s="117">
        <v>8.7899999999999991</v>
      </c>
    </row>
    <row r="323" spans="1:3" ht="18" x14ac:dyDescent="0.2">
      <c r="A323" s="121" t="s">
        <v>714</v>
      </c>
      <c r="B323" s="117">
        <v>1000</v>
      </c>
      <c r="C323" s="117">
        <v>9.17</v>
      </c>
    </row>
    <row r="324" spans="1:3" ht="18" x14ac:dyDescent="0.2">
      <c r="A324" s="122">
        <v>46180</v>
      </c>
      <c r="B324" s="477">
        <v>2698.22</v>
      </c>
      <c r="C324" s="477">
        <v>24.75</v>
      </c>
    </row>
    <row r="325" spans="1:3" ht="18" x14ac:dyDescent="0.2">
      <c r="A325" s="121" t="s">
        <v>202</v>
      </c>
      <c r="B325" s="117">
        <v>2180.1999999999998</v>
      </c>
      <c r="C325" s="117">
        <v>20</v>
      </c>
    </row>
    <row r="326" spans="1:3" ht="18" x14ac:dyDescent="0.2">
      <c r="A326" s="121" t="s">
        <v>55</v>
      </c>
      <c r="B326" s="117">
        <v>218.02</v>
      </c>
      <c r="C326" s="117">
        <v>2</v>
      </c>
    </row>
    <row r="327" spans="1:3" ht="18" x14ac:dyDescent="0.2">
      <c r="A327" s="121" t="s">
        <v>152</v>
      </c>
      <c r="B327" s="117">
        <v>300</v>
      </c>
      <c r="C327" s="117">
        <v>2.75</v>
      </c>
    </row>
    <row r="328" spans="1:3" ht="18" x14ac:dyDescent="0.2">
      <c r="A328" s="122">
        <v>46179</v>
      </c>
      <c r="B328" s="477">
        <v>1290.0999999999999</v>
      </c>
      <c r="C328" s="477">
        <v>11.84</v>
      </c>
    </row>
    <row r="329" spans="1:3" ht="18" x14ac:dyDescent="0.2">
      <c r="A329" s="121" t="s">
        <v>55</v>
      </c>
      <c r="B329" s="117">
        <v>1090.0999999999999</v>
      </c>
      <c r="C329" s="117">
        <v>10</v>
      </c>
    </row>
    <row r="330" spans="1:3" ht="18" x14ac:dyDescent="0.2">
      <c r="A330" s="121" t="s">
        <v>714</v>
      </c>
      <c r="B330" s="117">
        <v>200</v>
      </c>
      <c r="C330" s="117">
        <v>1.84</v>
      </c>
    </row>
    <row r="331" spans="1:3" ht="18" x14ac:dyDescent="0.2">
      <c r="A331" s="122">
        <v>46178</v>
      </c>
      <c r="B331" s="477">
        <v>9276.0299999999988</v>
      </c>
      <c r="C331" s="477">
        <v>85.09</v>
      </c>
    </row>
    <row r="332" spans="1:3" ht="18" x14ac:dyDescent="0.2">
      <c r="A332" s="121" t="s">
        <v>53</v>
      </c>
      <c r="B332" s="117">
        <v>4360.3999999999996</v>
      </c>
      <c r="C332" s="117">
        <v>40</v>
      </c>
    </row>
    <row r="333" spans="1:3" ht="18" x14ac:dyDescent="0.2">
      <c r="A333" s="121" t="s">
        <v>59</v>
      </c>
      <c r="B333" s="117">
        <v>3915.63</v>
      </c>
      <c r="C333" s="117">
        <v>35.92</v>
      </c>
    </row>
    <row r="334" spans="1:3" ht="18" x14ac:dyDescent="0.2">
      <c r="A334" s="121" t="s">
        <v>714</v>
      </c>
      <c r="B334" s="117">
        <v>1000</v>
      </c>
      <c r="C334" s="117">
        <v>9.17</v>
      </c>
    </row>
    <row r="335" spans="1:3" ht="18" x14ac:dyDescent="0.2">
      <c r="A335" s="122">
        <v>46177</v>
      </c>
      <c r="B335" s="477">
        <v>7167.6299999999992</v>
      </c>
      <c r="C335" s="477">
        <v>65.75</v>
      </c>
    </row>
    <row r="336" spans="1:3" ht="18" x14ac:dyDescent="0.2">
      <c r="A336" s="121" t="s">
        <v>53</v>
      </c>
      <c r="B336" s="117">
        <v>5777.53</v>
      </c>
      <c r="C336" s="117">
        <v>53</v>
      </c>
    </row>
    <row r="337" spans="1:3" ht="18" x14ac:dyDescent="0.2">
      <c r="A337" s="121" t="s">
        <v>152</v>
      </c>
      <c r="B337" s="117">
        <v>300</v>
      </c>
      <c r="C337" s="117">
        <v>2.75</v>
      </c>
    </row>
    <row r="338" spans="1:3" ht="18" x14ac:dyDescent="0.2">
      <c r="A338" s="121" t="s">
        <v>257</v>
      </c>
      <c r="B338" s="117">
        <v>1090.0999999999999</v>
      </c>
      <c r="C338" s="117">
        <v>10</v>
      </c>
    </row>
    <row r="339" spans="1:3" ht="18" x14ac:dyDescent="0.2">
      <c r="A339" s="122">
        <v>46175</v>
      </c>
      <c r="B339" s="477">
        <v>2480.1999999999998</v>
      </c>
      <c r="C339" s="477">
        <v>22.75</v>
      </c>
    </row>
    <row r="340" spans="1:3" ht="18" x14ac:dyDescent="0.2">
      <c r="A340" s="121" t="s">
        <v>59</v>
      </c>
      <c r="B340" s="117">
        <v>2180.1999999999998</v>
      </c>
      <c r="C340" s="117">
        <v>20</v>
      </c>
    </row>
    <row r="341" spans="1:3" ht="18" x14ac:dyDescent="0.2">
      <c r="A341" s="121" t="s">
        <v>152</v>
      </c>
      <c r="B341" s="117">
        <v>300</v>
      </c>
      <c r="C341" s="117">
        <v>2.75</v>
      </c>
    </row>
    <row r="342" spans="1:3" ht="18" x14ac:dyDescent="0.2">
      <c r="A342" s="122">
        <v>46174</v>
      </c>
      <c r="B342" s="477">
        <v>6526.79</v>
      </c>
      <c r="C342" s="477">
        <v>59.879999999999995</v>
      </c>
    </row>
    <row r="343" spans="1:3" ht="18" x14ac:dyDescent="0.2">
      <c r="A343" s="121" t="s">
        <v>57</v>
      </c>
      <c r="B343" s="117">
        <v>1249.98</v>
      </c>
      <c r="C343" s="117">
        <v>11.47</v>
      </c>
    </row>
    <row r="344" spans="1:3" ht="18" x14ac:dyDescent="0.2">
      <c r="A344" s="121" t="s">
        <v>56</v>
      </c>
      <c r="B344" s="117">
        <v>545.04999999999995</v>
      </c>
      <c r="C344" s="117">
        <v>5</v>
      </c>
    </row>
    <row r="345" spans="1:3" ht="18" x14ac:dyDescent="0.2">
      <c r="A345" s="121" t="s">
        <v>103</v>
      </c>
      <c r="B345" s="117">
        <v>4231.76</v>
      </c>
      <c r="C345" s="117">
        <v>38.82</v>
      </c>
    </row>
    <row r="346" spans="1:3" ht="18" x14ac:dyDescent="0.2">
      <c r="A346" s="121" t="s">
        <v>714</v>
      </c>
      <c r="B346" s="117">
        <v>500</v>
      </c>
      <c r="C346" s="117">
        <v>4.59</v>
      </c>
    </row>
    <row r="347" spans="1:3" ht="18" x14ac:dyDescent="0.2">
      <c r="A347" s="122">
        <v>46173</v>
      </c>
      <c r="B347" s="477">
        <v>6800</v>
      </c>
      <c r="C347" s="477">
        <v>62.38</v>
      </c>
    </row>
    <row r="348" spans="1:3" ht="18" x14ac:dyDescent="0.2">
      <c r="A348" s="121" t="s">
        <v>202</v>
      </c>
      <c r="B348" s="117">
        <v>5500</v>
      </c>
      <c r="C348" s="117">
        <v>50.46</v>
      </c>
    </row>
    <row r="349" spans="1:3" ht="18" x14ac:dyDescent="0.2">
      <c r="A349" s="121" t="s">
        <v>152</v>
      </c>
      <c r="B349" s="117">
        <v>300</v>
      </c>
      <c r="C349" s="117">
        <v>2.75</v>
      </c>
    </row>
    <row r="350" spans="1:3" ht="18" x14ac:dyDescent="0.2">
      <c r="A350" s="121" t="s">
        <v>714</v>
      </c>
      <c r="B350" s="117">
        <v>1000</v>
      </c>
      <c r="C350" s="117">
        <v>9.17</v>
      </c>
    </row>
    <row r="351" spans="1:3" ht="18" x14ac:dyDescent="0.2">
      <c r="A351" s="122">
        <v>46172</v>
      </c>
      <c r="B351" s="477">
        <v>15255.939999999999</v>
      </c>
      <c r="C351" s="477">
        <v>139.94999999999999</v>
      </c>
    </row>
    <row r="352" spans="1:3" ht="18" x14ac:dyDescent="0.2">
      <c r="A352" s="121" t="s">
        <v>55</v>
      </c>
      <c r="B352" s="117">
        <v>2174.7399999999998</v>
      </c>
      <c r="C352" s="117">
        <v>19.95</v>
      </c>
    </row>
    <row r="353" spans="1:3" ht="18" x14ac:dyDescent="0.2">
      <c r="A353" s="121" t="s">
        <v>143</v>
      </c>
      <c r="B353" s="117">
        <v>10901</v>
      </c>
      <c r="C353" s="117">
        <v>100</v>
      </c>
    </row>
    <row r="354" spans="1:3" ht="18" x14ac:dyDescent="0.2">
      <c r="A354" s="121" t="s">
        <v>59</v>
      </c>
      <c r="B354" s="117">
        <v>2180.1999999999998</v>
      </c>
      <c r="C354" s="117">
        <v>20</v>
      </c>
    </row>
    <row r="355" spans="1:3" ht="18" x14ac:dyDescent="0.2">
      <c r="A355" s="122">
        <v>46171</v>
      </c>
      <c r="B355" s="477">
        <v>9870.85</v>
      </c>
      <c r="C355" s="477">
        <v>90.55</v>
      </c>
    </row>
    <row r="356" spans="1:3" ht="18" x14ac:dyDescent="0.2">
      <c r="A356" s="121" t="s">
        <v>202</v>
      </c>
      <c r="B356" s="117">
        <v>4420.3500000000004</v>
      </c>
      <c r="C356" s="117">
        <v>40.549999999999997</v>
      </c>
    </row>
    <row r="357" spans="1:3" ht="18" x14ac:dyDescent="0.2">
      <c r="A357" s="121" t="s">
        <v>184</v>
      </c>
      <c r="B357" s="117">
        <v>5450.5</v>
      </c>
      <c r="C357" s="117">
        <v>50</v>
      </c>
    </row>
    <row r="358" spans="1:3" ht="18" x14ac:dyDescent="0.2">
      <c r="A358" s="122">
        <v>46170</v>
      </c>
      <c r="B358" s="477">
        <v>300</v>
      </c>
      <c r="C358" s="477">
        <v>2.75</v>
      </c>
    </row>
    <row r="359" spans="1:3" ht="18" x14ac:dyDescent="0.2">
      <c r="A359" s="121" t="s">
        <v>152</v>
      </c>
      <c r="B359" s="117">
        <v>300</v>
      </c>
      <c r="C359" s="117">
        <v>2.75</v>
      </c>
    </row>
    <row r="360" spans="1:3" ht="18" x14ac:dyDescent="0.2">
      <c r="A360" s="122">
        <v>46169</v>
      </c>
      <c r="B360" s="477">
        <v>3480.2</v>
      </c>
      <c r="C360" s="477">
        <v>31.92</v>
      </c>
    </row>
    <row r="361" spans="1:3" ht="18" x14ac:dyDescent="0.2">
      <c r="A361" s="121" t="s">
        <v>55</v>
      </c>
      <c r="B361" s="117">
        <v>2180.1999999999998</v>
      </c>
      <c r="C361" s="117">
        <v>20</v>
      </c>
    </row>
    <row r="362" spans="1:3" ht="18" x14ac:dyDescent="0.2">
      <c r="A362" s="121" t="s">
        <v>152</v>
      </c>
      <c r="B362" s="117">
        <v>300</v>
      </c>
      <c r="C362" s="117">
        <v>2.75</v>
      </c>
    </row>
    <row r="363" spans="1:3" ht="18" x14ac:dyDescent="0.2">
      <c r="A363" s="121" t="s">
        <v>714</v>
      </c>
      <c r="B363" s="117">
        <v>1000</v>
      </c>
      <c r="C363" s="117">
        <v>9.17</v>
      </c>
    </row>
    <row r="364" spans="1:3" ht="18" x14ac:dyDescent="0.2">
      <c r="A364" s="122">
        <v>46168</v>
      </c>
      <c r="B364" s="477">
        <v>23297.61</v>
      </c>
      <c r="C364" s="477">
        <v>213.72</v>
      </c>
    </row>
    <row r="365" spans="1:3" ht="18" x14ac:dyDescent="0.2">
      <c r="A365" s="121" t="s">
        <v>202</v>
      </c>
      <c r="B365" s="117">
        <v>4252.4799999999996</v>
      </c>
      <c r="C365" s="117">
        <v>39.01</v>
      </c>
    </row>
    <row r="366" spans="1:3" ht="18" x14ac:dyDescent="0.2">
      <c r="A366" s="121" t="s">
        <v>55</v>
      </c>
      <c r="B366" s="117">
        <v>5617.2800000000007</v>
      </c>
      <c r="C366" s="117">
        <v>51.53</v>
      </c>
    </row>
    <row r="367" spans="1:3" ht="18" x14ac:dyDescent="0.2">
      <c r="A367" s="121" t="s">
        <v>103</v>
      </c>
      <c r="B367" s="117">
        <v>7316.75</v>
      </c>
      <c r="C367" s="117">
        <v>67.12</v>
      </c>
    </row>
    <row r="368" spans="1:3" ht="18" x14ac:dyDescent="0.2">
      <c r="A368" s="121" t="s">
        <v>59</v>
      </c>
      <c r="B368" s="117">
        <v>6111.1</v>
      </c>
      <c r="C368" s="117">
        <v>56.06</v>
      </c>
    </row>
    <row r="369" spans="1:3" ht="18" x14ac:dyDescent="0.2">
      <c r="A369" s="122">
        <v>46167</v>
      </c>
      <c r="B369" s="477">
        <v>4239.3900000000003</v>
      </c>
      <c r="C369" s="477">
        <v>38.89</v>
      </c>
    </row>
    <row r="370" spans="1:3" ht="18" x14ac:dyDescent="0.2">
      <c r="A370" s="121" t="s">
        <v>202</v>
      </c>
      <c r="B370" s="117">
        <v>3694.34</v>
      </c>
      <c r="C370" s="117">
        <v>33.89</v>
      </c>
    </row>
    <row r="371" spans="1:3" ht="18" x14ac:dyDescent="0.2">
      <c r="A371" s="121" t="s">
        <v>55</v>
      </c>
      <c r="B371" s="117">
        <v>545.04999999999995</v>
      </c>
      <c r="C371" s="117">
        <v>5</v>
      </c>
    </row>
    <row r="372" spans="1:3" ht="18" x14ac:dyDescent="0.2">
      <c r="A372" s="122">
        <v>46166</v>
      </c>
      <c r="B372" s="477">
        <v>1362.2</v>
      </c>
      <c r="C372" s="477">
        <v>12.83</v>
      </c>
    </row>
    <row r="373" spans="1:3" ht="18" x14ac:dyDescent="0.2">
      <c r="A373" s="121" t="s">
        <v>55</v>
      </c>
      <c r="B373" s="117">
        <v>1062.2</v>
      </c>
      <c r="C373" s="117">
        <v>10</v>
      </c>
    </row>
    <row r="374" spans="1:3" ht="18" x14ac:dyDescent="0.2">
      <c r="A374" s="121" t="s">
        <v>152</v>
      </c>
      <c r="B374" s="117">
        <v>300</v>
      </c>
      <c r="C374" s="117">
        <v>2.83</v>
      </c>
    </row>
    <row r="375" spans="1:3" ht="18" x14ac:dyDescent="0.2">
      <c r="A375" s="122">
        <v>46165</v>
      </c>
      <c r="B375" s="477">
        <v>2722.4</v>
      </c>
      <c r="C375" s="477">
        <v>25.63</v>
      </c>
    </row>
    <row r="376" spans="1:3" ht="18" x14ac:dyDescent="0.2">
      <c r="A376" s="121" t="s">
        <v>57</v>
      </c>
      <c r="B376" s="117">
        <v>598</v>
      </c>
      <c r="C376" s="117">
        <v>5.63</v>
      </c>
    </row>
    <row r="377" spans="1:3" ht="18" x14ac:dyDescent="0.2">
      <c r="A377" s="121" t="s">
        <v>59</v>
      </c>
      <c r="B377" s="117">
        <v>2124.4</v>
      </c>
      <c r="C377" s="117">
        <v>20</v>
      </c>
    </row>
    <row r="378" spans="1:3" ht="18" x14ac:dyDescent="0.2">
      <c r="A378" s="122">
        <v>46164</v>
      </c>
      <c r="B378" s="477">
        <v>5855.55</v>
      </c>
      <c r="C378" s="477">
        <v>55.61</v>
      </c>
    </row>
    <row r="379" spans="1:3" ht="18" x14ac:dyDescent="0.2">
      <c r="A379" s="121" t="s">
        <v>55</v>
      </c>
      <c r="B379" s="117">
        <v>1579.5</v>
      </c>
      <c r="C379" s="117">
        <v>15</v>
      </c>
    </row>
    <row r="380" spans="1:3" ht="18" x14ac:dyDescent="0.2">
      <c r="A380" s="121" t="s">
        <v>59</v>
      </c>
      <c r="B380" s="117">
        <v>3776.05</v>
      </c>
      <c r="C380" s="117">
        <v>35.86</v>
      </c>
    </row>
    <row r="381" spans="1:3" ht="18" x14ac:dyDescent="0.2">
      <c r="A381" s="121" t="s">
        <v>714</v>
      </c>
      <c r="B381" s="117">
        <v>500</v>
      </c>
      <c r="C381" s="117">
        <v>4.75</v>
      </c>
    </row>
    <row r="382" spans="1:3" ht="18" x14ac:dyDescent="0.2">
      <c r="A382" s="122">
        <v>46163</v>
      </c>
      <c r="B382" s="477">
        <v>21201</v>
      </c>
      <c r="C382" s="477">
        <v>201.34</v>
      </c>
    </row>
    <row r="383" spans="1:3" ht="18" x14ac:dyDescent="0.2">
      <c r="A383" s="121" t="s">
        <v>53</v>
      </c>
      <c r="B383" s="117">
        <v>4212</v>
      </c>
      <c r="C383" s="117">
        <v>40</v>
      </c>
    </row>
    <row r="384" spans="1:3" ht="18" x14ac:dyDescent="0.2">
      <c r="A384" s="121" t="s">
        <v>202</v>
      </c>
      <c r="B384" s="117">
        <v>2000</v>
      </c>
      <c r="C384" s="117">
        <v>18.989999999999998</v>
      </c>
    </row>
    <row r="385" spans="1:3" ht="18" x14ac:dyDescent="0.2">
      <c r="A385" s="121" t="s">
        <v>55</v>
      </c>
      <c r="B385" s="117">
        <v>1053</v>
      </c>
      <c r="C385" s="117">
        <v>10</v>
      </c>
    </row>
    <row r="386" spans="1:3" ht="18" x14ac:dyDescent="0.2">
      <c r="A386" s="121" t="s">
        <v>143</v>
      </c>
      <c r="B386" s="117">
        <v>10530</v>
      </c>
      <c r="C386" s="117">
        <v>100</v>
      </c>
    </row>
    <row r="387" spans="1:3" ht="18" x14ac:dyDescent="0.2">
      <c r="A387" s="121" t="s">
        <v>59</v>
      </c>
      <c r="B387" s="117">
        <v>2106</v>
      </c>
      <c r="C387" s="117">
        <v>20</v>
      </c>
    </row>
    <row r="388" spans="1:3" ht="18" x14ac:dyDescent="0.2">
      <c r="A388" s="121" t="s">
        <v>152</v>
      </c>
      <c r="B388" s="117">
        <v>300</v>
      </c>
      <c r="C388" s="117">
        <v>2.85</v>
      </c>
    </row>
    <row r="389" spans="1:3" ht="18" x14ac:dyDescent="0.2">
      <c r="A389" s="121" t="s">
        <v>714</v>
      </c>
      <c r="B389" s="117">
        <v>1000</v>
      </c>
      <c r="C389" s="117">
        <v>9.5</v>
      </c>
    </row>
    <row r="390" spans="1:3" ht="18" x14ac:dyDescent="0.2">
      <c r="A390" s="122">
        <v>46162</v>
      </c>
      <c r="B390" s="477">
        <v>4618.45</v>
      </c>
      <c r="C390" s="477">
        <v>43.86</v>
      </c>
    </row>
    <row r="391" spans="1:3" ht="18" x14ac:dyDescent="0.2">
      <c r="A391" s="121" t="s">
        <v>55</v>
      </c>
      <c r="B391" s="117">
        <v>3565.45</v>
      </c>
      <c r="C391" s="117">
        <v>33.86</v>
      </c>
    </row>
    <row r="392" spans="1:3" ht="18" x14ac:dyDescent="0.2">
      <c r="A392" s="121" t="s">
        <v>257</v>
      </c>
      <c r="B392" s="117">
        <v>1053</v>
      </c>
      <c r="C392" s="117">
        <v>10</v>
      </c>
    </row>
    <row r="393" spans="1:3" ht="18" x14ac:dyDescent="0.2">
      <c r="A393" s="122">
        <v>46161</v>
      </c>
      <c r="B393" s="477">
        <v>16737.849999999999</v>
      </c>
      <c r="C393" s="477">
        <v>158.96</v>
      </c>
    </row>
    <row r="394" spans="1:3" ht="18" x14ac:dyDescent="0.2">
      <c r="A394" s="121" t="s">
        <v>202</v>
      </c>
      <c r="B394" s="117">
        <v>9210.24</v>
      </c>
      <c r="C394" s="117">
        <v>87.47</v>
      </c>
    </row>
    <row r="395" spans="1:3" ht="18" x14ac:dyDescent="0.2">
      <c r="A395" s="121" t="s">
        <v>55</v>
      </c>
      <c r="B395" s="117">
        <v>2106</v>
      </c>
      <c r="C395" s="117">
        <v>20</v>
      </c>
    </row>
    <row r="396" spans="1:3" ht="18" x14ac:dyDescent="0.2">
      <c r="A396" s="121" t="s">
        <v>56</v>
      </c>
      <c r="B396" s="117">
        <v>526.5</v>
      </c>
      <c r="C396" s="117">
        <v>5</v>
      </c>
    </row>
    <row r="397" spans="1:3" ht="18" x14ac:dyDescent="0.2">
      <c r="A397" s="121" t="s">
        <v>103</v>
      </c>
      <c r="B397" s="117">
        <v>4095.11</v>
      </c>
      <c r="C397" s="117">
        <v>38.89</v>
      </c>
    </row>
    <row r="398" spans="1:3" ht="18" x14ac:dyDescent="0.2">
      <c r="A398" s="121" t="s">
        <v>152</v>
      </c>
      <c r="B398" s="117">
        <v>300</v>
      </c>
      <c r="C398" s="117">
        <v>2.85</v>
      </c>
    </row>
    <row r="399" spans="1:3" ht="18" x14ac:dyDescent="0.2">
      <c r="A399" s="121" t="s">
        <v>714</v>
      </c>
      <c r="B399" s="117">
        <v>500</v>
      </c>
      <c r="C399" s="117">
        <v>4.75</v>
      </c>
    </row>
    <row r="400" spans="1:3" ht="18" x14ac:dyDescent="0.2">
      <c r="A400" s="122">
        <v>46160</v>
      </c>
      <c r="B400" s="477">
        <v>5874.42</v>
      </c>
      <c r="C400" s="477">
        <v>56.29</v>
      </c>
    </row>
    <row r="401" spans="1:3" ht="18" x14ac:dyDescent="0.2">
      <c r="A401" s="121" t="s">
        <v>202</v>
      </c>
      <c r="B401" s="117">
        <v>3787.22</v>
      </c>
      <c r="C401" s="117">
        <v>36.29</v>
      </c>
    </row>
    <row r="402" spans="1:3" ht="18" x14ac:dyDescent="0.2">
      <c r="A402" s="121" t="s">
        <v>103</v>
      </c>
      <c r="B402" s="117">
        <v>2087.1999999999998</v>
      </c>
      <c r="C402" s="117">
        <v>20</v>
      </c>
    </row>
    <row r="403" spans="1:3" ht="18" x14ac:dyDescent="0.2">
      <c r="A403" s="122">
        <v>46159</v>
      </c>
      <c r="B403" s="477">
        <v>7290.58</v>
      </c>
      <c r="C403" s="477">
        <v>69.86</v>
      </c>
    </row>
    <row r="404" spans="1:3" ht="18" x14ac:dyDescent="0.2">
      <c r="A404" s="121" t="s">
        <v>202</v>
      </c>
      <c r="B404" s="117">
        <v>5203.38</v>
      </c>
      <c r="C404" s="117">
        <v>49.86</v>
      </c>
    </row>
    <row r="405" spans="1:3" ht="18" x14ac:dyDescent="0.2">
      <c r="A405" s="121" t="s">
        <v>59</v>
      </c>
      <c r="B405" s="117">
        <v>2087.1999999999998</v>
      </c>
      <c r="C405" s="117">
        <v>20</v>
      </c>
    </row>
    <row r="406" spans="1:3" ht="18" x14ac:dyDescent="0.2">
      <c r="A406" s="122">
        <v>46157</v>
      </c>
      <c r="B406" s="477">
        <v>7598.4499999999989</v>
      </c>
      <c r="C406" s="477">
        <v>72.81</v>
      </c>
    </row>
    <row r="407" spans="1:3" ht="18" x14ac:dyDescent="0.2">
      <c r="A407" s="121" t="s">
        <v>55</v>
      </c>
      <c r="B407" s="117">
        <v>4166.0499999999993</v>
      </c>
      <c r="C407" s="117">
        <v>39.92</v>
      </c>
    </row>
    <row r="408" spans="1:3" ht="18" x14ac:dyDescent="0.2">
      <c r="A408" s="121" t="s">
        <v>59</v>
      </c>
      <c r="B408" s="117">
        <v>3432.4</v>
      </c>
      <c r="C408" s="117">
        <v>32.89</v>
      </c>
    </row>
    <row r="409" spans="1:3" ht="18" x14ac:dyDescent="0.2">
      <c r="A409" s="122">
        <v>46156</v>
      </c>
      <c r="B409" s="477">
        <v>500</v>
      </c>
      <c r="C409" s="477">
        <v>4.9400000000000004</v>
      </c>
    </row>
    <row r="410" spans="1:3" ht="18" x14ac:dyDescent="0.2">
      <c r="A410" s="121" t="s">
        <v>714</v>
      </c>
      <c r="B410" s="117">
        <v>500</v>
      </c>
      <c r="C410" s="117">
        <v>4.9400000000000004</v>
      </c>
    </row>
    <row r="411" spans="1:3" ht="18" x14ac:dyDescent="0.2">
      <c r="A411" s="122">
        <v>46154</v>
      </c>
      <c r="B411" s="477">
        <v>12115</v>
      </c>
      <c r="C411" s="477">
        <v>119.78</v>
      </c>
    </row>
    <row r="412" spans="1:3" ht="18" x14ac:dyDescent="0.2">
      <c r="A412" s="121" t="s">
        <v>143</v>
      </c>
      <c r="B412" s="117">
        <v>10115</v>
      </c>
      <c r="C412" s="117">
        <v>100</v>
      </c>
    </row>
    <row r="413" spans="1:3" ht="18" x14ac:dyDescent="0.2">
      <c r="A413" s="121" t="s">
        <v>93</v>
      </c>
      <c r="B413" s="117">
        <v>2000</v>
      </c>
      <c r="C413" s="117">
        <v>19.78</v>
      </c>
    </row>
    <row r="414" spans="1:3" ht="18" x14ac:dyDescent="0.2">
      <c r="A414" s="122">
        <v>46153</v>
      </c>
      <c r="B414" s="477">
        <v>2577.3000000000002</v>
      </c>
      <c r="C414" s="477">
        <v>25.48</v>
      </c>
    </row>
    <row r="415" spans="1:3" ht="18" x14ac:dyDescent="0.2">
      <c r="A415" s="121" t="s">
        <v>55</v>
      </c>
      <c r="B415" s="117">
        <v>2577.3000000000002</v>
      </c>
      <c r="C415" s="117">
        <v>25.48</v>
      </c>
    </row>
    <row r="416" spans="1:3" ht="18" x14ac:dyDescent="0.2">
      <c r="A416" s="122">
        <v>46152</v>
      </c>
      <c r="B416" s="477">
        <v>2828.75</v>
      </c>
      <c r="C416" s="477">
        <v>27.97</v>
      </c>
    </row>
    <row r="417" spans="1:3" ht="18" x14ac:dyDescent="0.2">
      <c r="A417" s="121" t="s">
        <v>152</v>
      </c>
      <c r="B417" s="117">
        <v>300</v>
      </c>
      <c r="C417" s="117">
        <v>2.97</v>
      </c>
    </row>
    <row r="418" spans="1:3" ht="18" x14ac:dyDescent="0.2">
      <c r="A418" s="121" t="s">
        <v>51</v>
      </c>
      <c r="B418" s="117">
        <v>2528.75</v>
      </c>
      <c r="C418" s="117">
        <v>25</v>
      </c>
    </row>
    <row r="419" spans="1:3" ht="18" x14ac:dyDescent="0.2">
      <c r="A419" s="122">
        <v>46151</v>
      </c>
      <c r="B419" s="477">
        <v>4855.2</v>
      </c>
      <c r="C419" s="477">
        <v>48</v>
      </c>
    </row>
    <row r="420" spans="1:3" ht="18" x14ac:dyDescent="0.2">
      <c r="A420" s="121" t="s">
        <v>202</v>
      </c>
      <c r="B420" s="117">
        <v>2528.75</v>
      </c>
      <c r="C420" s="117">
        <v>25</v>
      </c>
    </row>
    <row r="421" spans="1:3" ht="18" x14ac:dyDescent="0.2">
      <c r="A421" s="121" t="s">
        <v>56</v>
      </c>
      <c r="B421" s="117">
        <v>303.45</v>
      </c>
      <c r="C421" s="117">
        <v>3</v>
      </c>
    </row>
    <row r="422" spans="1:3" ht="18" x14ac:dyDescent="0.2">
      <c r="A422" s="121" t="s">
        <v>59</v>
      </c>
      <c r="B422" s="117">
        <v>2023</v>
      </c>
      <c r="C422" s="117">
        <v>20</v>
      </c>
    </row>
    <row r="423" spans="1:3" ht="18" x14ac:dyDescent="0.2">
      <c r="A423" s="122">
        <v>46150</v>
      </c>
      <c r="B423" s="477">
        <v>9535.41</v>
      </c>
      <c r="C423" s="477">
        <v>94.27000000000001</v>
      </c>
    </row>
    <row r="424" spans="1:3" ht="18" x14ac:dyDescent="0.2">
      <c r="A424" s="121" t="s">
        <v>53</v>
      </c>
      <c r="B424" s="117">
        <v>4001.49</v>
      </c>
      <c r="C424" s="117">
        <v>39.56</v>
      </c>
    </row>
    <row r="425" spans="1:3" ht="18" x14ac:dyDescent="0.2">
      <c r="A425" s="121" t="s">
        <v>202</v>
      </c>
      <c r="B425" s="117">
        <v>4522.42</v>
      </c>
      <c r="C425" s="117">
        <v>44.71</v>
      </c>
    </row>
    <row r="426" spans="1:3" ht="18" x14ac:dyDescent="0.2">
      <c r="A426" s="121" t="s">
        <v>55</v>
      </c>
      <c r="B426" s="117">
        <v>1011.5</v>
      </c>
      <c r="C426" s="117">
        <v>10</v>
      </c>
    </row>
    <row r="427" spans="1:3" ht="18" x14ac:dyDescent="0.2">
      <c r="A427" s="122">
        <v>46149</v>
      </c>
      <c r="B427" s="477">
        <v>4115.79</v>
      </c>
      <c r="C427" s="477">
        <v>40.69</v>
      </c>
    </row>
    <row r="428" spans="1:3" ht="18" x14ac:dyDescent="0.2">
      <c r="A428" s="121" t="s">
        <v>56</v>
      </c>
      <c r="B428" s="117">
        <v>505.75</v>
      </c>
      <c r="C428" s="117">
        <v>5</v>
      </c>
    </row>
    <row r="429" spans="1:3" ht="18" x14ac:dyDescent="0.2">
      <c r="A429" s="121" t="s">
        <v>59</v>
      </c>
      <c r="B429" s="117">
        <v>3610.04</v>
      </c>
      <c r="C429" s="117">
        <v>35.69</v>
      </c>
    </row>
    <row r="430" spans="1:3" ht="18" x14ac:dyDescent="0.2">
      <c r="A430" s="122">
        <v>46147</v>
      </c>
      <c r="B430" s="477">
        <v>7280.95</v>
      </c>
      <c r="C430" s="477">
        <v>71.989999999999995</v>
      </c>
    </row>
    <row r="431" spans="1:3" ht="18" x14ac:dyDescent="0.2">
      <c r="A431" s="121" t="s">
        <v>55</v>
      </c>
      <c r="B431" s="117">
        <v>1011.5</v>
      </c>
      <c r="C431" s="117">
        <v>10</v>
      </c>
    </row>
    <row r="432" spans="1:3" ht="18" x14ac:dyDescent="0.2">
      <c r="A432" s="121" t="s">
        <v>103</v>
      </c>
      <c r="B432" s="117">
        <v>3646.45</v>
      </c>
      <c r="C432" s="117">
        <v>36.049999999999997</v>
      </c>
    </row>
    <row r="433" spans="1:3" ht="18" x14ac:dyDescent="0.2">
      <c r="A433" s="121" t="s">
        <v>59</v>
      </c>
      <c r="B433" s="117">
        <v>2023</v>
      </c>
      <c r="C433" s="117">
        <v>20</v>
      </c>
    </row>
    <row r="434" spans="1:3" ht="18" x14ac:dyDescent="0.2">
      <c r="A434" s="121" t="s">
        <v>152</v>
      </c>
      <c r="B434" s="117">
        <v>300</v>
      </c>
      <c r="C434" s="117">
        <v>2.97</v>
      </c>
    </row>
    <row r="435" spans="1:3" ht="18" x14ac:dyDescent="0.2">
      <c r="A435" s="121" t="s">
        <v>714</v>
      </c>
      <c r="B435" s="117">
        <v>300</v>
      </c>
      <c r="C435" s="117">
        <v>2.97</v>
      </c>
    </row>
    <row r="436" spans="1:3" ht="18" x14ac:dyDescent="0.2">
      <c r="A436" s="122">
        <v>46146</v>
      </c>
      <c r="B436" s="477">
        <v>4746</v>
      </c>
      <c r="C436" s="477">
        <v>46.92</v>
      </c>
    </row>
    <row r="437" spans="1:3" ht="18" x14ac:dyDescent="0.2">
      <c r="A437" s="121" t="s">
        <v>103</v>
      </c>
      <c r="B437" s="117">
        <v>4046</v>
      </c>
      <c r="C437" s="117">
        <v>40</v>
      </c>
    </row>
    <row r="438" spans="1:3" ht="18" x14ac:dyDescent="0.2">
      <c r="A438" s="121" t="s">
        <v>714</v>
      </c>
      <c r="B438" s="117">
        <v>700</v>
      </c>
      <c r="C438" s="117">
        <v>6.92</v>
      </c>
    </row>
    <row r="439" spans="1:3" ht="18" x14ac:dyDescent="0.2">
      <c r="A439" s="122">
        <v>46145</v>
      </c>
      <c r="B439" s="477">
        <v>8353.9700000000012</v>
      </c>
      <c r="C439" s="477">
        <v>82.59</v>
      </c>
    </row>
    <row r="440" spans="1:3" ht="18" x14ac:dyDescent="0.2">
      <c r="A440" s="121" t="s">
        <v>202</v>
      </c>
      <c r="B440" s="117">
        <v>4956.3500000000004</v>
      </c>
      <c r="C440" s="117">
        <v>49</v>
      </c>
    </row>
    <row r="441" spans="1:3" ht="18" x14ac:dyDescent="0.2">
      <c r="A441" s="121" t="s">
        <v>55</v>
      </c>
      <c r="B441" s="117">
        <v>3397.62</v>
      </c>
      <c r="C441" s="117">
        <v>33.590000000000003</v>
      </c>
    </row>
    <row r="442" spans="1:3" ht="18" x14ac:dyDescent="0.2">
      <c r="A442" s="122">
        <v>46144</v>
      </c>
      <c r="B442" s="477">
        <v>4706.09</v>
      </c>
      <c r="C442" s="477">
        <v>46.53</v>
      </c>
    </row>
    <row r="443" spans="1:3" ht="18" x14ac:dyDescent="0.2">
      <c r="A443" s="121" t="s">
        <v>202</v>
      </c>
      <c r="B443" s="117">
        <v>2023</v>
      </c>
      <c r="C443" s="117">
        <v>20</v>
      </c>
    </row>
    <row r="444" spans="1:3" ht="18" x14ac:dyDescent="0.2">
      <c r="A444" s="121" t="s">
        <v>55</v>
      </c>
      <c r="B444" s="117">
        <v>2383.09</v>
      </c>
      <c r="C444" s="117">
        <v>23.56</v>
      </c>
    </row>
    <row r="445" spans="1:3" ht="18" x14ac:dyDescent="0.2">
      <c r="A445" s="121" t="s">
        <v>152</v>
      </c>
      <c r="B445" s="117">
        <v>300</v>
      </c>
      <c r="C445" s="117">
        <v>2.97</v>
      </c>
    </row>
    <row r="446" spans="1:3" ht="18" x14ac:dyDescent="0.2">
      <c r="A446" s="122">
        <v>46143</v>
      </c>
      <c r="B446" s="477">
        <v>9061.01</v>
      </c>
      <c r="C446" s="477">
        <v>89.58</v>
      </c>
    </row>
    <row r="447" spans="1:3" ht="18" x14ac:dyDescent="0.2">
      <c r="A447" s="121" t="s">
        <v>55</v>
      </c>
      <c r="B447" s="117">
        <v>3317.7200000000003</v>
      </c>
      <c r="C447" s="117">
        <v>32.799999999999997</v>
      </c>
    </row>
    <row r="448" spans="1:3" ht="18" x14ac:dyDescent="0.2">
      <c r="A448" s="121" t="s">
        <v>59</v>
      </c>
      <c r="B448" s="117">
        <v>5743.29</v>
      </c>
      <c r="C448" s="117">
        <v>56.78</v>
      </c>
    </row>
    <row r="449" spans="1:3" ht="18" x14ac:dyDescent="0.2">
      <c r="A449" s="122">
        <v>46142</v>
      </c>
      <c r="B449" s="477">
        <v>9046</v>
      </c>
      <c r="C449" s="477">
        <v>89.43</v>
      </c>
    </row>
    <row r="450" spans="1:3" ht="18" x14ac:dyDescent="0.2">
      <c r="A450" s="121" t="s">
        <v>53</v>
      </c>
      <c r="B450" s="117">
        <v>4046</v>
      </c>
      <c r="C450" s="117">
        <v>40</v>
      </c>
    </row>
    <row r="451" spans="1:3" ht="18" x14ac:dyDescent="0.2">
      <c r="A451" s="121" t="s">
        <v>202</v>
      </c>
      <c r="B451" s="117">
        <v>5000</v>
      </c>
      <c r="C451" s="117">
        <v>49.43</v>
      </c>
    </row>
    <row r="452" spans="1:3" ht="18" x14ac:dyDescent="0.2">
      <c r="A452" s="122">
        <v>46141</v>
      </c>
      <c r="B452" s="477">
        <v>2528.75</v>
      </c>
      <c r="C452" s="477">
        <v>25</v>
      </c>
    </row>
    <row r="453" spans="1:3" ht="18" x14ac:dyDescent="0.2">
      <c r="A453" s="121" t="s">
        <v>202</v>
      </c>
      <c r="B453" s="117">
        <v>2528.75</v>
      </c>
      <c r="C453" s="117">
        <v>25</v>
      </c>
    </row>
    <row r="454" spans="1:3" ht="18" x14ac:dyDescent="0.2">
      <c r="A454" s="122">
        <v>46140</v>
      </c>
      <c r="B454" s="477">
        <v>6993.51</v>
      </c>
      <c r="C454" s="477">
        <v>69.14</v>
      </c>
    </row>
    <row r="455" spans="1:3" ht="18" x14ac:dyDescent="0.2">
      <c r="A455" s="121" t="s">
        <v>202</v>
      </c>
      <c r="B455" s="117">
        <v>418.76</v>
      </c>
      <c r="C455" s="117">
        <v>4.1399999999999997</v>
      </c>
    </row>
    <row r="456" spans="1:3" ht="18" x14ac:dyDescent="0.2">
      <c r="A456" s="121" t="s">
        <v>55</v>
      </c>
      <c r="B456" s="117">
        <v>1011.5</v>
      </c>
      <c r="C456" s="117">
        <v>10</v>
      </c>
    </row>
    <row r="457" spans="1:3" ht="18" x14ac:dyDescent="0.2">
      <c r="A457" s="121" t="s">
        <v>103</v>
      </c>
      <c r="B457" s="117">
        <v>3540.25</v>
      </c>
      <c r="C457" s="117">
        <v>35</v>
      </c>
    </row>
    <row r="458" spans="1:3" ht="18" x14ac:dyDescent="0.2">
      <c r="A458" s="121" t="s">
        <v>59</v>
      </c>
      <c r="B458" s="117">
        <v>2023</v>
      </c>
      <c r="C458" s="117">
        <v>20</v>
      </c>
    </row>
    <row r="459" spans="1:3" ht="18" x14ac:dyDescent="0.2">
      <c r="A459" s="122">
        <v>46139</v>
      </c>
      <c r="B459" s="477">
        <v>2702.72</v>
      </c>
      <c r="C459" s="477">
        <v>26.72</v>
      </c>
    </row>
    <row r="460" spans="1:3" ht="18" x14ac:dyDescent="0.2">
      <c r="A460" s="121" t="s">
        <v>55</v>
      </c>
      <c r="B460" s="117">
        <v>2702.72</v>
      </c>
      <c r="C460" s="117">
        <v>26.72</v>
      </c>
    </row>
    <row r="461" spans="1:3" ht="18" x14ac:dyDescent="0.2">
      <c r="A461" s="122">
        <v>46138</v>
      </c>
      <c r="B461" s="477">
        <v>6997.5499999999993</v>
      </c>
      <c r="C461" s="477">
        <v>69.179999999999993</v>
      </c>
    </row>
    <row r="462" spans="1:3" ht="18" x14ac:dyDescent="0.2">
      <c r="A462" s="121" t="s">
        <v>202</v>
      </c>
      <c r="B462" s="117">
        <v>2023</v>
      </c>
      <c r="C462" s="117">
        <v>20</v>
      </c>
    </row>
    <row r="463" spans="1:3" ht="18" x14ac:dyDescent="0.2">
      <c r="A463" s="121" t="s">
        <v>55</v>
      </c>
      <c r="B463" s="117">
        <v>1696.28</v>
      </c>
      <c r="C463" s="117">
        <v>16.77</v>
      </c>
    </row>
    <row r="464" spans="1:3" ht="18" x14ac:dyDescent="0.2">
      <c r="A464" s="121" t="s">
        <v>59</v>
      </c>
      <c r="B464" s="117">
        <v>3278.27</v>
      </c>
      <c r="C464" s="117">
        <v>32.409999999999997</v>
      </c>
    </row>
    <row r="465" spans="1:3" ht="18" x14ac:dyDescent="0.2">
      <c r="A465" s="122">
        <v>46137</v>
      </c>
      <c r="B465" s="477">
        <v>20230</v>
      </c>
      <c r="C465" s="477">
        <v>200</v>
      </c>
    </row>
    <row r="466" spans="1:3" ht="18" x14ac:dyDescent="0.2">
      <c r="A466" s="121" t="s">
        <v>143</v>
      </c>
      <c r="B466" s="117">
        <v>20230</v>
      </c>
      <c r="C466" s="117">
        <v>200</v>
      </c>
    </row>
    <row r="467" spans="1:3" ht="18" x14ac:dyDescent="0.2">
      <c r="A467" s="122">
        <v>46136</v>
      </c>
      <c r="B467" s="477">
        <v>5057.5</v>
      </c>
      <c r="C467" s="477">
        <v>50</v>
      </c>
    </row>
    <row r="468" spans="1:3" ht="18" x14ac:dyDescent="0.2">
      <c r="A468" s="121" t="s">
        <v>202</v>
      </c>
      <c r="B468" s="117">
        <v>2023</v>
      </c>
      <c r="C468" s="117">
        <v>20</v>
      </c>
    </row>
    <row r="469" spans="1:3" ht="18" x14ac:dyDescent="0.2">
      <c r="A469" s="121" t="s">
        <v>55</v>
      </c>
      <c r="B469" s="117">
        <v>1011.5</v>
      </c>
      <c r="C469" s="117">
        <v>10</v>
      </c>
    </row>
    <row r="470" spans="1:3" ht="18" x14ac:dyDescent="0.2">
      <c r="A470" s="121" t="s">
        <v>59</v>
      </c>
      <c r="B470" s="117">
        <v>2023</v>
      </c>
      <c r="C470" s="117">
        <v>20</v>
      </c>
    </row>
    <row r="471" spans="1:3" ht="18" x14ac:dyDescent="0.2">
      <c r="A471" s="122">
        <v>46135</v>
      </c>
      <c r="B471" s="477">
        <v>401.15</v>
      </c>
      <c r="C471" s="477">
        <v>3.97</v>
      </c>
    </row>
    <row r="472" spans="1:3" ht="18" x14ac:dyDescent="0.2">
      <c r="A472" s="121" t="s">
        <v>56</v>
      </c>
      <c r="B472" s="117">
        <v>101.15</v>
      </c>
      <c r="C472" s="117">
        <v>1</v>
      </c>
    </row>
    <row r="473" spans="1:3" ht="18" x14ac:dyDescent="0.2">
      <c r="A473" s="121" t="s">
        <v>152</v>
      </c>
      <c r="B473" s="117">
        <v>300</v>
      </c>
      <c r="C473" s="117">
        <v>2.97</v>
      </c>
    </row>
    <row r="474" spans="1:3" ht="18" x14ac:dyDescent="0.2">
      <c r="A474" s="122">
        <v>46134</v>
      </c>
      <c r="B474" s="477">
        <v>4169.3999999999996</v>
      </c>
      <c r="C474" s="477">
        <v>41.22</v>
      </c>
    </row>
    <row r="475" spans="1:3" ht="18" x14ac:dyDescent="0.2">
      <c r="A475" s="121" t="s">
        <v>93</v>
      </c>
      <c r="B475" s="117">
        <v>2146.4</v>
      </c>
      <c r="C475" s="117">
        <v>21.22</v>
      </c>
    </row>
    <row r="476" spans="1:3" ht="18" x14ac:dyDescent="0.2">
      <c r="A476" s="121" t="s">
        <v>59</v>
      </c>
      <c r="B476" s="117">
        <v>2023</v>
      </c>
      <c r="C476" s="117">
        <v>20</v>
      </c>
    </row>
    <row r="477" spans="1:3" ht="18" x14ac:dyDescent="0.2">
      <c r="A477" s="122">
        <v>46133</v>
      </c>
      <c r="B477" s="477">
        <v>6682.9699999999993</v>
      </c>
      <c r="C477" s="477">
        <v>66.069999999999993</v>
      </c>
    </row>
    <row r="478" spans="1:3" ht="18" x14ac:dyDescent="0.2">
      <c r="A478" s="121" t="s">
        <v>202</v>
      </c>
      <c r="B478" s="117">
        <v>3000.1</v>
      </c>
      <c r="C478" s="117">
        <v>29.66</v>
      </c>
    </row>
    <row r="479" spans="1:3" ht="18" x14ac:dyDescent="0.2">
      <c r="A479" s="121" t="s">
        <v>59</v>
      </c>
      <c r="B479" s="117">
        <v>3682.87</v>
      </c>
      <c r="C479" s="117">
        <v>36.409999999999997</v>
      </c>
    </row>
    <row r="480" spans="1:3" ht="18" x14ac:dyDescent="0.2">
      <c r="A480" s="122">
        <v>46132</v>
      </c>
      <c r="B480" s="477">
        <v>7368.77</v>
      </c>
      <c r="C480" s="477">
        <v>72.849999999999994</v>
      </c>
    </row>
    <row r="481" spans="1:3" ht="18" x14ac:dyDescent="0.2">
      <c r="A481" s="121" t="s">
        <v>103</v>
      </c>
      <c r="B481" s="117">
        <v>7368.77</v>
      </c>
      <c r="C481" s="117">
        <v>72.849999999999994</v>
      </c>
    </row>
    <row r="482" spans="1:3" ht="18" x14ac:dyDescent="0.2">
      <c r="A482" s="122">
        <v>46131</v>
      </c>
      <c r="B482" s="477">
        <v>7080.5</v>
      </c>
      <c r="C482" s="477">
        <v>70</v>
      </c>
    </row>
    <row r="483" spans="1:3" ht="18" x14ac:dyDescent="0.2">
      <c r="A483" s="121" t="s">
        <v>184</v>
      </c>
      <c r="B483" s="117">
        <v>5057.5</v>
      </c>
      <c r="C483" s="117">
        <v>50</v>
      </c>
    </row>
    <row r="484" spans="1:3" ht="18" x14ac:dyDescent="0.2">
      <c r="A484" s="121" t="s">
        <v>59</v>
      </c>
      <c r="B484" s="117">
        <v>2023</v>
      </c>
      <c r="C484" s="117">
        <v>20</v>
      </c>
    </row>
    <row r="485" spans="1:3" ht="18" x14ac:dyDescent="0.2">
      <c r="A485" s="122">
        <v>46130</v>
      </c>
      <c r="B485" s="477">
        <v>4147.1499999999996</v>
      </c>
      <c r="C485" s="477">
        <v>41</v>
      </c>
    </row>
    <row r="486" spans="1:3" ht="18" x14ac:dyDescent="0.2">
      <c r="A486" s="121" t="s">
        <v>53</v>
      </c>
      <c r="B486" s="117">
        <v>4147.1499999999996</v>
      </c>
      <c r="C486" s="117">
        <v>41</v>
      </c>
    </row>
    <row r="487" spans="1:3" ht="18" x14ac:dyDescent="0.2">
      <c r="A487" s="122">
        <v>46129</v>
      </c>
      <c r="B487" s="477">
        <v>2920.2</v>
      </c>
      <c r="C487" s="477">
        <v>28.87</v>
      </c>
    </row>
    <row r="488" spans="1:3" ht="18" x14ac:dyDescent="0.2">
      <c r="A488" s="121" t="s">
        <v>202</v>
      </c>
      <c r="B488" s="117">
        <v>2920.2</v>
      </c>
      <c r="C488" s="117">
        <v>28.87</v>
      </c>
    </row>
    <row r="489" spans="1:3" ht="18" x14ac:dyDescent="0.2">
      <c r="A489" s="122">
        <v>46128</v>
      </c>
      <c r="B489" s="477">
        <v>4522.41</v>
      </c>
      <c r="C489" s="477">
        <v>44.71</v>
      </c>
    </row>
    <row r="490" spans="1:3" ht="18" x14ac:dyDescent="0.2">
      <c r="A490" s="121" t="s">
        <v>202</v>
      </c>
      <c r="B490" s="117">
        <v>2499.41</v>
      </c>
      <c r="C490" s="117">
        <v>24.71</v>
      </c>
    </row>
    <row r="491" spans="1:3" ht="18" x14ac:dyDescent="0.2">
      <c r="A491" s="121" t="s">
        <v>59</v>
      </c>
      <c r="B491" s="117">
        <v>2023</v>
      </c>
      <c r="C491" s="117">
        <v>20</v>
      </c>
    </row>
    <row r="492" spans="1:3" ht="18" x14ac:dyDescent="0.2">
      <c r="A492" s="122">
        <v>46127</v>
      </c>
      <c r="B492" s="477">
        <v>8558.2900000000009</v>
      </c>
      <c r="C492" s="477">
        <v>84.61</v>
      </c>
    </row>
    <row r="493" spans="1:3" ht="18" x14ac:dyDescent="0.2">
      <c r="A493" s="121" t="s">
        <v>53</v>
      </c>
      <c r="B493" s="117">
        <v>5057.5</v>
      </c>
      <c r="C493" s="117">
        <v>50</v>
      </c>
    </row>
    <row r="494" spans="1:3" ht="18" x14ac:dyDescent="0.2">
      <c r="A494" s="121" t="s">
        <v>55</v>
      </c>
      <c r="B494" s="117">
        <v>390.43</v>
      </c>
      <c r="C494" s="117">
        <v>3.86</v>
      </c>
    </row>
    <row r="495" spans="1:3" ht="18" x14ac:dyDescent="0.2">
      <c r="A495" s="121" t="s">
        <v>103</v>
      </c>
      <c r="B495" s="117">
        <v>3110.36</v>
      </c>
      <c r="C495" s="117">
        <v>30.75</v>
      </c>
    </row>
    <row r="496" spans="1:3" ht="18" x14ac:dyDescent="0.2">
      <c r="A496" s="122">
        <v>46126</v>
      </c>
      <c r="B496" s="477">
        <v>4976.58</v>
      </c>
      <c r="C496" s="477">
        <v>49.2</v>
      </c>
    </row>
    <row r="497" spans="1:3" ht="18" x14ac:dyDescent="0.2">
      <c r="A497" s="121" t="s">
        <v>55</v>
      </c>
      <c r="B497" s="117">
        <v>303.45</v>
      </c>
      <c r="C497" s="117">
        <v>3</v>
      </c>
    </row>
    <row r="498" spans="1:3" ht="18" x14ac:dyDescent="0.2">
      <c r="A498" s="121" t="s">
        <v>93</v>
      </c>
      <c r="B498" s="117">
        <v>2650.13</v>
      </c>
      <c r="C498" s="117">
        <v>26.2</v>
      </c>
    </row>
    <row r="499" spans="1:3" ht="18" x14ac:dyDescent="0.2">
      <c r="A499" s="121" t="s">
        <v>59</v>
      </c>
      <c r="B499" s="117">
        <v>2023</v>
      </c>
      <c r="C499" s="117">
        <v>20</v>
      </c>
    </row>
    <row r="500" spans="1:3" ht="18" x14ac:dyDescent="0.2">
      <c r="A500" s="122">
        <v>46125</v>
      </c>
      <c r="B500" s="477">
        <v>4748.3</v>
      </c>
      <c r="C500" s="477">
        <v>46.94</v>
      </c>
    </row>
    <row r="501" spans="1:3" ht="18" x14ac:dyDescent="0.2">
      <c r="A501" s="121" t="s">
        <v>53</v>
      </c>
      <c r="B501" s="117">
        <v>3236.8</v>
      </c>
      <c r="C501" s="117">
        <v>32</v>
      </c>
    </row>
    <row r="502" spans="1:3" ht="18" x14ac:dyDescent="0.2">
      <c r="A502" s="121" t="s">
        <v>55</v>
      </c>
      <c r="B502" s="117">
        <v>1011.5</v>
      </c>
      <c r="C502" s="117">
        <v>10</v>
      </c>
    </row>
    <row r="503" spans="1:3" ht="18" x14ac:dyDescent="0.2">
      <c r="A503" s="121" t="s">
        <v>152</v>
      </c>
      <c r="B503" s="117">
        <v>500</v>
      </c>
      <c r="C503" s="117">
        <v>4.9400000000000004</v>
      </c>
    </row>
    <row r="504" spans="1:3" ht="18" x14ac:dyDescent="0.2">
      <c r="A504" s="122">
        <v>46124</v>
      </c>
      <c r="B504" s="477">
        <v>5563.25</v>
      </c>
      <c r="C504" s="477">
        <v>55</v>
      </c>
    </row>
    <row r="505" spans="1:3" ht="18" x14ac:dyDescent="0.2">
      <c r="A505" s="121" t="s">
        <v>202</v>
      </c>
      <c r="B505" s="117">
        <v>2023</v>
      </c>
      <c r="C505" s="117">
        <v>20</v>
      </c>
    </row>
    <row r="506" spans="1:3" ht="18" x14ac:dyDescent="0.2">
      <c r="A506" s="121" t="s">
        <v>55</v>
      </c>
      <c r="B506" s="117">
        <v>1517.25</v>
      </c>
      <c r="C506" s="117">
        <v>15</v>
      </c>
    </row>
    <row r="507" spans="1:3" ht="18" x14ac:dyDescent="0.2">
      <c r="A507" s="121" t="s">
        <v>59</v>
      </c>
      <c r="B507" s="117">
        <v>2023</v>
      </c>
      <c r="C507" s="117">
        <v>20</v>
      </c>
    </row>
    <row r="508" spans="1:3" ht="18" x14ac:dyDescent="0.2">
      <c r="A508" s="122">
        <v>46123</v>
      </c>
      <c r="B508" s="477">
        <v>3780.71</v>
      </c>
      <c r="C508" s="477">
        <v>37.379999999999995</v>
      </c>
    </row>
    <row r="509" spans="1:3" ht="18" x14ac:dyDescent="0.2">
      <c r="A509" s="121" t="s">
        <v>59</v>
      </c>
      <c r="B509" s="117">
        <v>3580.71</v>
      </c>
      <c r="C509" s="117">
        <v>35.4</v>
      </c>
    </row>
    <row r="510" spans="1:3" ht="18" x14ac:dyDescent="0.2">
      <c r="A510" s="121" t="s">
        <v>152</v>
      </c>
      <c r="B510" s="117">
        <v>200</v>
      </c>
      <c r="C510" s="117">
        <v>1.98</v>
      </c>
    </row>
    <row r="511" spans="1:3" ht="18" x14ac:dyDescent="0.2">
      <c r="A511" s="122">
        <v>46122</v>
      </c>
      <c r="B511" s="477">
        <v>7070.38</v>
      </c>
      <c r="C511" s="477">
        <v>69.900000000000006</v>
      </c>
    </row>
    <row r="512" spans="1:3" ht="18" x14ac:dyDescent="0.2">
      <c r="A512" s="121" t="s">
        <v>55</v>
      </c>
      <c r="B512" s="117">
        <v>1517.25</v>
      </c>
      <c r="C512" s="117">
        <v>15</v>
      </c>
    </row>
    <row r="513" spans="1:3" ht="18" x14ac:dyDescent="0.2">
      <c r="A513" s="121" t="s">
        <v>103</v>
      </c>
      <c r="B513" s="117">
        <v>3530.13</v>
      </c>
      <c r="C513" s="117">
        <v>34.9</v>
      </c>
    </row>
    <row r="514" spans="1:3" ht="18" x14ac:dyDescent="0.2">
      <c r="A514" s="121" t="s">
        <v>59</v>
      </c>
      <c r="B514" s="117">
        <v>2023</v>
      </c>
      <c r="C514" s="117">
        <v>20</v>
      </c>
    </row>
    <row r="515" spans="1:3" ht="18" x14ac:dyDescent="0.2">
      <c r="A515" s="122">
        <v>46121</v>
      </c>
      <c r="B515" s="477">
        <v>1011.5</v>
      </c>
      <c r="C515" s="477">
        <v>10</v>
      </c>
    </row>
    <row r="516" spans="1:3" ht="18" x14ac:dyDescent="0.2">
      <c r="A516" s="121" t="s">
        <v>55</v>
      </c>
      <c r="B516" s="117">
        <v>1011.5</v>
      </c>
      <c r="C516" s="117">
        <v>10</v>
      </c>
    </row>
    <row r="517" spans="1:3" ht="18" x14ac:dyDescent="0.2">
      <c r="A517" s="122">
        <v>46120</v>
      </c>
      <c r="B517" s="477">
        <v>13849.44</v>
      </c>
      <c r="C517" s="477">
        <v>136.92000000000002</v>
      </c>
    </row>
    <row r="518" spans="1:3" ht="18" x14ac:dyDescent="0.2">
      <c r="A518" s="121" t="s">
        <v>202</v>
      </c>
      <c r="B518" s="117">
        <v>400.55</v>
      </c>
      <c r="C518" s="117">
        <v>3.96</v>
      </c>
    </row>
    <row r="519" spans="1:3" ht="18" x14ac:dyDescent="0.2">
      <c r="A519" s="121" t="s">
        <v>55</v>
      </c>
      <c r="B519" s="117">
        <v>4365.63</v>
      </c>
      <c r="C519" s="117">
        <v>43.16</v>
      </c>
    </row>
    <row r="520" spans="1:3" ht="18" x14ac:dyDescent="0.2">
      <c r="A520" s="121" t="s">
        <v>56</v>
      </c>
      <c r="B520" s="117">
        <v>505.75</v>
      </c>
      <c r="C520" s="117">
        <v>5</v>
      </c>
    </row>
    <row r="521" spans="1:3" ht="18" x14ac:dyDescent="0.2">
      <c r="A521" s="121" t="s">
        <v>103</v>
      </c>
      <c r="B521" s="117">
        <v>3519</v>
      </c>
      <c r="C521" s="117">
        <v>34.79</v>
      </c>
    </row>
    <row r="522" spans="1:3" ht="18" x14ac:dyDescent="0.2">
      <c r="A522" s="121" t="s">
        <v>137</v>
      </c>
      <c r="B522" s="117">
        <v>3035.51</v>
      </c>
      <c r="C522" s="117">
        <v>30.01</v>
      </c>
    </row>
    <row r="523" spans="1:3" ht="18" x14ac:dyDescent="0.2">
      <c r="A523" s="121" t="s">
        <v>59</v>
      </c>
      <c r="B523" s="117">
        <v>2023</v>
      </c>
      <c r="C523" s="117">
        <v>20</v>
      </c>
    </row>
    <row r="524" spans="1:3" ht="18" x14ac:dyDescent="0.2">
      <c r="A524" s="122">
        <v>46119</v>
      </c>
      <c r="B524" s="477">
        <v>2023</v>
      </c>
      <c r="C524" s="477">
        <v>20</v>
      </c>
    </row>
    <row r="525" spans="1:3" ht="18" x14ac:dyDescent="0.2">
      <c r="A525" s="121" t="s">
        <v>202</v>
      </c>
      <c r="B525" s="117">
        <v>2023</v>
      </c>
      <c r="C525" s="117">
        <v>20</v>
      </c>
    </row>
    <row r="526" spans="1:3" ht="18" x14ac:dyDescent="0.2">
      <c r="A526" s="122">
        <v>46117</v>
      </c>
      <c r="B526" s="477">
        <v>2023</v>
      </c>
      <c r="C526" s="477">
        <v>20</v>
      </c>
    </row>
    <row r="527" spans="1:3" ht="18" x14ac:dyDescent="0.2">
      <c r="A527" s="121" t="s">
        <v>59</v>
      </c>
      <c r="B527" s="117">
        <v>2023</v>
      </c>
      <c r="C527" s="117">
        <v>20</v>
      </c>
    </row>
    <row r="528" spans="1:3" ht="18" x14ac:dyDescent="0.2">
      <c r="A528" s="122">
        <v>46116</v>
      </c>
      <c r="B528" s="477">
        <v>505.75</v>
      </c>
      <c r="C528" s="477">
        <v>5</v>
      </c>
    </row>
    <row r="529" spans="1:3" ht="18" x14ac:dyDescent="0.2">
      <c r="A529" s="121" t="s">
        <v>55</v>
      </c>
      <c r="B529" s="117">
        <v>202.3</v>
      </c>
      <c r="C529" s="117">
        <v>2</v>
      </c>
    </row>
    <row r="530" spans="1:3" ht="18" x14ac:dyDescent="0.2">
      <c r="A530" s="121" t="s">
        <v>56</v>
      </c>
      <c r="B530" s="117">
        <v>303.45</v>
      </c>
      <c r="C530" s="117">
        <v>3</v>
      </c>
    </row>
    <row r="531" spans="1:3" ht="18" x14ac:dyDescent="0.2">
      <c r="A531" s="122">
        <v>46115</v>
      </c>
      <c r="B531" s="477">
        <v>22690.97</v>
      </c>
      <c r="C531" s="477">
        <v>224.33</v>
      </c>
    </row>
    <row r="532" spans="1:3" ht="18" x14ac:dyDescent="0.2">
      <c r="A532" s="121" t="s">
        <v>55</v>
      </c>
      <c r="B532" s="117">
        <v>437.97</v>
      </c>
      <c r="C532" s="117">
        <v>4.33</v>
      </c>
    </row>
    <row r="533" spans="1:3" ht="18" x14ac:dyDescent="0.2">
      <c r="A533" s="121" t="s">
        <v>143</v>
      </c>
      <c r="B533" s="117">
        <v>20230</v>
      </c>
      <c r="C533" s="117">
        <v>200</v>
      </c>
    </row>
    <row r="534" spans="1:3" ht="18" x14ac:dyDescent="0.2">
      <c r="A534" s="121" t="s">
        <v>59</v>
      </c>
      <c r="B534" s="117">
        <v>2023</v>
      </c>
      <c r="C534" s="117">
        <v>20</v>
      </c>
    </row>
    <row r="535" spans="1:3" ht="18" x14ac:dyDescent="0.2">
      <c r="A535" s="122">
        <v>46114</v>
      </c>
      <c r="B535" s="477">
        <v>9594.07</v>
      </c>
      <c r="C535" s="477">
        <v>94.85</v>
      </c>
    </row>
    <row r="536" spans="1:3" ht="18" x14ac:dyDescent="0.2">
      <c r="A536" s="121" t="s">
        <v>55</v>
      </c>
      <c r="B536" s="117">
        <v>5815.1100000000006</v>
      </c>
      <c r="C536" s="117">
        <v>57.49</v>
      </c>
    </row>
    <row r="537" spans="1:3" ht="18" x14ac:dyDescent="0.2">
      <c r="A537" s="121" t="s">
        <v>103</v>
      </c>
      <c r="B537" s="117">
        <v>3778.96</v>
      </c>
      <c r="C537" s="117">
        <v>37.36</v>
      </c>
    </row>
    <row r="538" spans="1:3" ht="18" x14ac:dyDescent="0.2">
      <c r="A538" s="122">
        <v>46113</v>
      </c>
      <c r="B538" s="477">
        <v>1517.25</v>
      </c>
      <c r="C538" s="477">
        <v>15</v>
      </c>
    </row>
    <row r="539" spans="1:3" ht="18" x14ac:dyDescent="0.2">
      <c r="A539" s="121" t="s">
        <v>55</v>
      </c>
      <c r="B539" s="117">
        <v>1517.25</v>
      </c>
      <c r="C539" s="117">
        <v>15</v>
      </c>
    </row>
    <row r="540" spans="1:3" ht="18" x14ac:dyDescent="0.2">
      <c r="A540" s="123" t="s">
        <v>9</v>
      </c>
      <c r="B540" s="117">
        <v>3316492</v>
      </c>
      <c r="C540" s="117">
        <v>30626.76999999999</v>
      </c>
    </row>
  </sheetData>
  <sheetProtection formatCells="0" formatColumns="0" formatRows="0" insertRows="0" deleteRows="0" sort="0" autoFilter="0"/>
  <hyperlinks>
    <hyperlink ref="K1" location="Index!A1" display="→ Index" xr:uid="{A581C2CC-835F-0D4A-A2DF-1F307F52A34A}"/>
  </hyperlinks>
  <printOptions horizontalCentered="1"/>
  <pageMargins left="0.7" right="0.7" top="0.75" bottom="0.75" header="0.3" footer="0.5"/>
  <pageSetup paperSize="9" scale="87" orientation="portrait" horizontalDpi="0" verticalDpi="0"/>
  <legacyDrawingHF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3A30-51E2-604F-9BF3-D160BC9F1A50}">
  <sheetPr codeName="Sheet27"/>
  <dimension ref="A1:N580"/>
  <sheetViews>
    <sheetView zoomScale="180" zoomScaleNormal="180" workbookViewId="0">
      <pane ySplit="1" topLeftCell="A2" activePane="bottomLeft" state="frozen"/>
      <selection pane="bottomLeft" activeCell="L9" sqref="L9"/>
    </sheetView>
  </sheetViews>
  <sheetFormatPr baseColWidth="10" defaultColWidth="10.83203125" defaultRowHeight="16" x14ac:dyDescent="0.2"/>
  <cols>
    <col min="1" max="1" width="10.83203125" style="1"/>
    <col min="3" max="3" width="14.6640625" customWidth="1"/>
    <col min="7" max="7" width="33.83203125" customWidth="1"/>
    <col min="12" max="12" width="34.83203125" bestFit="1" customWidth="1"/>
    <col min="13" max="13" width="15.5" bestFit="1" customWidth="1"/>
    <col min="14" max="14" width="15" bestFit="1" customWidth="1"/>
  </cols>
  <sheetData>
    <row r="1" spans="1:14" x14ac:dyDescent="0.2">
      <c r="A1" s="134" t="s">
        <v>6</v>
      </c>
      <c r="B1" s="135" t="s">
        <v>0</v>
      </c>
      <c r="C1" s="135" t="s">
        <v>1</v>
      </c>
      <c r="D1" s="136" t="s">
        <v>2</v>
      </c>
      <c r="E1" s="135" t="s">
        <v>3</v>
      </c>
      <c r="F1" s="136" t="s">
        <v>4</v>
      </c>
      <c r="G1" s="137" t="s">
        <v>5</v>
      </c>
      <c r="H1" s="17"/>
      <c r="I1" s="17"/>
      <c r="J1" s="17"/>
      <c r="K1" s="18" t="s">
        <v>1288</v>
      </c>
      <c r="L1" s="17"/>
      <c r="M1" s="17"/>
      <c r="N1" s="17"/>
    </row>
    <row r="2" spans="1:14" x14ac:dyDescent="0.2">
      <c r="A2" s="92">
        <v>46165</v>
      </c>
      <c r="B2" s="94" t="s">
        <v>1072</v>
      </c>
      <c r="C2" s="94" t="s">
        <v>1061</v>
      </c>
      <c r="D2" s="95">
        <v>1000</v>
      </c>
      <c r="E2" s="95">
        <v>103.46</v>
      </c>
      <c r="F2" s="104">
        <v>103460</v>
      </c>
      <c r="G2" s="97" t="s">
        <v>1073</v>
      </c>
      <c r="H2" s="17"/>
      <c r="I2" s="17"/>
      <c r="J2" s="17"/>
      <c r="K2" s="17"/>
      <c r="L2" s="138" t="s">
        <v>22</v>
      </c>
      <c r="M2" s="138" t="s">
        <v>10</v>
      </c>
      <c r="N2" s="138" t="s">
        <v>11</v>
      </c>
    </row>
    <row r="3" spans="1:14" x14ac:dyDescent="0.2">
      <c r="A3" s="92">
        <v>46167</v>
      </c>
      <c r="B3" s="94" t="s">
        <v>1096</v>
      </c>
      <c r="C3" s="94" t="s">
        <v>50</v>
      </c>
      <c r="D3" s="95">
        <v>2500</v>
      </c>
      <c r="E3" s="95">
        <v>106.34</v>
      </c>
      <c r="F3" s="104">
        <v>265850</v>
      </c>
      <c r="G3" s="97" t="s">
        <v>1073</v>
      </c>
      <c r="H3" s="17"/>
      <c r="I3" s="17"/>
      <c r="J3" s="17"/>
      <c r="K3" s="17"/>
      <c r="L3" s="139" t="s">
        <v>8</v>
      </c>
      <c r="M3" s="464"/>
      <c r="N3" s="464"/>
    </row>
    <row r="4" spans="1:14" x14ac:dyDescent="0.2">
      <c r="A4" s="92">
        <v>46174</v>
      </c>
      <c r="B4" s="94" t="s">
        <v>1272</v>
      </c>
      <c r="C4" s="94" t="s">
        <v>1274</v>
      </c>
      <c r="D4" s="95">
        <v>20</v>
      </c>
      <c r="E4" s="95">
        <v>106.34</v>
      </c>
      <c r="F4" s="104">
        <v>2126.8000000000002</v>
      </c>
      <c r="G4" s="97" t="s">
        <v>256</v>
      </c>
      <c r="H4" s="17"/>
      <c r="I4" s="17"/>
      <c r="J4" s="17"/>
      <c r="K4" s="17"/>
      <c r="L4" s="140" t="s">
        <v>8</v>
      </c>
      <c r="M4" s="464"/>
      <c r="N4" s="464"/>
    </row>
    <row r="5" spans="1:14" x14ac:dyDescent="0.2">
      <c r="A5" s="92">
        <v>46174</v>
      </c>
      <c r="B5" s="94" t="s">
        <v>1273</v>
      </c>
      <c r="C5" s="94" t="s">
        <v>1275</v>
      </c>
      <c r="D5" s="95">
        <v>40</v>
      </c>
      <c r="E5" s="95">
        <v>106.34</v>
      </c>
      <c r="F5" s="104">
        <v>4253.6000000000004</v>
      </c>
      <c r="G5" s="97" t="s">
        <v>256</v>
      </c>
      <c r="H5" s="17"/>
      <c r="I5" s="17"/>
      <c r="J5" s="17"/>
      <c r="K5" s="17"/>
      <c r="L5" s="141">
        <v>46224</v>
      </c>
      <c r="M5" s="464">
        <v>2.82</v>
      </c>
      <c r="N5" s="464">
        <v>300</v>
      </c>
    </row>
    <row r="6" spans="1:14" x14ac:dyDescent="0.2">
      <c r="A6" s="92">
        <v>46214</v>
      </c>
      <c r="B6" s="101" t="s">
        <v>2716</v>
      </c>
      <c r="C6" s="94"/>
      <c r="D6" s="95">
        <v>37.619999999999997</v>
      </c>
      <c r="E6" s="95">
        <v>106.34</v>
      </c>
      <c r="F6" s="104">
        <v>4000</v>
      </c>
      <c r="G6" s="97" t="s">
        <v>2450</v>
      </c>
      <c r="H6" s="17"/>
      <c r="I6" s="17"/>
      <c r="J6" s="17"/>
      <c r="K6" s="17"/>
      <c r="L6" s="140" t="s">
        <v>2450</v>
      </c>
      <c r="M6" s="464">
        <v>2.82</v>
      </c>
      <c r="N6" s="464">
        <v>300</v>
      </c>
    </row>
    <row r="7" spans="1:14" x14ac:dyDescent="0.2">
      <c r="A7" s="92">
        <v>46216</v>
      </c>
      <c r="B7" s="101" t="s">
        <v>2773</v>
      </c>
      <c r="C7" s="94"/>
      <c r="D7" s="95">
        <v>18.809999999999999</v>
      </c>
      <c r="E7" s="95">
        <v>106.34</v>
      </c>
      <c r="F7" s="104">
        <v>2000</v>
      </c>
      <c r="G7" s="97" t="s">
        <v>2450</v>
      </c>
      <c r="H7" s="17"/>
      <c r="I7" s="17"/>
      <c r="J7" s="17"/>
      <c r="K7" s="17"/>
      <c r="L7" s="141">
        <v>46216</v>
      </c>
      <c r="M7" s="464">
        <v>18.809999999999999</v>
      </c>
      <c r="N7" s="464">
        <v>2000</v>
      </c>
    </row>
    <row r="8" spans="1:14" x14ac:dyDescent="0.2">
      <c r="A8" s="92">
        <v>46224</v>
      </c>
      <c r="B8" s="101" t="s">
        <v>2982</v>
      </c>
      <c r="C8" s="94"/>
      <c r="D8" s="95">
        <v>2.82</v>
      </c>
      <c r="E8" s="95">
        <v>106.34</v>
      </c>
      <c r="F8" s="104">
        <v>300</v>
      </c>
      <c r="G8" s="97" t="s">
        <v>2450</v>
      </c>
      <c r="H8" s="17"/>
      <c r="I8" s="17"/>
      <c r="J8" s="17"/>
      <c r="K8" s="17"/>
      <c r="L8" s="140" t="s">
        <v>2450</v>
      </c>
      <c r="M8" s="464">
        <v>18.809999999999999</v>
      </c>
      <c r="N8" s="464">
        <v>2000</v>
      </c>
    </row>
    <row r="9" spans="1:14" x14ac:dyDescent="0.2">
      <c r="A9" s="92">
        <v>46261</v>
      </c>
      <c r="B9" s="101" t="s">
        <v>4053</v>
      </c>
      <c r="C9" s="94"/>
      <c r="D9" s="95">
        <v>33.39</v>
      </c>
      <c r="E9" s="95">
        <v>106.34</v>
      </c>
      <c r="F9" s="104">
        <v>3550</v>
      </c>
      <c r="G9" s="97" t="s">
        <v>2450</v>
      </c>
      <c r="H9" s="17"/>
      <c r="I9" s="17"/>
      <c r="J9" s="17"/>
      <c r="K9" s="17"/>
      <c r="L9" s="141">
        <v>46214</v>
      </c>
      <c r="M9" s="464">
        <v>37.619999999999997</v>
      </c>
      <c r="N9" s="464">
        <v>4000</v>
      </c>
    </row>
    <row r="10" spans="1:14" x14ac:dyDescent="0.2">
      <c r="A10" s="92"/>
      <c r="B10" s="94"/>
      <c r="C10" s="94"/>
      <c r="D10" s="95"/>
      <c r="E10" s="95"/>
      <c r="F10" s="104"/>
      <c r="G10" s="97"/>
      <c r="H10" s="17"/>
      <c r="I10" s="17"/>
      <c r="J10" s="17"/>
      <c r="K10" s="17"/>
      <c r="L10" s="140" t="s">
        <v>2450</v>
      </c>
      <c r="M10" s="464">
        <v>37.619999999999997</v>
      </c>
      <c r="N10" s="464">
        <v>4000</v>
      </c>
    </row>
    <row r="11" spans="1:14" x14ac:dyDescent="0.2">
      <c r="A11" s="92"/>
      <c r="B11" s="94"/>
      <c r="C11" s="94"/>
      <c r="D11" s="95"/>
      <c r="E11" s="95"/>
      <c r="F11" s="104"/>
      <c r="G11" s="97"/>
      <c r="H11" s="17"/>
      <c r="I11" s="17"/>
      <c r="J11" s="17"/>
      <c r="K11" s="17"/>
      <c r="L11" s="141">
        <v>46174</v>
      </c>
      <c r="M11" s="464">
        <v>60</v>
      </c>
      <c r="N11" s="464">
        <v>6380.4000000000005</v>
      </c>
    </row>
    <row r="12" spans="1:14" x14ac:dyDescent="0.2">
      <c r="A12" s="92"/>
      <c r="B12" s="94"/>
      <c r="C12" s="94"/>
      <c r="D12" s="95"/>
      <c r="E12" s="95"/>
      <c r="F12" s="104"/>
      <c r="G12" s="97"/>
      <c r="H12" s="17"/>
      <c r="I12" s="17"/>
      <c r="J12" s="17"/>
      <c r="K12" s="17"/>
      <c r="L12" s="140" t="s">
        <v>256</v>
      </c>
      <c r="M12" s="464">
        <v>60</v>
      </c>
      <c r="N12" s="464">
        <v>6380.4000000000005</v>
      </c>
    </row>
    <row r="13" spans="1:14" x14ac:dyDescent="0.2">
      <c r="A13" s="92"/>
      <c r="B13" s="94"/>
      <c r="C13" s="94"/>
      <c r="D13" s="95"/>
      <c r="E13" s="95"/>
      <c r="F13" s="104"/>
      <c r="G13" s="97"/>
      <c r="H13" s="17"/>
      <c r="I13" s="17"/>
      <c r="J13" s="17"/>
      <c r="K13" s="17"/>
      <c r="L13" s="141">
        <v>46167</v>
      </c>
      <c r="M13" s="464">
        <v>2500</v>
      </c>
      <c r="N13" s="464">
        <v>265850</v>
      </c>
    </row>
    <row r="14" spans="1:14" x14ac:dyDescent="0.2">
      <c r="A14" s="92"/>
      <c r="B14" s="94"/>
      <c r="C14" s="94"/>
      <c r="D14" s="95"/>
      <c r="E14" s="95"/>
      <c r="F14" s="104"/>
      <c r="G14" s="97"/>
      <c r="H14" s="17"/>
      <c r="I14" s="17"/>
      <c r="J14" s="17"/>
      <c r="K14" s="17"/>
      <c r="L14" s="140" t="s">
        <v>1073</v>
      </c>
      <c r="M14" s="464">
        <v>2500</v>
      </c>
      <c r="N14" s="464">
        <v>265850</v>
      </c>
    </row>
    <row r="15" spans="1:14" x14ac:dyDescent="0.2">
      <c r="A15" s="92"/>
      <c r="B15" s="94"/>
      <c r="C15" s="94"/>
      <c r="D15" s="95"/>
      <c r="E15" s="95"/>
      <c r="F15" s="104"/>
      <c r="G15" s="97"/>
      <c r="H15" s="17"/>
      <c r="I15" s="17"/>
      <c r="J15" s="17"/>
      <c r="K15" s="17"/>
      <c r="L15" s="141">
        <v>46165</v>
      </c>
      <c r="M15" s="464">
        <v>1000</v>
      </c>
      <c r="N15" s="464">
        <v>103460</v>
      </c>
    </row>
    <row r="16" spans="1:14" x14ac:dyDescent="0.2">
      <c r="A16" s="92"/>
      <c r="B16" s="94"/>
      <c r="C16" s="94"/>
      <c r="D16" s="95"/>
      <c r="E16" s="95"/>
      <c r="F16" s="104"/>
      <c r="G16" s="97"/>
      <c r="H16" s="17"/>
      <c r="I16" s="17"/>
      <c r="J16" s="17"/>
      <c r="K16" s="17"/>
      <c r="L16" s="140" t="s">
        <v>1073</v>
      </c>
      <c r="M16" s="464">
        <v>1000</v>
      </c>
      <c r="N16" s="464">
        <v>103460</v>
      </c>
    </row>
    <row r="17" spans="1:14" x14ac:dyDescent="0.2">
      <c r="A17" s="92"/>
      <c r="B17" s="94"/>
      <c r="C17" s="94"/>
      <c r="D17" s="95"/>
      <c r="E17" s="95"/>
      <c r="F17" s="104"/>
      <c r="G17" s="97"/>
      <c r="H17" s="17"/>
      <c r="I17" s="17"/>
      <c r="J17" s="17"/>
      <c r="K17" s="17"/>
      <c r="L17" s="139" t="s">
        <v>13</v>
      </c>
      <c r="M17" s="464"/>
      <c r="N17" s="464"/>
    </row>
    <row r="18" spans="1:14" x14ac:dyDescent="0.2">
      <c r="A18" s="99"/>
      <c r="B18" s="94"/>
      <c r="C18" s="94"/>
      <c r="D18" s="95"/>
      <c r="E18" s="95"/>
      <c r="F18" s="104"/>
      <c r="G18" s="97"/>
      <c r="H18" s="17"/>
      <c r="I18" s="17"/>
      <c r="J18" s="17"/>
      <c r="K18" s="17"/>
      <c r="L18" s="140" t="s">
        <v>8</v>
      </c>
      <c r="M18" s="464"/>
      <c r="N18" s="464"/>
    </row>
    <row r="19" spans="1:14" x14ac:dyDescent="0.2">
      <c r="A19" s="99"/>
      <c r="B19" s="94"/>
      <c r="C19" s="94"/>
      <c r="D19" s="95"/>
      <c r="E19" s="95"/>
      <c r="F19" s="104"/>
      <c r="G19" s="97"/>
      <c r="H19" s="17"/>
      <c r="I19" s="17"/>
      <c r="J19" s="17"/>
      <c r="K19" s="17"/>
      <c r="L19" s="139" t="s">
        <v>9</v>
      </c>
      <c r="M19" s="464">
        <v>3619.25</v>
      </c>
      <c r="N19" s="464">
        <v>381990.40000000002</v>
      </c>
    </row>
    <row r="20" spans="1:14" x14ac:dyDescent="0.2">
      <c r="A20" s="99"/>
      <c r="B20" s="94"/>
      <c r="C20" s="94"/>
      <c r="D20" s="95"/>
      <c r="E20" s="95"/>
      <c r="F20" s="104"/>
      <c r="G20" s="97"/>
      <c r="H20" s="17"/>
      <c r="I20" s="17"/>
      <c r="J20" s="17"/>
      <c r="K20" s="17"/>
      <c r="L20" s="17"/>
      <c r="M20" s="17"/>
      <c r="N20" s="17"/>
    </row>
    <row r="21" spans="1:14" x14ac:dyDescent="0.2">
      <c r="A21" s="99"/>
      <c r="B21" s="94"/>
      <c r="C21" s="94"/>
      <c r="D21" s="95"/>
      <c r="E21" s="95"/>
      <c r="F21" s="104"/>
      <c r="G21" s="97"/>
      <c r="H21" s="17"/>
      <c r="I21" s="17"/>
      <c r="J21" s="17"/>
      <c r="K21" s="17"/>
      <c r="L21" s="17"/>
      <c r="M21" s="17"/>
      <c r="N21" s="17"/>
    </row>
    <row r="22" spans="1:14" x14ac:dyDescent="0.2">
      <c r="A22" s="99"/>
      <c r="B22" s="94"/>
      <c r="C22" s="101"/>
      <c r="D22" s="95"/>
      <c r="E22" s="95"/>
      <c r="F22" s="104"/>
      <c r="G22" s="97"/>
      <c r="H22" s="17"/>
      <c r="I22" s="17"/>
      <c r="J22" s="17"/>
      <c r="K22" s="17"/>
      <c r="L22" s="17"/>
      <c r="M22" s="17"/>
      <c r="N22" s="17"/>
    </row>
    <row r="23" spans="1:14" x14ac:dyDescent="0.2">
      <c r="A23" s="99"/>
      <c r="B23" s="94"/>
      <c r="C23" s="101"/>
      <c r="D23" s="95"/>
      <c r="E23" s="95"/>
      <c r="F23" s="104"/>
      <c r="G23" s="97"/>
      <c r="H23" s="17"/>
      <c r="I23" s="17"/>
      <c r="J23" s="17"/>
      <c r="K23" s="17"/>
      <c r="L23" s="17"/>
      <c r="M23" s="17"/>
      <c r="N23" s="17"/>
    </row>
    <row r="24" spans="1:14" x14ac:dyDescent="0.2">
      <c r="A24" s="99"/>
      <c r="B24" s="94"/>
      <c r="C24" s="101"/>
      <c r="D24" s="95"/>
      <c r="E24" s="95"/>
      <c r="F24" s="104"/>
      <c r="G24" s="97"/>
      <c r="H24" s="17"/>
      <c r="I24" s="17"/>
      <c r="J24" s="17"/>
      <c r="K24" s="17"/>
      <c r="L24" s="17"/>
      <c r="M24" s="17"/>
      <c r="N24" s="17"/>
    </row>
    <row r="25" spans="1:14" x14ac:dyDescent="0.2">
      <c r="A25" s="99"/>
      <c r="B25" s="94"/>
      <c r="C25" s="101"/>
      <c r="D25" s="95"/>
      <c r="E25" s="95"/>
      <c r="F25" s="104"/>
      <c r="G25" s="97"/>
      <c r="H25" s="17"/>
      <c r="I25" s="17"/>
      <c r="J25" s="17"/>
      <c r="K25" s="17"/>
      <c r="L25" s="17"/>
      <c r="M25" s="17"/>
      <c r="N25" s="17"/>
    </row>
    <row r="26" spans="1:14" x14ac:dyDescent="0.2">
      <c r="A26" s="99"/>
      <c r="B26" s="94"/>
      <c r="C26" s="101"/>
      <c r="D26" s="95"/>
      <c r="E26" s="95"/>
      <c r="F26" s="104"/>
      <c r="G26" s="97"/>
      <c r="H26" s="17"/>
      <c r="I26" s="17"/>
      <c r="J26" s="17"/>
      <c r="K26" s="17"/>
      <c r="L26" s="17"/>
      <c r="M26" s="17"/>
      <c r="N26" s="17"/>
    </row>
    <row r="27" spans="1:14" x14ac:dyDescent="0.2">
      <c r="A27" s="99"/>
      <c r="B27" s="94"/>
      <c r="C27" s="101"/>
      <c r="D27" s="95"/>
      <c r="E27" s="95"/>
      <c r="F27" s="104"/>
      <c r="G27" s="97"/>
      <c r="H27" s="17"/>
      <c r="I27" s="17"/>
      <c r="J27" s="17"/>
      <c r="K27" s="17"/>
      <c r="L27" s="17"/>
      <c r="M27" s="17"/>
      <c r="N27" s="17"/>
    </row>
    <row r="28" spans="1:14" x14ac:dyDescent="0.2">
      <c r="A28" s="99"/>
      <c r="B28" s="94"/>
      <c r="C28" s="101"/>
      <c r="D28" s="95"/>
      <c r="E28" s="95"/>
      <c r="F28" s="104"/>
      <c r="G28" s="97"/>
      <c r="H28" s="17"/>
      <c r="I28" s="17"/>
      <c r="J28" s="17"/>
      <c r="K28" s="17"/>
      <c r="L28" s="17"/>
      <c r="M28" s="17"/>
      <c r="N28" s="17"/>
    </row>
    <row r="29" spans="1:14" x14ac:dyDescent="0.2">
      <c r="A29" s="99"/>
      <c r="B29" s="94"/>
      <c r="C29" s="101"/>
      <c r="D29" s="95"/>
      <c r="E29" s="95"/>
      <c r="F29" s="104"/>
      <c r="G29" s="97"/>
      <c r="H29" s="17"/>
      <c r="I29" s="17"/>
      <c r="J29" s="17"/>
      <c r="K29" s="17"/>
      <c r="L29" s="17"/>
      <c r="M29" s="17"/>
      <c r="N29" s="17"/>
    </row>
    <row r="30" spans="1:14" x14ac:dyDescent="0.2">
      <c r="A30" s="99"/>
      <c r="B30" s="94"/>
      <c r="C30" s="101"/>
      <c r="D30" s="95"/>
      <c r="E30" s="95"/>
      <c r="F30" s="104"/>
      <c r="G30" s="97"/>
      <c r="H30" s="17"/>
      <c r="I30" s="17"/>
      <c r="J30" s="17"/>
      <c r="K30" s="17"/>
      <c r="L30" s="17"/>
      <c r="M30" s="17"/>
      <c r="N30" s="17"/>
    </row>
    <row r="31" spans="1:14" x14ac:dyDescent="0.2">
      <c r="A31" s="99"/>
      <c r="B31" s="94"/>
      <c r="C31" s="101"/>
      <c r="D31" s="95"/>
      <c r="E31" s="95"/>
      <c r="F31" s="104"/>
      <c r="G31" s="97"/>
      <c r="H31" s="17"/>
      <c r="I31" s="17"/>
      <c r="J31" s="17"/>
      <c r="K31" s="17"/>
      <c r="L31" s="17"/>
      <c r="M31" s="17"/>
      <c r="N31" s="17"/>
    </row>
    <row r="32" spans="1:14" x14ac:dyDescent="0.2">
      <c r="A32" s="99"/>
      <c r="B32" s="94"/>
      <c r="C32" s="101"/>
      <c r="D32" s="95"/>
      <c r="E32" s="95"/>
      <c r="F32" s="104"/>
      <c r="G32" s="97"/>
      <c r="H32" s="17"/>
      <c r="I32" s="17"/>
      <c r="J32" s="17"/>
      <c r="K32" s="17"/>
      <c r="L32" s="17"/>
      <c r="M32" s="17"/>
      <c r="N32" s="17"/>
    </row>
    <row r="33" spans="1:14" x14ac:dyDescent="0.2">
      <c r="A33" s="99"/>
      <c r="B33" s="94"/>
      <c r="C33" s="94"/>
      <c r="D33" s="95"/>
      <c r="E33" s="95"/>
      <c r="F33" s="104"/>
      <c r="G33" s="97"/>
      <c r="H33" s="17"/>
      <c r="I33" s="17"/>
      <c r="J33" s="17"/>
      <c r="K33" s="17"/>
      <c r="L33" s="17"/>
      <c r="M33" s="17"/>
      <c r="N33" s="17"/>
    </row>
    <row r="34" spans="1:14" x14ac:dyDescent="0.2">
      <c r="A34" s="99"/>
      <c r="B34" s="94"/>
      <c r="C34" s="94"/>
      <c r="D34" s="95"/>
      <c r="E34" s="95"/>
      <c r="F34" s="104"/>
      <c r="G34" s="97"/>
      <c r="H34" s="17"/>
      <c r="I34" s="17"/>
      <c r="J34" s="17"/>
      <c r="K34" s="17"/>
      <c r="L34" s="17"/>
      <c r="M34" s="17"/>
      <c r="N34" s="17"/>
    </row>
    <row r="35" spans="1:14" x14ac:dyDescent="0.2">
      <c r="A35" s="99"/>
      <c r="B35" s="94"/>
      <c r="C35" s="94"/>
      <c r="D35" s="95"/>
      <c r="E35" s="95"/>
      <c r="F35" s="104"/>
      <c r="G35" s="97"/>
      <c r="H35" s="17"/>
      <c r="I35" s="17"/>
      <c r="J35" s="17"/>
      <c r="K35" s="17"/>
      <c r="L35" s="17"/>
      <c r="M35" s="17"/>
      <c r="N35" s="17"/>
    </row>
    <row r="36" spans="1:14" x14ac:dyDescent="0.2">
      <c r="A36" s="99"/>
      <c r="B36" s="94"/>
      <c r="C36" s="94"/>
      <c r="D36" s="95"/>
      <c r="E36" s="95"/>
      <c r="F36" s="104"/>
      <c r="G36" s="97"/>
      <c r="H36" s="17"/>
      <c r="I36" s="17"/>
      <c r="J36" s="17"/>
      <c r="K36" s="17"/>
      <c r="L36" s="17"/>
      <c r="M36" s="17"/>
      <c r="N36" s="17"/>
    </row>
    <row r="37" spans="1:14" x14ac:dyDescent="0.2">
      <c r="A37" s="99"/>
      <c r="B37" s="94"/>
      <c r="C37" s="94"/>
      <c r="D37" s="95"/>
      <c r="E37" s="95"/>
      <c r="F37" s="104"/>
      <c r="G37" s="97"/>
      <c r="H37" s="17"/>
      <c r="I37" s="17"/>
      <c r="J37" s="17"/>
      <c r="K37" s="17"/>
      <c r="L37" s="17"/>
      <c r="M37" s="17"/>
      <c r="N37" s="17"/>
    </row>
    <row r="38" spans="1:14" x14ac:dyDescent="0.2">
      <c r="A38" s="99"/>
      <c r="B38" s="94"/>
      <c r="C38" s="94"/>
      <c r="D38" s="95"/>
      <c r="E38" s="95"/>
      <c r="F38" s="104"/>
      <c r="G38" s="97"/>
      <c r="H38" s="17"/>
      <c r="I38" s="17"/>
      <c r="J38" s="17"/>
      <c r="K38" s="17"/>
      <c r="L38" s="17"/>
      <c r="M38" s="17"/>
      <c r="N38" s="17"/>
    </row>
    <row r="39" spans="1:14" x14ac:dyDescent="0.2">
      <c r="A39" s="99"/>
      <c r="B39" s="94"/>
      <c r="C39" s="94"/>
      <c r="D39" s="95"/>
      <c r="E39" s="95"/>
      <c r="F39" s="104"/>
      <c r="G39" s="97"/>
      <c r="H39" s="17"/>
      <c r="I39" s="17"/>
      <c r="J39" s="17"/>
      <c r="K39" s="17"/>
      <c r="L39" s="17"/>
      <c r="M39" s="17"/>
      <c r="N39" s="17"/>
    </row>
    <row r="40" spans="1:14" x14ac:dyDescent="0.2">
      <c r="A40" s="99"/>
      <c r="B40" s="94"/>
      <c r="C40" s="94"/>
      <c r="D40" s="95"/>
      <c r="E40" s="95"/>
      <c r="F40" s="104"/>
      <c r="G40" s="97"/>
      <c r="H40" s="17"/>
      <c r="I40" s="17"/>
      <c r="J40" s="17"/>
      <c r="K40" s="17"/>
      <c r="L40" s="17"/>
      <c r="M40" s="17"/>
      <c r="N40" s="17"/>
    </row>
    <row r="41" spans="1:14" x14ac:dyDescent="0.2">
      <c r="A41" s="99"/>
      <c r="B41" s="94"/>
      <c r="C41" s="94"/>
      <c r="D41" s="95"/>
      <c r="E41" s="95"/>
      <c r="F41" s="104"/>
      <c r="G41" s="97"/>
      <c r="H41" s="17"/>
      <c r="I41" s="17"/>
      <c r="J41" s="17"/>
      <c r="K41" s="17"/>
      <c r="L41" s="17"/>
      <c r="M41" s="17"/>
      <c r="N41" s="17"/>
    </row>
    <row r="42" spans="1:14" x14ac:dyDescent="0.2">
      <c r="A42" s="99"/>
      <c r="B42" s="94"/>
      <c r="C42" s="94"/>
      <c r="D42" s="95"/>
      <c r="E42" s="95"/>
      <c r="F42" s="104"/>
      <c r="G42" s="97"/>
      <c r="H42" s="17"/>
      <c r="I42" s="17"/>
      <c r="J42" s="17"/>
      <c r="K42" s="17"/>
      <c r="L42" s="17"/>
      <c r="M42" s="17"/>
      <c r="N42" s="17"/>
    </row>
    <row r="43" spans="1:14" x14ac:dyDescent="0.2">
      <c r="A43" s="99"/>
      <c r="B43" s="94"/>
      <c r="C43" s="94"/>
      <c r="D43" s="95"/>
      <c r="E43" s="95"/>
      <c r="F43" s="104"/>
      <c r="G43" s="97"/>
      <c r="H43" s="17"/>
      <c r="I43" s="17"/>
      <c r="J43" s="17"/>
      <c r="K43" s="17"/>
      <c r="L43" s="17"/>
      <c r="M43" s="17"/>
      <c r="N43" s="17"/>
    </row>
    <row r="44" spans="1:14" x14ac:dyDescent="0.2">
      <c r="A44" s="99"/>
      <c r="B44" s="94"/>
      <c r="C44" s="94"/>
      <c r="D44" s="95"/>
      <c r="E44" s="95"/>
      <c r="F44" s="104"/>
      <c r="G44" s="97"/>
      <c r="H44" s="17"/>
      <c r="I44" s="17"/>
      <c r="J44" s="17"/>
      <c r="K44" s="17"/>
      <c r="L44" s="17"/>
      <c r="M44" s="17"/>
      <c r="N44" s="17"/>
    </row>
    <row r="45" spans="1:14" x14ac:dyDescent="0.2">
      <c r="A45" s="99"/>
      <c r="B45" s="94"/>
      <c r="C45" s="94"/>
      <c r="D45" s="95"/>
      <c r="E45" s="95"/>
      <c r="F45" s="104"/>
      <c r="G45" s="97"/>
      <c r="H45" s="17"/>
      <c r="I45" s="17"/>
      <c r="J45" s="17"/>
      <c r="K45" s="17"/>
      <c r="L45" s="17"/>
      <c r="M45" s="17"/>
      <c r="N45" s="17"/>
    </row>
    <row r="46" spans="1:14" x14ac:dyDescent="0.2">
      <c r="A46" s="99"/>
      <c r="B46" s="94"/>
      <c r="C46" s="94"/>
      <c r="D46" s="95"/>
      <c r="E46" s="95"/>
      <c r="F46" s="104"/>
      <c r="G46" s="97"/>
      <c r="H46" s="17"/>
      <c r="I46" s="17"/>
      <c r="J46" s="17"/>
      <c r="K46" s="17"/>
      <c r="L46" s="17"/>
      <c r="M46" s="17"/>
      <c r="N46" s="17"/>
    </row>
    <row r="47" spans="1:14" x14ac:dyDescent="0.2">
      <c r="A47" s="99"/>
      <c r="B47" s="94"/>
      <c r="C47" s="94"/>
      <c r="D47" s="95"/>
      <c r="E47" s="95"/>
      <c r="F47" s="104"/>
      <c r="G47" s="97"/>
      <c r="H47" s="17"/>
      <c r="I47" s="17"/>
      <c r="J47" s="17"/>
      <c r="K47" s="17"/>
      <c r="L47" s="17"/>
      <c r="M47" s="17"/>
      <c r="N47" s="17"/>
    </row>
    <row r="48" spans="1:14" x14ac:dyDescent="0.2">
      <c r="A48" s="99"/>
      <c r="B48" s="94"/>
      <c r="C48" s="94"/>
      <c r="D48" s="95"/>
      <c r="E48" s="95"/>
      <c r="F48" s="104"/>
      <c r="G48" s="97"/>
      <c r="H48" s="17"/>
      <c r="I48" s="17"/>
      <c r="J48" s="17"/>
      <c r="K48" s="17"/>
      <c r="L48" s="17"/>
      <c r="M48" s="17"/>
      <c r="N48" s="17"/>
    </row>
    <row r="49" spans="1:14" x14ac:dyDescent="0.2">
      <c r="A49" s="99"/>
      <c r="B49" s="94"/>
      <c r="C49" s="94"/>
      <c r="D49" s="95"/>
      <c r="E49" s="95"/>
      <c r="F49" s="104"/>
      <c r="G49" s="97"/>
      <c r="H49" s="17"/>
      <c r="I49" s="17"/>
      <c r="J49" s="17"/>
      <c r="K49" s="17"/>
      <c r="L49" s="17"/>
      <c r="M49" s="17"/>
      <c r="N49" s="17"/>
    </row>
    <row r="50" spans="1:14" x14ac:dyDescent="0.2">
      <c r="A50" s="99"/>
      <c r="B50" s="94"/>
      <c r="C50" s="94"/>
      <c r="D50" s="95"/>
      <c r="E50" s="95"/>
      <c r="F50" s="104"/>
      <c r="G50" s="97"/>
      <c r="H50" s="17"/>
      <c r="I50" s="17"/>
      <c r="J50" s="17"/>
      <c r="K50" s="17"/>
      <c r="L50" s="17"/>
      <c r="M50" s="17"/>
      <c r="N50" s="17"/>
    </row>
    <row r="51" spans="1:14" x14ac:dyDescent="0.2">
      <c r="A51" s="115" t="str">
        <f t="shared" ref="A51:A86" si="0">IF(B51&lt;&gt;"", A50, "")</f>
        <v/>
      </c>
      <c r="B51" s="94"/>
      <c r="C51" s="94"/>
      <c r="D51" s="95"/>
      <c r="E51" s="95"/>
      <c r="F51" s="104"/>
      <c r="G51" s="97"/>
      <c r="H51" s="17"/>
      <c r="I51" s="17"/>
      <c r="J51" s="17"/>
      <c r="K51" s="17"/>
      <c r="L51" s="17"/>
      <c r="M51" s="17"/>
      <c r="N51" s="17"/>
    </row>
    <row r="52" spans="1:14" x14ac:dyDescent="0.2">
      <c r="A52" s="115" t="str">
        <f t="shared" si="0"/>
        <v/>
      </c>
      <c r="B52" s="94"/>
      <c r="C52" s="94"/>
      <c r="D52" s="95"/>
      <c r="E52" s="95"/>
      <c r="F52" s="104"/>
      <c r="G52" s="97"/>
      <c r="H52" s="17"/>
      <c r="I52" s="17"/>
      <c r="J52" s="17"/>
      <c r="K52" s="17"/>
      <c r="L52" s="17"/>
      <c r="M52" s="17"/>
      <c r="N52" s="17"/>
    </row>
    <row r="53" spans="1:14" x14ac:dyDescent="0.2">
      <c r="A53" s="115" t="str">
        <f t="shared" si="0"/>
        <v/>
      </c>
      <c r="B53" s="94"/>
      <c r="C53" s="94"/>
      <c r="D53" s="95"/>
      <c r="E53" s="95"/>
      <c r="F53" s="104"/>
      <c r="G53" s="97"/>
      <c r="H53" s="17"/>
      <c r="I53" s="17"/>
      <c r="J53" s="17"/>
      <c r="K53" s="17"/>
      <c r="L53" s="17"/>
      <c r="M53" s="17"/>
      <c r="N53" s="17"/>
    </row>
    <row r="54" spans="1:14" x14ac:dyDescent="0.2">
      <c r="A54" s="115" t="str">
        <f t="shared" si="0"/>
        <v/>
      </c>
      <c r="B54" s="94"/>
      <c r="C54" s="94"/>
      <c r="D54" s="95"/>
      <c r="E54" s="95"/>
      <c r="F54" s="104"/>
      <c r="G54" s="97"/>
      <c r="H54" s="17"/>
      <c r="I54" s="17"/>
      <c r="J54" s="17"/>
      <c r="K54" s="17"/>
      <c r="L54" s="17"/>
      <c r="M54" s="17"/>
      <c r="N54" s="17"/>
    </row>
    <row r="55" spans="1:14" x14ac:dyDescent="0.2">
      <c r="A55" s="115" t="str">
        <f t="shared" si="0"/>
        <v/>
      </c>
      <c r="B55" s="94"/>
      <c r="C55" s="94"/>
      <c r="D55" s="95"/>
      <c r="E55" s="95"/>
      <c r="F55" s="104"/>
      <c r="G55" s="97"/>
      <c r="H55" s="17"/>
      <c r="I55" s="17"/>
      <c r="J55" s="17"/>
      <c r="K55" s="17"/>
      <c r="L55" s="17"/>
      <c r="M55" s="17"/>
      <c r="N55" s="17"/>
    </row>
    <row r="56" spans="1:14" x14ac:dyDescent="0.2">
      <c r="A56" s="115" t="str">
        <f t="shared" si="0"/>
        <v/>
      </c>
      <c r="B56" s="94"/>
      <c r="C56" s="94"/>
      <c r="D56" s="95"/>
      <c r="E56" s="95"/>
      <c r="F56" s="104"/>
      <c r="G56" s="97"/>
      <c r="H56" s="17"/>
      <c r="I56" s="17"/>
      <c r="J56" s="17"/>
      <c r="K56" s="17"/>
      <c r="L56" s="17"/>
      <c r="M56" s="17"/>
      <c r="N56" s="17"/>
    </row>
    <row r="57" spans="1:14" x14ac:dyDescent="0.2">
      <c r="A57" s="115" t="str">
        <f t="shared" si="0"/>
        <v/>
      </c>
      <c r="B57" s="94"/>
      <c r="C57" s="94"/>
      <c r="D57" s="95"/>
      <c r="E57" s="95"/>
      <c r="F57" s="104"/>
      <c r="G57" s="97"/>
      <c r="H57" s="17"/>
      <c r="I57" s="17"/>
      <c r="J57" s="17"/>
      <c r="K57" s="17"/>
      <c r="L57" s="17"/>
      <c r="M57" s="17"/>
      <c r="N57" s="17"/>
    </row>
    <row r="58" spans="1:14" x14ac:dyDescent="0.2">
      <c r="A58" s="115" t="str">
        <f t="shared" si="0"/>
        <v/>
      </c>
      <c r="B58" s="94"/>
      <c r="C58" s="94"/>
      <c r="D58" s="95"/>
      <c r="E58" s="95"/>
      <c r="F58" s="104"/>
      <c r="G58" s="97"/>
      <c r="H58" s="17"/>
      <c r="I58" s="17"/>
      <c r="J58" s="17"/>
      <c r="K58" s="17"/>
      <c r="L58" s="17"/>
      <c r="M58" s="17"/>
      <c r="N58" s="17"/>
    </row>
    <row r="59" spans="1:14" x14ac:dyDescent="0.2">
      <c r="A59" s="115" t="str">
        <f t="shared" si="0"/>
        <v/>
      </c>
      <c r="B59" s="94"/>
      <c r="C59" s="94"/>
      <c r="D59" s="95"/>
      <c r="E59" s="95"/>
      <c r="F59" s="104"/>
      <c r="G59" s="97"/>
      <c r="H59" s="17"/>
      <c r="I59" s="17"/>
      <c r="J59" s="17"/>
      <c r="K59" s="17"/>
      <c r="L59" s="17"/>
      <c r="M59" s="17"/>
      <c r="N59" s="17"/>
    </row>
    <row r="60" spans="1:14" x14ac:dyDescent="0.2">
      <c r="A60" s="115" t="str">
        <f t="shared" si="0"/>
        <v/>
      </c>
      <c r="B60" s="94"/>
      <c r="C60" s="94"/>
      <c r="D60" s="95"/>
      <c r="E60" s="95"/>
      <c r="F60" s="104"/>
      <c r="G60" s="97"/>
      <c r="H60" s="17"/>
      <c r="I60" s="17"/>
      <c r="J60" s="17"/>
      <c r="K60" s="17"/>
      <c r="L60" s="17"/>
      <c r="M60" s="17"/>
      <c r="N60" s="17"/>
    </row>
    <row r="61" spans="1:14" x14ac:dyDescent="0.2">
      <c r="A61" s="115" t="str">
        <f t="shared" si="0"/>
        <v/>
      </c>
      <c r="B61" s="94"/>
      <c r="C61" s="94"/>
      <c r="D61" s="95"/>
      <c r="E61" s="95"/>
      <c r="F61" s="104"/>
      <c r="G61" s="97"/>
      <c r="H61" s="17"/>
      <c r="I61" s="17"/>
      <c r="J61" s="17"/>
      <c r="K61" s="17"/>
      <c r="L61" s="17"/>
      <c r="M61" s="17"/>
      <c r="N61" s="17"/>
    </row>
    <row r="62" spans="1:14" x14ac:dyDescent="0.2">
      <c r="A62" s="115" t="str">
        <f t="shared" si="0"/>
        <v/>
      </c>
      <c r="B62" s="94"/>
      <c r="C62" s="94"/>
      <c r="D62" s="95"/>
      <c r="E62" s="95"/>
      <c r="F62" s="104"/>
      <c r="G62" s="97"/>
      <c r="H62" s="17"/>
      <c r="I62" s="17"/>
      <c r="J62" s="17"/>
      <c r="K62" s="17"/>
      <c r="L62" s="17"/>
      <c r="M62" s="17"/>
      <c r="N62" s="17"/>
    </row>
    <row r="63" spans="1:14" x14ac:dyDescent="0.2">
      <c r="A63" s="115" t="str">
        <f t="shared" si="0"/>
        <v/>
      </c>
      <c r="B63" s="94"/>
      <c r="C63" s="94"/>
      <c r="D63" s="95"/>
      <c r="E63" s="95"/>
      <c r="F63" s="104"/>
      <c r="G63" s="97"/>
      <c r="H63" s="17"/>
      <c r="I63" s="17"/>
      <c r="J63" s="17"/>
      <c r="K63" s="17"/>
      <c r="L63" s="17"/>
      <c r="M63" s="17"/>
      <c r="N63" s="17"/>
    </row>
    <row r="64" spans="1:14" x14ac:dyDescent="0.2">
      <c r="A64" s="115" t="str">
        <f t="shared" si="0"/>
        <v/>
      </c>
      <c r="B64" s="94"/>
      <c r="C64" s="94"/>
      <c r="D64" s="95"/>
      <c r="E64" s="95"/>
      <c r="F64" s="104"/>
      <c r="G64" s="97"/>
      <c r="H64" s="17"/>
      <c r="I64" s="17"/>
      <c r="J64" s="17"/>
      <c r="K64" s="17"/>
      <c r="L64" s="17"/>
      <c r="M64" s="17"/>
      <c r="N64" s="17"/>
    </row>
    <row r="65" spans="1:14" x14ac:dyDescent="0.2">
      <c r="A65" s="115" t="str">
        <f t="shared" si="0"/>
        <v/>
      </c>
      <c r="B65" s="94"/>
      <c r="C65" s="94"/>
      <c r="D65" s="95"/>
      <c r="E65" s="95"/>
      <c r="F65" s="104"/>
      <c r="G65" s="97"/>
      <c r="H65" s="17"/>
      <c r="I65" s="17"/>
      <c r="J65" s="17"/>
      <c r="K65" s="17"/>
      <c r="L65" s="17"/>
      <c r="M65" s="17"/>
      <c r="N65" s="17"/>
    </row>
    <row r="66" spans="1:14" x14ac:dyDescent="0.2">
      <c r="A66" s="115" t="str">
        <f t="shared" si="0"/>
        <v/>
      </c>
      <c r="B66" s="94"/>
      <c r="C66" s="94"/>
      <c r="D66" s="95"/>
      <c r="E66" s="95"/>
      <c r="F66" s="104"/>
      <c r="G66" s="97"/>
      <c r="H66" s="17"/>
      <c r="I66" s="17"/>
      <c r="J66" s="17"/>
      <c r="K66" s="17"/>
      <c r="L66" s="17"/>
      <c r="M66" s="17"/>
      <c r="N66" s="17"/>
    </row>
    <row r="67" spans="1:14" x14ac:dyDescent="0.2">
      <c r="A67" s="115" t="str">
        <f t="shared" si="0"/>
        <v/>
      </c>
      <c r="B67" s="94"/>
      <c r="C67" s="94"/>
      <c r="D67" s="95"/>
      <c r="E67" s="95"/>
      <c r="F67" s="104"/>
      <c r="G67" s="97"/>
      <c r="H67" s="17"/>
      <c r="I67" s="17"/>
      <c r="J67" s="17"/>
      <c r="K67" s="17"/>
      <c r="L67" s="17"/>
      <c r="M67" s="17"/>
      <c r="N67" s="17"/>
    </row>
    <row r="68" spans="1:14" x14ac:dyDescent="0.2">
      <c r="A68" s="115" t="str">
        <f t="shared" si="0"/>
        <v/>
      </c>
      <c r="B68" s="94"/>
      <c r="C68" s="94"/>
      <c r="D68" s="95"/>
      <c r="E68" s="95"/>
      <c r="F68" s="104"/>
      <c r="G68" s="97"/>
      <c r="H68" s="17"/>
      <c r="I68" s="17"/>
      <c r="J68" s="17"/>
      <c r="K68" s="17"/>
      <c r="L68" s="17"/>
      <c r="M68" s="17"/>
      <c r="N68" s="17"/>
    </row>
    <row r="69" spans="1:14" x14ac:dyDescent="0.2">
      <c r="A69" s="115" t="str">
        <f t="shared" si="0"/>
        <v/>
      </c>
      <c r="B69" s="94"/>
      <c r="C69" s="94"/>
      <c r="D69" s="95"/>
      <c r="E69" s="95"/>
      <c r="F69" s="142"/>
      <c r="G69" s="97"/>
      <c r="H69" s="17"/>
      <c r="I69" s="17"/>
      <c r="J69" s="17"/>
      <c r="K69" s="17"/>
      <c r="L69" s="17"/>
      <c r="M69" s="17"/>
      <c r="N69" s="17"/>
    </row>
    <row r="70" spans="1:14" x14ac:dyDescent="0.2">
      <c r="A70" s="115" t="str">
        <f t="shared" si="0"/>
        <v/>
      </c>
      <c r="B70" s="94"/>
      <c r="C70" s="94"/>
      <c r="D70" s="95"/>
      <c r="E70" s="95"/>
      <c r="F70" s="142"/>
      <c r="G70" s="97"/>
      <c r="H70" s="17"/>
      <c r="I70" s="17"/>
      <c r="J70" s="17"/>
      <c r="K70" s="17"/>
      <c r="L70" s="17"/>
      <c r="M70" s="17"/>
      <c r="N70" s="17"/>
    </row>
    <row r="71" spans="1:14" x14ac:dyDescent="0.2">
      <c r="A71" s="115" t="str">
        <f t="shared" si="0"/>
        <v/>
      </c>
      <c r="B71" s="94"/>
      <c r="C71" s="94"/>
      <c r="D71" s="95"/>
      <c r="E71" s="95"/>
      <c r="F71" s="142"/>
      <c r="G71" s="97"/>
      <c r="H71" s="17"/>
      <c r="I71" s="17"/>
      <c r="J71" s="17"/>
      <c r="K71" s="17"/>
      <c r="L71" s="17"/>
      <c r="M71" s="17"/>
      <c r="N71" s="17"/>
    </row>
    <row r="72" spans="1:14" x14ac:dyDescent="0.2">
      <c r="A72" s="115" t="str">
        <f t="shared" si="0"/>
        <v/>
      </c>
      <c r="B72" s="94"/>
      <c r="C72" s="107"/>
      <c r="D72" s="108"/>
      <c r="E72" s="95"/>
      <c r="F72" s="142"/>
      <c r="G72" s="97"/>
      <c r="H72" s="17"/>
      <c r="I72" s="17"/>
      <c r="J72" s="17"/>
      <c r="K72" s="17"/>
      <c r="L72" s="17"/>
      <c r="M72" s="17"/>
      <c r="N72" s="17"/>
    </row>
    <row r="73" spans="1:14" x14ac:dyDescent="0.2">
      <c r="A73" s="115" t="str">
        <f t="shared" si="0"/>
        <v/>
      </c>
      <c r="B73" s="94"/>
      <c r="C73" s="94"/>
      <c r="D73" s="95"/>
      <c r="E73" s="95"/>
      <c r="F73" s="142"/>
      <c r="G73" s="97"/>
      <c r="H73" s="17"/>
      <c r="I73" s="17"/>
      <c r="J73" s="17"/>
      <c r="K73" s="17"/>
      <c r="L73" s="17"/>
      <c r="M73" s="17"/>
      <c r="N73" s="17"/>
    </row>
    <row r="74" spans="1:14" x14ac:dyDescent="0.2">
      <c r="A74" s="115" t="str">
        <f t="shared" si="0"/>
        <v/>
      </c>
      <c r="B74" s="94"/>
      <c r="C74" s="94"/>
      <c r="D74" s="95"/>
      <c r="E74" s="95"/>
      <c r="F74" s="104"/>
      <c r="G74" s="97"/>
      <c r="H74" s="17"/>
      <c r="I74" s="17"/>
      <c r="J74" s="17"/>
      <c r="K74" s="17"/>
      <c r="L74" s="17"/>
      <c r="M74" s="17"/>
      <c r="N74" s="17"/>
    </row>
    <row r="75" spans="1:14" x14ac:dyDescent="0.2">
      <c r="A75" s="115" t="str">
        <f t="shared" si="0"/>
        <v/>
      </c>
      <c r="B75" s="94"/>
      <c r="C75" s="94"/>
      <c r="D75" s="95"/>
      <c r="E75" s="95"/>
      <c r="F75" s="104"/>
      <c r="G75" s="97"/>
      <c r="H75" s="17"/>
      <c r="I75" s="17"/>
      <c r="J75" s="17"/>
      <c r="K75" s="17"/>
      <c r="L75" s="17"/>
      <c r="M75" s="17"/>
      <c r="N75" s="17"/>
    </row>
    <row r="76" spans="1:14" x14ac:dyDescent="0.2">
      <c r="A76" s="115" t="str">
        <f t="shared" si="0"/>
        <v/>
      </c>
      <c r="B76" s="94"/>
      <c r="C76" s="94"/>
      <c r="D76" s="95"/>
      <c r="E76" s="95"/>
      <c r="F76" s="104"/>
      <c r="G76" s="97"/>
      <c r="H76" s="17"/>
      <c r="I76" s="17"/>
      <c r="J76" s="17"/>
      <c r="K76" s="17"/>
      <c r="L76" s="17"/>
      <c r="M76" s="17"/>
      <c r="N76" s="17"/>
    </row>
    <row r="77" spans="1:14" x14ac:dyDescent="0.2">
      <c r="A77" s="115" t="str">
        <f t="shared" si="0"/>
        <v/>
      </c>
      <c r="B77" s="94"/>
      <c r="C77" s="94"/>
      <c r="D77" s="95"/>
      <c r="E77" s="95"/>
      <c r="F77" s="104"/>
      <c r="G77" s="97"/>
      <c r="H77" s="17"/>
      <c r="I77" s="17"/>
      <c r="J77" s="17"/>
      <c r="K77" s="17"/>
      <c r="L77" s="17"/>
      <c r="M77" s="17"/>
      <c r="N77" s="17"/>
    </row>
    <row r="78" spans="1:14" x14ac:dyDescent="0.2">
      <c r="A78" s="115" t="str">
        <f t="shared" si="0"/>
        <v/>
      </c>
      <c r="B78" s="94"/>
      <c r="C78" s="94"/>
      <c r="D78" s="95"/>
      <c r="E78" s="95"/>
      <c r="F78" s="104"/>
      <c r="G78" s="97"/>
      <c r="H78" s="17"/>
      <c r="I78" s="17"/>
      <c r="J78" s="17"/>
      <c r="K78" s="17"/>
      <c r="L78" s="17"/>
      <c r="M78" s="17"/>
      <c r="N78" s="17"/>
    </row>
    <row r="79" spans="1:14" x14ac:dyDescent="0.2">
      <c r="A79" s="115" t="str">
        <f t="shared" si="0"/>
        <v/>
      </c>
      <c r="B79" s="94"/>
      <c r="C79" s="94"/>
      <c r="D79" s="95"/>
      <c r="E79" s="95"/>
      <c r="F79" s="104"/>
      <c r="G79" s="97"/>
      <c r="H79" s="17"/>
      <c r="I79" s="17"/>
      <c r="J79" s="17"/>
      <c r="K79" s="17"/>
      <c r="L79" s="17"/>
      <c r="M79" s="17"/>
      <c r="N79" s="17"/>
    </row>
    <row r="80" spans="1:14" x14ac:dyDescent="0.2">
      <c r="A80" s="115" t="str">
        <f t="shared" si="0"/>
        <v/>
      </c>
      <c r="B80" s="94"/>
      <c r="C80" s="94"/>
      <c r="D80" s="95"/>
      <c r="E80" s="95"/>
      <c r="F80" s="104"/>
      <c r="G80" s="97"/>
      <c r="H80" s="17"/>
      <c r="I80" s="17"/>
      <c r="J80" s="17"/>
      <c r="K80" s="17"/>
      <c r="L80" s="17"/>
      <c r="M80" s="17"/>
      <c r="N80" s="17"/>
    </row>
    <row r="81" spans="1:14" x14ac:dyDescent="0.2">
      <c r="A81" s="115" t="str">
        <f t="shared" si="0"/>
        <v/>
      </c>
      <c r="B81" s="94"/>
      <c r="C81" s="94"/>
      <c r="D81" s="95"/>
      <c r="E81" s="95"/>
      <c r="F81" s="104"/>
      <c r="G81" s="97"/>
      <c r="H81" s="17"/>
      <c r="I81" s="17"/>
      <c r="J81" s="17"/>
      <c r="K81" s="17"/>
      <c r="L81" s="17"/>
      <c r="M81" s="17"/>
      <c r="N81" s="17"/>
    </row>
    <row r="82" spans="1:14" x14ac:dyDescent="0.2">
      <c r="A82" s="115" t="str">
        <f t="shared" si="0"/>
        <v/>
      </c>
      <c r="B82" s="94"/>
      <c r="C82" s="94"/>
      <c r="D82" s="95"/>
      <c r="E82" s="95"/>
      <c r="F82" s="104"/>
      <c r="G82" s="97"/>
      <c r="H82" s="17"/>
      <c r="I82" s="17"/>
      <c r="J82" s="17"/>
      <c r="K82" s="17"/>
      <c r="L82" s="17"/>
      <c r="M82" s="17"/>
      <c r="N82" s="17"/>
    </row>
    <row r="83" spans="1:14" x14ac:dyDescent="0.2">
      <c r="A83" s="115" t="str">
        <f t="shared" si="0"/>
        <v/>
      </c>
      <c r="B83" s="94"/>
      <c r="C83" s="94"/>
      <c r="D83" s="95"/>
      <c r="E83" s="95"/>
      <c r="F83" s="104"/>
      <c r="G83" s="97"/>
      <c r="H83" s="17"/>
      <c r="I83" s="17"/>
      <c r="J83" s="17"/>
      <c r="K83" s="17"/>
      <c r="L83" s="17"/>
      <c r="M83" s="17"/>
      <c r="N83" s="17"/>
    </row>
    <row r="84" spans="1:14" x14ac:dyDescent="0.2">
      <c r="A84" s="115" t="str">
        <f t="shared" si="0"/>
        <v/>
      </c>
      <c r="B84" s="94"/>
      <c r="C84" s="94"/>
      <c r="D84" s="95"/>
      <c r="E84" s="95"/>
      <c r="F84" s="104"/>
      <c r="G84" s="97"/>
      <c r="H84" s="17"/>
      <c r="I84" s="17"/>
      <c r="J84" s="17"/>
      <c r="K84" s="17"/>
      <c r="L84" s="17"/>
      <c r="M84" s="17"/>
      <c r="N84" s="17"/>
    </row>
    <row r="85" spans="1:14" x14ac:dyDescent="0.2">
      <c r="A85" s="115" t="str">
        <f t="shared" si="0"/>
        <v/>
      </c>
      <c r="B85" s="94"/>
      <c r="C85" s="94"/>
      <c r="D85" s="95"/>
      <c r="E85" s="95"/>
      <c r="F85" s="104"/>
      <c r="G85" s="97"/>
      <c r="H85" s="17"/>
      <c r="I85" s="17"/>
      <c r="J85" s="17"/>
      <c r="K85" s="17"/>
      <c r="L85" s="17"/>
      <c r="M85" s="17"/>
      <c r="N85" s="17"/>
    </row>
    <row r="86" spans="1:14" x14ac:dyDescent="0.2">
      <c r="A86" s="115" t="str">
        <f t="shared" si="0"/>
        <v/>
      </c>
      <c r="B86" s="94"/>
      <c r="C86" s="94"/>
      <c r="D86" s="95"/>
      <c r="E86" s="95"/>
      <c r="F86" s="104"/>
      <c r="G86" s="97"/>
      <c r="H86" s="17"/>
      <c r="I86" s="17"/>
      <c r="J86" s="17"/>
      <c r="K86" s="17"/>
      <c r="L86" s="17"/>
      <c r="M86" s="17"/>
      <c r="N86" s="17"/>
    </row>
    <row r="87" spans="1:14" x14ac:dyDescent="0.2">
      <c r="A87" s="115" t="str">
        <f t="shared" ref="A87:A150" si="1">IF(B87&lt;&gt;"", A86, "")</f>
        <v/>
      </c>
      <c r="B87" s="94"/>
      <c r="C87" s="94"/>
      <c r="D87" s="95"/>
      <c r="E87" s="95"/>
      <c r="F87" s="104"/>
      <c r="G87" s="97"/>
      <c r="H87" s="17"/>
      <c r="I87" s="17"/>
      <c r="J87" s="17"/>
      <c r="K87" s="17"/>
      <c r="L87" s="17"/>
      <c r="M87" s="17"/>
      <c r="N87" s="17"/>
    </row>
    <row r="88" spans="1:14" x14ac:dyDescent="0.2">
      <c r="A88" s="115" t="str">
        <f t="shared" si="1"/>
        <v/>
      </c>
      <c r="B88" s="94"/>
      <c r="C88" s="94"/>
      <c r="D88" s="95"/>
      <c r="E88" s="95"/>
      <c r="F88" s="104"/>
      <c r="G88" s="97"/>
      <c r="H88" s="17"/>
      <c r="I88" s="17"/>
      <c r="J88" s="17"/>
      <c r="K88" s="17"/>
      <c r="L88" s="17"/>
      <c r="M88" s="17"/>
      <c r="N88" s="17"/>
    </row>
    <row r="89" spans="1:14" x14ac:dyDescent="0.2">
      <c r="A89" s="115" t="str">
        <f t="shared" si="1"/>
        <v/>
      </c>
      <c r="B89" s="94"/>
      <c r="C89" s="94"/>
      <c r="D89" s="95"/>
      <c r="E89" s="95"/>
      <c r="F89" s="104"/>
      <c r="G89" s="97"/>
      <c r="H89" s="17"/>
      <c r="I89" s="17"/>
      <c r="J89" s="17"/>
      <c r="K89" s="17"/>
      <c r="L89" s="17"/>
      <c r="M89" s="17"/>
      <c r="N89" s="17"/>
    </row>
    <row r="90" spans="1:14" x14ac:dyDescent="0.2">
      <c r="A90" s="115" t="str">
        <f t="shared" si="1"/>
        <v/>
      </c>
      <c r="B90" s="94"/>
      <c r="C90" s="94"/>
      <c r="D90" s="95"/>
      <c r="E90" s="95"/>
      <c r="F90" s="104"/>
      <c r="G90" s="97"/>
      <c r="H90" s="17"/>
      <c r="I90" s="17"/>
      <c r="J90" s="17"/>
      <c r="K90" s="17"/>
      <c r="L90" s="17"/>
      <c r="M90" s="17"/>
      <c r="N90" s="17"/>
    </row>
    <row r="91" spans="1:14" x14ac:dyDescent="0.2">
      <c r="A91" s="115" t="str">
        <f t="shared" si="1"/>
        <v/>
      </c>
      <c r="B91" s="94"/>
      <c r="C91" s="94"/>
      <c r="D91" s="95"/>
      <c r="E91" s="95"/>
      <c r="F91" s="104"/>
      <c r="G91" s="97"/>
      <c r="H91" s="17"/>
      <c r="I91" s="17"/>
      <c r="J91" s="17"/>
      <c r="K91" s="17"/>
      <c r="L91" s="17"/>
      <c r="M91" s="17"/>
      <c r="N91" s="17"/>
    </row>
    <row r="92" spans="1:14" x14ac:dyDescent="0.2">
      <c r="A92" s="115" t="str">
        <f t="shared" si="1"/>
        <v/>
      </c>
      <c r="B92" s="94"/>
      <c r="C92" s="94"/>
      <c r="D92" s="95"/>
      <c r="E92" s="95"/>
      <c r="F92" s="104"/>
      <c r="G92" s="97"/>
      <c r="H92" s="17"/>
      <c r="I92" s="17"/>
      <c r="J92" s="17"/>
      <c r="K92" s="17"/>
      <c r="L92" s="17"/>
      <c r="M92" s="17"/>
      <c r="N92" s="17"/>
    </row>
    <row r="93" spans="1:14" x14ac:dyDescent="0.2">
      <c r="A93" s="115" t="str">
        <f t="shared" si="1"/>
        <v/>
      </c>
      <c r="B93" s="94"/>
      <c r="C93" s="94"/>
      <c r="D93" s="95"/>
      <c r="E93" s="95"/>
      <c r="F93" s="104"/>
      <c r="G93" s="97"/>
      <c r="H93" s="17"/>
      <c r="I93" s="17"/>
      <c r="J93" s="17"/>
      <c r="K93" s="17"/>
      <c r="L93" s="17"/>
      <c r="M93" s="17"/>
      <c r="N93" s="17"/>
    </row>
    <row r="94" spans="1:14" x14ac:dyDescent="0.2">
      <c r="A94" s="115" t="str">
        <f t="shared" si="1"/>
        <v/>
      </c>
      <c r="B94" s="94"/>
      <c r="C94" s="94"/>
      <c r="D94" s="95"/>
      <c r="E94" s="95"/>
      <c r="F94" s="104"/>
      <c r="G94" s="97"/>
      <c r="H94" s="17"/>
      <c r="I94" s="17"/>
      <c r="J94" s="17"/>
      <c r="K94" s="17"/>
      <c r="L94" s="17"/>
      <c r="M94" s="17"/>
      <c r="N94" s="17"/>
    </row>
    <row r="95" spans="1:14" x14ac:dyDescent="0.2">
      <c r="A95" s="115" t="str">
        <f t="shared" si="1"/>
        <v/>
      </c>
      <c r="B95" s="94"/>
      <c r="C95" s="94"/>
      <c r="D95" s="95"/>
      <c r="E95" s="95"/>
      <c r="F95" s="104"/>
      <c r="G95" s="97"/>
      <c r="H95" s="17"/>
      <c r="I95" s="17"/>
      <c r="J95" s="17"/>
      <c r="K95" s="17"/>
      <c r="L95" s="17"/>
      <c r="M95" s="17"/>
      <c r="N95" s="17"/>
    </row>
    <row r="96" spans="1:14" x14ac:dyDescent="0.2">
      <c r="A96" s="115" t="str">
        <f t="shared" si="1"/>
        <v/>
      </c>
      <c r="B96" s="94"/>
      <c r="C96" s="94"/>
      <c r="D96" s="95"/>
      <c r="E96" s="95"/>
      <c r="F96" s="104"/>
      <c r="G96" s="97"/>
      <c r="H96" s="17"/>
      <c r="I96" s="17"/>
      <c r="J96" s="17"/>
      <c r="K96" s="17"/>
      <c r="L96" s="17"/>
      <c r="M96" s="17"/>
      <c r="N96" s="17"/>
    </row>
    <row r="97" spans="1:14" x14ac:dyDescent="0.2">
      <c r="A97" s="115" t="str">
        <f t="shared" si="1"/>
        <v/>
      </c>
      <c r="B97" s="94"/>
      <c r="C97" s="94"/>
      <c r="D97" s="95"/>
      <c r="E97" s="95"/>
      <c r="F97" s="104"/>
      <c r="G97" s="97"/>
      <c r="H97" s="17"/>
      <c r="I97" s="17"/>
      <c r="J97" s="17"/>
      <c r="K97" s="17"/>
      <c r="L97" s="17"/>
      <c r="M97" s="17"/>
      <c r="N97" s="17"/>
    </row>
    <row r="98" spans="1:14" x14ac:dyDescent="0.2">
      <c r="A98" s="115" t="str">
        <f t="shared" si="1"/>
        <v/>
      </c>
      <c r="B98" s="94"/>
      <c r="C98" s="94"/>
      <c r="D98" s="95"/>
      <c r="E98" s="95"/>
      <c r="F98" s="104"/>
      <c r="G98" s="97"/>
      <c r="H98" s="17"/>
      <c r="I98" s="17"/>
      <c r="J98" s="17"/>
      <c r="K98" s="17"/>
      <c r="L98" s="17"/>
      <c r="M98" s="17"/>
      <c r="N98" s="17"/>
    </row>
    <row r="99" spans="1:14" x14ac:dyDescent="0.2">
      <c r="A99" s="115" t="str">
        <f t="shared" si="1"/>
        <v/>
      </c>
      <c r="B99" s="94"/>
      <c r="C99" s="94"/>
      <c r="D99" s="95"/>
      <c r="E99" s="95"/>
      <c r="F99" s="104"/>
      <c r="G99" s="97"/>
      <c r="H99" s="17"/>
      <c r="I99" s="17"/>
      <c r="J99" s="17"/>
      <c r="K99" s="17"/>
      <c r="L99" s="17"/>
      <c r="M99" s="17"/>
      <c r="N99" s="17"/>
    </row>
    <row r="100" spans="1:14" x14ac:dyDescent="0.2">
      <c r="A100" s="115" t="str">
        <f t="shared" si="1"/>
        <v/>
      </c>
      <c r="B100" s="94"/>
      <c r="C100" s="94"/>
      <c r="D100" s="95"/>
      <c r="E100" s="95"/>
      <c r="F100" s="104"/>
      <c r="G100" s="97"/>
      <c r="H100" s="17"/>
      <c r="I100" s="17"/>
      <c r="J100" s="17"/>
      <c r="K100" s="17"/>
      <c r="L100" s="17"/>
      <c r="M100" s="17"/>
      <c r="N100" s="17"/>
    </row>
    <row r="101" spans="1:14" x14ac:dyDescent="0.2">
      <c r="A101" s="115" t="str">
        <f t="shared" si="1"/>
        <v/>
      </c>
      <c r="B101" s="94"/>
      <c r="C101" s="94"/>
      <c r="D101" s="95"/>
      <c r="E101" s="95"/>
      <c r="F101" s="104"/>
      <c r="G101" s="97"/>
      <c r="H101" s="17"/>
      <c r="I101" s="17"/>
      <c r="J101" s="17"/>
      <c r="K101" s="17"/>
      <c r="L101" s="17"/>
      <c r="M101" s="17"/>
      <c r="N101" s="17"/>
    </row>
    <row r="102" spans="1:14" x14ac:dyDescent="0.2">
      <c r="A102" s="115" t="str">
        <f t="shared" si="1"/>
        <v/>
      </c>
      <c r="B102" s="94"/>
      <c r="C102" s="94"/>
      <c r="D102" s="95"/>
      <c r="E102" s="95"/>
      <c r="F102" s="104"/>
      <c r="G102" s="97"/>
      <c r="H102" s="17"/>
      <c r="I102" s="17"/>
      <c r="J102" s="17"/>
      <c r="K102" s="17"/>
      <c r="L102" s="17"/>
      <c r="M102" s="17"/>
      <c r="N102" s="17"/>
    </row>
    <row r="103" spans="1:14" x14ac:dyDescent="0.2">
      <c r="A103" s="115" t="str">
        <f t="shared" si="1"/>
        <v/>
      </c>
      <c r="B103" s="94"/>
      <c r="C103" s="94"/>
      <c r="D103" s="95"/>
      <c r="E103" s="95"/>
      <c r="F103" s="104"/>
      <c r="G103" s="97"/>
      <c r="H103" s="17"/>
      <c r="I103" s="17"/>
      <c r="J103" s="17"/>
      <c r="K103" s="17"/>
      <c r="L103" s="17"/>
      <c r="M103" s="17"/>
      <c r="N103" s="17"/>
    </row>
    <row r="104" spans="1:14" x14ac:dyDescent="0.2">
      <c r="A104" s="115" t="str">
        <f t="shared" si="1"/>
        <v/>
      </c>
      <c r="B104" s="94"/>
      <c r="C104" s="94"/>
      <c r="D104" s="95"/>
      <c r="E104" s="95"/>
      <c r="F104" s="104"/>
      <c r="G104" s="97"/>
      <c r="H104" s="17"/>
      <c r="I104" s="17"/>
      <c r="J104" s="17"/>
      <c r="K104" s="17"/>
      <c r="L104" s="17"/>
      <c r="M104" s="17"/>
      <c r="N104" s="17"/>
    </row>
    <row r="105" spans="1:14" x14ac:dyDescent="0.2">
      <c r="A105" s="115" t="str">
        <f t="shared" si="1"/>
        <v/>
      </c>
      <c r="B105" s="94"/>
      <c r="C105" s="94"/>
      <c r="D105" s="95"/>
      <c r="E105" s="95"/>
      <c r="F105" s="104"/>
      <c r="G105" s="97"/>
      <c r="H105" s="17"/>
      <c r="I105" s="17"/>
      <c r="J105" s="17"/>
      <c r="K105" s="17"/>
      <c r="L105" s="17"/>
      <c r="M105" s="17"/>
      <c r="N105" s="17"/>
    </row>
    <row r="106" spans="1:14" x14ac:dyDescent="0.2">
      <c r="A106" s="115" t="str">
        <f t="shared" si="1"/>
        <v/>
      </c>
      <c r="B106" s="94"/>
      <c r="C106" s="94"/>
      <c r="D106" s="95"/>
      <c r="E106" s="95"/>
      <c r="F106" s="104"/>
      <c r="G106" s="97"/>
      <c r="H106" s="17"/>
      <c r="I106" s="17"/>
      <c r="J106" s="17"/>
      <c r="K106" s="17"/>
      <c r="L106" s="17"/>
      <c r="M106" s="17"/>
      <c r="N106" s="17"/>
    </row>
    <row r="107" spans="1:14" x14ac:dyDescent="0.2">
      <c r="A107" s="115" t="str">
        <f t="shared" si="1"/>
        <v/>
      </c>
      <c r="B107" s="94"/>
      <c r="C107" s="94"/>
      <c r="D107" s="95"/>
      <c r="E107" s="95"/>
      <c r="F107" s="104"/>
      <c r="G107" s="97"/>
      <c r="H107" s="17"/>
      <c r="I107" s="17"/>
      <c r="J107" s="17"/>
      <c r="K107" s="17"/>
      <c r="L107" s="17"/>
      <c r="M107" s="17"/>
      <c r="N107" s="17"/>
    </row>
    <row r="108" spans="1:14" x14ac:dyDescent="0.2">
      <c r="A108" s="115" t="str">
        <f t="shared" si="1"/>
        <v/>
      </c>
      <c r="B108" s="94"/>
      <c r="C108" s="94"/>
      <c r="D108" s="95"/>
      <c r="E108" s="95"/>
      <c r="F108" s="104"/>
      <c r="G108" s="97"/>
      <c r="H108" s="17"/>
      <c r="I108" s="17"/>
      <c r="J108" s="17"/>
      <c r="K108" s="17"/>
      <c r="L108" s="17"/>
      <c r="M108" s="17"/>
      <c r="N108" s="17"/>
    </row>
    <row r="109" spans="1:14" x14ac:dyDescent="0.2">
      <c r="A109" s="115" t="str">
        <f t="shared" si="1"/>
        <v/>
      </c>
      <c r="B109" s="94"/>
      <c r="C109" s="94"/>
      <c r="D109" s="95"/>
      <c r="E109" s="95"/>
      <c r="F109" s="104"/>
      <c r="G109" s="97"/>
      <c r="H109" s="17"/>
      <c r="I109" s="17"/>
      <c r="J109" s="17"/>
      <c r="K109" s="17"/>
      <c r="L109" s="17"/>
      <c r="M109" s="17"/>
      <c r="N109" s="17"/>
    </row>
    <row r="110" spans="1:14" x14ac:dyDescent="0.2">
      <c r="A110" s="115" t="str">
        <f t="shared" si="1"/>
        <v/>
      </c>
      <c r="B110" s="94"/>
      <c r="C110" s="94"/>
      <c r="D110" s="95"/>
      <c r="E110" s="95"/>
      <c r="F110" s="104"/>
      <c r="G110" s="97"/>
      <c r="H110" s="17"/>
      <c r="I110" s="17"/>
      <c r="J110" s="17"/>
      <c r="K110" s="17"/>
      <c r="L110" s="17"/>
      <c r="M110" s="17"/>
      <c r="N110" s="17"/>
    </row>
    <row r="111" spans="1:14" x14ac:dyDescent="0.2">
      <c r="A111" s="115" t="str">
        <f t="shared" si="1"/>
        <v/>
      </c>
      <c r="B111" s="94"/>
      <c r="C111" s="94"/>
      <c r="D111" s="95"/>
      <c r="E111" s="95"/>
      <c r="F111" s="104"/>
      <c r="G111" s="97"/>
      <c r="H111" s="17"/>
      <c r="I111" s="17"/>
      <c r="J111" s="17"/>
      <c r="K111" s="17"/>
      <c r="L111" s="17"/>
      <c r="M111" s="17"/>
      <c r="N111" s="17"/>
    </row>
    <row r="112" spans="1:14" x14ac:dyDescent="0.2">
      <c r="A112" s="115" t="str">
        <f t="shared" si="1"/>
        <v/>
      </c>
      <c r="B112" s="94"/>
      <c r="C112" s="94"/>
      <c r="D112" s="95"/>
      <c r="E112" s="95"/>
      <c r="F112" s="104"/>
      <c r="G112" s="97"/>
      <c r="H112" s="17"/>
      <c r="I112" s="17"/>
      <c r="J112" s="17"/>
      <c r="K112" s="17"/>
      <c r="L112" s="17"/>
      <c r="M112" s="17"/>
      <c r="N112" s="17"/>
    </row>
    <row r="113" spans="1:14" x14ac:dyDescent="0.2">
      <c r="A113" s="115" t="str">
        <f t="shared" si="1"/>
        <v/>
      </c>
      <c r="B113" s="94"/>
      <c r="C113" s="94"/>
      <c r="D113" s="95"/>
      <c r="E113" s="95"/>
      <c r="F113" s="104"/>
      <c r="G113" s="97"/>
      <c r="H113" s="17"/>
      <c r="I113" s="17"/>
      <c r="J113" s="17"/>
      <c r="K113" s="17"/>
      <c r="L113" s="17"/>
      <c r="M113" s="17"/>
      <c r="N113" s="17"/>
    </row>
    <row r="114" spans="1:14" x14ac:dyDescent="0.2">
      <c r="A114" s="115" t="str">
        <f t="shared" si="1"/>
        <v/>
      </c>
      <c r="B114" s="94"/>
      <c r="C114" s="94"/>
      <c r="D114" s="95"/>
      <c r="E114" s="95"/>
      <c r="F114" s="104"/>
      <c r="G114" s="97"/>
      <c r="H114" s="17"/>
      <c r="I114" s="17"/>
      <c r="J114" s="17"/>
      <c r="K114" s="17"/>
      <c r="L114" s="17"/>
      <c r="M114" s="17"/>
      <c r="N114" s="17"/>
    </row>
    <row r="115" spans="1:14" x14ac:dyDescent="0.2">
      <c r="A115" s="115" t="str">
        <f t="shared" si="1"/>
        <v/>
      </c>
      <c r="B115" s="94"/>
      <c r="C115" s="94"/>
      <c r="D115" s="95"/>
      <c r="E115" s="95"/>
      <c r="F115" s="104"/>
      <c r="G115" s="97"/>
      <c r="H115" s="17"/>
      <c r="I115" s="17"/>
      <c r="J115" s="17"/>
      <c r="K115" s="17"/>
      <c r="L115" s="17"/>
      <c r="M115" s="17"/>
      <c r="N115" s="17"/>
    </row>
    <row r="116" spans="1:14" x14ac:dyDescent="0.2">
      <c r="A116" s="115" t="str">
        <f t="shared" si="1"/>
        <v/>
      </c>
      <c r="B116" s="94"/>
      <c r="C116" s="94"/>
      <c r="D116" s="95"/>
      <c r="E116" s="95"/>
      <c r="F116" s="104"/>
      <c r="G116" s="97"/>
      <c r="H116" s="17"/>
      <c r="I116" s="17"/>
      <c r="J116" s="17"/>
      <c r="K116" s="17"/>
      <c r="L116" s="17"/>
      <c r="M116" s="17"/>
      <c r="N116" s="17"/>
    </row>
    <row r="117" spans="1:14" x14ac:dyDescent="0.2">
      <c r="A117" s="115" t="str">
        <f t="shared" si="1"/>
        <v/>
      </c>
      <c r="B117" s="94"/>
      <c r="C117" s="94"/>
      <c r="D117" s="95"/>
      <c r="E117" s="95"/>
      <c r="F117" s="104"/>
      <c r="G117" s="97"/>
      <c r="H117" s="17"/>
      <c r="I117" s="17"/>
      <c r="J117" s="17"/>
      <c r="K117" s="17"/>
      <c r="L117" s="17"/>
      <c r="M117" s="17"/>
      <c r="N117" s="17"/>
    </row>
    <row r="118" spans="1:14" x14ac:dyDescent="0.2">
      <c r="A118" s="115" t="str">
        <f t="shared" si="1"/>
        <v/>
      </c>
      <c r="B118" s="94"/>
      <c r="C118" s="94"/>
      <c r="D118" s="95"/>
      <c r="E118" s="95"/>
      <c r="F118" s="104"/>
      <c r="G118" s="97"/>
      <c r="H118" s="17"/>
      <c r="I118" s="17"/>
      <c r="J118" s="17"/>
      <c r="K118" s="17"/>
      <c r="L118" s="17"/>
      <c r="M118" s="17"/>
      <c r="N118" s="17"/>
    </row>
    <row r="119" spans="1:14" x14ac:dyDescent="0.2">
      <c r="A119" s="115" t="str">
        <f t="shared" si="1"/>
        <v/>
      </c>
      <c r="B119" s="94"/>
      <c r="C119" s="94"/>
      <c r="D119" s="95"/>
      <c r="E119" s="95"/>
      <c r="F119" s="104"/>
      <c r="G119" s="97"/>
      <c r="H119" s="17"/>
      <c r="I119" s="17"/>
      <c r="J119" s="17"/>
      <c r="K119" s="17"/>
      <c r="L119" s="17"/>
      <c r="M119" s="17"/>
      <c r="N119" s="17"/>
    </row>
    <row r="120" spans="1:14" x14ac:dyDescent="0.2">
      <c r="A120" s="115" t="str">
        <f t="shared" si="1"/>
        <v/>
      </c>
      <c r="B120" s="94"/>
      <c r="C120" s="94"/>
      <c r="D120" s="95"/>
      <c r="E120" s="95"/>
      <c r="F120" s="104"/>
      <c r="G120" s="97"/>
      <c r="H120" s="17"/>
      <c r="I120" s="17"/>
      <c r="J120" s="17"/>
      <c r="K120" s="17"/>
      <c r="L120" s="17"/>
      <c r="M120" s="17"/>
      <c r="N120" s="17"/>
    </row>
    <row r="121" spans="1:14" x14ac:dyDescent="0.2">
      <c r="A121" s="115" t="str">
        <f t="shared" si="1"/>
        <v/>
      </c>
      <c r="B121" s="94"/>
      <c r="C121" s="94"/>
      <c r="D121" s="95"/>
      <c r="E121" s="95"/>
      <c r="F121" s="104"/>
      <c r="G121" s="97"/>
      <c r="H121" s="17"/>
      <c r="I121" s="17"/>
      <c r="J121" s="17"/>
      <c r="K121" s="17"/>
      <c r="L121" s="17"/>
      <c r="M121" s="17"/>
      <c r="N121" s="17"/>
    </row>
    <row r="122" spans="1:14" x14ac:dyDescent="0.2">
      <c r="A122" s="115" t="str">
        <f t="shared" si="1"/>
        <v/>
      </c>
      <c r="B122" s="94"/>
      <c r="C122" s="94"/>
      <c r="D122" s="95"/>
      <c r="E122" s="95"/>
      <c r="F122" s="104"/>
      <c r="G122" s="97"/>
      <c r="H122" s="17"/>
      <c r="I122" s="17"/>
      <c r="J122" s="17"/>
      <c r="K122" s="17"/>
      <c r="L122" s="17"/>
      <c r="M122" s="17"/>
      <c r="N122" s="17"/>
    </row>
    <row r="123" spans="1:14" x14ac:dyDescent="0.2">
      <c r="A123" s="115" t="str">
        <f t="shared" si="1"/>
        <v/>
      </c>
      <c r="B123" s="94"/>
      <c r="C123" s="94"/>
      <c r="D123" s="95"/>
      <c r="E123" s="95"/>
      <c r="F123" s="104"/>
      <c r="G123" s="97"/>
      <c r="H123" s="17"/>
      <c r="I123" s="17"/>
      <c r="J123" s="17"/>
      <c r="K123" s="17"/>
      <c r="L123" s="17"/>
      <c r="M123" s="17"/>
      <c r="N123" s="17"/>
    </row>
    <row r="124" spans="1:14" x14ac:dyDescent="0.2">
      <c r="A124" s="115" t="str">
        <f t="shared" si="1"/>
        <v/>
      </c>
      <c r="B124" s="94"/>
      <c r="C124" s="94"/>
      <c r="D124" s="95"/>
      <c r="E124" s="95"/>
      <c r="F124" s="104"/>
      <c r="G124" s="97"/>
      <c r="H124" s="17"/>
      <c r="I124" s="17"/>
      <c r="J124" s="17"/>
      <c r="K124" s="17"/>
      <c r="L124" s="17"/>
      <c r="M124" s="17"/>
      <c r="N124" s="17"/>
    </row>
    <row r="125" spans="1:14" x14ac:dyDescent="0.2">
      <c r="A125" s="115" t="str">
        <f t="shared" si="1"/>
        <v/>
      </c>
      <c r="B125" s="94"/>
      <c r="C125" s="94"/>
      <c r="D125" s="95"/>
      <c r="E125" s="95"/>
      <c r="F125" s="104"/>
      <c r="G125" s="97"/>
      <c r="H125" s="17"/>
      <c r="I125" s="17"/>
      <c r="J125" s="17"/>
      <c r="K125" s="17"/>
      <c r="L125" s="17"/>
      <c r="M125" s="17"/>
      <c r="N125" s="17"/>
    </row>
    <row r="126" spans="1:14" x14ac:dyDescent="0.2">
      <c r="A126" s="115" t="str">
        <f t="shared" si="1"/>
        <v/>
      </c>
      <c r="B126" s="94"/>
      <c r="C126" s="94"/>
      <c r="D126" s="95"/>
      <c r="E126" s="95"/>
      <c r="F126" s="104"/>
      <c r="G126" s="97"/>
      <c r="H126" s="17"/>
      <c r="I126" s="17"/>
      <c r="J126" s="17"/>
      <c r="K126" s="17"/>
      <c r="L126" s="17"/>
      <c r="M126" s="17"/>
      <c r="N126" s="17"/>
    </row>
    <row r="127" spans="1:14" x14ac:dyDescent="0.2">
      <c r="A127" s="115" t="str">
        <f t="shared" si="1"/>
        <v/>
      </c>
      <c r="B127" s="94"/>
      <c r="C127" s="94"/>
      <c r="D127" s="95"/>
      <c r="E127" s="95"/>
      <c r="F127" s="104"/>
      <c r="G127" s="97"/>
      <c r="H127" s="17"/>
      <c r="I127" s="17"/>
      <c r="J127" s="17"/>
      <c r="K127" s="17"/>
      <c r="L127" s="17"/>
      <c r="M127" s="17"/>
      <c r="N127" s="17"/>
    </row>
    <row r="128" spans="1:14" x14ac:dyDescent="0.2">
      <c r="A128" s="115" t="str">
        <f t="shared" si="1"/>
        <v/>
      </c>
      <c r="B128" s="94"/>
      <c r="C128" s="94"/>
      <c r="D128" s="95"/>
      <c r="E128" s="95"/>
      <c r="F128" s="104"/>
      <c r="G128" s="97"/>
      <c r="H128" s="17"/>
      <c r="I128" s="17"/>
      <c r="J128" s="17"/>
      <c r="K128" s="17"/>
      <c r="L128" s="17"/>
      <c r="M128" s="17"/>
      <c r="N128" s="17"/>
    </row>
    <row r="129" spans="1:14" x14ac:dyDescent="0.2">
      <c r="A129" s="115" t="str">
        <f t="shared" si="1"/>
        <v/>
      </c>
      <c r="B129" s="94"/>
      <c r="C129" s="94"/>
      <c r="D129" s="95"/>
      <c r="E129" s="95"/>
      <c r="F129" s="104"/>
      <c r="G129" s="97"/>
      <c r="H129" s="17"/>
      <c r="I129" s="17"/>
      <c r="J129" s="17"/>
      <c r="K129" s="17"/>
      <c r="L129" s="17"/>
      <c r="M129" s="17"/>
      <c r="N129" s="17"/>
    </row>
    <row r="130" spans="1:14" x14ac:dyDescent="0.2">
      <c r="A130" s="115" t="str">
        <f t="shared" si="1"/>
        <v/>
      </c>
      <c r="B130" s="94"/>
      <c r="C130" s="94"/>
      <c r="D130" s="95"/>
      <c r="E130" s="95"/>
      <c r="F130" s="104"/>
      <c r="G130" s="97"/>
      <c r="H130" s="17"/>
      <c r="I130" s="17"/>
      <c r="J130" s="17"/>
      <c r="K130" s="17"/>
      <c r="L130" s="17"/>
      <c r="M130" s="17"/>
      <c r="N130" s="17"/>
    </row>
    <row r="131" spans="1:14" x14ac:dyDescent="0.2">
      <c r="A131" s="115" t="str">
        <f t="shared" si="1"/>
        <v/>
      </c>
      <c r="B131" s="94"/>
      <c r="C131" s="94"/>
      <c r="D131" s="95"/>
      <c r="E131" s="95"/>
      <c r="F131" s="104"/>
      <c r="G131" s="97"/>
      <c r="H131" s="17"/>
      <c r="I131" s="17"/>
      <c r="J131" s="17"/>
      <c r="K131" s="17"/>
      <c r="L131" s="17"/>
      <c r="M131" s="17"/>
      <c r="N131" s="17"/>
    </row>
    <row r="132" spans="1:14" x14ac:dyDescent="0.2">
      <c r="A132" s="115" t="str">
        <f t="shared" si="1"/>
        <v/>
      </c>
      <c r="B132" s="94"/>
      <c r="C132" s="94"/>
      <c r="D132" s="95"/>
      <c r="E132" s="95"/>
      <c r="F132" s="104"/>
      <c r="G132" s="97"/>
      <c r="H132" s="17"/>
      <c r="I132" s="17"/>
      <c r="J132" s="17"/>
      <c r="K132" s="17"/>
      <c r="L132" s="17"/>
      <c r="M132" s="17"/>
      <c r="N132" s="17"/>
    </row>
    <row r="133" spans="1:14" x14ac:dyDescent="0.2">
      <c r="A133" s="115" t="str">
        <f t="shared" si="1"/>
        <v/>
      </c>
      <c r="B133" s="94"/>
      <c r="C133" s="94"/>
      <c r="D133" s="95"/>
      <c r="E133" s="95"/>
      <c r="F133" s="104"/>
      <c r="G133" s="97"/>
      <c r="H133" s="17"/>
      <c r="I133" s="17"/>
      <c r="J133" s="17"/>
      <c r="K133" s="17"/>
      <c r="L133" s="17"/>
      <c r="M133" s="17"/>
      <c r="N133" s="17"/>
    </row>
    <row r="134" spans="1:14" x14ac:dyDescent="0.2">
      <c r="A134" s="115" t="str">
        <f t="shared" si="1"/>
        <v/>
      </c>
      <c r="B134" s="94"/>
      <c r="C134" s="94"/>
      <c r="D134" s="95"/>
      <c r="E134" s="95"/>
      <c r="F134" s="104"/>
      <c r="G134" s="97"/>
      <c r="H134" s="17"/>
      <c r="I134" s="17"/>
      <c r="J134" s="17"/>
      <c r="K134" s="17"/>
      <c r="L134" s="17"/>
      <c r="M134" s="17"/>
      <c r="N134" s="17"/>
    </row>
    <row r="135" spans="1:14" x14ac:dyDescent="0.2">
      <c r="A135" s="115" t="str">
        <f t="shared" si="1"/>
        <v/>
      </c>
      <c r="B135" s="94"/>
      <c r="C135" s="94"/>
      <c r="D135" s="95"/>
      <c r="E135" s="95"/>
      <c r="F135" s="104"/>
      <c r="G135" s="97"/>
      <c r="H135" s="17"/>
      <c r="I135" s="17"/>
      <c r="J135" s="17"/>
      <c r="K135" s="17"/>
      <c r="L135" s="17"/>
      <c r="M135" s="17"/>
      <c r="N135" s="17"/>
    </row>
    <row r="136" spans="1:14" x14ac:dyDescent="0.2">
      <c r="A136" s="115" t="str">
        <f t="shared" si="1"/>
        <v/>
      </c>
      <c r="B136" s="94"/>
      <c r="C136" s="94"/>
      <c r="D136" s="95"/>
      <c r="E136" s="95"/>
      <c r="F136" s="104"/>
      <c r="G136" s="97"/>
      <c r="H136" s="17"/>
      <c r="I136" s="17"/>
      <c r="J136" s="17"/>
      <c r="K136" s="17"/>
      <c r="L136" s="17"/>
      <c r="M136" s="17"/>
      <c r="N136" s="17"/>
    </row>
    <row r="137" spans="1:14" x14ac:dyDescent="0.2">
      <c r="A137" s="115" t="str">
        <f t="shared" si="1"/>
        <v/>
      </c>
      <c r="B137" s="94"/>
      <c r="C137" s="94"/>
      <c r="D137" s="95"/>
      <c r="E137" s="95"/>
      <c r="F137" s="104"/>
      <c r="G137" s="97"/>
      <c r="H137" s="17"/>
      <c r="I137" s="17"/>
      <c r="J137" s="17"/>
      <c r="K137" s="17"/>
      <c r="L137" s="17"/>
      <c r="M137" s="17"/>
      <c r="N137" s="17"/>
    </row>
    <row r="138" spans="1:14" x14ac:dyDescent="0.2">
      <c r="A138" s="115" t="str">
        <f t="shared" si="1"/>
        <v/>
      </c>
      <c r="B138" s="94"/>
      <c r="C138" s="94"/>
      <c r="D138" s="95"/>
      <c r="E138" s="95"/>
      <c r="F138" s="104"/>
      <c r="G138" s="97"/>
      <c r="H138" s="17"/>
      <c r="I138" s="17"/>
      <c r="J138" s="17"/>
      <c r="K138" s="17"/>
      <c r="L138" s="17"/>
      <c r="M138" s="17"/>
      <c r="N138" s="17"/>
    </row>
    <row r="139" spans="1:14" x14ac:dyDescent="0.2">
      <c r="A139" s="115" t="str">
        <f t="shared" si="1"/>
        <v/>
      </c>
      <c r="B139" s="94"/>
      <c r="C139" s="94"/>
      <c r="D139" s="95"/>
      <c r="E139" s="95"/>
      <c r="F139" s="104"/>
      <c r="G139" s="97"/>
      <c r="H139" s="17"/>
      <c r="I139" s="17"/>
      <c r="J139" s="17"/>
      <c r="K139" s="17"/>
      <c r="L139" s="17"/>
      <c r="M139" s="17"/>
      <c r="N139" s="17"/>
    </row>
    <row r="140" spans="1:14" x14ac:dyDescent="0.2">
      <c r="A140" s="115" t="str">
        <f t="shared" si="1"/>
        <v/>
      </c>
      <c r="B140" s="94"/>
      <c r="C140" s="94"/>
      <c r="D140" s="95"/>
      <c r="E140" s="95"/>
      <c r="F140" s="104"/>
      <c r="G140" s="97"/>
      <c r="H140" s="17"/>
      <c r="I140" s="17"/>
      <c r="J140" s="17"/>
      <c r="K140" s="17"/>
      <c r="L140" s="17"/>
      <c r="M140" s="17"/>
      <c r="N140" s="17"/>
    </row>
    <row r="141" spans="1:14" x14ac:dyDescent="0.2">
      <c r="A141" s="115" t="str">
        <f t="shared" si="1"/>
        <v/>
      </c>
      <c r="B141" s="94"/>
      <c r="C141" s="94"/>
      <c r="D141" s="95"/>
      <c r="E141" s="95"/>
      <c r="F141" s="104"/>
      <c r="G141" s="97"/>
      <c r="H141" s="17"/>
      <c r="I141" s="17"/>
      <c r="J141" s="17"/>
      <c r="K141" s="17"/>
      <c r="L141" s="17"/>
      <c r="M141" s="17"/>
      <c r="N141" s="17"/>
    </row>
    <row r="142" spans="1:14" x14ac:dyDescent="0.2">
      <c r="A142" s="115" t="str">
        <f t="shared" si="1"/>
        <v/>
      </c>
      <c r="B142" s="94"/>
      <c r="C142" s="94"/>
      <c r="D142" s="95"/>
      <c r="E142" s="95"/>
      <c r="F142" s="104"/>
      <c r="G142" s="97"/>
      <c r="H142" s="17"/>
      <c r="I142" s="17"/>
      <c r="J142" s="17"/>
      <c r="K142" s="17"/>
      <c r="L142" s="17"/>
      <c r="M142" s="17"/>
      <c r="N142" s="17"/>
    </row>
    <row r="143" spans="1:14" x14ac:dyDescent="0.2">
      <c r="A143" s="115" t="str">
        <f t="shared" si="1"/>
        <v/>
      </c>
      <c r="B143" s="94"/>
      <c r="C143" s="94"/>
      <c r="D143" s="95"/>
      <c r="E143" s="95"/>
      <c r="F143" s="104"/>
      <c r="G143" s="97"/>
      <c r="H143" s="17"/>
      <c r="I143" s="17"/>
      <c r="J143" s="17"/>
      <c r="K143" s="17"/>
      <c r="L143" s="17"/>
      <c r="M143" s="17"/>
      <c r="N143" s="17"/>
    </row>
    <row r="144" spans="1:14" x14ac:dyDescent="0.2">
      <c r="A144" s="115" t="str">
        <f t="shared" si="1"/>
        <v/>
      </c>
      <c r="B144" s="94"/>
      <c r="C144" s="94"/>
      <c r="D144" s="95"/>
      <c r="E144" s="95"/>
      <c r="F144" s="104"/>
      <c r="G144" s="97"/>
      <c r="H144" s="17"/>
      <c r="I144" s="17"/>
      <c r="J144" s="17"/>
      <c r="K144" s="17"/>
      <c r="L144" s="17"/>
      <c r="M144" s="17"/>
      <c r="N144" s="17"/>
    </row>
    <row r="145" spans="1:14" x14ac:dyDescent="0.2">
      <c r="A145" s="115" t="str">
        <f t="shared" si="1"/>
        <v/>
      </c>
      <c r="B145" s="94"/>
      <c r="C145" s="94"/>
      <c r="D145" s="95"/>
      <c r="E145" s="95"/>
      <c r="F145" s="104"/>
      <c r="G145" s="97"/>
      <c r="H145" s="17"/>
      <c r="I145" s="17"/>
      <c r="J145" s="17"/>
      <c r="K145" s="17"/>
      <c r="L145" s="17"/>
      <c r="M145" s="17"/>
      <c r="N145" s="17"/>
    </row>
    <row r="146" spans="1:14" x14ac:dyDescent="0.2">
      <c r="A146" s="115" t="str">
        <f t="shared" si="1"/>
        <v/>
      </c>
      <c r="B146" s="94"/>
      <c r="C146" s="94"/>
      <c r="D146" s="95"/>
      <c r="E146" s="95"/>
      <c r="F146" s="104"/>
      <c r="G146" s="97"/>
      <c r="H146" s="17"/>
      <c r="I146" s="17"/>
      <c r="J146" s="17"/>
      <c r="K146" s="17"/>
      <c r="L146" s="17"/>
      <c r="M146" s="17"/>
      <c r="N146" s="17"/>
    </row>
    <row r="147" spans="1:14" x14ac:dyDescent="0.2">
      <c r="A147" s="115" t="str">
        <f t="shared" si="1"/>
        <v/>
      </c>
      <c r="B147" s="94"/>
      <c r="C147" s="94"/>
      <c r="D147" s="95"/>
      <c r="E147" s="95"/>
      <c r="F147" s="104"/>
      <c r="G147" s="97"/>
      <c r="H147" s="17"/>
      <c r="I147" s="17"/>
      <c r="J147" s="17"/>
      <c r="K147" s="17"/>
      <c r="L147" s="17"/>
      <c r="M147" s="17"/>
      <c r="N147" s="17"/>
    </row>
    <row r="148" spans="1:14" x14ac:dyDescent="0.2">
      <c r="A148" s="115" t="str">
        <f t="shared" si="1"/>
        <v/>
      </c>
      <c r="B148" s="94"/>
      <c r="C148" s="94"/>
      <c r="D148" s="95"/>
      <c r="E148" s="95"/>
      <c r="F148" s="104"/>
      <c r="G148" s="97"/>
      <c r="H148" s="17"/>
      <c r="I148" s="17"/>
      <c r="J148" s="17"/>
      <c r="K148" s="17"/>
      <c r="L148" s="17"/>
      <c r="M148" s="17"/>
      <c r="N148" s="17"/>
    </row>
    <row r="149" spans="1:14" x14ac:dyDescent="0.2">
      <c r="A149" s="115" t="str">
        <f t="shared" si="1"/>
        <v/>
      </c>
      <c r="B149" s="94"/>
      <c r="C149" s="94"/>
      <c r="D149" s="95"/>
      <c r="E149" s="95"/>
      <c r="F149" s="104"/>
      <c r="G149" s="97"/>
      <c r="H149" s="17"/>
      <c r="I149" s="17"/>
      <c r="J149" s="17"/>
      <c r="K149" s="17"/>
      <c r="L149" s="17"/>
      <c r="M149" s="17"/>
      <c r="N149" s="17"/>
    </row>
    <row r="150" spans="1:14" x14ac:dyDescent="0.2">
      <c r="A150" s="115" t="str">
        <f t="shared" si="1"/>
        <v/>
      </c>
      <c r="B150" s="94"/>
      <c r="C150" s="94"/>
      <c r="D150" s="95"/>
      <c r="E150" s="95"/>
      <c r="F150" s="104"/>
      <c r="G150" s="97"/>
      <c r="H150" s="17"/>
      <c r="I150" s="17"/>
      <c r="J150" s="17"/>
      <c r="K150" s="17"/>
      <c r="L150" s="17"/>
      <c r="M150" s="17"/>
      <c r="N150" s="17"/>
    </row>
    <row r="151" spans="1:14" x14ac:dyDescent="0.2">
      <c r="A151" s="115" t="str">
        <f t="shared" ref="A151:A214" si="2">IF(B151&lt;&gt;"", A150, "")</f>
        <v/>
      </c>
      <c r="B151" s="94"/>
      <c r="C151" s="94"/>
      <c r="D151" s="95"/>
      <c r="E151" s="95"/>
      <c r="F151" s="104"/>
      <c r="G151" s="97"/>
      <c r="H151" s="17"/>
      <c r="I151" s="17"/>
      <c r="J151" s="17"/>
      <c r="K151" s="17"/>
      <c r="L151" s="17"/>
      <c r="M151" s="17"/>
      <c r="N151" s="17"/>
    </row>
    <row r="152" spans="1:14" x14ac:dyDescent="0.2">
      <c r="A152" s="115" t="str">
        <f t="shared" si="2"/>
        <v/>
      </c>
      <c r="B152" s="94"/>
      <c r="C152" s="94"/>
      <c r="D152" s="95"/>
      <c r="E152" s="95"/>
      <c r="F152" s="104"/>
      <c r="G152" s="97"/>
      <c r="H152" s="17"/>
      <c r="I152" s="17"/>
      <c r="J152" s="17"/>
      <c r="K152" s="17"/>
      <c r="L152" s="17"/>
      <c r="M152" s="17"/>
      <c r="N152" s="17"/>
    </row>
    <row r="153" spans="1:14" x14ac:dyDescent="0.2">
      <c r="A153" s="115" t="str">
        <f t="shared" si="2"/>
        <v/>
      </c>
      <c r="B153" s="94"/>
      <c r="C153" s="94"/>
      <c r="D153" s="95"/>
      <c r="E153" s="95"/>
      <c r="F153" s="104"/>
      <c r="G153" s="97"/>
      <c r="H153" s="17"/>
      <c r="I153" s="17"/>
      <c r="J153" s="17"/>
      <c r="K153" s="17"/>
      <c r="L153" s="17"/>
      <c r="M153" s="17"/>
      <c r="N153" s="17"/>
    </row>
    <row r="154" spans="1:14" x14ac:dyDescent="0.2">
      <c r="A154" s="115" t="str">
        <f t="shared" si="2"/>
        <v/>
      </c>
      <c r="B154" s="94"/>
      <c r="C154" s="94"/>
      <c r="D154" s="95"/>
      <c r="E154" s="95"/>
      <c r="F154" s="104"/>
      <c r="G154" s="97"/>
      <c r="H154" s="17"/>
      <c r="I154" s="17"/>
      <c r="J154" s="17"/>
      <c r="K154" s="17"/>
      <c r="L154" s="17"/>
      <c r="M154" s="17"/>
      <c r="N154" s="17"/>
    </row>
    <row r="155" spans="1:14" x14ac:dyDescent="0.2">
      <c r="A155" s="115" t="str">
        <f t="shared" si="2"/>
        <v/>
      </c>
      <c r="B155" s="94"/>
      <c r="C155" s="94"/>
      <c r="D155" s="95"/>
      <c r="E155" s="95"/>
      <c r="F155" s="104"/>
      <c r="G155" s="97"/>
      <c r="H155" s="17"/>
      <c r="I155" s="17"/>
      <c r="J155" s="17"/>
      <c r="K155" s="17"/>
      <c r="L155" s="17"/>
      <c r="M155" s="17"/>
      <c r="N155" s="17"/>
    </row>
    <row r="156" spans="1:14" x14ac:dyDescent="0.2">
      <c r="A156" s="115" t="str">
        <f t="shared" si="2"/>
        <v/>
      </c>
      <c r="B156" s="94"/>
      <c r="C156" s="94"/>
      <c r="D156" s="95"/>
      <c r="E156" s="95"/>
      <c r="F156" s="104"/>
      <c r="G156" s="97"/>
      <c r="H156" s="17"/>
      <c r="I156" s="17"/>
      <c r="J156" s="17"/>
      <c r="K156" s="17"/>
      <c r="L156" s="17"/>
      <c r="M156" s="17"/>
      <c r="N156" s="17"/>
    </row>
    <row r="157" spans="1:14" x14ac:dyDescent="0.2">
      <c r="A157" s="115" t="str">
        <f t="shared" si="2"/>
        <v/>
      </c>
      <c r="B157" s="94"/>
      <c r="C157" s="94"/>
      <c r="D157" s="95"/>
      <c r="E157" s="95"/>
      <c r="F157" s="104"/>
      <c r="G157" s="97"/>
      <c r="H157" s="17"/>
      <c r="I157" s="17"/>
      <c r="J157" s="17"/>
      <c r="K157" s="17"/>
      <c r="L157" s="17"/>
      <c r="M157" s="17"/>
      <c r="N157" s="17"/>
    </row>
    <row r="158" spans="1:14" x14ac:dyDescent="0.2">
      <c r="A158" s="115" t="str">
        <f t="shared" si="2"/>
        <v/>
      </c>
      <c r="B158" s="94"/>
      <c r="C158" s="94"/>
      <c r="D158" s="95"/>
      <c r="E158" s="95"/>
      <c r="F158" s="104"/>
      <c r="G158" s="97"/>
      <c r="H158" s="17"/>
      <c r="I158" s="17"/>
      <c r="J158" s="17"/>
      <c r="K158" s="17"/>
      <c r="L158" s="17"/>
      <c r="M158" s="17"/>
      <c r="N158" s="17"/>
    </row>
    <row r="159" spans="1:14" x14ac:dyDescent="0.2">
      <c r="A159" s="115" t="str">
        <f t="shared" si="2"/>
        <v/>
      </c>
      <c r="B159" s="94"/>
      <c r="C159" s="94"/>
      <c r="D159" s="95"/>
      <c r="E159" s="95"/>
      <c r="F159" s="104"/>
      <c r="G159" s="97"/>
      <c r="H159" s="17"/>
      <c r="I159" s="17"/>
      <c r="J159" s="17"/>
      <c r="K159" s="17"/>
      <c r="L159" s="17"/>
      <c r="M159" s="17"/>
      <c r="N159" s="17"/>
    </row>
    <row r="160" spans="1:14" x14ac:dyDescent="0.2">
      <c r="A160" s="115" t="str">
        <f t="shared" si="2"/>
        <v/>
      </c>
      <c r="B160" s="94"/>
      <c r="C160" s="94"/>
      <c r="D160" s="95"/>
      <c r="E160" s="95"/>
      <c r="F160" s="104"/>
      <c r="G160" s="97"/>
      <c r="H160" s="17"/>
      <c r="I160" s="17"/>
      <c r="J160" s="17"/>
      <c r="K160" s="17"/>
      <c r="L160" s="17"/>
      <c r="M160" s="17"/>
      <c r="N160" s="17"/>
    </row>
    <row r="161" spans="1:14" x14ac:dyDescent="0.2">
      <c r="A161" s="115" t="str">
        <f t="shared" si="2"/>
        <v/>
      </c>
      <c r="B161" s="94"/>
      <c r="C161" s="94"/>
      <c r="D161" s="95"/>
      <c r="E161" s="95"/>
      <c r="F161" s="104"/>
      <c r="G161" s="97"/>
      <c r="H161" s="17"/>
      <c r="I161" s="17"/>
      <c r="J161" s="17"/>
      <c r="K161" s="17"/>
      <c r="L161" s="17"/>
      <c r="M161" s="17"/>
      <c r="N161" s="17"/>
    </row>
    <row r="162" spans="1:14" x14ac:dyDescent="0.2">
      <c r="A162" s="115" t="str">
        <f t="shared" si="2"/>
        <v/>
      </c>
      <c r="B162" s="94"/>
      <c r="C162" s="94"/>
      <c r="D162" s="95"/>
      <c r="E162" s="95"/>
      <c r="F162" s="104"/>
      <c r="G162" s="97"/>
      <c r="H162" s="17"/>
      <c r="I162" s="17"/>
      <c r="J162" s="17"/>
      <c r="K162" s="17"/>
      <c r="L162" s="17"/>
      <c r="M162" s="17"/>
      <c r="N162" s="17"/>
    </row>
    <row r="163" spans="1:14" x14ac:dyDescent="0.2">
      <c r="A163" s="115" t="str">
        <f t="shared" si="2"/>
        <v/>
      </c>
      <c r="B163" s="94"/>
      <c r="C163" s="94"/>
      <c r="D163" s="95"/>
      <c r="E163" s="95"/>
      <c r="F163" s="104"/>
      <c r="G163" s="97"/>
      <c r="H163" s="17"/>
      <c r="I163" s="17"/>
      <c r="J163" s="17"/>
      <c r="K163" s="17"/>
      <c r="L163" s="17"/>
      <c r="M163" s="17"/>
      <c r="N163" s="17"/>
    </row>
    <row r="164" spans="1:14" x14ac:dyDescent="0.2">
      <c r="A164" s="115" t="str">
        <f t="shared" si="2"/>
        <v/>
      </c>
      <c r="B164" s="94"/>
      <c r="C164" s="94"/>
      <c r="D164" s="95"/>
      <c r="E164" s="95"/>
      <c r="F164" s="104"/>
      <c r="G164" s="97"/>
      <c r="H164" s="17"/>
      <c r="I164" s="17"/>
      <c r="J164" s="17"/>
      <c r="K164" s="17"/>
      <c r="L164" s="17"/>
      <c r="M164" s="17"/>
      <c r="N164" s="17"/>
    </row>
    <row r="165" spans="1:14" x14ac:dyDescent="0.2">
      <c r="A165" s="115" t="str">
        <f t="shared" si="2"/>
        <v/>
      </c>
      <c r="B165" s="94"/>
      <c r="C165" s="94"/>
      <c r="D165" s="95"/>
      <c r="E165" s="95"/>
      <c r="F165" s="104"/>
      <c r="G165" s="97"/>
      <c r="H165" s="17"/>
      <c r="I165" s="17"/>
      <c r="J165" s="17"/>
      <c r="K165" s="17"/>
      <c r="L165" s="17"/>
      <c r="M165" s="17"/>
      <c r="N165" s="17"/>
    </row>
    <row r="166" spans="1:14" x14ac:dyDescent="0.2">
      <c r="A166" s="115" t="str">
        <f t="shared" si="2"/>
        <v/>
      </c>
      <c r="B166" s="94"/>
      <c r="C166" s="94"/>
      <c r="D166" s="95"/>
      <c r="E166" s="95"/>
      <c r="F166" s="104"/>
      <c r="G166" s="97"/>
      <c r="H166" s="17"/>
      <c r="I166" s="17"/>
      <c r="J166" s="17"/>
      <c r="K166" s="17"/>
      <c r="L166" s="17"/>
      <c r="M166" s="17"/>
      <c r="N166" s="17"/>
    </row>
    <row r="167" spans="1:14" x14ac:dyDescent="0.2">
      <c r="A167" s="115" t="str">
        <f t="shared" si="2"/>
        <v/>
      </c>
      <c r="B167" s="94"/>
      <c r="C167" s="94"/>
      <c r="D167" s="95"/>
      <c r="E167" s="95"/>
      <c r="F167" s="104"/>
      <c r="G167" s="97"/>
      <c r="H167" s="17"/>
      <c r="I167" s="17"/>
      <c r="J167" s="17"/>
      <c r="K167" s="17"/>
      <c r="L167" s="17"/>
      <c r="M167" s="17"/>
      <c r="N167" s="17"/>
    </row>
    <row r="168" spans="1:14" x14ac:dyDescent="0.2">
      <c r="A168" s="115" t="str">
        <f t="shared" si="2"/>
        <v/>
      </c>
      <c r="B168" s="94"/>
      <c r="C168" s="94"/>
      <c r="D168" s="95"/>
      <c r="E168" s="95"/>
      <c r="F168" s="104"/>
      <c r="G168" s="97"/>
      <c r="H168" s="17"/>
      <c r="I168" s="17"/>
      <c r="J168" s="17"/>
      <c r="K168" s="17"/>
      <c r="L168" s="17"/>
      <c r="M168" s="17"/>
      <c r="N168" s="17"/>
    </row>
    <row r="169" spans="1:14" x14ac:dyDescent="0.2">
      <c r="A169" s="115" t="str">
        <f t="shared" si="2"/>
        <v/>
      </c>
      <c r="B169" s="94"/>
      <c r="C169" s="94"/>
      <c r="D169" s="95"/>
      <c r="E169" s="95"/>
      <c r="F169" s="104"/>
      <c r="G169" s="97"/>
      <c r="H169" s="17"/>
      <c r="I169" s="17"/>
      <c r="J169" s="17"/>
      <c r="K169" s="17"/>
      <c r="L169" s="17"/>
      <c r="M169" s="17"/>
      <c r="N169" s="17"/>
    </row>
    <row r="170" spans="1:14" x14ac:dyDescent="0.2">
      <c r="A170" s="115" t="str">
        <f t="shared" si="2"/>
        <v/>
      </c>
      <c r="B170" s="94"/>
      <c r="C170" s="94"/>
      <c r="D170" s="95"/>
      <c r="E170" s="95"/>
      <c r="F170" s="104"/>
      <c r="G170" s="97"/>
      <c r="H170" s="17"/>
      <c r="I170" s="17"/>
      <c r="J170" s="17"/>
      <c r="K170" s="17"/>
      <c r="L170" s="17"/>
      <c r="M170" s="17"/>
      <c r="N170" s="17"/>
    </row>
    <row r="171" spans="1:14" x14ac:dyDescent="0.2">
      <c r="A171" s="115" t="str">
        <f t="shared" si="2"/>
        <v/>
      </c>
      <c r="B171" s="94"/>
      <c r="C171" s="94"/>
      <c r="D171" s="95"/>
      <c r="E171" s="95"/>
      <c r="F171" s="104"/>
      <c r="G171" s="97"/>
      <c r="H171" s="17"/>
      <c r="I171" s="17"/>
      <c r="J171" s="17"/>
      <c r="K171" s="17"/>
      <c r="L171" s="17"/>
      <c r="M171" s="17"/>
      <c r="N171" s="17"/>
    </row>
    <row r="172" spans="1:14" x14ac:dyDescent="0.2">
      <c r="A172" s="115" t="str">
        <f t="shared" si="2"/>
        <v/>
      </c>
      <c r="B172" s="94"/>
      <c r="C172" s="94"/>
      <c r="D172" s="95"/>
      <c r="E172" s="95"/>
      <c r="F172" s="104"/>
      <c r="G172" s="97"/>
      <c r="H172" s="17"/>
      <c r="I172" s="17"/>
      <c r="J172" s="17"/>
      <c r="K172" s="17"/>
      <c r="L172" s="17"/>
      <c r="M172" s="17"/>
      <c r="N172" s="17"/>
    </row>
    <row r="173" spans="1:14" x14ac:dyDescent="0.2">
      <c r="A173" s="115" t="str">
        <f t="shared" si="2"/>
        <v/>
      </c>
      <c r="B173" s="94"/>
      <c r="C173" s="94"/>
      <c r="D173" s="95"/>
      <c r="E173" s="95"/>
      <c r="F173" s="104"/>
      <c r="G173" s="97"/>
      <c r="H173" s="17"/>
      <c r="I173" s="17"/>
      <c r="J173" s="17"/>
      <c r="K173" s="17"/>
      <c r="L173" s="17"/>
      <c r="M173" s="17"/>
      <c r="N173" s="17"/>
    </row>
    <row r="174" spans="1:14" x14ac:dyDescent="0.2">
      <c r="A174" s="115" t="str">
        <f t="shared" si="2"/>
        <v/>
      </c>
      <c r="B174" s="94"/>
      <c r="C174" s="94"/>
      <c r="D174" s="95"/>
      <c r="E174" s="95"/>
      <c r="F174" s="104"/>
      <c r="G174" s="97"/>
      <c r="H174" s="17"/>
      <c r="I174" s="17"/>
      <c r="J174" s="17"/>
      <c r="K174" s="17"/>
      <c r="L174" s="17"/>
      <c r="M174" s="17"/>
      <c r="N174" s="17"/>
    </row>
    <row r="175" spans="1:14" x14ac:dyDescent="0.2">
      <c r="A175" s="115" t="str">
        <f t="shared" si="2"/>
        <v/>
      </c>
      <c r="B175" s="94"/>
      <c r="C175" s="94"/>
      <c r="D175" s="95"/>
      <c r="E175" s="95"/>
      <c r="F175" s="104"/>
      <c r="G175" s="97"/>
      <c r="H175" s="17"/>
      <c r="I175" s="17"/>
      <c r="J175" s="17"/>
      <c r="K175" s="17"/>
      <c r="L175" s="17"/>
      <c r="M175" s="17"/>
      <c r="N175" s="17"/>
    </row>
    <row r="176" spans="1:14" x14ac:dyDescent="0.2">
      <c r="A176" s="115" t="str">
        <f t="shared" si="2"/>
        <v/>
      </c>
      <c r="B176" s="94"/>
      <c r="C176" s="94"/>
      <c r="D176" s="95"/>
      <c r="E176" s="95"/>
      <c r="F176" s="104"/>
      <c r="G176" s="97"/>
      <c r="H176" s="17"/>
      <c r="I176" s="17"/>
      <c r="J176" s="17"/>
      <c r="K176" s="17"/>
      <c r="L176" s="17"/>
      <c r="M176" s="17"/>
      <c r="N176" s="17"/>
    </row>
    <row r="177" spans="1:14" x14ac:dyDescent="0.2">
      <c r="A177" s="115" t="str">
        <f t="shared" si="2"/>
        <v/>
      </c>
      <c r="B177" s="94"/>
      <c r="C177" s="94"/>
      <c r="D177" s="95"/>
      <c r="E177" s="95"/>
      <c r="F177" s="104"/>
      <c r="G177" s="97"/>
      <c r="H177" s="17"/>
      <c r="I177" s="17"/>
      <c r="J177" s="17"/>
      <c r="K177" s="17"/>
      <c r="L177" s="17"/>
      <c r="M177" s="17"/>
      <c r="N177" s="17"/>
    </row>
    <row r="178" spans="1:14" x14ac:dyDescent="0.2">
      <c r="A178" s="115" t="str">
        <f t="shared" si="2"/>
        <v/>
      </c>
      <c r="B178" s="94"/>
      <c r="C178" s="94"/>
      <c r="D178" s="95"/>
      <c r="E178" s="95"/>
      <c r="F178" s="104"/>
      <c r="G178" s="97"/>
      <c r="H178" s="17"/>
      <c r="I178" s="17"/>
      <c r="J178" s="17"/>
      <c r="K178" s="17"/>
      <c r="L178" s="17"/>
      <c r="M178" s="17"/>
      <c r="N178" s="17"/>
    </row>
    <row r="179" spans="1:14" x14ac:dyDescent="0.2">
      <c r="A179" s="115" t="str">
        <f t="shared" si="2"/>
        <v/>
      </c>
      <c r="B179" s="94"/>
      <c r="C179" s="94"/>
      <c r="D179" s="95"/>
      <c r="E179" s="95"/>
      <c r="F179" s="104"/>
      <c r="G179" s="97"/>
      <c r="H179" s="17"/>
      <c r="I179" s="17"/>
      <c r="J179" s="17"/>
      <c r="K179" s="17"/>
      <c r="L179" s="17"/>
      <c r="M179" s="17"/>
      <c r="N179" s="17"/>
    </row>
    <row r="180" spans="1:14" x14ac:dyDescent="0.2">
      <c r="A180" s="115" t="str">
        <f t="shared" si="2"/>
        <v/>
      </c>
      <c r="B180" s="94"/>
      <c r="C180" s="94"/>
      <c r="D180" s="95"/>
      <c r="E180" s="95"/>
      <c r="F180" s="104"/>
      <c r="G180" s="97"/>
      <c r="H180" s="17"/>
      <c r="I180" s="17"/>
      <c r="J180" s="17"/>
      <c r="K180" s="17"/>
      <c r="L180" s="17"/>
      <c r="M180" s="17"/>
      <c r="N180" s="17"/>
    </row>
    <row r="181" spans="1:14" x14ac:dyDescent="0.2">
      <c r="A181" s="115" t="str">
        <f t="shared" si="2"/>
        <v/>
      </c>
      <c r="B181" s="94"/>
      <c r="C181" s="94"/>
      <c r="D181" s="95"/>
      <c r="E181" s="95"/>
      <c r="F181" s="104"/>
      <c r="G181" s="97"/>
      <c r="H181" s="17"/>
      <c r="I181" s="17"/>
      <c r="J181" s="17"/>
      <c r="K181" s="17"/>
      <c r="L181" s="17"/>
      <c r="M181" s="17"/>
      <c r="N181" s="17"/>
    </row>
    <row r="182" spans="1:14" x14ac:dyDescent="0.2">
      <c r="A182" s="115" t="str">
        <f t="shared" si="2"/>
        <v/>
      </c>
      <c r="B182" s="94"/>
      <c r="C182" s="94"/>
      <c r="D182" s="95"/>
      <c r="E182" s="95"/>
      <c r="F182" s="104"/>
      <c r="G182" s="97"/>
      <c r="H182" s="17"/>
      <c r="I182" s="17"/>
      <c r="J182" s="17"/>
      <c r="K182" s="17"/>
      <c r="L182" s="17"/>
      <c r="M182" s="17"/>
      <c r="N182" s="17"/>
    </row>
    <row r="183" spans="1:14" x14ac:dyDescent="0.2">
      <c r="A183" s="115" t="str">
        <f t="shared" si="2"/>
        <v/>
      </c>
      <c r="B183" s="94"/>
      <c r="C183" s="94"/>
      <c r="D183" s="95"/>
      <c r="E183" s="95"/>
      <c r="F183" s="104"/>
      <c r="G183" s="97"/>
      <c r="H183" s="17"/>
      <c r="I183" s="17"/>
      <c r="J183" s="17"/>
      <c r="K183" s="17"/>
      <c r="L183" s="17"/>
      <c r="M183" s="17"/>
      <c r="N183" s="17"/>
    </row>
    <row r="184" spans="1:14" x14ac:dyDescent="0.2">
      <c r="A184" s="115" t="str">
        <f t="shared" si="2"/>
        <v/>
      </c>
      <c r="B184" s="94"/>
      <c r="C184" s="94"/>
      <c r="D184" s="95"/>
      <c r="E184" s="95"/>
      <c r="F184" s="104"/>
      <c r="G184" s="97"/>
      <c r="H184" s="17"/>
      <c r="I184" s="17"/>
      <c r="J184" s="17"/>
      <c r="K184" s="17"/>
      <c r="L184" s="17"/>
      <c r="M184" s="17"/>
      <c r="N184" s="17"/>
    </row>
    <row r="185" spans="1:14" x14ac:dyDescent="0.2">
      <c r="A185" s="115" t="str">
        <f t="shared" si="2"/>
        <v/>
      </c>
      <c r="B185" s="94"/>
      <c r="C185" s="94"/>
      <c r="D185" s="95"/>
      <c r="E185" s="95"/>
      <c r="F185" s="104"/>
      <c r="G185" s="97"/>
      <c r="H185" s="17"/>
      <c r="I185" s="17"/>
      <c r="J185" s="17"/>
      <c r="K185" s="17"/>
      <c r="L185" s="17"/>
      <c r="M185" s="17"/>
      <c r="N185" s="17"/>
    </row>
    <row r="186" spans="1:14" x14ac:dyDescent="0.2">
      <c r="A186" s="115" t="str">
        <f t="shared" si="2"/>
        <v/>
      </c>
      <c r="B186" s="94"/>
      <c r="C186" s="94"/>
      <c r="D186" s="95"/>
      <c r="E186" s="95"/>
      <c r="F186" s="104"/>
      <c r="G186" s="97"/>
      <c r="H186" s="17"/>
      <c r="I186" s="17"/>
      <c r="J186" s="17"/>
      <c r="K186" s="17"/>
      <c r="L186" s="17"/>
      <c r="M186" s="17"/>
      <c r="N186" s="17"/>
    </row>
    <row r="187" spans="1:14" x14ac:dyDescent="0.2">
      <c r="A187" s="115" t="str">
        <f t="shared" si="2"/>
        <v/>
      </c>
      <c r="B187" s="94"/>
      <c r="C187" s="94"/>
      <c r="D187" s="95"/>
      <c r="E187" s="95"/>
      <c r="F187" s="104"/>
      <c r="G187" s="97"/>
      <c r="H187" s="17"/>
      <c r="I187" s="17"/>
      <c r="J187" s="17"/>
      <c r="K187" s="17"/>
      <c r="L187" s="17"/>
      <c r="M187" s="17"/>
      <c r="N187" s="17"/>
    </row>
    <row r="188" spans="1:14" x14ac:dyDescent="0.2">
      <c r="A188" s="115" t="str">
        <f t="shared" si="2"/>
        <v/>
      </c>
      <c r="B188" s="94"/>
      <c r="C188" s="94"/>
      <c r="D188" s="95"/>
      <c r="E188" s="95"/>
      <c r="F188" s="104"/>
      <c r="G188" s="97"/>
      <c r="H188" s="17"/>
      <c r="I188" s="17"/>
      <c r="J188" s="17"/>
      <c r="K188" s="17"/>
      <c r="L188" s="17"/>
      <c r="M188" s="17"/>
      <c r="N188" s="17"/>
    </row>
    <row r="189" spans="1:14" x14ac:dyDescent="0.2">
      <c r="A189" s="115" t="str">
        <f t="shared" si="2"/>
        <v/>
      </c>
      <c r="B189" s="94"/>
      <c r="C189" s="94"/>
      <c r="D189" s="95"/>
      <c r="E189" s="95"/>
      <c r="F189" s="104"/>
      <c r="G189" s="97"/>
      <c r="H189" s="17"/>
      <c r="I189" s="17"/>
      <c r="J189" s="17"/>
      <c r="K189" s="17"/>
      <c r="L189" s="17"/>
      <c r="M189" s="17"/>
      <c r="N189" s="17"/>
    </row>
    <row r="190" spans="1:14" x14ac:dyDescent="0.2">
      <c r="A190" s="115" t="str">
        <f t="shared" si="2"/>
        <v/>
      </c>
      <c r="B190" s="94"/>
      <c r="C190" s="94"/>
      <c r="D190" s="95"/>
      <c r="E190" s="95"/>
      <c r="F190" s="104"/>
      <c r="G190" s="97"/>
      <c r="H190" s="17"/>
      <c r="I190" s="17"/>
      <c r="J190" s="17"/>
      <c r="K190" s="17"/>
      <c r="L190" s="17"/>
      <c r="M190" s="17"/>
      <c r="N190" s="17"/>
    </row>
    <row r="191" spans="1:14" x14ac:dyDescent="0.2">
      <c r="A191" s="115" t="str">
        <f t="shared" si="2"/>
        <v/>
      </c>
      <c r="B191" s="94"/>
      <c r="C191" s="94"/>
      <c r="D191" s="95"/>
      <c r="E191" s="95"/>
      <c r="F191" s="104"/>
      <c r="G191" s="97"/>
      <c r="H191" s="17"/>
      <c r="I191" s="17"/>
      <c r="J191" s="17"/>
      <c r="K191" s="17"/>
      <c r="L191" s="17"/>
      <c r="M191" s="17"/>
      <c r="N191" s="17"/>
    </row>
    <row r="192" spans="1:14" x14ac:dyDescent="0.2">
      <c r="A192" s="115" t="str">
        <f t="shared" si="2"/>
        <v/>
      </c>
      <c r="B192" s="94"/>
      <c r="C192" s="94"/>
      <c r="D192" s="95"/>
      <c r="E192" s="95"/>
      <c r="F192" s="104"/>
      <c r="G192" s="97"/>
      <c r="H192" s="17"/>
      <c r="I192" s="17"/>
      <c r="J192" s="17"/>
      <c r="K192" s="17"/>
      <c r="L192" s="17"/>
      <c r="M192" s="17"/>
      <c r="N192" s="17"/>
    </row>
    <row r="193" spans="1:14" x14ac:dyDescent="0.2">
      <c r="A193" s="115" t="str">
        <f t="shared" si="2"/>
        <v/>
      </c>
      <c r="B193" s="94"/>
      <c r="C193" s="94"/>
      <c r="D193" s="95"/>
      <c r="E193" s="95"/>
      <c r="F193" s="104"/>
      <c r="G193" s="97"/>
      <c r="H193" s="17"/>
      <c r="I193" s="17"/>
      <c r="J193" s="17"/>
      <c r="K193" s="17"/>
      <c r="L193" s="17"/>
      <c r="M193" s="17"/>
      <c r="N193" s="17"/>
    </row>
    <row r="194" spans="1:14" x14ac:dyDescent="0.2">
      <c r="A194" s="115" t="str">
        <f t="shared" si="2"/>
        <v/>
      </c>
      <c r="B194" s="94"/>
      <c r="C194" s="94"/>
      <c r="D194" s="95"/>
      <c r="E194" s="95"/>
      <c r="F194" s="104"/>
      <c r="G194" s="97"/>
      <c r="H194" s="17"/>
      <c r="I194" s="17"/>
      <c r="J194" s="17"/>
      <c r="K194" s="17"/>
      <c r="L194" s="17"/>
      <c r="M194" s="17"/>
      <c r="N194" s="17"/>
    </row>
    <row r="195" spans="1:14" x14ac:dyDescent="0.2">
      <c r="A195" s="115" t="str">
        <f t="shared" si="2"/>
        <v/>
      </c>
      <c r="B195" s="94"/>
      <c r="C195" s="94"/>
      <c r="D195" s="95"/>
      <c r="E195" s="95"/>
      <c r="F195" s="104"/>
      <c r="G195" s="97"/>
      <c r="H195" s="17"/>
      <c r="I195" s="17"/>
      <c r="J195" s="17"/>
      <c r="K195" s="17"/>
      <c r="L195" s="17"/>
      <c r="M195" s="17"/>
      <c r="N195" s="17"/>
    </row>
    <row r="196" spans="1:14" x14ac:dyDescent="0.2">
      <c r="A196" s="115" t="str">
        <f t="shared" si="2"/>
        <v/>
      </c>
      <c r="B196" s="94"/>
      <c r="C196" s="94"/>
      <c r="D196" s="95"/>
      <c r="E196" s="95"/>
      <c r="F196" s="104"/>
      <c r="G196" s="97"/>
      <c r="H196" s="17"/>
      <c r="I196" s="17"/>
      <c r="J196" s="17"/>
      <c r="K196" s="17"/>
      <c r="L196" s="17"/>
      <c r="M196" s="17"/>
      <c r="N196" s="17"/>
    </row>
    <row r="197" spans="1:14" x14ac:dyDescent="0.2">
      <c r="A197" s="115" t="str">
        <f t="shared" si="2"/>
        <v/>
      </c>
      <c r="B197" s="94"/>
      <c r="C197" s="94"/>
      <c r="D197" s="95"/>
      <c r="E197" s="95"/>
      <c r="F197" s="104"/>
      <c r="G197" s="97"/>
      <c r="H197" s="17"/>
      <c r="I197" s="17"/>
      <c r="J197" s="17"/>
      <c r="K197" s="17"/>
      <c r="L197" s="17"/>
      <c r="M197" s="17"/>
      <c r="N197" s="17"/>
    </row>
    <row r="198" spans="1:14" x14ac:dyDescent="0.2">
      <c r="A198" s="115" t="str">
        <f t="shared" si="2"/>
        <v/>
      </c>
      <c r="B198" s="94"/>
      <c r="C198" s="94"/>
      <c r="D198" s="95"/>
      <c r="E198" s="95"/>
      <c r="F198" s="104"/>
      <c r="G198" s="97"/>
      <c r="H198" s="17"/>
      <c r="I198" s="17"/>
      <c r="J198" s="17"/>
      <c r="K198" s="17"/>
      <c r="L198" s="17"/>
      <c r="M198" s="17"/>
      <c r="N198" s="17"/>
    </row>
    <row r="199" spans="1:14" x14ac:dyDescent="0.2">
      <c r="A199" s="115" t="str">
        <f t="shared" si="2"/>
        <v/>
      </c>
      <c r="B199" s="94"/>
      <c r="C199" s="94"/>
      <c r="D199" s="95"/>
      <c r="E199" s="95"/>
      <c r="F199" s="104"/>
      <c r="G199" s="97"/>
      <c r="H199" s="17"/>
      <c r="I199" s="17"/>
      <c r="J199" s="17"/>
      <c r="K199" s="17"/>
      <c r="L199" s="17"/>
      <c r="M199" s="17"/>
      <c r="N199" s="17"/>
    </row>
    <row r="200" spans="1:14" x14ac:dyDescent="0.2">
      <c r="A200" s="115" t="str">
        <f t="shared" si="2"/>
        <v/>
      </c>
      <c r="B200" s="94"/>
      <c r="C200" s="94"/>
      <c r="D200" s="95"/>
      <c r="E200" s="95"/>
      <c r="F200" s="104"/>
      <c r="G200" s="97"/>
      <c r="H200" s="17"/>
      <c r="I200" s="17"/>
      <c r="J200" s="17"/>
      <c r="K200" s="17"/>
      <c r="L200" s="17"/>
      <c r="M200" s="17"/>
      <c r="N200" s="17"/>
    </row>
    <row r="201" spans="1:14" x14ac:dyDescent="0.2">
      <c r="A201" s="115" t="str">
        <f t="shared" si="2"/>
        <v/>
      </c>
      <c r="B201" s="94"/>
      <c r="C201" s="94"/>
      <c r="D201" s="95"/>
      <c r="E201" s="95"/>
      <c r="F201" s="104"/>
      <c r="G201" s="97"/>
      <c r="H201" s="17"/>
      <c r="I201" s="17"/>
      <c r="J201" s="17"/>
      <c r="K201" s="17"/>
      <c r="L201" s="17"/>
      <c r="M201" s="17"/>
      <c r="N201" s="17"/>
    </row>
    <row r="202" spans="1:14" x14ac:dyDescent="0.2">
      <c r="A202" s="115" t="str">
        <f t="shared" si="2"/>
        <v/>
      </c>
      <c r="B202" s="94"/>
      <c r="C202" s="94"/>
      <c r="D202" s="95"/>
      <c r="E202" s="95"/>
      <c r="F202" s="104"/>
      <c r="G202" s="97"/>
      <c r="H202" s="17"/>
      <c r="I202" s="17"/>
      <c r="J202" s="17"/>
      <c r="K202" s="17"/>
      <c r="L202" s="17"/>
      <c r="M202" s="17"/>
      <c r="N202" s="17"/>
    </row>
    <row r="203" spans="1:14" x14ac:dyDescent="0.2">
      <c r="A203" s="115" t="str">
        <f t="shared" si="2"/>
        <v/>
      </c>
      <c r="B203" s="94"/>
      <c r="C203" s="94"/>
      <c r="D203" s="95"/>
      <c r="E203" s="95"/>
      <c r="F203" s="104"/>
      <c r="G203" s="97"/>
      <c r="H203" s="17"/>
      <c r="I203" s="17"/>
      <c r="J203" s="17"/>
      <c r="K203" s="17"/>
      <c r="L203" s="17"/>
      <c r="M203" s="17"/>
      <c r="N203" s="17"/>
    </row>
    <row r="204" spans="1:14" x14ac:dyDescent="0.2">
      <c r="A204" s="115" t="str">
        <f t="shared" si="2"/>
        <v/>
      </c>
      <c r="B204" s="94"/>
      <c r="C204" s="94"/>
      <c r="D204" s="95"/>
      <c r="E204" s="95"/>
      <c r="F204" s="104"/>
      <c r="G204" s="97"/>
      <c r="H204" s="17"/>
      <c r="I204" s="17"/>
      <c r="J204" s="17"/>
      <c r="K204" s="17"/>
      <c r="L204" s="17"/>
      <c r="M204" s="17"/>
      <c r="N204" s="17"/>
    </row>
    <row r="205" spans="1:14" x14ac:dyDescent="0.2">
      <c r="A205" s="115" t="str">
        <f t="shared" si="2"/>
        <v/>
      </c>
      <c r="B205" s="94"/>
      <c r="C205" s="94"/>
      <c r="D205" s="95"/>
      <c r="E205" s="95"/>
      <c r="F205" s="104"/>
      <c r="G205" s="97"/>
      <c r="H205" s="17"/>
      <c r="I205" s="17"/>
      <c r="J205" s="17"/>
      <c r="K205" s="17"/>
      <c r="L205" s="17"/>
      <c r="M205" s="17"/>
      <c r="N205" s="17"/>
    </row>
    <row r="206" spans="1:14" x14ac:dyDescent="0.2">
      <c r="A206" s="115" t="str">
        <f t="shared" si="2"/>
        <v/>
      </c>
      <c r="B206" s="94"/>
      <c r="C206" s="94"/>
      <c r="D206" s="95"/>
      <c r="E206" s="95"/>
      <c r="F206" s="104"/>
      <c r="G206" s="97"/>
      <c r="H206" s="17"/>
      <c r="I206" s="17"/>
      <c r="J206" s="17"/>
      <c r="K206" s="17"/>
      <c r="L206" s="17"/>
      <c r="M206" s="17"/>
      <c r="N206" s="17"/>
    </row>
    <row r="207" spans="1:14" x14ac:dyDescent="0.2">
      <c r="A207" s="115" t="str">
        <f t="shared" si="2"/>
        <v/>
      </c>
      <c r="B207" s="94"/>
      <c r="C207" s="94"/>
      <c r="D207" s="95"/>
      <c r="E207" s="95"/>
      <c r="F207" s="104"/>
      <c r="G207" s="97"/>
      <c r="H207" s="17"/>
      <c r="I207" s="17"/>
      <c r="J207" s="17"/>
      <c r="K207" s="17"/>
      <c r="L207" s="17"/>
      <c r="M207" s="17"/>
      <c r="N207" s="17"/>
    </row>
    <row r="208" spans="1:14" x14ac:dyDescent="0.2">
      <c r="A208" s="115" t="str">
        <f t="shared" si="2"/>
        <v/>
      </c>
      <c r="B208" s="94"/>
      <c r="C208" s="94"/>
      <c r="D208" s="95"/>
      <c r="E208" s="95"/>
      <c r="F208" s="104"/>
      <c r="G208" s="97"/>
      <c r="H208" s="17"/>
      <c r="I208" s="17"/>
      <c r="J208" s="17"/>
      <c r="K208" s="17"/>
      <c r="L208" s="17"/>
      <c r="M208" s="17"/>
      <c r="N208" s="17"/>
    </row>
    <row r="209" spans="1:14" x14ac:dyDescent="0.2">
      <c r="A209" s="115" t="str">
        <f t="shared" si="2"/>
        <v/>
      </c>
      <c r="B209" s="94"/>
      <c r="C209" s="94"/>
      <c r="D209" s="95"/>
      <c r="E209" s="95"/>
      <c r="F209" s="104"/>
      <c r="G209" s="97"/>
      <c r="H209" s="17"/>
      <c r="I209" s="17"/>
      <c r="J209" s="17"/>
      <c r="K209" s="17"/>
      <c r="L209" s="17"/>
      <c r="M209" s="17"/>
      <c r="N209" s="17"/>
    </row>
    <row r="210" spans="1:14" x14ac:dyDescent="0.2">
      <c r="A210" s="115" t="str">
        <f t="shared" si="2"/>
        <v/>
      </c>
      <c r="B210" s="94"/>
      <c r="C210" s="94"/>
      <c r="D210" s="95"/>
      <c r="E210" s="95"/>
      <c r="F210" s="104"/>
      <c r="G210" s="97"/>
      <c r="H210" s="17"/>
      <c r="I210" s="17"/>
      <c r="J210" s="17"/>
      <c r="K210" s="17"/>
      <c r="L210" s="17"/>
      <c r="M210" s="17"/>
      <c r="N210" s="17"/>
    </row>
    <row r="211" spans="1:14" x14ac:dyDescent="0.2">
      <c r="A211" s="115" t="str">
        <f t="shared" si="2"/>
        <v/>
      </c>
      <c r="B211" s="94"/>
      <c r="C211" s="94"/>
      <c r="D211" s="95"/>
      <c r="E211" s="95"/>
      <c r="F211" s="104"/>
      <c r="G211" s="97"/>
      <c r="H211" s="17"/>
      <c r="I211" s="17"/>
      <c r="J211" s="17"/>
      <c r="K211" s="17"/>
      <c r="L211" s="17"/>
      <c r="M211" s="17"/>
      <c r="N211" s="17"/>
    </row>
    <row r="212" spans="1:14" x14ac:dyDescent="0.2">
      <c r="A212" s="115" t="str">
        <f t="shared" si="2"/>
        <v/>
      </c>
      <c r="B212" s="94"/>
      <c r="C212" s="94"/>
      <c r="D212" s="95"/>
      <c r="E212" s="95"/>
      <c r="F212" s="104"/>
      <c r="G212" s="97"/>
      <c r="H212" s="17"/>
      <c r="I212" s="17"/>
      <c r="J212" s="17"/>
      <c r="K212" s="17"/>
      <c r="L212" s="17"/>
      <c r="M212" s="17"/>
      <c r="N212" s="17"/>
    </row>
    <row r="213" spans="1:14" x14ac:dyDescent="0.2">
      <c r="A213" s="115" t="str">
        <f t="shared" si="2"/>
        <v/>
      </c>
      <c r="B213" s="94"/>
      <c r="C213" s="94"/>
      <c r="D213" s="95"/>
      <c r="E213" s="95"/>
      <c r="F213" s="104"/>
      <c r="G213" s="97"/>
      <c r="H213" s="17"/>
      <c r="I213" s="17"/>
      <c r="J213" s="17"/>
      <c r="K213" s="17"/>
      <c r="L213" s="17"/>
      <c r="M213" s="17"/>
      <c r="N213" s="17"/>
    </row>
    <row r="214" spans="1:14" x14ac:dyDescent="0.2">
      <c r="A214" s="115" t="str">
        <f t="shared" si="2"/>
        <v/>
      </c>
      <c r="B214" s="94"/>
      <c r="C214" s="94"/>
      <c r="D214" s="95"/>
      <c r="E214" s="95"/>
      <c r="F214" s="104"/>
      <c r="G214" s="97"/>
      <c r="H214" s="17"/>
      <c r="I214" s="17"/>
      <c r="J214" s="17"/>
      <c r="K214" s="17"/>
      <c r="L214" s="17"/>
      <c r="M214" s="17"/>
      <c r="N214" s="17"/>
    </row>
    <row r="215" spans="1:14" x14ac:dyDescent="0.2">
      <c r="A215" s="115" t="str">
        <f t="shared" ref="A215:A278" si="3">IF(B215&lt;&gt;"", A214, "")</f>
        <v/>
      </c>
      <c r="B215" s="94"/>
      <c r="C215" s="94"/>
      <c r="D215" s="95"/>
      <c r="E215" s="95"/>
      <c r="F215" s="104"/>
      <c r="G215" s="97"/>
      <c r="H215" s="17"/>
      <c r="I215" s="17"/>
      <c r="J215" s="17"/>
      <c r="K215" s="17"/>
      <c r="L215" s="17"/>
      <c r="M215" s="17"/>
      <c r="N215" s="17"/>
    </row>
    <row r="216" spans="1:14" x14ac:dyDescent="0.2">
      <c r="A216" s="115" t="str">
        <f t="shared" si="3"/>
        <v/>
      </c>
      <c r="B216" s="94"/>
      <c r="C216" s="94"/>
      <c r="D216" s="95"/>
      <c r="E216" s="95"/>
      <c r="F216" s="104"/>
      <c r="G216" s="97"/>
      <c r="H216" s="17"/>
      <c r="I216" s="17"/>
      <c r="J216" s="17"/>
      <c r="K216" s="17"/>
      <c r="L216" s="17"/>
      <c r="M216" s="17"/>
      <c r="N216" s="17"/>
    </row>
    <row r="217" spans="1:14" x14ac:dyDescent="0.2">
      <c r="A217" s="115" t="str">
        <f t="shared" si="3"/>
        <v/>
      </c>
      <c r="B217" s="94"/>
      <c r="C217" s="94"/>
      <c r="D217" s="95"/>
      <c r="E217" s="95"/>
      <c r="F217" s="104"/>
      <c r="G217" s="97"/>
      <c r="H217" s="17"/>
      <c r="I217" s="17"/>
      <c r="J217" s="17"/>
      <c r="K217" s="17"/>
      <c r="L217" s="17"/>
      <c r="M217" s="17"/>
      <c r="N217" s="17"/>
    </row>
    <row r="218" spans="1:14" x14ac:dyDescent="0.2">
      <c r="A218" s="115" t="str">
        <f t="shared" si="3"/>
        <v/>
      </c>
      <c r="B218" s="94"/>
      <c r="C218" s="94"/>
      <c r="D218" s="95"/>
      <c r="E218" s="95"/>
      <c r="F218" s="104"/>
      <c r="G218" s="97"/>
      <c r="H218" s="17"/>
      <c r="I218" s="17"/>
      <c r="J218" s="17"/>
      <c r="K218" s="17"/>
      <c r="L218" s="17"/>
      <c r="M218" s="17"/>
      <c r="N218" s="17"/>
    </row>
    <row r="219" spans="1:14" x14ac:dyDescent="0.2">
      <c r="A219" s="115" t="str">
        <f t="shared" si="3"/>
        <v/>
      </c>
      <c r="B219" s="94"/>
      <c r="C219" s="94"/>
      <c r="D219" s="95"/>
      <c r="E219" s="95"/>
      <c r="F219" s="104"/>
      <c r="G219" s="97"/>
      <c r="H219" s="17"/>
      <c r="I219" s="17"/>
      <c r="J219" s="17"/>
      <c r="K219" s="17"/>
      <c r="L219" s="17"/>
      <c r="M219" s="17"/>
      <c r="N219" s="17"/>
    </row>
    <row r="220" spans="1:14" x14ac:dyDescent="0.2">
      <c r="A220" s="115" t="str">
        <f t="shared" si="3"/>
        <v/>
      </c>
      <c r="B220" s="94"/>
      <c r="C220" s="94"/>
      <c r="D220" s="95"/>
      <c r="E220" s="95"/>
      <c r="F220" s="104"/>
      <c r="G220" s="97"/>
      <c r="H220" s="17"/>
      <c r="I220" s="17"/>
      <c r="J220" s="17"/>
      <c r="K220" s="17"/>
      <c r="L220" s="17"/>
      <c r="M220" s="17"/>
      <c r="N220" s="17"/>
    </row>
    <row r="221" spans="1:14" x14ac:dyDescent="0.2">
      <c r="A221" s="115" t="str">
        <f t="shared" si="3"/>
        <v/>
      </c>
      <c r="B221" s="94"/>
      <c r="C221" s="94"/>
      <c r="D221" s="95"/>
      <c r="E221" s="95"/>
      <c r="F221" s="104"/>
      <c r="G221" s="97"/>
      <c r="H221" s="17"/>
      <c r="I221" s="17"/>
      <c r="J221" s="17"/>
      <c r="K221" s="17"/>
      <c r="L221" s="17"/>
      <c r="M221" s="17"/>
      <c r="N221" s="17"/>
    </row>
    <row r="222" spans="1:14" x14ac:dyDescent="0.2">
      <c r="A222" s="115" t="str">
        <f t="shared" si="3"/>
        <v/>
      </c>
      <c r="B222" s="94"/>
      <c r="C222" s="94"/>
      <c r="D222" s="95"/>
      <c r="E222" s="95"/>
      <c r="F222" s="104"/>
      <c r="G222" s="97"/>
      <c r="H222" s="17"/>
      <c r="I222" s="17"/>
      <c r="J222" s="17"/>
      <c r="K222" s="17"/>
      <c r="L222" s="17"/>
      <c r="M222" s="17"/>
      <c r="N222" s="17"/>
    </row>
    <row r="223" spans="1:14" x14ac:dyDescent="0.2">
      <c r="A223" s="115" t="str">
        <f t="shared" si="3"/>
        <v/>
      </c>
      <c r="B223" s="94"/>
      <c r="C223" s="94"/>
      <c r="D223" s="95"/>
      <c r="E223" s="95"/>
      <c r="F223" s="104"/>
      <c r="G223" s="97"/>
      <c r="H223" s="17"/>
      <c r="I223" s="17"/>
      <c r="J223" s="17"/>
      <c r="K223" s="17"/>
      <c r="L223" s="17"/>
      <c r="M223" s="17"/>
      <c r="N223" s="17"/>
    </row>
    <row r="224" spans="1:14" x14ac:dyDescent="0.2">
      <c r="A224" s="115" t="str">
        <f t="shared" si="3"/>
        <v/>
      </c>
      <c r="B224" s="94"/>
      <c r="C224" s="94"/>
      <c r="D224" s="95"/>
      <c r="E224" s="95"/>
      <c r="F224" s="104"/>
      <c r="G224" s="97"/>
      <c r="H224" s="17"/>
      <c r="I224" s="17"/>
      <c r="J224" s="17"/>
      <c r="K224" s="17"/>
      <c r="L224" s="17"/>
      <c r="M224" s="17"/>
      <c r="N224" s="17"/>
    </row>
    <row r="225" spans="1:14" x14ac:dyDescent="0.2">
      <c r="A225" s="115" t="str">
        <f t="shared" si="3"/>
        <v/>
      </c>
      <c r="B225" s="94"/>
      <c r="C225" s="94"/>
      <c r="D225" s="95"/>
      <c r="E225" s="95"/>
      <c r="F225" s="104"/>
      <c r="G225" s="97"/>
      <c r="H225" s="17"/>
      <c r="I225" s="17"/>
      <c r="J225" s="17"/>
      <c r="K225" s="17"/>
      <c r="L225" s="17"/>
      <c r="M225" s="17"/>
      <c r="N225" s="17"/>
    </row>
    <row r="226" spans="1:14" x14ac:dyDescent="0.2">
      <c r="A226" s="115" t="str">
        <f t="shared" si="3"/>
        <v/>
      </c>
      <c r="B226" s="94"/>
      <c r="C226" s="94"/>
      <c r="D226" s="95"/>
      <c r="E226" s="95"/>
      <c r="F226" s="104"/>
      <c r="G226" s="97"/>
      <c r="H226" s="17"/>
      <c r="I226" s="17"/>
      <c r="J226" s="17"/>
      <c r="K226" s="17"/>
      <c r="L226" s="17"/>
      <c r="M226" s="17"/>
      <c r="N226" s="17"/>
    </row>
    <row r="227" spans="1:14" x14ac:dyDescent="0.2">
      <c r="A227" s="115" t="str">
        <f t="shared" si="3"/>
        <v/>
      </c>
      <c r="B227" s="94"/>
      <c r="C227" s="94"/>
      <c r="D227" s="95"/>
      <c r="E227" s="95"/>
      <c r="F227" s="104"/>
      <c r="G227" s="97"/>
      <c r="H227" s="17"/>
      <c r="I227" s="17"/>
      <c r="J227" s="17"/>
      <c r="K227" s="17"/>
      <c r="L227" s="17"/>
      <c r="M227" s="17"/>
      <c r="N227" s="17"/>
    </row>
    <row r="228" spans="1:14" x14ac:dyDescent="0.2">
      <c r="A228" s="115" t="str">
        <f t="shared" si="3"/>
        <v/>
      </c>
      <c r="B228" s="94"/>
      <c r="C228" s="94"/>
      <c r="D228" s="95"/>
      <c r="E228" s="95"/>
      <c r="F228" s="104"/>
      <c r="G228" s="97"/>
      <c r="H228" s="17"/>
      <c r="I228" s="17"/>
      <c r="J228" s="17"/>
      <c r="K228" s="17"/>
      <c r="L228" s="17"/>
      <c r="M228" s="17"/>
      <c r="N228" s="17"/>
    </row>
    <row r="229" spans="1:14" x14ac:dyDescent="0.2">
      <c r="A229" s="115" t="str">
        <f t="shared" si="3"/>
        <v/>
      </c>
      <c r="B229" s="94"/>
      <c r="C229" s="94"/>
      <c r="D229" s="95"/>
      <c r="E229" s="95"/>
      <c r="F229" s="104"/>
      <c r="G229" s="97"/>
      <c r="H229" s="17"/>
      <c r="I229" s="17"/>
      <c r="J229" s="17"/>
      <c r="K229" s="17"/>
      <c r="L229" s="17"/>
      <c r="M229" s="17"/>
      <c r="N229" s="17"/>
    </row>
    <row r="230" spans="1:14" x14ac:dyDescent="0.2">
      <c r="A230" s="115" t="str">
        <f t="shared" si="3"/>
        <v/>
      </c>
      <c r="B230" s="94"/>
      <c r="C230" s="94"/>
      <c r="D230" s="95"/>
      <c r="E230" s="95"/>
      <c r="F230" s="104"/>
      <c r="G230" s="97"/>
      <c r="H230" s="17"/>
      <c r="I230" s="17"/>
      <c r="J230" s="17"/>
      <c r="K230" s="17"/>
      <c r="L230" s="17"/>
      <c r="M230" s="17"/>
      <c r="N230" s="17"/>
    </row>
    <row r="231" spans="1:14" x14ac:dyDescent="0.2">
      <c r="A231" s="115" t="str">
        <f t="shared" si="3"/>
        <v/>
      </c>
      <c r="B231" s="94"/>
      <c r="C231" s="94"/>
      <c r="D231" s="95"/>
      <c r="E231" s="95"/>
      <c r="F231" s="104"/>
      <c r="G231" s="97"/>
      <c r="H231" s="17"/>
      <c r="I231" s="17"/>
      <c r="J231" s="17"/>
      <c r="K231" s="17"/>
      <c r="L231" s="17"/>
      <c r="M231" s="17"/>
      <c r="N231" s="17"/>
    </row>
    <row r="232" spans="1:14" x14ac:dyDescent="0.2">
      <c r="A232" s="115" t="str">
        <f t="shared" si="3"/>
        <v/>
      </c>
      <c r="B232" s="94"/>
      <c r="C232" s="94"/>
      <c r="D232" s="95"/>
      <c r="E232" s="95"/>
      <c r="F232" s="104"/>
      <c r="G232" s="97"/>
      <c r="H232" s="17"/>
      <c r="I232" s="17"/>
      <c r="J232" s="17"/>
      <c r="K232" s="17"/>
      <c r="L232" s="17"/>
      <c r="M232" s="17"/>
      <c r="N232" s="17"/>
    </row>
    <row r="233" spans="1:14" x14ac:dyDescent="0.2">
      <c r="A233" s="115" t="str">
        <f t="shared" si="3"/>
        <v/>
      </c>
      <c r="B233" s="94"/>
      <c r="C233" s="94"/>
      <c r="D233" s="95"/>
      <c r="E233" s="95"/>
      <c r="F233" s="104"/>
      <c r="G233" s="97"/>
      <c r="H233" s="17"/>
      <c r="I233" s="17"/>
      <c r="J233" s="17"/>
      <c r="K233" s="17"/>
      <c r="L233" s="17"/>
      <c r="M233" s="17"/>
      <c r="N233" s="17"/>
    </row>
    <row r="234" spans="1:14" x14ac:dyDescent="0.2">
      <c r="A234" s="115" t="str">
        <f t="shared" si="3"/>
        <v/>
      </c>
      <c r="B234" s="94"/>
      <c r="C234" s="94"/>
      <c r="D234" s="95"/>
      <c r="E234" s="95"/>
      <c r="F234" s="104"/>
      <c r="G234" s="97"/>
      <c r="H234" s="17"/>
      <c r="I234" s="17"/>
      <c r="J234" s="17"/>
      <c r="K234" s="17"/>
      <c r="L234" s="17"/>
      <c r="M234" s="17"/>
      <c r="N234" s="17"/>
    </row>
    <row r="235" spans="1:14" x14ac:dyDescent="0.2">
      <c r="A235" s="115" t="str">
        <f t="shared" si="3"/>
        <v/>
      </c>
      <c r="B235" s="94"/>
      <c r="C235" s="94"/>
      <c r="D235" s="95"/>
      <c r="E235" s="95"/>
      <c r="F235" s="104"/>
      <c r="G235" s="97"/>
      <c r="H235" s="17"/>
      <c r="I235" s="17"/>
      <c r="J235" s="17"/>
      <c r="K235" s="17"/>
      <c r="L235" s="17"/>
      <c r="M235" s="17"/>
      <c r="N235" s="17"/>
    </row>
    <row r="236" spans="1:14" x14ac:dyDescent="0.2">
      <c r="A236" s="115" t="str">
        <f t="shared" si="3"/>
        <v/>
      </c>
      <c r="B236" s="94"/>
      <c r="C236" s="94"/>
      <c r="D236" s="95"/>
      <c r="E236" s="95"/>
      <c r="F236" s="104"/>
      <c r="G236" s="97"/>
      <c r="H236" s="17"/>
      <c r="I236" s="17"/>
      <c r="J236" s="17"/>
      <c r="K236" s="17"/>
      <c r="L236" s="17"/>
      <c r="M236" s="17"/>
      <c r="N236" s="17"/>
    </row>
    <row r="237" spans="1:14" x14ac:dyDescent="0.2">
      <c r="A237" s="115" t="str">
        <f t="shared" si="3"/>
        <v/>
      </c>
      <c r="B237" s="94"/>
      <c r="C237" s="94"/>
      <c r="D237" s="95"/>
      <c r="E237" s="95"/>
      <c r="F237" s="104"/>
      <c r="G237" s="97"/>
      <c r="H237" s="17"/>
      <c r="I237" s="17"/>
      <c r="J237" s="17"/>
      <c r="K237" s="17"/>
      <c r="L237" s="17"/>
      <c r="M237" s="17"/>
      <c r="N237" s="17"/>
    </row>
    <row r="238" spans="1:14" x14ac:dyDescent="0.2">
      <c r="A238" s="115" t="str">
        <f t="shared" si="3"/>
        <v/>
      </c>
      <c r="B238" s="94"/>
      <c r="C238" s="94"/>
      <c r="D238" s="95"/>
      <c r="E238" s="95"/>
      <c r="F238" s="104"/>
      <c r="G238" s="97"/>
      <c r="H238" s="17"/>
      <c r="I238" s="17"/>
      <c r="J238" s="17"/>
      <c r="K238" s="17"/>
      <c r="L238" s="17"/>
      <c r="M238" s="17"/>
      <c r="N238" s="17"/>
    </row>
    <row r="239" spans="1:14" x14ac:dyDescent="0.2">
      <c r="A239" s="115" t="str">
        <f t="shared" si="3"/>
        <v/>
      </c>
      <c r="B239" s="94"/>
      <c r="C239" s="94"/>
      <c r="D239" s="95"/>
      <c r="E239" s="95"/>
      <c r="F239" s="104"/>
      <c r="G239" s="97"/>
      <c r="H239" s="17"/>
      <c r="I239" s="17"/>
      <c r="J239" s="17"/>
      <c r="K239" s="17"/>
      <c r="L239" s="17"/>
      <c r="M239" s="17"/>
      <c r="N239" s="17"/>
    </row>
    <row r="240" spans="1:14" x14ac:dyDescent="0.2">
      <c r="A240" s="115" t="str">
        <f t="shared" si="3"/>
        <v/>
      </c>
      <c r="B240" s="94"/>
      <c r="C240" s="94"/>
      <c r="D240" s="95"/>
      <c r="E240" s="95"/>
      <c r="F240" s="104"/>
      <c r="G240" s="97"/>
      <c r="H240" s="17"/>
      <c r="I240" s="17"/>
      <c r="J240" s="17"/>
      <c r="K240" s="17"/>
      <c r="L240" s="17"/>
      <c r="M240" s="17"/>
      <c r="N240" s="17"/>
    </row>
    <row r="241" spans="1:14" x14ac:dyDescent="0.2">
      <c r="A241" s="115" t="str">
        <f t="shared" si="3"/>
        <v/>
      </c>
      <c r="B241" s="94"/>
      <c r="C241" s="94"/>
      <c r="D241" s="95"/>
      <c r="E241" s="95"/>
      <c r="F241" s="104"/>
      <c r="G241" s="97"/>
      <c r="H241" s="17"/>
      <c r="I241" s="17"/>
      <c r="J241" s="17"/>
      <c r="K241" s="17"/>
      <c r="L241" s="17"/>
      <c r="M241" s="17"/>
      <c r="N241" s="17"/>
    </row>
    <row r="242" spans="1:14" x14ac:dyDescent="0.2">
      <c r="A242" s="115" t="str">
        <f t="shared" si="3"/>
        <v/>
      </c>
      <c r="B242" s="94"/>
      <c r="C242" s="94"/>
      <c r="D242" s="95"/>
      <c r="E242" s="95"/>
      <c r="F242" s="104"/>
      <c r="G242" s="97"/>
      <c r="H242" s="17"/>
      <c r="I242" s="17"/>
      <c r="J242" s="17"/>
      <c r="K242" s="17"/>
      <c r="L242" s="17"/>
      <c r="M242" s="17"/>
      <c r="N242" s="17"/>
    </row>
    <row r="243" spans="1:14" x14ac:dyDescent="0.2">
      <c r="A243" s="115" t="str">
        <f t="shared" si="3"/>
        <v/>
      </c>
      <c r="B243" s="94"/>
      <c r="C243" s="94"/>
      <c r="D243" s="95"/>
      <c r="E243" s="95"/>
      <c r="F243" s="104"/>
      <c r="G243" s="97"/>
      <c r="H243" s="17"/>
      <c r="I243" s="17"/>
      <c r="J243" s="17"/>
      <c r="K243" s="17"/>
      <c r="L243" s="17"/>
      <c r="M243" s="17"/>
      <c r="N243" s="17"/>
    </row>
    <row r="244" spans="1:14" x14ac:dyDescent="0.2">
      <c r="A244" s="115" t="str">
        <f t="shared" si="3"/>
        <v/>
      </c>
      <c r="B244" s="94"/>
      <c r="C244" s="94"/>
      <c r="D244" s="95"/>
      <c r="E244" s="95"/>
      <c r="F244" s="104"/>
      <c r="G244" s="97"/>
      <c r="H244" s="17"/>
      <c r="I244" s="17"/>
      <c r="J244" s="17"/>
      <c r="K244" s="17"/>
      <c r="L244" s="17"/>
      <c r="M244" s="17"/>
      <c r="N244" s="17"/>
    </row>
    <row r="245" spans="1:14" x14ac:dyDescent="0.2">
      <c r="A245" s="115" t="str">
        <f t="shared" si="3"/>
        <v/>
      </c>
      <c r="B245" s="94"/>
      <c r="C245" s="94"/>
      <c r="D245" s="95"/>
      <c r="E245" s="95"/>
      <c r="F245" s="104"/>
      <c r="G245" s="97"/>
      <c r="H245" s="17"/>
      <c r="I245" s="17"/>
      <c r="J245" s="17"/>
      <c r="K245" s="17"/>
      <c r="L245" s="17"/>
      <c r="M245" s="17"/>
      <c r="N245" s="17"/>
    </row>
    <row r="246" spans="1:14" x14ac:dyDescent="0.2">
      <c r="A246" s="115" t="str">
        <f t="shared" si="3"/>
        <v/>
      </c>
      <c r="B246" s="94"/>
      <c r="C246" s="94"/>
      <c r="D246" s="95"/>
      <c r="E246" s="95"/>
      <c r="F246" s="104"/>
      <c r="G246" s="97"/>
      <c r="H246" s="17"/>
      <c r="I246" s="17"/>
      <c r="J246" s="17"/>
      <c r="K246" s="17"/>
      <c r="L246" s="17"/>
      <c r="M246" s="17"/>
      <c r="N246" s="17"/>
    </row>
    <row r="247" spans="1:14" x14ac:dyDescent="0.2">
      <c r="A247" s="115" t="str">
        <f t="shared" si="3"/>
        <v/>
      </c>
      <c r="B247" s="94"/>
      <c r="C247" s="94"/>
      <c r="D247" s="95"/>
      <c r="E247" s="95"/>
      <c r="F247" s="104"/>
      <c r="G247" s="97"/>
      <c r="H247" s="17"/>
      <c r="I247" s="17"/>
      <c r="J247" s="17"/>
      <c r="K247" s="17"/>
      <c r="L247" s="17"/>
      <c r="M247" s="17"/>
      <c r="N247" s="17"/>
    </row>
    <row r="248" spans="1:14" x14ac:dyDescent="0.2">
      <c r="A248" s="115" t="str">
        <f t="shared" si="3"/>
        <v/>
      </c>
      <c r="B248" s="94"/>
      <c r="C248" s="94"/>
      <c r="D248" s="95"/>
      <c r="E248" s="95"/>
      <c r="F248" s="104"/>
      <c r="G248" s="97"/>
      <c r="H248" s="17"/>
      <c r="I248" s="17"/>
      <c r="J248" s="17"/>
      <c r="K248" s="17"/>
      <c r="L248" s="17"/>
      <c r="M248" s="17"/>
      <c r="N248" s="17"/>
    </row>
    <row r="249" spans="1:14" x14ac:dyDescent="0.2">
      <c r="A249" s="115" t="str">
        <f t="shared" si="3"/>
        <v/>
      </c>
      <c r="B249" s="94"/>
      <c r="C249" s="94"/>
      <c r="D249" s="95"/>
      <c r="E249" s="95"/>
      <c r="F249" s="104"/>
      <c r="G249" s="97"/>
      <c r="H249" s="17"/>
      <c r="I249" s="17"/>
      <c r="J249" s="17"/>
      <c r="K249" s="17"/>
      <c r="L249" s="17"/>
      <c r="M249" s="17"/>
      <c r="N249" s="17"/>
    </row>
    <row r="250" spans="1:14" x14ac:dyDescent="0.2">
      <c r="A250" s="115" t="str">
        <f t="shared" si="3"/>
        <v/>
      </c>
      <c r="B250" s="94"/>
      <c r="C250" s="94"/>
      <c r="D250" s="95"/>
      <c r="E250" s="95"/>
      <c r="F250" s="104"/>
      <c r="G250" s="97"/>
      <c r="H250" s="17"/>
      <c r="I250" s="17"/>
      <c r="J250" s="17"/>
      <c r="K250" s="17"/>
      <c r="L250" s="17"/>
      <c r="M250" s="17"/>
      <c r="N250" s="17"/>
    </row>
    <row r="251" spans="1:14" x14ac:dyDescent="0.2">
      <c r="A251" s="115" t="str">
        <f t="shared" si="3"/>
        <v/>
      </c>
      <c r="B251" s="94"/>
      <c r="C251" s="94"/>
      <c r="D251" s="95"/>
      <c r="E251" s="95"/>
      <c r="F251" s="104"/>
      <c r="G251" s="97"/>
      <c r="H251" s="17"/>
      <c r="I251" s="17"/>
      <c r="J251" s="17"/>
      <c r="K251" s="17"/>
      <c r="L251" s="17"/>
      <c r="M251" s="17"/>
      <c r="N251" s="17"/>
    </row>
    <row r="252" spans="1:14" x14ac:dyDescent="0.2">
      <c r="A252" s="115" t="str">
        <f t="shared" si="3"/>
        <v/>
      </c>
      <c r="B252" s="94"/>
      <c r="C252" s="94"/>
      <c r="D252" s="95"/>
      <c r="E252" s="95"/>
      <c r="F252" s="104"/>
      <c r="G252" s="97"/>
      <c r="H252" s="17"/>
      <c r="I252" s="17"/>
      <c r="J252" s="17"/>
      <c r="K252" s="17"/>
      <c r="L252" s="17"/>
      <c r="M252" s="17"/>
      <c r="N252" s="17"/>
    </row>
    <row r="253" spans="1:14" x14ac:dyDescent="0.2">
      <c r="A253" s="115" t="str">
        <f t="shared" si="3"/>
        <v/>
      </c>
      <c r="B253" s="94"/>
      <c r="C253" s="94"/>
      <c r="D253" s="95"/>
      <c r="E253" s="95"/>
      <c r="F253" s="104"/>
      <c r="G253" s="97"/>
      <c r="H253" s="17"/>
      <c r="I253" s="17"/>
      <c r="J253" s="17"/>
      <c r="K253" s="17"/>
      <c r="L253" s="17"/>
      <c r="M253" s="17"/>
      <c r="N253" s="17"/>
    </row>
    <row r="254" spans="1:14" x14ac:dyDescent="0.2">
      <c r="A254" s="115" t="str">
        <f t="shared" si="3"/>
        <v/>
      </c>
      <c r="B254" s="94"/>
      <c r="C254" s="94"/>
      <c r="D254" s="95"/>
      <c r="E254" s="95"/>
      <c r="F254" s="104"/>
      <c r="G254" s="97"/>
      <c r="H254" s="17"/>
      <c r="I254" s="17"/>
      <c r="J254" s="17"/>
      <c r="K254" s="17"/>
      <c r="L254" s="17"/>
      <c r="M254" s="17"/>
      <c r="N254" s="17"/>
    </row>
    <row r="255" spans="1:14" x14ac:dyDescent="0.2">
      <c r="A255" s="115" t="str">
        <f t="shared" si="3"/>
        <v/>
      </c>
      <c r="B255" s="94"/>
      <c r="C255" s="94"/>
      <c r="D255" s="95"/>
      <c r="E255" s="95"/>
      <c r="F255" s="104"/>
      <c r="G255" s="97"/>
      <c r="H255" s="17"/>
      <c r="I255" s="17"/>
      <c r="J255" s="17"/>
      <c r="K255" s="17"/>
      <c r="L255" s="17"/>
      <c r="M255" s="17"/>
      <c r="N255" s="17"/>
    </row>
    <row r="256" spans="1:14" x14ac:dyDescent="0.2">
      <c r="A256" s="115" t="str">
        <f t="shared" si="3"/>
        <v/>
      </c>
      <c r="B256" s="94"/>
      <c r="C256" s="94"/>
      <c r="D256" s="95"/>
      <c r="E256" s="95"/>
      <c r="F256" s="104"/>
      <c r="G256" s="97"/>
      <c r="H256" s="17"/>
      <c r="I256" s="17"/>
      <c r="J256" s="17"/>
      <c r="K256" s="17"/>
      <c r="L256" s="17"/>
      <c r="M256" s="17"/>
      <c r="N256" s="17"/>
    </row>
    <row r="257" spans="1:14" x14ac:dyDescent="0.2">
      <c r="A257" s="115" t="str">
        <f t="shared" si="3"/>
        <v/>
      </c>
      <c r="B257" s="94"/>
      <c r="C257" s="94"/>
      <c r="D257" s="95"/>
      <c r="E257" s="95"/>
      <c r="F257" s="104"/>
      <c r="G257" s="97"/>
      <c r="H257" s="17"/>
      <c r="I257" s="17"/>
      <c r="J257" s="17"/>
      <c r="K257" s="17"/>
      <c r="L257" s="17"/>
      <c r="M257" s="17"/>
      <c r="N257" s="17"/>
    </row>
    <row r="258" spans="1:14" x14ac:dyDescent="0.2">
      <c r="A258" s="115" t="str">
        <f t="shared" si="3"/>
        <v/>
      </c>
      <c r="B258" s="94"/>
      <c r="C258" s="94"/>
      <c r="D258" s="95"/>
      <c r="E258" s="95"/>
      <c r="F258" s="104"/>
      <c r="G258" s="97"/>
      <c r="H258" s="17"/>
      <c r="I258" s="17"/>
      <c r="J258" s="17"/>
      <c r="K258" s="17"/>
      <c r="L258" s="17"/>
      <c r="M258" s="17"/>
      <c r="N258" s="17"/>
    </row>
    <row r="259" spans="1:14" x14ac:dyDescent="0.2">
      <c r="A259" s="115" t="str">
        <f t="shared" si="3"/>
        <v/>
      </c>
      <c r="B259" s="94"/>
      <c r="C259" s="94"/>
      <c r="D259" s="95"/>
      <c r="E259" s="95"/>
      <c r="F259" s="104"/>
      <c r="G259" s="97"/>
      <c r="H259" s="17"/>
      <c r="I259" s="17"/>
      <c r="J259" s="17"/>
      <c r="K259" s="17"/>
      <c r="L259" s="17"/>
      <c r="M259" s="17"/>
      <c r="N259" s="17"/>
    </row>
    <row r="260" spans="1:14" x14ac:dyDescent="0.2">
      <c r="A260" s="115" t="str">
        <f t="shared" si="3"/>
        <v/>
      </c>
      <c r="B260" s="94"/>
      <c r="C260" s="94"/>
      <c r="D260" s="95"/>
      <c r="E260" s="95"/>
      <c r="F260" s="104"/>
      <c r="G260" s="97"/>
      <c r="H260" s="17"/>
      <c r="I260" s="17"/>
      <c r="J260" s="17"/>
      <c r="K260" s="17"/>
      <c r="L260" s="17"/>
      <c r="M260" s="17"/>
      <c r="N260" s="17"/>
    </row>
    <row r="261" spans="1:14" x14ac:dyDescent="0.2">
      <c r="A261" s="115" t="str">
        <f t="shared" si="3"/>
        <v/>
      </c>
      <c r="B261" s="94"/>
      <c r="C261" s="94"/>
      <c r="D261" s="95"/>
      <c r="E261" s="95"/>
      <c r="F261" s="104"/>
      <c r="G261" s="97"/>
      <c r="H261" s="17"/>
      <c r="I261" s="17"/>
      <c r="J261" s="17"/>
      <c r="K261" s="17"/>
      <c r="L261" s="17"/>
      <c r="M261" s="17"/>
      <c r="N261" s="17"/>
    </row>
    <row r="262" spans="1:14" x14ac:dyDescent="0.2">
      <c r="A262" s="115" t="str">
        <f t="shared" si="3"/>
        <v/>
      </c>
      <c r="B262" s="94"/>
      <c r="C262" s="94"/>
      <c r="D262" s="95"/>
      <c r="E262" s="95"/>
      <c r="F262" s="104"/>
      <c r="G262" s="97"/>
      <c r="H262" s="17"/>
      <c r="I262" s="17"/>
      <c r="J262" s="17"/>
      <c r="K262" s="17"/>
      <c r="L262" s="17"/>
      <c r="M262" s="17"/>
      <c r="N262" s="17"/>
    </row>
    <row r="263" spans="1:14" x14ac:dyDescent="0.2">
      <c r="A263" s="115" t="str">
        <f t="shared" si="3"/>
        <v/>
      </c>
      <c r="B263" s="94"/>
      <c r="C263" s="94"/>
      <c r="D263" s="95"/>
      <c r="E263" s="95"/>
      <c r="F263" s="104"/>
      <c r="G263" s="97"/>
      <c r="H263" s="17"/>
      <c r="I263" s="17"/>
      <c r="J263" s="17"/>
      <c r="K263" s="17"/>
      <c r="L263" s="17"/>
      <c r="M263" s="17"/>
      <c r="N263" s="17"/>
    </row>
    <row r="264" spans="1:14" x14ac:dyDescent="0.2">
      <c r="A264" s="115" t="str">
        <f t="shared" si="3"/>
        <v/>
      </c>
      <c r="B264" s="94"/>
      <c r="C264" s="94"/>
      <c r="D264" s="95"/>
      <c r="E264" s="95"/>
      <c r="F264" s="104"/>
      <c r="G264" s="97"/>
      <c r="H264" s="17"/>
      <c r="I264" s="17"/>
      <c r="J264" s="17"/>
      <c r="K264" s="17"/>
      <c r="L264" s="17"/>
      <c r="M264" s="17"/>
      <c r="N264" s="17"/>
    </row>
    <row r="265" spans="1:14" x14ac:dyDescent="0.2">
      <c r="A265" s="115" t="str">
        <f t="shared" si="3"/>
        <v/>
      </c>
      <c r="B265" s="94"/>
      <c r="C265" s="94"/>
      <c r="D265" s="95"/>
      <c r="E265" s="95"/>
      <c r="F265" s="104"/>
      <c r="G265" s="97"/>
      <c r="H265" s="17"/>
      <c r="I265" s="17"/>
      <c r="J265" s="17"/>
      <c r="K265" s="17"/>
      <c r="L265" s="17"/>
      <c r="M265" s="17"/>
      <c r="N265" s="17"/>
    </row>
    <row r="266" spans="1:14" x14ac:dyDescent="0.2">
      <c r="A266" s="115" t="str">
        <f t="shared" si="3"/>
        <v/>
      </c>
      <c r="B266" s="94"/>
      <c r="C266" s="94"/>
      <c r="D266" s="95"/>
      <c r="E266" s="95"/>
      <c r="F266" s="104"/>
      <c r="G266" s="97"/>
      <c r="H266" s="17"/>
      <c r="I266" s="17"/>
      <c r="J266" s="17"/>
      <c r="K266" s="17"/>
      <c r="L266" s="17"/>
      <c r="M266" s="17"/>
      <c r="N266" s="17"/>
    </row>
    <row r="267" spans="1:14" x14ac:dyDescent="0.2">
      <c r="A267" s="115" t="str">
        <f t="shared" si="3"/>
        <v/>
      </c>
      <c r="B267" s="94"/>
      <c r="C267" s="94"/>
      <c r="D267" s="95"/>
      <c r="E267" s="95"/>
      <c r="F267" s="104"/>
      <c r="G267" s="97"/>
      <c r="H267" s="17"/>
      <c r="I267" s="17"/>
      <c r="J267" s="17"/>
      <c r="K267" s="17"/>
      <c r="L267" s="17"/>
      <c r="M267" s="17"/>
      <c r="N267" s="17"/>
    </row>
    <row r="268" spans="1:14" x14ac:dyDescent="0.2">
      <c r="A268" s="115" t="str">
        <f t="shared" si="3"/>
        <v/>
      </c>
      <c r="B268" s="94"/>
      <c r="C268" s="94"/>
      <c r="D268" s="95"/>
      <c r="E268" s="95"/>
      <c r="F268" s="104"/>
      <c r="G268" s="97"/>
      <c r="H268" s="17"/>
      <c r="I268" s="17"/>
      <c r="J268" s="17"/>
      <c r="K268" s="17"/>
      <c r="L268" s="17"/>
      <c r="M268" s="17"/>
      <c r="N268" s="17"/>
    </row>
    <row r="269" spans="1:14" x14ac:dyDescent="0.2">
      <c r="A269" s="115" t="str">
        <f t="shared" si="3"/>
        <v/>
      </c>
      <c r="B269" s="94"/>
      <c r="C269" s="94"/>
      <c r="D269" s="95"/>
      <c r="E269" s="95"/>
      <c r="F269" s="104"/>
      <c r="G269" s="97"/>
      <c r="H269" s="17"/>
      <c r="I269" s="17"/>
      <c r="J269" s="17"/>
      <c r="K269" s="17"/>
      <c r="L269" s="17"/>
      <c r="M269" s="17"/>
      <c r="N269" s="17"/>
    </row>
    <row r="270" spans="1:14" x14ac:dyDescent="0.2">
      <c r="A270" s="115" t="str">
        <f t="shared" si="3"/>
        <v/>
      </c>
      <c r="B270" s="94"/>
      <c r="C270" s="94"/>
      <c r="D270" s="95"/>
      <c r="E270" s="95"/>
      <c r="F270" s="104"/>
      <c r="G270" s="97"/>
      <c r="H270" s="17"/>
      <c r="I270" s="17"/>
      <c r="J270" s="17"/>
      <c r="K270" s="17"/>
      <c r="L270" s="17"/>
      <c r="M270" s="17"/>
      <c r="N270" s="17"/>
    </row>
    <row r="271" spans="1:14" x14ac:dyDescent="0.2">
      <c r="A271" s="115" t="str">
        <f t="shared" si="3"/>
        <v/>
      </c>
      <c r="B271" s="94"/>
      <c r="C271" s="94"/>
      <c r="D271" s="95"/>
      <c r="E271" s="95"/>
      <c r="F271" s="104"/>
      <c r="G271" s="97"/>
      <c r="H271" s="17"/>
      <c r="I271" s="17"/>
      <c r="J271" s="17"/>
      <c r="K271" s="17"/>
      <c r="L271" s="17"/>
      <c r="M271" s="17"/>
      <c r="N271" s="17"/>
    </row>
    <row r="272" spans="1:14" x14ac:dyDescent="0.2">
      <c r="A272" s="115" t="str">
        <f t="shared" si="3"/>
        <v/>
      </c>
      <c r="B272" s="94"/>
      <c r="C272" s="94"/>
      <c r="D272" s="95"/>
      <c r="E272" s="95"/>
      <c r="F272" s="104"/>
      <c r="G272" s="97"/>
      <c r="H272" s="17"/>
      <c r="I272" s="17"/>
      <c r="J272" s="17"/>
      <c r="K272" s="17"/>
      <c r="L272" s="17"/>
      <c r="M272" s="17"/>
      <c r="N272" s="17"/>
    </row>
    <row r="273" spans="1:14" x14ac:dyDescent="0.2">
      <c r="A273" s="115" t="str">
        <f t="shared" si="3"/>
        <v/>
      </c>
      <c r="B273" s="94"/>
      <c r="C273" s="94"/>
      <c r="D273" s="95"/>
      <c r="E273" s="95"/>
      <c r="F273" s="104"/>
      <c r="G273" s="97"/>
      <c r="H273" s="17"/>
      <c r="I273" s="17"/>
      <c r="J273" s="17"/>
      <c r="K273" s="17"/>
      <c r="L273" s="17"/>
      <c r="M273" s="17"/>
      <c r="N273" s="17"/>
    </row>
    <row r="274" spans="1:14" x14ac:dyDescent="0.2">
      <c r="A274" s="115" t="str">
        <f t="shared" si="3"/>
        <v/>
      </c>
      <c r="B274" s="94"/>
      <c r="C274" s="94"/>
      <c r="D274" s="95"/>
      <c r="E274" s="95"/>
      <c r="F274" s="104"/>
      <c r="G274" s="97"/>
      <c r="H274" s="17"/>
      <c r="I274" s="17"/>
      <c r="J274" s="17"/>
      <c r="K274" s="17"/>
      <c r="L274" s="17"/>
      <c r="M274" s="17"/>
      <c r="N274" s="17"/>
    </row>
    <row r="275" spans="1:14" x14ac:dyDescent="0.2">
      <c r="A275" s="115" t="str">
        <f t="shared" si="3"/>
        <v/>
      </c>
      <c r="B275" s="94"/>
      <c r="C275" s="94"/>
      <c r="D275" s="95"/>
      <c r="E275" s="95"/>
      <c r="F275" s="104"/>
      <c r="G275" s="97"/>
      <c r="H275" s="17"/>
      <c r="I275" s="17"/>
      <c r="J275" s="17"/>
      <c r="K275" s="17"/>
      <c r="L275" s="17"/>
      <c r="M275" s="17"/>
      <c r="N275" s="17"/>
    </row>
    <row r="276" spans="1:14" x14ac:dyDescent="0.2">
      <c r="A276" s="115" t="str">
        <f t="shared" si="3"/>
        <v/>
      </c>
      <c r="B276" s="94"/>
      <c r="C276" s="94"/>
      <c r="D276" s="95"/>
      <c r="E276" s="95"/>
      <c r="F276" s="104"/>
      <c r="G276" s="97"/>
      <c r="H276" s="17"/>
      <c r="I276" s="17"/>
      <c r="J276" s="17"/>
      <c r="K276" s="17"/>
      <c r="L276" s="17"/>
      <c r="M276" s="17"/>
      <c r="N276" s="17"/>
    </row>
    <row r="277" spans="1:14" x14ac:dyDescent="0.2">
      <c r="A277" s="115" t="str">
        <f t="shared" si="3"/>
        <v/>
      </c>
      <c r="B277" s="94"/>
      <c r="C277" s="94"/>
      <c r="D277" s="95"/>
      <c r="E277" s="95"/>
      <c r="F277" s="104"/>
      <c r="G277" s="97"/>
      <c r="H277" s="17"/>
      <c r="I277" s="17"/>
      <c r="J277" s="17"/>
      <c r="K277" s="17"/>
      <c r="L277" s="17"/>
      <c r="M277" s="17"/>
      <c r="N277" s="17"/>
    </row>
    <row r="278" spans="1:14" x14ac:dyDescent="0.2">
      <c r="A278" s="115" t="str">
        <f t="shared" si="3"/>
        <v/>
      </c>
      <c r="B278" s="94"/>
      <c r="C278" s="94"/>
      <c r="D278" s="95"/>
      <c r="E278" s="95"/>
      <c r="F278" s="104"/>
      <c r="G278" s="97"/>
      <c r="H278" s="17"/>
      <c r="I278" s="17"/>
      <c r="J278" s="17"/>
      <c r="K278" s="17"/>
      <c r="L278" s="17"/>
      <c r="M278" s="17"/>
      <c r="N278" s="17"/>
    </row>
    <row r="279" spans="1:14" x14ac:dyDescent="0.2">
      <c r="A279" s="115" t="str">
        <f t="shared" ref="A279:A342" si="4">IF(B279&lt;&gt;"", A278, "")</f>
        <v/>
      </c>
      <c r="B279" s="94"/>
      <c r="C279" s="94"/>
      <c r="D279" s="95"/>
      <c r="E279" s="95"/>
      <c r="F279" s="104"/>
      <c r="G279" s="97"/>
      <c r="H279" s="17"/>
      <c r="I279" s="17"/>
      <c r="J279" s="17"/>
      <c r="K279" s="17"/>
      <c r="L279" s="17"/>
      <c r="M279" s="17"/>
      <c r="N279" s="17"/>
    </row>
    <row r="280" spans="1:14" x14ac:dyDescent="0.2">
      <c r="A280" s="115" t="str">
        <f t="shared" si="4"/>
        <v/>
      </c>
      <c r="B280" s="94"/>
      <c r="C280" s="94"/>
      <c r="D280" s="95"/>
      <c r="E280" s="95"/>
      <c r="F280" s="104"/>
      <c r="G280" s="97"/>
      <c r="H280" s="17"/>
      <c r="I280" s="17"/>
      <c r="J280" s="17"/>
      <c r="K280" s="17"/>
      <c r="L280" s="17"/>
      <c r="M280" s="17"/>
      <c r="N280" s="17"/>
    </row>
    <row r="281" spans="1:14" x14ac:dyDescent="0.2">
      <c r="A281" s="115" t="str">
        <f t="shared" si="4"/>
        <v/>
      </c>
      <c r="B281" s="94"/>
      <c r="C281" s="94"/>
      <c r="D281" s="95"/>
      <c r="E281" s="95"/>
      <c r="F281" s="104"/>
      <c r="G281" s="97"/>
      <c r="H281" s="17"/>
      <c r="I281" s="17"/>
      <c r="J281" s="17"/>
      <c r="K281" s="17"/>
      <c r="L281" s="17"/>
      <c r="M281" s="17"/>
      <c r="N281" s="17"/>
    </row>
    <row r="282" spans="1:14" x14ac:dyDescent="0.2">
      <c r="A282" s="115" t="str">
        <f t="shared" si="4"/>
        <v/>
      </c>
      <c r="B282" s="94"/>
      <c r="C282" s="94"/>
      <c r="D282" s="95"/>
      <c r="E282" s="95"/>
      <c r="F282" s="104"/>
      <c r="G282" s="97"/>
      <c r="H282" s="17"/>
      <c r="I282" s="17"/>
      <c r="J282" s="17"/>
      <c r="K282" s="17"/>
      <c r="L282" s="17"/>
      <c r="M282" s="17"/>
      <c r="N282" s="17"/>
    </row>
    <row r="283" spans="1:14" x14ac:dyDescent="0.2">
      <c r="A283" s="115" t="str">
        <f t="shared" si="4"/>
        <v/>
      </c>
      <c r="B283" s="94"/>
      <c r="C283" s="94"/>
      <c r="D283" s="95"/>
      <c r="E283" s="95"/>
      <c r="F283" s="104"/>
      <c r="G283" s="97"/>
      <c r="H283" s="17"/>
      <c r="I283" s="17"/>
      <c r="J283" s="17"/>
      <c r="K283" s="17"/>
      <c r="L283" s="17"/>
      <c r="M283" s="17"/>
      <c r="N283" s="17"/>
    </row>
    <row r="284" spans="1:14" x14ac:dyDescent="0.2">
      <c r="A284" s="115" t="str">
        <f t="shared" si="4"/>
        <v/>
      </c>
      <c r="B284" s="94"/>
      <c r="C284" s="94"/>
      <c r="D284" s="95"/>
      <c r="E284" s="95"/>
      <c r="F284" s="104"/>
      <c r="G284" s="97"/>
      <c r="H284" s="17"/>
      <c r="I284" s="17"/>
      <c r="J284" s="17"/>
      <c r="K284" s="17"/>
      <c r="L284" s="17"/>
      <c r="M284" s="17"/>
      <c r="N284" s="17"/>
    </row>
    <row r="285" spans="1:14" x14ac:dyDescent="0.2">
      <c r="A285" s="115" t="str">
        <f t="shared" si="4"/>
        <v/>
      </c>
      <c r="B285" s="94"/>
      <c r="C285" s="94"/>
      <c r="D285" s="95"/>
      <c r="E285" s="95"/>
      <c r="F285" s="104"/>
      <c r="G285" s="97"/>
      <c r="H285" s="17"/>
      <c r="I285" s="17"/>
      <c r="J285" s="17"/>
      <c r="K285" s="17"/>
      <c r="L285" s="17"/>
      <c r="M285" s="17"/>
      <c r="N285" s="17"/>
    </row>
    <row r="286" spans="1:14" x14ac:dyDescent="0.2">
      <c r="A286" s="115" t="str">
        <f t="shared" si="4"/>
        <v/>
      </c>
      <c r="B286" s="94"/>
      <c r="C286" s="94"/>
      <c r="D286" s="95"/>
      <c r="E286" s="95"/>
      <c r="F286" s="104"/>
      <c r="G286" s="97"/>
      <c r="H286" s="17"/>
      <c r="I286" s="17"/>
      <c r="J286" s="17"/>
      <c r="K286" s="17"/>
      <c r="L286" s="17"/>
      <c r="M286" s="17"/>
      <c r="N286" s="17"/>
    </row>
    <row r="287" spans="1:14" x14ac:dyDescent="0.2">
      <c r="A287" s="115" t="str">
        <f t="shared" si="4"/>
        <v/>
      </c>
      <c r="B287" s="94"/>
      <c r="C287" s="94"/>
      <c r="D287" s="95"/>
      <c r="E287" s="95"/>
      <c r="F287" s="104"/>
      <c r="G287" s="97"/>
      <c r="H287" s="17"/>
      <c r="I287" s="17"/>
      <c r="J287" s="17"/>
      <c r="K287" s="17"/>
      <c r="L287" s="17"/>
      <c r="M287" s="17"/>
      <c r="N287" s="17"/>
    </row>
    <row r="288" spans="1:14" x14ac:dyDescent="0.2">
      <c r="A288" s="115" t="str">
        <f t="shared" si="4"/>
        <v/>
      </c>
      <c r="B288" s="94"/>
      <c r="C288" s="94"/>
      <c r="D288" s="95"/>
      <c r="E288" s="95"/>
      <c r="F288" s="104"/>
      <c r="G288" s="97"/>
      <c r="H288" s="17"/>
      <c r="I288" s="17"/>
      <c r="J288" s="17"/>
      <c r="K288" s="17"/>
      <c r="L288" s="17"/>
      <c r="M288" s="17"/>
      <c r="N288" s="17"/>
    </row>
    <row r="289" spans="1:14" x14ac:dyDescent="0.2">
      <c r="A289" s="115" t="str">
        <f t="shared" si="4"/>
        <v/>
      </c>
      <c r="B289" s="94"/>
      <c r="C289" s="94"/>
      <c r="D289" s="95"/>
      <c r="E289" s="95"/>
      <c r="F289" s="104"/>
      <c r="G289" s="97"/>
      <c r="H289" s="17"/>
      <c r="I289" s="17"/>
      <c r="J289" s="17"/>
      <c r="K289" s="17"/>
      <c r="L289" s="17"/>
      <c r="M289" s="17"/>
      <c r="N289" s="17"/>
    </row>
    <row r="290" spans="1:14" x14ac:dyDescent="0.2">
      <c r="A290" s="115" t="str">
        <f t="shared" si="4"/>
        <v/>
      </c>
      <c r="B290" s="94"/>
      <c r="C290" s="94"/>
      <c r="D290" s="95"/>
      <c r="E290" s="95"/>
      <c r="F290" s="104"/>
      <c r="G290" s="97"/>
      <c r="H290" s="17"/>
      <c r="I290" s="17"/>
      <c r="J290" s="17"/>
      <c r="K290" s="17"/>
      <c r="L290" s="17"/>
      <c r="M290" s="17"/>
      <c r="N290" s="17"/>
    </row>
    <row r="291" spans="1:14" x14ac:dyDescent="0.2">
      <c r="A291" s="115" t="str">
        <f t="shared" si="4"/>
        <v/>
      </c>
      <c r="B291" s="94"/>
      <c r="C291" s="94"/>
      <c r="D291" s="95"/>
      <c r="E291" s="95"/>
      <c r="F291" s="104"/>
      <c r="G291" s="97"/>
      <c r="H291" s="17"/>
      <c r="I291" s="17"/>
      <c r="J291" s="17"/>
      <c r="K291" s="17"/>
      <c r="L291" s="17"/>
      <c r="M291" s="17"/>
      <c r="N291" s="17"/>
    </row>
    <row r="292" spans="1:14" x14ac:dyDescent="0.2">
      <c r="A292" s="115" t="str">
        <f t="shared" si="4"/>
        <v/>
      </c>
      <c r="B292" s="94"/>
      <c r="C292" s="94"/>
      <c r="D292" s="95"/>
      <c r="E292" s="95"/>
      <c r="F292" s="104"/>
      <c r="G292" s="97"/>
      <c r="H292" s="17"/>
      <c r="I292" s="17"/>
      <c r="J292" s="17"/>
      <c r="K292" s="17"/>
      <c r="L292" s="17"/>
      <c r="M292" s="17"/>
      <c r="N292" s="17"/>
    </row>
    <row r="293" spans="1:14" x14ac:dyDescent="0.2">
      <c r="A293" s="115" t="str">
        <f t="shared" si="4"/>
        <v/>
      </c>
      <c r="B293" s="94"/>
      <c r="C293" s="94"/>
      <c r="D293" s="95"/>
      <c r="E293" s="95"/>
      <c r="F293" s="104"/>
      <c r="G293" s="97"/>
      <c r="H293" s="17"/>
      <c r="I293" s="17"/>
      <c r="J293" s="17"/>
      <c r="K293" s="17"/>
      <c r="L293" s="17"/>
      <c r="M293" s="17"/>
      <c r="N293" s="17"/>
    </row>
    <row r="294" spans="1:14" x14ac:dyDescent="0.2">
      <c r="A294" s="115" t="str">
        <f t="shared" si="4"/>
        <v/>
      </c>
      <c r="B294" s="94"/>
      <c r="C294" s="94"/>
      <c r="D294" s="95"/>
      <c r="E294" s="95"/>
      <c r="F294" s="104"/>
      <c r="G294" s="97"/>
      <c r="H294" s="17"/>
      <c r="I294" s="17"/>
      <c r="J294" s="17"/>
      <c r="K294" s="17"/>
      <c r="L294" s="17"/>
      <c r="M294" s="17"/>
      <c r="N294" s="17"/>
    </row>
    <row r="295" spans="1:14" x14ac:dyDescent="0.2">
      <c r="A295" s="115" t="str">
        <f t="shared" si="4"/>
        <v/>
      </c>
      <c r="B295" s="94"/>
      <c r="C295" s="94"/>
      <c r="D295" s="95"/>
      <c r="E295" s="95"/>
      <c r="F295" s="104"/>
      <c r="G295" s="97"/>
      <c r="H295" s="17"/>
      <c r="I295" s="17"/>
      <c r="J295" s="17"/>
      <c r="K295" s="17"/>
      <c r="L295" s="17"/>
      <c r="M295" s="17"/>
      <c r="N295" s="17"/>
    </row>
    <row r="296" spans="1:14" x14ac:dyDescent="0.2">
      <c r="A296" s="115" t="str">
        <f t="shared" si="4"/>
        <v/>
      </c>
      <c r="B296" s="94"/>
      <c r="C296" s="94"/>
      <c r="D296" s="95"/>
      <c r="E296" s="95"/>
      <c r="F296" s="104"/>
      <c r="G296" s="97"/>
      <c r="H296" s="17"/>
      <c r="I296" s="17"/>
      <c r="J296" s="17"/>
      <c r="K296" s="17"/>
      <c r="L296" s="17"/>
      <c r="M296" s="17"/>
      <c r="N296" s="17"/>
    </row>
    <row r="297" spans="1:14" x14ac:dyDescent="0.2">
      <c r="A297" s="115" t="str">
        <f t="shared" si="4"/>
        <v/>
      </c>
      <c r="B297" s="94"/>
      <c r="C297" s="94"/>
      <c r="D297" s="95"/>
      <c r="E297" s="95"/>
      <c r="F297" s="104"/>
      <c r="G297" s="97"/>
      <c r="H297" s="17"/>
      <c r="I297" s="17"/>
      <c r="J297" s="17"/>
      <c r="K297" s="17"/>
      <c r="L297" s="17"/>
      <c r="M297" s="17"/>
      <c r="N297" s="17"/>
    </row>
    <row r="298" spans="1:14" x14ac:dyDescent="0.2">
      <c r="A298" s="115" t="str">
        <f t="shared" si="4"/>
        <v/>
      </c>
      <c r="B298" s="94"/>
      <c r="C298" s="94"/>
      <c r="D298" s="95"/>
      <c r="E298" s="95"/>
      <c r="F298" s="104"/>
      <c r="G298" s="97"/>
      <c r="H298" s="17"/>
      <c r="I298" s="17"/>
      <c r="J298" s="17"/>
      <c r="K298" s="17"/>
      <c r="L298" s="17"/>
      <c r="M298" s="17"/>
      <c r="N298" s="17"/>
    </row>
    <row r="299" spans="1:14" x14ac:dyDescent="0.2">
      <c r="A299" s="115" t="str">
        <f t="shared" si="4"/>
        <v/>
      </c>
      <c r="B299" s="94"/>
      <c r="C299" s="94"/>
      <c r="D299" s="95"/>
      <c r="E299" s="95"/>
      <c r="F299" s="104"/>
      <c r="G299" s="97"/>
      <c r="H299" s="17"/>
      <c r="I299" s="17"/>
      <c r="J299" s="17"/>
      <c r="K299" s="17"/>
      <c r="L299" s="17"/>
      <c r="M299" s="17"/>
      <c r="N299" s="17"/>
    </row>
    <row r="300" spans="1:14" x14ac:dyDescent="0.2">
      <c r="A300" s="115" t="str">
        <f t="shared" si="4"/>
        <v/>
      </c>
      <c r="B300" s="94"/>
      <c r="C300" s="94"/>
      <c r="D300" s="95"/>
      <c r="E300" s="95"/>
      <c r="F300" s="104"/>
      <c r="G300" s="97"/>
      <c r="H300" s="17"/>
      <c r="I300" s="17"/>
      <c r="J300" s="17"/>
      <c r="K300" s="17"/>
      <c r="L300" s="17"/>
      <c r="M300" s="17"/>
      <c r="N300" s="17"/>
    </row>
    <row r="301" spans="1:14" x14ac:dyDescent="0.2">
      <c r="A301" s="115" t="str">
        <f t="shared" si="4"/>
        <v/>
      </c>
      <c r="B301" s="94"/>
      <c r="C301" s="94"/>
      <c r="D301" s="95"/>
      <c r="E301" s="95"/>
      <c r="F301" s="104"/>
      <c r="G301" s="97"/>
      <c r="H301" s="17"/>
      <c r="I301" s="17"/>
      <c r="J301" s="17"/>
      <c r="K301" s="17"/>
      <c r="L301" s="17"/>
      <c r="M301" s="17"/>
      <c r="N301" s="17"/>
    </row>
    <row r="302" spans="1:14" x14ac:dyDescent="0.2">
      <c r="A302" s="115" t="str">
        <f t="shared" si="4"/>
        <v/>
      </c>
      <c r="B302" s="94"/>
      <c r="C302" s="94"/>
      <c r="D302" s="95"/>
      <c r="E302" s="95"/>
      <c r="F302" s="104"/>
      <c r="G302" s="97"/>
      <c r="H302" s="17"/>
      <c r="I302" s="17"/>
      <c r="J302" s="17"/>
      <c r="K302" s="17"/>
      <c r="L302" s="17"/>
      <c r="M302" s="17"/>
      <c r="N302" s="17"/>
    </row>
    <row r="303" spans="1:14" x14ac:dyDescent="0.2">
      <c r="A303" s="115" t="str">
        <f t="shared" si="4"/>
        <v/>
      </c>
      <c r="B303" s="94"/>
      <c r="C303" s="94"/>
      <c r="D303" s="95"/>
      <c r="E303" s="95"/>
      <c r="F303" s="104"/>
      <c r="G303" s="97"/>
      <c r="H303" s="17"/>
      <c r="I303" s="17"/>
      <c r="J303" s="17"/>
      <c r="K303" s="17"/>
      <c r="L303" s="17"/>
      <c r="M303" s="17"/>
      <c r="N303" s="17"/>
    </row>
    <row r="304" spans="1:14" x14ac:dyDescent="0.2">
      <c r="A304" s="115" t="str">
        <f t="shared" si="4"/>
        <v/>
      </c>
      <c r="B304" s="94"/>
      <c r="C304" s="94"/>
      <c r="D304" s="95"/>
      <c r="E304" s="95"/>
      <c r="F304" s="104"/>
      <c r="G304" s="97"/>
      <c r="H304" s="17"/>
      <c r="I304" s="17"/>
      <c r="J304" s="17"/>
      <c r="K304" s="17"/>
      <c r="L304" s="17"/>
      <c r="M304" s="17"/>
      <c r="N304" s="17"/>
    </row>
    <row r="305" spans="1:14" x14ac:dyDescent="0.2">
      <c r="A305" s="115" t="str">
        <f t="shared" si="4"/>
        <v/>
      </c>
      <c r="B305" s="94"/>
      <c r="C305" s="94"/>
      <c r="D305" s="95"/>
      <c r="E305" s="95"/>
      <c r="F305" s="104"/>
      <c r="G305" s="97"/>
      <c r="H305" s="17"/>
      <c r="I305" s="17"/>
      <c r="J305" s="17"/>
      <c r="K305" s="17"/>
      <c r="L305" s="17"/>
      <c r="M305" s="17"/>
      <c r="N305" s="17"/>
    </row>
    <row r="306" spans="1:14" x14ac:dyDescent="0.2">
      <c r="A306" s="115" t="str">
        <f t="shared" si="4"/>
        <v/>
      </c>
      <c r="B306" s="94"/>
      <c r="C306" s="94"/>
      <c r="D306" s="95"/>
      <c r="E306" s="95"/>
      <c r="F306" s="104"/>
      <c r="G306" s="97"/>
      <c r="H306" s="17"/>
      <c r="I306" s="17"/>
      <c r="J306" s="17"/>
      <c r="K306" s="17"/>
      <c r="L306" s="17"/>
      <c r="M306" s="17"/>
      <c r="N306" s="17"/>
    </row>
    <row r="307" spans="1:14" x14ac:dyDescent="0.2">
      <c r="A307" s="115" t="str">
        <f t="shared" si="4"/>
        <v/>
      </c>
      <c r="B307" s="94"/>
      <c r="C307" s="94"/>
      <c r="D307" s="95"/>
      <c r="E307" s="95"/>
      <c r="F307" s="104"/>
      <c r="G307" s="97"/>
      <c r="H307" s="17"/>
      <c r="I307" s="17"/>
      <c r="J307" s="17"/>
      <c r="K307" s="17"/>
      <c r="L307" s="17"/>
      <c r="M307" s="17"/>
      <c r="N307" s="17"/>
    </row>
    <row r="308" spans="1:14" x14ac:dyDescent="0.2">
      <c r="A308" s="115" t="str">
        <f t="shared" si="4"/>
        <v/>
      </c>
      <c r="B308" s="94"/>
      <c r="C308" s="94"/>
      <c r="D308" s="95"/>
      <c r="E308" s="95"/>
      <c r="F308" s="104"/>
      <c r="G308" s="97"/>
      <c r="H308" s="17"/>
      <c r="I308" s="17"/>
      <c r="J308" s="17"/>
      <c r="K308" s="17"/>
      <c r="L308" s="17"/>
      <c r="M308" s="17"/>
      <c r="N308" s="17"/>
    </row>
    <row r="309" spans="1:14" x14ac:dyDescent="0.2">
      <c r="A309" s="115" t="str">
        <f t="shared" si="4"/>
        <v/>
      </c>
      <c r="B309" s="94"/>
      <c r="C309" s="94"/>
      <c r="D309" s="95"/>
      <c r="E309" s="95"/>
      <c r="F309" s="104"/>
      <c r="G309" s="97"/>
      <c r="H309" s="17"/>
      <c r="I309" s="17"/>
      <c r="J309" s="17"/>
      <c r="K309" s="17"/>
      <c r="L309" s="17"/>
      <c r="M309" s="17"/>
      <c r="N309" s="17"/>
    </row>
    <row r="310" spans="1:14" x14ac:dyDescent="0.2">
      <c r="A310" s="115" t="str">
        <f t="shared" si="4"/>
        <v/>
      </c>
      <c r="B310" s="94"/>
      <c r="C310" s="94"/>
      <c r="D310" s="95"/>
      <c r="E310" s="95"/>
      <c r="F310" s="104"/>
      <c r="G310" s="97"/>
      <c r="H310" s="17"/>
      <c r="I310" s="17"/>
      <c r="J310" s="17"/>
      <c r="K310" s="17"/>
      <c r="L310" s="17"/>
      <c r="M310" s="17"/>
      <c r="N310" s="17"/>
    </row>
    <row r="311" spans="1:14" x14ac:dyDescent="0.2">
      <c r="A311" s="115" t="str">
        <f t="shared" si="4"/>
        <v/>
      </c>
      <c r="B311" s="94"/>
      <c r="C311" s="94"/>
      <c r="D311" s="95"/>
      <c r="E311" s="95"/>
      <c r="F311" s="104"/>
      <c r="G311" s="97"/>
      <c r="H311" s="17"/>
      <c r="I311" s="17"/>
      <c r="J311" s="17"/>
      <c r="K311" s="17"/>
      <c r="L311" s="17"/>
      <c r="M311" s="17"/>
      <c r="N311" s="17"/>
    </row>
    <row r="312" spans="1:14" x14ac:dyDescent="0.2">
      <c r="A312" s="115" t="str">
        <f t="shared" si="4"/>
        <v/>
      </c>
      <c r="B312" s="94"/>
      <c r="C312" s="94"/>
      <c r="D312" s="95"/>
      <c r="E312" s="95"/>
      <c r="F312" s="104"/>
      <c r="G312" s="97"/>
      <c r="H312" s="17"/>
      <c r="I312" s="17"/>
      <c r="J312" s="17"/>
      <c r="K312" s="17"/>
      <c r="L312" s="17"/>
      <c r="M312" s="17"/>
      <c r="N312" s="17"/>
    </row>
    <row r="313" spans="1:14" x14ac:dyDescent="0.2">
      <c r="A313" s="115" t="str">
        <f t="shared" si="4"/>
        <v/>
      </c>
      <c r="B313" s="94"/>
      <c r="C313" s="94"/>
      <c r="D313" s="95"/>
      <c r="E313" s="95"/>
      <c r="F313" s="104"/>
      <c r="G313" s="97"/>
      <c r="H313" s="17"/>
      <c r="I313" s="17"/>
      <c r="J313" s="17"/>
      <c r="K313" s="17"/>
      <c r="L313" s="17"/>
      <c r="M313" s="17"/>
      <c r="N313" s="17"/>
    </row>
    <row r="314" spans="1:14" x14ac:dyDescent="0.2">
      <c r="A314" s="115" t="str">
        <f t="shared" si="4"/>
        <v/>
      </c>
      <c r="B314" s="94"/>
      <c r="C314" s="94"/>
      <c r="D314" s="95"/>
      <c r="E314" s="95"/>
      <c r="F314" s="104"/>
      <c r="G314" s="97"/>
      <c r="H314" s="17"/>
      <c r="I314" s="17"/>
      <c r="J314" s="17"/>
      <c r="K314" s="17"/>
      <c r="L314" s="17"/>
      <c r="M314" s="17"/>
      <c r="N314" s="17"/>
    </row>
    <row r="315" spans="1:14" x14ac:dyDescent="0.2">
      <c r="A315" s="115" t="str">
        <f t="shared" si="4"/>
        <v/>
      </c>
      <c r="B315" s="94"/>
      <c r="C315" s="94"/>
      <c r="D315" s="95"/>
      <c r="E315" s="95"/>
      <c r="F315" s="104"/>
      <c r="G315" s="97"/>
      <c r="H315" s="17"/>
      <c r="I315" s="17"/>
      <c r="J315" s="17"/>
      <c r="K315" s="17"/>
      <c r="L315" s="17"/>
      <c r="M315" s="17"/>
      <c r="N315" s="17"/>
    </row>
    <row r="316" spans="1:14" x14ac:dyDescent="0.2">
      <c r="A316" s="115" t="str">
        <f t="shared" si="4"/>
        <v/>
      </c>
      <c r="B316" s="94"/>
      <c r="C316" s="94"/>
      <c r="D316" s="95"/>
      <c r="E316" s="95"/>
      <c r="F316" s="104"/>
      <c r="G316" s="97"/>
      <c r="H316" s="17"/>
      <c r="I316" s="17"/>
      <c r="J316" s="17"/>
      <c r="K316" s="17"/>
      <c r="L316" s="17"/>
      <c r="M316" s="17"/>
      <c r="N316" s="17"/>
    </row>
    <row r="317" spans="1:14" x14ac:dyDescent="0.2">
      <c r="A317" s="115" t="str">
        <f t="shared" si="4"/>
        <v/>
      </c>
      <c r="B317" s="94"/>
      <c r="C317" s="94"/>
      <c r="D317" s="95"/>
      <c r="E317" s="95"/>
      <c r="F317" s="104"/>
      <c r="G317" s="97"/>
      <c r="H317" s="17"/>
      <c r="I317" s="17"/>
      <c r="J317" s="17"/>
      <c r="K317" s="17"/>
      <c r="L317" s="17"/>
      <c r="M317" s="17"/>
      <c r="N317" s="17"/>
    </row>
    <row r="318" spans="1:14" x14ac:dyDescent="0.2">
      <c r="A318" s="115" t="str">
        <f t="shared" si="4"/>
        <v/>
      </c>
      <c r="B318" s="94"/>
      <c r="C318" s="94"/>
      <c r="D318" s="95"/>
      <c r="E318" s="95"/>
      <c r="F318" s="104"/>
      <c r="G318" s="97"/>
      <c r="H318" s="17"/>
      <c r="I318" s="17"/>
      <c r="J318" s="17"/>
      <c r="K318" s="17"/>
      <c r="L318" s="17"/>
      <c r="M318" s="17"/>
      <c r="N318" s="17"/>
    </row>
    <row r="319" spans="1:14" x14ac:dyDescent="0.2">
      <c r="A319" s="115" t="str">
        <f t="shared" si="4"/>
        <v/>
      </c>
      <c r="B319" s="94"/>
      <c r="C319" s="94"/>
      <c r="D319" s="95"/>
      <c r="E319" s="95"/>
      <c r="F319" s="104"/>
      <c r="G319" s="97"/>
      <c r="H319" s="17"/>
      <c r="I319" s="17"/>
      <c r="J319" s="17"/>
      <c r="K319" s="17"/>
      <c r="L319" s="17"/>
      <c r="M319" s="17"/>
      <c r="N319" s="17"/>
    </row>
    <row r="320" spans="1:14" x14ac:dyDescent="0.2">
      <c r="A320" s="115" t="str">
        <f t="shared" si="4"/>
        <v/>
      </c>
      <c r="B320" s="94"/>
      <c r="C320" s="94"/>
      <c r="D320" s="95"/>
      <c r="E320" s="95"/>
      <c r="F320" s="104"/>
      <c r="G320" s="97"/>
      <c r="H320" s="17"/>
      <c r="I320" s="17"/>
      <c r="J320" s="17"/>
      <c r="K320" s="17"/>
      <c r="L320" s="17"/>
      <c r="M320" s="17"/>
      <c r="N320" s="17"/>
    </row>
    <row r="321" spans="1:14" x14ac:dyDescent="0.2">
      <c r="A321" s="115" t="str">
        <f t="shared" si="4"/>
        <v/>
      </c>
      <c r="B321" s="94"/>
      <c r="C321" s="94"/>
      <c r="D321" s="95"/>
      <c r="E321" s="95"/>
      <c r="F321" s="104"/>
      <c r="G321" s="97"/>
      <c r="H321" s="17"/>
      <c r="I321" s="17"/>
      <c r="J321" s="17"/>
      <c r="K321" s="17"/>
      <c r="L321" s="17"/>
      <c r="M321" s="17"/>
      <c r="N321" s="17"/>
    </row>
    <row r="322" spans="1:14" x14ac:dyDescent="0.2">
      <c r="A322" s="115" t="str">
        <f t="shared" si="4"/>
        <v/>
      </c>
      <c r="B322" s="94"/>
      <c r="C322" s="94"/>
      <c r="D322" s="95"/>
      <c r="E322" s="95"/>
      <c r="F322" s="104"/>
      <c r="G322" s="97"/>
      <c r="H322" s="17"/>
      <c r="I322" s="17"/>
      <c r="J322" s="17"/>
      <c r="K322" s="17"/>
      <c r="L322" s="17"/>
      <c r="M322" s="17"/>
      <c r="N322" s="17"/>
    </row>
    <row r="323" spans="1:14" x14ac:dyDescent="0.2">
      <c r="A323" s="115" t="str">
        <f t="shared" si="4"/>
        <v/>
      </c>
      <c r="B323" s="94"/>
      <c r="C323" s="94"/>
      <c r="D323" s="95"/>
      <c r="E323" s="95"/>
      <c r="F323" s="104"/>
      <c r="G323" s="97"/>
      <c r="H323" s="17"/>
      <c r="I323" s="17"/>
      <c r="J323" s="17"/>
      <c r="K323" s="17"/>
      <c r="L323" s="17"/>
      <c r="M323" s="17"/>
      <c r="N323" s="17"/>
    </row>
    <row r="324" spans="1:14" x14ac:dyDescent="0.2">
      <c r="A324" s="115" t="str">
        <f t="shared" si="4"/>
        <v/>
      </c>
      <c r="B324" s="94"/>
      <c r="C324" s="94"/>
      <c r="D324" s="95"/>
      <c r="E324" s="95"/>
      <c r="F324" s="104"/>
      <c r="G324" s="97"/>
      <c r="H324" s="17"/>
      <c r="I324" s="17"/>
      <c r="J324" s="17"/>
      <c r="K324" s="17"/>
      <c r="L324" s="17"/>
      <c r="M324" s="17"/>
      <c r="N324" s="17"/>
    </row>
    <row r="325" spans="1:14" x14ac:dyDescent="0.2">
      <c r="A325" s="115" t="str">
        <f t="shared" si="4"/>
        <v/>
      </c>
      <c r="B325" s="94"/>
      <c r="C325" s="94"/>
      <c r="D325" s="95"/>
      <c r="E325" s="95"/>
      <c r="F325" s="104"/>
      <c r="G325" s="97"/>
      <c r="H325" s="17"/>
      <c r="I325" s="17"/>
      <c r="J325" s="17"/>
      <c r="K325" s="17"/>
      <c r="L325" s="17"/>
      <c r="M325" s="17"/>
      <c r="N325" s="17"/>
    </row>
    <row r="326" spans="1:14" x14ac:dyDescent="0.2">
      <c r="A326" s="115" t="str">
        <f t="shared" si="4"/>
        <v/>
      </c>
      <c r="B326" s="94"/>
      <c r="C326" s="94"/>
      <c r="D326" s="95"/>
      <c r="E326" s="95"/>
      <c r="F326" s="104"/>
      <c r="G326" s="97"/>
      <c r="H326" s="17"/>
      <c r="I326" s="17"/>
      <c r="J326" s="17"/>
      <c r="K326" s="17"/>
      <c r="L326" s="17"/>
      <c r="M326" s="17"/>
      <c r="N326" s="17"/>
    </row>
    <row r="327" spans="1:14" x14ac:dyDescent="0.2">
      <c r="A327" s="115" t="str">
        <f t="shared" si="4"/>
        <v/>
      </c>
      <c r="B327" s="94"/>
      <c r="C327" s="94"/>
      <c r="D327" s="95"/>
      <c r="E327" s="95"/>
      <c r="F327" s="104"/>
      <c r="G327" s="97"/>
      <c r="H327" s="17"/>
      <c r="I327" s="17"/>
      <c r="J327" s="17"/>
      <c r="K327" s="17"/>
      <c r="L327" s="17"/>
      <c r="M327" s="17"/>
      <c r="N327" s="17"/>
    </row>
    <row r="328" spans="1:14" x14ac:dyDescent="0.2">
      <c r="A328" s="115" t="str">
        <f t="shared" si="4"/>
        <v/>
      </c>
      <c r="B328" s="94"/>
      <c r="C328" s="94"/>
      <c r="D328" s="95"/>
      <c r="E328" s="95"/>
      <c r="F328" s="104"/>
      <c r="G328" s="97"/>
      <c r="H328" s="17"/>
      <c r="I328" s="17"/>
      <c r="J328" s="17"/>
      <c r="K328" s="17"/>
      <c r="L328" s="17"/>
      <c r="M328" s="17"/>
      <c r="N328" s="17"/>
    </row>
    <row r="329" spans="1:14" x14ac:dyDescent="0.2">
      <c r="A329" s="115" t="str">
        <f t="shared" si="4"/>
        <v/>
      </c>
      <c r="B329" s="94"/>
      <c r="C329" s="94"/>
      <c r="D329" s="95"/>
      <c r="E329" s="95"/>
      <c r="F329" s="104"/>
      <c r="G329" s="97"/>
      <c r="H329" s="17"/>
      <c r="I329" s="17"/>
      <c r="J329" s="17"/>
      <c r="K329" s="17"/>
      <c r="L329" s="17"/>
      <c r="M329" s="17"/>
      <c r="N329" s="17"/>
    </row>
    <row r="330" spans="1:14" x14ac:dyDescent="0.2">
      <c r="A330" s="115" t="str">
        <f t="shared" si="4"/>
        <v/>
      </c>
      <c r="B330" s="94"/>
      <c r="C330" s="94"/>
      <c r="D330" s="95"/>
      <c r="E330" s="95"/>
      <c r="F330" s="104"/>
      <c r="G330" s="97"/>
      <c r="H330" s="17"/>
      <c r="I330" s="17"/>
      <c r="J330" s="17"/>
      <c r="K330" s="17"/>
      <c r="L330" s="17"/>
      <c r="M330" s="17"/>
      <c r="N330" s="17"/>
    </row>
    <row r="331" spans="1:14" x14ac:dyDescent="0.2">
      <c r="A331" s="115" t="str">
        <f t="shared" si="4"/>
        <v/>
      </c>
      <c r="B331" s="94"/>
      <c r="C331" s="94"/>
      <c r="D331" s="95"/>
      <c r="E331" s="95"/>
      <c r="F331" s="104"/>
      <c r="G331" s="97"/>
      <c r="H331" s="17"/>
      <c r="I331" s="17"/>
      <c r="J331" s="17"/>
      <c r="K331" s="17"/>
      <c r="L331" s="17"/>
      <c r="M331" s="17"/>
      <c r="N331" s="17"/>
    </row>
    <row r="332" spans="1:14" x14ac:dyDescent="0.2">
      <c r="A332" s="115" t="str">
        <f t="shared" si="4"/>
        <v/>
      </c>
      <c r="B332" s="94"/>
      <c r="C332" s="94"/>
      <c r="D332" s="95"/>
      <c r="E332" s="95"/>
      <c r="F332" s="104"/>
      <c r="G332" s="97"/>
      <c r="H332" s="17"/>
      <c r="I332" s="17"/>
      <c r="J332" s="17"/>
      <c r="K332" s="17"/>
      <c r="L332" s="17"/>
      <c r="M332" s="17"/>
      <c r="N332" s="17"/>
    </row>
    <row r="333" spans="1:14" x14ac:dyDescent="0.2">
      <c r="A333" s="115" t="str">
        <f t="shared" si="4"/>
        <v/>
      </c>
      <c r="B333" s="94"/>
      <c r="C333" s="94"/>
      <c r="D333" s="95"/>
      <c r="E333" s="95"/>
      <c r="F333" s="104"/>
      <c r="G333" s="97"/>
      <c r="H333" s="17"/>
      <c r="I333" s="17"/>
      <c r="J333" s="17"/>
      <c r="K333" s="17"/>
      <c r="L333" s="17"/>
      <c r="M333" s="17"/>
      <c r="N333" s="17"/>
    </row>
    <row r="334" spans="1:14" x14ac:dyDescent="0.2">
      <c r="A334" s="115" t="str">
        <f t="shared" si="4"/>
        <v/>
      </c>
      <c r="B334" s="94"/>
      <c r="C334" s="94"/>
      <c r="D334" s="95"/>
      <c r="E334" s="95"/>
      <c r="F334" s="104"/>
      <c r="G334" s="97"/>
      <c r="H334" s="17"/>
      <c r="I334" s="17"/>
      <c r="J334" s="17"/>
      <c r="K334" s="17"/>
      <c r="L334" s="17"/>
      <c r="M334" s="17"/>
      <c r="N334" s="17"/>
    </row>
    <row r="335" spans="1:14" x14ac:dyDescent="0.2">
      <c r="A335" s="115" t="str">
        <f t="shared" si="4"/>
        <v/>
      </c>
      <c r="B335" s="94"/>
      <c r="C335" s="94"/>
      <c r="D335" s="95"/>
      <c r="E335" s="95"/>
      <c r="F335" s="104"/>
      <c r="G335" s="97"/>
      <c r="H335" s="17"/>
      <c r="I335" s="17"/>
      <c r="J335" s="17"/>
      <c r="K335" s="17"/>
      <c r="L335" s="17"/>
      <c r="M335" s="17"/>
      <c r="N335" s="17"/>
    </row>
    <row r="336" spans="1:14" x14ac:dyDescent="0.2">
      <c r="A336" s="115" t="str">
        <f t="shared" si="4"/>
        <v/>
      </c>
      <c r="B336" s="94"/>
      <c r="C336" s="94"/>
      <c r="D336" s="95"/>
      <c r="E336" s="95"/>
      <c r="F336" s="104"/>
      <c r="G336" s="97"/>
      <c r="H336" s="17"/>
      <c r="I336" s="17"/>
      <c r="J336" s="17"/>
      <c r="K336" s="17"/>
      <c r="L336" s="17"/>
      <c r="M336" s="17"/>
      <c r="N336" s="17"/>
    </row>
    <row r="337" spans="1:14" x14ac:dyDescent="0.2">
      <c r="A337" s="115" t="str">
        <f t="shared" si="4"/>
        <v/>
      </c>
      <c r="B337" s="94"/>
      <c r="C337" s="94"/>
      <c r="D337" s="95"/>
      <c r="E337" s="95"/>
      <c r="F337" s="104"/>
      <c r="G337" s="97"/>
      <c r="H337" s="17"/>
      <c r="I337" s="17"/>
      <c r="J337" s="17"/>
      <c r="K337" s="17"/>
      <c r="L337" s="17"/>
      <c r="M337" s="17"/>
      <c r="N337" s="17"/>
    </row>
    <row r="338" spans="1:14" x14ac:dyDescent="0.2">
      <c r="A338" s="115" t="str">
        <f t="shared" si="4"/>
        <v/>
      </c>
      <c r="B338" s="94"/>
      <c r="C338" s="94"/>
      <c r="D338" s="95"/>
      <c r="E338" s="95"/>
      <c r="F338" s="104"/>
      <c r="G338" s="97"/>
      <c r="H338" s="17"/>
      <c r="I338" s="17"/>
      <c r="J338" s="17"/>
      <c r="K338" s="17"/>
      <c r="L338" s="17"/>
      <c r="M338" s="17"/>
      <c r="N338" s="17"/>
    </row>
    <row r="339" spans="1:14" x14ac:dyDescent="0.2">
      <c r="A339" s="115" t="str">
        <f t="shared" si="4"/>
        <v/>
      </c>
      <c r="B339" s="94"/>
      <c r="C339" s="94"/>
      <c r="D339" s="95"/>
      <c r="E339" s="95"/>
      <c r="F339" s="104"/>
      <c r="G339" s="97"/>
      <c r="H339" s="17"/>
      <c r="I339" s="17"/>
      <c r="J339" s="17"/>
      <c r="K339" s="17"/>
      <c r="L339" s="17"/>
      <c r="M339" s="17"/>
      <c r="N339" s="17"/>
    </row>
    <row r="340" spans="1:14" x14ac:dyDescent="0.2">
      <c r="A340" s="115" t="str">
        <f t="shared" si="4"/>
        <v/>
      </c>
      <c r="B340" s="94"/>
      <c r="C340" s="94"/>
      <c r="D340" s="95"/>
      <c r="E340" s="95"/>
      <c r="F340" s="104"/>
      <c r="G340" s="97"/>
      <c r="H340" s="17"/>
      <c r="I340" s="17"/>
      <c r="J340" s="17"/>
      <c r="K340" s="17"/>
      <c r="L340" s="17"/>
      <c r="M340" s="17"/>
      <c r="N340" s="17"/>
    </row>
    <row r="341" spans="1:14" x14ac:dyDescent="0.2">
      <c r="A341" s="115" t="str">
        <f t="shared" si="4"/>
        <v/>
      </c>
      <c r="B341" s="94"/>
      <c r="C341" s="94"/>
      <c r="D341" s="95"/>
      <c r="E341" s="95"/>
      <c r="F341" s="104"/>
      <c r="G341" s="97"/>
      <c r="H341" s="17"/>
      <c r="I341" s="17"/>
      <c r="J341" s="17"/>
      <c r="K341" s="17"/>
      <c r="L341" s="17"/>
      <c r="M341" s="17"/>
      <c r="N341" s="17"/>
    </row>
    <row r="342" spans="1:14" x14ac:dyDescent="0.2">
      <c r="A342" s="115" t="str">
        <f t="shared" si="4"/>
        <v/>
      </c>
      <c r="B342" s="94"/>
      <c r="C342" s="94"/>
      <c r="D342" s="95"/>
      <c r="E342" s="95"/>
      <c r="F342" s="104"/>
      <c r="G342" s="97"/>
      <c r="H342" s="17"/>
      <c r="I342" s="17"/>
      <c r="J342" s="17"/>
      <c r="K342" s="17"/>
      <c r="L342" s="17"/>
      <c r="M342" s="17"/>
      <c r="N342" s="17"/>
    </row>
    <row r="343" spans="1:14" x14ac:dyDescent="0.2">
      <c r="A343" s="115" t="str">
        <f t="shared" ref="A343:A406" si="5">IF(B343&lt;&gt;"", A342, "")</f>
        <v/>
      </c>
      <c r="B343" s="94"/>
      <c r="C343" s="94"/>
      <c r="D343" s="95"/>
      <c r="E343" s="95"/>
      <c r="F343" s="104"/>
      <c r="G343" s="97"/>
      <c r="H343" s="17"/>
      <c r="I343" s="17"/>
      <c r="J343" s="17"/>
      <c r="K343" s="17"/>
      <c r="L343" s="17"/>
      <c r="M343" s="17"/>
      <c r="N343" s="17"/>
    </row>
    <row r="344" spans="1:14" x14ac:dyDescent="0.2">
      <c r="A344" s="115" t="str">
        <f t="shared" si="5"/>
        <v/>
      </c>
      <c r="B344" s="94"/>
      <c r="C344" s="94"/>
      <c r="D344" s="95"/>
      <c r="E344" s="95"/>
      <c r="F344" s="104"/>
      <c r="G344" s="97"/>
      <c r="H344" s="17"/>
      <c r="I344" s="17"/>
      <c r="J344" s="17"/>
      <c r="K344" s="17"/>
      <c r="L344" s="17"/>
      <c r="M344" s="17"/>
      <c r="N344" s="17"/>
    </row>
    <row r="345" spans="1:14" x14ac:dyDescent="0.2">
      <c r="A345" s="115" t="str">
        <f t="shared" si="5"/>
        <v/>
      </c>
      <c r="B345" s="94"/>
      <c r="C345" s="94"/>
      <c r="D345" s="95"/>
      <c r="E345" s="95"/>
      <c r="F345" s="104"/>
      <c r="G345" s="97"/>
      <c r="H345" s="17"/>
      <c r="I345" s="17"/>
      <c r="J345" s="17"/>
      <c r="K345" s="17"/>
      <c r="L345" s="17"/>
      <c r="M345" s="17"/>
      <c r="N345" s="17"/>
    </row>
    <row r="346" spans="1:14" x14ac:dyDescent="0.2">
      <c r="A346" s="115" t="str">
        <f t="shared" si="5"/>
        <v/>
      </c>
      <c r="B346" s="94"/>
      <c r="C346" s="94"/>
      <c r="D346" s="95"/>
      <c r="E346" s="95"/>
      <c r="F346" s="104"/>
      <c r="G346" s="97"/>
      <c r="H346" s="17"/>
      <c r="I346" s="17"/>
      <c r="J346" s="17"/>
      <c r="K346" s="17"/>
      <c r="L346" s="17"/>
      <c r="M346" s="17"/>
      <c r="N346" s="17"/>
    </row>
    <row r="347" spans="1:14" x14ac:dyDescent="0.2">
      <c r="A347" s="115" t="str">
        <f t="shared" si="5"/>
        <v/>
      </c>
      <c r="B347" s="94"/>
      <c r="C347" s="94"/>
      <c r="D347" s="95"/>
      <c r="E347" s="95"/>
      <c r="F347" s="104"/>
      <c r="G347" s="97"/>
      <c r="H347" s="17"/>
      <c r="I347" s="17"/>
      <c r="J347" s="17"/>
      <c r="K347" s="17"/>
      <c r="L347" s="17"/>
      <c r="M347" s="17"/>
      <c r="N347" s="17"/>
    </row>
    <row r="348" spans="1:14" x14ac:dyDescent="0.2">
      <c r="A348" s="115" t="str">
        <f t="shared" si="5"/>
        <v/>
      </c>
      <c r="B348" s="94"/>
      <c r="C348" s="94"/>
      <c r="D348" s="95"/>
      <c r="E348" s="95"/>
      <c r="F348" s="104"/>
      <c r="G348" s="97"/>
      <c r="H348" s="17"/>
      <c r="I348" s="17"/>
      <c r="J348" s="17"/>
      <c r="K348" s="17"/>
      <c r="L348" s="17"/>
      <c r="M348" s="17"/>
      <c r="N348" s="17"/>
    </row>
    <row r="349" spans="1:14" x14ac:dyDescent="0.2">
      <c r="A349" s="115" t="str">
        <f t="shared" si="5"/>
        <v/>
      </c>
      <c r="B349" s="94"/>
      <c r="C349" s="94"/>
      <c r="D349" s="95"/>
      <c r="E349" s="95"/>
      <c r="F349" s="104"/>
      <c r="G349" s="97"/>
      <c r="H349" s="17"/>
      <c r="I349" s="17"/>
      <c r="J349" s="17"/>
      <c r="K349" s="17"/>
      <c r="L349" s="17"/>
      <c r="M349" s="17"/>
      <c r="N349" s="17"/>
    </row>
    <row r="350" spans="1:14" x14ac:dyDescent="0.2">
      <c r="A350" s="115" t="str">
        <f t="shared" si="5"/>
        <v/>
      </c>
      <c r="B350" s="94"/>
      <c r="C350" s="94"/>
      <c r="D350" s="95"/>
      <c r="E350" s="95"/>
      <c r="F350" s="104"/>
      <c r="G350" s="97"/>
      <c r="H350" s="17"/>
      <c r="I350" s="17"/>
      <c r="J350" s="17"/>
      <c r="K350" s="17"/>
      <c r="L350" s="17"/>
      <c r="M350" s="17"/>
      <c r="N350" s="17"/>
    </row>
    <row r="351" spans="1:14" x14ac:dyDescent="0.2">
      <c r="A351" s="115" t="str">
        <f t="shared" si="5"/>
        <v/>
      </c>
      <c r="B351" s="94"/>
      <c r="C351" s="94"/>
      <c r="D351" s="95"/>
      <c r="E351" s="95"/>
      <c r="F351" s="104"/>
      <c r="G351" s="97"/>
      <c r="H351" s="17"/>
      <c r="I351" s="17"/>
      <c r="J351" s="17"/>
      <c r="K351" s="17"/>
      <c r="L351" s="17"/>
      <c r="M351" s="17"/>
      <c r="N351" s="17"/>
    </row>
    <row r="352" spans="1:14" x14ac:dyDescent="0.2">
      <c r="A352" s="115" t="str">
        <f t="shared" si="5"/>
        <v/>
      </c>
      <c r="B352" s="94"/>
      <c r="C352" s="94"/>
      <c r="D352" s="95"/>
      <c r="E352" s="95"/>
      <c r="F352" s="104"/>
      <c r="G352" s="97"/>
      <c r="H352" s="17"/>
      <c r="I352" s="17"/>
      <c r="J352" s="17"/>
      <c r="K352" s="17"/>
      <c r="L352" s="17"/>
      <c r="M352" s="17"/>
      <c r="N352" s="17"/>
    </row>
    <row r="353" spans="1:14" x14ac:dyDescent="0.2">
      <c r="A353" s="115" t="str">
        <f t="shared" si="5"/>
        <v/>
      </c>
      <c r="B353" s="94"/>
      <c r="C353" s="94"/>
      <c r="D353" s="95"/>
      <c r="E353" s="95"/>
      <c r="F353" s="104"/>
      <c r="G353" s="97"/>
      <c r="H353" s="17"/>
      <c r="I353" s="17"/>
      <c r="J353" s="17"/>
      <c r="K353" s="17"/>
      <c r="L353" s="17"/>
      <c r="M353" s="17"/>
      <c r="N353" s="17"/>
    </row>
    <row r="354" spans="1:14" x14ac:dyDescent="0.2">
      <c r="A354" s="115" t="str">
        <f t="shared" si="5"/>
        <v/>
      </c>
      <c r="B354" s="94"/>
      <c r="C354" s="94"/>
      <c r="D354" s="95"/>
      <c r="E354" s="95"/>
      <c r="F354" s="104"/>
      <c r="G354" s="97"/>
      <c r="H354" s="17"/>
      <c r="I354" s="17"/>
      <c r="J354" s="17"/>
      <c r="K354" s="17"/>
      <c r="L354" s="17"/>
      <c r="M354" s="17"/>
      <c r="N354" s="17"/>
    </row>
    <row r="355" spans="1:14" x14ac:dyDescent="0.2">
      <c r="A355" s="115" t="str">
        <f t="shared" si="5"/>
        <v/>
      </c>
      <c r="B355" s="94"/>
      <c r="C355" s="94"/>
      <c r="D355" s="95"/>
      <c r="E355" s="95"/>
      <c r="F355" s="104"/>
      <c r="G355" s="97"/>
      <c r="H355" s="17"/>
      <c r="I355" s="17"/>
      <c r="J355" s="17"/>
      <c r="K355" s="17"/>
      <c r="L355" s="17"/>
      <c r="M355" s="17"/>
      <c r="N355" s="17"/>
    </row>
    <row r="356" spans="1:14" x14ac:dyDescent="0.2">
      <c r="A356" s="115" t="str">
        <f t="shared" si="5"/>
        <v/>
      </c>
      <c r="B356" s="94"/>
      <c r="C356" s="94"/>
      <c r="D356" s="95"/>
      <c r="E356" s="95"/>
      <c r="F356" s="104"/>
      <c r="G356" s="97"/>
      <c r="H356" s="17"/>
      <c r="I356" s="17"/>
      <c r="J356" s="17"/>
      <c r="K356" s="17"/>
      <c r="L356" s="17"/>
      <c r="M356" s="17"/>
      <c r="N356" s="17"/>
    </row>
    <row r="357" spans="1:14" x14ac:dyDescent="0.2">
      <c r="A357" s="115" t="str">
        <f t="shared" si="5"/>
        <v/>
      </c>
      <c r="B357" s="94"/>
      <c r="C357" s="94"/>
      <c r="D357" s="95"/>
      <c r="E357" s="95"/>
      <c r="F357" s="104"/>
      <c r="G357" s="97"/>
      <c r="H357" s="17"/>
      <c r="I357" s="17"/>
      <c r="J357" s="17"/>
      <c r="K357" s="17"/>
      <c r="L357" s="17"/>
      <c r="M357" s="17"/>
      <c r="N357" s="17"/>
    </row>
    <row r="358" spans="1:14" x14ac:dyDescent="0.2">
      <c r="A358" s="115" t="str">
        <f t="shared" si="5"/>
        <v/>
      </c>
      <c r="B358" s="94"/>
      <c r="C358" s="94"/>
      <c r="D358" s="95"/>
      <c r="E358" s="95"/>
      <c r="F358" s="104"/>
      <c r="G358" s="97"/>
      <c r="H358" s="17"/>
      <c r="I358" s="17"/>
      <c r="J358" s="17"/>
      <c r="K358" s="17"/>
      <c r="L358" s="17"/>
      <c r="M358" s="17"/>
      <c r="N358" s="17"/>
    </row>
    <row r="359" spans="1:14" x14ac:dyDescent="0.2">
      <c r="A359" s="115" t="str">
        <f t="shared" si="5"/>
        <v/>
      </c>
      <c r="B359" s="94"/>
      <c r="C359" s="94"/>
      <c r="D359" s="95"/>
      <c r="E359" s="95"/>
      <c r="F359" s="104"/>
      <c r="G359" s="97"/>
      <c r="H359" s="17"/>
      <c r="I359" s="17"/>
      <c r="J359" s="17"/>
      <c r="K359" s="17"/>
      <c r="L359" s="17"/>
      <c r="M359" s="17"/>
      <c r="N359" s="17"/>
    </row>
    <row r="360" spans="1:14" x14ac:dyDescent="0.2">
      <c r="A360" s="115" t="str">
        <f t="shared" si="5"/>
        <v/>
      </c>
      <c r="B360" s="94"/>
      <c r="C360" s="94"/>
      <c r="D360" s="95"/>
      <c r="E360" s="95"/>
      <c r="F360" s="104"/>
      <c r="G360" s="97"/>
      <c r="H360" s="17"/>
      <c r="I360" s="17"/>
      <c r="J360" s="17"/>
      <c r="K360" s="17"/>
      <c r="L360" s="17"/>
      <c r="M360" s="17"/>
      <c r="N360" s="17"/>
    </row>
    <row r="361" spans="1:14" x14ac:dyDescent="0.2">
      <c r="A361" s="115" t="str">
        <f t="shared" si="5"/>
        <v/>
      </c>
      <c r="B361" s="94"/>
      <c r="C361" s="94"/>
      <c r="D361" s="95"/>
      <c r="E361" s="95"/>
      <c r="F361" s="104"/>
      <c r="G361" s="97"/>
      <c r="H361" s="17"/>
      <c r="I361" s="17"/>
      <c r="J361" s="17"/>
      <c r="K361" s="17"/>
      <c r="L361" s="17"/>
      <c r="M361" s="17"/>
      <c r="N361" s="17"/>
    </row>
    <row r="362" spans="1:14" x14ac:dyDescent="0.2">
      <c r="A362" s="115" t="str">
        <f t="shared" si="5"/>
        <v/>
      </c>
      <c r="B362" s="94"/>
      <c r="C362" s="94"/>
      <c r="D362" s="95"/>
      <c r="E362" s="95"/>
      <c r="F362" s="104"/>
      <c r="G362" s="97"/>
      <c r="H362" s="17"/>
      <c r="I362" s="17"/>
      <c r="J362" s="17"/>
      <c r="K362" s="17"/>
      <c r="L362" s="17"/>
      <c r="M362" s="17"/>
      <c r="N362" s="17"/>
    </row>
    <row r="363" spans="1:14" x14ac:dyDescent="0.2">
      <c r="A363" s="115" t="str">
        <f t="shared" si="5"/>
        <v/>
      </c>
      <c r="B363" s="94"/>
      <c r="C363" s="94"/>
      <c r="D363" s="95"/>
      <c r="E363" s="95"/>
      <c r="F363" s="104"/>
      <c r="G363" s="97"/>
      <c r="H363" s="17"/>
      <c r="I363" s="17"/>
      <c r="J363" s="17"/>
      <c r="K363" s="17"/>
      <c r="L363" s="17"/>
      <c r="M363" s="17"/>
      <c r="N363" s="17"/>
    </row>
    <row r="364" spans="1:14" x14ac:dyDescent="0.2">
      <c r="A364" s="115" t="str">
        <f t="shared" si="5"/>
        <v/>
      </c>
      <c r="B364" s="94"/>
      <c r="C364" s="94"/>
      <c r="D364" s="95"/>
      <c r="E364" s="95"/>
      <c r="F364" s="104"/>
      <c r="G364" s="97"/>
      <c r="H364" s="17"/>
      <c r="I364" s="17"/>
      <c r="J364" s="17"/>
      <c r="K364" s="17"/>
      <c r="L364" s="17"/>
      <c r="M364" s="17"/>
      <c r="N364" s="17"/>
    </row>
    <row r="365" spans="1:14" x14ac:dyDescent="0.2">
      <c r="A365" s="115" t="str">
        <f t="shared" si="5"/>
        <v/>
      </c>
      <c r="B365" s="94"/>
      <c r="C365" s="94"/>
      <c r="D365" s="95"/>
      <c r="E365" s="95"/>
      <c r="F365" s="104"/>
      <c r="G365" s="97"/>
      <c r="H365" s="17"/>
      <c r="I365" s="17"/>
      <c r="J365" s="17"/>
      <c r="K365" s="17"/>
      <c r="L365" s="17"/>
      <c r="M365" s="17"/>
      <c r="N365" s="17"/>
    </row>
    <row r="366" spans="1:14" x14ac:dyDescent="0.2">
      <c r="A366" s="115" t="str">
        <f t="shared" si="5"/>
        <v/>
      </c>
      <c r="B366" s="94"/>
      <c r="C366" s="94"/>
      <c r="D366" s="95"/>
      <c r="E366" s="95"/>
      <c r="F366" s="104"/>
      <c r="G366" s="97"/>
      <c r="H366" s="17"/>
      <c r="I366" s="17"/>
      <c r="J366" s="17"/>
      <c r="K366" s="17"/>
      <c r="L366" s="17"/>
      <c r="M366" s="17"/>
      <c r="N366" s="17"/>
    </row>
    <row r="367" spans="1:14" x14ac:dyDescent="0.2">
      <c r="A367" s="115" t="str">
        <f t="shared" si="5"/>
        <v/>
      </c>
      <c r="B367" s="94"/>
      <c r="C367" s="94"/>
      <c r="D367" s="95"/>
      <c r="E367" s="95"/>
      <c r="F367" s="104"/>
      <c r="G367" s="97"/>
      <c r="H367" s="17"/>
      <c r="I367" s="17"/>
      <c r="J367" s="17"/>
      <c r="K367" s="17"/>
      <c r="L367" s="17"/>
      <c r="M367" s="17"/>
      <c r="N367" s="17"/>
    </row>
    <row r="368" spans="1:14" x14ac:dyDescent="0.2">
      <c r="A368" s="115" t="str">
        <f t="shared" si="5"/>
        <v/>
      </c>
      <c r="B368" s="94"/>
      <c r="C368" s="94"/>
      <c r="D368" s="95"/>
      <c r="E368" s="95"/>
      <c r="F368" s="104"/>
      <c r="G368" s="97"/>
      <c r="H368" s="17"/>
      <c r="I368" s="17"/>
      <c r="J368" s="17"/>
      <c r="K368" s="17"/>
      <c r="L368" s="17"/>
      <c r="M368" s="17"/>
      <c r="N368" s="17"/>
    </row>
    <row r="369" spans="1:14" x14ac:dyDescent="0.2">
      <c r="A369" s="115" t="str">
        <f t="shared" si="5"/>
        <v/>
      </c>
      <c r="B369" s="94"/>
      <c r="C369" s="94"/>
      <c r="D369" s="95"/>
      <c r="E369" s="95"/>
      <c r="F369" s="104"/>
      <c r="G369" s="97"/>
      <c r="H369" s="17"/>
      <c r="I369" s="17"/>
      <c r="J369" s="17"/>
      <c r="K369" s="17"/>
      <c r="L369" s="17"/>
      <c r="M369" s="17"/>
      <c r="N369" s="17"/>
    </row>
    <row r="370" spans="1:14" x14ac:dyDescent="0.2">
      <c r="A370" s="115" t="str">
        <f t="shared" si="5"/>
        <v/>
      </c>
      <c r="B370" s="94"/>
      <c r="C370" s="94"/>
      <c r="D370" s="95"/>
      <c r="E370" s="95"/>
      <c r="F370" s="104"/>
      <c r="G370" s="97"/>
      <c r="H370" s="17"/>
      <c r="I370" s="17"/>
      <c r="J370" s="17"/>
      <c r="K370" s="17"/>
      <c r="L370" s="17"/>
      <c r="M370" s="17"/>
      <c r="N370" s="17"/>
    </row>
    <row r="371" spans="1:14" x14ac:dyDescent="0.2">
      <c r="A371" s="115" t="str">
        <f t="shared" si="5"/>
        <v/>
      </c>
      <c r="B371" s="94"/>
      <c r="C371" s="94"/>
      <c r="D371" s="95"/>
      <c r="E371" s="95"/>
      <c r="F371" s="104"/>
      <c r="G371" s="97"/>
      <c r="H371" s="17"/>
      <c r="I371" s="17"/>
      <c r="J371" s="17"/>
      <c r="K371" s="17"/>
      <c r="L371" s="17"/>
      <c r="M371" s="17"/>
      <c r="N371" s="17"/>
    </row>
    <row r="372" spans="1:14" x14ac:dyDescent="0.2">
      <c r="A372" s="115" t="str">
        <f t="shared" si="5"/>
        <v/>
      </c>
      <c r="B372" s="94"/>
      <c r="C372" s="94"/>
      <c r="D372" s="95"/>
      <c r="E372" s="95"/>
      <c r="F372" s="104"/>
      <c r="G372" s="97"/>
      <c r="H372" s="17"/>
      <c r="I372" s="17"/>
      <c r="J372" s="17"/>
      <c r="K372" s="17"/>
      <c r="L372" s="17"/>
      <c r="M372" s="17"/>
      <c r="N372" s="17"/>
    </row>
    <row r="373" spans="1:14" x14ac:dyDescent="0.2">
      <c r="A373" s="115" t="str">
        <f t="shared" si="5"/>
        <v/>
      </c>
      <c r="B373" s="94"/>
      <c r="C373" s="94"/>
      <c r="D373" s="95"/>
      <c r="E373" s="95"/>
      <c r="F373" s="104"/>
      <c r="G373" s="97"/>
      <c r="H373" s="17"/>
      <c r="I373" s="17"/>
      <c r="J373" s="17"/>
      <c r="K373" s="17"/>
      <c r="L373" s="17"/>
      <c r="M373" s="17"/>
      <c r="N373" s="17"/>
    </row>
    <row r="374" spans="1:14" x14ac:dyDescent="0.2">
      <c r="A374" s="115" t="str">
        <f t="shared" si="5"/>
        <v/>
      </c>
      <c r="B374" s="94"/>
      <c r="C374" s="94"/>
      <c r="D374" s="95"/>
      <c r="E374" s="95"/>
      <c r="F374" s="104"/>
      <c r="G374" s="97"/>
      <c r="H374" s="17"/>
      <c r="I374" s="17"/>
      <c r="J374" s="17"/>
      <c r="K374" s="17"/>
      <c r="L374" s="17"/>
      <c r="M374" s="17"/>
      <c r="N374" s="17"/>
    </row>
    <row r="375" spans="1:14" x14ac:dyDescent="0.2">
      <c r="A375" s="115" t="str">
        <f t="shared" si="5"/>
        <v/>
      </c>
      <c r="B375" s="94"/>
      <c r="C375" s="94"/>
      <c r="D375" s="95"/>
      <c r="E375" s="95"/>
      <c r="F375" s="104"/>
      <c r="G375" s="97"/>
      <c r="H375" s="17"/>
      <c r="I375" s="17"/>
      <c r="J375" s="17"/>
      <c r="K375" s="17"/>
      <c r="L375" s="17"/>
      <c r="M375" s="17"/>
      <c r="N375" s="17"/>
    </row>
    <row r="376" spans="1:14" x14ac:dyDescent="0.2">
      <c r="A376" s="115" t="str">
        <f t="shared" si="5"/>
        <v/>
      </c>
      <c r="B376" s="94"/>
      <c r="C376" s="94"/>
      <c r="D376" s="95"/>
      <c r="E376" s="95"/>
      <c r="F376" s="104"/>
      <c r="G376" s="97"/>
      <c r="H376" s="17"/>
      <c r="I376" s="17"/>
      <c r="J376" s="17"/>
      <c r="K376" s="17"/>
      <c r="L376" s="17"/>
      <c r="M376" s="17"/>
      <c r="N376" s="17"/>
    </row>
    <row r="377" spans="1:14" x14ac:dyDescent="0.2">
      <c r="A377" s="115" t="str">
        <f t="shared" si="5"/>
        <v/>
      </c>
      <c r="B377" s="94"/>
      <c r="C377" s="94"/>
      <c r="D377" s="95"/>
      <c r="E377" s="95"/>
      <c r="F377" s="104"/>
      <c r="G377" s="97"/>
      <c r="H377" s="17"/>
      <c r="I377" s="17"/>
      <c r="J377" s="17"/>
      <c r="K377" s="17"/>
      <c r="L377" s="17"/>
      <c r="M377" s="17"/>
      <c r="N377" s="17"/>
    </row>
    <row r="378" spans="1:14" x14ac:dyDescent="0.2">
      <c r="A378" s="115" t="str">
        <f t="shared" si="5"/>
        <v/>
      </c>
      <c r="B378" s="94"/>
      <c r="C378" s="94"/>
      <c r="D378" s="95"/>
      <c r="E378" s="95"/>
      <c r="F378" s="104"/>
      <c r="G378" s="97"/>
      <c r="H378" s="17"/>
      <c r="I378" s="17"/>
      <c r="J378" s="17"/>
      <c r="K378" s="17"/>
      <c r="L378" s="17"/>
      <c r="M378" s="17"/>
      <c r="N378" s="17"/>
    </row>
    <row r="379" spans="1:14" x14ac:dyDescent="0.2">
      <c r="A379" s="115" t="str">
        <f t="shared" si="5"/>
        <v/>
      </c>
      <c r="B379" s="94"/>
      <c r="C379" s="94"/>
      <c r="D379" s="95"/>
      <c r="E379" s="95"/>
      <c r="F379" s="104"/>
      <c r="G379" s="97"/>
      <c r="H379" s="17"/>
      <c r="I379" s="17"/>
      <c r="J379" s="17"/>
      <c r="K379" s="17"/>
      <c r="L379" s="17"/>
      <c r="M379" s="17"/>
      <c r="N379" s="17"/>
    </row>
    <row r="380" spans="1:14" x14ac:dyDescent="0.2">
      <c r="A380" s="115" t="str">
        <f t="shared" si="5"/>
        <v/>
      </c>
      <c r="B380" s="94"/>
      <c r="C380" s="94"/>
      <c r="D380" s="95"/>
      <c r="E380" s="95"/>
      <c r="F380" s="104"/>
      <c r="G380" s="97"/>
      <c r="H380" s="17"/>
      <c r="I380" s="17"/>
      <c r="J380" s="17"/>
      <c r="K380" s="17"/>
      <c r="L380" s="17"/>
      <c r="M380" s="17"/>
      <c r="N380" s="17"/>
    </row>
    <row r="381" spans="1:14" x14ac:dyDescent="0.2">
      <c r="A381" s="115" t="str">
        <f t="shared" si="5"/>
        <v/>
      </c>
      <c r="B381" s="94"/>
      <c r="C381" s="94"/>
      <c r="D381" s="95"/>
      <c r="E381" s="95"/>
      <c r="F381" s="104"/>
      <c r="G381" s="97"/>
      <c r="H381" s="17"/>
      <c r="I381" s="17"/>
      <c r="J381" s="17"/>
      <c r="K381" s="17"/>
      <c r="L381" s="17"/>
      <c r="M381" s="17"/>
      <c r="N381" s="17"/>
    </row>
    <row r="382" spans="1:14" x14ac:dyDescent="0.2">
      <c r="A382" s="115" t="str">
        <f t="shared" si="5"/>
        <v/>
      </c>
      <c r="B382" s="94"/>
      <c r="C382" s="94"/>
      <c r="D382" s="95"/>
      <c r="E382" s="95"/>
      <c r="F382" s="104"/>
      <c r="G382" s="97"/>
      <c r="H382" s="17"/>
      <c r="I382" s="17"/>
      <c r="J382" s="17"/>
      <c r="K382" s="17"/>
      <c r="L382" s="17"/>
      <c r="M382" s="17"/>
      <c r="N382" s="17"/>
    </row>
    <row r="383" spans="1:14" x14ac:dyDescent="0.2">
      <c r="A383" s="115" t="str">
        <f t="shared" si="5"/>
        <v/>
      </c>
      <c r="B383" s="94"/>
      <c r="C383" s="94"/>
      <c r="D383" s="95"/>
      <c r="E383" s="95"/>
      <c r="F383" s="104"/>
      <c r="G383" s="97"/>
      <c r="H383" s="17"/>
      <c r="I383" s="17"/>
      <c r="J383" s="17"/>
      <c r="K383" s="17"/>
      <c r="L383" s="17"/>
      <c r="M383" s="17"/>
      <c r="N383" s="17"/>
    </row>
    <row r="384" spans="1:14" x14ac:dyDescent="0.2">
      <c r="A384" s="115" t="str">
        <f t="shared" si="5"/>
        <v/>
      </c>
      <c r="B384" s="94"/>
      <c r="C384" s="94"/>
      <c r="D384" s="95"/>
      <c r="E384" s="95"/>
      <c r="F384" s="104"/>
      <c r="G384" s="97"/>
      <c r="H384" s="17"/>
      <c r="I384" s="17"/>
      <c r="J384" s="17"/>
      <c r="K384" s="17"/>
      <c r="L384" s="17"/>
      <c r="M384" s="17"/>
      <c r="N384" s="17"/>
    </row>
    <row r="385" spans="1:14" x14ac:dyDescent="0.2">
      <c r="A385" s="115" t="str">
        <f t="shared" si="5"/>
        <v/>
      </c>
      <c r="B385" s="94"/>
      <c r="C385" s="94"/>
      <c r="D385" s="95"/>
      <c r="E385" s="95"/>
      <c r="F385" s="104"/>
      <c r="G385" s="97"/>
      <c r="H385" s="17"/>
      <c r="I385" s="17"/>
      <c r="J385" s="17"/>
      <c r="K385" s="17"/>
      <c r="L385" s="17"/>
      <c r="M385" s="17"/>
      <c r="N385" s="17"/>
    </row>
    <row r="386" spans="1:14" x14ac:dyDescent="0.2">
      <c r="A386" s="115" t="str">
        <f t="shared" si="5"/>
        <v/>
      </c>
      <c r="B386" s="94"/>
      <c r="C386" s="94"/>
      <c r="D386" s="95"/>
      <c r="E386" s="95"/>
      <c r="F386" s="104"/>
      <c r="G386" s="97"/>
      <c r="H386" s="17"/>
      <c r="I386" s="17"/>
      <c r="J386" s="17"/>
      <c r="K386" s="17"/>
      <c r="L386" s="17"/>
      <c r="M386" s="17"/>
      <c r="N386" s="17"/>
    </row>
    <row r="387" spans="1:14" x14ac:dyDescent="0.2">
      <c r="A387" s="115" t="str">
        <f t="shared" si="5"/>
        <v/>
      </c>
      <c r="B387" s="94"/>
      <c r="C387" s="94"/>
      <c r="D387" s="95"/>
      <c r="E387" s="95"/>
      <c r="F387" s="104"/>
      <c r="G387" s="97"/>
      <c r="H387" s="17"/>
      <c r="I387" s="17"/>
      <c r="J387" s="17"/>
      <c r="K387" s="17"/>
      <c r="L387" s="17"/>
      <c r="M387" s="17"/>
      <c r="N387" s="17"/>
    </row>
    <row r="388" spans="1:14" x14ac:dyDescent="0.2">
      <c r="A388" s="115" t="str">
        <f t="shared" si="5"/>
        <v/>
      </c>
      <c r="B388" s="94"/>
      <c r="C388" s="94"/>
      <c r="D388" s="95"/>
      <c r="E388" s="95"/>
      <c r="F388" s="104"/>
      <c r="G388" s="97"/>
      <c r="H388" s="17"/>
      <c r="I388" s="17"/>
      <c r="J388" s="17"/>
      <c r="K388" s="17"/>
      <c r="L388" s="17"/>
      <c r="M388" s="17"/>
      <c r="N388" s="17"/>
    </row>
    <row r="389" spans="1:14" x14ac:dyDescent="0.2">
      <c r="A389" s="115" t="str">
        <f t="shared" si="5"/>
        <v/>
      </c>
      <c r="B389" s="94"/>
      <c r="C389" s="94"/>
      <c r="D389" s="95"/>
      <c r="E389" s="95"/>
      <c r="F389" s="104"/>
      <c r="G389" s="97"/>
      <c r="H389" s="17"/>
      <c r="I389" s="17"/>
      <c r="J389" s="17"/>
      <c r="K389" s="17"/>
      <c r="L389" s="17"/>
      <c r="M389" s="17"/>
      <c r="N389" s="17"/>
    </row>
    <row r="390" spans="1:14" x14ac:dyDescent="0.2">
      <c r="A390" s="115" t="str">
        <f t="shared" si="5"/>
        <v/>
      </c>
      <c r="B390" s="94"/>
      <c r="C390" s="94"/>
      <c r="D390" s="95"/>
      <c r="E390" s="95"/>
      <c r="F390" s="104"/>
      <c r="G390" s="97"/>
      <c r="H390" s="17"/>
      <c r="I390" s="17"/>
      <c r="J390" s="17"/>
      <c r="K390" s="17"/>
      <c r="L390" s="17"/>
      <c r="M390" s="17"/>
      <c r="N390" s="17"/>
    </row>
    <row r="391" spans="1:14" x14ac:dyDescent="0.2">
      <c r="A391" s="115" t="str">
        <f t="shared" si="5"/>
        <v/>
      </c>
      <c r="B391" s="94"/>
      <c r="C391" s="94"/>
      <c r="D391" s="95"/>
      <c r="E391" s="95"/>
      <c r="F391" s="104"/>
      <c r="G391" s="97"/>
      <c r="H391" s="17"/>
      <c r="I391" s="17"/>
      <c r="J391" s="17"/>
      <c r="K391" s="17"/>
      <c r="L391" s="17"/>
      <c r="M391" s="17"/>
      <c r="N391" s="17"/>
    </row>
    <row r="392" spans="1:14" x14ac:dyDescent="0.2">
      <c r="A392" s="115" t="str">
        <f t="shared" si="5"/>
        <v/>
      </c>
      <c r="B392" s="94"/>
      <c r="C392" s="94"/>
      <c r="D392" s="95"/>
      <c r="E392" s="95"/>
      <c r="F392" s="104"/>
      <c r="G392" s="97"/>
      <c r="H392" s="17"/>
      <c r="I392" s="17"/>
      <c r="J392" s="17"/>
      <c r="K392" s="17"/>
      <c r="L392" s="17"/>
      <c r="M392" s="17"/>
      <c r="N392" s="17"/>
    </row>
    <row r="393" spans="1:14" x14ac:dyDescent="0.2">
      <c r="A393" s="115" t="str">
        <f t="shared" si="5"/>
        <v/>
      </c>
      <c r="B393" s="94"/>
      <c r="C393" s="94"/>
      <c r="D393" s="95"/>
      <c r="E393" s="95"/>
      <c r="F393" s="104"/>
      <c r="G393" s="97"/>
      <c r="H393" s="17"/>
      <c r="I393" s="17"/>
      <c r="J393" s="17"/>
      <c r="K393" s="17"/>
      <c r="L393" s="17"/>
      <c r="M393" s="17"/>
      <c r="N393" s="17"/>
    </row>
    <row r="394" spans="1:14" x14ac:dyDescent="0.2">
      <c r="A394" s="115" t="str">
        <f t="shared" si="5"/>
        <v/>
      </c>
      <c r="B394" s="94"/>
      <c r="C394" s="94"/>
      <c r="D394" s="95"/>
      <c r="E394" s="95"/>
      <c r="F394" s="104"/>
      <c r="G394" s="97"/>
      <c r="H394" s="17"/>
      <c r="I394" s="17"/>
      <c r="J394" s="17"/>
      <c r="K394" s="17"/>
      <c r="L394" s="17"/>
      <c r="M394" s="17"/>
      <c r="N394" s="17"/>
    </row>
    <row r="395" spans="1:14" x14ac:dyDescent="0.2">
      <c r="A395" s="115" t="str">
        <f t="shared" si="5"/>
        <v/>
      </c>
      <c r="B395" s="94"/>
      <c r="C395" s="94"/>
      <c r="D395" s="95"/>
      <c r="E395" s="95"/>
      <c r="F395" s="104"/>
      <c r="G395" s="97"/>
      <c r="H395" s="17"/>
      <c r="I395" s="17"/>
      <c r="J395" s="17"/>
      <c r="K395" s="17"/>
      <c r="L395" s="17"/>
      <c r="M395" s="17"/>
      <c r="N395" s="17"/>
    </row>
    <row r="396" spans="1:14" x14ac:dyDescent="0.2">
      <c r="A396" s="115" t="str">
        <f t="shared" si="5"/>
        <v/>
      </c>
      <c r="B396" s="94"/>
      <c r="C396" s="94"/>
      <c r="D396" s="95"/>
      <c r="E396" s="95"/>
      <c r="F396" s="104"/>
      <c r="G396" s="97"/>
      <c r="H396" s="17"/>
      <c r="I396" s="17"/>
      <c r="J396" s="17"/>
      <c r="K396" s="17"/>
      <c r="L396" s="17"/>
      <c r="M396" s="17"/>
      <c r="N396" s="17"/>
    </row>
    <row r="397" spans="1:14" x14ac:dyDescent="0.2">
      <c r="A397" s="115" t="str">
        <f t="shared" si="5"/>
        <v/>
      </c>
      <c r="B397" s="94"/>
      <c r="C397" s="94"/>
      <c r="D397" s="95"/>
      <c r="E397" s="95"/>
      <c r="F397" s="104"/>
      <c r="G397" s="97"/>
      <c r="H397" s="17"/>
      <c r="I397" s="17"/>
      <c r="J397" s="17"/>
      <c r="K397" s="17"/>
      <c r="L397" s="17"/>
      <c r="M397" s="17"/>
      <c r="N397" s="17"/>
    </row>
    <row r="398" spans="1:14" x14ac:dyDescent="0.2">
      <c r="A398" s="115" t="str">
        <f t="shared" si="5"/>
        <v/>
      </c>
      <c r="B398" s="94"/>
      <c r="C398" s="94"/>
      <c r="D398" s="95"/>
      <c r="E398" s="95"/>
      <c r="F398" s="104"/>
      <c r="G398" s="97"/>
      <c r="H398" s="17"/>
      <c r="I398" s="17"/>
      <c r="J398" s="17"/>
      <c r="K398" s="17"/>
      <c r="L398" s="17"/>
      <c r="M398" s="17"/>
      <c r="N398" s="17"/>
    </row>
    <row r="399" spans="1:14" x14ac:dyDescent="0.2">
      <c r="A399" s="115" t="str">
        <f t="shared" si="5"/>
        <v/>
      </c>
      <c r="B399" s="94"/>
      <c r="C399" s="94"/>
      <c r="D399" s="95"/>
      <c r="E399" s="95"/>
      <c r="F399" s="104"/>
      <c r="G399" s="97"/>
      <c r="H399" s="17"/>
      <c r="I399" s="17"/>
      <c r="J399" s="17"/>
      <c r="K399" s="17"/>
      <c r="L399" s="17"/>
      <c r="M399" s="17"/>
      <c r="N399" s="17"/>
    </row>
    <row r="400" spans="1:14" x14ac:dyDescent="0.2">
      <c r="A400" s="115" t="str">
        <f t="shared" si="5"/>
        <v/>
      </c>
      <c r="B400" s="94"/>
      <c r="C400" s="94"/>
      <c r="D400" s="95"/>
      <c r="E400" s="95"/>
      <c r="F400" s="104"/>
      <c r="G400" s="97"/>
      <c r="H400" s="17"/>
      <c r="I400" s="17"/>
      <c r="J400" s="17"/>
      <c r="K400" s="17"/>
      <c r="L400" s="17"/>
      <c r="M400" s="17"/>
      <c r="N400" s="17"/>
    </row>
    <row r="401" spans="1:14" x14ac:dyDescent="0.2">
      <c r="A401" s="115" t="str">
        <f t="shared" si="5"/>
        <v/>
      </c>
      <c r="B401" s="94"/>
      <c r="C401" s="94"/>
      <c r="D401" s="95"/>
      <c r="E401" s="95"/>
      <c r="F401" s="104"/>
      <c r="G401" s="97"/>
      <c r="H401" s="17"/>
      <c r="I401" s="17"/>
      <c r="J401" s="17"/>
      <c r="K401" s="17"/>
      <c r="L401" s="17"/>
      <c r="M401" s="17"/>
      <c r="N401" s="17"/>
    </row>
    <row r="402" spans="1:14" x14ac:dyDescent="0.2">
      <c r="A402" s="115" t="str">
        <f t="shared" si="5"/>
        <v/>
      </c>
      <c r="B402" s="94"/>
      <c r="C402" s="94"/>
      <c r="D402" s="95"/>
      <c r="E402" s="95"/>
      <c r="F402" s="104"/>
      <c r="G402" s="97"/>
      <c r="H402" s="17"/>
      <c r="I402" s="17"/>
      <c r="J402" s="17"/>
      <c r="K402" s="17"/>
      <c r="L402" s="17"/>
      <c r="M402" s="17"/>
      <c r="N402" s="17"/>
    </row>
    <row r="403" spans="1:14" x14ac:dyDescent="0.2">
      <c r="A403" s="115" t="str">
        <f t="shared" si="5"/>
        <v/>
      </c>
      <c r="B403" s="94"/>
      <c r="C403" s="94"/>
      <c r="D403" s="95"/>
      <c r="E403" s="95"/>
      <c r="F403" s="104"/>
      <c r="G403" s="97"/>
      <c r="H403" s="17"/>
      <c r="I403" s="17"/>
      <c r="J403" s="17"/>
      <c r="K403" s="17"/>
      <c r="L403" s="17"/>
      <c r="M403" s="17"/>
      <c r="N403" s="17"/>
    </row>
    <row r="404" spans="1:14" x14ac:dyDescent="0.2">
      <c r="A404" s="115" t="str">
        <f t="shared" si="5"/>
        <v/>
      </c>
      <c r="B404" s="94"/>
      <c r="C404" s="94"/>
      <c r="D404" s="95"/>
      <c r="E404" s="95"/>
      <c r="F404" s="104"/>
      <c r="G404" s="97"/>
      <c r="H404" s="17"/>
      <c r="I404" s="17"/>
      <c r="J404" s="17"/>
      <c r="K404" s="17"/>
      <c r="L404" s="17"/>
      <c r="M404" s="17"/>
      <c r="N404" s="17"/>
    </row>
    <row r="405" spans="1:14" x14ac:dyDescent="0.2">
      <c r="A405" s="115" t="str">
        <f t="shared" si="5"/>
        <v/>
      </c>
      <c r="B405" s="94"/>
      <c r="C405" s="94"/>
      <c r="D405" s="95"/>
      <c r="E405" s="95"/>
      <c r="F405" s="104"/>
      <c r="G405" s="97"/>
      <c r="H405" s="17"/>
      <c r="I405" s="17"/>
      <c r="J405" s="17"/>
      <c r="K405" s="17"/>
      <c r="L405" s="17"/>
      <c r="M405" s="17"/>
      <c r="N405" s="17"/>
    </row>
    <row r="406" spans="1:14" x14ac:dyDescent="0.2">
      <c r="A406" s="115" t="str">
        <f t="shared" si="5"/>
        <v/>
      </c>
      <c r="B406" s="94"/>
      <c r="C406" s="94"/>
      <c r="D406" s="95"/>
      <c r="E406" s="95"/>
      <c r="F406" s="104"/>
      <c r="G406" s="97"/>
      <c r="H406" s="17"/>
      <c r="I406" s="17"/>
      <c r="J406" s="17"/>
      <c r="K406" s="17"/>
      <c r="L406" s="17"/>
      <c r="M406" s="17"/>
      <c r="N406" s="17"/>
    </row>
    <row r="407" spans="1:14" x14ac:dyDescent="0.2">
      <c r="A407" s="115" t="str">
        <f t="shared" ref="A407:A470" si="6">IF(B407&lt;&gt;"", A406, "")</f>
        <v/>
      </c>
      <c r="B407" s="94"/>
      <c r="C407" s="94"/>
      <c r="D407" s="95"/>
      <c r="E407" s="95"/>
      <c r="F407" s="104"/>
      <c r="G407" s="97"/>
      <c r="H407" s="17"/>
      <c r="I407" s="17"/>
      <c r="J407" s="17"/>
      <c r="K407" s="17"/>
      <c r="L407" s="17"/>
      <c r="M407" s="17"/>
      <c r="N407" s="17"/>
    </row>
    <row r="408" spans="1:14" x14ac:dyDescent="0.2">
      <c r="A408" s="115" t="str">
        <f t="shared" si="6"/>
        <v/>
      </c>
      <c r="B408" s="94"/>
      <c r="C408" s="94"/>
      <c r="D408" s="95"/>
      <c r="E408" s="95"/>
      <c r="F408" s="104"/>
      <c r="G408" s="97"/>
      <c r="H408" s="17"/>
      <c r="I408" s="17"/>
      <c r="J408" s="17"/>
      <c r="K408" s="17"/>
      <c r="L408" s="17"/>
      <c r="M408" s="17"/>
      <c r="N408" s="17"/>
    </row>
    <row r="409" spans="1:14" x14ac:dyDescent="0.2">
      <c r="A409" s="115" t="str">
        <f t="shared" si="6"/>
        <v/>
      </c>
      <c r="B409" s="94"/>
      <c r="C409" s="94"/>
      <c r="D409" s="95"/>
      <c r="E409" s="95"/>
      <c r="F409" s="104"/>
      <c r="G409" s="97"/>
      <c r="H409" s="17"/>
      <c r="I409" s="17"/>
      <c r="J409" s="17"/>
      <c r="K409" s="17"/>
      <c r="L409" s="17"/>
      <c r="M409" s="17"/>
      <c r="N409" s="17"/>
    </row>
    <row r="410" spans="1:14" x14ac:dyDescent="0.2">
      <c r="A410" s="115" t="str">
        <f t="shared" si="6"/>
        <v/>
      </c>
      <c r="B410" s="94"/>
      <c r="C410" s="94"/>
      <c r="D410" s="95"/>
      <c r="E410" s="95"/>
      <c r="F410" s="104"/>
      <c r="G410" s="97"/>
      <c r="H410" s="17"/>
      <c r="I410" s="17"/>
      <c r="J410" s="17"/>
      <c r="K410" s="17"/>
      <c r="L410" s="17"/>
      <c r="M410" s="17"/>
      <c r="N410" s="17"/>
    </row>
    <row r="411" spans="1:14" x14ac:dyDescent="0.2">
      <c r="A411" s="115" t="str">
        <f t="shared" si="6"/>
        <v/>
      </c>
      <c r="B411" s="94"/>
      <c r="C411" s="94"/>
      <c r="D411" s="95"/>
      <c r="E411" s="95"/>
      <c r="F411" s="104"/>
      <c r="G411" s="97"/>
      <c r="H411" s="17"/>
      <c r="I411" s="17"/>
      <c r="J411" s="17"/>
      <c r="K411" s="17"/>
      <c r="L411" s="17"/>
      <c r="M411" s="17"/>
      <c r="N411" s="17"/>
    </row>
    <row r="412" spans="1:14" x14ac:dyDescent="0.2">
      <c r="A412" s="115" t="str">
        <f t="shared" si="6"/>
        <v/>
      </c>
      <c r="B412" s="94"/>
      <c r="C412" s="94"/>
      <c r="D412" s="95"/>
      <c r="E412" s="95"/>
      <c r="F412" s="104"/>
      <c r="G412" s="97"/>
      <c r="H412" s="17"/>
      <c r="I412" s="17"/>
      <c r="J412" s="17"/>
      <c r="K412" s="17"/>
      <c r="L412" s="17"/>
      <c r="M412" s="17"/>
      <c r="N412" s="17"/>
    </row>
    <row r="413" spans="1:14" x14ac:dyDescent="0.2">
      <c r="A413" s="115" t="str">
        <f t="shared" si="6"/>
        <v/>
      </c>
      <c r="B413" s="94"/>
      <c r="C413" s="94"/>
      <c r="D413" s="95"/>
      <c r="E413" s="95"/>
      <c r="F413" s="104"/>
      <c r="G413" s="97"/>
      <c r="H413" s="17"/>
      <c r="I413" s="17"/>
      <c r="J413" s="17"/>
      <c r="K413" s="17"/>
      <c r="L413" s="17"/>
      <c r="M413" s="17"/>
      <c r="N413" s="17"/>
    </row>
    <row r="414" spans="1:14" x14ac:dyDescent="0.2">
      <c r="A414" s="115" t="str">
        <f t="shared" si="6"/>
        <v/>
      </c>
      <c r="B414" s="94"/>
      <c r="C414" s="94"/>
      <c r="D414" s="95"/>
      <c r="E414" s="95"/>
      <c r="F414" s="104"/>
      <c r="G414" s="97"/>
      <c r="H414" s="17"/>
      <c r="I414" s="17"/>
      <c r="J414" s="17"/>
      <c r="K414" s="17"/>
      <c r="L414" s="17"/>
      <c r="M414" s="17"/>
      <c r="N414" s="17"/>
    </row>
    <row r="415" spans="1:14" x14ac:dyDescent="0.2">
      <c r="A415" s="115" t="str">
        <f t="shared" si="6"/>
        <v/>
      </c>
      <c r="B415" s="94"/>
      <c r="C415" s="94"/>
      <c r="D415" s="95"/>
      <c r="E415" s="95"/>
      <c r="F415" s="104"/>
      <c r="G415" s="97"/>
      <c r="H415" s="17"/>
      <c r="I415" s="17"/>
      <c r="J415" s="17"/>
      <c r="K415" s="17"/>
      <c r="L415" s="17"/>
      <c r="M415" s="17"/>
      <c r="N415" s="17"/>
    </row>
    <row r="416" spans="1:14" x14ac:dyDescent="0.2">
      <c r="A416" s="115" t="str">
        <f t="shared" si="6"/>
        <v/>
      </c>
      <c r="B416" s="94"/>
      <c r="C416" s="94"/>
      <c r="D416" s="95"/>
      <c r="E416" s="95"/>
      <c r="F416" s="104"/>
      <c r="G416" s="97"/>
      <c r="H416" s="17"/>
      <c r="I416" s="17"/>
      <c r="J416" s="17"/>
      <c r="K416" s="17"/>
      <c r="L416" s="17"/>
      <c r="M416" s="17"/>
      <c r="N416" s="17"/>
    </row>
    <row r="417" spans="1:14" x14ac:dyDescent="0.2">
      <c r="A417" s="115" t="str">
        <f t="shared" si="6"/>
        <v/>
      </c>
      <c r="B417" s="94"/>
      <c r="C417" s="94"/>
      <c r="D417" s="95"/>
      <c r="E417" s="95"/>
      <c r="F417" s="104"/>
      <c r="G417" s="97"/>
      <c r="H417" s="17"/>
      <c r="I417" s="17"/>
      <c r="J417" s="17"/>
      <c r="K417" s="17"/>
      <c r="L417" s="17"/>
      <c r="M417" s="17"/>
      <c r="N417" s="17"/>
    </row>
    <row r="418" spans="1:14" x14ac:dyDescent="0.2">
      <c r="A418" s="115" t="str">
        <f t="shared" si="6"/>
        <v/>
      </c>
      <c r="B418" s="94"/>
      <c r="C418" s="94"/>
      <c r="D418" s="95"/>
      <c r="E418" s="95"/>
      <c r="F418" s="104"/>
      <c r="G418" s="97"/>
      <c r="H418" s="17"/>
      <c r="I418" s="17"/>
      <c r="J418" s="17"/>
      <c r="K418" s="17"/>
      <c r="L418" s="17"/>
      <c r="M418" s="17"/>
      <c r="N418" s="17"/>
    </row>
    <row r="419" spans="1:14" x14ac:dyDescent="0.2">
      <c r="A419" s="115" t="str">
        <f t="shared" si="6"/>
        <v/>
      </c>
      <c r="B419" s="94"/>
      <c r="C419" s="94"/>
      <c r="D419" s="95"/>
      <c r="E419" s="95"/>
      <c r="F419" s="104"/>
      <c r="G419" s="97"/>
      <c r="H419" s="17"/>
      <c r="I419" s="17"/>
      <c r="J419" s="17"/>
      <c r="K419" s="17"/>
      <c r="L419" s="17"/>
      <c r="M419" s="17"/>
      <c r="N419" s="17"/>
    </row>
    <row r="420" spans="1:14" x14ac:dyDescent="0.2">
      <c r="A420" s="115" t="str">
        <f t="shared" si="6"/>
        <v/>
      </c>
      <c r="B420" s="94"/>
      <c r="C420" s="94"/>
      <c r="D420" s="95"/>
      <c r="E420" s="95"/>
      <c r="F420" s="104"/>
      <c r="G420" s="97"/>
      <c r="H420" s="17"/>
      <c r="I420" s="17"/>
      <c r="J420" s="17"/>
      <c r="K420" s="17"/>
      <c r="L420" s="17"/>
      <c r="M420" s="17"/>
      <c r="N420" s="17"/>
    </row>
    <row r="421" spans="1:14" x14ac:dyDescent="0.2">
      <c r="A421" s="115" t="str">
        <f t="shared" si="6"/>
        <v/>
      </c>
      <c r="B421" s="94"/>
      <c r="C421" s="94"/>
      <c r="D421" s="95"/>
      <c r="E421" s="95"/>
      <c r="F421" s="104"/>
      <c r="G421" s="97"/>
      <c r="H421" s="17"/>
      <c r="I421" s="17"/>
      <c r="J421" s="17"/>
      <c r="K421" s="17"/>
      <c r="L421" s="17"/>
      <c r="M421" s="17"/>
      <c r="N421" s="17"/>
    </row>
    <row r="422" spans="1:14" x14ac:dyDescent="0.2">
      <c r="A422" s="115" t="str">
        <f t="shared" si="6"/>
        <v/>
      </c>
      <c r="B422" s="94"/>
      <c r="C422" s="94"/>
      <c r="D422" s="95"/>
      <c r="E422" s="95"/>
      <c r="F422" s="104"/>
      <c r="G422" s="97"/>
      <c r="H422" s="17"/>
      <c r="I422" s="17"/>
      <c r="J422" s="17"/>
      <c r="K422" s="17"/>
      <c r="L422" s="17"/>
      <c r="M422" s="17"/>
      <c r="N422" s="17"/>
    </row>
    <row r="423" spans="1:14" x14ac:dyDescent="0.2">
      <c r="A423" s="115" t="str">
        <f t="shared" si="6"/>
        <v/>
      </c>
      <c r="B423" s="94"/>
      <c r="C423" s="94"/>
      <c r="D423" s="95"/>
      <c r="E423" s="95"/>
      <c r="F423" s="104"/>
      <c r="G423" s="97"/>
      <c r="H423" s="17"/>
      <c r="I423" s="17"/>
      <c r="J423" s="17"/>
      <c r="K423" s="17"/>
      <c r="L423" s="17"/>
      <c r="M423" s="17"/>
      <c r="N423" s="17"/>
    </row>
    <row r="424" spans="1:14" x14ac:dyDescent="0.2">
      <c r="A424" s="115" t="str">
        <f t="shared" si="6"/>
        <v/>
      </c>
      <c r="B424" s="94"/>
      <c r="C424" s="94"/>
      <c r="D424" s="95"/>
      <c r="E424" s="95"/>
      <c r="F424" s="104"/>
      <c r="G424" s="97"/>
      <c r="H424" s="17"/>
      <c r="I424" s="17"/>
      <c r="J424" s="17"/>
      <c r="K424" s="17"/>
      <c r="L424" s="17"/>
      <c r="M424" s="17"/>
      <c r="N424" s="17"/>
    </row>
    <row r="425" spans="1:14" x14ac:dyDescent="0.2">
      <c r="A425" s="115" t="str">
        <f t="shared" si="6"/>
        <v/>
      </c>
      <c r="B425" s="94"/>
      <c r="C425" s="94"/>
      <c r="D425" s="95"/>
      <c r="E425" s="95"/>
      <c r="F425" s="104"/>
      <c r="G425" s="97"/>
      <c r="H425" s="17"/>
      <c r="I425" s="17"/>
      <c r="J425" s="17"/>
      <c r="K425" s="17"/>
      <c r="L425" s="17"/>
      <c r="M425" s="17"/>
      <c r="N425" s="17"/>
    </row>
    <row r="426" spans="1:14" x14ac:dyDescent="0.2">
      <c r="A426" s="115" t="str">
        <f t="shared" si="6"/>
        <v/>
      </c>
      <c r="B426" s="94"/>
      <c r="C426" s="94"/>
      <c r="D426" s="95"/>
      <c r="E426" s="95"/>
      <c r="F426" s="104"/>
      <c r="G426" s="97"/>
      <c r="H426" s="17"/>
      <c r="I426" s="17"/>
      <c r="J426" s="17"/>
      <c r="K426" s="17"/>
      <c r="L426" s="17"/>
      <c r="M426" s="17"/>
      <c r="N426" s="17"/>
    </row>
    <row r="427" spans="1:14" x14ac:dyDescent="0.2">
      <c r="A427" s="115" t="str">
        <f t="shared" si="6"/>
        <v/>
      </c>
      <c r="B427" s="94"/>
      <c r="C427" s="94"/>
      <c r="D427" s="95"/>
      <c r="E427" s="95"/>
      <c r="F427" s="104"/>
      <c r="G427" s="97"/>
      <c r="H427" s="17"/>
      <c r="I427" s="17"/>
      <c r="J427" s="17"/>
      <c r="K427" s="17"/>
      <c r="L427" s="17"/>
      <c r="M427" s="17"/>
      <c r="N427" s="17"/>
    </row>
    <row r="428" spans="1:14" x14ac:dyDescent="0.2">
      <c r="A428" s="115" t="str">
        <f t="shared" si="6"/>
        <v/>
      </c>
      <c r="B428" s="94"/>
      <c r="C428" s="94"/>
      <c r="D428" s="95"/>
      <c r="E428" s="95"/>
      <c r="F428" s="104"/>
      <c r="G428" s="97"/>
      <c r="H428" s="17"/>
      <c r="I428" s="17"/>
      <c r="J428" s="17"/>
      <c r="K428" s="17"/>
      <c r="L428" s="17"/>
      <c r="M428" s="17"/>
      <c r="N428" s="17"/>
    </row>
    <row r="429" spans="1:14" x14ac:dyDescent="0.2">
      <c r="A429" s="115" t="str">
        <f t="shared" si="6"/>
        <v/>
      </c>
      <c r="B429" s="94"/>
      <c r="C429" s="94"/>
      <c r="D429" s="95"/>
      <c r="E429" s="95"/>
      <c r="F429" s="104"/>
      <c r="G429" s="97"/>
      <c r="H429" s="17"/>
      <c r="I429" s="17"/>
      <c r="J429" s="17"/>
      <c r="K429" s="17"/>
      <c r="L429" s="17"/>
      <c r="M429" s="17"/>
      <c r="N429" s="17"/>
    </row>
    <row r="430" spans="1:14" x14ac:dyDescent="0.2">
      <c r="A430" s="115" t="str">
        <f t="shared" si="6"/>
        <v/>
      </c>
      <c r="B430" s="94"/>
      <c r="C430" s="94"/>
      <c r="D430" s="95"/>
      <c r="E430" s="95"/>
      <c r="F430" s="104"/>
      <c r="G430" s="97"/>
      <c r="H430" s="17"/>
      <c r="I430" s="17"/>
      <c r="J430" s="17"/>
      <c r="K430" s="17"/>
      <c r="L430" s="17"/>
      <c r="M430" s="17"/>
      <c r="N430" s="17"/>
    </row>
    <row r="431" spans="1:14" x14ac:dyDescent="0.2">
      <c r="A431" s="115" t="str">
        <f t="shared" si="6"/>
        <v/>
      </c>
      <c r="B431" s="94"/>
      <c r="C431" s="94"/>
      <c r="D431" s="95"/>
      <c r="E431" s="95"/>
      <c r="F431" s="104"/>
      <c r="G431" s="97"/>
      <c r="H431" s="17"/>
      <c r="I431" s="17"/>
      <c r="J431" s="17"/>
      <c r="K431" s="17"/>
      <c r="L431" s="17"/>
      <c r="M431" s="17"/>
      <c r="N431" s="17"/>
    </row>
    <row r="432" spans="1:14" x14ac:dyDescent="0.2">
      <c r="A432" s="115" t="str">
        <f t="shared" si="6"/>
        <v/>
      </c>
      <c r="B432" s="94"/>
      <c r="C432" s="94"/>
      <c r="D432" s="95"/>
      <c r="E432" s="95"/>
      <c r="F432" s="104"/>
      <c r="G432" s="97"/>
      <c r="H432" s="17"/>
      <c r="I432" s="17"/>
      <c r="J432" s="17"/>
      <c r="K432" s="17"/>
      <c r="L432" s="17"/>
      <c r="M432" s="17"/>
      <c r="N432" s="17"/>
    </row>
    <row r="433" spans="1:14" x14ac:dyDescent="0.2">
      <c r="A433" s="115" t="str">
        <f t="shared" si="6"/>
        <v/>
      </c>
      <c r="B433" s="94"/>
      <c r="C433" s="94"/>
      <c r="D433" s="95"/>
      <c r="E433" s="95"/>
      <c r="F433" s="104"/>
      <c r="G433" s="97"/>
      <c r="H433" s="17"/>
      <c r="I433" s="17"/>
      <c r="J433" s="17"/>
      <c r="K433" s="17"/>
      <c r="L433" s="17"/>
      <c r="M433" s="17"/>
      <c r="N433" s="17"/>
    </row>
    <row r="434" spans="1:14" x14ac:dyDescent="0.2">
      <c r="A434" s="115" t="str">
        <f t="shared" si="6"/>
        <v/>
      </c>
      <c r="B434" s="94"/>
      <c r="C434" s="94"/>
      <c r="D434" s="95"/>
      <c r="E434" s="95"/>
      <c r="F434" s="104"/>
      <c r="G434" s="97"/>
      <c r="H434" s="17"/>
      <c r="I434" s="17"/>
      <c r="J434" s="17"/>
      <c r="K434" s="17"/>
      <c r="L434" s="17"/>
      <c r="M434" s="17"/>
      <c r="N434" s="17"/>
    </row>
    <row r="435" spans="1:14" x14ac:dyDescent="0.2">
      <c r="A435" s="115" t="str">
        <f t="shared" si="6"/>
        <v/>
      </c>
      <c r="B435" s="94"/>
      <c r="C435" s="94"/>
      <c r="D435" s="95"/>
      <c r="E435" s="95"/>
      <c r="F435" s="104"/>
      <c r="G435" s="97"/>
      <c r="H435" s="17"/>
      <c r="I435" s="17"/>
      <c r="J435" s="17"/>
      <c r="K435" s="17"/>
      <c r="L435" s="17"/>
      <c r="M435" s="17"/>
      <c r="N435" s="17"/>
    </row>
    <row r="436" spans="1:14" x14ac:dyDescent="0.2">
      <c r="A436" s="115" t="str">
        <f t="shared" si="6"/>
        <v/>
      </c>
      <c r="B436" s="94"/>
      <c r="C436" s="94"/>
      <c r="D436" s="95"/>
      <c r="E436" s="95"/>
      <c r="F436" s="104"/>
      <c r="G436" s="97"/>
      <c r="H436" s="17"/>
      <c r="I436" s="17"/>
      <c r="J436" s="17"/>
      <c r="K436" s="17"/>
      <c r="L436" s="17"/>
      <c r="M436" s="17"/>
      <c r="N436" s="17"/>
    </row>
    <row r="437" spans="1:14" x14ac:dyDescent="0.2">
      <c r="A437" s="115" t="str">
        <f t="shared" si="6"/>
        <v/>
      </c>
      <c r="B437" s="94"/>
      <c r="C437" s="94"/>
      <c r="D437" s="95"/>
      <c r="E437" s="95"/>
      <c r="F437" s="104"/>
      <c r="G437" s="97"/>
      <c r="H437" s="17"/>
      <c r="I437" s="17"/>
      <c r="J437" s="17"/>
      <c r="K437" s="17"/>
      <c r="L437" s="17"/>
      <c r="M437" s="17"/>
      <c r="N437" s="17"/>
    </row>
    <row r="438" spans="1:14" x14ac:dyDescent="0.2">
      <c r="A438" s="115" t="str">
        <f t="shared" si="6"/>
        <v/>
      </c>
      <c r="B438" s="94"/>
      <c r="C438" s="94"/>
      <c r="D438" s="95"/>
      <c r="E438" s="95"/>
      <c r="F438" s="104"/>
      <c r="G438" s="97"/>
      <c r="H438" s="17"/>
      <c r="I438" s="17"/>
      <c r="J438" s="17"/>
      <c r="K438" s="17"/>
      <c r="L438" s="17"/>
      <c r="M438" s="17"/>
      <c r="N438" s="17"/>
    </row>
    <row r="439" spans="1:14" x14ac:dyDescent="0.2">
      <c r="A439" s="115" t="str">
        <f t="shared" si="6"/>
        <v/>
      </c>
      <c r="B439" s="94"/>
      <c r="C439" s="94"/>
      <c r="D439" s="95"/>
      <c r="E439" s="95"/>
      <c r="F439" s="104"/>
      <c r="G439" s="97"/>
      <c r="H439" s="17"/>
      <c r="I439" s="17"/>
      <c r="J439" s="17"/>
      <c r="K439" s="17"/>
      <c r="L439" s="17"/>
      <c r="M439" s="17"/>
      <c r="N439" s="17"/>
    </row>
    <row r="440" spans="1:14" x14ac:dyDescent="0.2">
      <c r="A440" s="115" t="str">
        <f t="shared" si="6"/>
        <v/>
      </c>
      <c r="B440" s="94"/>
      <c r="C440" s="94"/>
      <c r="D440" s="95"/>
      <c r="E440" s="95"/>
      <c r="F440" s="104"/>
      <c r="G440" s="97"/>
      <c r="H440" s="17"/>
      <c r="I440" s="17"/>
      <c r="J440" s="17"/>
      <c r="K440" s="17"/>
      <c r="L440" s="17"/>
      <c r="M440" s="17"/>
      <c r="N440" s="17"/>
    </row>
    <row r="441" spans="1:14" x14ac:dyDescent="0.2">
      <c r="A441" s="115" t="str">
        <f t="shared" si="6"/>
        <v/>
      </c>
      <c r="B441" s="94"/>
      <c r="C441" s="94"/>
      <c r="D441" s="95"/>
      <c r="E441" s="95"/>
      <c r="F441" s="104"/>
      <c r="G441" s="97"/>
      <c r="H441" s="17"/>
      <c r="I441" s="17"/>
      <c r="J441" s="17"/>
      <c r="K441" s="17"/>
      <c r="L441" s="17"/>
      <c r="M441" s="17"/>
      <c r="N441" s="17"/>
    </row>
    <row r="442" spans="1:14" x14ac:dyDescent="0.2">
      <c r="A442" s="115" t="str">
        <f t="shared" si="6"/>
        <v/>
      </c>
      <c r="B442" s="94"/>
      <c r="C442" s="94"/>
      <c r="D442" s="95"/>
      <c r="E442" s="95"/>
      <c r="F442" s="104"/>
      <c r="G442" s="97"/>
      <c r="H442" s="17"/>
      <c r="I442" s="17"/>
      <c r="J442" s="17"/>
      <c r="K442" s="17"/>
      <c r="L442" s="17"/>
      <c r="M442" s="17"/>
      <c r="N442" s="17"/>
    </row>
    <row r="443" spans="1:14" x14ac:dyDescent="0.2">
      <c r="A443" s="115" t="str">
        <f t="shared" si="6"/>
        <v/>
      </c>
      <c r="B443" s="94"/>
      <c r="C443" s="94"/>
      <c r="D443" s="95"/>
      <c r="E443" s="95"/>
      <c r="F443" s="104"/>
      <c r="G443" s="97"/>
      <c r="H443" s="17"/>
      <c r="I443" s="17"/>
      <c r="J443" s="17"/>
      <c r="K443" s="17"/>
      <c r="L443" s="17"/>
      <c r="M443" s="17"/>
      <c r="N443" s="17"/>
    </row>
    <row r="444" spans="1:14" x14ac:dyDescent="0.2">
      <c r="A444" s="115" t="str">
        <f t="shared" si="6"/>
        <v/>
      </c>
      <c r="B444" s="94"/>
      <c r="C444" s="94"/>
      <c r="D444" s="95"/>
      <c r="E444" s="95"/>
      <c r="F444" s="104"/>
      <c r="G444" s="97"/>
      <c r="H444" s="17"/>
      <c r="I444" s="17"/>
      <c r="J444" s="17"/>
      <c r="K444" s="17"/>
      <c r="L444" s="17"/>
      <c r="M444" s="17"/>
      <c r="N444" s="17"/>
    </row>
    <row r="445" spans="1:14" x14ac:dyDescent="0.2">
      <c r="A445" s="115" t="str">
        <f t="shared" si="6"/>
        <v/>
      </c>
      <c r="B445" s="94"/>
      <c r="C445" s="94"/>
      <c r="D445" s="95"/>
      <c r="E445" s="95"/>
      <c r="F445" s="104"/>
      <c r="G445" s="97"/>
      <c r="H445" s="17"/>
      <c r="I445" s="17"/>
      <c r="J445" s="17"/>
      <c r="K445" s="17"/>
      <c r="L445" s="17"/>
      <c r="M445" s="17"/>
      <c r="N445" s="17"/>
    </row>
    <row r="446" spans="1:14" x14ac:dyDescent="0.2">
      <c r="A446" s="115" t="str">
        <f t="shared" si="6"/>
        <v/>
      </c>
      <c r="B446" s="94"/>
      <c r="C446" s="94"/>
      <c r="D446" s="95"/>
      <c r="E446" s="95"/>
      <c r="F446" s="104"/>
      <c r="G446" s="97"/>
      <c r="H446" s="17"/>
      <c r="I446" s="17"/>
      <c r="J446" s="17"/>
      <c r="K446" s="17"/>
      <c r="L446" s="17"/>
      <c r="M446" s="17"/>
      <c r="N446" s="17"/>
    </row>
    <row r="447" spans="1:14" x14ac:dyDescent="0.2">
      <c r="A447" s="115" t="str">
        <f t="shared" si="6"/>
        <v/>
      </c>
      <c r="B447" s="94"/>
      <c r="C447" s="94"/>
      <c r="D447" s="95"/>
      <c r="E447" s="95"/>
      <c r="F447" s="104"/>
      <c r="G447" s="97"/>
      <c r="H447" s="17"/>
      <c r="I447" s="17"/>
      <c r="J447" s="17"/>
      <c r="K447" s="17"/>
      <c r="L447" s="17"/>
      <c r="M447" s="17"/>
      <c r="N447" s="17"/>
    </row>
    <row r="448" spans="1:14" x14ac:dyDescent="0.2">
      <c r="A448" s="115" t="str">
        <f t="shared" si="6"/>
        <v/>
      </c>
      <c r="B448" s="94"/>
      <c r="C448" s="94"/>
      <c r="D448" s="95"/>
      <c r="E448" s="95"/>
      <c r="F448" s="104"/>
      <c r="G448" s="97"/>
      <c r="H448" s="17"/>
      <c r="I448" s="17"/>
      <c r="J448" s="17"/>
      <c r="K448" s="17"/>
      <c r="L448" s="17"/>
      <c r="M448" s="17"/>
      <c r="N448" s="17"/>
    </row>
    <row r="449" spans="1:14" x14ac:dyDescent="0.2">
      <c r="A449" s="115" t="str">
        <f t="shared" si="6"/>
        <v/>
      </c>
      <c r="B449" s="94"/>
      <c r="C449" s="94"/>
      <c r="D449" s="95"/>
      <c r="E449" s="95"/>
      <c r="F449" s="104"/>
      <c r="G449" s="97"/>
      <c r="H449" s="17"/>
      <c r="I449" s="17"/>
      <c r="J449" s="17"/>
      <c r="K449" s="17"/>
      <c r="L449" s="17"/>
      <c r="M449" s="17"/>
      <c r="N449" s="17"/>
    </row>
    <row r="450" spans="1:14" x14ac:dyDescent="0.2">
      <c r="A450" s="115" t="str">
        <f t="shared" si="6"/>
        <v/>
      </c>
      <c r="B450" s="94"/>
      <c r="C450" s="94"/>
      <c r="D450" s="95"/>
      <c r="E450" s="95"/>
      <c r="F450" s="104"/>
      <c r="G450" s="97"/>
      <c r="H450" s="17"/>
      <c r="I450" s="17"/>
      <c r="J450" s="17"/>
      <c r="K450" s="17"/>
      <c r="L450" s="17"/>
      <c r="M450" s="17"/>
      <c r="N450" s="17"/>
    </row>
    <row r="451" spans="1:14" x14ac:dyDescent="0.2">
      <c r="A451" s="115" t="str">
        <f t="shared" si="6"/>
        <v/>
      </c>
      <c r="B451" s="94"/>
      <c r="C451" s="94"/>
      <c r="D451" s="95"/>
      <c r="E451" s="95"/>
      <c r="F451" s="104"/>
      <c r="G451" s="97"/>
      <c r="H451" s="17"/>
      <c r="I451" s="17"/>
      <c r="J451" s="17"/>
      <c r="K451" s="17"/>
      <c r="L451" s="17"/>
      <c r="M451" s="17"/>
      <c r="N451" s="17"/>
    </row>
    <row r="452" spans="1:14" x14ac:dyDescent="0.2">
      <c r="A452" s="115" t="str">
        <f t="shared" si="6"/>
        <v/>
      </c>
      <c r="B452" s="94"/>
      <c r="C452" s="94"/>
      <c r="D452" s="95"/>
      <c r="E452" s="95"/>
      <c r="F452" s="104"/>
      <c r="G452" s="97"/>
      <c r="H452" s="17"/>
      <c r="I452" s="17"/>
      <c r="J452" s="17"/>
      <c r="K452" s="17"/>
      <c r="L452" s="17"/>
      <c r="M452" s="17"/>
      <c r="N452" s="17"/>
    </row>
    <row r="453" spans="1:14" x14ac:dyDescent="0.2">
      <c r="A453" s="115" t="str">
        <f t="shared" si="6"/>
        <v/>
      </c>
      <c r="B453" s="94"/>
      <c r="C453" s="94"/>
      <c r="D453" s="95"/>
      <c r="E453" s="95"/>
      <c r="F453" s="104"/>
      <c r="G453" s="97"/>
      <c r="H453" s="17"/>
      <c r="I453" s="17"/>
      <c r="J453" s="17"/>
      <c r="K453" s="17"/>
      <c r="L453" s="17"/>
      <c r="M453" s="17"/>
      <c r="N453" s="17"/>
    </row>
    <row r="454" spans="1:14" x14ac:dyDescent="0.2">
      <c r="A454" s="115" t="str">
        <f t="shared" si="6"/>
        <v/>
      </c>
      <c r="B454" s="94"/>
      <c r="C454" s="94"/>
      <c r="D454" s="95"/>
      <c r="E454" s="95"/>
      <c r="F454" s="104"/>
      <c r="G454" s="97"/>
      <c r="H454" s="17"/>
      <c r="I454" s="17"/>
      <c r="J454" s="17"/>
      <c r="K454" s="17"/>
      <c r="L454" s="17"/>
      <c r="M454" s="17"/>
      <c r="N454" s="17"/>
    </row>
    <row r="455" spans="1:14" x14ac:dyDescent="0.2">
      <c r="A455" s="115" t="str">
        <f t="shared" si="6"/>
        <v/>
      </c>
      <c r="B455" s="94"/>
      <c r="C455" s="94"/>
      <c r="D455" s="95"/>
      <c r="E455" s="95"/>
      <c r="F455" s="104"/>
      <c r="G455" s="97"/>
      <c r="H455" s="17"/>
      <c r="I455" s="17"/>
      <c r="J455" s="17"/>
      <c r="K455" s="17"/>
      <c r="L455" s="17"/>
      <c r="M455" s="17"/>
      <c r="N455" s="17"/>
    </row>
    <row r="456" spans="1:14" x14ac:dyDescent="0.2">
      <c r="A456" s="115" t="str">
        <f t="shared" si="6"/>
        <v/>
      </c>
      <c r="B456" s="94"/>
      <c r="C456" s="94"/>
      <c r="D456" s="95"/>
      <c r="E456" s="95"/>
      <c r="F456" s="104"/>
      <c r="G456" s="97"/>
      <c r="H456" s="17"/>
      <c r="I456" s="17"/>
      <c r="J456" s="17"/>
      <c r="K456" s="17"/>
      <c r="L456" s="17"/>
      <c r="M456" s="17"/>
      <c r="N456" s="17"/>
    </row>
    <row r="457" spans="1:14" x14ac:dyDescent="0.2">
      <c r="A457" s="115" t="str">
        <f t="shared" si="6"/>
        <v/>
      </c>
      <c r="B457" s="94"/>
      <c r="C457" s="94"/>
      <c r="D457" s="95"/>
      <c r="E457" s="95"/>
      <c r="F457" s="104"/>
      <c r="G457" s="97"/>
      <c r="H457" s="17"/>
      <c r="I457" s="17"/>
      <c r="J457" s="17"/>
      <c r="K457" s="17"/>
      <c r="L457" s="17"/>
      <c r="M457" s="17"/>
      <c r="N457" s="17"/>
    </row>
    <row r="458" spans="1:14" x14ac:dyDescent="0.2">
      <c r="A458" s="115" t="str">
        <f t="shared" si="6"/>
        <v/>
      </c>
      <c r="B458" s="94"/>
      <c r="C458" s="94"/>
      <c r="D458" s="95"/>
      <c r="E458" s="95"/>
      <c r="F458" s="104"/>
      <c r="G458" s="97"/>
      <c r="H458" s="17"/>
      <c r="I458" s="17"/>
      <c r="J458" s="17"/>
      <c r="K458" s="17"/>
      <c r="L458" s="17"/>
      <c r="M458" s="17"/>
      <c r="N458" s="17"/>
    </row>
    <row r="459" spans="1:14" x14ac:dyDescent="0.2">
      <c r="A459" s="115" t="str">
        <f t="shared" si="6"/>
        <v/>
      </c>
      <c r="B459" s="94"/>
      <c r="C459" s="94"/>
      <c r="D459" s="95"/>
      <c r="E459" s="95"/>
      <c r="F459" s="104"/>
      <c r="G459" s="97"/>
      <c r="H459" s="17"/>
      <c r="I459" s="17"/>
      <c r="J459" s="17"/>
      <c r="K459" s="17"/>
      <c r="L459" s="17"/>
      <c r="M459" s="17"/>
      <c r="N459" s="17"/>
    </row>
    <row r="460" spans="1:14" x14ac:dyDescent="0.2">
      <c r="A460" s="115" t="str">
        <f t="shared" si="6"/>
        <v/>
      </c>
      <c r="B460" s="94"/>
      <c r="C460" s="94"/>
      <c r="D460" s="95"/>
      <c r="E460" s="95"/>
      <c r="F460" s="104"/>
      <c r="G460" s="97"/>
      <c r="H460" s="17"/>
      <c r="I460" s="17"/>
      <c r="J460" s="17"/>
      <c r="K460" s="17"/>
      <c r="L460" s="17"/>
      <c r="M460" s="17"/>
      <c r="N460" s="17"/>
    </row>
    <row r="461" spans="1:14" x14ac:dyDescent="0.2">
      <c r="A461" s="115" t="str">
        <f t="shared" si="6"/>
        <v/>
      </c>
      <c r="B461" s="94"/>
      <c r="C461" s="94"/>
      <c r="D461" s="95"/>
      <c r="E461" s="95"/>
      <c r="F461" s="104"/>
      <c r="G461" s="97"/>
      <c r="H461" s="17"/>
      <c r="I461" s="17"/>
      <c r="J461" s="17"/>
      <c r="K461" s="17"/>
      <c r="L461" s="17"/>
      <c r="M461" s="17"/>
      <c r="N461" s="17"/>
    </row>
    <row r="462" spans="1:14" x14ac:dyDescent="0.2">
      <c r="A462" s="115" t="str">
        <f t="shared" si="6"/>
        <v/>
      </c>
      <c r="B462" s="94"/>
      <c r="C462" s="94"/>
      <c r="D462" s="95"/>
      <c r="E462" s="95"/>
      <c r="F462" s="104"/>
      <c r="G462" s="97"/>
      <c r="H462" s="17"/>
      <c r="I462" s="17"/>
      <c r="J462" s="17"/>
      <c r="K462" s="17"/>
      <c r="L462" s="17"/>
      <c r="M462" s="17"/>
      <c r="N462" s="17"/>
    </row>
    <row r="463" spans="1:14" x14ac:dyDescent="0.2">
      <c r="A463" s="115" t="str">
        <f t="shared" si="6"/>
        <v/>
      </c>
      <c r="B463" s="94"/>
      <c r="C463" s="94"/>
      <c r="D463" s="95"/>
      <c r="E463" s="95"/>
      <c r="F463" s="104"/>
      <c r="G463" s="97"/>
      <c r="H463" s="17"/>
      <c r="I463" s="17"/>
      <c r="J463" s="17"/>
      <c r="K463" s="17"/>
      <c r="L463" s="17"/>
      <c r="M463" s="17"/>
      <c r="N463" s="17"/>
    </row>
    <row r="464" spans="1:14" x14ac:dyDescent="0.2">
      <c r="A464" s="115" t="str">
        <f t="shared" si="6"/>
        <v/>
      </c>
      <c r="B464" s="94"/>
      <c r="C464" s="94"/>
      <c r="D464" s="95"/>
      <c r="E464" s="95"/>
      <c r="F464" s="104"/>
      <c r="G464" s="97"/>
      <c r="H464" s="17"/>
      <c r="I464" s="17"/>
      <c r="J464" s="17"/>
      <c r="K464" s="17"/>
      <c r="L464" s="17"/>
      <c r="M464" s="17"/>
      <c r="N464" s="17"/>
    </row>
    <row r="465" spans="1:14" x14ac:dyDescent="0.2">
      <c r="A465" s="115" t="str">
        <f t="shared" si="6"/>
        <v/>
      </c>
      <c r="B465" s="94"/>
      <c r="C465" s="94"/>
      <c r="D465" s="95"/>
      <c r="E465" s="95"/>
      <c r="F465" s="104"/>
      <c r="G465" s="97"/>
      <c r="H465" s="17"/>
      <c r="I465" s="17"/>
      <c r="J465" s="17"/>
      <c r="K465" s="17"/>
      <c r="L465" s="17"/>
      <c r="M465" s="17"/>
      <c r="N465" s="17"/>
    </row>
    <row r="466" spans="1:14" x14ac:dyDescent="0.2">
      <c r="A466" s="115" t="str">
        <f t="shared" si="6"/>
        <v/>
      </c>
      <c r="B466" s="94"/>
      <c r="C466" s="94"/>
      <c r="D466" s="95"/>
      <c r="E466" s="95"/>
      <c r="F466" s="104"/>
      <c r="G466" s="97"/>
      <c r="H466" s="17"/>
      <c r="I466" s="17"/>
      <c r="J466" s="17"/>
      <c r="K466" s="17"/>
      <c r="L466" s="17"/>
      <c r="M466" s="17"/>
      <c r="N466" s="17"/>
    </row>
    <row r="467" spans="1:14" x14ac:dyDescent="0.2">
      <c r="A467" s="115" t="str">
        <f t="shared" si="6"/>
        <v/>
      </c>
      <c r="B467" s="94"/>
      <c r="C467" s="94"/>
      <c r="D467" s="95"/>
      <c r="E467" s="95"/>
      <c r="F467" s="104"/>
      <c r="G467" s="97"/>
      <c r="H467" s="17"/>
      <c r="I467" s="17"/>
      <c r="J467" s="17"/>
      <c r="K467" s="17"/>
      <c r="L467" s="17"/>
      <c r="M467" s="17"/>
      <c r="N467" s="17"/>
    </row>
    <row r="468" spans="1:14" x14ac:dyDescent="0.2">
      <c r="A468" s="115" t="str">
        <f t="shared" si="6"/>
        <v/>
      </c>
      <c r="B468" s="94"/>
      <c r="C468" s="94"/>
      <c r="D468" s="95"/>
      <c r="E468" s="95"/>
      <c r="F468" s="104"/>
      <c r="G468" s="97"/>
      <c r="H468" s="17"/>
      <c r="I468" s="17"/>
      <c r="J468" s="17"/>
      <c r="K468" s="17"/>
      <c r="L468" s="17"/>
      <c r="M468" s="17"/>
      <c r="N468" s="17"/>
    </row>
    <row r="469" spans="1:14" x14ac:dyDescent="0.2">
      <c r="A469" s="115" t="str">
        <f t="shared" si="6"/>
        <v/>
      </c>
      <c r="B469" s="94"/>
      <c r="C469" s="94"/>
      <c r="D469" s="95"/>
      <c r="E469" s="95"/>
      <c r="F469" s="104"/>
      <c r="G469" s="97"/>
      <c r="H469" s="17"/>
      <c r="I469" s="17"/>
      <c r="J469" s="17"/>
      <c r="K469" s="17"/>
      <c r="L469" s="17"/>
      <c r="M469" s="17"/>
      <c r="N469" s="17"/>
    </row>
    <row r="470" spans="1:14" x14ac:dyDescent="0.2">
      <c r="A470" s="115" t="str">
        <f t="shared" si="6"/>
        <v/>
      </c>
      <c r="B470" s="94"/>
      <c r="C470" s="94"/>
      <c r="D470" s="95"/>
      <c r="E470" s="95"/>
      <c r="F470" s="104"/>
      <c r="G470" s="97"/>
      <c r="H470" s="17"/>
      <c r="I470" s="17"/>
      <c r="J470" s="17"/>
      <c r="K470" s="17"/>
      <c r="L470" s="17"/>
      <c r="M470" s="17"/>
      <c r="N470" s="17"/>
    </row>
    <row r="471" spans="1:14" x14ac:dyDescent="0.2">
      <c r="A471" s="115" t="str">
        <f t="shared" ref="A471:A534" si="7">IF(B471&lt;&gt;"", A470, "")</f>
        <v/>
      </c>
      <c r="B471" s="94"/>
      <c r="C471" s="94"/>
      <c r="D471" s="95"/>
      <c r="E471" s="95"/>
      <c r="F471" s="104"/>
      <c r="G471" s="97"/>
      <c r="H471" s="17"/>
      <c r="I471" s="17"/>
      <c r="J471" s="17"/>
      <c r="K471" s="17"/>
      <c r="L471" s="17"/>
      <c r="M471" s="17"/>
      <c r="N471" s="17"/>
    </row>
    <row r="472" spans="1:14" x14ac:dyDescent="0.2">
      <c r="A472" s="115" t="str">
        <f t="shared" si="7"/>
        <v/>
      </c>
      <c r="B472" s="94"/>
      <c r="C472" s="94"/>
      <c r="D472" s="95"/>
      <c r="E472" s="95"/>
      <c r="F472" s="104"/>
      <c r="G472" s="97"/>
      <c r="H472" s="17"/>
      <c r="I472" s="17"/>
      <c r="J472" s="17"/>
      <c r="K472" s="17"/>
      <c r="L472" s="17"/>
      <c r="M472" s="17"/>
      <c r="N472" s="17"/>
    </row>
    <row r="473" spans="1:14" x14ac:dyDescent="0.2">
      <c r="A473" s="115" t="str">
        <f t="shared" si="7"/>
        <v/>
      </c>
      <c r="B473" s="94"/>
      <c r="C473" s="94"/>
      <c r="D473" s="95"/>
      <c r="E473" s="95"/>
      <c r="F473" s="104"/>
      <c r="G473" s="97"/>
      <c r="H473" s="17"/>
      <c r="I473" s="17"/>
      <c r="J473" s="17"/>
      <c r="K473" s="17"/>
      <c r="L473" s="17"/>
      <c r="M473" s="17"/>
      <c r="N473" s="17"/>
    </row>
    <row r="474" spans="1:14" x14ac:dyDescent="0.2">
      <c r="A474" s="115" t="str">
        <f t="shared" si="7"/>
        <v/>
      </c>
      <c r="B474" s="94"/>
      <c r="C474" s="94"/>
      <c r="D474" s="95"/>
      <c r="E474" s="95"/>
      <c r="F474" s="104"/>
      <c r="G474" s="97"/>
      <c r="H474" s="17"/>
      <c r="I474" s="17"/>
      <c r="J474" s="17"/>
      <c r="K474" s="17"/>
      <c r="L474" s="17"/>
      <c r="M474" s="17"/>
      <c r="N474" s="17"/>
    </row>
    <row r="475" spans="1:14" x14ac:dyDescent="0.2">
      <c r="A475" s="115" t="str">
        <f t="shared" si="7"/>
        <v/>
      </c>
      <c r="B475" s="94"/>
      <c r="C475" s="94"/>
      <c r="D475" s="95"/>
      <c r="E475" s="95"/>
      <c r="F475" s="104"/>
      <c r="G475" s="97"/>
      <c r="H475" s="17"/>
      <c r="I475" s="17"/>
      <c r="J475" s="17"/>
      <c r="K475" s="17"/>
      <c r="L475" s="17"/>
      <c r="M475" s="17"/>
      <c r="N475" s="17"/>
    </row>
    <row r="476" spans="1:14" x14ac:dyDescent="0.2">
      <c r="A476" s="115" t="str">
        <f t="shared" si="7"/>
        <v/>
      </c>
      <c r="B476" s="94"/>
      <c r="C476" s="94"/>
      <c r="D476" s="95"/>
      <c r="E476" s="95"/>
      <c r="F476" s="104"/>
      <c r="G476" s="97"/>
      <c r="H476" s="17"/>
      <c r="I476" s="17"/>
      <c r="J476" s="17"/>
      <c r="K476" s="17"/>
      <c r="L476" s="17"/>
      <c r="M476" s="17"/>
      <c r="N476" s="17"/>
    </row>
    <row r="477" spans="1:14" x14ac:dyDescent="0.2">
      <c r="A477" s="115" t="str">
        <f t="shared" si="7"/>
        <v/>
      </c>
      <c r="B477" s="94"/>
      <c r="C477" s="94"/>
      <c r="D477" s="95"/>
      <c r="E477" s="95"/>
      <c r="F477" s="104"/>
      <c r="G477" s="97"/>
      <c r="H477" s="17"/>
      <c r="I477" s="17"/>
      <c r="J477" s="17"/>
      <c r="K477" s="17"/>
      <c r="L477" s="17"/>
      <c r="M477" s="17"/>
      <c r="N477" s="17"/>
    </row>
    <row r="478" spans="1:14" x14ac:dyDescent="0.2">
      <c r="A478" s="115" t="str">
        <f t="shared" si="7"/>
        <v/>
      </c>
      <c r="B478" s="94"/>
      <c r="C478" s="94"/>
      <c r="D478" s="95"/>
      <c r="E478" s="95"/>
      <c r="F478" s="104"/>
      <c r="G478" s="97"/>
      <c r="H478" s="17"/>
      <c r="I478" s="17"/>
      <c r="J478" s="17"/>
      <c r="K478" s="17"/>
      <c r="L478" s="17"/>
      <c r="M478" s="17"/>
      <c r="N478" s="17"/>
    </row>
    <row r="479" spans="1:14" x14ac:dyDescent="0.2">
      <c r="A479" s="115" t="str">
        <f t="shared" si="7"/>
        <v/>
      </c>
      <c r="B479" s="94"/>
      <c r="C479" s="94"/>
      <c r="D479" s="95"/>
      <c r="E479" s="95"/>
      <c r="F479" s="104"/>
      <c r="G479" s="97"/>
      <c r="H479" s="17"/>
      <c r="I479" s="17"/>
      <c r="J479" s="17"/>
      <c r="K479" s="17"/>
      <c r="L479" s="17"/>
      <c r="M479" s="17"/>
      <c r="N479" s="17"/>
    </row>
    <row r="480" spans="1:14" x14ac:dyDescent="0.2">
      <c r="A480" s="115" t="str">
        <f t="shared" si="7"/>
        <v/>
      </c>
      <c r="B480" s="94"/>
      <c r="C480" s="94"/>
      <c r="D480" s="95"/>
      <c r="E480" s="95"/>
      <c r="F480" s="104"/>
      <c r="G480" s="97"/>
      <c r="H480" s="17"/>
      <c r="I480" s="17"/>
      <c r="J480" s="17"/>
      <c r="K480" s="17"/>
      <c r="L480" s="17"/>
      <c r="M480" s="17"/>
      <c r="N480" s="17"/>
    </row>
    <row r="481" spans="1:14" x14ac:dyDescent="0.2">
      <c r="A481" s="115" t="str">
        <f t="shared" si="7"/>
        <v/>
      </c>
      <c r="B481" s="94"/>
      <c r="C481" s="94"/>
      <c r="D481" s="95"/>
      <c r="E481" s="95"/>
      <c r="F481" s="104"/>
      <c r="G481" s="97"/>
      <c r="H481" s="17"/>
      <c r="I481" s="17"/>
      <c r="J481" s="17"/>
      <c r="K481" s="17"/>
      <c r="L481" s="17"/>
      <c r="M481" s="17"/>
      <c r="N481" s="17"/>
    </row>
    <row r="482" spans="1:14" x14ac:dyDescent="0.2">
      <c r="A482" s="115" t="str">
        <f t="shared" si="7"/>
        <v/>
      </c>
      <c r="B482" s="94"/>
      <c r="C482" s="94"/>
      <c r="D482" s="95"/>
      <c r="E482" s="95"/>
      <c r="F482" s="104"/>
      <c r="G482" s="97"/>
      <c r="H482" s="17"/>
      <c r="I482" s="17"/>
      <c r="J482" s="17"/>
      <c r="K482" s="17"/>
      <c r="L482" s="17"/>
      <c r="M482" s="17"/>
      <c r="N482" s="17"/>
    </row>
    <row r="483" spans="1:14" x14ac:dyDescent="0.2">
      <c r="A483" s="115" t="str">
        <f t="shared" si="7"/>
        <v/>
      </c>
      <c r="B483" s="94"/>
      <c r="C483" s="94"/>
      <c r="D483" s="95"/>
      <c r="E483" s="95"/>
      <c r="F483" s="104"/>
      <c r="G483" s="97"/>
      <c r="H483" s="17"/>
      <c r="I483" s="17"/>
      <c r="J483" s="17"/>
      <c r="K483" s="17"/>
      <c r="L483" s="17"/>
      <c r="M483" s="17"/>
      <c r="N483" s="17"/>
    </row>
    <row r="484" spans="1:14" x14ac:dyDescent="0.2">
      <c r="A484" s="115" t="str">
        <f t="shared" si="7"/>
        <v/>
      </c>
      <c r="B484" s="94"/>
      <c r="C484" s="94"/>
      <c r="D484" s="95"/>
      <c r="E484" s="95"/>
      <c r="F484" s="104"/>
      <c r="G484" s="97"/>
      <c r="H484" s="17"/>
      <c r="I484" s="17"/>
      <c r="J484" s="17"/>
      <c r="K484" s="17"/>
      <c r="L484" s="17"/>
      <c r="M484" s="17"/>
      <c r="N484" s="17"/>
    </row>
    <row r="485" spans="1:14" x14ac:dyDescent="0.2">
      <c r="A485" s="115" t="str">
        <f t="shared" si="7"/>
        <v/>
      </c>
      <c r="B485" s="94"/>
      <c r="C485" s="94"/>
      <c r="D485" s="95"/>
      <c r="E485" s="95"/>
      <c r="F485" s="104"/>
      <c r="G485" s="97"/>
      <c r="H485" s="17"/>
      <c r="I485" s="17"/>
      <c r="J485" s="17"/>
      <c r="K485" s="17"/>
      <c r="L485" s="17"/>
      <c r="M485" s="17"/>
      <c r="N485" s="17"/>
    </row>
    <row r="486" spans="1:14" x14ac:dyDescent="0.2">
      <c r="A486" s="115" t="str">
        <f t="shared" si="7"/>
        <v/>
      </c>
      <c r="B486" s="94"/>
      <c r="C486" s="94"/>
      <c r="D486" s="95"/>
      <c r="E486" s="95"/>
      <c r="F486" s="104"/>
      <c r="G486" s="97"/>
      <c r="H486" s="17"/>
      <c r="I486" s="17"/>
      <c r="J486" s="17"/>
      <c r="K486" s="17"/>
      <c r="L486" s="17"/>
      <c r="M486" s="17"/>
      <c r="N486" s="17"/>
    </row>
    <row r="487" spans="1:14" x14ac:dyDescent="0.2">
      <c r="A487" s="115" t="str">
        <f t="shared" si="7"/>
        <v/>
      </c>
      <c r="B487" s="94"/>
      <c r="C487" s="94"/>
      <c r="D487" s="95"/>
      <c r="E487" s="95"/>
      <c r="F487" s="104"/>
      <c r="G487" s="97"/>
      <c r="H487" s="17"/>
      <c r="I487" s="17"/>
      <c r="J487" s="17"/>
      <c r="K487" s="17"/>
      <c r="L487" s="17"/>
      <c r="M487" s="17"/>
      <c r="N487" s="17"/>
    </row>
    <row r="488" spans="1:14" x14ac:dyDescent="0.2">
      <c r="A488" s="115" t="str">
        <f t="shared" si="7"/>
        <v/>
      </c>
      <c r="B488" s="94"/>
      <c r="C488" s="94"/>
      <c r="D488" s="95"/>
      <c r="E488" s="95"/>
      <c r="F488" s="104"/>
      <c r="G488" s="97"/>
      <c r="H488" s="17"/>
      <c r="I488" s="17"/>
      <c r="J488" s="17"/>
      <c r="K488" s="17"/>
      <c r="L488" s="17"/>
      <c r="M488" s="17"/>
      <c r="N488" s="17"/>
    </row>
    <row r="489" spans="1:14" x14ac:dyDescent="0.2">
      <c r="A489" s="115" t="str">
        <f t="shared" si="7"/>
        <v/>
      </c>
      <c r="B489" s="94"/>
      <c r="C489" s="94"/>
      <c r="D489" s="95"/>
      <c r="E489" s="95"/>
      <c r="F489" s="104"/>
      <c r="G489" s="97"/>
      <c r="H489" s="17"/>
      <c r="I489" s="17"/>
      <c r="J489" s="17"/>
      <c r="K489" s="17"/>
      <c r="L489" s="17"/>
      <c r="M489" s="17"/>
      <c r="N489" s="17"/>
    </row>
    <row r="490" spans="1:14" x14ac:dyDescent="0.2">
      <c r="A490" s="115" t="str">
        <f t="shared" si="7"/>
        <v/>
      </c>
      <c r="B490" s="94"/>
      <c r="C490" s="94"/>
      <c r="D490" s="95"/>
      <c r="E490" s="95"/>
      <c r="F490" s="104"/>
      <c r="G490" s="97"/>
      <c r="H490" s="17"/>
      <c r="I490" s="17"/>
      <c r="J490" s="17"/>
      <c r="K490" s="17"/>
      <c r="L490" s="17"/>
      <c r="M490" s="17"/>
      <c r="N490" s="17"/>
    </row>
    <row r="491" spans="1:14" x14ac:dyDescent="0.2">
      <c r="A491" s="115" t="str">
        <f t="shared" si="7"/>
        <v/>
      </c>
      <c r="B491" s="94"/>
      <c r="C491" s="94"/>
      <c r="D491" s="95"/>
      <c r="E491" s="95"/>
      <c r="F491" s="104"/>
      <c r="G491" s="97"/>
      <c r="H491" s="17"/>
      <c r="I491" s="17"/>
      <c r="J491" s="17"/>
      <c r="K491" s="17"/>
      <c r="L491" s="17"/>
      <c r="M491" s="17"/>
      <c r="N491" s="17"/>
    </row>
    <row r="492" spans="1:14" x14ac:dyDescent="0.2">
      <c r="A492" s="115" t="str">
        <f t="shared" si="7"/>
        <v/>
      </c>
      <c r="B492" s="94"/>
      <c r="C492" s="94"/>
      <c r="D492" s="95"/>
      <c r="E492" s="95"/>
      <c r="F492" s="104"/>
      <c r="G492" s="97"/>
      <c r="H492" s="17"/>
      <c r="I492" s="17"/>
      <c r="J492" s="17"/>
      <c r="K492" s="17"/>
      <c r="L492" s="17"/>
      <c r="M492" s="17"/>
      <c r="N492" s="17"/>
    </row>
    <row r="493" spans="1:14" x14ac:dyDescent="0.2">
      <c r="A493" s="115" t="str">
        <f t="shared" si="7"/>
        <v/>
      </c>
      <c r="B493" s="94"/>
      <c r="C493" s="94"/>
      <c r="D493" s="95"/>
      <c r="E493" s="95"/>
      <c r="F493" s="104"/>
      <c r="G493" s="97"/>
      <c r="H493" s="17"/>
      <c r="I493" s="17"/>
      <c r="J493" s="17"/>
      <c r="K493" s="17"/>
      <c r="L493" s="17"/>
      <c r="M493" s="17"/>
      <c r="N493" s="17"/>
    </row>
    <row r="494" spans="1:14" x14ac:dyDescent="0.2">
      <c r="A494" s="115" t="str">
        <f t="shared" si="7"/>
        <v/>
      </c>
      <c r="B494" s="94"/>
      <c r="C494" s="94"/>
      <c r="D494" s="95"/>
      <c r="E494" s="95"/>
      <c r="F494" s="104"/>
      <c r="G494" s="97"/>
      <c r="H494" s="17"/>
      <c r="I494" s="17"/>
      <c r="J494" s="17"/>
      <c r="K494" s="17"/>
      <c r="L494" s="17"/>
      <c r="M494" s="17"/>
      <c r="N494" s="17"/>
    </row>
    <row r="495" spans="1:14" x14ac:dyDescent="0.2">
      <c r="A495" s="115" t="str">
        <f t="shared" si="7"/>
        <v/>
      </c>
      <c r="B495" s="94"/>
      <c r="C495" s="94"/>
      <c r="D495" s="95"/>
      <c r="E495" s="95"/>
      <c r="F495" s="104"/>
      <c r="G495" s="97"/>
      <c r="H495" s="17"/>
      <c r="I495" s="17"/>
      <c r="J495" s="17"/>
      <c r="K495" s="17"/>
      <c r="L495" s="17"/>
      <c r="M495" s="17"/>
      <c r="N495" s="17"/>
    </row>
    <row r="496" spans="1:14" x14ac:dyDescent="0.2">
      <c r="A496" s="115" t="str">
        <f t="shared" si="7"/>
        <v/>
      </c>
      <c r="B496" s="94"/>
      <c r="C496" s="94"/>
      <c r="D496" s="95"/>
      <c r="E496" s="95"/>
      <c r="F496" s="104"/>
      <c r="G496" s="97"/>
      <c r="H496" s="17"/>
      <c r="I496" s="17"/>
      <c r="J496" s="17"/>
      <c r="K496" s="17"/>
      <c r="L496" s="17"/>
      <c r="M496" s="17"/>
      <c r="N496" s="17"/>
    </row>
    <row r="497" spans="1:14" x14ac:dyDescent="0.2">
      <c r="A497" s="115" t="str">
        <f t="shared" si="7"/>
        <v/>
      </c>
      <c r="B497" s="94"/>
      <c r="C497" s="94"/>
      <c r="D497" s="95"/>
      <c r="E497" s="95"/>
      <c r="F497" s="104"/>
      <c r="G497" s="97"/>
      <c r="H497" s="17"/>
      <c r="I497" s="17"/>
      <c r="J497" s="17"/>
      <c r="K497" s="17"/>
      <c r="L497" s="17"/>
      <c r="M497" s="17"/>
      <c r="N497" s="17"/>
    </row>
    <row r="498" spans="1:14" x14ac:dyDescent="0.2">
      <c r="A498" s="115" t="str">
        <f t="shared" si="7"/>
        <v/>
      </c>
      <c r="B498" s="94"/>
      <c r="C498" s="94"/>
      <c r="D498" s="95"/>
      <c r="E498" s="95"/>
      <c r="F498" s="104"/>
      <c r="G498" s="97"/>
      <c r="H498" s="17"/>
      <c r="I498" s="17"/>
      <c r="J498" s="17"/>
      <c r="K498" s="17"/>
      <c r="L498" s="17"/>
      <c r="M498" s="17"/>
      <c r="N498" s="17"/>
    </row>
    <row r="499" spans="1:14" x14ac:dyDescent="0.2">
      <c r="A499" s="115" t="str">
        <f t="shared" si="7"/>
        <v/>
      </c>
      <c r="B499" s="94"/>
      <c r="C499" s="94"/>
      <c r="D499" s="95"/>
      <c r="E499" s="95"/>
      <c r="F499" s="104"/>
      <c r="G499" s="97"/>
      <c r="H499" s="17"/>
      <c r="I499" s="17"/>
      <c r="J499" s="17"/>
      <c r="K499" s="17"/>
      <c r="L499" s="17"/>
      <c r="M499" s="17"/>
      <c r="N499" s="17"/>
    </row>
    <row r="500" spans="1:14" x14ac:dyDescent="0.2">
      <c r="A500" s="115" t="str">
        <f t="shared" si="7"/>
        <v/>
      </c>
      <c r="B500" s="94"/>
      <c r="C500" s="94"/>
      <c r="D500" s="95"/>
      <c r="E500" s="95"/>
      <c r="F500" s="104"/>
      <c r="G500" s="97"/>
      <c r="H500" s="17"/>
      <c r="I500" s="17"/>
      <c r="J500" s="17"/>
      <c r="K500" s="17"/>
      <c r="L500" s="17"/>
      <c r="M500" s="17"/>
      <c r="N500" s="17"/>
    </row>
    <row r="501" spans="1:14" x14ac:dyDescent="0.2">
      <c r="A501" s="115" t="str">
        <f t="shared" si="7"/>
        <v/>
      </c>
      <c r="B501" s="94"/>
      <c r="C501" s="94"/>
      <c r="D501" s="95"/>
      <c r="E501" s="95"/>
      <c r="F501" s="104"/>
      <c r="G501" s="97"/>
      <c r="H501" s="17"/>
      <c r="I501" s="17"/>
      <c r="J501" s="17"/>
      <c r="K501" s="17"/>
      <c r="L501" s="17"/>
      <c r="M501" s="17"/>
      <c r="N501" s="17"/>
    </row>
    <row r="502" spans="1:14" x14ac:dyDescent="0.2">
      <c r="A502" s="115" t="str">
        <f t="shared" si="7"/>
        <v/>
      </c>
      <c r="B502" s="94"/>
      <c r="C502" s="94"/>
      <c r="D502" s="95"/>
      <c r="E502" s="95"/>
      <c r="F502" s="104"/>
      <c r="G502" s="97"/>
      <c r="H502" s="17"/>
      <c r="I502" s="17"/>
      <c r="J502" s="17"/>
      <c r="K502" s="17"/>
      <c r="L502" s="17"/>
      <c r="M502" s="17"/>
      <c r="N502" s="17"/>
    </row>
    <row r="503" spans="1:14" x14ac:dyDescent="0.2">
      <c r="A503" s="115" t="str">
        <f t="shared" si="7"/>
        <v/>
      </c>
      <c r="B503" s="94"/>
      <c r="C503" s="94"/>
      <c r="D503" s="95"/>
      <c r="E503" s="95"/>
      <c r="F503" s="104"/>
      <c r="G503" s="97"/>
      <c r="H503" s="17"/>
      <c r="I503" s="17"/>
      <c r="J503" s="17"/>
      <c r="K503" s="17"/>
      <c r="L503" s="17"/>
      <c r="M503" s="17"/>
      <c r="N503" s="17"/>
    </row>
    <row r="504" spans="1:14" x14ac:dyDescent="0.2">
      <c r="A504" s="115" t="str">
        <f t="shared" si="7"/>
        <v/>
      </c>
      <c r="B504" s="94"/>
      <c r="C504" s="94"/>
      <c r="D504" s="95"/>
      <c r="E504" s="95"/>
      <c r="F504" s="104"/>
      <c r="G504" s="97"/>
      <c r="H504" s="17"/>
      <c r="I504" s="17"/>
      <c r="J504" s="17"/>
      <c r="K504" s="17"/>
      <c r="L504" s="17"/>
      <c r="M504" s="17"/>
      <c r="N504" s="17"/>
    </row>
    <row r="505" spans="1:14" x14ac:dyDescent="0.2">
      <c r="A505" s="115" t="str">
        <f t="shared" si="7"/>
        <v/>
      </c>
      <c r="B505" s="94"/>
      <c r="C505" s="94"/>
      <c r="D505" s="95"/>
      <c r="E505" s="95"/>
      <c r="F505" s="104"/>
      <c r="G505" s="97"/>
      <c r="H505" s="17"/>
      <c r="I505" s="17"/>
      <c r="J505" s="17"/>
      <c r="K505" s="17"/>
      <c r="L505" s="17"/>
      <c r="M505" s="17"/>
      <c r="N505" s="17"/>
    </row>
    <row r="506" spans="1:14" x14ac:dyDescent="0.2">
      <c r="A506" s="115" t="str">
        <f t="shared" si="7"/>
        <v/>
      </c>
      <c r="B506" s="94"/>
      <c r="C506" s="94"/>
      <c r="D506" s="95"/>
      <c r="E506" s="95"/>
      <c r="F506" s="104"/>
      <c r="G506" s="97"/>
      <c r="H506" s="17"/>
      <c r="I506" s="17"/>
      <c r="J506" s="17"/>
      <c r="K506" s="17"/>
      <c r="L506" s="17"/>
      <c r="M506" s="17"/>
      <c r="N506" s="17"/>
    </row>
    <row r="507" spans="1:14" x14ac:dyDescent="0.2">
      <c r="A507" s="115" t="str">
        <f t="shared" si="7"/>
        <v/>
      </c>
      <c r="B507" s="94"/>
      <c r="C507" s="94"/>
      <c r="D507" s="95"/>
      <c r="E507" s="95"/>
      <c r="F507" s="104"/>
      <c r="G507" s="97"/>
      <c r="H507" s="17"/>
      <c r="I507" s="17"/>
      <c r="J507" s="17"/>
      <c r="K507" s="17"/>
      <c r="L507" s="17"/>
      <c r="M507" s="17"/>
      <c r="N507" s="17"/>
    </row>
    <row r="508" spans="1:14" x14ac:dyDescent="0.2">
      <c r="A508" s="115" t="str">
        <f t="shared" si="7"/>
        <v/>
      </c>
      <c r="B508" s="94"/>
      <c r="C508" s="94"/>
      <c r="D508" s="95"/>
      <c r="E508" s="95"/>
      <c r="F508" s="104"/>
      <c r="G508" s="97"/>
      <c r="H508" s="17"/>
      <c r="I508" s="17"/>
      <c r="J508" s="17"/>
      <c r="K508" s="17"/>
      <c r="L508" s="17"/>
      <c r="M508" s="17"/>
      <c r="N508" s="17"/>
    </row>
    <row r="509" spans="1:14" x14ac:dyDescent="0.2">
      <c r="A509" s="115" t="str">
        <f t="shared" si="7"/>
        <v/>
      </c>
      <c r="B509" s="94"/>
      <c r="C509" s="94"/>
      <c r="D509" s="95"/>
      <c r="E509" s="95"/>
      <c r="F509" s="104"/>
      <c r="G509" s="97"/>
      <c r="H509" s="17"/>
      <c r="I509" s="17"/>
      <c r="J509" s="17"/>
      <c r="K509" s="17"/>
      <c r="L509" s="17"/>
      <c r="M509" s="17"/>
      <c r="N509" s="17"/>
    </row>
    <row r="510" spans="1:14" x14ac:dyDescent="0.2">
      <c r="A510" s="115" t="str">
        <f t="shared" si="7"/>
        <v/>
      </c>
      <c r="B510" s="94"/>
      <c r="C510" s="94"/>
      <c r="D510" s="95"/>
      <c r="E510" s="95"/>
      <c r="F510" s="104"/>
      <c r="G510" s="97"/>
      <c r="H510" s="17"/>
      <c r="I510" s="17"/>
      <c r="J510" s="17"/>
      <c r="K510" s="17"/>
      <c r="L510" s="17"/>
      <c r="M510" s="17"/>
      <c r="N510" s="17"/>
    </row>
    <row r="511" spans="1:14" x14ac:dyDescent="0.2">
      <c r="A511" s="115" t="str">
        <f t="shared" si="7"/>
        <v/>
      </c>
      <c r="B511" s="94"/>
      <c r="C511" s="94"/>
      <c r="D511" s="95"/>
      <c r="E511" s="95"/>
      <c r="F511" s="104"/>
      <c r="G511" s="97"/>
      <c r="H511" s="17"/>
      <c r="I511" s="17"/>
      <c r="J511" s="17"/>
      <c r="K511" s="17"/>
      <c r="L511" s="17"/>
      <c r="M511" s="17"/>
      <c r="N511" s="17"/>
    </row>
    <row r="512" spans="1:14" x14ac:dyDescent="0.2">
      <c r="A512" s="115" t="str">
        <f t="shared" si="7"/>
        <v/>
      </c>
      <c r="B512" s="94"/>
      <c r="C512" s="94"/>
      <c r="D512" s="95"/>
      <c r="E512" s="95"/>
      <c r="F512" s="104"/>
      <c r="G512" s="97"/>
      <c r="H512" s="17"/>
      <c r="I512" s="17"/>
      <c r="J512" s="17"/>
      <c r="K512" s="17"/>
      <c r="L512" s="17"/>
      <c r="M512" s="17"/>
      <c r="N512" s="17"/>
    </row>
    <row r="513" spans="1:14" x14ac:dyDescent="0.2">
      <c r="A513" s="115" t="str">
        <f t="shared" si="7"/>
        <v/>
      </c>
      <c r="B513" s="94"/>
      <c r="C513" s="94"/>
      <c r="D513" s="95"/>
      <c r="E513" s="95"/>
      <c r="F513" s="104"/>
      <c r="G513" s="97"/>
      <c r="H513" s="17"/>
      <c r="I513" s="17"/>
      <c r="J513" s="17"/>
      <c r="K513" s="17"/>
      <c r="L513" s="17"/>
      <c r="M513" s="17"/>
      <c r="N513" s="17"/>
    </row>
    <row r="514" spans="1:14" x14ac:dyDescent="0.2">
      <c r="A514" s="115" t="str">
        <f t="shared" si="7"/>
        <v/>
      </c>
      <c r="B514" s="94"/>
      <c r="C514" s="94"/>
      <c r="D514" s="95"/>
      <c r="E514" s="95"/>
      <c r="F514" s="104"/>
      <c r="G514" s="97"/>
      <c r="H514" s="17"/>
      <c r="I514" s="17"/>
      <c r="J514" s="17"/>
      <c r="K514" s="17"/>
      <c r="L514" s="17"/>
      <c r="M514" s="17"/>
      <c r="N514" s="17"/>
    </row>
    <row r="515" spans="1:14" x14ac:dyDescent="0.2">
      <c r="A515" s="115" t="str">
        <f t="shared" si="7"/>
        <v/>
      </c>
      <c r="B515" s="94"/>
      <c r="C515" s="94"/>
      <c r="D515" s="95"/>
      <c r="E515" s="95"/>
      <c r="F515" s="104"/>
      <c r="G515" s="97"/>
      <c r="H515" s="17"/>
      <c r="I515" s="17"/>
      <c r="J515" s="17"/>
      <c r="K515" s="17"/>
      <c r="L515" s="17"/>
      <c r="M515" s="17"/>
      <c r="N515" s="17"/>
    </row>
    <row r="516" spans="1:14" x14ac:dyDescent="0.2">
      <c r="A516" s="115" t="str">
        <f t="shared" si="7"/>
        <v/>
      </c>
      <c r="B516" s="94"/>
      <c r="C516" s="94"/>
      <c r="D516" s="95"/>
      <c r="E516" s="95"/>
      <c r="F516" s="104"/>
      <c r="G516" s="97"/>
      <c r="H516" s="17"/>
      <c r="I516" s="17"/>
      <c r="J516" s="17"/>
      <c r="K516" s="17"/>
      <c r="L516" s="17"/>
      <c r="M516" s="17"/>
      <c r="N516" s="17"/>
    </row>
    <row r="517" spans="1:14" x14ac:dyDescent="0.2">
      <c r="A517" s="115" t="str">
        <f t="shared" si="7"/>
        <v/>
      </c>
      <c r="B517" s="94"/>
      <c r="C517" s="94"/>
      <c r="D517" s="95"/>
      <c r="E517" s="95"/>
      <c r="F517" s="104"/>
      <c r="G517" s="97"/>
      <c r="H517" s="17"/>
      <c r="I517" s="17"/>
      <c r="J517" s="17"/>
      <c r="K517" s="17"/>
      <c r="L517" s="17"/>
      <c r="M517" s="17"/>
      <c r="N517" s="17"/>
    </row>
    <row r="518" spans="1:14" x14ac:dyDescent="0.2">
      <c r="A518" s="115" t="str">
        <f t="shared" si="7"/>
        <v/>
      </c>
      <c r="B518" s="94"/>
      <c r="C518" s="94"/>
      <c r="D518" s="95"/>
      <c r="E518" s="95"/>
      <c r="F518" s="104"/>
      <c r="G518" s="97"/>
      <c r="H518" s="17"/>
      <c r="I518" s="17"/>
      <c r="J518" s="17"/>
      <c r="K518" s="17"/>
      <c r="L518" s="17"/>
      <c r="M518" s="17"/>
      <c r="N518" s="17"/>
    </row>
    <row r="519" spans="1:14" x14ac:dyDescent="0.2">
      <c r="A519" s="115" t="str">
        <f t="shared" si="7"/>
        <v/>
      </c>
      <c r="B519" s="94"/>
      <c r="C519" s="94"/>
      <c r="D519" s="95"/>
      <c r="E519" s="95"/>
      <c r="F519" s="104"/>
      <c r="G519" s="97"/>
      <c r="H519" s="17"/>
      <c r="I519" s="17"/>
      <c r="J519" s="17"/>
      <c r="K519" s="17"/>
      <c r="L519" s="17"/>
      <c r="M519" s="17"/>
      <c r="N519" s="17"/>
    </row>
    <row r="520" spans="1:14" x14ac:dyDescent="0.2">
      <c r="A520" s="115" t="str">
        <f t="shared" si="7"/>
        <v/>
      </c>
      <c r="B520" s="94"/>
      <c r="C520" s="94"/>
      <c r="D520" s="95"/>
      <c r="E520" s="95"/>
      <c r="F520" s="104"/>
      <c r="G520" s="97"/>
      <c r="H520" s="17"/>
      <c r="I520" s="17"/>
      <c r="J520" s="17"/>
      <c r="K520" s="17"/>
      <c r="L520" s="17"/>
      <c r="M520" s="17"/>
      <c r="N520" s="17"/>
    </row>
    <row r="521" spans="1:14" x14ac:dyDescent="0.2">
      <c r="A521" s="115" t="str">
        <f t="shared" si="7"/>
        <v/>
      </c>
      <c r="B521" s="94"/>
      <c r="C521" s="94"/>
      <c r="D521" s="95"/>
      <c r="E521" s="95"/>
      <c r="F521" s="104"/>
      <c r="G521" s="97"/>
      <c r="H521" s="17"/>
      <c r="I521" s="17"/>
      <c r="J521" s="17"/>
      <c r="K521" s="17"/>
      <c r="L521" s="17"/>
      <c r="M521" s="17"/>
      <c r="N521" s="17"/>
    </row>
    <row r="522" spans="1:14" x14ac:dyDescent="0.2">
      <c r="A522" s="115" t="str">
        <f t="shared" si="7"/>
        <v/>
      </c>
      <c r="B522" s="94"/>
      <c r="C522" s="94"/>
      <c r="D522" s="95"/>
      <c r="E522" s="95"/>
      <c r="F522" s="104"/>
      <c r="G522" s="97"/>
      <c r="H522" s="17"/>
      <c r="I522" s="17"/>
      <c r="J522" s="17"/>
      <c r="K522" s="17"/>
      <c r="L522" s="17"/>
      <c r="M522" s="17"/>
      <c r="N522" s="17"/>
    </row>
    <row r="523" spans="1:14" x14ac:dyDescent="0.2">
      <c r="A523" s="115" t="str">
        <f t="shared" si="7"/>
        <v/>
      </c>
      <c r="B523" s="94"/>
      <c r="C523" s="94"/>
      <c r="D523" s="95"/>
      <c r="E523" s="95"/>
      <c r="F523" s="104"/>
      <c r="G523" s="97"/>
      <c r="H523" s="17"/>
      <c r="I523" s="17"/>
      <c r="J523" s="17"/>
      <c r="K523" s="17"/>
      <c r="L523" s="17"/>
      <c r="M523" s="17"/>
      <c r="N523" s="17"/>
    </row>
    <row r="524" spans="1:14" x14ac:dyDescent="0.2">
      <c r="A524" s="115" t="str">
        <f t="shared" si="7"/>
        <v/>
      </c>
      <c r="B524" s="94"/>
      <c r="C524" s="94"/>
      <c r="D524" s="95"/>
      <c r="E524" s="95"/>
      <c r="F524" s="104"/>
      <c r="G524" s="97"/>
      <c r="H524" s="17"/>
      <c r="I524" s="17"/>
      <c r="J524" s="17"/>
      <c r="K524" s="17"/>
      <c r="L524" s="17"/>
      <c r="M524" s="17"/>
      <c r="N524" s="17"/>
    </row>
    <row r="525" spans="1:14" x14ac:dyDescent="0.2">
      <c r="A525" s="115" t="str">
        <f t="shared" si="7"/>
        <v/>
      </c>
      <c r="B525" s="94"/>
      <c r="C525" s="94"/>
      <c r="D525" s="95"/>
      <c r="E525" s="95"/>
      <c r="F525" s="104"/>
      <c r="G525" s="97"/>
      <c r="H525" s="17"/>
      <c r="I525" s="17"/>
      <c r="J525" s="17"/>
      <c r="K525" s="17"/>
      <c r="L525" s="17"/>
      <c r="M525" s="17"/>
      <c r="N525" s="17"/>
    </row>
    <row r="526" spans="1:14" x14ac:dyDescent="0.2">
      <c r="A526" s="115" t="str">
        <f t="shared" si="7"/>
        <v/>
      </c>
      <c r="B526" s="94"/>
      <c r="C526" s="94"/>
      <c r="D526" s="95"/>
      <c r="E526" s="95"/>
      <c r="F526" s="104"/>
      <c r="G526" s="97"/>
      <c r="H526" s="17"/>
      <c r="I526" s="17"/>
      <c r="J526" s="17"/>
      <c r="K526" s="17"/>
      <c r="L526" s="17"/>
      <c r="M526" s="17"/>
      <c r="N526" s="17"/>
    </row>
    <row r="527" spans="1:14" x14ac:dyDescent="0.2">
      <c r="A527" s="115" t="str">
        <f t="shared" si="7"/>
        <v/>
      </c>
      <c r="B527" s="94"/>
      <c r="C527" s="94"/>
      <c r="D527" s="95"/>
      <c r="E527" s="95"/>
      <c r="F527" s="104"/>
      <c r="G527" s="97"/>
      <c r="H527" s="17"/>
      <c r="I527" s="17"/>
      <c r="J527" s="17"/>
      <c r="K527" s="17"/>
      <c r="L527" s="17"/>
      <c r="M527" s="17"/>
      <c r="N527" s="17"/>
    </row>
    <row r="528" spans="1:14" x14ac:dyDescent="0.2">
      <c r="A528" s="115" t="str">
        <f t="shared" si="7"/>
        <v/>
      </c>
      <c r="B528" s="94"/>
      <c r="C528" s="94"/>
      <c r="D528" s="95"/>
      <c r="E528" s="95"/>
      <c r="F528" s="104"/>
      <c r="G528" s="97"/>
      <c r="H528" s="17"/>
      <c r="I528" s="17"/>
      <c r="J528" s="17"/>
      <c r="K528" s="17"/>
      <c r="L528" s="17"/>
      <c r="M528" s="17"/>
      <c r="N528" s="17"/>
    </row>
    <row r="529" spans="1:14" x14ac:dyDescent="0.2">
      <c r="A529" s="115" t="str">
        <f t="shared" si="7"/>
        <v/>
      </c>
      <c r="B529" s="94"/>
      <c r="C529" s="94"/>
      <c r="D529" s="95"/>
      <c r="E529" s="95"/>
      <c r="F529" s="104"/>
      <c r="G529" s="97"/>
      <c r="H529" s="17"/>
      <c r="I529" s="17"/>
      <c r="J529" s="17"/>
      <c r="K529" s="17"/>
      <c r="L529" s="17"/>
      <c r="M529" s="17"/>
      <c r="N529" s="17"/>
    </row>
    <row r="530" spans="1:14" x14ac:dyDescent="0.2">
      <c r="A530" s="115" t="str">
        <f t="shared" si="7"/>
        <v/>
      </c>
      <c r="B530" s="94"/>
      <c r="C530" s="94"/>
      <c r="D530" s="95"/>
      <c r="E530" s="95"/>
      <c r="F530" s="104"/>
      <c r="G530" s="97"/>
      <c r="H530" s="17"/>
      <c r="I530" s="17"/>
      <c r="J530" s="17"/>
      <c r="K530" s="17"/>
      <c r="L530" s="17"/>
      <c r="M530" s="17"/>
      <c r="N530" s="17"/>
    </row>
    <row r="531" spans="1:14" x14ac:dyDescent="0.2">
      <c r="A531" s="115" t="str">
        <f t="shared" si="7"/>
        <v/>
      </c>
      <c r="B531" s="94"/>
      <c r="C531" s="94"/>
      <c r="D531" s="95"/>
      <c r="E531" s="95"/>
      <c r="F531" s="104"/>
      <c r="G531" s="97"/>
      <c r="H531" s="17"/>
      <c r="I531" s="17"/>
      <c r="J531" s="17"/>
      <c r="K531" s="17"/>
      <c r="L531" s="17"/>
      <c r="M531" s="17"/>
      <c r="N531" s="17"/>
    </row>
    <row r="532" spans="1:14" x14ac:dyDescent="0.2">
      <c r="A532" s="115" t="str">
        <f t="shared" si="7"/>
        <v/>
      </c>
      <c r="B532" s="94"/>
      <c r="C532" s="94"/>
      <c r="D532" s="95"/>
      <c r="E532" s="95"/>
      <c r="F532" s="104"/>
      <c r="G532" s="97"/>
      <c r="H532" s="17"/>
      <c r="I532" s="17"/>
      <c r="J532" s="17"/>
      <c r="K532" s="17"/>
      <c r="L532" s="17"/>
      <c r="M532" s="17"/>
      <c r="N532" s="17"/>
    </row>
    <row r="533" spans="1:14" x14ac:dyDescent="0.2">
      <c r="A533" s="115" t="str">
        <f t="shared" si="7"/>
        <v/>
      </c>
      <c r="B533" s="94"/>
      <c r="C533" s="94"/>
      <c r="D533" s="95"/>
      <c r="E533" s="95"/>
      <c r="F533" s="104"/>
      <c r="G533" s="97"/>
      <c r="H533" s="17"/>
      <c r="I533" s="17"/>
      <c r="J533" s="17"/>
      <c r="K533" s="17"/>
      <c r="L533" s="17"/>
      <c r="M533" s="17"/>
      <c r="N533" s="17"/>
    </row>
    <row r="534" spans="1:14" x14ac:dyDescent="0.2">
      <c r="A534" s="115" t="str">
        <f t="shared" si="7"/>
        <v/>
      </c>
      <c r="B534" s="94"/>
      <c r="C534" s="94"/>
      <c r="D534" s="95"/>
      <c r="E534" s="95"/>
      <c r="F534" s="104"/>
      <c r="G534" s="97"/>
      <c r="H534" s="17"/>
      <c r="I534" s="17"/>
      <c r="J534" s="17"/>
      <c r="K534" s="17"/>
      <c r="L534" s="17"/>
      <c r="M534" s="17"/>
      <c r="N534" s="17"/>
    </row>
    <row r="535" spans="1:14" x14ac:dyDescent="0.2">
      <c r="A535" s="115" t="str">
        <f t="shared" ref="A535:A580" si="8">IF(B535&lt;&gt;"", A534, "")</f>
        <v/>
      </c>
      <c r="B535" s="94"/>
      <c r="C535" s="94"/>
      <c r="D535" s="95"/>
      <c r="E535" s="95"/>
      <c r="F535" s="104"/>
      <c r="G535" s="97"/>
      <c r="H535" s="17"/>
      <c r="I535" s="17"/>
      <c r="J535" s="17"/>
      <c r="K535" s="17"/>
      <c r="L535" s="17"/>
      <c r="M535" s="17"/>
      <c r="N535" s="17"/>
    </row>
    <row r="536" spans="1:14" x14ac:dyDescent="0.2">
      <c r="A536" s="115" t="str">
        <f t="shared" si="8"/>
        <v/>
      </c>
      <c r="B536" s="94"/>
      <c r="C536" s="94"/>
      <c r="D536" s="95"/>
      <c r="E536" s="95"/>
      <c r="F536" s="104"/>
      <c r="G536" s="97"/>
      <c r="H536" s="17"/>
      <c r="I536" s="17"/>
      <c r="J536" s="17"/>
      <c r="K536" s="17"/>
      <c r="L536" s="17"/>
      <c r="M536" s="17"/>
      <c r="N536" s="17"/>
    </row>
    <row r="537" spans="1:14" x14ac:dyDescent="0.2">
      <c r="A537" s="115" t="str">
        <f t="shared" si="8"/>
        <v/>
      </c>
      <c r="B537" s="94"/>
      <c r="C537" s="94"/>
      <c r="D537" s="95"/>
      <c r="E537" s="95"/>
      <c r="F537" s="104"/>
      <c r="G537" s="97"/>
      <c r="H537" s="17"/>
      <c r="I537" s="17"/>
      <c r="J537" s="17"/>
      <c r="K537" s="17"/>
      <c r="L537" s="17"/>
      <c r="M537" s="17"/>
      <c r="N537" s="17"/>
    </row>
    <row r="538" spans="1:14" x14ac:dyDescent="0.2">
      <c r="A538" s="115" t="str">
        <f t="shared" si="8"/>
        <v/>
      </c>
      <c r="B538" s="94"/>
      <c r="C538" s="94"/>
      <c r="D538" s="95"/>
      <c r="E538" s="95"/>
      <c r="F538" s="104"/>
      <c r="G538" s="97"/>
      <c r="H538" s="17"/>
      <c r="I538" s="17"/>
      <c r="J538" s="17"/>
      <c r="K538" s="17"/>
      <c r="L538" s="17"/>
      <c r="M538" s="17"/>
      <c r="N538" s="17"/>
    </row>
    <row r="539" spans="1:14" x14ac:dyDescent="0.2">
      <c r="A539" s="115" t="str">
        <f t="shared" si="8"/>
        <v/>
      </c>
      <c r="B539" s="94"/>
      <c r="C539" s="94"/>
      <c r="D539" s="95"/>
      <c r="E539" s="95"/>
      <c r="F539" s="104"/>
      <c r="G539" s="97"/>
      <c r="H539" s="17"/>
      <c r="I539" s="17"/>
      <c r="J539" s="17"/>
      <c r="K539" s="17"/>
      <c r="L539" s="17"/>
      <c r="M539" s="17"/>
      <c r="N539" s="17"/>
    </row>
    <row r="540" spans="1:14" x14ac:dyDescent="0.2">
      <c r="A540" s="115" t="str">
        <f t="shared" si="8"/>
        <v/>
      </c>
      <c r="B540" s="94"/>
      <c r="C540" s="94"/>
      <c r="D540" s="95"/>
      <c r="E540" s="95"/>
      <c r="F540" s="104"/>
      <c r="G540" s="97"/>
      <c r="H540" s="17"/>
      <c r="I540" s="17"/>
      <c r="J540" s="17"/>
      <c r="K540" s="17"/>
      <c r="L540" s="17"/>
      <c r="M540" s="17"/>
      <c r="N540" s="17"/>
    </row>
    <row r="541" spans="1:14" x14ac:dyDescent="0.2">
      <c r="A541" s="115" t="str">
        <f t="shared" si="8"/>
        <v/>
      </c>
      <c r="B541" s="94"/>
      <c r="C541" s="94"/>
      <c r="D541" s="95"/>
      <c r="E541" s="95"/>
      <c r="F541" s="104"/>
      <c r="G541" s="97"/>
      <c r="H541" s="17"/>
      <c r="I541" s="17"/>
      <c r="J541" s="17"/>
      <c r="K541" s="17"/>
      <c r="L541" s="17"/>
      <c r="M541" s="17"/>
      <c r="N541" s="17"/>
    </row>
    <row r="542" spans="1:14" x14ac:dyDescent="0.2">
      <c r="A542" s="115" t="str">
        <f t="shared" si="8"/>
        <v/>
      </c>
      <c r="B542" s="94"/>
      <c r="C542" s="94"/>
      <c r="D542" s="95"/>
      <c r="E542" s="95"/>
      <c r="F542" s="104"/>
      <c r="G542" s="97"/>
      <c r="H542" s="17"/>
      <c r="I542" s="17"/>
      <c r="J542" s="17"/>
      <c r="K542" s="17"/>
      <c r="L542" s="17"/>
      <c r="M542" s="17"/>
      <c r="N542" s="17"/>
    </row>
    <row r="543" spans="1:14" x14ac:dyDescent="0.2">
      <c r="A543" s="115" t="str">
        <f t="shared" si="8"/>
        <v/>
      </c>
      <c r="B543" s="94"/>
      <c r="C543" s="94"/>
      <c r="D543" s="95"/>
      <c r="E543" s="95"/>
      <c r="F543" s="104"/>
      <c r="G543" s="97"/>
      <c r="H543" s="17"/>
      <c r="I543" s="17"/>
      <c r="J543" s="17"/>
      <c r="K543" s="17"/>
      <c r="L543" s="17"/>
      <c r="M543" s="17"/>
      <c r="N543" s="17"/>
    </row>
    <row r="544" spans="1:14" x14ac:dyDescent="0.2">
      <c r="A544" s="115" t="str">
        <f t="shared" si="8"/>
        <v/>
      </c>
      <c r="B544" s="94"/>
      <c r="C544" s="94"/>
      <c r="D544" s="95"/>
      <c r="E544" s="95"/>
      <c r="F544" s="104"/>
      <c r="G544" s="97"/>
      <c r="H544" s="17"/>
      <c r="I544" s="17"/>
      <c r="J544" s="17"/>
      <c r="K544" s="17"/>
      <c r="L544" s="17"/>
      <c r="M544" s="17"/>
      <c r="N544" s="17"/>
    </row>
    <row r="545" spans="1:14" x14ac:dyDescent="0.2">
      <c r="A545" s="115" t="str">
        <f t="shared" si="8"/>
        <v/>
      </c>
      <c r="B545" s="94"/>
      <c r="C545" s="94"/>
      <c r="D545" s="95"/>
      <c r="E545" s="95"/>
      <c r="F545" s="104"/>
      <c r="G545" s="97"/>
      <c r="H545" s="17"/>
      <c r="I545" s="17"/>
      <c r="J545" s="17"/>
      <c r="K545" s="17"/>
      <c r="L545" s="17"/>
      <c r="M545" s="17"/>
      <c r="N545" s="17"/>
    </row>
    <row r="546" spans="1:14" x14ac:dyDescent="0.2">
      <c r="A546" s="115" t="str">
        <f t="shared" si="8"/>
        <v/>
      </c>
      <c r="B546" s="94"/>
      <c r="C546" s="94"/>
      <c r="D546" s="95"/>
      <c r="E546" s="95"/>
      <c r="F546" s="104"/>
      <c r="G546" s="97"/>
      <c r="H546" s="17"/>
      <c r="I546" s="17"/>
      <c r="J546" s="17"/>
      <c r="K546" s="17"/>
      <c r="L546" s="17"/>
      <c r="M546" s="17"/>
      <c r="N546" s="17"/>
    </row>
    <row r="547" spans="1:14" x14ac:dyDescent="0.2">
      <c r="A547" s="115" t="str">
        <f t="shared" si="8"/>
        <v/>
      </c>
      <c r="B547" s="94"/>
      <c r="C547" s="94"/>
      <c r="D547" s="95"/>
      <c r="E547" s="95"/>
      <c r="F547" s="104"/>
      <c r="G547" s="97"/>
      <c r="H547" s="17"/>
      <c r="I547" s="17"/>
      <c r="J547" s="17"/>
      <c r="K547" s="17"/>
      <c r="L547" s="17"/>
      <c r="M547" s="17"/>
      <c r="N547" s="17"/>
    </row>
    <row r="548" spans="1:14" x14ac:dyDescent="0.2">
      <c r="A548" s="115" t="str">
        <f t="shared" si="8"/>
        <v/>
      </c>
      <c r="B548" s="94"/>
      <c r="C548" s="94"/>
      <c r="D548" s="95"/>
      <c r="E548" s="95"/>
      <c r="F548" s="104"/>
      <c r="G548" s="97"/>
      <c r="H548" s="17"/>
      <c r="I548" s="17"/>
      <c r="J548" s="17"/>
      <c r="K548" s="17"/>
      <c r="L548" s="17"/>
      <c r="M548" s="17"/>
      <c r="N548" s="17"/>
    </row>
    <row r="549" spans="1:14" x14ac:dyDescent="0.2">
      <c r="A549" s="115" t="str">
        <f t="shared" si="8"/>
        <v/>
      </c>
      <c r="B549" s="94"/>
      <c r="C549" s="94"/>
      <c r="D549" s="95"/>
      <c r="E549" s="95"/>
      <c r="F549" s="104"/>
      <c r="G549" s="97"/>
      <c r="H549" s="17"/>
      <c r="I549" s="17"/>
      <c r="J549" s="17"/>
      <c r="K549" s="17"/>
      <c r="L549" s="17"/>
      <c r="M549" s="17"/>
      <c r="N549" s="17"/>
    </row>
    <row r="550" spans="1:14" x14ac:dyDescent="0.2">
      <c r="A550" s="115" t="str">
        <f t="shared" si="8"/>
        <v/>
      </c>
      <c r="B550" s="94"/>
      <c r="C550" s="94"/>
      <c r="D550" s="95"/>
      <c r="E550" s="95"/>
      <c r="F550" s="104"/>
      <c r="G550" s="97"/>
      <c r="H550" s="17"/>
      <c r="I550" s="17"/>
      <c r="J550" s="17"/>
      <c r="K550" s="17"/>
      <c r="L550" s="17"/>
      <c r="M550" s="17"/>
      <c r="N550" s="17"/>
    </row>
    <row r="551" spans="1:14" x14ac:dyDescent="0.2">
      <c r="A551" s="115" t="str">
        <f t="shared" si="8"/>
        <v/>
      </c>
      <c r="B551" s="94"/>
      <c r="C551" s="94"/>
      <c r="D551" s="95"/>
      <c r="E551" s="95"/>
      <c r="F551" s="104"/>
      <c r="G551" s="97"/>
      <c r="H551" s="17"/>
      <c r="I551" s="17"/>
      <c r="J551" s="17"/>
      <c r="K551" s="17"/>
      <c r="L551" s="17"/>
      <c r="M551" s="17"/>
      <c r="N551" s="17"/>
    </row>
    <row r="552" spans="1:14" x14ac:dyDescent="0.2">
      <c r="A552" s="115" t="str">
        <f t="shared" si="8"/>
        <v/>
      </c>
      <c r="B552" s="94"/>
      <c r="C552" s="94"/>
      <c r="D552" s="95"/>
      <c r="E552" s="95"/>
      <c r="F552" s="104"/>
      <c r="G552" s="97"/>
      <c r="H552" s="17"/>
      <c r="I552" s="17"/>
      <c r="J552" s="17"/>
      <c r="K552" s="17"/>
      <c r="L552" s="17"/>
      <c r="M552" s="17"/>
      <c r="N552" s="17"/>
    </row>
    <row r="553" spans="1:14" x14ac:dyDescent="0.2">
      <c r="A553" s="115" t="str">
        <f t="shared" si="8"/>
        <v/>
      </c>
      <c r="B553" s="94"/>
      <c r="C553" s="94"/>
      <c r="D553" s="95"/>
      <c r="E553" s="95"/>
      <c r="F553" s="104"/>
      <c r="G553" s="97"/>
      <c r="H553" s="17"/>
      <c r="I553" s="17"/>
      <c r="J553" s="17"/>
      <c r="K553" s="17"/>
      <c r="L553" s="17"/>
      <c r="M553" s="17"/>
      <c r="N553" s="17"/>
    </row>
    <row r="554" spans="1:14" x14ac:dyDescent="0.2">
      <c r="A554" s="115" t="str">
        <f t="shared" si="8"/>
        <v/>
      </c>
      <c r="B554" s="94"/>
      <c r="C554" s="94"/>
      <c r="D554" s="95"/>
      <c r="E554" s="95"/>
      <c r="F554" s="104"/>
      <c r="G554" s="97"/>
      <c r="H554" s="17"/>
      <c r="I554" s="17"/>
      <c r="J554" s="17"/>
      <c r="K554" s="17"/>
      <c r="L554" s="17"/>
      <c r="M554" s="17"/>
      <c r="N554" s="17"/>
    </row>
    <row r="555" spans="1:14" x14ac:dyDescent="0.2">
      <c r="A555" s="115" t="str">
        <f t="shared" si="8"/>
        <v/>
      </c>
      <c r="B555" s="94"/>
      <c r="C555" s="94"/>
      <c r="D555" s="95"/>
      <c r="E555" s="95"/>
      <c r="F555" s="104"/>
      <c r="G555" s="97"/>
      <c r="H555" s="17"/>
      <c r="I555" s="17"/>
      <c r="J555" s="17"/>
      <c r="K555" s="17"/>
      <c r="L555" s="17"/>
      <c r="M555" s="17"/>
      <c r="N555" s="17"/>
    </row>
    <row r="556" spans="1:14" x14ac:dyDescent="0.2">
      <c r="A556" s="115" t="str">
        <f t="shared" si="8"/>
        <v/>
      </c>
      <c r="B556" s="94"/>
      <c r="C556" s="94"/>
      <c r="D556" s="95"/>
      <c r="E556" s="95"/>
      <c r="F556" s="104"/>
      <c r="G556" s="97"/>
      <c r="H556" s="17"/>
      <c r="I556" s="17"/>
      <c r="J556" s="17"/>
      <c r="K556" s="17"/>
      <c r="L556" s="17"/>
      <c r="M556" s="17"/>
      <c r="N556" s="17"/>
    </row>
    <row r="557" spans="1:14" x14ac:dyDescent="0.2">
      <c r="A557" s="115" t="str">
        <f t="shared" si="8"/>
        <v/>
      </c>
      <c r="B557" s="94"/>
      <c r="C557" s="94"/>
      <c r="D557" s="95"/>
      <c r="E557" s="95"/>
      <c r="F557" s="104"/>
      <c r="G557" s="97"/>
      <c r="H557" s="17"/>
      <c r="I557" s="17"/>
      <c r="J557" s="17"/>
      <c r="K557" s="17"/>
      <c r="L557" s="17"/>
      <c r="M557" s="17"/>
      <c r="N557" s="17"/>
    </row>
    <row r="558" spans="1:14" x14ac:dyDescent="0.2">
      <c r="A558" s="115" t="str">
        <f t="shared" si="8"/>
        <v/>
      </c>
      <c r="B558" s="94"/>
      <c r="C558" s="94"/>
      <c r="D558" s="95"/>
      <c r="E558" s="95"/>
      <c r="F558" s="104"/>
      <c r="G558" s="97"/>
      <c r="H558" s="17"/>
      <c r="I558" s="17"/>
      <c r="J558" s="17"/>
      <c r="K558" s="17"/>
      <c r="L558" s="17"/>
      <c r="M558" s="17"/>
      <c r="N558" s="17"/>
    </row>
    <row r="559" spans="1:14" x14ac:dyDescent="0.2">
      <c r="A559" s="115" t="str">
        <f t="shared" si="8"/>
        <v/>
      </c>
      <c r="B559" s="94"/>
      <c r="C559" s="94"/>
      <c r="D559" s="95"/>
      <c r="E559" s="95"/>
      <c r="F559" s="104"/>
      <c r="G559" s="97"/>
      <c r="H559" s="17"/>
      <c r="I559" s="17"/>
      <c r="J559" s="17"/>
      <c r="K559" s="17"/>
      <c r="L559" s="17"/>
      <c r="M559" s="17"/>
      <c r="N559" s="17"/>
    </row>
    <row r="560" spans="1:14" x14ac:dyDescent="0.2">
      <c r="A560" s="115" t="str">
        <f t="shared" si="8"/>
        <v/>
      </c>
      <c r="B560" s="94"/>
      <c r="C560" s="94"/>
      <c r="D560" s="95"/>
      <c r="E560" s="95"/>
      <c r="F560" s="104"/>
      <c r="G560" s="97"/>
      <c r="H560" s="17"/>
      <c r="I560" s="17"/>
      <c r="J560" s="17"/>
      <c r="K560" s="17"/>
      <c r="L560" s="17"/>
      <c r="M560" s="17"/>
      <c r="N560" s="17"/>
    </row>
    <row r="561" spans="1:14" x14ac:dyDescent="0.2">
      <c r="A561" s="115" t="str">
        <f t="shared" si="8"/>
        <v/>
      </c>
      <c r="B561" s="94"/>
      <c r="C561" s="94"/>
      <c r="D561" s="95"/>
      <c r="E561" s="95"/>
      <c r="F561" s="104"/>
      <c r="G561" s="97"/>
      <c r="H561" s="17"/>
      <c r="I561" s="17"/>
      <c r="J561" s="17"/>
      <c r="K561" s="17"/>
      <c r="L561" s="17"/>
      <c r="M561" s="17"/>
      <c r="N561" s="17"/>
    </row>
    <row r="562" spans="1:14" x14ac:dyDescent="0.2">
      <c r="A562" s="115" t="str">
        <f t="shared" si="8"/>
        <v/>
      </c>
      <c r="B562" s="94"/>
      <c r="C562" s="94"/>
      <c r="D562" s="95"/>
      <c r="E562" s="95"/>
      <c r="F562" s="104"/>
      <c r="G562" s="97"/>
      <c r="H562" s="17"/>
      <c r="I562" s="17"/>
      <c r="J562" s="17"/>
      <c r="K562" s="17"/>
      <c r="L562" s="17"/>
      <c r="M562" s="17"/>
      <c r="N562" s="17"/>
    </row>
    <row r="563" spans="1:14" x14ac:dyDescent="0.2">
      <c r="A563" s="115" t="str">
        <f t="shared" si="8"/>
        <v/>
      </c>
      <c r="B563" s="94"/>
      <c r="C563" s="94"/>
      <c r="D563" s="95"/>
      <c r="E563" s="95"/>
      <c r="F563" s="104"/>
      <c r="G563" s="97"/>
      <c r="H563" s="17"/>
      <c r="I563" s="17"/>
      <c r="J563" s="17"/>
      <c r="K563" s="17"/>
      <c r="L563" s="17"/>
      <c r="M563" s="17"/>
      <c r="N563" s="17"/>
    </row>
    <row r="564" spans="1:14" x14ac:dyDescent="0.2">
      <c r="A564" s="115" t="str">
        <f t="shared" si="8"/>
        <v/>
      </c>
      <c r="B564" s="94"/>
      <c r="C564" s="94"/>
      <c r="D564" s="95"/>
      <c r="E564" s="95"/>
      <c r="F564" s="104"/>
      <c r="G564" s="97"/>
      <c r="H564" s="17"/>
      <c r="I564" s="17"/>
      <c r="J564" s="17"/>
      <c r="K564" s="17"/>
      <c r="L564" s="17"/>
      <c r="M564" s="17"/>
      <c r="N564" s="17"/>
    </row>
    <row r="565" spans="1:14" x14ac:dyDescent="0.2">
      <c r="A565" s="115" t="str">
        <f t="shared" si="8"/>
        <v/>
      </c>
      <c r="B565" s="94"/>
      <c r="C565" s="94"/>
      <c r="D565" s="95"/>
      <c r="E565" s="95"/>
      <c r="F565" s="104"/>
      <c r="G565" s="97"/>
      <c r="H565" s="17"/>
      <c r="I565" s="17"/>
      <c r="J565" s="17"/>
      <c r="K565" s="17"/>
      <c r="L565" s="17"/>
      <c r="M565" s="17"/>
      <c r="N565" s="17"/>
    </row>
    <row r="566" spans="1:14" x14ac:dyDescent="0.2">
      <c r="A566" s="115" t="str">
        <f t="shared" si="8"/>
        <v/>
      </c>
      <c r="B566" s="94"/>
      <c r="C566" s="94"/>
      <c r="D566" s="95"/>
      <c r="E566" s="95"/>
      <c r="F566" s="104"/>
      <c r="G566" s="97"/>
      <c r="H566" s="17"/>
      <c r="I566" s="17"/>
      <c r="J566" s="17"/>
      <c r="K566" s="17"/>
      <c r="L566" s="17"/>
      <c r="M566" s="17"/>
      <c r="N566" s="17"/>
    </row>
    <row r="567" spans="1:14" x14ac:dyDescent="0.2">
      <c r="A567" s="115" t="str">
        <f t="shared" si="8"/>
        <v/>
      </c>
      <c r="B567" s="94"/>
      <c r="C567" s="94"/>
      <c r="D567" s="95"/>
      <c r="E567" s="95"/>
      <c r="F567" s="104"/>
      <c r="G567" s="97"/>
      <c r="H567" s="17"/>
      <c r="I567" s="17"/>
      <c r="J567" s="17"/>
      <c r="K567" s="17"/>
      <c r="L567" s="17"/>
      <c r="M567" s="17"/>
      <c r="N567" s="17"/>
    </row>
    <row r="568" spans="1:14" x14ac:dyDescent="0.2">
      <c r="A568" s="115" t="str">
        <f t="shared" si="8"/>
        <v/>
      </c>
      <c r="B568" s="94"/>
      <c r="C568" s="94"/>
      <c r="D568" s="95"/>
      <c r="E568" s="95"/>
      <c r="F568" s="104"/>
      <c r="G568" s="97"/>
      <c r="H568" s="17"/>
      <c r="I568" s="17"/>
      <c r="J568" s="17"/>
      <c r="K568" s="17"/>
      <c r="L568" s="17"/>
      <c r="M568" s="17"/>
      <c r="N568" s="17"/>
    </row>
    <row r="569" spans="1:14" x14ac:dyDescent="0.2">
      <c r="A569" s="115" t="str">
        <f t="shared" si="8"/>
        <v/>
      </c>
      <c r="B569" s="94"/>
      <c r="C569" s="94"/>
      <c r="D569" s="95"/>
      <c r="E569" s="95"/>
      <c r="F569" s="104"/>
      <c r="G569" s="97"/>
      <c r="H569" s="17"/>
      <c r="I569" s="17"/>
      <c r="J569" s="17"/>
      <c r="K569" s="17"/>
      <c r="L569" s="17"/>
      <c r="M569" s="17"/>
      <c r="N569" s="17"/>
    </row>
    <row r="570" spans="1:14" x14ac:dyDescent="0.2">
      <c r="A570" s="115" t="str">
        <f t="shared" si="8"/>
        <v/>
      </c>
      <c r="B570" s="94"/>
      <c r="C570" s="94"/>
      <c r="D570" s="95"/>
      <c r="E570" s="95"/>
      <c r="F570" s="104"/>
      <c r="G570" s="97"/>
      <c r="H570" s="17"/>
      <c r="I570" s="17"/>
      <c r="J570" s="17"/>
      <c r="K570" s="17"/>
      <c r="L570" s="17"/>
      <c r="M570" s="17"/>
      <c r="N570" s="17"/>
    </row>
    <row r="571" spans="1:14" x14ac:dyDescent="0.2">
      <c r="A571" s="115" t="str">
        <f t="shared" si="8"/>
        <v/>
      </c>
      <c r="B571" s="94"/>
      <c r="C571" s="94"/>
      <c r="D571" s="95"/>
      <c r="E571" s="95"/>
      <c r="F571" s="104"/>
      <c r="G571" s="97"/>
      <c r="H571" s="17"/>
      <c r="I571" s="17"/>
      <c r="J571" s="17"/>
      <c r="K571" s="17"/>
      <c r="L571" s="17"/>
      <c r="M571" s="17"/>
      <c r="N571" s="17"/>
    </row>
    <row r="572" spans="1:14" x14ac:dyDescent="0.2">
      <c r="A572" s="115" t="str">
        <f t="shared" si="8"/>
        <v/>
      </c>
      <c r="B572" s="94"/>
      <c r="C572" s="94"/>
      <c r="D572" s="95"/>
      <c r="E572" s="95"/>
      <c r="F572" s="104"/>
      <c r="G572" s="97"/>
      <c r="H572" s="17"/>
      <c r="I572" s="17"/>
      <c r="J572" s="17"/>
      <c r="K572" s="17"/>
      <c r="L572" s="17"/>
      <c r="M572" s="17"/>
      <c r="N572" s="17"/>
    </row>
    <row r="573" spans="1:14" x14ac:dyDescent="0.2">
      <c r="A573" s="115" t="str">
        <f t="shared" si="8"/>
        <v/>
      </c>
      <c r="B573" s="94"/>
      <c r="C573" s="94"/>
      <c r="D573" s="95"/>
      <c r="E573" s="95"/>
      <c r="F573" s="104"/>
      <c r="G573" s="97"/>
      <c r="H573" s="17"/>
      <c r="I573" s="17"/>
      <c r="J573" s="17"/>
      <c r="K573" s="17"/>
      <c r="L573" s="17"/>
      <c r="M573" s="17"/>
      <c r="N573" s="17"/>
    </row>
    <row r="574" spans="1:14" x14ac:dyDescent="0.2">
      <c r="A574" s="115" t="str">
        <f t="shared" si="8"/>
        <v/>
      </c>
      <c r="B574" s="94"/>
      <c r="C574" s="94"/>
      <c r="D574" s="95"/>
      <c r="E574" s="95"/>
      <c r="F574" s="104"/>
      <c r="G574" s="97"/>
      <c r="H574" s="17"/>
      <c r="I574" s="17"/>
      <c r="J574" s="17"/>
      <c r="K574" s="17"/>
      <c r="L574" s="17"/>
      <c r="M574" s="17"/>
      <c r="N574" s="17"/>
    </row>
    <row r="575" spans="1:14" x14ac:dyDescent="0.2">
      <c r="A575" s="115" t="str">
        <f t="shared" si="8"/>
        <v/>
      </c>
      <c r="B575" s="94"/>
      <c r="C575" s="94"/>
      <c r="D575" s="95"/>
      <c r="E575" s="95"/>
      <c r="F575" s="104"/>
      <c r="G575" s="97"/>
      <c r="H575" s="17"/>
      <c r="I575" s="17"/>
      <c r="J575" s="17"/>
      <c r="K575" s="17"/>
      <c r="L575" s="17"/>
      <c r="M575" s="17"/>
      <c r="N575" s="17"/>
    </row>
    <row r="576" spans="1:14" x14ac:dyDescent="0.2">
      <c r="A576" s="115" t="str">
        <f t="shared" si="8"/>
        <v/>
      </c>
      <c r="B576" s="94"/>
      <c r="C576" s="94"/>
      <c r="D576" s="95"/>
      <c r="E576" s="95"/>
      <c r="F576" s="104"/>
      <c r="G576" s="97"/>
      <c r="H576" s="17"/>
      <c r="I576" s="17"/>
      <c r="J576" s="17"/>
      <c r="K576" s="17"/>
      <c r="L576" s="17"/>
      <c r="M576" s="17"/>
      <c r="N576" s="17"/>
    </row>
    <row r="577" spans="1:14" x14ac:dyDescent="0.2">
      <c r="A577" s="115" t="str">
        <f t="shared" si="8"/>
        <v/>
      </c>
      <c r="B577" s="94"/>
      <c r="C577" s="94"/>
      <c r="D577" s="95"/>
      <c r="E577" s="95"/>
      <c r="F577" s="104"/>
      <c r="G577" s="97"/>
      <c r="H577" s="17"/>
      <c r="I577" s="17"/>
      <c r="J577" s="17"/>
      <c r="K577" s="17"/>
      <c r="L577" s="17"/>
      <c r="M577" s="17"/>
      <c r="N577" s="17"/>
    </row>
    <row r="578" spans="1:14" x14ac:dyDescent="0.2">
      <c r="A578" s="115" t="str">
        <f t="shared" si="8"/>
        <v/>
      </c>
      <c r="B578" s="94"/>
      <c r="C578" s="94"/>
      <c r="D578" s="95"/>
      <c r="E578" s="95"/>
      <c r="F578" s="104"/>
      <c r="G578" s="97"/>
      <c r="H578" s="17"/>
      <c r="I578" s="17"/>
      <c r="J578" s="17"/>
      <c r="K578" s="17"/>
      <c r="L578" s="17"/>
      <c r="M578" s="17"/>
      <c r="N578" s="17"/>
    </row>
    <row r="579" spans="1:14" x14ac:dyDescent="0.2">
      <c r="A579" s="115" t="str">
        <f t="shared" si="8"/>
        <v/>
      </c>
      <c r="B579" s="94"/>
      <c r="C579" s="94"/>
      <c r="D579" s="95"/>
      <c r="E579" s="95"/>
      <c r="F579" s="104"/>
      <c r="G579" s="97"/>
      <c r="H579" s="17"/>
      <c r="I579" s="17"/>
      <c r="J579" s="17"/>
      <c r="K579" s="17"/>
      <c r="L579" s="17"/>
      <c r="M579" s="17"/>
      <c r="N579" s="17"/>
    </row>
    <row r="580" spans="1:14" x14ac:dyDescent="0.2">
      <c r="A580" s="115" t="str">
        <f t="shared" si="8"/>
        <v/>
      </c>
      <c r="B580" s="94"/>
      <c r="C580" s="94"/>
      <c r="D580" s="95"/>
      <c r="E580" s="95"/>
      <c r="F580" s="104"/>
      <c r="G580" s="97"/>
      <c r="H580" s="17"/>
      <c r="I580" s="17"/>
      <c r="J580" s="17"/>
      <c r="K580" s="17"/>
      <c r="L580" s="17"/>
      <c r="M580" s="17"/>
      <c r="N580" s="17"/>
    </row>
  </sheetData>
  <sheetProtection formatCells="0" formatColumns="0" formatRows="0" insertRows="0" deleteRows="0" sort="0" autoFilter="0"/>
  <phoneticPr fontId="11" type="noConversion"/>
  <conditionalFormatting sqref="A33:A580">
    <cfRule type="expression" dxfId="212" priority="1">
      <formula>AND(A33=A32, B33&lt;&gt;"")</formula>
    </cfRule>
  </conditionalFormatting>
  <hyperlinks>
    <hyperlink ref="K1" location="Index!A1" display="→ Index" xr:uid="{EDCD229D-B885-104F-BDFE-6375F023C2FC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2D74-10DC-5147-8AE8-65CC32473B06}">
  <sheetPr codeName="Sheet28"/>
  <dimension ref="A1:K46"/>
  <sheetViews>
    <sheetView workbookViewId="0">
      <selection activeCell="K1" sqref="K1"/>
    </sheetView>
  </sheetViews>
  <sheetFormatPr baseColWidth="10" defaultColWidth="10.83203125" defaultRowHeight="16" x14ac:dyDescent="0.2"/>
  <cols>
    <col min="2" max="2" width="12.1640625" customWidth="1"/>
    <col min="3" max="3" width="20.5" customWidth="1"/>
    <col min="4" max="4" width="12.6640625" customWidth="1"/>
    <col min="5" max="5" width="42" customWidth="1"/>
  </cols>
  <sheetData>
    <row r="1" spans="1:11" ht="20" x14ac:dyDescent="0.2">
      <c r="A1" s="143" t="s">
        <v>6</v>
      </c>
      <c r="B1" s="144" t="s">
        <v>0</v>
      </c>
      <c r="C1" s="144" t="s">
        <v>1245</v>
      </c>
      <c r="D1" s="145" t="s">
        <v>4</v>
      </c>
      <c r="E1" s="146" t="s">
        <v>5</v>
      </c>
      <c r="F1" s="17"/>
      <c r="G1" s="17"/>
      <c r="H1" s="17"/>
      <c r="I1" s="17"/>
      <c r="J1" s="17"/>
      <c r="K1" s="18" t="s">
        <v>1288</v>
      </c>
    </row>
    <row r="2" spans="1:11" ht="18" x14ac:dyDescent="0.2">
      <c r="A2" s="147">
        <v>46123</v>
      </c>
      <c r="B2" s="117" t="s">
        <v>2063</v>
      </c>
      <c r="C2" s="117" t="s">
        <v>2064</v>
      </c>
      <c r="D2" s="117">
        <v>5330</v>
      </c>
      <c r="E2" s="117" t="s">
        <v>51</v>
      </c>
      <c r="F2" s="17"/>
      <c r="G2" s="17"/>
      <c r="H2" s="17"/>
      <c r="I2" s="17"/>
      <c r="J2" s="17"/>
      <c r="K2" s="17"/>
    </row>
    <row r="3" spans="1:11" ht="18" x14ac:dyDescent="0.2">
      <c r="A3" s="147">
        <v>46129</v>
      </c>
      <c r="B3" s="117" t="s">
        <v>2288</v>
      </c>
      <c r="C3" s="117"/>
      <c r="D3" s="117">
        <v>5675</v>
      </c>
      <c r="E3" s="117" t="s">
        <v>1804</v>
      </c>
      <c r="F3" s="17"/>
      <c r="G3" s="17"/>
      <c r="H3" s="17"/>
      <c r="I3" s="17"/>
      <c r="J3" s="17"/>
      <c r="K3" s="17"/>
    </row>
    <row r="4" spans="1:11" ht="18" x14ac:dyDescent="0.2">
      <c r="A4" s="147">
        <v>46129</v>
      </c>
      <c r="B4" s="117" t="s">
        <v>2289</v>
      </c>
      <c r="C4" s="117"/>
      <c r="D4" s="117">
        <v>1850</v>
      </c>
      <c r="E4" s="117" t="s">
        <v>1804</v>
      </c>
      <c r="F4" s="17"/>
      <c r="G4" s="17"/>
      <c r="H4" s="17"/>
      <c r="I4" s="17"/>
      <c r="J4" s="17"/>
      <c r="K4" s="17"/>
    </row>
    <row r="5" spans="1:11" ht="18" x14ac:dyDescent="0.2">
      <c r="A5" s="147">
        <v>46141</v>
      </c>
      <c r="B5" s="117" t="s">
        <v>2290</v>
      </c>
      <c r="C5" s="117"/>
      <c r="D5" s="117">
        <v>44014</v>
      </c>
      <c r="E5" s="117" t="s">
        <v>1880</v>
      </c>
      <c r="F5" s="17"/>
      <c r="G5" s="17"/>
      <c r="H5" s="17"/>
      <c r="I5" s="17"/>
      <c r="J5" s="17"/>
      <c r="K5" s="17"/>
    </row>
    <row r="6" spans="1:11" ht="18" x14ac:dyDescent="0.2">
      <c r="A6" s="147">
        <v>46141</v>
      </c>
      <c r="B6" s="117" t="s">
        <v>2291</v>
      </c>
      <c r="C6" s="117"/>
      <c r="D6" s="117">
        <v>44014</v>
      </c>
      <c r="E6" s="117" t="s">
        <v>1880</v>
      </c>
      <c r="F6" s="17"/>
      <c r="G6" s="17"/>
      <c r="H6" s="17"/>
      <c r="I6" s="17"/>
      <c r="J6" s="17"/>
      <c r="K6" s="17"/>
    </row>
    <row r="7" spans="1:11" ht="18" x14ac:dyDescent="0.2">
      <c r="A7" s="147">
        <v>46141</v>
      </c>
      <c r="B7" s="117" t="s">
        <v>2292</v>
      </c>
      <c r="C7" s="117"/>
      <c r="D7" s="117">
        <v>40800</v>
      </c>
      <c r="E7" s="117" t="s">
        <v>1880</v>
      </c>
      <c r="F7" s="17"/>
      <c r="G7" s="17"/>
      <c r="H7" s="17"/>
      <c r="I7" s="17"/>
      <c r="J7" s="17"/>
      <c r="K7" s="17"/>
    </row>
    <row r="8" spans="1:11" ht="18" x14ac:dyDescent="0.2">
      <c r="A8" s="147">
        <v>46141</v>
      </c>
      <c r="B8" s="117" t="s">
        <v>2293</v>
      </c>
      <c r="C8" s="117"/>
      <c r="D8" s="117">
        <v>36720</v>
      </c>
      <c r="E8" s="117" t="s">
        <v>1880</v>
      </c>
      <c r="F8" s="17"/>
      <c r="G8" s="17"/>
      <c r="H8" s="17"/>
      <c r="I8" s="17"/>
      <c r="J8" s="17"/>
      <c r="K8" s="17"/>
    </row>
    <row r="9" spans="1:11" ht="18" x14ac:dyDescent="0.2">
      <c r="A9" s="147">
        <v>46153</v>
      </c>
      <c r="B9" s="117" t="s">
        <v>2294</v>
      </c>
      <c r="C9" s="117" t="s">
        <v>1278</v>
      </c>
      <c r="D9" s="117">
        <v>1300</v>
      </c>
      <c r="E9" s="117" t="s">
        <v>714</v>
      </c>
      <c r="F9" s="17"/>
      <c r="G9" s="17"/>
      <c r="H9" s="17"/>
      <c r="I9" s="17"/>
      <c r="J9" s="17"/>
      <c r="K9" s="17"/>
    </row>
    <row r="10" spans="1:11" ht="18" x14ac:dyDescent="0.2">
      <c r="A10" s="147">
        <v>46154</v>
      </c>
      <c r="B10" s="117" t="s">
        <v>2295</v>
      </c>
      <c r="C10" s="117" t="s">
        <v>1278</v>
      </c>
      <c r="D10" s="117">
        <v>2600</v>
      </c>
      <c r="E10" s="117" t="s">
        <v>714</v>
      </c>
      <c r="F10" s="17"/>
      <c r="G10" s="17"/>
      <c r="H10" s="17"/>
      <c r="I10" s="17"/>
      <c r="J10" s="17"/>
      <c r="K10" s="17"/>
    </row>
    <row r="11" spans="1:11" ht="18" x14ac:dyDescent="0.2">
      <c r="A11" s="147">
        <v>46161</v>
      </c>
      <c r="B11" s="117" t="s">
        <v>2296</v>
      </c>
      <c r="C11" s="117"/>
      <c r="D11" s="117">
        <v>5675</v>
      </c>
      <c r="E11" s="117" t="s">
        <v>1804</v>
      </c>
      <c r="F11" s="17"/>
      <c r="G11" s="17"/>
      <c r="H11" s="17"/>
      <c r="I11" s="17"/>
      <c r="J11" s="17"/>
      <c r="K11" s="17"/>
    </row>
    <row r="12" spans="1:11" ht="18" x14ac:dyDescent="0.2">
      <c r="A12" s="147">
        <v>46162</v>
      </c>
      <c r="B12" s="117" t="s">
        <v>2297</v>
      </c>
      <c r="C12" s="117" t="s">
        <v>1278</v>
      </c>
      <c r="D12" s="117">
        <v>1300</v>
      </c>
      <c r="E12" s="117" t="s">
        <v>714</v>
      </c>
      <c r="F12" s="17"/>
      <c r="G12" s="17"/>
      <c r="H12" s="17"/>
      <c r="I12" s="17"/>
      <c r="J12" s="17"/>
      <c r="K12" s="17"/>
    </row>
    <row r="13" spans="1:11" ht="18" x14ac:dyDescent="0.2">
      <c r="A13" s="147">
        <v>46174</v>
      </c>
      <c r="B13" s="117" t="s">
        <v>1277</v>
      </c>
      <c r="C13" s="117" t="s">
        <v>1278</v>
      </c>
      <c r="D13" s="117">
        <v>3900</v>
      </c>
      <c r="E13" s="117" t="s">
        <v>714</v>
      </c>
      <c r="F13" s="17"/>
      <c r="G13" s="17"/>
      <c r="H13" s="17"/>
      <c r="I13" s="17"/>
      <c r="J13" s="17"/>
      <c r="K13" s="17"/>
    </row>
    <row r="14" spans="1:11" ht="18" x14ac:dyDescent="0.2">
      <c r="A14" s="147">
        <v>46175</v>
      </c>
      <c r="B14" s="117" t="s">
        <v>2298</v>
      </c>
      <c r="C14" s="117" t="s">
        <v>1278</v>
      </c>
      <c r="D14" s="117">
        <v>6000</v>
      </c>
      <c r="E14" s="117" t="s">
        <v>52</v>
      </c>
      <c r="F14" s="17"/>
      <c r="G14" s="17"/>
      <c r="H14" s="17"/>
      <c r="I14" s="17"/>
      <c r="J14" s="17"/>
      <c r="K14" s="17"/>
    </row>
    <row r="15" spans="1:11" ht="18" x14ac:dyDescent="0.2">
      <c r="A15" s="147">
        <v>46201</v>
      </c>
      <c r="B15" s="117" t="s">
        <v>2299</v>
      </c>
      <c r="C15" s="117"/>
      <c r="D15" s="117">
        <v>3195</v>
      </c>
      <c r="E15" s="117" t="s">
        <v>2309</v>
      </c>
      <c r="F15" s="17"/>
      <c r="G15" s="17"/>
      <c r="H15" s="17"/>
      <c r="I15" s="17"/>
      <c r="J15" s="17"/>
      <c r="K15" s="17"/>
    </row>
    <row r="16" spans="1:11" ht="18" x14ac:dyDescent="0.2">
      <c r="A16" s="147">
        <v>46201</v>
      </c>
      <c r="B16" s="117" t="s">
        <v>2300</v>
      </c>
      <c r="C16" s="117"/>
      <c r="D16" s="117">
        <v>1501</v>
      </c>
      <c r="E16" s="117" t="s">
        <v>2309</v>
      </c>
      <c r="F16" s="17"/>
      <c r="G16" s="17"/>
      <c r="H16" s="17"/>
      <c r="I16" s="17"/>
      <c r="J16" s="17"/>
      <c r="K16" s="17"/>
    </row>
    <row r="17" spans="1:11" ht="18" x14ac:dyDescent="0.2">
      <c r="A17" s="147">
        <v>46201</v>
      </c>
      <c r="B17" s="117" t="s">
        <v>2301</v>
      </c>
      <c r="C17" s="117"/>
      <c r="D17" s="117">
        <v>8096</v>
      </c>
      <c r="E17" s="117" t="s">
        <v>2309</v>
      </c>
      <c r="F17" s="17"/>
      <c r="G17" s="17"/>
      <c r="H17" s="17"/>
      <c r="I17" s="17"/>
      <c r="J17" s="17"/>
      <c r="K17" s="17"/>
    </row>
    <row r="18" spans="1:11" ht="18" x14ac:dyDescent="0.2">
      <c r="A18" s="147">
        <v>46201</v>
      </c>
      <c r="B18" s="117" t="s">
        <v>2302</v>
      </c>
      <c r="C18" s="117"/>
      <c r="D18" s="117">
        <v>3972</v>
      </c>
      <c r="E18" s="117" t="s">
        <v>2309</v>
      </c>
      <c r="F18" s="17"/>
      <c r="G18" s="17"/>
      <c r="H18" s="17"/>
      <c r="I18" s="17"/>
      <c r="J18" s="17"/>
      <c r="K18" s="17"/>
    </row>
    <row r="19" spans="1:11" ht="18" x14ac:dyDescent="0.2">
      <c r="A19" s="147">
        <v>46201</v>
      </c>
      <c r="B19" s="117" t="s">
        <v>2303</v>
      </c>
      <c r="C19" s="117"/>
      <c r="D19" s="117">
        <v>2575</v>
      </c>
      <c r="E19" s="117" t="s">
        <v>2309</v>
      </c>
      <c r="F19" s="17"/>
      <c r="G19" s="17"/>
      <c r="H19" s="17"/>
      <c r="I19" s="17"/>
      <c r="J19" s="17"/>
      <c r="K19" s="17"/>
    </row>
    <row r="20" spans="1:11" ht="18" x14ac:dyDescent="0.2">
      <c r="A20" s="147">
        <v>46201</v>
      </c>
      <c r="B20" s="117" t="s">
        <v>2304</v>
      </c>
      <c r="C20" s="117"/>
      <c r="D20" s="117">
        <v>11970</v>
      </c>
      <c r="E20" s="117" t="s">
        <v>2309</v>
      </c>
      <c r="F20" s="17"/>
      <c r="G20" s="17"/>
      <c r="H20" s="17"/>
      <c r="I20" s="17"/>
      <c r="J20" s="17"/>
      <c r="K20" s="17"/>
    </row>
    <row r="21" spans="1:11" ht="18" x14ac:dyDescent="0.2">
      <c r="A21" s="147">
        <v>46201</v>
      </c>
      <c r="B21" s="117" t="s">
        <v>2305</v>
      </c>
      <c r="C21" s="117"/>
      <c r="D21" s="117">
        <v>3492</v>
      </c>
      <c r="E21" s="117" t="s">
        <v>2309</v>
      </c>
      <c r="F21" s="17"/>
      <c r="G21" s="17"/>
      <c r="H21" s="17"/>
      <c r="I21" s="17"/>
      <c r="J21" s="17"/>
      <c r="K21" s="17"/>
    </row>
    <row r="22" spans="1:11" ht="18" x14ac:dyDescent="0.2">
      <c r="A22" s="147">
        <v>46201</v>
      </c>
      <c r="B22" s="117" t="s">
        <v>2306</v>
      </c>
      <c r="C22" s="117"/>
      <c r="D22" s="117">
        <v>3363</v>
      </c>
      <c r="E22" s="117" t="s">
        <v>2309</v>
      </c>
      <c r="F22" s="17"/>
      <c r="G22" s="17"/>
      <c r="H22" s="17"/>
      <c r="I22" s="17"/>
      <c r="J22" s="17"/>
      <c r="K22" s="17"/>
    </row>
    <row r="23" spans="1:11" ht="18" x14ac:dyDescent="0.2">
      <c r="A23" s="147">
        <v>46201</v>
      </c>
      <c r="B23" s="117" t="s">
        <v>2307</v>
      </c>
      <c r="C23" s="117"/>
      <c r="D23" s="117">
        <v>1896</v>
      </c>
      <c r="E23" s="117" t="s">
        <v>2309</v>
      </c>
      <c r="F23" s="17"/>
      <c r="G23" s="17"/>
      <c r="H23" s="17"/>
      <c r="I23" s="17"/>
      <c r="J23" s="17"/>
      <c r="K23" s="17"/>
    </row>
    <row r="24" spans="1:11" ht="18" x14ac:dyDescent="0.2">
      <c r="A24" s="147">
        <v>46201</v>
      </c>
      <c r="B24" s="117" t="s">
        <v>2308</v>
      </c>
      <c r="C24" s="117"/>
      <c r="D24" s="117">
        <v>5780</v>
      </c>
      <c r="E24" s="117" t="s">
        <v>2309</v>
      </c>
      <c r="F24" s="17"/>
      <c r="G24" s="17"/>
      <c r="H24" s="17"/>
      <c r="I24" s="17"/>
      <c r="J24" s="17"/>
      <c r="K24" s="17"/>
    </row>
    <row r="25" spans="1:11" ht="18" x14ac:dyDescent="0.2">
      <c r="A25" s="117"/>
      <c r="B25" s="117"/>
      <c r="C25" s="117"/>
      <c r="D25" s="117"/>
      <c r="E25" s="117"/>
      <c r="F25" s="17"/>
      <c r="G25" s="17"/>
      <c r="H25" s="17"/>
      <c r="I25" s="17"/>
      <c r="J25" s="17"/>
      <c r="K25" s="17"/>
    </row>
    <row r="26" spans="1:11" ht="18" x14ac:dyDescent="0.2">
      <c r="A26" s="117"/>
      <c r="B26" s="117"/>
      <c r="C26" s="117"/>
      <c r="D26" s="117"/>
      <c r="E26" s="117"/>
      <c r="F26" s="17"/>
      <c r="G26" s="17"/>
      <c r="H26" s="17"/>
      <c r="I26" s="17"/>
      <c r="J26" s="17"/>
      <c r="K26" s="17"/>
    </row>
    <row r="27" spans="1:11" ht="18" x14ac:dyDescent="0.2">
      <c r="A27" s="117"/>
      <c r="B27" s="117"/>
      <c r="C27" s="117"/>
      <c r="D27" s="117"/>
      <c r="E27" s="117"/>
      <c r="F27" s="17"/>
      <c r="G27" s="17"/>
      <c r="H27" s="17"/>
      <c r="I27" s="17"/>
      <c r="J27" s="17"/>
      <c r="K27" s="17"/>
    </row>
    <row r="28" spans="1:11" ht="18" x14ac:dyDescent="0.2">
      <c r="A28" s="117"/>
      <c r="B28" s="117"/>
      <c r="C28" s="117"/>
      <c r="D28" s="117"/>
      <c r="E28" s="117"/>
      <c r="F28" s="17"/>
      <c r="G28" s="17"/>
      <c r="H28" s="17"/>
      <c r="I28" s="17"/>
      <c r="J28" s="17"/>
      <c r="K28" s="17"/>
    </row>
    <row r="29" spans="1:11" ht="18" x14ac:dyDescent="0.2">
      <c r="A29" s="117"/>
      <c r="B29" s="117"/>
      <c r="C29" s="117"/>
      <c r="D29" s="117"/>
      <c r="E29" s="117"/>
      <c r="F29" s="17"/>
      <c r="G29" s="17"/>
      <c r="H29" s="17"/>
      <c r="I29" s="17"/>
      <c r="J29" s="17"/>
      <c r="K29" s="17"/>
    </row>
    <row r="30" spans="1:11" ht="18" x14ac:dyDescent="0.2">
      <c r="A30" s="117"/>
      <c r="B30" s="117"/>
      <c r="C30" s="117"/>
      <c r="D30" s="117"/>
      <c r="E30" s="117"/>
      <c r="F30" s="17"/>
      <c r="G30" s="17"/>
      <c r="H30" s="17"/>
      <c r="I30" s="17"/>
      <c r="J30" s="17"/>
      <c r="K30" s="17"/>
    </row>
    <row r="31" spans="1:11" ht="18" x14ac:dyDescent="0.2">
      <c r="A31" s="117"/>
      <c r="B31" s="117"/>
      <c r="C31" s="117"/>
      <c r="D31" s="117"/>
      <c r="E31" s="117"/>
      <c r="F31" s="17"/>
      <c r="G31" s="17"/>
      <c r="H31" s="17"/>
      <c r="I31" s="17"/>
      <c r="J31" s="17"/>
      <c r="K31" s="17"/>
    </row>
    <row r="32" spans="1:11" ht="18" x14ac:dyDescent="0.2">
      <c r="A32" s="117"/>
      <c r="B32" s="117"/>
      <c r="C32" s="117"/>
      <c r="D32" s="117"/>
      <c r="E32" s="117"/>
      <c r="F32" s="17"/>
      <c r="G32" s="17"/>
      <c r="H32" s="17"/>
      <c r="I32" s="17"/>
      <c r="J32" s="17"/>
      <c r="K32" s="17"/>
    </row>
    <row r="33" spans="1:11" ht="18" x14ac:dyDescent="0.2">
      <c r="A33" s="117"/>
      <c r="B33" s="117"/>
      <c r="C33" s="117"/>
      <c r="D33" s="117"/>
      <c r="E33" s="117"/>
      <c r="F33" s="17"/>
      <c r="G33" s="17"/>
      <c r="H33" s="17"/>
      <c r="I33" s="17"/>
      <c r="J33" s="17"/>
      <c r="K33" s="17"/>
    </row>
    <row r="34" spans="1:11" ht="18" x14ac:dyDescent="0.2">
      <c r="A34" s="117"/>
      <c r="B34" s="117"/>
      <c r="C34" s="117"/>
      <c r="D34" s="117"/>
      <c r="E34" s="117"/>
      <c r="F34" s="17"/>
      <c r="G34" s="17"/>
      <c r="H34" s="17"/>
      <c r="I34" s="17"/>
      <c r="J34" s="17"/>
      <c r="K34" s="17"/>
    </row>
    <row r="35" spans="1:11" ht="18" x14ac:dyDescent="0.2">
      <c r="A35" s="117"/>
      <c r="B35" s="117"/>
      <c r="C35" s="117"/>
      <c r="D35" s="117"/>
      <c r="E35" s="117"/>
      <c r="F35" s="17"/>
      <c r="G35" s="17"/>
      <c r="H35" s="17"/>
      <c r="I35" s="17"/>
      <c r="J35" s="17"/>
      <c r="K35" s="17"/>
    </row>
    <row r="36" spans="1:11" ht="18" x14ac:dyDescent="0.2">
      <c r="A36" s="117"/>
      <c r="B36" s="117"/>
      <c r="C36" s="117"/>
      <c r="D36" s="117"/>
      <c r="E36" s="117"/>
      <c r="F36" s="17"/>
      <c r="G36" s="17"/>
      <c r="H36" s="17"/>
      <c r="I36" s="17"/>
      <c r="J36" s="17"/>
      <c r="K36" s="17"/>
    </row>
    <row r="37" spans="1:11" ht="18" x14ac:dyDescent="0.2">
      <c r="A37" s="117"/>
      <c r="B37" s="117"/>
      <c r="C37" s="117"/>
      <c r="D37" s="117"/>
      <c r="E37" s="117"/>
      <c r="F37" s="17"/>
      <c r="G37" s="17"/>
      <c r="H37" s="17"/>
      <c r="I37" s="17"/>
      <c r="J37" s="17"/>
      <c r="K37" s="17"/>
    </row>
    <row r="38" spans="1:11" ht="18" x14ac:dyDescent="0.2">
      <c r="A38" s="117"/>
      <c r="B38" s="117"/>
      <c r="C38" s="117"/>
      <c r="D38" s="117"/>
      <c r="E38" s="117"/>
      <c r="F38" s="17"/>
      <c r="G38" s="17"/>
      <c r="H38" s="17"/>
      <c r="I38" s="17"/>
      <c r="J38" s="17"/>
      <c r="K38" s="17"/>
    </row>
    <row r="39" spans="1:11" ht="18" x14ac:dyDescent="0.2">
      <c r="A39" s="117"/>
      <c r="B39" s="117"/>
      <c r="C39" s="117"/>
      <c r="D39" s="117"/>
      <c r="E39" s="117"/>
      <c r="F39" s="17"/>
      <c r="G39" s="17"/>
      <c r="H39" s="17"/>
      <c r="I39" s="17"/>
      <c r="J39" s="17"/>
      <c r="K39" s="17"/>
    </row>
    <row r="40" spans="1:11" ht="18" x14ac:dyDescent="0.2">
      <c r="A40" s="117"/>
      <c r="B40" s="117"/>
      <c r="C40" s="117"/>
      <c r="D40" s="117"/>
      <c r="E40" s="117"/>
      <c r="F40" s="17"/>
      <c r="G40" s="17"/>
      <c r="H40" s="17"/>
      <c r="I40" s="17"/>
      <c r="J40" s="17"/>
      <c r="K40" s="17"/>
    </row>
    <row r="41" spans="1:11" ht="18" x14ac:dyDescent="0.2">
      <c r="A41" s="117"/>
      <c r="B41" s="117"/>
      <c r="C41" s="117"/>
      <c r="D41" s="117"/>
      <c r="E41" s="117"/>
      <c r="F41" s="17"/>
      <c r="G41" s="17"/>
      <c r="H41" s="17"/>
      <c r="I41" s="17"/>
      <c r="J41" s="17"/>
      <c r="K41" s="17"/>
    </row>
    <row r="42" spans="1:11" ht="18" x14ac:dyDescent="0.2">
      <c r="A42" s="117"/>
      <c r="B42" s="117"/>
      <c r="C42" s="117"/>
      <c r="D42" s="117"/>
      <c r="E42" s="117"/>
      <c r="F42" s="17"/>
      <c r="G42" s="17"/>
      <c r="H42" s="17"/>
      <c r="I42" s="17"/>
      <c r="J42" s="17"/>
      <c r="K42" s="17"/>
    </row>
    <row r="43" spans="1:11" ht="18" x14ac:dyDescent="0.2">
      <c r="A43" s="117"/>
      <c r="B43" s="117"/>
      <c r="C43" s="117"/>
      <c r="D43" s="117"/>
      <c r="E43" s="117"/>
      <c r="F43" s="17"/>
      <c r="G43" s="17"/>
      <c r="H43" s="17"/>
      <c r="I43" s="17"/>
      <c r="J43" s="17"/>
      <c r="K43" s="17"/>
    </row>
    <row r="44" spans="1:11" ht="18" x14ac:dyDescent="0.2">
      <c r="A44" s="117"/>
      <c r="B44" s="117"/>
      <c r="C44" s="117"/>
      <c r="D44" s="117"/>
      <c r="E44" s="117"/>
      <c r="F44" s="17"/>
      <c r="G44" s="17"/>
      <c r="H44" s="17"/>
      <c r="I44" s="17"/>
      <c r="J44" s="17"/>
      <c r="K44" s="17"/>
    </row>
    <row r="45" spans="1:11" ht="18" x14ac:dyDescent="0.2">
      <c r="A45" s="117"/>
      <c r="B45" s="117"/>
      <c r="C45" s="117"/>
      <c r="D45" s="117"/>
      <c r="E45" s="117"/>
      <c r="F45" s="17"/>
      <c r="G45" s="17"/>
      <c r="H45" s="17"/>
      <c r="I45" s="17"/>
      <c r="J45" s="17"/>
      <c r="K45" s="17"/>
    </row>
    <row r="46" spans="1:11" ht="18" x14ac:dyDescent="0.2">
      <c r="A46" s="117"/>
      <c r="B46" s="117"/>
      <c r="C46" s="117"/>
      <c r="D46" s="117"/>
      <c r="E46" s="117"/>
      <c r="F46" s="17"/>
      <c r="G46" s="17"/>
      <c r="H46" s="17"/>
      <c r="I46" s="17"/>
      <c r="J46" s="17"/>
      <c r="K46" s="17"/>
    </row>
  </sheetData>
  <sheetProtection formatCells="0" formatColumns="0" formatRows="0" insertRows="0" deleteRows="0" sort="0" autoFilter="0"/>
  <hyperlinks>
    <hyperlink ref="K1" location="Index!A1" display="→ Index" xr:uid="{50BB900A-C2F4-B24A-949A-FC648E4A3113}"/>
  </hyperlinks>
  <pageMargins left="0.7" right="0.7" top="0.75" bottom="0.75" header="0.3" footer="0.3"/>
  <pageSetup paperSize="9" orientation="portrait" horizontalDpi="0" verticalDpi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BEA84-F2C0-8E42-BC18-0992A9479432}">
  <sheetPr codeName="Sheet29"/>
  <dimension ref="A1:N71"/>
  <sheetViews>
    <sheetView zoomScale="121" zoomScaleNormal="140" workbookViewId="0">
      <selection activeCell="B10" sqref="B10"/>
    </sheetView>
  </sheetViews>
  <sheetFormatPr baseColWidth="10" defaultColWidth="10.83203125" defaultRowHeight="16" x14ac:dyDescent="0.2"/>
  <cols>
    <col min="1" max="1" width="58.6640625" bestFit="1" customWidth="1"/>
    <col min="2" max="2" width="13.83203125" bestFit="1" customWidth="1"/>
    <col min="3" max="5" width="12.5" bestFit="1" customWidth="1"/>
    <col min="6" max="7" width="15.6640625" bestFit="1" customWidth="1"/>
    <col min="8" max="9" width="11.1640625" bestFit="1" customWidth="1"/>
    <col min="10" max="13" width="12.5" bestFit="1" customWidth="1"/>
    <col min="14" max="14" width="15.6640625" bestFit="1" customWidth="1"/>
    <col min="15" max="131" width="8.83203125" bestFit="1" customWidth="1"/>
    <col min="132" max="132" width="7" bestFit="1" customWidth="1"/>
  </cols>
  <sheetData>
    <row r="1" spans="1:14" ht="21.75" customHeight="1" thickBot="1" x14ac:dyDescent="0.25">
      <c r="A1" s="540" t="s">
        <v>1288</v>
      </c>
      <c r="B1" s="541"/>
      <c r="C1" s="541"/>
      <c r="D1" s="541"/>
      <c r="E1" s="541"/>
      <c r="F1" s="541"/>
      <c r="G1" s="541"/>
      <c r="H1" s="541"/>
      <c r="I1" s="541"/>
      <c r="J1" s="541"/>
      <c r="K1" s="542"/>
      <c r="L1" s="541"/>
      <c r="M1" s="543"/>
    </row>
    <row r="2" spans="1:14" ht="21" x14ac:dyDescent="0.25">
      <c r="A2" s="148" t="s">
        <v>10</v>
      </c>
      <c r="B2" s="149" t="s">
        <v>19</v>
      </c>
      <c r="C2" s="149"/>
      <c r="D2" s="149"/>
      <c r="E2" s="149"/>
      <c r="F2" s="149"/>
      <c r="G2" s="149"/>
      <c r="H2" s="17"/>
      <c r="I2" s="17"/>
      <c r="J2" s="17"/>
      <c r="K2" s="17"/>
      <c r="L2" s="17"/>
      <c r="M2" s="17"/>
    </row>
    <row r="3" spans="1:14" s="1" customFormat="1" ht="21" x14ac:dyDescent="0.25">
      <c r="A3" s="150" t="s">
        <v>18</v>
      </c>
      <c r="B3" s="151">
        <v>46204</v>
      </c>
      <c r="C3" s="151">
        <v>46174</v>
      </c>
      <c r="D3" s="151">
        <v>46143</v>
      </c>
      <c r="E3" s="151">
        <v>46113</v>
      </c>
      <c r="F3" s="151"/>
      <c r="G3" s="150" t="s">
        <v>9</v>
      </c>
      <c r="H3" s="17"/>
      <c r="I3" s="17"/>
      <c r="J3" s="17"/>
      <c r="K3" s="17"/>
      <c r="L3" s="17"/>
      <c r="M3" s="17"/>
      <c r="N3"/>
    </row>
    <row r="4" spans="1:14" ht="18" x14ac:dyDescent="0.2">
      <c r="A4" s="152" t="s">
        <v>58</v>
      </c>
      <c r="B4" s="441">
        <v>53569.249999999993</v>
      </c>
      <c r="C4" s="441">
        <v>76747.700000000012</v>
      </c>
      <c r="D4" s="441">
        <v>47685.579999999994</v>
      </c>
      <c r="E4" s="441">
        <v>75665.3</v>
      </c>
      <c r="F4" s="441"/>
      <c r="G4" s="442">
        <v>253667.83000000002</v>
      </c>
      <c r="H4" s="17"/>
      <c r="I4" s="17"/>
      <c r="J4" s="17"/>
      <c r="K4" s="17"/>
      <c r="L4" s="17"/>
      <c r="M4" s="17"/>
    </row>
    <row r="5" spans="1:14" ht="18" x14ac:dyDescent="0.2">
      <c r="A5" s="152" t="s">
        <v>51</v>
      </c>
      <c r="B5" s="441">
        <v>66000</v>
      </c>
      <c r="C5" s="441">
        <v>15000</v>
      </c>
      <c r="D5" s="441">
        <v>37000</v>
      </c>
      <c r="E5" s="441">
        <v>115000</v>
      </c>
      <c r="F5" s="441"/>
      <c r="G5" s="442">
        <v>233000</v>
      </c>
      <c r="H5" s="17"/>
      <c r="I5" s="17"/>
      <c r="J5" s="17"/>
      <c r="K5" s="17"/>
      <c r="L5" s="17"/>
      <c r="M5" s="17"/>
    </row>
    <row r="6" spans="1:14" ht="18" x14ac:dyDescent="0.2">
      <c r="A6" s="152" t="s">
        <v>143</v>
      </c>
      <c r="B6" s="441">
        <v>72000</v>
      </c>
      <c r="C6" s="441">
        <v>30000</v>
      </c>
      <c r="D6" s="441">
        <v>55000</v>
      </c>
      <c r="E6" s="441">
        <v>41000</v>
      </c>
      <c r="F6" s="441"/>
      <c r="G6" s="442">
        <v>198000</v>
      </c>
      <c r="H6" s="17"/>
      <c r="I6" s="17"/>
      <c r="J6" s="17"/>
      <c r="K6" s="17"/>
      <c r="L6" s="17"/>
      <c r="M6" s="17"/>
    </row>
    <row r="7" spans="1:14" ht="18" x14ac:dyDescent="0.2">
      <c r="A7" s="152" t="s">
        <v>59</v>
      </c>
      <c r="B7" s="441">
        <v>4869.6900000000005</v>
      </c>
      <c r="C7" s="441">
        <v>28086.079999999998</v>
      </c>
      <c r="D7" s="441">
        <v>34632.21</v>
      </c>
      <c r="E7" s="441">
        <v>59380.71</v>
      </c>
      <c r="F7" s="441"/>
      <c r="G7" s="442">
        <v>126968.69</v>
      </c>
      <c r="H7" s="17"/>
      <c r="I7" s="17"/>
      <c r="J7" s="17"/>
      <c r="K7" s="17"/>
      <c r="L7" s="17"/>
      <c r="M7" s="17"/>
    </row>
    <row r="8" spans="1:14" ht="18" x14ac:dyDescent="0.2">
      <c r="A8" s="152" t="s">
        <v>52</v>
      </c>
      <c r="B8" s="441">
        <v>12000</v>
      </c>
      <c r="C8" s="441"/>
      <c r="D8" s="441"/>
      <c r="E8" s="441">
        <v>68000</v>
      </c>
      <c r="F8" s="441"/>
      <c r="G8" s="442">
        <v>80000</v>
      </c>
      <c r="H8" s="17"/>
      <c r="I8" s="17"/>
      <c r="J8" s="17"/>
      <c r="K8" s="17"/>
      <c r="L8" s="17"/>
      <c r="M8" s="17"/>
    </row>
    <row r="9" spans="1:14" ht="18" x14ac:dyDescent="0.2">
      <c r="A9" s="152" t="s">
        <v>96</v>
      </c>
      <c r="B9" s="441">
        <v>15893.419999999998</v>
      </c>
      <c r="C9" s="441">
        <v>26501.91</v>
      </c>
      <c r="D9" s="441">
        <v>14000.3</v>
      </c>
      <c r="E9" s="441">
        <v>15500.490000000002</v>
      </c>
      <c r="F9" s="441"/>
      <c r="G9" s="442">
        <v>71896.12000000001</v>
      </c>
      <c r="H9" s="17"/>
      <c r="I9" s="17"/>
      <c r="J9" s="17"/>
      <c r="K9" s="17"/>
      <c r="L9" s="17"/>
      <c r="M9" s="17"/>
    </row>
    <row r="10" spans="1:14" ht="18" x14ac:dyDescent="0.2">
      <c r="A10" s="152" t="s">
        <v>152</v>
      </c>
      <c r="B10" s="441">
        <v>20883.610000000004</v>
      </c>
      <c r="C10" s="441">
        <v>19119.009999999991</v>
      </c>
      <c r="D10" s="441">
        <v>5425.42</v>
      </c>
      <c r="E10" s="441">
        <v>4622.6399999999994</v>
      </c>
      <c r="F10" s="441"/>
      <c r="G10" s="442">
        <v>50050.679999999993</v>
      </c>
      <c r="H10" s="17"/>
      <c r="I10" s="17"/>
      <c r="J10" s="17"/>
      <c r="K10" s="17"/>
      <c r="L10" s="17"/>
      <c r="M10" s="17"/>
    </row>
    <row r="11" spans="1:14" ht="18" x14ac:dyDescent="0.2">
      <c r="A11" s="152" t="s">
        <v>901</v>
      </c>
      <c r="B11" s="441">
        <v>4000.0299999999997</v>
      </c>
      <c r="C11" s="441">
        <v>24354.269999999997</v>
      </c>
      <c r="D11" s="441">
        <v>5000.0599999999995</v>
      </c>
      <c r="E11" s="441"/>
      <c r="F11" s="441"/>
      <c r="G11" s="442">
        <v>33354.359999999993</v>
      </c>
      <c r="H11" s="17"/>
      <c r="I11" s="17"/>
      <c r="J11" s="17"/>
      <c r="K11" s="17"/>
      <c r="L11" s="17"/>
      <c r="M11" s="17"/>
    </row>
    <row r="12" spans="1:14" ht="18" x14ac:dyDescent="0.2">
      <c r="A12" s="152" t="s">
        <v>302</v>
      </c>
      <c r="B12" s="441">
        <v>1000</v>
      </c>
      <c r="C12" s="441"/>
      <c r="D12" s="441">
        <v>3000</v>
      </c>
      <c r="E12" s="441">
        <v>24000</v>
      </c>
      <c r="F12" s="441"/>
      <c r="G12" s="442">
        <v>28000</v>
      </c>
      <c r="H12" s="17"/>
      <c r="I12" s="17"/>
      <c r="J12" s="17"/>
      <c r="K12" s="17"/>
      <c r="L12" s="17"/>
      <c r="M12" s="17"/>
    </row>
    <row r="13" spans="1:14" ht="18" x14ac:dyDescent="0.2">
      <c r="A13" s="152" t="s">
        <v>256</v>
      </c>
      <c r="B13" s="441">
        <v>253.07999999999998</v>
      </c>
      <c r="C13" s="441">
        <v>10763.58</v>
      </c>
      <c r="D13" s="441">
        <v>7314.99</v>
      </c>
      <c r="E13" s="441">
        <v>6500</v>
      </c>
      <c r="F13" s="441"/>
      <c r="G13" s="442">
        <v>24831.65</v>
      </c>
      <c r="H13" s="17"/>
      <c r="I13" s="17"/>
      <c r="J13" s="17"/>
      <c r="K13" s="17"/>
      <c r="L13" s="17"/>
      <c r="M13" s="17"/>
    </row>
    <row r="14" spans="1:14" ht="18" x14ac:dyDescent="0.2">
      <c r="A14" s="152" t="s">
        <v>95</v>
      </c>
      <c r="B14" s="441">
        <v>18455.030000000002</v>
      </c>
      <c r="C14" s="441"/>
      <c r="D14" s="441"/>
      <c r="E14" s="441">
        <v>3494.6</v>
      </c>
      <c r="F14" s="441"/>
      <c r="G14" s="442">
        <v>21949.63</v>
      </c>
      <c r="H14" s="17"/>
      <c r="I14" s="17"/>
      <c r="J14" s="17"/>
      <c r="K14" s="17"/>
      <c r="L14" s="17"/>
      <c r="M14" s="17"/>
    </row>
    <row r="15" spans="1:14" ht="18" x14ac:dyDescent="0.2">
      <c r="A15" s="152" t="s">
        <v>1073</v>
      </c>
      <c r="B15" s="441">
        <v>9000</v>
      </c>
      <c r="C15" s="441">
        <v>6600</v>
      </c>
      <c r="D15" s="441">
        <v>2000</v>
      </c>
      <c r="E15" s="441"/>
      <c r="F15" s="441"/>
      <c r="G15" s="442">
        <v>17600</v>
      </c>
      <c r="H15" s="17"/>
      <c r="I15" s="17"/>
      <c r="J15" s="17"/>
      <c r="K15" s="17"/>
      <c r="L15" s="17"/>
      <c r="M15" s="17"/>
    </row>
    <row r="16" spans="1:14" ht="18" x14ac:dyDescent="0.2">
      <c r="A16" s="152" t="s">
        <v>584</v>
      </c>
      <c r="B16" s="441"/>
      <c r="C16" s="441">
        <v>2000</v>
      </c>
      <c r="D16" s="441">
        <v>3000</v>
      </c>
      <c r="E16" s="441">
        <v>12000</v>
      </c>
      <c r="F16" s="441"/>
      <c r="G16" s="442">
        <v>17000</v>
      </c>
      <c r="H16" s="17"/>
      <c r="I16" s="17"/>
      <c r="J16" s="17"/>
      <c r="K16" s="17"/>
      <c r="L16" s="17"/>
      <c r="M16" s="17"/>
    </row>
    <row r="17" spans="1:13" ht="18" x14ac:dyDescent="0.2">
      <c r="A17" s="152" t="s">
        <v>922</v>
      </c>
      <c r="B17" s="441"/>
      <c r="C17" s="441">
        <v>6000</v>
      </c>
      <c r="D17" s="441">
        <v>4900</v>
      </c>
      <c r="E17" s="441">
        <v>3000</v>
      </c>
      <c r="F17" s="441"/>
      <c r="G17" s="442">
        <v>13900</v>
      </c>
      <c r="H17" s="17"/>
      <c r="I17" s="17"/>
      <c r="J17" s="17"/>
      <c r="K17" s="17"/>
      <c r="L17" s="17"/>
      <c r="M17" s="17"/>
    </row>
    <row r="18" spans="1:13" ht="18" x14ac:dyDescent="0.2">
      <c r="A18" s="152" t="s">
        <v>57</v>
      </c>
      <c r="B18" s="441">
        <v>174.66</v>
      </c>
      <c r="C18" s="441">
        <v>1327.27</v>
      </c>
      <c r="D18" s="441">
        <v>6592.0300000000007</v>
      </c>
      <c r="E18" s="441">
        <v>4421.57</v>
      </c>
      <c r="F18" s="441"/>
      <c r="G18" s="442">
        <v>12515.53</v>
      </c>
      <c r="H18" s="17"/>
      <c r="I18" s="17"/>
      <c r="J18" s="17"/>
      <c r="K18" s="17"/>
      <c r="L18" s="17"/>
      <c r="M18" s="17"/>
    </row>
    <row r="19" spans="1:13" ht="18" x14ac:dyDescent="0.2">
      <c r="A19" s="152" t="s">
        <v>2570</v>
      </c>
      <c r="B19" s="441">
        <v>11400</v>
      </c>
      <c r="C19" s="441"/>
      <c r="D19" s="441"/>
      <c r="E19" s="441"/>
      <c r="F19" s="441"/>
      <c r="G19" s="442">
        <v>11400</v>
      </c>
      <c r="H19" s="17"/>
      <c r="I19" s="17"/>
      <c r="J19" s="17"/>
      <c r="K19" s="17"/>
      <c r="L19" s="17"/>
      <c r="M19" s="17"/>
    </row>
    <row r="20" spans="1:13" ht="18" x14ac:dyDescent="0.2">
      <c r="A20" s="152" t="s">
        <v>2450</v>
      </c>
      <c r="B20" s="441">
        <v>10922.99</v>
      </c>
      <c r="C20" s="441"/>
      <c r="D20" s="441"/>
      <c r="E20" s="441"/>
      <c r="F20" s="441"/>
      <c r="G20" s="442">
        <v>10922.99</v>
      </c>
      <c r="H20" s="17"/>
      <c r="I20" s="17"/>
      <c r="J20" s="17"/>
      <c r="K20" s="17"/>
      <c r="L20" s="17"/>
      <c r="M20" s="17"/>
    </row>
    <row r="21" spans="1:13" ht="18" x14ac:dyDescent="0.2">
      <c r="A21" s="152" t="s">
        <v>714</v>
      </c>
      <c r="B21" s="441">
        <v>2354.06</v>
      </c>
      <c r="C21" s="441">
        <v>3245.37</v>
      </c>
      <c r="D21" s="441">
        <v>4775.1500000000005</v>
      </c>
      <c r="E21" s="441"/>
      <c r="F21" s="441"/>
      <c r="G21" s="442">
        <v>10374.580000000002</v>
      </c>
      <c r="H21" s="17"/>
      <c r="I21" s="17"/>
      <c r="J21" s="17"/>
      <c r="K21" s="17"/>
      <c r="L21" s="17"/>
      <c r="M21" s="17"/>
    </row>
    <row r="22" spans="1:13" ht="18" x14ac:dyDescent="0.2">
      <c r="A22" s="152" t="s">
        <v>14</v>
      </c>
      <c r="B22" s="441"/>
      <c r="C22" s="441"/>
      <c r="D22" s="441"/>
      <c r="E22" s="441">
        <v>9059.0299999999988</v>
      </c>
      <c r="F22" s="441"/>
      <c r="G22" s="442">
        <v>9059.0299999999988</v>
      </c>
      <c r="H22" s="17"/>
      <c r="I22" s="17"/>
      <c r="J22" s="17"/>
      <c r="K22" s="17"/>
      <c r="L22" s="17"/>
      <c r="M22" s="17"/>
    </row>
    <row r="23" spans="1:13" ht="18" x14ac:dyDescent="0.2">
      <c r="A23" s="152" t="s">
        <v>15</v>
      </c>
      <c r="B23" s="441"/>
      <c r="C23" s="441">
        <v>1943.6199999999997</v>
      </c>
      <c r="D23" s="441"/>
      <c r="E23" s="441">
        <v>5013.3399999999992</v>
      </c>
      <c r="F23" s="441"/>
      <c r="G23" s="442">
        <v>6956.9599999999991</v>
      </c>
      <c r="H23" s="17"/>
      <c r="I23" s="17"/>
      <c r="J23" s="17"/>
      <c r="K23" s="17"/>
      <c r="L23" s="17"/>
      <c r="M23" s="17"/>
    </row>
    <row r="24" spans="1:13" ht="18" x14ac:dyDescent="0.2">
      <c r="A24" s="152" t="s">
        <v>874</v>
      </c>
      <c r="B24" s="441">
        <v>1000</v>
      </c>
      <c r="C24" s="441"/>
      <c r="D24" s="441">
        <v>5000</v>
      </c>
      <c r="E24" s="441"/>
      <c r="F24" s="441"/>
      <c r="G24" s="442">
        <v>6000</v>
      </c>
      <c r="H24" s="17"/>
      <c r="I24" s="17"/>
      <c r="J24" s="17"/>
      <c r="K24" s="17"/>
      <c r="L24" s="17"/>
      <c r="M24" s="17"/>
    </row>
    <row r="25" spans="1:13" ht="18" x14ac:dyDescent="0.2">
      <c r="A25" s="152" t="s">
        <v>56</v>
      </c>
      <c r="B25" s="441">
        <v>677.93</v>
      </c>
      <c r="C25" s="441">
        <v>1355.2</v>
      </c>
      <c r="D25" s="441">
        <v>1869.5000000000002</v>
      </c>
      <c r="E25" s="441">
        <v>1966.3000000000002</v>
      </c>
      <c r="F25" s="441"/>
      <c r="G25" s="442">
        <v>5868.93</v>
      </c>
      <c r="H25" s="17"/>
      <c r="I25" s="17"/>
      <c r="J25" s="17"/>
      <c r="K25" s="17"/>
      <c r="L25" s="17"/>
      <c r="M25" s="17"/>
    </row>
    <row r="26" spans="1:13" ht="18" x14ac:dyDescent="0.2">
      <c r="A26" s="152" t="s">
        <v>255</v>
      </c>
      <c r="B26" s="441"/>
      <c r="C26" s="441">
        <v>1500</v>
      </c>
      <c r="D26" s="441"/>
      <c r="E26" s="441">
        <v>4000</v>
      </c>
      <c r="F26" s="441"/>
      <c r="G26" s="442">
        <v>5500</v>
      </c>
      <c r="H26" s="17"/>
      <c r="I26" s="17"/>
      <c r="J26" s="17"/>
      <c r="K26" s="17"/>
      <c r="L26" s="17"/>
      <c r="M26" s="17"/>
    </row>
    <row r="27" spans="1:13" ht="18" x14ac:dyDescent="0.2">
      <c r="A27" s="152" t="s">
        <v>199</v>
      </c>
      <c r="B27" s="441">
        <v>962.01</v>
      </c>
      <c r="C27" s="441">
        <v>2316.7400000000002</v>
      </c>
      <c r="D27" s="441">
        <v>1786.59</v>
      </c>
      <c r="E27" s="441">
        <v>238.31</v>
      </c>
      <c r="F27" s="441"/>
      <c r="G27" s="442">
        <v>5303.6500000000005</v>
      </c>
      <c r="H27" s="17"/>
      <c r="I27" s="17"/>
      <c r="J27" s="17"/>
      <c r="K27" s="17"/>
      <c r="L27" s="17"/>
      <c r="M27" s="17"/>
    </row>
    <row r="28" spans="1:13" ht="18" x14ac:dyDescent="0.2">
      <c r="A28" s="152" t="s">
        <v>919</v>
      </c>
      <c r="B28" s="441"/>
      <c r="C28" s="441">
        <v>2000</v>
      </c>
      <c r="D28" s="441">
        <v>3000</v>
      </c>
      <c r="E28" s="441"/>
      <c r="F28" s="441"/>
      <c r="G28" s="442">
        <v>5000</v>
      </c>
      <c r="H28" s="17"/>
      <c r="I28" s="17"/>
      <c r="J28" s="17"/>
      <c r="K28" s="17"/>
      <c r="L28" s="17"/>
      <c r="M28" s="17"/>
    </row>
    <row r="29" spans="1:13" ht="18" x14ac:dyDescent="0.2">
      <c r="A29" s="152" t="s">
        <v>134</v>
      </c>
      <c r="B29" s="441">
        <v>1000</v>
      </c>
      <c r="C29" s="441">
        <v>1000</v>
      </c>
      <c r="D29" s="441">
        <v>500</v>
      </c>
      <c r="E29" s="441">
        <v>2350</v>
      </c>
      <c r="F29" s="441"/>
      <c r="G29" s="442">
        <v>4850</v>
      </c>
      <c r="H29" s="17"/>
      <c r="I29" s="17"/>
      <c r="J29" s="17"/>
      <c r="K29" s="17"/>
      <c r="L29" s="17"/>
      <c r="M29" s="17"/>
    </row>
    <row r="30" spans="1:13" ht="18" x14ac:dyDescent="0.2">
      <c r="A30" s="152" t="s">
        <v>1786</v>
      </c>
      <c r="B30" s="441">
        <v>949.13999999999976</v>
      </c>
      <c r="C30" s="441">
        <v>3265.1400000000035</v>
      </c>
      <c r="D30" s="441"/>
      <c r="E30" s="441"/>
      <c r="F30" s="441"/>
      <c r="G30" s="442">
        <v>4214.2800000000034</v>
      </c>
      <c r="H30" s="17"/>
      <c r="I30" s="17"/>
      <c r="J30" s="17"/>
      <c r="K30" s="17"/>
      <c r="L30" s="17"/>
      <c r="M30" s="17"/>
    </row>
    <row r="31" spans="1:13" ht="18" x14ac:dyDescent="0.2">
      <c r="A31" s="152" t="s">
        <v>552</v>
      </c>
      <c r="B31" s="441">
        <v>200</v>
      </c>
      <c r="C31" s="441">
        <v>1310</v>
      </c>
      <c r="D31" s="441">
        <v>1404.71</v>
      </c>
      <c r="E31" s="441">
        <v>295.85000000000002</v>
      </c>
      <c r="F31" s="441"/>
      <c r="G31" s="442">
        <v>3210.56</v>
      </c>
      <c r="H31" s="17"/>
      <c r="I31" s="17"/>
      <c r="J31" s="17"/>
      <c r="K31" s="17"/>
      <c r="L31" s="17"/>
      <c r="M31" s="17"/>
    </row>
    <row r="32" spans="1:13" ht="18" x14ac:dyDescent="0.2">
      <c r="A32" s="152" t="s">
        <v>501</v>
      </c>
      <c r="B32" s="441"/>
      <c r="C32" s="441">
        <v>1000</v>
      </c>
      <c r="D32" s="441">
        <v>1000</v>
      </c>
      <c r="E32" s="441">
        <v>1200</v>
      </c>
      <c r="F32" s="441"/>
      <c r="G32" s="442">
        <v>3200</v>
      </c>
      <c r="H32" s="17"/>
      <c r="I32" s="17"/>
      <c r="J32" s="17"/>
      <c r="K32" s="17"/>
      <c r="L32" s="17"/>
      <c r="M32" s="17"/>
    </row>
    <row r="33" spans="1:13" ht="18" x14ac:dyDescent="0.2">
      <c r="A33" s="152" t="s">
        <v>1036</v>
      </c>
      <c r="B33" s="441"/>
      <c r="C33" s="441"/>
      <c r="D33" s="441">
        <v>3000</v>
      </c>
      <c r="E33" s="441"/>
      <c r="F33" s="441"/>
      <c r="G33" s="442">
        <v>3000</v>
      </c>
      <c r="H33" s="17"/>
      <c r="I33" s="17"/>
      <c r="J33" s="17"/>
      <c r="K33" s="17"/>
      <c r="L33" s="17"/>
      <c r="M33" s="17"/>
    </row>
    <row r="34" spans="1:13" ht="18" x14ac:dyDescent="0.2">
      <c r="A34" s="152" t="s">
        <v>92</v>
      </c>
      <c r="B34" s="441">
        <v>600</v>
      </c>
      <c r="C34" s="441"/>
      <c r="D34" s="441">
        <v>1600</v>
      </c>
      <c r="E34" s="441">
        <v>800</v>
      </c>
      <c r="F34" s="441"/>
      <c r="G34" s="442">
        <v>3000</v>
      </c>
      <c r="H34" s="17"/>
      <c r="I34" s="17"/>
      <c r="J34" s="17"/>
      <c r="K34" s="17"/>
      <c r="L34" s="17"/>
      <c r="M34" s="17"/>
    </row>
    <row r="35" spans="1:13" ht="18" x14ac:dyDescent="0.2">
      <c r="A35" s="152" t="s">
        <v>1532</v>
      </c>
      <c r="B35" s="441">
        <v>1000</v>
      </c>
      <c r="C35" s="441">
        <v>2000</v>
      </c>
      <c r="D35" s="441"/>
      <c r="E35" s="441"/>
      <c r="F35" s="441"/>
      <c r="G35" s="442">
        <v>3000</v>
      </c>
      <c r="H35" s="17"/>
      <c r="I35" s="17"/>
      <c r="J35" s="17"/>
      <c r="K35" s="17"/>
      <c r="L35" s="17"/>
      <c r="M35" s="17"/>
    </row>
    <row r="36" spans="1:13" ht="18" x14ac:dyDescent="0.2">
      <c r="A36" s="152" t="s">
        <v>435</v>
      </c>
      <c r="B36" s="441"/>
      <c r="C36" s="441"/>
      <c r="D36" s="441">
        <v>1018.9800000000001</v>
      </c>
      <c r="E36" s="441">
        <v>1930.4700000000003</v>
      </c>
      <c r="F36" s="441"/>
      <c r="G36" s="442">
        <v>2949.4500000000003</v>
      </c>
      <c r="H36" s="17"/>
      <c r="I36" s="17"/>
      <c r="J36" s="17"/>
      <c r="K36" s="17"/>
      <c r="L36" s="17"/>
      <c r="M36" s="17"/>
    </row>
    <row r="37" spans="1:13" ht="18" x14ac:dyDescent="0.2">
      <c r="A37" s="152" t="s">
        <v>257</v>
      </c>
      <c r="B37" s="441">
        <v>155.63</v>
      </c>
      <c r="C37" s="441">
        <v>623.45000000000005</v>
      </c>
      <c r="D37" s="441">
        <v>1167.1100000000001</v>
      </c>
      <c r="E37" s="441">
        <v>931.7600000000001</v>
      </c>
      <c r="F37" s="441"/>
      <c r="G37" s="442">
        <v>2877.9500000000003</v>
      </c>
      <c r="H37" s="17"/>
      <c r="I37" s="17"/>
      <c r="J37" s="17"/>
      <c r="K37" s="17"/>
      <c r="L37" s="17"/>
      <c r="M37" s="17"/>
    </row>
    <row r="38" spans="1:13" ht="18" x14ac:dyDescent="0.2">
      <c r="A38" s="152" t="s">
        <v>2612</v>
      </c>
      <c r="B38" s="441">
        <v>2382.36</v>
      </c>
      <c r="C38" s="441"/>
      <c r="D38" s="441"/>
      <c r="E38" s="441"/>
      <c r="F38" s="441"/>
      <c r="G38" s="442">
        <v>2382.36</v>
      </c>
      <c r="H38" s="17"/>
      <c r="I38" s="17"/>
      <c r="J38" s="17"/>
      <c r="K38" s="17"/>
      <c r="L38" s="17"/>
      <c r="M38" s="17"/>
    </row>
    <row r="39" spans="1:13" ht="18" x14ac:dyDescent="0.2">
      <c r="A39" s="152" t="s">
        <v>1483</v>
      </c>
      <c r="B39" s="441">
        <v>900</v>
      </c>
      <c r="C39" s="441">
        <v>1200</v>
      </c>
      <c r="D39" s="441"/>
      <c r="E39" s="441"/>
      <c r="F39" s="441"/>
      <c r="G39" s="442">
        <v>2100</v>
      </c>
      <c r="H39" s="17"/>
      <c r="I39" s="17"/>
      <c r="J39" s="17"/>
      <c r="K39" s="17"/>
      <c r="L39" s="17"/>
      <c r="M39" s="17"/>
    </row>
    <row r="40" spans="1:13" ht="18" x14ac:dyDescent="0.2">
      <c r="A40" s="152" t="s">
        <v>1533</v>
      </c>
      <c r="B40" s="441"/>
      <c r="C40" s="441">
        <v>2000</v>
      </c>
      <c r="D40" s="441"/>
      <c r="E40" s="441"/>
      <c r="F40" s="441"/>
      <c r="G40" s="442">
        <v>2000</v>
      </c>
      <c r="H40" s="17"/>
      <c r="I40" s="17"/>
      <c r="J40" s="17"/>
      <c r="K40" s="17"/>
      <c r="L40" s="17"/>
      <c r="M40" s="17"/>
    </row>
    <row r="41" spans="1:13" ht="18" x14ac:dyDescent="0.2">
      <c r="A41" s="152" t="s">
        <v>1445</v>
      </c>
      <c r="B41" s="441"/>
      <c r="C41" s="441">
        <v>2000</v>
      </c>
      <c r="D41" s="441"/>
      <c r="E41" s="441"/>
      <c r="F41" s="441"/>
      <c r="G41" s="442">
        <v>2000</v>
      </c>
      <c r="H41" s="17"/>
      <c r="I41" s="17"/>
      <c r="J41" s="17"/>
      <c r="K41" s="17"/>
      <c r="L41" s="17"/>
      <c r="M41" s="17"/>
    </row>
    <row r="42" spans="1:13" ht="18" x14ac:dyDescent="0.2">
      <c r="A42" s="152" t="s">
        <v>93</v>
      </c>
      <c r="B42" s="441"/>
      <c r="C42" s="441"/>
      <c r="D42" s="441">
        <v>480</v>
      </c>
      <c r="E42" s="441">
        <v>1510</v>
      </c>
      <c r="F42" s="441"/>
      <c r="G42" s="442">
        <v>1990</v>
      </c>
      <c r="H42" s="17"/>
      <c r="I42" s="17"/>
      <c r="J42" s="17"/>
      <c r="K42" s="17"/>
      <c r="L42" s="17"/>
      <c r="M42" s="17"/>
    </row>
    <row r="43" spans="1:13" ht="18" x14ac:dyDescent="0.2">
      <c r="A43" s="152" t="s">
        <v>54</v>
      </c>
      <c r="B43" s="441">
        <v>766.98</v>
      </c>
      <c r="C43" s="441">
        <v>192.64</v>
      </c>
      <c r="D43" s="441">
        <v>183.73</v>
      </c>
      <c r="E43" s="441">
        <v>627.57999999999993</v>
      </c>
      <c r="F43" s="441"/>
      <c r="G43" s="442">
        <v>1770.9299999999998</v>
      </c>
      <c r="H43" s="17"/>
      <c r="I43" s="17"/>
      <c r="J43" s="17"/>
      <c r="K43" s="17"/>
      <c r="L43" s="17"/>
      <c r="M43" s="17"/>
    </row>
    <row r="44" spans="1:13" ht="18" x14ac:dyDescent="0.2">
      <c r="A44" s="152" t="s">
        <v>153</v>
      </c>
      <c r="B44" s="441"/>
      <c r="C44" s="441">
        <v>717</v>
      </c>
      <c r="D44" s="441"/>
      <c r="E44" s="441">
        <v>991</v>
      </c>
      <c r="F44" s="441"/>
      <c r="G44" s="442">
        <v>1708</v>
      </c>
      <c r="H44" s="17"/>
      <c r="I44" s="17"/>
      <c r="J44" s="17"/>
      <c r="K44" s="17"/>
      <c r="L44" s="17"/>
      <c r="M44" s="17"/>
    </row>
    <row r="45" spans="1:13" ht="18" x14ac:dyDescent="0.2">
      <c r="A45" s="152" t="s">
        <v>184</v>
      </c>
      <c r="B45" s="441"/>
      <c r="C45" s="441">
        <v>300</v>
      </c>
      <c r="D45" s="441">
        <v>600</v>
      </c>
      <c r="E45" s="441">
        <v>600</v>
      </c>
      <c r="F45" s="441"/>
      <c r="G45" s="442">
        <v>1500</v>
      </c>
      <c r="H45" s="17"/>
      <c r="I45" s="17"/>
      <c r="J45" s="17"/>
      <c r="K45" s="17"/>
      <c r="L45" s="17"/>
      <c r="M45" s="17"/>
    </row>
    <row r="46" spans="1:13" ht="18" x14ac:dyDescent="0.2">
      <c r="A46" s="152" t="s">
        <v>527</v>
      </c>
      <c r="B46" s="441"/>
      <c r="C46" s="441"/>
      <c r="D46" s="441">
        <v>500</v>
      </c>
      <c r="E46" s="441">
        <v>1000</v>
      </c>
      <c r="F46" s="441"/>
      <c r="G46" s="442">
        <v>1500</v>
      </c>
      <c r="H46" s="17"/>
      <c r="I46" s="17"/>
      <c r="J46" s="17"/>
      <c r="K46" s="17"/>
      <c r="L46" s="17"/>
      <c r="M46" s="17"/>
    </row>
    <row r="47" spans="1:13" ht="18" x14ac:dyDescent="0.2">
      <c r="A47" s="152" t="s">
        <v>1444</v>
      </c>
      <c r="B47" s="441"/>
      <c r="C47" s="441">
        <v>1500</v>
      </c>
      <c r="D47" s="441"/>
      <c r="E47" s="441"/>
      <c r="F47" s="441"/>
      <c r="G47" s="442">
        <v>1500</v>
      </c>
      <c r="H47" s="17"/>
      <c r="I47" s="17"/>
      <c r="J47" s="17"/>
      <c r="K47" s="17"/>
      <c r="L47" s="17"/>
      <c r="M47" s="17"/>
    </row>
    <row r="48" spans="1:13" ht="18" x14ac:dyDescent="0.2">
      <c r="A48" s="152" t="s">
        <v>2611</v>
      </c>
      <c r="B48" s="441">
        <v>1391.1499999999999</v>
      </c>
      <c r="C48" s="441"/>
      <c r="D48" s="441"/>
      <c r="E48" s="441"/>
      <c r="F48" s="441"/>
      <c r="G48" s="442">
        <v>1391.1499999999999</v>
      </c>
      <c r="H48" s="17"/>
      <c r="I48" s="17"/>
      <c r="J48" s="17"/>
      <c r="K48" s="17"/>
      <c r="L48" s="17"/>
      <c r="M48" s="17"/>
    </row>
    <row r="49" spans="1:13" ht="18" x14ac:dyDescent="0.2">
      <c r="A49" s="152" t="s">
        <v>1646</v>
      </c>
      <c r="B49" s="441"/>
      <c r="C49" s="441">
        <v>1121.31</v>
      </c>
      <c r="D49" s="441"/>
      <c r="E49" s="441"/>
      <c r="F49" s="441"/>
      <c r="G49" s="442">
        <v>1121.31</v>
      </c>
      <c r="H49" s="17"/>
      <c r="I49" s="17"/>
      <c r="J49" s="17"/>
      <c r="K49" s="17"/>
      <c r="L49" s="17"/>
      <c r="M49" s="17"/>
    </row>
    <row r="50" spans="1:13" ht="18" x14ac:dyDescent="0.2">
      <c r="A50" s="152" t="s">
        <v>1733</v>
      </c>
      <c r="B50" s="441"/>
      <c r="C50" s="441">
        <v>1050</v>
      </c>
      <c r="D50" s="441"/>
      <c r="E50" s="441"/>
      <c r="F50" s="441"/>
      <c r="G50" s="442">
        <v>1050</v>
      </c>
      <c r="H50" s="17"/>
      <c r="I50" s="17"/>
      <c r="J50" s="17"/>
      <c r="K50" s="17"/>
      <c r="L50" s="17"/>
      <c r="M50" s="17"/>
    </row>
    <row r="51" spans="1:13" ht="18" x14ac:dyDescent="0.2">
      <c r="A51" s="152" t="s">
        <v>2364</v>
      </c>
      <c r="B51" s="441">
        <v>1020.55</v>
      </c>
      <c r="C51" s="441"/>
      <c r="D51" s="441"/>
      <c r="E51" s="441"/>
      <c r="F51" s="441"/>
      <c r="G51" s="442">
        <v>1020.55</v>
      </c>
      <c r="H51" s="17"/>
      <c r="I51" s="17"/>
      <c r="J51" s="17"/>
      <c r="K51" s="17"/>
      <c r="L51" s="17"/>
      <c r="M51" s="17"/>
    </row>
    <row r="52" spans="1:13" ht="18" x14ac:dyDescent="0.2">
      <c r="A52" s="152" t="s">
        <v>920</v>
      </c>
      <c r="B52" s="441"/>
      <c r="C52" s="441"/>
      <c r="D52" s="441">
        <v>1000</v>
      </c>
      <c r="E52" s="441"/>
      <c r="F52" s="441"/>
      <c r="G52" s="442">
        <v>1000</v>
      </c>
      <c r="H52" s="17"/>
      <c r="I52" s="17"/>
      <c r="J52" s="17"/>
      <c r="K52" s="17"/>
      <c r="L52" s="17"/>
      <c r="M52" s="17"/>
    </row>
    <row r="53" spans="1:13" ht="18" x14ac:dyDescent="0.2">
      <c r="A53" s="152" t="s">
        <v>951</v>
      </c>
      <c r="B53" s="441"/>
      <c r="C53" s="441"/>
      <c r="D53" s="441">
        <v>1000</v>
      </c>
      <c r="E53" s="441"/>
      <c r="F53" s="441"/>
      <c r="G53" s="442">
        <v>1000</v>
      </c>
      <c r="H53" s="17"/>
      <c r="I53" s="17"/>
      <c r="J53" s="17"/>
      <c r="K53" s="17"/>
      <c r="L53" s="17"/>
      <c r="M53" s="17"/>
    </row>
    <row r="54" spans="1:13" ht="18" x14ac:dyDescent="0.2">
      <c r="A54" s="152" t="s">
        <v>55</v>
      </c>
      <c r="B54" s="441"/>
      <c r="C54" s="441">
        <v>460.64</v>
      </c>
      <c r="D54" s="441">
        <v>315.52</v>
      </c>
      <c r="E54" s="441">
        <v>211.38</v>
      </c>
      <c r="F54" s="441"/>
      <c r="G54" s="442">
        <v>987.54</v>
      </c>
      <c r="H54" s="17"/>
      <c r="I54" s="17"/>
      <c r="J54" s="17"/>
      <c r="K54" s="17"/>
      <c r="L54" s="17"/>
      <c r="M54" s="17"/>
    </row>
    <row r="55" spans="1:13" ht="18" x14ac:dyDescent="0.2">
      <c r="A55" s="152" t="s">
        <v>91</v>
      </c>
      <c r="B55" s="441"/>
      <c r="C55" s="441">
        <v>500</v>
      </c>
      <c r="D55" s="441"/>
      <c r="E55" s="441">
        <v>381.57</v>
      </c>
      <c r="F55" s="441"/>
      <c r="G55" s="442">
        <v>881.56999999999994</v>
      </c>
      <c r="H55" s="17"/>
      <c r="I55" s="17"/>
      <c r="J55" s="17"/>
      <c r="K55" s="17"/>
      <c r="L55" s="17"/>
      <c r="M55" s="17"/>
    </row>
    <row r="56" spans="1:13" ht="18" x14ac:dyDescent="0.2">
      <c r="A56" s="152" t="s">
        <v>945</v>
      </c>
      <c r="B56" s="441"/>
      <c r="C56" s="441"/>
      <c r="D56" s="441">
        <v>700</v>
      </c>
      <c r="E56" s="441"/>
      <c r="F56" s="441"/>
      <c r="G56" s="442">
        <v>700</v>
      </c>
      <c r="H56" s="17"/>
      <c r="I56" s="17"/>
      <c r="J56" s="17"/>
      <c r="K56" s="17"/>
      <c r="L56" s="17"/>
      <c r="M56" s="17"/>
    </row>
    <row r="57" spans="1:13" ht="18" x14ac:dyDescent="0.2">
      <c r="A57" s="152" t="s">
        <v>53</v>
      </c>
      <c r="B57" s="441">
        <v>49.24</v>
      </c>
      <c r="C57" s="441">
        <v>203.56</v>
      </c>
      <c r="D57" s="441">
        <v>178.92000000000002</v>
      </c>
      <c r="E57" s="441">
        <v>204.35</v>
      </c>
      <c r="F57" s="441"/>
      <c r="G57" s="442">
        <v>636.07000000000005</v>
      </c>
      <c r="H57" s="17"/>
      <c r="I57" s="17"/>
      <c r="J57" s="17"/>
      <c r="K57" s="17"/>
      <c r="L57" s="17"/>
      <c r="M57" s="17"/>
    </row>
    <row r="58" spans="1:13" ht="18" x14ac:dyDescent="0.2">
      <c r="A58" s="152" t="s">
        <v>848</v>
      </c>
      <c r="B58" s="441"/>
      <c r="C58" s="441"/>
      <c r="D58" s="441">
        <v>600</v>
      </c>
      <c r="E58" s="441"/>
      <c r="F58" s="441"/>
      <c r="G58" s="442">
        <v>600</v>
      </c>
    </row>
    <row r="59" spans="1:13" ht="18" x14ac:dyDescent="0.2">
      <c r="A59" s="152" t="s">
        <v>94</v>
      </c>
      <c r="B59" s="441"/>
      <c r="C59" s="441"/>
      <c r="D59" s="441"/>
      <c r="E59" s="441">
        <v>539.14</v>
      </c>
      <c r="F59" s="441"/>
      <c r="G59" s="442">
        <v>539.14</v>
      </c>
    </row>
    <row r="60" spans="1:13" ht="18" x14ac:dyDescent="0.2">
      <c r="A60" s="152" t="s">
        <v>136</v>
      </c>
      <c r="B60" s="441">
        <v>45.67</v>
      </c>
      <c r="C60" s="441">
        <v>97.16</v>
      </c>
      <c r="D60" s="441">
        <v>62.43</v>
      </c>
      <c r="E60" s="441">
        <v>214.05999999999997</v>
      </c>
      <c r="F60" s="441"/>
      <c r="G60" s="442">
        <v>419.31999999999994</v>
      </c>
    </row>
    <row r="61" spans="1:13" ht="18" x14ac:dyDescent="0.2">
      <c r="A61" s="152" t="s">
        <v>1140</v>
      </c>
      <c r="B61" s="441"/>
      <c r="C61" s="441"/>
      <c r="D61" s="441">
        <v>400</v>
      </c>
      <c r="E61" s="441"/>
      <c r="F61" s="441"/>
      <c r="G61" s="442">
        <v>400</v>
      </c>
    </row>
    <row r="62" spans="1:13" ht="18" x14ac:dyDescent="0.2">
      <c r="A62" s="152" t="s">
        <v>135</v>
      </c>
      <c r="B62" s="441"/>
      <c r="C62" s="441"/>
      <c r="D62" s="441"/>
      <c r="E62" s="441">
        <v>306.2</v>
      </c>
      <c r="F62" s="441"/>
      <c r="G62" s="442">
        <v>306.2</v>
      </c>
    </row>
    <row r="63" spans="1:13" ht="18" x14ac:dyDescent="0.2">
      <c r="A63" s="152" t="s">
        <v>994</v>
      </c>
      <c r="B63" s="441"/>
      <c r="C63" s="441"/>
      <c r="D63" s="441">
        <v>290</v>
      </c>
      <c r="E63" s="441"/>
      <c r="F63" s="441"/>
      <c r="G63" s="442">
        <v>290</v>
      </c>
    </row>
    <row r="64" spans="1:13" ht="18" x14ac:dyDescent="0.2">
      <c r="A64" s="152" t="s">
        <v>137</v>
      </c>
      <c r="B64" s="441"/>
      <c r="C64" s="441">
        <v>102.81</v>
      </c>
      <c r="D64" s="441"/>
      <c r="E64" s="441">
        <v>186.5</v>
      </c>
      <c r="F64" s="441"/>
      <c r="G64" s="442">
        <v>289.31</v>
      </c>
    </row>
    <row r="65" spans="1:7" ht="18" x14ac:dyDescent="0.2">
      <c r="A65" s="152" t="s">
        <v>217</v>
      </c>
      <c r="B65" s="441">
        <v>40</v>
      </c>
      <c r="C65" s="441">
        <v>80</v>
      </c>
      <c r="D65" s="441">
        <v>100</v>
      </c>
      <c r="E65" s="441">
        <v>40</v>
      </c>
      <c r="F65" s="441"/>
      <c r="G65" s="442">
        <v>260</v>
      </c>
    </row>
    <row r="66" spans="1:7" ht="18" x14ac:dyDescent="0.2">
      <c r="A66" s="152" t="s">
        <v>952</v>
      </c>
      <c r="B66" s="441"/>
      <c r="C66" s="441"/>
      <c r="D66" s="441">
        <v>200.01</v>
      </c>
      <c r="E66" s="441"/>
      <c r="F66" s="441"/>
      <c r="G66" s="442">
        <v>200.01</v>
      </c>
    </row>
    <row r="67" spans="1:7" ht="18" x14ac:dyDescent="0.2">
      <c r="A67" s="152" t="s">
        <v>921</v>
      </c>
      <c r="B67" s="441"/>
      <c r="C67" s="441"/>
      <c r="D67" s="441">
        <v>200</v>
      </c>
      <c r="E67" s="441"/>
      <c r="F67" s="441"/>
      <c r="G67" s="442">
        <v>200</v>
      </c>
    </row>
    <row r="68" spans="1:7" ht="18" x14ac:dyDescent="0.2">
      <c r="A68" s="152" t="s">
        <v>1484</v>
      </c>
      <c r="B68" s="441"/>
      <c r="C68" s="441">
        <v>148.9</v>
      </c>
      <c r="D68" s="441"/>
      <c r="E68" s="441"/>
      <c r="F68" s="441"/>
      <c r="G68" s="442">
        <v>148.9</v>
      </c>
    </row>
    <row r="69" spans="1:7" ht="18" x14ac:dyDescent="0.2">
      <c r="A69" s="152" t="s">
        <v>202</v>
      </c>
      <c r="B69" s="441"/>
      <c r="C69" s="441">
        <v>33.700000000000003</v>
      </c>
      <c r="D69" s="441"/>
      <c r="E69" s="441">
        <v>45</v>
      </c>
      <c r="F69" s="441"/>
      <c r="G69" s="442">
        <v>78.7</v>
      </c>
    </row>
    <row r="70" spans="1:7" ht="18" x14ac:dyDescent="0.2">
      <c r="A70" s="152" t="s">
        <v>8</v>
      </c>
      <c r="B70" s="441"/>
      <c r="C70" s="441"/>
      <c r="D70" s="441"/>
      <c r="E70" s="441"/>
      <c r="F70" s="441"/>
      <c r="G70" s="442"/>
    </row>
    <row r="71" spans="1:7" ht="18" x14ac:dyDescent="0.2">
      <c r="A71" s="153" t="s">
        <v>9</v>
      </c>
      <c r="B71" s="442">
        <v>315916.48000000004</v>
      </c>
      <c r="C71" s="442">
        <v>279767.06</v>
      </c>
      <c r="D71" s="442">
        <v>258483.23999999996</v>
      </c>
      <c r="E71" s="442">
        <v>467227.15</v>
      </c>
      <c r="F71" s="442"/>
      <c r="G71" s="442">
        <v>1321393.9300000002</v>
      </c>
    </row>
  </sheetData>
  <sheetProtection formatCells="0" formatColumns="0" formatRows="0" insertRows="0" deleteRows="0" sort="0" autoFilter="0"/>
  <mergeCells count="1">
    <mergeCell ref="A1:M1"/>
  </mergeCells>
  <hyperlinks>
    <hyperlink ref="K1" location="Index!A1" display="→ Index" xr:uid="{8D4B7740-1A82-824A-AACC-18AEEA5EAD61}"/>
  </hyperlinks>
  <pageMargins left="0.7" right="0.7" top="0.75" bottom="0.75" header="0.3" footer="0.3"/>
  <pageSetup paperSize="9" orientation="portrait" horizontalDpi="0" verticalDpi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912F2-EED1-BB48-A1ED-20D477F5987C}">
  <sheetPr codeName="Sheet30"/>
  <dimension ref="A1:N24"/>
  <sheetViews>
    <sheetView zoomScale="121" zoomScaleNormal="140" workbookViewId="0">
      <selection sqref="A1:M1"/>
    </sheetView>
  </sheetViews>
  <sheetFormatPr baseColWidth="10" defaultColWidth="10.83203125" defaultRowHeight="16" x14ac:dyDescent="0.2"/>
  <cols>
    <col min="1" max="1" width="49.5" bestFit="1" customWidth="1"/>
    <col min="2" max="2" width="13.1640625" bestFit="1" customWidth="1"/>
    <col min="3" max="5" width="10" bestFit="1" customWidth="1"/>
    <col min="6" max="6" width="15.6640625" bestFit="1" customWidth="1"/>
    <col min="7" max="13" width="10" bestFit="1" customWidth="1"/>
    <col min="14" max="14" width="15.6640625" bestFit="1" customWidth="1"/>
    <col min="15" max="131" width="8.83203125" bestFit="1" customWidth="1"/>
    <col min="132" max="132" width="7" bestFit="1" customWidth="1"/>
  </cols>
  <sheetData>
    <row r="1" spans="1:14" ht="21.75" customHeight="1" thickBot="1" x14ac:dyDescent="0.25">
      <c r="A1" s="540" t="s">
        <v>1288</v>
      </c>
      <c r="B1" s="541"/>
      <c r="C1" s="541"/>
      <c r="D1" s="541"/>
      <c r="E1" s="541"/>
      <c r="F1" s="541"/>
      <c r="G1" s="541"/>
      <c r="H1" s="541"/>
      <c r="I1" s="541"/>
      <c r="J1" s="541"/>
      <c r="K1" s="542"/>
      <c r="L1" s="541"/>
      <c r="M1" s="543"/>
    </row>
    <row r="2" spans="1:14" ht="21" x14ac:dyDescent="0.25">
      <c r="A2" s="148" t="s">
        <v>10</v>
      </c>
      <c r="B2" s="149" t="s">
        <v>17</v>
      </c>
      <c r="C2" s="149"/>
      <c r="D2" s="149"/>
      <c r="E2" s="149"/>
      <c r="F2" s="149"/>
      <c r="G2" s="17"/>
      <c r="H2" s="17"/>
      <c r="I2" s="17"/>
      <c r="J2" s="17"/>
      <c r="K2" s="17"/>
      <c r="L2" s="17"/>
      <c r="M2" s="17"/>
    </row>
    <row r="3" spans="1:14" s="1" customFormat="1" ht="21" x14ac:dyDescent="0.25">
      <c r="A3" s="150" t="s">
        <v>18</v>
      </c>
      <c r="B3" s="151">
        <v>46204</v>
      </c>
      <c r="C3" s="151">
        <v>46174</v>
      </c>
      <c r="D3" s="151">
        <v>46143</v>
      </c>
      <c r="E3" s="151">
        <v>46113</v>
      </c>
      <c r="F3" s="150" t="s">
        <v>9</v>
      </c>
      <c r="G3" s="17"/>
      <c r="H3" s="17"/>
      <c r="I3" s="17"/>
      <c r="J3" s="17"/>
      <c r="K3" s="17"/>
      <c r="L3" s="17"/>
      <c r="M3" s="17"/>
      <c r="N3"/>
    </row>
    <row r="4" spans="1:14" ht="18" x14ac:dyDescent="0.2">
      <c r="A4" s="152" t="s">
        <v>2450</v>
      </c>
      <c r="B4" s="441">
        <v>5748.23</v>
      </c>
      <c r="C4" s="441"/>
      <c r="D4" s="441"/>
      <c r="E4" s="441"/>
      <c r="F4" s="441">
        <v>5748.23</v>
      </c>
      <c r="G4" s="17"/>
      <c r="H4" s="17"/>
      <c r="I4" s="17"/>
      <c r="J4" s="17"/>
      <c r="K4" s="17"/>
      <c r="L4" s="17"/>
      <c r="M4" s="17"/>
    </row>
    <row r="5" spans="1:14" ht="18" x14ac:dyDescent="0.2">
      <c r="A5" s="152" t="s">
        <v>2364</v>
      </c>
      <c r="B5" s="441">
        <v>1042.8799999999999</v>
      </c>
      <c r="C5" s="441"/>
      <c r="D5" s="441"/>
      <c r="E5" s="441"/>
      <c r="F5" s="441">
        <v>1042.8799999999999</v>
      </c>
      <c r="G5" s="17"/>
      <c r="H5" s="17"/>
      <c r="I5" s="17"/>
      <c r="J5" s="17"/>
      <c r="K5" s="17"/>
      <c r="L5" s="17"/>
      <c r="M5" s="17"/>
    </row>
    <row r="6" spans="1:14" ht="18" x14ac:dyDescent="0.2">
      <c r="A6" s="152" t="s">
        <v>103</v>
      </c>
      <c r="B6" s="441">
        <v>181.02</v>
      </c>
      <c r="C6" s="441">
        <v>290.01</v>
      </c>
      <c r="D6" s="441">
        <v>202.06</v>
      </c>
      <c r="E6" s="441">
        <v>245.65000000000003</v>
      </c>
      <c r="F6" s="442">
        <v>918.74</v>
      </c>
      <c r="G6" s="17"/>
      <c r="H6" s="17"/>
      <c r="I6" s="17"/>
      <c r="J6" s="17"/>
      <c r="K6" s="17"/>
      <c r="L6" s="17"/>
      <c r="M6" s="17"/>
    </row>
    <row r="7" spans="1:14" ht="18" x14ac:dyDescent="0.2">
      <c r="A7" s="152" t="s">
        <v>202</v>
      </c>
      <c r="B7" s="441">
        <v>50.57</v>
      </c>
      <c r="C7" s="441">
        <v>89.63</v>
      </c>
      <c r="D7" s="441">
        <v>495.22999999999996</v>
      </c>
      <c r="E7" s="441">
        <v>245.76999999999998</v>
      </c>
      <c r="F7" s="442">
        <v>881.19999999999993</v>
      </c>
      <c r="G7" s="17"/>
      <c r="H7" s="17"/>
      <c r="I7" s="17"/>
      <c r="J7" s="17"/>
      <c r="K7" s="17"/>
      <c r="L7" s="17"/>
      <c r="M7" s="17"/>
    </row>
    <row r="8" spans="1:14" ht="18" x14ac:dyDescent="0.2">
      <c r="A8" s="152" t="s">
        <v>59</v>
      </c>
      <c r="B8" s="441">
        <v>36.43</v>
      </c>
      <c r="C8" s="441">
        <v>175.44</v>
      </c>
      <c r="D8" s="441">
        <v>337.28000000000003</v>
      </c>
      <c r="E8" s="441">
        <v>324.22000000000003</v>
      </c>
      <c r="F8" s="442">
        <v>873.37000000000012</v>
      </c>
      <c r="G8" s="17"/>
      <c r="H8" s="17"/>
      <c r="I8" s="17"/>
      <c r="J8" s="17"/>
      <c r="K8" s="17"/>
      <c r="L8" s="17"/>
      <c r="M8" s="17"/>
    </row>
    <row r="9" spans="1:14" ht="18" x14ac:dyDescent="0.2">
      <c r="A9" s="152" t="s">
        <v>55</v>
      </c>
      <c r="B9" s="441"/>
      <c r="C9" s="441">
        <v>134.57999999999998</v>
      </c>
      <c r="D9" s="441">
        <v>360.69</v>
      </c>
      <c r="E9" s="441">
        <v>242.33</v>
      </c>
      <c r="F9" s="442">
        <v>737.6</v>
      </c>
      <c r="G9" s="17"/>
      <c r="H9" s="17"/>
      <c r="I9" s="17"/>
      <c r="J9" s="17"/>
      <c r="K9" s="17"/>
      <c r="L9" s="17"/>
      <c r="M9" s="17"/>
    </row>
    <row r="10" spans="1:14" ht="18" x14ac:dyDescent="0.2">
      <c r="A10" s="152" t="s">
        <v>143</v>
      </c>
      <c r="B10" s="441"/>
      <c r="C10" s="441"/>
      <c r="D10" s="441">
        <v>300</v>
      </c>
      <c r="E10" s="441">
        <v>400</v>
      </c>
      <c r="F10" s="442">
        <v>700</v>
      </c>
      <c r="G10" s="17"/>
      <c r="H10" s="17"/>
      <c r="I10" s="17"/>
      <c r="J10" s="17"/>
      <c r="K10" s="17"/>
      <c r="L10" s="17"/>
      <c r="M10" s="17"/>
    </row>
    <row r="11" spans="1:14" ht="18" x14ac:dyDescent="0.2">
      <c r="A11" s="152" t="s">
        <v>53</v>
      </c>
      <c r="B11" s="441">
        <v>128.09</v>
      </c>
      <c r="C11" s="441">
        <v>134</v>
      </c>
      <c r="D11" s="441">
        <v>79.56</v>
      </c>
      <c r="E11" s="441">
        <v>163</v>
      </c>
      <c r="F11" s="442">
        <v>504.65000000000003</v>
      </c>
      <c r="G11" s="17"/>
      <c r="H11" s="17"/>
      <c r="I11" s="17"/>
      <c r="J11" s="17"/>
      <c r="K11" s="17"/>
      <c r="L11" s="17"/>
      <c r="M11" s="17"/>
    </row>
    <row r="12" spans="1:14" ht="18" x14ac:dyDescent="0.2">
      <c r="A12" s="152" t="s">
        <v>184</v>
      </c>
      <c r="B12" s="441"/>
      <c r="C12" s="441">
        <v>100</v>
      </c>
      <c r="D12" s="441">
        <v>50</v>
      </c>
      <c r="E12" s="441">
        <v>50</v>
      </c>
      <c r="F12" s="442">
        <v>200</v>
      </c>
      <c r="G12" s="17"/>
      <c r="H12" s="17"/>
      <c r="I12" s="17"/>
      <c r="J12" s="17"/>
      <c r="K12" s="17"/>
      <c r="L12" s="17"/>
      <c r="M12" s="17"/>
    </row>
    <row r="13" spans="1:14" ht="18" x14ac:dyDescent="0.2">
      <c r="A13" s="152" t="s">
        <v>714</v>
      </c>
      <c r="B13" s="441">
        <v>33.96</v>
      </c>
      <c r="C13" s="441">
        <v>55.03</v>
      </c>
      <c r="D13" s="441">
        <v>52.17</v>
      </c>
      <c r="E13" s="441"/>
      <c r="F13" s="442">
        <v>141.16000000000003</v>
      </c>
      <c r="G13" s="17"/>
      <c r="H13" s="17"/>
      <c r="I13" s="17"/>
      <c r="J13" s="17"/>
      <c r="K13" s="17"/>
      <c r="L13" s="17"/>
      <c r="M13" s="17"/>
    </row>
    <row r="14" spans="1:14" ht="18" x14ac:dyDescent="0.2">
      <c r="A14" s="152" t="s">
        <v>152</v>
      </c>
      <c r="B14" s="441">
        <v>18.350000000000001</v>
      </c>
      <c r="C14" s="441">
        <v>24.75</v>
      </c>
      <c r="D14" s="441">
        <v>22.939999999999998</v>
      </c>
      <c r="E14" s="441">
        <v>9.89</v>
      </c>
      <c r="F14" s="442">
        <v>75.929999999999993</v>
      </c>
      <c r="G14" s="17"/>
      <c r="H14" s="17"/>
      <c r="I14" s="17"/>
      <c r="J14" s="17"/>
      <c r="K14" s="17"/>
      <c r="L14" s="17"/>
      <c r="M14" s="17"/>
    </row>
    <row r="15" spans="1:14" ht="18" x14ac:dyDescent="0.2">
      <c r="A15" s="152" t="s">
        <v>93</v>
      </c>
      <c r="B15" s="441"/>
      <c r="C15" s="441"/>
      <c r="D15" s="441">
        <v>19.78</v>
      </c>
      <c r="E15" s="441">
        <v>47.42</v>
      </c>
      <c r="F15" s="442">
        <v>67.2</v>
      </c>
      <c r="G15" s="17"/>
      <c r="H15" s="17"/>
      <c r="I15" s="17"/>
      <c r="J15" s="17"/>
      <c r="K15" s="17"/>
      <c r="L15" s="17"/>
      <c r="M15" s="17"/>
    </row>
    <row r="16" spans="1:14" ht="18" x14ac:dyDescent="0.2">
      <c r="A16" s="152" t="s">
        <v>56</v>
      </c>
      <c r="B16" s="441">
        <v>7</v>
      </c>
      <c r="C16" s="441">
        <v>13</v>
      </c>
      <c r="D16" s="441">
        <v>13</v>
      </c>
      <c r="E16" s="441">
        <v>9</v>
      </c>
      <c r="F16" s="442">
        <v>42</v>
      </c>
      <c r="G16" s="17"/>
      <c r="H16" s="17"/>
      <c r="I16" s="17"/>
      <c r="J16" s="17"/>
      <c r="K16" s="17"/>
      <c r="L16" s="17"/>
      <c r="M16" s="17"/>
    </row>
    <row r="17" spans="1:13" ht="18" x14ac:dyDescent="0.2">
      <c r="A17" s="152" t="s">
        <v>257</v>
      </c>
      <c r="B17" s="441"/>
      <c r="C17" s="441">
        <v>31.34</v>
      </c>
      <c r="D17" s="441">
        <v>10</v>
      </c>
      <c r="E17" s="441"/>
      <c r="F17" s="441">
        <v>41.34</v>
      </c>
      <c r="G17" s="17"/>
      <c r="H17" s="17"/>
      <c r="I17" s="17"/>
      <c r="J17" s="17"/>
      <c r="K17" s="17"/>
      <c r="L17" s="17"/>
      <c r="M17" s="17"/>
    </row>
    <row r="18" spans="1:13" ht="18" x14ac:dyDescent="0.2">
      <c r="A18" s="152" t="s">
        <v>57</v>
      </c>
      <c r="B18" s="441"/>
      <c r="C18" s="441">
        <v>29.82</v>
      </c>
      <c r="D18" s="441">
        <v>5.63</v>
      </c>
      <c r="E18" s="441"/>
      <c r="F18" s="442">
        <v>35.450000000000003</v>
      </c>
      <c r="G18" s="17"/>
      <c r="H18" s="17"/>
      <c r="I18" s="17"/>
      <c r="J18" s="17"/>
      <c r="K18" s="17"/>
      <c r="L18" s="17"/>
      <c r="M18" s="17"/>
    </row>
    <row r="19" spans="1:13" ht="18" x14ac:dyDescent="0.2">
      <c r="A19" s="152" t="s">
        <v>137</v>
      </c>
      <c r="B19" s="441"/>
      <c r="C19" s="441"/>
      <c r="D19" s="441"/>
      <c r="E19" s="441">
        <v>30.01</v>
      </c>
      <c r="F19" s="442">
        <v>30.01</v>
      </c>
      <c r="G19" s="17"/>
      <c r="H19" s="17"/>
      <c r="I19" s="17"/>
      <c r="J19" s="17"/>
      <c r="K19" s="17"/>
      <c r="L19" s="17"/>
      <c r="M19" s="17"/>
    </row>
    <row r="20" spans="1:13" ht="18" x14ac:dyDescent="0.2">
      <c r="A20" s="152" t="s">
        <v>51</v>
      </c>
      <c r="B20" s="441"/>
      <c r="C20" s="441"/>
      <c r="D20" s="441">
        <v>25</v>
      </c>
      <c r="E20" s="441"/>
      <c r="F20" s="442">
        <v>25</v>
      </c>
    </row>
    <row r="21" spans="1:13" ht="18" x14ac:dyDescent="0.2">
      <c r="A21" s="152" t="s">
        <v>95</v>
      </c>
      <c r="B21" s="441">
        <v>20</v>
      </c>
      <c r="C21" s="441"/>
      <c r="D21" s="441"/>
      <c r="E21" s="441"/>
      <c r="F21" s="442">
        <v>20</v>
      </c>
    </row>
    <row r="22" spans="1:13" ht="18" x14ac:dyDescent="0.2">
      <c r="A22" s="152" t="s">
        <v>552</v>
      </c>
      <c r="B22" s="441"/>
      <c r="C22" s="441">
        <v>8.9499999999999993</v>
      </c>
      <c r="D22" s="441"/>
      <c r="E22" s="441"/>
      <c r="F22" s="442">
        <v>8.9499999999999993</v>
      </c>
    </row>
    <row r="23" spans="1:13" ht="18" x14ac:dyDescent="0.2">
      <c r="A23" s="152" t="s">
        <v>1483</v>
      </c>
      <c r="B23" s="441">
        <v>5</v>
      </c>
      <c r="C23" s="441"/>
      <c r="D23" s="441"/>
      <c r="E23" s="441"/>
      <c r="F23" s="441">
        <v>5</v>
      </c>
    </row>
    <row r="24" spans="1:13" ht="18" x14ac:dyDescent="0.2">
      <c r="A24" s="153" t="s">
        <v>9</v>
      </c>
      <c r="B24" s="442">
        <v>7271.53</v>
      </c>
      <c r="C24" s="442">
        <v>1086.55</v>
      </c>
      <c r="D24" s="442">
        <v>1973.3400000000001</v>
      </c>
      <c r="E24" s="442">
        <v>1767.2900000000002</v>
      </c>
      <c r="F24" s="442">
        <v>12098.71</v>
      </c>
    </row>
  </sheetData>
  <sheetProtection formatCells="0" formatColumns="0" formatRows="0" insertRows="0" deleteRows="0" sort="0" autoFilter="0"/>
  <mergeCells count="1">
    <mergeCell ref="A1:M1"/>
  </mergeCells>
  <hyperlinks>
    <hyperlink ref="K1" location="Index!A1" display="→ Index" xr:uid="{65CBF046-FF6B-7D46-8A91-523003243ADD}"/>
  </hyperlinks>
  <pageMargins left="0.7" right="0.7" top="0.75" bottom="0.75" header="0.3" footer="0.3"/>
  <pageSetup paperSize="9" orientation="portrait" horizontalDpi="0" verticalDpi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04314-EBE9-414F-B706-C9E3D5F1629D}">
  <sheetPr codeName="Sheet31">
    <pageSetUpPr fitToPage="1"/>
  </sheetPr>
  <dimension ref="A1:X95"/>
  <sheetViews>
    <sheetView zoomScale="130" zoomScaleNormal="130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1.6640625" customWidth="1"/>
    <col min="3" max="3" width="9.5" customWidth="1"/>
    <col min="4" max="4" width="14.6640625" customWidth="1"/>
    <col min="5" max="5" width="15.1640625" customWidth="1"/>
    <col min="6" max="6" width="14.5" customWidth="1"/>
    <col min="7" max="7" width="19.1640625" customWidth="1"/>
    <col min="8" max="8" width="10.6640625" customWidth="1"/>
    <col min="9" max="9" width="17.5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2" max="22" width="11.6640625" customWidth="1"/>
    <col min="24" max="24" width="13.83203125" customWidth="1"/>
  </cols>
  <sheetData>
    <row r="1" spans="1:24" ht="34" customHeight="1" x14ac:dyDescent="0.2">
      <c r="A1" s="521" t="s">
        <v>184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2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5" customHeight="1" thickBot="1" x14ac:dyDescent="0.25">
      <c r="A3" s="530" t="str">
        <f>"for The Month of  "&amp;TEXT(MAX(A5:A50),"mmmm-yyyy")</f>
        <v>for The Month of  August-2026</v>
      </c>
      <c r="B3" s="525"/>
      <c r="C3" s="525"/>
      <c r="D3" s="525"/>
      <c r="E3" s="525"/>
      <c r="F3" s="525"/>
      <c r="G3" s="526"/>
      <c r="H3" s="17"/>
      <c r="I3" s="17"/>
      <c r="J3" s="17"/>
      <c r="K3" s="157" t="s">
        <v>184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65" t="s">
        <v>6</v>
      </c>
      <c r="B4" s="66" t="s">
        <v>1179</v>
      </c>
      <c r="C4" s="66" t="s">
        <v>1180</v>
      </c>
      <c r="D4" s="66" t="s">
        <v>4</v>
      </c>
      <c r="E4" s="66" t="s">
        <v>1181</v>
      </c>
      <c r="F4" s="66" t="s">
        <v>1183</v>
      </c>
      <c r="G4" s="67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68">
        <v>46235</v>
      </c>
      <c r="B5" s="158"/>
      <c r="C5" s="162"/>
      <c r="D5" s="158"/>
      <c r="E5" s="61">
        <f>SUMIFS(MasterPaid[Amount Paid],MasterPaid[Customer],$K$29,MasterPaid[Date],$A5)</f>
        <v>0</v>
      </c>
      <c r="F5" s="42"/>
      <c r="G5" s="154">
        <f>INDEX(Outstanding!$N$4:$Z$69,MATCH("OIC Jharsuguda FS",Outstanding!$M$4:$M$66,0),MATCH($A$5,Outstanding!$N$3:$Z$3,0))</f>
        <v>195549.5</v>
      </c>
      <c r="H5" s="20"/>
      <c r="I5" s="58">
        <f>G5+SUM(D5:D53)-SUM(E5:E53)</f>
        <v>76804.5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x14ac:dyDescent="0.25">
      <c r="A6" s="71" cm="1">
        <f t="array" ref="A6">IFERROR(INDEX(_xlfn.ANCHORARRAY($K$6),ROW()-5,1),"")</f>
        <v>46248</v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>0</v>
      </c>
      <c r="E6" s="61">
        <f>IF($H6="TOTAL",0,IF($A6="",0,IF(COUNTIF($A$6:$A6,$A6)=1,SUMIFS(MasterPaid[Amount Paid],MasterPaid[Customer],$K$3,MasterPaid[Date],$A6),0)))</f>
        <v>118745</v>
      </c>
      <c r="F6" s="62" t="str" cm="1">
        <f t="array" ref="F6">IFERROR(INDEX(_xlfn.ANCHORARRAY($K$6),ROW()-5,2),"")</f>
        <v/>
      </c>
      <c r="G6" s="57">
        <f>IF($H6="TOTAL",IFERROR(LOOKUP(9.99E+307,$G$5:$G5),""),IF($A6="","",G5+N(D6)-N(E6)))</f>
        <v>76804.5</v>
      </c>
      <c r="H6" s="20"/>
      <c r="I6" s="20"/>
      <c r="J6" s="20"/>
      <c r="K6" cm="1">
        <f t="array" ref="K6:L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>46248</v>
      </c>
      <c r="L6" s="17" t="str">
        <v/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x14ac:dyDescent="0.25">
      <c r="A7" s="71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71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71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OIC Jharsuguda FS</v>
      </c>
      <c r="R9" s="44"/>
      <c r="S9" s="44"/>
      <c r="T9" s="44"/>
      <c r="U9" s="45"/>
      <c r="V9" s="45"/>
      <c r="W9" s="46" t="s">
        <v>1282</v>
      </c>
      <c r="X9" s="47">
        <f ca="1">EOMONTH(TODAY(),0)</f>
        <v>46265</v>
      </c>
    </row>
    <row r="10" spans="1:24" ht="21.75" x14ac:dyDescent="0.25">
      <c r="A10" s="71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71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/>
      </c>
      <c r="R11" s="50"/>
      <c r="S11" s="50"/>
      <c r="T11" s="50"/>
      <c r="U11" s="50"/>
      <c r="V11" s="50"/>
      <c r="W11" s="50"/>
      <c r="X11" s="17"/>
    </row>
    <row r="12" spans="1:24" ht="21.75" customHeight="1" x14ac:dyDescent="0.25">
      <c r="A12" s="71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71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_xlpm.all,_xlfn.VSTACK(_xlpm.hsd,_xlpm.ms,_xlpm.xg),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71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80"/>
      <c r="R14" s="181"/>
      <c r="S14" s="182"/>
      <c r="T14" s="182"/>
      <c r="U14" s="182"/>
      <c r="V14" s="182"/>
      <c r="W14" s="185"/>
      <c r="X14" s="182"/>
    </row>
    <row r="15" spans="1:24" ht="21.75" x14ac:dyDescent="0.25">
      <c r="A15" s="71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184"/>
      <c r="X15" s="53"/>
    </row>
    <row r="16" spans="1:24" ht="21.75" customHeight="1" x14ac:dyDescent="0.25">
      <c r="A16" s="71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80"/>
      <c r="R16" s="181"/>
      <c r="S16" s="182"/>
      <c r="T16" s="182"/>
      <c r="U16" s="182"/>
      <c r="V16" s="183"/>
      <c r="W16" s="185"/>
      <c r="X16" s="182"/>
    </row>
    <row r="17" spans="1:24" ht="21.75" x14ac:dyDescent="0.25">
      <c r="A17" s="71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47"/>
      <c r="S17" s="44"/>
      <c r="T17" s="44"/>
      <c r="U17" s="44"/>
      <c r="V17" s="55"/>
      <c r="W17" s="210"/>
      <c r="X17" s="44"/>
    </row>
    <row r="18" spans="1:24" ht="21.75" x14ac:dyDescent="0.25">
      <c r="A18" s="71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47"/>
      <c r="S18" s="44"/>
      <c r="T18" s="44"/>
      <c r="U18" s="44"/>
      <c r="V18" s="55"/>
      <c r="W18" s="210"/>
      <c r="X18" s="44"/>
    </row>
    <row r="19" spans="1:24" ht="21.75" x14ac:dyDescent="0.25">
      <c r="A19" s="71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47"/>
      <c r="S19" s="44"/>
      <c r="T19" s="44"/>
      <c r="U19" s="44"/>
      <c r="V19" s="55"/>
      <c r="W19" s="210"/>
      <c r="X19" s="44"/>
    </row>
    <row r="20" spans="1:24" ht="21.75" x14ac:dyDescent="0.25">
      <c r="A20" s="71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47"/>
      <c r="S20" s="44"/>
      <c r="T20" s="44"/>
      <c r="U20" s="44"/>
      <c r="V20" s="55"/>
      <c r="W20" s="210"/>
      <c r="X20" s="44"/>
    </row>
    <row r="21" spans="1:24" ht="21.75" x14ac:dyDescent="0.25">
      <c r="A21" s="71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47"/>
      <c r="S21" s="44"/>
      <c r="T21" s="44"/>
      <c r="U21" s="44"/>
      <c r="V21" s="55"/>
      <c r="W21" s="210"/>
      <c r="X21" s="44"/>
    </row>
    <row r="22" spans="1:24" ht="21.75" x14ac:dyDescent="0.25">
      <c r="A22" s="71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80"/>
      <c r="R22" s="211"/>
      <c r="S22" s="212"/>
      <c r="T22" s="212"/>
      <c r="U22" s="212"/>
      <c r="V22" s="213"/>
      <c r="W22" s="214"/>
      <c r="X22" s="212"/>
    </row>
    <row r="23" spans="1:24" ht="21.75" customHeight="1" x14ac:dyDescent="0.25">
      <c r="A23" s="71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47"/>
      <c r="S23" s="44"/>
      <c r="T23" s="44"/>
      <c r="U23" s="54"/>
      <c r="V23" s="55"/>
      <c r="W23" s="54"/>
      <c r="X23" s="44"/>
    </row>
    <row r="24" spans="1:24" ht="21.75" x14ac:dyDescent="0.25">
      <c r="A24" s="71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47"/>
      <c r="S24" s="44"/>
      <c r="T24" s="44"/>
      <c r="U24" s="54"/>
      <c r="V24" s="55"/>
      <c r="W24" s="54"/>
      <c r="X24" s="44"/>
    </row>
    <row r="25" spans="1:24" ht="23" x14ac:dyDescent="0.25">
      <c r="A25" s="71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47"/>
      <c r="S25" s="44"/>
      <c r="T25" s="44"/>
      <c r="U25" s="54"/>
      <c r="V25" s="55"/>
      <c r="W25" s="54"/>
      <c r="X25" s="44"/>
    </row>
    <row r="26" spans="1:24" ht="23" x14ac:dyDescent="0.25">
      <c r="A26" s="71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47"/>
      <c r="S26" s="44"/>
      <c r="T26" s="44"/>
      <c r="U26" s="54"/>
      <c r="V26" s="55"/>
      <c r="W26" s="54"/>
      <c r="X26" s="44"/>
    </row>
    <row r="27" spans="1:24" ht="23" x14ac:dyDescent="0.25">
      <c r="A27" s="71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47"/>
      <c r="S27" s="44"/>
      <c r="T27" s="44"/>
      <c r="U27" s="54"/>
      <c r="V27" s="55"/>
      <c r="W27" s="54"/>
      <c r="X27" s="44"/>
    </row>
    <row r="28" spans="1:24" ht="23" x14ac:dyDescent="0.25">
      <c r="A28" s="71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47"/>
      <c r="S28" s="44"/>
      <c r="T28" s="44"/>
      <c r="U28" s="54"/>
      <c r="V28" s="55"/>
      <c r="W28" s="54"/>
      <c r="X28" s="44"/>
    </row>
    <row r="29" spans="1:24" ht="23" x14ac:dyDescent="0.25">
      <c r="A29" s="71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31"/>
      <c r="L29" s="17"/>
      <c r="M29" s="17"/>
      <c r="N29" s="17"/>
      <c r="O29" s="17"/>
      <c r="P29" s="17"/>
      <c r="Q29" s="17"/>
      <c r="R29" s="47"/>
      <c r="S29" s="44"/>
      <c r="T29" s="44"/>
      <c r="U29" s="54"/>
      <c r="V29" s="55"/>
      <c r="W29" s="54"/>
      <c r="X29" s="44"/>
    </row>
    <row r="30" spans="1:24" ht="23" x14ac:dyDescent="0.25">
      <c r="A30" s="71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47"/>
      <c r="S30" s="44"/>
      <c r="T30" s="44"/>
      <c r="U30" s="54"/>
      <c r="V30" s="55"/>
      <c r="W30" s="54"/>
      <c r="X30" s="44"/>
    </row>
    <row r="31" spans="1:24" ht="23" x14ac:dyDescent="0.25">
      <c r="A31" s="71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47"/>
      <c r="S31" s="44"/>
      <c r="T31" s="44"/>
      <c r="U31" s="54"/>
      <c r="V31" s="55"/>
      <c r="W31" s="54"/>
      <c r="X31" s="44"/>
    </row>
    <row r="32" spans="1:24" ht="23" x14ac:dyDescent="0.25">
      <c r="A32" s="71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47"/>
      <c r="S32" s="44"/>
      <c r="T32" s="44"/>
      <c r="U32" s="54"/>
      <c r="V32" s="55"/>
      <c r="W32" s="54"/>
      <c r="X32" s="44"/>
    </row>
    <row r="33" spans="1:24" ht="23" x14ac:dyDescent="0.25">
      <c r="A33" s="71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47"/>
      <c r="S33" s="44"/>
      <c r="T33" s="44"/>
      <c r="U33" s="54"/>
      <c r="V33" s="55"/>
      <c r="W33" s="54"/>
      <c r="X33" s="44"/>
    </row>
    <row r="34" spans="1:24" ht="23" x14ac:dyDescent="0.25">
      <c r="A34" s="71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47"/>
      <c r="S34" s="44"/>
      <c r="T34" s="44"/>
      <c r="U34" s="54"/>
      <c r="V34" s="55"/>
      <c r="W34" s="54"/>
      <c r="X34" s="44"/>
    </row>
    <row r="35" spans="1:24" ht="23" x14ac:dyDescent="0.25">
      <c r="A35" s="71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47"/>
      <c r="S35" s="44"/>
      <c r="T35" s="44"/>
      <c r="U35" s="54"/>
      <c r="V35" s="55"/>
      <c r="W35" s="54"/>
      <c r="X35" s="44"/>
    </row>
    <row r="36" spans="1:24" ht="23" x14ac:dyDescent="0.25">
      <c r="A36" s="71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47"/>
      <c r="S36" s="44"/>
      <c r="T36" s="44"/>
      <c r="U36" s="54"/>
      <c r="V36" s="55"/>
      <c r="W36" s="54"/>
      <c r="X36" s="44"/>
    </row>
    <row r="37" spans="1:24" ht="23" x14ac:dyDescent="0.25">
      <c r="A37" s="71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47"/>
      <c r="S37" s="44"/>
      <c r="T37" s="44"/>
      <c r="U37" s="54"/>
      <c r="V37" s="55"/>
      <c r="W37" s="54"/>
      <c r="X37" s="44"/>
    </row>
    <row r="38" spans="1:24" ht="23" x14ac:dyDescent="0.25">
      <c r="A38" s="71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47"/>
      <c r="S38" s="44"/>
      <c r="T38" s="44"/>
      <c r="U38" s="54"/>
      <c r="V38" s="55"/>
      <c r="W38" s="54"/>
      <c r="X38" s="44"/>
    </row>
    <row r="39" spans="1:24" ht="23" x14ac:dyDescent="0.25">
      <c r="A39" s="71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47"/>
      <c r="S39" s="44"/>
      <c r="T39" s="44"/>
      <c r="U39" s="54"/>
      <c r="V39" s="55"/>
      <c r="W39" s="54"/>
      <c r="X39" s="44"/>
    </row>
    <row r="40" spans="1:24" ht="23" x14ac:dyDescent="0.25">
      <c r="A40" s="71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47"/>
      <c r="S40" s="44"/>
      <c r="T40" s="44"/>
      <c r="U40" s="54"/>
      <c r="V40" s="55"/>
      <c r="W40" s="54"/>
      <c r="X40" s="44"/>
    </row>
    <row r="41" spans="1:24" ht="23" x14ac:dyDescent="0.25">
      <c r="A41" s="71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47"/>
      <c r="S41" s="44"/>
      <c r="T41" s="44"/>
      <c r="U41" s="54"/>
      <c r="V41" s="55"/>
      <c r="W41" s="54"/>
      <c r="X41" s="44"/>
    </row>
    <row r="42" spans="1:24" ht="23" x14ac:dyDescent="0.25">
      <c r="A42" s="71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47"/>
      <c r="S42" s="44"/>
      <c r="T42" s="44"/>
      <c r="U42" s="54"/>
      <c r="V42" s="55"/>
      <c r="W42" s="54"/>
      <c r="X42" s="44"/>
    </row>
    <row r="43" spans="1:24" ht="23" x14ac:dyDescent="0.25">
      <c r="A43" s="71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47"/>
      <c r="S43" s="44"/>
      <c r="T43" s="44"/>
      <c r="U43" s="54"/>
      <c r="V43" s="55"/>
      <c r="W43" s="54"/>
      <c r="X43" s="44"/>
    </row>
    <row r="44" spans="1:24" ht="23" x14ac:dyDescent="0.25">
      <c r="A44" s="71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47"/>
      <c r="S44" s="44"/>
      <c r="T44" s="44"/>
      <c r="U44" s="54"/>
      <c r="V44" s="55"/>
      <c r="W44" s="54"/>
      <c r="X44" s="44"/>
    </row>
    <row r="45" spans="1:24" ht="23" x14ac:dyDescent="0.25">
      <c r="A45" s="71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47"/>
      <c r="S45" s="44"/>
      <c r="T45" s="44"/>
      <c r="U45" s="54"/>
      <c r="V45" s="55"/>
      <c r="W45" s="54"/>
      <c r="X45" s="44"/>
    </row>
    <row r="46" spans="1:24" ht="23" x14ac:dyDescent="0.25">
      <c r="A46" s="71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47"/>
      <c r="S46" s="44"/>
      <c r="T46" s="44"/>
      <c r="U46" s="54"/>
      <c r="V46" s="55"/>
      <c r="W46" s="54"/>
      <c r="X46" s="44"/>
    </row>
    <row r="47" spans="1:24" ht="23" x14ac:dyDescent="0.25">
      <c r="A47" s="71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20"/>
      <c r="I47" s="20"/>
      <c r="J47" s="20"/>
      <c r="K47" s="17"/>
      <c r="L47" s="17"/>
      <c r="M47" s="17"/>
      <c r="N47" s="17"/>
      <c r="O47" s="17"/>
      <c r="P47" s="17"/>
      <c r="Q47" s="17"/>
      <c r="R47" s="47"/>
      <c r="S47" s="44"/>
      <c r="T47" s="44"/>
      <c r="U47" s="54"/>
      <c r="V47" s="55"/>
      <c r="W47" s="54"/>
      <c r="X47" s="44"/>
    </row>
    <row r="48" spans="1:24" ht="23" x14ac:dyDescent="0.25">
      <c r="A48" s="71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47"/>
      <c r="S48" s="44"/>
      <c r="T48" s="44"/>
      <c r="U48" s="54"/>
      <c r="V48" s="55"/>
      <c r="W48" s="54"/>
      <c r="X48" s="44"/>
    </row>
    <row r="49" spans="1:24" ht="23" x14ac:dyDescent="0.25">
      <c r="A49" s="71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47"/>
      <c r="S49" s="44"/>
      <c r="T49" s="44"/>
      <c r="U49" s="54"/>
      <c r="V49" s="55"/>
      <c r="W49" s="54"/>
      <c r="X49" s="44"/>
    </row>
    <row r="50" spans="1:24" ht="23" x14ac:dyDescent="0.25">
      <c r="A50" s="71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47"/>
      <c r="S50" s="44"/>
      <c r="T50" s="44"/>
      <c r="U50" s="54"/>
      <c r="V50" s="55"/>
      <c r="W50" s="54"/>
      <c r="X50" s="44"/>
    </row>
    <row r="51" spans="1:24" ht="23" x14ac:dyDescent="0.25">
      <c r="A51" s="71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47"/>
      <c r="S51" s="44"/>
      <c r="T51" s="44"/>
      <c r="U51" s="54"/>
      <c r="V51" s="55"/>
      <c r="W51" s="54"/>
      <c r="X51" s="44"/>
    </row>
    <row r="52" spans="1:24" ht="23" x14ac:dyDescent="0.25">
      <c r="A52" s="71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47"/>
      <c r="S52" s="44"/>
      <c r="T52" s="44"/>
      <c r="U52" s="54"/>
      <c r="V52" s="55"/>
      <c r="W52" s="54"/>
      <c r="X52" s="44"/>
    </row>
    <row r="53" spans="1:24" ht="23" x14ac:dyDescent="0.25">
      <c r="A53" s="71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47"/>
      <c r="S53" s="44"/>
      <c r="T53" s="44"/>
      <c r="U53" s="54"/>
      <c r="V53" s="55"/>
      <c r="W53" s="54"/>
      <c r="X53" s="44"/>
    </row>
    <row r="54" spans="1:24" ht="23" x14ac:dyDescent="0.25">
      <c r="A54" s="71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47"/>
      <c r="S54" s="44"/>
      <c r="T54" s="44"/>
      <c r="U54" s="54"/>
      <c r="V54" s="55"/>
      <c r="W54" s="54"/>
      <c r="X54" s="44"/>
    </row>
    <row r="55" spans="1:24" ht="23" x14ac:dyDescent="0.25">
      <c r="A55" s="71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47"/>
      <c r="S55" s="44"/>
      <c r="T55" s="44"/>
      <c r="U55" s="54"/>
      <c r="V55" s="55"/>
      <c r="W55" s="54"/>
      <c r="X55" s="44"/>
    </row>
    <row r="56" spans="1:24" ht="23" x14ac:dyDescent="0.25">
      <c r="A56" s="71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47"/>
      <c r="S56" s="44"/>
      <c r="T56" s="44"/>
      <c r="U56" s="54"/>
      <c r="V56" s="55"/>
      <c r="W56" s="54"/>
      <c r="X56" s="44"/>
    </row>
    <row r="57" spans="1:24" ht="23" x14ac:dyDescent="0.25">
      <c r="A57" s="71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47"/>
      <c r="S57" s="44"/>
      <c r="T57" s="44"/>
      <c r="U57" s="44"/>
      <c r="V57" s="44"/>
      <c r="W57" s="44"/>
      <c r="X57" s="44"/>
    </row>
    <row r="58" spans="1:24" ht="23" x14ac:dyDescent="0.25">
      <c r="A58" s="71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47"/>
      <c r="S58" s="44"/>
      <c r="T58" s="44"/>
      <c r="U58" s="44"/>
      <c r="V58" s="17"/>
      <c r="W58" s="17"/>
      <c r="X58" s="44"/>
    </row>
    <row r="59" spans="1:24" ht="23" x14ac:dyDescent="0.25">
      <c r="A59" s="71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23" x14ac:dyDescent="0.25">
      <c r="A60" s="71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23" x14ac:dyDescent="0.25">
      <c r="A61" s="71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23" x14ac:dyDescent="0.25">
      <c r="A62" s="71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23" x14ac:dyDescent="0.25">
      <c r="A63" s="71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23" x14ac:dyDescent="0.25">
      <c r="A64" s="71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23" x14ac:dyDescent="0.25">
      <c r="A65" s="71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23" x14ac:dyDescent="0.25">
      <c r="A66" s="71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23" x14ac:dyDescent="0.25">
      <c r="A67" s="71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23" x14ac:dyDescent="0.25">
      <c r="A68" s="71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23" x14ac:dyDescent="0.25">
      <c r="A69" s="71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23" x14ac:dyDescent="0.25">
      <c r="A70" s="71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23" x14ac:dyDescent="0.25">
      <c r="A71" s="71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23" x14ac:dyDescent="0.25">
      <c r="A72" s="71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23" x14ac:dyDescent="0.25">
      <c r="A73" s="71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23" x14ac:dyDescent="0.25">
      <c r="A74" s="71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23" x14ac:dyDescent="0.25">
      <c r="A75" s="71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23" x14ac:dyDescent="0.25">
      <c r="A76" s="71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23" x14ac:dyDescent="0.25">
      <c r="A77" s="71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23" x14ac:dyDescent="0.25">
      <c r="A78" s="71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71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71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71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71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71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71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71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ht="23" x14ac:dyDescent="0.25">
      <c r="A86" s="68"/>
      <c r="B86" s="40"/>
      <c r="C86" s="40"/>
      <c r="D86" s="40"/>
      <c r="E86" s="41"/>
      <c r="F86" s="42"/>
      <c r="G86" s="39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ht="23" x14ac:dyDescent="0.25">
      <c r="A87" s="68"/>
      <c r="B87" s="40"/>
      <c r="C87" s="40"/>
      <c r="D87" s="40"/>
      <c r="E87" s="41"/>
      <c r="F87" s="42"/>
      <c r="G87" s="39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ht="23" x14ac:dyDescent="0.25">
      <c r="A88" s="68"/>
      <c r="B88" s="40"/>
      <c r="C88" s="40"/>
      <c r="D88" s="40"/>
      <c r="E88" s="41"/>
      <c r="F88" s="42"/>
      <c r="G88" s="39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ht="23" x14ac:dyDescent="0.25">
      <c r="A89" s="68"/>
      <c r="B89" s="40"/>
      <c r="C89" s="40"/>
      <c r="D89" s="40"/>
      <c r="E89" s="41"/>
      <c r="F89" s="42"/>
      <c r="G89" s="39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ht="23" x14ac:dyDescent="0.25">
      <c r="A90" s="68"/>
      <c r="B90" s="40"/>
      <c r="C90" s="40"/>
      <c r="D90" s="40"/>
      <c r="E90" s="41"/>
      <c r="F90" s="42"/>
      <c r="G90" s="39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19" priority="12">
      <formula>AND($A6&lt;&gt;"",$A6=$A5)</formula>
    </cfRule>
  </conditionalFormatting>
  <conditionalFormatting sqref="A6:A85">
    <cfRule type="expression" dxfId="18" priority="8">
      <formula>$A6=$A5</formula>
    </cfRule>
  </conditionalFormatting>
  <conditionalFormatting sqref="B5:D92">
    <cfRule type="expression" dxfId="17" priority="3">
      <formula>$F5="PETROL"</formula>
    </cfRule>
  </conditionalFormatting>
  <conditionalFormatting sqref="B5:D95">
    <cfRule type="expression" dxfId="16" priority="5">
      <formula>AND(ISNUMBER(B5),MOD(B5,1)&lt;&gt;0)</formula>
    </cfRule>
  </conditionalFormatting>
  <conditionalFormatting sqref="B7:G60">
    <cfRule type="expression" dxfId="15" priority="11">
      <formula>$H7="TOTAL"</formula>
    </cfRule>
  </conditionalFormatting>
  <conditionalFormatting sqref="E5:E95">
    <cfRule type="expression" dxfId="14" priority="6">
      <formula>AND(ISNUMBER(E5),MOD(E5,1)&lt;&gt;0)</formula>
    </cfRule>
  </conditionalFormatting>
  <conditionalFormatting sqref="F5:F92">
    <cfRule type="expression" dxfId="13" priority="4">
      <formula>$F5="PETROL"</formula>
    </cfRule>
  </conditionalFormatting>
  <conditionalFormatting sqref="G5:G95">
    <cfRule type="expression" dxfId="12" priority="7">
      <formula>AND(ISNUMBER(G5),MOD(G5,1)&lt;&gt;0)</formula>
    </cfRule>
  </conditionalFormatting>
  <conditionalFormatting sqref="R13:R94">
    <cfRule type="expression" dxfId="11" priority="9">
      <formula>AND(R13&lt;&gt;"",R13=R12)</formula>
    </cfRule>
  </conditionalFormatting>
  <conditionalFormatting sqref="R13:X57 R58:U58 R59:X94 X58">
    <cfRule type="expression" dxfId="10" priority="10">
      <formula>$X13="Petrol"</formula>
    </cfRule>
  </conditionalFormatting>
  <hyperlinks>
    <hyperlink ref="K1" location="Index!A1" display="→ Index" xr:uid="{28B5809E-9A8F-5647-8059-A86B83267E55}"/>
  </hyperlinks>
  <printOptions horizontalCentered="1"/>
  <pageMargins left="0.25" right="0.25" top="0.25" bottom="1.35" header="0" footer="0.2"/>
  <pageSetup paperSize="9" fitToHeight="0" orientation="portrait" r:id="rId1"/>
  <headerFooter>
    <oddFooter>&amp;R&amp;G</oddFooter>
  </headerFooter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90CE0-84F3-DC4E-A743-0001F8922528}">
  <sheetPr codeName="Sheet10"/>
  <dimension ref="A1:L78"/>
  <sheetViews>
    <sheetView workbookViewId="0">
      <selection activeCell="H22" sqref="H22"/>
    </sheetView>
  </sheetViews>
  <sheetFormatPr baseColWidth="10" defaultColWidth="10.83203125" defaultRowHeight="16" x14ac:dyDescent="0.2"/>
  <cols>
    <col min="1" max="1" width="57" bestFit="1" customWidth="1"/>
    <col min="2" max="2" width="24.33203125" bestFit="1" customWidth="1"/>
  </cols>
  <sheetData>
    <row r="1" spans="1:12" x14ac:dyDescent="0.2">
      <c r="A1" s="157" t="s">
        <v>18</v>
      </c>
      <c r="B1" s="157" t="s">
        <v>1795</v>
      </c>
      <c r="G1" s="216" t="s">
        <v>1800</v>
      </c>
      <c r="L1" s="157" t="s">
        <v>501</v>
      </c>
    </row>
    <row r="2" spans="1:12" x14ac:dyDescent="0.2">
      <c r="A2" t="s">
        <v>1796</v>
      </c>
      <c r="B2" t="s">
        <v>1797</v>
      </c>
      <c r="G2" s="216" t="s">
        <v>1802</v>
      </c>
      <c r="L2" s="157" t="s">
        <v>134</v>
      </c>
    </row>
    <row r="3" spans="1:12" x14ac:dyDescent="0.2">
      <c r="A3" t="s">
        <v>1483</v>
      </c>
      <c r="B3" t="s">
        <v>1798</v>
      </c>
      <c r="G3" s="216" t="s">
        <v>255</v>
      </c>
      <c r="L3" s="157" t="s">
        <v>92</v>
      </c>
    </row>
    <row r="4" spans="1:12" x14ac:dyDescent="0.2">
      <c r="A4" t="s">
        <v>1073</v>
      </c>
      <c r="B4" t="s">
        <v>1799</v>
      </c>
      <c r="G4" s="216" t="s">
        <v>302</v>
      </c>
    </row>
    <row r="5" spans="1:12" x14ac:dyDescent="0.2">
      <c r="A5" t="s">
        <v>1800</v>
      </c>
      <c r="B5" t="s">
        <v>1801</v>
      </c>
      <c r="G5" s="216" t="s">
        <v>1532</v>
      </c>
    </row>
    <row r="6" spans="1:12" x14ac:dyDescent="0.2">
      <c r="A6" t="s">
        <v>1802</v>
      </c>
      <c r="B6" t="s">
        <v>1803</v>
      </c>
      <c r="G6" s="216" t="s">
        <v>1036</v>
      </c>
    </row>
    <row r="7" spans="1:12" x14ac:dyDescent="0.2">
      <c r="A7" t="s">
        <v>1804</v>
      </c>
      <c r="B7" t="s">
        <v>1805</v>
      </c>
      <c r="G7" s="216" t="s">
        <v>1822</v>
      </c>
    </row>
    <row r="8" spans="1:12" x14ac:dyDescent="0.2">
      <c r="A8" t="s">
        <v>255</v>
      </c>
      <c r="B8" t="s">
        <v>1806</v>
      </c>
      <c r="G8" s="216" t="s">
        <v>2043</v>
      </c>
    </row>
    <row r="9" spans="1:12" x14ac:dyDescent="0.2">
      <c r="A9" t="s">
        <v>1807</v>
      </c>
      <c r="B9" t="s">
        <v>1808</v>
      </c>
      <c r="G9" s="216" t="s">
        <v>1444</v>
      </c>
    </row>
    <row r="10" spans="1:12" x14ac:dyDescent="0.2">
      <c r="A10" t="s">
        <v>199</v>
      </c>
      <c r="B10" t="s">
        <v>1809</v>
      </c>
      <c r="G10" s="216" t="s">
        <v>1839</v>
      </c>
    </row>
    <row r="11" spans="1:12" x14ac:dyDescent="0.2">
      <c r="A11" t="s">
        <v>95</v>
      </c>
      <c r="B11" t="s">
        <v>1810</v>
      </c>
      <c r="G11" s="216" t="s">
        <v>1856</v>
      </c>
    </row>
    <row r="12" spans="1:12" x14ac:dyDescent="0.2">
      <c r="A12" t="s">
        <v>153</v>
      </c>
      <c r="B12" t="s">
        <v>1811</v>
      </c>
      <c r="G12" s="216" t="s">
        <v>1863</v>
      </c>
    </row>
    <row r="13" spans="1:12" x14ac:dyDescent="0.2">
      <c r="A13" t="s">
        <v>1812</v>
      </c>
      <c r="B13" t="s">
        <v>1813</v>
      </c>
      <c r="G13" s="216" t="s">
        <v>584</v>
      </c>
    </row>
    <row r="14" spans="1:12" x14ac:dyDescent="0.2">
      <c r="A14" t="s">
        <v>1814</v>
      </c>
      <c r="B14" t="s">
        <v>1815</v>
      </c>
      <c r="G14" s="216" t="s">
        <v>1866</v>
      </c>
    </row>
    <row r="15" spans="1:12" x14ac:dyDescent="0.2">
      <c r="A15" t="s">
        <v>302</v>
      </c>
      <c r="B15" t="s">
        <v>1816</v>
      </c>
      <c r="G15" s="216" t="s">
        <v>2044</v>
      </c>
    </row>
    <row r="16" spans="1:12" x14ac:dyDescent="0.2">
      <c r="A16" t="s">
        <v>1532</v>
      </c>
      <c r="B16" t="s">
        <v>1817</v>
      </c>
      <c r="G16" s="216" t="s">
        <v>2045</v>
      </c>
    </row>
    <row r="17" spans="1:7" x14ac:dyDescent="0.2">
      <c r="A17" t="s">
        <v>1818</v>
      </c>
      <c r="B17" t="s">
        <v>1819</v>
      </c>
      <c r="G17" s="216" t="s">
        <v>2046</v>
      </c>
    </row>
    <row r="18" spans="1:7" x14ac:dyDescent="0.2">
      <c r="A18" t="s">
        <v>1036</v>
      </c>
      <c r="B18" t="s">
        <v>1820</v>
      </c>
      <c r="G18" s="216" t="s">
        <v>1796</v>
      </c>
    </row>
    <row r="19" spans="1:7" x14ac:dyDescent="0.2">
      <c r="A19" t="s">
        <v>1140</v>
      </c>
      <c r="B19" t="s">
        <v>1821</v>
      </c>
      <c r="G19" s="215" t="s">
        <v>874</v>
      </c>
    </row>
    <row r="20" spans="1:7" x14ac:dyDescent="0.2">
      <c r="A20" t="s">
        <v>1822</v>
      </c>
      <c r="B20" t="s">
        <v>1823</v>
      </c>
      <c r="G20" s="215" t="s">
        <v>1827</v>
      </c>
    </row>
    <row r="21" spans="1:7" x14ac:dyDescent="0.2">
      <c r="A21" t="s">
        <v>901</v>
      </c>
      <c r="B21" t="s">
        <v>1824</v>
      </c>
      <c r="G21" s="215" t="s">
        <v>1533</v>
      </c>
    </row>
    <row r="22" spans="1:7" x14ac:dyDescent="0.2">
      <c r="A22" t="s">
        <v>920</v>
      </c>
      <c r="B22" t="s">
        <v>1825</v>
      </c>
      <c r="G22" s="215" t="s">
        <v>1036</v>
      </c>
    </row>
    <row r="23" spans="1:7" x14ac:dyDescent="0.2">
      <c r="A23" t="s">
        <v>14</v>
      </c>
      <c r="B23" t="s">
        <v>1826</v>
      </c>
    </row>
    <row r="24" spans="1:7" x14ac:dyDescent="0.2">
      <c r="A24" t="s">
        <v>1827</v>
      </c>
      <c r="B24" t="s">
        <v>1828</v>
      </c>
    </row>
    <row r="25" spans="1:7" x14ac:dyDescent="0.2">
      <c r="A25" t="s">
        <v>951</v>
      </c>
      <c r="B25" t="s">
        <v>1829</v>
      </c>
    </row>
    <row r="26" spans="1:7" x14ac:dyDescent="0.2">
      <c r="A26" t="s">
        <v>922</v>
      </c>
      <c r="B26" t="s">
        <v>1830</v>
      </c>
    </row>
    <row r="27" spans="1:7" x14ac:dyDescent="0.2">
      <c r="A27" t="s">
        <v>952</v>
      </c>
      <c r="B27" t="s">
        <v>1831</v>
      </c>
    </row>
    <row r="28" spans="1:7" x14ac:dyDescent="0.2">
      <c r="A28" t="s">
        <v>1832</v>
      </c>
      <c r="B28" t="s">
        <v>1833</v>
      </c>
    </row>
    <row r="29" spans="1:7" x14ac:dyDescent="0.2">
      <c r="A29" t="s">
        <v>921</v>
      </c>
      <c r="B29" t="s">
        <v>1834</v>
      </c>
    </row>
    <row r="30" spans="1:7" x14ac:dyDescent="0.2">
      <c r="A30" t="s">
        <v>1835</v>
      </c>
      <c r="B30" t="s">
        <v>1836</v>
      </c>
    </row>
    <row r="31" spans="1:7" x14ac:dyDescent="0.2">
      <c r="A31" t="s">
        <v>1444</v>
      </c>
      <c r="B31" t="s">
        <v>1837</v>
      </c>
    </row>
    <row r="32" spans="1:7" x14ac:dyDescent="0.2">
      <c r="A32" t="s">
        <v>848</v>
      </c>
      <c r="B32" t="s">
        <v>1838</v>
      </c>
    </row>
    <row r="33" spans="1:2" x14ac:dyDescent="0.2">
      <c r="A33" t="s">
        <v>1839</v>
      </c>
      <c r="B33" t="s">
        <v>1840</v>
      </c>
    </row>
    <row r="34" spans="1:2" x14ac:dyDescent="0.2">
      <c r="A34" t="s">
        <v>136</v>
      </c>
      <c r="B34" t="s">
        <v>1841</v>
      </c>
    </row>
    <row r="35" spans="1:2" x14ac:dyDescent="0.2">
      <c r="A35" t="s">
        <v>94</v>
      </c>
      <c r="B35" t="s">
        <v>1842</v>
      </c>
    </row>
    <row r="36" spans="1:2" x14ac:dyDescent="0.2">
      <c r="A36" t="s">
        <v>435</v>
      </c>
      <c r="B36" t="s">
        <v>1843</v>
      </c>
    </row>
    <row r="37" spans="1:2" x14ac:dyDescent="0.2">
      <c r="A37" t="s">
        <v>501</v>
      </c>
      <c r="B37" t="s">
        <v>1844</v>
      </c>
    </row>
    <row r="38" spans="1:2" x14ac:dyDescent="0.2">
      <c r="A38" t="s">
        <v>527</v>
      </c>
      <c r="B38" t="s">
        <v>1845</v>
      </c>
    </row>
    <row r="39" spans="1:2" x14ac:dyDescent="0.2">
      <c r="A39" t="s">
        <v>1445</v>
      </c>
      <c r="B39" t="s">
        <v>1846</v>
      </c>
    </row>
    <row r="40" spans="1:2" x14ac:dyDescent="0.2">
      <c r="A40" t="s">
        <v>1847</v>
      </c>
      <c r="B40" t="s">
        <v>1848</v>
      </c>
    </row>
    <row r="41" spans="1:2" x14ac:dyDescent="0.2">
      <c r="A41" t="s">
        <v>134</v>
      </c>
      <c r="B41" t="s">
        <v>1849</v>
      </c>
    </row>
    <row r="42" spans="1:2" x14ac:dyDescent="0.2">
      <c r="A42" t="s">
        <v>1850</v>
      </c>
      <c r="B42" t="s">
        <v>1851</v>
      </c>
    </row>
    <row r="43" spans="1:2" x14ac:dyDescent="0.2">
      <c r="A43" t="s">
        <v>137</v>
      </c>
      <c r="B43" t="s">
        <v>1852</v>
      </c>
    </row>
    <row r="44" spans="1:2" x14ac:dyDescent="0.2">
      <c r="A44" t="s">
        <v>51</v>
      </c>
      <c r="B44" t="s">
        <v>1853</v>
      </c>
    </row>
    <row r="45" spans="1:2" x14ac:dyDescent="0.2">
      <c r="A45" t="s">
        <v>919</v>
      </c>
      <c r="B45" t="s">
        <v>1854</v>
      </c>
    </row>
    <row r="46" spans="1:2" x14ac:dyDescent="0.2">
      <c r="A46" t="s">
        <v>143</v>
      </c>
      <c r="B46" t="s">
        <v>1855</v>
      </c>
    </row>
    <row r="47" spans="1:2" x14ac:dyDescent="0.2">
      <c r="A47" t="s">
        <v>1856</v>
      </c>
      <c r="B47" t="s">
        <v>1857</v>
      </c>
    </row>
    <row r="48" spans="1:2" x14ac:dyDescent="0.2">
      <c r="A48" t="s">
        <v>59</v>
      </c>
      <c r="B48" t="s">
        <v>1858</v>
      </c>
    </row>
    <row r="49" spans="1:2" x14ac:dyDescent="0.2">
      <c r="A49" t="s">
        <v>257</v>
      </c>
      <c r="B49" t="s">
        <v>1859</v>
      </c>
    </row>
    <row r="50" spans="1:2" x14ac:dyDescent="0.2">
      <c r="A50" t="s">
        <v>91</v>
      </c>
      <c r="B50" t="s">
        <v>1860</v>
      </c>
    </row>
    <row r="51" spans="1:2" x14ac:dyDescent="0.2">
      <c r="A51" t="s">
        <v>1861</v>
      </c>
      <c r="B51" t="s">
        <v>1862</v>
      </c>
    </row>
    <row r="52" spans="1:2" x14ac:dyDescent="0.2">
      <c r="A52" t="s">
        <v>1863</v>
      </c>
      <c r="B52" t="s">
        <v>1864</v>
      </c>
    </row>
    <row r="53" spans="1:2" x14ac:dyDescent="0.2">
      <c r="A53" t="s">
        <v>256</v>
      </c>
      <c r="B53" t="s">
        <v>1865</v>
      </c>
    </row>
    <row r="54" spans="1:2" x14ac:dyDescent="0.2">
      <c r="A54" t="s">
        <v>1866</v>
      </c>
      <c r="B54" t="s">
        <v>1867</v>
      </c>
    </row>
    <row r="55" spans="1:2" x14ac:dyDescent="0.2">
      <c r="A55" t="s">
        <v>1868</v>
      </c>
      <c r="B55" t="s">
        <v>1869</v>
      </c>
    </row>
    <row r="56" spans="1:2" x14ac:dyDescent="0.2">
      <c r="A56" t="s">
        <v>96</v>
      </c>
      <c r="B56" t="s">
        <v>1870</v>
      </c>
    </row>
    <row r="57" spans="1:2" x14ac:dyDescent="0.2">
      <c r="A57" t="s">
        <v>1871</v>
      </c>
      <c r="B57" t="s">
        <v>1872</v>
      </c>
    </row>
    <row r="58" spans="1:2" x14ac:dyDescent="0.2">
      <c r="A58" t="s">
        <v>93</v>
      </c>
      <c r="B58" t="s">
        <v>1873</v>
      </c>
    </row>
    <row r="59" spans="1:2" x14ac:dyDescent="0.2">
      <c r="A59" t="s">
        <v>1874</v>
      </c>
      <c r="B59" t="s">
        <v>1875</v>
      </c>
    </row>
    <row r="60" spans="1:2" x14ac:dyDescent="0.2">
      <c r="A60" t="s">
        <v>1876</v>
      </c>
      <c r="B60" t="s">
        <v>1877</v>
      </c>
    </row>
    <row r="61" spans="1:2" x14ac:dyDescent="0.2">
      <c r="A61" t="s">
        <v>52</v>
      </c>
      <c r="B61" t="s">
        <v>1878</v>
      </c>
    </row>
    <row r="62" spans="1:2" x14ac:dyDescent="0.2">
      <c r="A62" t="s">
        <v>1533</v>
      </c>
      <c r="B62" t="s">
        <v>1879</v>
      </c>
    </row>
    <row r="63" spans="1:2" x14ac:dyDescent="0.2">
      <c r="A63" t="s">
        <v>1880</v>
      </c>
      <c r="B63" t="s">
        <v>1881</v>
      </c>
    </row>
    <row r="64" spans="1:2" x14ac:dyDescent="0.2">
      <c r="A64" t="s">
        <v>552</v>
      </c>
      <c r="B64" t="s">
        <v>1882</v>
      </c>
    </row>
    <row r="65" spans="1:2" x14ac:dyDescent="0.2">
      <c r="A65" t="s">
        <v>58</v>
      </c>
      <c r="B65" t="s">
        <v>1883</v>
      </c>
    </row>
    <row r="66" spans="1:2" x14ac:dyDescent="0.2">
      <c r="A66" t="s">
        <v>15</v>
      </c>
      <c r="B66" t="s">
        <v>1884</v>
      </c>
    </row>
    <row r="67" spans="1:2" x14ac:dyDescent="0.2">
      <c r="A67" t="s">
        <v>152</v>
      </c>
      <c r="B67" t="s">
        <v>1885</v>
      </c>
    </row>
    <row r="68" spans="1:2" x14ac:dyDescent="0.2">
      <c r="A68" t="s">
        <v>1886</v>
      </c>
      <c r="B68" t="s">
        <v>1887</v>
      </c>
    </row>
    <row r="69" spans="1:2" x14ac:dyDescent="0.2">
      <c r="A69" t="s">
        <v>714</v>
      </c>
      <c r="B69" t="s">
        <v>1888</v>
      </c>
    </row>
    <row r="70" spans="1:2" x14ac:dyDescent="0.2">
      <c r="A70" t="s">
        <v>1889</v>
      </c>
      <c r="B70" t="s">
        <v>1890</v>
      </c>
    </row>
    <row r="71" spans="1:2" x14ac:dyDescent="0.2">
      <c r="A71" t="s">
        <v>1891</v>
      </c>
      <c r="B71" t="s">
        <v>1892</v>
      </c>
    </row>
    <row r="72" spans="1:2" x14ac:dyDescent="0.2">
      <c r="A72" t="s">
        <v>135</v>
      </c>
      <c r="B72" t="s">
        <v>1893</v>
      </c>
    </row>
    <row r="73" spans="1:2" x14ac:dyDescent="0.2">
      <c r="A73" t="s">
        <v>584</v>
      </c>
      <c r="B73" t="s">
        <v>1894</v>
      </c>
    </row>
    <row r="74" spans="1:2" x14ac:dyDescent="0.2">
      <c r="A74" t="s">
        <v>1786</v>
      </c>
      <c r="B74" t="s">
        <v>1895</v>
      </c>
    </row>
    <row r="75" spans="1:2" x14ac:dyDescent="0.2">
      <c r="A75" t="s">
        <v>874</v>
      </c>
      <c r="B75" t="str">
        <f>""</f>
        <v/>
      </c>
    </row>
    <row r="76" spans="1:2" x14ac:dyDescent="0.2">
      <c r="A76" t="s">
        <v>2570</v>
      </c>
      <c r="B76" t="s">
        <v>2571</v>
      </c>
    </row>
    <row r="77" spans="1:2" x14ac:dyDescent="0.2">
      <c r="A77" t="s">
        <v>2611</v>
      </c>
      <c r="B77" t="s">
        <v>2623</v>
      </c>
    </row>
    <row r="78" spans="1:2" x14ac:dyDescent="0.2">
      <c r="A78" t="s">
        <v>3083</v>
      </c>
      <c r="B78" t="s">
        <v>3109</v>
      </c>
    </row>
  </sheetData>
  <pageMargins left="0.7" right="0.7" top="0.75" bottom="0.75" header="0.3" footer="0.3"/>
  <pageSetup paperSize="9" orientation="portrait" horizontalDpi="0" verticalDpi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6129-E169-E44A-9FFF-1870D04BF49C}">
  <sheetPr codeName="Sheet4">
    <pageSetUpPr fitToPage="1"/>
  </sheetPr>
  <dimension ref="A1:X95"/>
  <sheetViews>
    <sheetView zoomScale="140" zoomScaleNormal="140" zoomScalePageLayoutView="111" workbookViewId="0">
      <selection activeCell="K1" sqref="K1"/>
    </sheetView>
  </sheetViews>
  <sheetFormatPr baseColWidth="10" defaultColWidth="11" defaultRowHeight="16" x14ac:dyDescent="0.2"/>
  <cols>
    <col min="1" max="1" width="12.1640625" customWidth="1"/>
    <col min="2" max="2" width="12.5" customWidth="1"/>
    <col min="3" max="3" width="10" customWidth="1"/>
    <col min="4" max="4" width="17.1640625" customWidth="1"/>
    <col min="5" max="5" width="14.1640625" customWidth="1"/>
    <col min="6" max="6" width="14.5" customWidth="1"/>
    <col min="7" max="7" width="19.1640625" customWidth="1"/>
    <col min="8" max="8" width="10.6640625" customWidth="1"/>
    <col min="9" max="9" width="19" bestFit="1" customWidth="1"/>
    <col min="17" max="17" width="0.33203125" customWidth="1"/>
    <col min="18" max="18" width="12.6640625" customWidth="1"/>
    <col min="19" max="19" width="12.5" customWidth="1"/>
    <col min="20" max="20" width="15.5" customWidth="1"/>
    <col min="21" max="21" width="12" customWidth="1"/>
    <col min="22" max="22" width="11.6640625" customWidth="1"/>
    <col min="23" max="23" width="14.6640625" customWidth="1"/>
    <col min="24" max="24" width="13.83203125" customWidth="1"/>
  </cols>
  <sheetData>
    <row r="1" spans="1:24" ht="26" customHeight="1" x14ac:dyDescent="0.2">
      <c r="A1" s="521" t="s">
        <v>135</v>
      </c>
      <c r="B1" s="522"/>
      <c r="C1" s="522"/>
      <c r="D1" s="522"/>
      <c r="E1" s="522"/>
      <c r="F1" s="522"/>
      <c r="G1" s="523"/>
      <c r="H1" s="17"/>
      <c r="I1" s="17"/>
      <c r="J1" s="17"/>
      <c r="K1" s="18" t="s">
        <v>1288</v>
      </c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23" customHeight="1" x14ac:dyDescent="0.2">
      <c r="A2" s="524" t="s">
        <v>1184</v>
      </c>
      <c r="B2" s="525"/>
      <c r="C2" s="525"/>
      <c r="D2" s="525"/>
      <c r="E2" s="525"/>
      <c r="F2" s="525"/>
      <c r="G2" s="52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1:24" ht="23" customHeight="1" thickBot="1" x14ac:dyDescent="0.25">
      <c r="A3" s="527" t="s">
        <v>1192</v>
      </c>
      <c r="B3" s="528"/>
      <c r="C3" s="528"/>
      <c r="D3" s="528"/>
      <c r="E3" s="528"/>
      <c r="F3" s="528"/>
      <c r="G3" s="529"/>
      <c r="H3" s="17"/>
      <c r="I3" s="17"/>
      <c r="J3" s="17"/>
      <c r="K3" s="157" t="s">
        <v>135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</row>
    <row r="4" spans="1:24" ht="23" x14ac:dyDescent="0.25">
      <c r="A4" s="32" t="s">
        <v>6</v>
      </c>
      <c r="B4" s="33" t="s">
        <v>1179</v>
      </c>
      <c r="C4" s="33" t="s">
        <v>1180</v>
      </c>
      <c r="D4" s="33" t="s">
        <v>4</v>
      </c>
      <c r="E4" s="33" t="s">
        <v>1181</v>
      </c>
      <c r="F4" s="33" t="s">
        <v>1183</v>
      </c>
      <c r="G4" s="34" t="s">
        <v>1182</v>
      </c>
      <c r="H4" s="20"/>
      <c r="I4" s="20"/>
      <c r="J4" s="20"/>
      <c r="K4" s="17" t="s">
        <v>1193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</row>
    <row r="5" spans="1:24" ht="21.75" customHeight="1" x14ac:dyDescent="0.25">
      <c r="A5" s="35">
        <v>46235</v>
      </c>
      <c r="B5" s="85"/>
      <c r="C5" s="160"/>
      <c r="D5" s="85"/>
      <c r="E5" s="56">
        <f>SUMIFS(MasterPaid[Amount Paid],MasterPaid[Customer],$K$7,MasterPaid[Date],$A5)</f>
        <v>0</v>
      </c>
      <c r="F5" s="38"/>
      <c r="G5" s="57">
        <f>IFERROR(INDEX(Outstanding!$N$4:$Z$69,MATCH($K$3,Outstanding!$M$4:$M$66,0),MATCH($A$5,Outstanding!$N$3:$Z$3,0)),0)</f>
        <v>105727.66</v>
      </c>
      <c r="H5" s="20"/>
      <c r="I5" s="58">
        <f>G5+SUM(D5:D39)-SUM(E5:E39)</f>
        <v>105727.66</v>
      </c>
      <c r="J5" s="20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</row>
    <row r="6" spans="1:24" ht="21.75" x14ac:dyDescent="0.25">
      <c r="A6" s="59" t="str" cm="1">
        <f t="array" ref="A6">IFERROR(INDEX(_xlfn.ANCHORARRAY($K$6),ROW()-5,1),"")</f>
        <v/>
      </c>
      <c r="B6" s="159" t="str">
        <f>IF($H6="TOTAL",0,IF($A6="","",IF($F6="DIESEL",SUMIFS(Table1[Quantity],Table1[Customer],$K$3,Table1[Date],$A6),IF($F6="PETROL",SUMIFS(Table14[Quantity],Table14[Customer],$K$3,Table14[Date],$A6),IF($F6="XtraGreen",SUMIFS(Table146[Quantity],Table146[Company],$K$3,Table146[Date],$A6),"")))))</f>
        <v/>
      </c>
      <c r="C6" s="161" t="str">
        <f>IF($A6="","",IF($F6="DIESEL",AVERAGEIFS(Table1[RSP],Table1[Customer],$K$3,Table1[Date],$A6),IF($F6="PETROL",AVERAGEIFS(Table14[RSP],Table14[Customer],$K$3,Table14[Date],$A6),IF($F6="XtraGreen",AVERAGEIFS(Table146[RSP],Table146[Company],$K$3,Table146[Date],$A6),IFERROR($D6/$B6,"")))))</f>
        <v/>
      </c>
      <c r="D6" s="159" t="str">
        <f>IF($H6="TOTAL",0,IF($A6="","",IF($F6="DIESEL",SUMIFS(Table1[Amount],Table1[Customer],$K$3,Table1[Date],$A6),IF($F6="PETROL",SUMIFS(Table14[Amount],Table14[Customer],$K$3,Table14[Date],$A6),IF($F6="XtraGreen",SUMIFS(Table146[Amount],Table146[Company],$K$3,Table146[Date],$A6),SUMIFS('Other Sale'!$D:$D,'Other Sale'!$E:$E,$K$3,'Other Sale'!$C:$C,$F6,'Other Sale'!$A:$A,$A6))))))</f>
        <v/>
      </c>
      <c r="E6" s="61">
        <f>IF($H6="TOTAL",0,IF($A6="",0,IF(COUNTIF($A$6:$A6,$A6)=1,SUMIFS(MasterPaid[Amount Paid],MasterPaid[Customer],$K$3,MasterPaid[Date],$A6),0)))</f>
        <v>0</v>
      </c>
      <c r="F6" s="62" t="str" cm="1">
        <f t="array" ref="F6">IFERROR(INDEX(_xlfn.ANCHORARRAY($K$6),ROW()-5,2),"")</f>
        <v/>
      </c>
      <c r="G6" s="57" t="str">
        <f>IF($H6="TOTAL",IFERROR(LOOKUP(9.99E+307,$G$5:$G5),""),IF($A6="","",G5+N(D6)-N(E6)))</f>
        <v/>
      </c>
      <c r="H6" s="20"/>
      <c r="I6" s="20"/>
      <c r="J6" s="20"/>
      <c r="K6" t="str" cm="1">
        <f t="array" ref="K6">_xlfn.LET(_xlpm.cut,$A$5,_xlpm.hd,'HSD Sale'!$A$2:$A$7000, _xlpm.hc,'HSD Sale'!$G$2:$G$7000,_xlpm.md,'MS Sale'!$A$2:$A$1000, _xlpm.mc,'MS Sale'!$G$2:$G$1000,_xlpm.xd,'XG Sale'!$A$2:$A$580, _xlpm.xc,'XG Sale'!$G$2:$G$580,_xlpm.pd,'Master Paid'!$A$2:$A$5532, _xlpm.pc,'Master Paid'!$B$2:$B$5532,_xlpm.od,'Other Sale'!$A$2:$A$5000, _xlpm.oc,'Other Sale'!$E$2:$E$5000, _xlpm.op,'Other Sale'!$C$2:$C$5000,_xlpm.hu,IFERROR(_xlfn._xlws.SORT(_xlfn.UNIQUE(_xlfn._xlws.FILTER(_xlpm.hd,(_xlpm.hc=$K$3)*(_xlpm.hd&gt;=_xlpm.cut)))),-1),_xlpm.mu,IFERROR(_xlfn._xlws.SORT(_xlfn.UNIQUE(_xlfn._xlws.FILTER(_xlpm.md,(_xlpm.mc=$K$3)*(_xlpm.md&gt;=_xlpm.cut)))),-1),_xlpm.xu,IFERROR(_xlfn._xlws.SORT(_xlfn.UNIQUE(_xlfn._xlws.FILTER(_xlpm.xd,(_xlpm.xc=$K$3)*(_xlpm.xd&gt;=_xlpm.cut)))),-1),_xlpm.pu,IFERROR(_xlfn._xlws.SORT(_xlfn.UNIQUE(_xlfn._xlws.FILTER(_xlpm.pd,(_xlpm.pc=$K$3)*(_xlpm.pd&gt;=_xlpm.cut)*(COUNTIFS(_xlpm.hc,$K$3,_xlpm.hd,_xlpm.pd)=0)*(COUNTIFS(_xlpm.mc,$K$3,_xlpm.md,_xlpm.pd)=0)*(COUNTIFS(_xlpm.xc,$K$3,_xlpm.xd,_xlpm.pd)=0)))),-1),_xlpm.hh,_xlfn.HSTACK(_xlpm.hu,IF(_xlpm.hu=-1,"x","DIESEL")),_xlpm.mm,_xlfn.HSTACK(_xlpm.mu,IF(_xlpm.mu=-1,"x","PETROL")),_xlpm.xx,_xlfn.HSTACK(_xlpm.xu,IF(_xlpm.xu=-1,"x","XtraGreen")),_xlpm.pp,_xlfn.HSTACK(_xlpm.pu,IF(_xlpm.pu=-1,"x","")),_xlpm.oo,IFERROR(_xlfn._xlws.FILTER(_xlfn.HSTACK(_xlpm.od,_xlpm.op),(_xlpm.oc=$K$3)*(_xlpm.od&gt;=_xlpm.cut)),_xlfn.HSTACK(-1,"x")),_xlpm.stk,_xlfn.VSTACK(_xlpm.hh,_xlpm.mm,_xlpm.xx,_xlpm.pp,_xlpm.oo),_xlpm.cl,_xlfn._xlws.FILTER(_xlpm.stk,INDEX(_xlpm.stk,,1)&gt;=_xlpm.cut,""),IF(ROWS(_xlpm.cl)=1,_xlpm.cl,_xlfn._xlws.SORT(_xlpm.cl,1)))</f>
        <v/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</row>
    <row r="7" spans="1:24" ht="21.75" customHeight="1" x14ac:dyDescent="0.25">
      <c r="A7" s="59" t="str" cm="1">
        <f t="array" ref="A7">IFERROR(INDEX(_xlfn.ANCHORARRAY($K$6),ROW()-5,1),"")</f>
        <v/>
      </c>
      <c r="B7" s="159" t="str">
        <f>IF($H7="TOTAL",SUM($B$6:$B6)-SUMIF($H$6:$H6,"TOTAL",$B$6:$B6),IF($A7="","",IF($F7="DIESEL",SUMIFS(Table1[Quantity],Table1[Customer],$K$3,Table1[Date],$A7),IF($F7="PETROL",SUMIFS(Table14[Quantity],Table14[Customer],$K$3,Table14[Date],$A7),IF($F7="XtraGreen",SUMIFS(Table146[Quantity],Table146[Company],$K$3,Table146[Date],$A7),"")))))</f>
        <v/>
      </c>
      <c r="C7" s="161" t="str">
        <f>IF($A7="","",IF($F7="DIESEL",AVERAGEIFS(Table1[RSP],Table1[Customer],$K$3,Table1[Date],$A7),IF($F7="PETROL",AVERAGEIFS(Table14[RSP],Table14[Customer],$K$3,Table14[Date],$A7),IF($F7="XtraGreen",AVERAGEIFS(Table146[RSP],Table146[Company],$K$3,Table146[Date],$A7),IFERROR($D7/$B7,"")))))</f>
        <v/>
      </c>
      <c r="D7" s="159" t="str">
        <f>IF($H7="TOTAL",SUM($D$6:$D6)-SUMIF($H$6:$H6,"TOTAL",$D$6:$D6),IF($A7="","",IF($F7="DIESEL",SUMIFS(Table1[Amount],Table1[Customer],$K$3,Table1[Date],$A7),IF($F7="PETROL",SUMIFS(Table14[Amount],Table14[Customer],$K$3,Table14[Date],$A7),IF($F7="XtraGreen",SUMIFS(Table146[Amount],Table146[Company],$K$3,Table146[Date],$A7),SUMIFS('Other Sale'!$D:$D,'Other Sale'!$E:$E,$K$3,'Other Sale'!$C:$C,$F7,'Other Sale'!$A:$A,$A7))))))</f>
        <v/>
      </c>
      <c r="E7" s="61">
        <f>IF($H7="TOTAL",SUM($E$6:$E6)-SUMIF($H$6:$H6,"TOTAL",$E$6:$E6),IF($A7="",0,IF(COUNTIF($A$6:$A7,$A7)=1,SUMIFS(MasterPaid[Amount Paid],MasterPaid[Customer],$K$3,MasterPaid[Date],$A7),0)))</f>
        <v>0</v>
      </c>
      <c r="F7" s="62" t="str" cm="1">
        <f t="array" ref="F7">IFERROR(INDEX(_xlfn.ANCHORARRAY($K$6),ROW()-5,2),"")</f>
        <v/>
      </c>
      <c r="G7" s="57" t="str">
        <f>IF($H7="TOTAL",IFERROR(LOOKUP(9.99E+307,$G$6:$G6),""),IF($A7="","",G6+N(D7)-N(E7)))</f>
        <v/>
      </c>
      <c r="H7" s="20"/>
      <c r="I7" s="20"/>
      <c r="J7" s="20"/>
      <c r="K7" s="31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</row>
    <row r="8" spans="1:24" ht="21.75" x14ac:dyDescent="0.25">
      <c r="A8" s="59" t="str" cm="1">
        <f t="array" ref="A8">IFERROR(INDEX(_xlfn.ANCHORARRAY($K$6),ROW()-5,1),"")</f>
        <v/>
      </c>
      <c r="B8" s="159" t="str">
        <f>IF($H8="TOTAL",SUM($B$6:$B7)-SUMIF($H$6:$H7,"TOTAL",$B$6:$B7),IF($A8="","",IF($F8="DIESEL",SUMIFS(Table1[Quantity],Table1[Customer],$K$3,Table1[Date],$A8),IF($F8="PETROL",SUMIFS(Table14[Quantity],Table14[Customer],$K$3,Table14[Date],$A8),IF($F8="XtraGreen",SUMIFS(Table146[Quantity],Table146[Company],$K$3,Table146[Date],$A8),"")))))</f>
        <v/>
      </c>
      <c r="C8" s="161" t="str">
        <f>IF($A8="","",IF($F8="DIESEL",AVERAGEIFS(Table1[RSP],Table1[Customer],$K$3,Table1[Date],$A8),IF($F8="PETROL",AVERAGEIFS(Table14[RSP],Table14[Customer],$K$3,Table14[Date],$A8),IF($F8="XtraGreen",AVERAGEIFS(Table146[RSP],Table146[Company],$K$3,Table146[Date],$A8),IFERROR($D8/$B8,"")))))</f>
        <v/>
      </c>
      <c r="D8" s="159" t="str">
        <f>IF($H8="TOTAL",SUM($D$6:$D7)-SUMIF($H$6:$H7,"TOTAL",$D$6:$D7),IF($A8="","",IF($F8="DIESEL",SUMIFS(Table1[Amount],Table1[Customer],$K$3,Table1[Date],$A8),IF($F8="PETROL",SUMIFS(Table14[Amount],Table14[Customer],$K$3,Table14[Date],$A8),IF($F8="XtraGreen",SUMIFS(Table146[Amount],Table146[Company],$K$3,Table146[Date],$A8),SUMIFS('Other Sale'!$D:$D,'Other Sale'!$E:$E,$K$3,'Other Sale'!$C:$C,$F8,'Other Sale'!$A:$A,$A8))))))</f>
        <v/>
      </c>
      <c r="E8" s="61">
        <f>IF($H8="TOTAL",SUM($E$6:$E7)-SUMIF($H$6:$H7,"TOTAL",$E$6:$E7),IF($A8="",0,IF(COUNTIF($A$6:$A8,$A8)=1,SUMIFS(MasterPaid[Amount Paid],MasterPaid[Customer],$K$3,MasterPaid[Date],$A8),0)))</f>
        <v>0</v>
      </c>
      <c r="F8" s="62" t="str" cm="1">
        <f t="array" ref="F8">IFERROR(INDEX(_xlfn.ANCHORARRAY($K$6),ROW()-5,2),"")</f>
        <v/>
      </c>
      <c r="G8" s="57" t="str">
        <f>IF($H8="TOTAL",IFERROR(LOOKUP(9.99E+307,$G$6:$G7),""),IF($A8="","",G7+N(D8)-N(E8)))</f>
        <v/>
      </c>
      <c r="H8" s="20"/>
      <c r="I8" s="20"/>
      <c r="J8" s="20"/>
      <c r="K8" s="17"/>
      <c r="L8" s="17"/>
      <c r="M8" s="17"/>
      <c r="N8" s="17"/>
      <c r="O8" s="17"/>
      <c r="P8" s="17"/>
      <c r="Q8" s="43" t="s">
        <v>1280</v>
      </c>
      <c r="R8" s="44"/>
      <c r="S8" s="44"/>
      <c r="T8" s="44"/>
      <c r="U8" s="45"/>
      <c r="V8" s="45"/>
      <c r="W8" s="46" t="s">
        <v>1281</v>
      </c>
      <c r="X8" s="47">
        <f ca="1">TODAY()-1</f>
        <v>46262</v>
      </c>
    </row>
    <row r="9" spans="1:24" ht="21.75" x14ac:dyDescent="0.25">
      <c r="A9" s="59" t="str" cm="1">
        <f t="array" ref="A9">IFERROR(INDEX(_xlfn.ANCHORARRAY($K$6),ROW()-5,1),"")</f>
        <v/>
      </c>
      <c r="B9" s="159" t="str">
        <f>IF($H9="TOTAL",SUM($B$6:$B8)-SUMIF($H$6:$H8,"TOTAL",$B$6:$B8),IF($A9="","",IF($F9="DIESEL",SUMIFS(Table1[Quantity],Table1[Customer],$K$3,Table1[Date],$A9),IF($F9="PETROL",SUMIFS(Table14[Quantity],Table14[Customer],$K$3,Table14[Date],$A9),IF($F9="XtraGreen",SUMIFS(Table146[Quantity],Table146[Company],$K$3,Table146[Date],$A9),"")))))</f>
        <v/>
      </c>
      <c r="C9" s="161" t="str">
        <f>IF($A9="","",IF($F9="DIESEL",AVERAGEIFS(Table1[RSP],Table1[Customer],$K$3,Table1[Date],$A9),IF($F9="PETROL",AVERAGEIFS(Table14[RSP],Table14[Customer],$K$3,Table14[Date],$A9),IF($F9="XtraGreen",AVERAGEIFS(Table146[RSP],Table146[Company],$K$3,Table146[Date],$A9),IFERROR($D9/$B9,"")))))</f>
        <v/>
      </c>
      <c r="D9" s="159" t="str">
        <f>IF($H9="TOTAL",SUM($D$6:$D8)-SUMIF($H$6:$H8,"TOTAL",$D$6:$D8),IF($A9="","",IF($F9="DIESEL",SUMIFS(Table1[Amount],Table1[Customer],$K$3,Table1[Date],$A9),IF($F9="PETROL",SUMIFS(Table14[Amount],Table14[Customer],$K$3,Table14[Date],$A9),IF($F9="XtraGreen",SUMIFS(Table146[Amount],Table146[Company],$K$3,Table146[Date],$A9),SUMIFS('Other Sale'!$D:$D,'Other Sale'!$E:$E,$K$3,'Other Sale'!$C:$C,$F9,'Other Sale'!$A:$A,$A9))))))</f>
        <v/>
      </c>
      <c r="E9" s="61">
        <f>IF($H9="TOTAL",SUM($E$6:$E8)-SUMIF($H$6:$H8,"TOTAL",$E$6:$E8),IF($A9="",0,IF(COUNTIF($A$6:$A9,$A9)=1,SUMIFS(MasterPaid[Amount Paid],MasterPaid[Customer],$K$3,MasterPaid[Date],$A9),0)))</f>
        <v>0</v>
      </c>
      <c r="F9" s="62" t="str" cm="1">
        <f t="array" ref="F9">IFERROR(INDEX(_xlfn.ANCHORARRAY($K$6),ROW()-5,2),"")</f>
        <v/>
      </c>
      <c r="G9" s="57" t="str">
        <f>IF($H9="TOTAL",IFERROR(LOOKUP(9.99E+307,$G$6:$G8),""),IF($A9="","",G8+N(D9)-N(E9)))</f>
        <v/>
      </c>
      <c r="H9" s="20"/>
      <c r="I9" s="20"/>
      <c r="J9" s="20"/>
      <c r="K9" s="17"/>
      <c r="L9" s="17"/>
      <c r="M9" s="17"/>
      <c r="N9" s="17"/>
      <c r="O9" s="17"/>
      <c r="P9" s="17"/>
      <c r="Q9" s="63" t="str">
        <f>K3</f>
        <v>T N Roadlines</v>
      </c>
      <c r="R9" s="44"/>
      <c r="S9" s="44"/>
      <c r="T9" s="44"/>
      <c r="U9" s="45"/>
      <c r="V9" s="45"/>
      <c r="W9" s="46" t="s">
        <v>1282</v>
      </c>
      <c r="X9" s="47">
        <f ca="1">X8</f>
        <v>46262</v>
      </c>
    </row>
    <row r="10" spans="1:24" ht="21.75" x14ac:dyDescent="0.25">
      <c r="A10" s="59" t="str" cm="1">
        <f t="array" ref="A10">IFERROR(INDEX(_xlfn.ANCHORARRAY($K$6),ROW()-5,1),"")</f>
        <v/>
      </c>
      <c r="B10" s="159" t="str">
        <f>IF($H10="TOTAL",SUM($B$6:$B9)-SUMIF($H$6:$H9,"TOTAL",$B$6:$B9),IF($A10="","",IF($F10="DIESEL",SUMIFS(Table1[Quantity],Table1[Customer],$K$3,Table1[Date],$A10),IF($F10="PETROL",SUMIFS(Table14[Quantity],Table14[Customer],$K$3,Table14[Date],$A10),IF($F10="XtraGreen",SUMIFS(Table146[Quantity],Table146[Company],$K$3,Table146[Date],$A10),"")))))</f>
        <v/>
      </c>
      <c r="C10" s="161" t="str">
        <f>IF($A10="","",IF($F10="DIESEL",AVERAGEIFS(Table1[RSP],Table1[Customer],$K$3,Table1[Date],$A10),IF($F10="PETROL",AVERAGEIFS(Table14[RSP],Table14[Customer],$K$3,Table14[Date],$A10),IF($F10="XtraGreen",AVERAGEIFS(Table146[RSP],Table146[Company],$K$3,Table146[Date],$A10),IFERROR($D10/$B10,"")))))</f>
        <v/>
      </c>
      <c r="D10" s="159" t="str">
        <f>IF($H10="TOTAL",SUM($D$6:$D9)-SUMIF($H$6:$H9,"TOTAL",$D$6:$D9),IF($A10="","",IF($F10="DIESEL",SUMIFS(Table1[Amount],Table1[Customer],$K$3,Table1[Date],$A10),IF($F10="PETROL",SUMIFS(Table14[Amount],Table14[Customer],$K$3,Table14[Date],$A10),IF($F10="XtraGreen",SUMIFS(Table146[Amount],Table146[Company],$K$3,Table146[Date],$A10),SUMIFS('Other Sale'!$D:$D,'Other Sale'!$E:$E,$K$3,'Other Sale'!$C:$C,$F10,'Other Sale'!$A:$A,$A10))))))</f>
        <v/>
      </c>
      <c r="E10" s="61">
        <f>IF($H10="TOTAL",SUM($E$6:$E9)-SUMIF($H$6:$H9,"TOTAL",$E$6:$E9),IF($A10="",0,IF(COUNTIF($A$6:$A10,$A10)=1,SUMIFS(MasterPaid[Amount Paid],MasterPaid[Customer],$K$3,MasterPaid[Date],$A10),0)))</f>
        <v>0</v>
      </c>
      <c r="F10" s="62" t="str" cm="1">
        <f t="array" ref="F10">IFERROR(INDEX(_xlfn.ANCHORARRAY($K$6),ROW()-5,2),"")</f>
        <v/>
      </c>
      <c r="G10" s="57" t="str">
        <f>IF($H10="TOTAL",IFERROR(LOOKUP(9.99E+307,$G$6:$G9),""),IF($A10="","",G9+N(D10)-N(E10)))</f>
        <v/>
      </c>
      <c r="H10" s="20"/>
      <c r="I10" s="20"/>
      <c r="J10" s="20"/>
      <c r="K10" s="17"/>
      <c r="L10" s="17"/>
      <c r="M10" s="17"/>
      <c r="N10" s="17"/>
      <c r="O10" s="17"/>
      <c r="P10" s="17"/>
      <c r="Q10" s="48" t="s">
        <v>1287</v>
      </c>
      <c r="R10" s="44"/>
      <c r="S10" s="44"/>
      <c r="T10" s="44"/>
      <c r="U10" s="45"/>
      <c r="V10" s="45"/>
      <c r="W10" s="49" t="s">
        <v>1283</v>
      </c>
      <c r="X10" s="44" t="s">
        <v>1284</v>
      </c>
    </row>
    <row r="11" spans="1:24" ht="21.75" x14ac:dyDescent="0.25">
      <c r="A11" s="59" t="str" cm="1">
        <f t="array" ref="A11">IFERROR(INDEX(_xlfn.ANCHORARRAY($K$6),ROW()-5,1),"")</f>
        <v/>
      </c>
      <c r="B11" s="159" t="str">
        <f>IF($H11="TOTAL",SUM($B$6:$B10)-SUMIF($H$6:$H10,"TOTAL",$B$6:$B10),IF($A11="","",IF($F11="DIESEL",SUMIFS(Table1[Quantity],Table1[Customer],$K$3,Table1[Date],$A11),IF($F11="PETROL",SUMIFS(Table14[Quantity],Table14[Customer],$K$3,Table14[Date],$A11),IF($F11="XtraGreen",SUMIFS(Table146[Quantity],Table146[Company],$K$3,Table146[Date],$A11),"")))))</f>
        <v/>
      </c>
      <c r="C11" s="161" t="str">
        <f>IF($A11="","",IF($F11="DIESEL",AVERAGEIFS(Table1[RSP],Table1[Customer],$K$3,Table1[Date],$A11),IF($F11="PETROL",AVERAGEIFS(Table14[RSP],Table14[Customer],$K$3,Table14[Date],$A11),IF($F11="XtraGreen",AVERAGEIFS(Table146[RSP],Table146[Company],$K$3,Table146[Date],$A11),IFERROR($D11/$B11,"")))))</f>
        <v/>
      </c>
      <c r="D11" s="159" t="str">
        <f>IF($H11="TOTAL",SUM($D$6:$D10)-SUMIF($H$6:$H10,"TOTAL",$D$6:$D10),IF($A11="","",IF($F11="DIESEL",SUMIFS(Table1[Amount],Table1[Customer],$K$3,Table1[Date],$A11),IF($F11="PETROL",SUMIFS(Table14[Amount],Table14[Customer],$K$3,Table14[Date],$A11),IF($F11="XtraGreen",SUMIFS(Table146[Amount],Table146[Company],$K$3,Table146[Date],$A11),SUMIFS('Other Sale'!$D:$D,'Other Sale'!$E:$E,$K$3,'Other Sale'!$C:$C,$F11,'Other Sale'!$A:$A,$A11))))))</f>
        <v/>
      </c>
      <c r="E11" s="61">
        <f>IF($H11="TOTAL",SUM($E$6:$E10)-SUMIF($H$6:$H10,"TOTAL",$E$6:$E10),IF($A11="",0,IF(COUNTIF($A$6:$A11,$A11)=1,SUMIFS(MasterPaid[Amount Paid],MasterPaid[Customer],$K$3,MasterPaid[Date],$A11),0)))</f>
        <v>0</v>
      </c>
      <c r="F11" s="62" t="str" cm="1">
        <f t="array" ref="F11">IFERROR(INDEX(_xlfn.ANCHORARRAY($K$6),ROW()-5,2),"")</f>
        <v/>
      </c>
      <c r="G11" s="57" t="str">
        <f>IF($H11="TOTAL",IFERROR(LOOKUP(9.99E+307,$G$6:$G10),""),IF($A11="","",G10+N(D11)-N(E11)))</f>
        <v/>
      </c>
      <c r="H11" s="20"/>
      <c r="I11" s="20"/>
      <c r="J11" s="20"/>
      <c r="K11" s="17"/>
      <c r="L11" s="17"/>
      <c r="M11" s="17"/>
      <c r="N11" s="17"/>
      <c r="O11" s="17"/>
      <c r="P11" s="17"/>
      <c r="Q11" s="199" t="str">
        <f>IFERROR(_xlfn.XLOOKUP($K$3,'Customer GST'!$A:$A,'Customer GST'!$B:$B,""),"")</f>
        <v>GSTIN:21BZLPR8517C2ZC</v>
      </c>
      <c r="R11" s="50"/>
      <c r="S11" s="50"/>
      <c r="T11" s="50"/>
      <c r="U11" s="50"/>
      <c r="V11" s="50"/>
      <c r="W11" s="50"/>
      <c r="X11" s="17"/>
    </row>
    <row r="12" spans="1:24" ht="21.75" x14ac:dyDescent="0.25">
      <c r="A12" s="59" t="str" cm="1">
        <f t="array" ref="A12">IFERROR(INDEX(_xlfn.ANCHORARRAY($K$6),ROW()-5,1),"")</f>
        <v/>
      </c>
      <c r="B12" s="159" t="str">
        <f>IF($H12="TOTAL",SUM($B$6:$B11)-SUMIF($H$6:$H11,"TOTAL",$B$6:$B11),IF($A12="","",IF($F12="DIESEL",SUMIFS(Table1[Quantity],Table1[Customer],$K$3,Table1[Date],$A12),IF($F12="PETROL",SUMIFS(Table14[Quantity],Table14[Customer],$K$3,Table14[Date],$A12),IF($F12="XtraGreen",SUMIFS(Table146[Quantity],Table146[Company],$K$3,Table146[Date],$A12),"")))))</f>
        <v/>
      </c>
      <c r="C12" s="161" t="str">
        <f>IF($A12="","",IF($F12="DIESEL",AVERAGEIFS(Table1[RSP],Table1[Customer],$K$3,Table1[Date],$A12),IF($F12="PETROL",AVERAGEIFS(Table14[RSP],Table14[Customer],$K$3,Table14[Date],$A12),IF($F12="XtraGreen",AVERAGEIFS(Table146[RSP],Table146[Company],$K$3,Table146[Date],$A12),IFERROR($D12/$B12,"")))))</f>
        <v/>
      </c>
      <c r="D12" s="159" t="str">
        <f>IF($H12="TOTAL",SUM($D$6:$D11)-SUMIF($H$6:$H11,"TOTAL",$D$6:$D11),IF($A12="","",IF($F12="DIESEL",SUMIFS(Table1[Amount],Table1[Customer],$K$3,Table1[Date],$A12),IF($F12="PETROL",SUMIFS(Table14[Amount],Table14[Customer],$K$3,Table14[Date],$A12),IF($F12="XtraGreen",SUMIFS(Table146[Amount],Table146[Company],$K$3,Table146[Date],$A12),SUMIFS('Other Sale'!$D:$D,'Other Sale'!$E:$E,$K$3,'Other Sale'!$C:$C,$F12,'Other Sale'!$A:$A,$A12))))))</f>
        <v/>
      </c>
      <c r="E12" s="61">
        <f>IF($H12="TOTAL",SUM($E$6:$E11)-SUMIF($H$6:$H11,"TOTAL",$E$6:$E11),IF($A12="",0,IF(COUNTIF($A$6:$A12,$A12)=1,SUMIFS(MasterPaid[Amount Paid],MasterPaid[Customer],$K$3,MasterPaid[Date],$A12),0)))</f>
        <v>0</v>
      </c>
      <c r="F12" s="62" t="str" cm="1">
        <f t="array" ref="F12">IFERROR(INDEX(_xlfn.ANCHORARRAY($K$6),ROW()-5,2),"")</f>
        <v/>
      </c>
      <c r="G12" s="57" t="str">
        <f>IF($H12="TOTAL",IFERROR(LOOKUP(9.99E+307,$G$6:$G11),""),IF($A12="","",G11+N(D12)-N(E12)))</f>
        <v/>
      </c>
      <c r="H12" s="20"/>
      <c r="I12" s="20"/>
      <c r="J12" s="20"/>
      <c r="K12" s="17"/>
      <c r="L12" s="17"/>
      <c r="M12" s="17"/>
      <c r="N12" s="17"/>
      <c r="O12" s="17"/>
      <c r="P12" s="17"/>
      <c r="Q12" s="17"/>
      <c r="R12" s="51" t="s">
        <v>6</v>
      </c>
      <c r="S12" s="51" t="s">
        <v>1285</v>
      </c>
      <c r="T12" s="51" t="s">
        <v>1</v>
      </c>
      <c r="U12" s="51" t="s">
        <v>2</v>
      </c>
      <c r="V12" s="51" t="s">
        <v>1286</v>
      </c>
      <c r="W12" s="51" t="s">
        <v>4</v>
      </c>
      <c r="X12" s="51" t="s">
        <v>1183</v>
      </c>
    </row>
    <row r="13" spans="1:24" ht="21.75" x14ac:dyDescent="0.25">
      <c r="A13" s="59" t="str" cm="1">
        <f t="array" ref="A13">IFERROR(INDEX(_xlfn.ANCHORARRAY($K$6),ROW()-5,1),"")</f>
        <v/>
      </c>
      <c r="B13" s="159" t="str">
        <f>IF($H13="TOTAL",SUM($B$6:$B12)-SUMIF($H$6:$H12,"TOTAL",$B$6:$B12),IF($A13="","",IF($F13="DIESEL",SUMIFS(Table1[Quantity],Table1[Customer],$K$3,Table1[Date],$A13),IF($F13="PETROL",SUMIFS(Table14[Quantity],Table14[Customer],$K$3,Table14[Date],$A13),IF($F13="XtraGreen",SUMIFS(Table146[Quantity],Table146[Company],$K$3,Table146[Date],$A13),"")))))</f>
        <v/>
      </c>
      <c r="C13" s="161" t="str">
        <f>IF($A13="","",IF($F13="DIESEL",AVERAGEIFS(Table1[RSP],Table1[Customer],$K$3,Table1[Date],$A13),IF($F13="PETROL",AVERAGEIFS(Table14[RSP],Table14[Customer],$K$3,Table14[Date],$A13),IF($F13="XtraGreen",AVERAGEIFS(Table146[RSP],Table146[Company],$K$3,Table146[Date],$A13),IFERROR($D13/$B13,"")))))</f>
        <v/>
      </c>
      <c r="D13" s="159" t="str">
        <f>IF($H13="TOTAL",SUM($D$6:$D12)-SUMIF($H$6:$H12,"TOTAL",$D$6:$D12),IF($A13="","",IF($F13="DIESEL",SUMIFS(Table1[Amount],Table1[Customer],$K$3,Table1[Date],$A13),IF($F13="PETROL",SUMIFS(Table14[Amount],Table14[Customer],$K$3,Table14[Date],$A13),IF($F13="XtraGreen",SUMIFS(Table146[Amount],Table146[Company],$K$3,Table146[Date],$A13),SUMIFS('Other Sale'!$D:$D,'Other Sale'!$E:$E,$K$3,'Other Sale'!$C:$C,$F13,'Other Sale'!$A:$A,$A13))))))</f>
        <v/>
      </c>
      <c r="E13" s="61">
        <f>IF($H13="TOTAL",SUM($E$6:$E12)-SUMIF($H$6:$H12,"TOTAL",$E$6:$E12),IF($A13="",0,IF(COUNTIF($A$6:$A13,$A13)=1,SUMIFS(MasterPaid[Amount Paid],MasterPaid[Customer],$K$3,MasterPaid[Date],$A13),0)))</f>
        <v>0</v>
      </c>
      <c r="F13" s="62" t="str" cm="1">
        <f t="array" ref="F13">IFERROR(INDEX(_xlfn.ANCHORARRAY($K$6),ROW()-5,2),"")</f>
        <v/>
      </c>
      <c r="G13" s="57" t="str">
        <f>IF($H13="TOTAL",IFERROR(LOOKUP(9.99E+307,$G$6:$G12),""),IF($A13="","",G12+N(D13)-N(E13)))</f>
        <v/>
      </c>
      <c r="H13" s="20"/>
      <c r="I13" s="20"/>
      <c r="J13" s="20"/>
      <c r="K13" s="17"/>
      <c r="L13" s="17"/>
      <c r="M13" s="17"/>
      <c r="N13" s="17"/>
      <c r="O13" s="17"/>
      <c r="P13" s="17"/>
      <c r="Q13" s="17"/>
      <c r="R13" s="64" t="str" cm="1">
        <f t="array" aca="1" ref="R13" ca="1">_xlfn.LET( _xlpm.cust,$Q$9, _xlpm.fromD,$X$8, _xlpm.toD,$X$9, _xlpm.prod,$X$10, _xlpm.hsd,_xlfn.HSTACK('HSD Sale'!$A$2:$B$7000,IF('HSD Sale'!$C$2:$C$7000="","",'HSD Sale'!$C$2:$C$7000),'HSD Sale'!$D$2:$F$7000,IF('HSD Sale'!$A$2:$A$7000="","","Diesel"),'HSD Sale'!$G$2:$G$7000), _xlpm.ms,_xlfn.HSTACK('MS Sale'!$A$2:$B$1000,IF('MS Sale'!$C$2:$C$1000="","",'MS Sale'!$C$2:$C$1000),'MS Sale'!$D$2:$F$1000,IF('MS Sale'!$A$2:$A$1000="","","Petrol"),'MS Sale'!$G$2:$G$1000), _xlpm.xg,_xlfn.HSTACK('XG Sale'!$A$2:$B$580,IF('XG Sale'!$C$2:$C$580="","",'XG Sale'!$C$2:$C$580),'XG Sale'!$D$2:$F$580,IF('XG Sale'!$A$2:$A$580="","","XtraGreen"),'XG Sale'!$G$2:$G$580), _xlpm.oth,_xlfn.HSTACK('Other Sale'!$A$2:$A$500,'Other Sale'!$B$2:$B$500,IF('Other Sale'!$A$2:$A$500="","",""),IF('Other Sale'!$A$2:$A$500="","",""),IF('Other Sale'!$A$2:$A$500="","",""),'Other Sale'!$D$2:$D$500,'Other Sale'!$C$2:$C$500,'Other Sale'!$E$2:$E$500), _xlpm.all,_xlfn.VSTACK(_xlpm.hsd,_xlpm.ms,_xlpm.xg,_xlpm.oth), _xlpm.d,INDEX(_xlpm.all,,1), _xlpm.c,INDEX(_xlpm.all,,8), _xlpm.p,INDEX(_xlpm.all,,7), _xlpm.keep,(_xlpm.c=_xlpm.cust)*(_xlpm.d&gt;=_xlpm.fromD)*(_xlpm.d&lt;=_xlpm.toD)*((_xlpm.prod="All")+(_xlpm.p=_xlpm.prod)), _xlpm.res,_xlfn._xlws.FILTER(_xlfn.HSTACK(INDEX(_xlpm.all,,1),INDEX(_xlpm.all,,2),INDEX(_xlpm.all,,3),INDEX(_xlpm.all,,4),INDEX(_xlpm.all,,5),INDEX(_xlpm.all,,6),INDEX(_xlpm.all,,7)),_xlpm.keep,"No bills in range"), IF(COLUMNS(_xlpm.res)=1,_xlpm.res,_xlfn._xlws.SORT(_xlpm.res,1)) )</f>
        <v>No bills in range</v>
      </c>
      <c r="S13" s="53"/>
      <c r="T13" s="53"/>
      <c r="U13" s="53"/>
      <c r="V13" s="53"/>
      <c r="W13" s="184"/>
      <c r="X13" s="53"/>
    </row>
    <row r="14" spans="1:24" ht="21.75" x14ac:dyDescent="0.25">
      <c r="A14" s="59" t="str" cm="1">
        <f t="array" ref="A14">IFERROR(INDEX(_xlfn.ANCHORARRAY($K$6),ROW()-5,1),"")</f>
        <v/>
      </c>
      <c r="B14" s="159" t="str">
        <f>IF($H14="TOTAL",SUM($B$6:$B13)-SUMIF($H$6:$H13,"TOTAL",$B$6:$B13),IF($A14="","",IF($F14="DIESEL",SUMIFS(Table1[Quantity],Table1[Customer],$K$3,Table1[Date],$A14),IF($F14="PETROL",SUMIFS(Table14[Quantity],Table14[Customer],$K$3,Table14[Date],$A14),IF($F14="XtraGreen",SUMIFS(Table146[Quantity],Table146[Company],$K$3,Table146[Date],$A14),"")))))</f>
        <v/>
      </c>
      <c r="C14" s="161" t="str">
        <f>IF($A14="","",IF($F14="DIESEL",AVERAGEIFS(Table1[RSP],Table1[Customer],$K$3,Table1[Date],$A14),IF($F14="PETROL",AVERAGEIFS(Table14[RSP],Table14[Customer],$K$3,Table14[Date],$A14),IF($F14="XtraGreen",AVERAGEIFS(Table146[RSP],Table146[Company],$K$3,Table146[Date],$A14),IFERROR($D14/$B14,"")))))</f>
        <v/>
      </c>
      <c r="D14" s="159" t="str">
        <f>IF($H14="TOTAL",SUM($D$6:$D13)-SUMIF($H$6:$H13,"TOTAL",$D$6:$D13),IF($A14="","",IF($F14="DIESEL",SUMIFS(Table1[Amount],Table1[Customer],$K$3,Table1[Date],$A14),IF($F14="PETROL",SUMIFS(Table14[Amount],Table14[Customer],$K$3,Table14[Date],$A14),IF($F14="XtraGreen",SUMIFS(Table146[Amount],Table146[Company],$K$3,Table146[Date],$A14),SUMIFS('Other Sale'!$D:$D,'Other Sale'!$E:$E,$K$3,'Other Sale'!$C:$C,$F14,'Other Sale'!$A:$A,$A14))))))</f>
        <v/>
      </c>
      <c r="E14" s="61">
        <f>IF($H14="TOTAL",SUM($E$6:$E13)-SUMIF($H$6:$H13,"TOTAL",$E$6:$E13),IF($A14="",0,IF(COUNTIF($A$6:$A14,$A14)=1,SUMIFS(MasterPaid[Amount Paid],MasterPaid[Customer],$K$3,MasterPaid[Date],$A14),0)))</f>
        <v>0</v>
      </c>
      <c r="F14" s="62" t="str" cm="1">
        <f t="array" ref="F14">IFERROR(INDEX(_xlfn.ANCHORARRAY($K$6),ROW()-5,2),"")</f>
        <v/>
      </c>
      <c r="G14" s="57" t="str">
        <f>IF($H14="TOTAL",IFERROR(LOOKUP(9.99E+307,$G$6:$G13),""),IF($A14="","",G13+N(D14)-N(E14)))</f>
        <v/>
      </c>
      <c r="H14" s="20"/>
      <c r="I14" s="20"/>
      <c r="J14" s="20"/>
      <c r="K14" s="17"/>
      <c r="L14" s="17"/>
      <c r="M14" s="17"/>
      <c r="N14" s="17"/>
      <c r="O14" s="17"/>
      <c r="P14" s="17"/>
      <c r="Q14" s="180"/>
      <c r="R14" s="181"/>
      <c r="S14" s="182"/>
      <c r="T14" s="182"/>
      <c r="U14" s="182"/>
      <c r="V14" s="182"/>
      <c r="W14" s="185"/>
      <c r="X14" s="182"/>
    </row>
    <row r="15" spans="1:24" ht="21.75" x14ac:dyDescent="0.25">
      <c r="A15" s="59" t="str" cm="1">
        <f t="array" ref="A15">IFERROR(INDEX(_xlfn.ANCHORARRAY($K$6),ROW()-5,1),"")</f>
        <v/>
      </c>
      <c r="B15" s="159" t="str">
        <f>IF($H15="TOTAL",SUM($B$6:$B14)-SUMIF($H$6:$H14,"TOTAL",$B$6:$B14),IF($A15="","",IF($F15="DIESEL",SUMIFS(Table1[Quantity],Table1[Customer],$K$3,Table1[Date],$A15),IF($F15="PETROL",SUMIFS(Table14[Quantity],Table14[Customer],$K$3,Table14[Date],$A15),IF($F15="XtraGreen",SUMIFS(Table146[Quantity],Table146[Company],$K$3,Table146[Date],$A15),"")))))</f>
        <v/>
      </c>
      <c r="C15" s="161" t="str">
        <f>IF($A15="","",IF($F15="DIESEL",AVERAGEIFS(Table1[RSP],Table1[Customer],$K$3,Table1[Date],$A15),IF($F15="PETROL",AVERAGEIFS(Table14[RSP],Table14[Customer],$K$3,Table14[Date],$A15),IF($F15="XtraGreen",AVERAGEIFS(Table146[RSP],Table146[Company],$K$3,Table146[Date],$A15),IFERROR($D15/$B15,"")))))</f>
        <v/>
      </c>
      <c r="D15" s="159" t="str">
        <f>IF($H15="TOTAL",SUM($D$6:$D14)-SUMIF($H$6:$H14,"TOTAL",$D$6:$D14),IF($A15="","",IF($F15="DIESEL",SUMIFS(Table1[Amount],Table1[Customer],$K$3,Table1[Date],$A15),IF($F15="PETROL",SUMIFS(Table14[Amount],Table14[Customer],$K$3,Table14[Date],$A15),IF($F15="XtraGreen",SUMIFS(Table146[Amount],Table146[Company],$K$3,Table146[Date],$A15),SUMIFS('Other Sale'!$D:$D,'Other Sale'!$E:$E,$K$3,'Other Sale'!$C:$C,$F15,'Other Sale'!$A:$A,$A15))))))</f>
        <v/>
      </c>
      <c r="E15" s="61">
        <f>IF($H15="TOTAL",SUM($E$6:$E14)-SUMIF($H$6:$H14,"TOTAL",$E$6:$E14),IF($A15="",0,IF(COUNTIF($A$6:$A15,$A15)=1,SUMIFS(MasterPaid[Amount Paid],MasterPaid[Customer],$K$3,MasterPaid[Date],$A15),0)))</f>
        <v>0</v>
      </c>
      <c r="F15" s="62" t="str" cm="1">
        <f t="array" ref="F15">IFERROR(INDEX(_xlfn.ANCHORARRAY($K$6),ROW()-5,2),"")</f>
        <v/>
      </c>
      <c r="G15" s="57" t="str">
        <f>IF($H15="TOTAL",IFERROR(LOOKUP(9.99E+307,$G$6:$G14),""),IF($A15="","",G14+N(D15)-N(E15)))</f>
        <v/>
      </c>
      <c r="H15" s="20"/>
      <c r="I15" s="20"/>
      <c r="J15" s="20"/>
      <c r="K15" s="17"/>
      <c r="L15" s="17"/>
      <c r="M15" s="17"/>
      <c r="N15" s="17"/>
      <c r="O15" s="17"/>
      <c r="P15" s="17"/>
      <c r="Q15" s="17"/>
      <c r="R15" s="52"/>
      <c r="S15" s="53"/>
      <c r="T15" s="53"/>
      <c r="U15" s="53"/>
      <c r="V15" s="53"/>
      <c r="W15" s="53"/>
      <c r="X15" s="53"/>
    </row>
    <row r="16" spans="1:24" ht="21.75" x14ac:dyDescent="0.25">
      <c r="A16" s="59" t="str" cm="1">
        <f t="array" ref="A16">IFERROR(INDEX(_xlfn.ANCHORARRAY($K$6),ROW()-5,1),"")</f>
        <v/>
      </c>
      <c r="B16" s="159" t="str">
        <f>IF($H16="TOTAL",SUM($B$6:$B15)-SUMIF($H$6:$H15,"TOTAL",$B$6:$B15),IF($A16="","",IF($F16="DIESEL",SUMIFS(Table1[Quantity],Table1[Customer],$K$3,Table1[Date],$A16),IF($F16="PETROL",SUMIFS(Table14[Quantity],Table14[Customer],$K$3,Table14[Date],$A16),IF($F16="XtraGreen",SUMIFS(Table146[Quantity],Table146[Company],$K$3,Table146[Date],$A16),"")))))</f>
        <v/>
      </c>
      <c r="C16" s="161" t="str">
        <f>IF($A16="","",IF($F16="DIESEL",AVERAGEIFS(Table1[RSP],Table1[Customer],$K$3,Table1[Date],$A16),IF($F16="PETROL",AVERAGEIFS(Table14[RSP],Table14[Customer],$K$3,Table14[Date],$A16),IF($F16="XtraGreen",AVERAGEIFS(Table146[RSP],Table146[Company],$K$3,Table146[Date],$A16),IFERROR($D16/$B16,"")))))</f>
        <v/>
      </c>
      <c r="D16" s="159" t="str">
        <f>IF($H16="TOTAL",SUM($D$6:$D15)-SUMIF($H$6:$H15,"TOTAL",$D$6:$D15),IF($A16="","",IF($F16="DIESEL",SUMIFS(Table1[Amount],Table1[Customer],$K$3,Table1[Date],$A16),IF($F16="PETROL",SUMIFS(Table14[Amount],Table14[Customer],$K$3,Table14[Date],$A16),IF($F16="XtraGreen",SUMIFS(Table146[Amount],Table146[Company],$K$3,Table146[Date],$A16),SUMIFS('Other Sale'!$D:$D,'Other Sale'!$E:$E,$K$3,'Other Sale'!$C:$C,$F16,'Other Sale'!$A:$A,$A16))))))</f>
        <v/>
      </c>
      <c r="E16" s="61">
        <f>IF($H16="TOTAL",SUM($E$6:$E15)-SUMIF($H$6:$H15,"TOTAL",$E$6:$E15),IF($A16="",0,IF(COUNTIF($A$6:$A16,$A16)=1,SUMIFS(MasterPaid[Amount Paid],MasterPaid[Customer],$K$3,MasterPaid[Date],$A16),0)))</f>
        <v>0</v>
      </c>
      <c r="F16" s="62" t="str" cm="1">
        <f t="array" ref="F16">IFERROR(INDEX(_xlfn.ANCHORARRAY($K$6),ROW()-5,2),"")</f>
        <v/>
      </c>
      <c r="G16" s="57" t="str">
        <f>IF($H16="TOTAL",IFERROR(LOOKUP(9.99E+307,$G$6:$G15),""),IF($A16="","",G15+N(D16)-N(E16)))</f>
        <v/>
      </c>
      <c r="H16" s="20"/>
      <c r="I16" s="20"/>
      <c r="J16" s="20"/>
      <c r="K16" s="17"/>
      <c r="L16" s="17"/>
      <c r="M16" s="17"/>
      <c r="N16" s="17"/>
      <c r="O16" s="17"/>
      <c r="P16" s="17"/>
      <c r="Q16" s="17"/>
      <c r="R16" s="52"/>
      <c r="S16" s="53"/>
      <c r="T16" s="53"/>
      <c r="U16" s="53"/>
      <c r="V16" s="53"/>
      <c r="W16" s="53"/>
      <c r="X16" s="53"/>
    </row>
    <row r="17" spans="1:24" ht="21.75" x14ac:dyDescent="0.25">
      <c r="A17" s="59" t="str" cm="1">
        <f t="array" ref="A17">IFERROR(INDEX(_xlfn.ANCHORARRAY($K$6),ROW()-5,1),"")</f>
        <v/>
      </c>
      <c r="B17" s="159" t="str">
        <f>IF($H17="TOTAL",SUM($B$6:$B16)-SUMIF($H$6:$H16,"TOTAL",$B$6:$B16),IF($A17="","",IF($F17="DIESEL",SUMIFS(Table1[Quantity],Table1[Customer],$K$3,Table1[Date],$A17),IF($F17="PETROL",SUMIFS(Table14[Quantity],Table14[Customer],$K$3,Table14[Date],$A17),IF($F17="XtraGreen",SUMIFS(Table146[Quantity],Table146[Company],$K$3,Table146[Date],$A17),"")))))</f>
        <v/>
      </c>
      <c r="C17" s="161" t="str">
        <f>IF($A17="","",IF($F17="DIESEL",AVERAGEIFS(Table1[RSP],Table1[Customer],$K$3,Table1[Date],$A17),IF($F17="PETROL",AVERAGEIFS(Table14[RSP],Table14[Customer],$K$3,Table14[Date],$A17),IF($F17="XtraGreen",AVERAGEIFS(Table146[RSP],Table146[Company],$K$3,Table146[Date],$A17),IFERROR($D17/$B17,"")))))</f>
        <v/>
      </c>
      <c r="D17" s="159" t="str">
        <f>IF($H17="TOTAL",SUM($D$6:$D16)-SUMIF($H$6:$H16,"TOTAL",$D$6:$D16),IF($A17="","",IF($F17="DIESEL",SUMIFS(Table1[Amount],Table1[Customer],$K$3,Table1[Date],$A17),IF($F17="PETROL",SUMIFS(Table14[Amount],Table14[Customer],$K$3,Table14[Date],$A17),IF($F17="XtraGreen",SUMIFS(Table146[Amount],Table146[Company],$K$3,Table146[Date],$A17),SUMIFS('Other Sale'!$D:$D,'Other Sale'!$E:$E,$K$3,'Other Sale'!$C:$C,$F17,'Other Sale'!$A:$A,$A17))))))</f>
        <v/>
      </c>
      <c r="E17" s="61">
        <f>IF($H17="TOTAL",SUM($E$6:$E16)-SUMIF($H$6:$H16,"TOTAL",$E$6:$E16),IF($A17="",0,IF(COUNTIF($A$6:$A17,$A17)=1,SUMIFS(MasterPaid[Amount Paid],MasterPaid[Customer],$K$3,MasterPaid[Date],$A17),0)))</f>
        <v>0</v>
      </c>
      <c r="F17" s="62" t="str" cm="1">
        <f t="array" ref="F17">IFERROR(INDEX(_xlfn.ANCHORARRAY($K$6),ROW()-5,2),"")</f>
        <v/>
      </c>
      <c r="G17" s="57" t="str">
        <f>IF($H17="TOTAL",IFERROR(LOOKUP(9.99E+307,$G$6:$G16),""),IF($A17="","",G16+N(D17)-N(E17)))</f>
        <v/>
      </c>
      <c r="H17" s="20"/>
      <c r="I17" s="20"/>
      <c r="J17" s="20"/>
      <c r="K17" s="17"/>
      <c r="L17" s="17"/>
      <c r="M17" s="17"/>
      <c r="N17" s="17"/>
      <c r="O17" s="17"/>
      <c r="P17" s="17"/>
      <c r="Q17" s="17"/>
      <c r="R17" s="52"/>
      <c r="S17" s="53"/>
      <c r="T17" s="53"/>
      <c r="U17" s="53"/>
      <c r="V17" s="53"/>
      <c r="W17" s="53"/>
      <c r="X17" s="53"/>
    </row>
    <row r="18" spans="1:24" ht="21.75" x14ac:dyDescent="0.25">
      <c r="A18" s="59" t="str" cm="1">
        <f t="array" ref="A18">IFERROR(INDEX(_xlfn.ANCHORARRAY($K$6),ROW()-5,1),"")</f>
        <v/>
      </c>
      <c r="B18" s="159" t="str">
        <f>IF($H18="TOTAL",SUM($B$6:$B17)-SUMIF($H$6:$H17,"TOTAL",$B$6:$B17),IF($A18="","",IF($F18="DIESEL",SUMIFS(Table1[Quantity],Table1[Customer],$K$3,Table1[Date],$A18),IF($F18="PETROL",SUMIFS(Table14[Quantity],Table14[Customer],$K$3,Table14[Date],$A18),IF($F18="XtraGreen",SUMIFS(Table146[Quantity],Table146[Company],$K$3,Table146[Date],$A18),"")))))</f>
        <v/>
      </c>
      <c r="C18" s="161" t="str">
        <f>IF($A18="","",IF($F18="DIESEL",AVERAGEIFS(Table1[RSP],Table1[Customer],$K$3,Table1[Date],$A18),IF($F18="PETROL",AVERAGEIFS(Table14[RSP],Table14[Customer],$K$3,Table14[Date],$A18),IF($F18="XtraGreen",AVERAGEIFS(Table146[RSP],Table146[Company],$K$3,Table146[Date],$A18),IFERROR($D18/$B18,"")))))</f>
        <v/>
      </c>
      <c r="D18" s="159" t="str">
        <f>IF($H18="TOTAL",SUM($D$6:$D17)-SUMIF($H$6:$H17,"TOTAL",$D$6:$D17),IF($A18="","",IF($F18="DIESEL",SUMIFS(Table1[Amount],Table1[Customer],$K$3,Table1[Date],$A18),IF($F18="PETROL",SUMIFS(Table14[Amount],Table14[Customer],$K$3,Table14[Date],$A18),IF($F18="XtraGreen",SUMIFS(Table146[Amount],Table146[Company],$K$3,Table146[Date],$A18),SUMIFS('Other Sale'!$D:$D,'Other Sale'!$E:$E,$K$3,'Other Sale'!$C:$C,$F18,'Other Sale'!$A:$A,$A18))))))</f>
        <v/>
      </c>
      <c r="E18" s="61">
        <f>IF($H18="TOTAL",SUM($E$6:$E17)-SUMIF($H$6:$H17,"TOTAL",$E$6:$E17),IF($A18="",0,IF(COUNTIF($A$6:$A18,$A18)=1,SUMIFS(MasterPaid[Amount Paid],MasterPaid[Customer],$K$3,MasterPaid[Date],$A18),0)))</f>
        <v>0</v>
      </c>
      <c r="F18" s="62" t="str" cm="1">
        <f t="array" ref="F18">IFERROR(INDEX(_xlfn.ANCHORARRAY($K$6),ROW()-5,2),"")</f>
        <v/>
      </c>
      <c r="G18" s="57" t="str">
        <f>IF($H18="TOTAL",IFERROR(LOOKUP(9.99E+307,$G$6:$G17),""),IF($A18="","",G17+N(D18)-N(E18)))</f>
        <v/>
      </c>
      <c r="H18" s="20"/>
      <c r="I18" s="20"/>
      <c r="J18" s="20"/>
      <c r="K18" s="17"/>
      <c r="L18" s="17"/>
      <c r="M18" s="17"/>
      <c r="N18" s="17"/>
      <c r="O18" s="17"/>
      <c r="P18" s="17"/>
      <c r="Q18" s="17"/>
      <c r="R18" s="52"/>
      <c r="S18" s="53"/>
      <c r="T18" s="53"/>
      <c r="U18" s="53"/>
      <c r="V18" s="53"/>
      <c r="W18" s="53"/>
      <c r="X18" s="53"/>
    </row>
    <row r="19" spans="1:24" ht="21.75" customHeight="1" x14ac:dyDescent="0.25">
      <c r="A19" s="59" t="str" cm="1">
        <f t="array" ref="A19">IFERROR(INDEX(_xlfn.ANCHORARRAY($K$6),ROW()-5,1),"")</f>
        <v/>
      </c>
      <c r="B19" s="159" t="str">
        <f>IF($H19="TOTAL",SUM($B$6:$B18)-SUMIF($H$6:$H18,"TOTAL",$B$6:$B18),IF($A19="","",IF($F19="DIESEL",SUMIFS(Table1[Quantity],Table1[Customer],$K$3,Table1[Date],$A19),IF($F19="PETROL",SUMIFS(Table14[Quantity],Table14[Customer],$K$3,Table14[Date],$A19),IF($F19="XtraGreen",SUMIFS(Table146[Quantity],Table146[Company],$K$3,Table146[Date],$A19),"")))))</f>
        <v/>
      </c>
      <c r="C19" s="161" t="str">
        <f>IF($A19="","",IF($F19="DIESEL",AVERAGEIFS(Table1[RSP],Table1[Customer],$K$3,Table1[Date],$A19),IF($F19="PETROL",AVERAGEIFS(Table14[RSP],Table14[Customer],$K$3,Table14[Date],$A19),IF($F19="XtraGreen",AVERAGEIFS(Table146[RSP],Table146[Company],$K$3,Table146[Date],$A19),IFERROR($D19/$B19,"")))))</f>
        <v/>
      </c>
      <c r="D19" s="159" t="str">
        <f>IF($H19="TOTAL",SUM($D$6:$D18)-SUMIF($H$6:$H18,"TOTAL",$D$6:$D18),IF($A19="","",IF($F19="DIESEL",SUMIFS(Table1[Amount],Table1[Customer],$K$3,Table1[Date],$A19),IF($F19="PETROL",SUMIFS(Table14[Amount],Table14[Customer],$K$3,Table14[Date],$A19),IF($F19="XtraGreen",SUMIFS(Table146[Amount],Table146[Company],$K$3,Table146[Date],$A19),SUMIFS('Other Sale'!$D:$D,'Other Sale'!$E:$E,$K$3,'Other Sale'!$C:$C,$F19,'Other Sale'!$A:$A,$A19))))))</f>
        <v/>
      </c>
      <c r="E19" s="61">
        <f>IF($H19="TOTAL",SUM($E$6:$E18)-SUMIF($H$6:$H18,"TOTAL",$E$6:$E18),IF($A19="",0,IF(COUNTIF($A$6:$A19,$A19)=1,SUMIFS(MasterPaid[Amount Paid],MasterPaid[Customer],$K$3,MasterPaid[Date],$A19),0)))</f>
        <v>0</v>
      </c>
      <c r="F19" s="62" t="str" cm="1">
        <f t="array" ref="F19">IFERROR(INDEX(_xlfn.ANCHORARRAY($K$6),ROW()-5,2),"")</f>
        <v/>
      </c>
      <c r="G19" s="57" t="str">
        <f>IF($H19="TOTAL",IFERROR(LOOKUP(9.99E+307,$G$6:$G18),""),IF($A19="","",G18+N(D19)-N(E19)))</f>
        <v/>
      </c>
      <c r="H19" s="20"/>
      <c r="I19" s="20"/>
      <c r="J19" s="20"/>
      <c r="K19" s="17"/>
      <c r="L19" s="17"/>
      <c r="M19" s="17"/>
      <c r="N19" s="17"/>
      <c r="O19" s="17"/>
      <c r="P19" s="17"/>
      <c r="Q19" s="17"/>
      <c r="R19" s="52"/>
      <c r="S19" s="53"/>
      <c r="T19" s="53"/>
      <c r="U19" s="53"/>
      <c r="V19" s="53"/>
      <c r="W19" s="53"/>
      <c r="X19" s="53"/>
    </row>
    <row r="20" spans="1:24" ht="21.75" x14ac:dyDescent="0.25">
      <c r="A20" s="59" t="str" cm="1">
        <f t="array" ref="A20">IFERROR(INDEX(_xlfn.ANCHORARRAY($K$6),ROW()-5,1),"")</f>
        <v/>
      </c>
      <c r="B20" s="159" t="str">
        <f>IF($H20="TOTAL",SUM($B$6:$B19)-SUMIF($H$6:$H19,"TOTAL",$B$6:$B19),IF($A20="","",IF($F20="DIESEL",SUMIFS(Table1[Quantity],Table1[Customer],$K$3,Table1[Date],$A20),IF($F20="PETROL",SUMIFS(Table14[Quantity],Table14[Customer],$K$3,Table14[Date],$A20),IF($F20="XtraGreen",SUMIFS(Table146[Quantity],Table146[Company],$K$3,Table146[Date],$A20),"")))))</f>
        <v/>
      </c>
      <c r="C20" s="161" t="str">
        <f>IF($A20="","",IF($F20="DIESEL",AVERAGEIFS(Table1[RSP],Table1[Customer],$K$3,Table1[Date],$A20),IF($F20="PETROL",AVERAGEIFS(Table14[RSP],Table14[Customer],$K$3,Table14[Date],$A20),IF($F20="XtraGreen",AVERAGEIFS(Table146[RSP],Table146[Company],$K$3,Table146[Date],$A20),IFERROR($D20/$B20,"")))))</f>
        <v/>
      </c>
      <c r="D20" s="159" t="str">
        <f>IF($H20="TOTAL",SUM($D$6:$D19)-SUMIF($H$6:$H19,"TOTAL",$D$6:$D19),IF($A20="","",IF($F20="DIESEL",SUMIFS(Table1[Amount],Table1[Customer],$K$3,Table1[Date],$A20),IF($F20="PETROL",SUMIFS(Table14[Amount],Table14[Customer],$K$3,Table14[Date],$A20),IF($F20="XtraGreen",SUMIFS(Table146[Amount],Table146[Company],$K$3,Table146[Date],$A20),SUMIFS('Other Sale'!$D:$D,'Other Sale'!$E:$E,$K$3,'Other Sale'!$C:$C,$F20,'Other Sale'!$A:$A,$A20))))))</f>
        <v/>
      </c>
      <c r="E20" s="61">
        <f>IF($H20="TOTAL",SUM($E$6:$E19)-SUMIF($H$6:$H19,"TOTAL",$E$6:$E19),IF($A20="",0,IF(COUNTIF($A$6:$A20,$A20)=1,SUMIFS(MasterPaid[Amount Paid],MasterPaid[Customer],$K$3,MasterPaid[Date],$A20),0)))</f>
        <v>0</v>
      </c>
      <c r="F20" s="62" t="str" cm="1">
        <f t="array" ref="F20">IFERROR(INDEX(_xlfn.ANCHORARRAY($K$6),ROW()-5,2),"")</f>
        <v/>
      </c>
      <c r="G20" s="57" t="str">
        <f>IF($H20="TOTAL",IFERROR(LOOKUP(9.99E+307,$G$6:$G19),""),IF($A20="","",G19+N(D20)-N(E20)))</f>
        <v/>
      </c>
      <c r="H20" s="20"/>
      <c r="I20" s="20"/>
      <c r="J20" s="20"/>
      <c r="K20" s="17"/>
      <c r="L20" s="17"/>
      <c r="M20" s="17"/>
      <c r="N20" s="17"/>
      <c r="O20" s="17"/>
      <c r="P20" s="17"/>
      <c r="Q20" s="17"/>
      <c r="R20" s="52"/>
      <c r="S20" s="53"/>
      <c r="T20" s="53"/>
      <c r="U20" s="53"/>
      <c r="V20" s="53"/>
      <c r="W20" s="53"/>
      <c r="X20" s="53"/>
    </row>
    <row r="21" spans="1:24" ht="21.75" x14ac:dyDescent="0.25">
      <c r="A21" s="59" t="str" cm="1">
        <f t="array" ref="A21">IFERROR(INDEX(_xlfn.ANCHORARRAY($K$6),ROW()-5,1),"")</f>
        <v/>
      </c>
      <c r="B21" s="159" t="str">
        <f>IF($H21="TOTAL",SUM($B$6:$B20)-SUMIF($H$6:$H20,"TOTAL",$B$6:$B20),IF($A21="","",IF($F21="DIESEL",SUMIFS(Table1[Quantity],Table1[Customer],$K$3,Table1[Date],$A21),IF($F21="PETROL",SUMIFS(Table14[Quantity],Table14[Customer],$K$3,Table14[Date],$A21),IF($F21="XtraGreen",SUMIFS(Table146[Quantity],Table146[Company],$K$3,Table146[Date],$A21),"")))))</f>
        <v/>
      </c>
      <c r="C21" s="161" t="str">
        <f>IF($A21="","",IF($F21="DIESEL",AVERAGEIFS(Table1[RSP],Table1[Customer],$K$3,Table1[Date],$A21),IF($F21="PETROL",AVERAGEIFS(Table14[RSP],Table14[Customer],$K$3,Table14[Date],$A21),IF($F21="XtraGreen",AVERAGEIFS(Table146[RSP],Table146[Company],$K$3,Table146[Date],$A21),IFERROR($D21/$B21,"")))))</f>
        <v/>
      </c>
      <c r="D21" s="159" t="str">
        <f>IF($H21="TOTAL",SUM($D$6:$D20)-SUMIF($H$6:$H20,"TOTAL",$D$6:$D20),IF($A21="","",IF($F21="DIESEL",SUMIFS(Table1[Amount],Table1[Customer],$K$3,Table1[Date],$A21),IF($F21="PETROL",SUMIFS(Table14[Amount],Table14[Customer],$K$3,Table14[Date],$A21),IF($F21="XtraGreen",SUMIFS(Table146[Amount],Table146[Company],$K$3,Table146[Date],$A21),SUMIFS('Other Sale'!$D:$D,'Other Sale'!$E:$E,$K$3,'Other Sale'!$C:$C,$F21,'Other Sale'!$A:$A,$A21))))))</f>
        <v/>
      </c>
      <c r="E21" s="61">
        <f>IF($H21="TOTAL",SUM($E$6:$E20)-SUMIF($H$6:$H20,"TOTAL",$E$6:$E20),IF($A21="",0,IF(COUNTIF($A$6:$A21,$A21)=1,SUMIFS(MasterPaid[Amount Paid],MasterPaid[Customer],$K$3,MasterPaid[Date],$A21),0)))</f>
        <v>0</v>
      </c>
      <c r="F21" s="62" t="str" cm="1">
        <f t="array" ref="F21">IFERROR(INDEX(_xlfn.ANCHORARRAY($K$6),ROW()-5,2),"")</f>
        <v/>
      </c>
      <c r="G21" s="57" t="str">
        <f>IF($H21="TOTAL",IFERROR(LOOKUP(9.99E+307,$G$6:$G20),""),IF($A21="","",G20+N(D21)-N(E21)))</f>
        <v/>
      </c>
      <c r="H21" s="20"/>
      <c r="I21" s="20"/>
      <c r="J21" s="20"/>
      <c r="K21" s="17"/>
      <c r="L21" s="17"/>
      <c r="M21" s="17"/>
      <c r="N21" s="17"/>
      <c r="O21" s="17"/>
      <c r="P21" s="17"/>
      <c r="Q21" s="17"/>
      <c r="R21" s="52"/>
      <c r="S21" s="53"/>
      <c r="T21" s="53"/>
      <c r="U21" s="53"/>
      <c r="V21" s="53"/>
      <c r="W21" s="53"/>
      <c r="X21" s="53"/>
    </row>
    <row r="22" spans="1:24" ht="21.75" x14ac:dyDescent="0.25">
      <c r="A22" s="59" t="str" cm="1">
        <f t="array" ref="A22">IFERROR(INDEX(_xlfn.ANCHORARRAY($K$6),ROW()-5,1),"")</f>
        <v/>
      </c>
      <c r="B22" s="159" t="str">
        <f>IF($H22="TOTAL",SUM($B$6:$B21)-SUMIF($H$6:$H21,"TOTAL",$B$6:$B21),IF($A22="","",IF($F22="DIESEL",SUMIFS(Table1[Quantity],Table1[Customer],$K$3,Table1[Date],$A22),IF($F22="PETROL",SUMIFS(Table14[Quantity],Table14[Customer],$K$3,Table14[Date],$A22),IF($F22="XtraGreen",SUMIFS(Table146[Quantity],Table146[Company],$K$3,Table146[Date],$A22),"")))))</f>
        <v/>
      </c>
      <c r="C22" s="161" t="str">
        <f>IF($A22="","",IF($F22="DIESEL",AVERAGEIFS(Table1[RSP],Table1[Customer],$K$3,Table1[Date],$A22),IF($F22="PETROL",AVERAGEIFS(Table14[RSP],Table14[Customer],$K$3,Table14[Date],$A22),IF($F22="XtraGreen",AVERAGEIFS(Table146[RSP],Table146[Company],$K$3,Table146[Date],$A22),IFERROR($D22/$B22,"")))))</f>
        <v/>
      </c>
      <c r="D22" s="159" t="str">
        <f>IF($H22="TOTAL",SUM($D$6:$D21)-SUMIF($H$6:$H21,"TOTAL",$D$6:$D21),IF($A22="","",IF($F22="DIESEL",SUMIFS(Table1[Amount],Table1[Customer],$K$3,Table1[Date],$A22),IF($F22="PETROL",SUMIFS(Table14[Amount],Table14[Customer],$K$3,Table14[Date],$A22),IF($F22="XtraGreen",SUMIFS(Table146[Amount],Table146[Company],$K$3,Table146[Date],$A22),SUMIFS('Other Sale'!$D:$D,'Other Sale'!$E:$E,$K$3,'Other Sale'!$C:$C,$F22,'Other Sale'!$A:$A,$A22))))))</f>
        <v/>
      </c>
      <c r="E22" s="61">
        <f>IF($H22="TOTAL",SUM($E$6:$E21)-SUMIF($H$6:$H21,"TOTAL",$E$6:$E21),IF($A22="",0,IF(COUNTIF($A$6:$A22,$A22)=1,SUMIFS(MasterPaid[Amount Paid],MasterPaid[Customer],$K$3,MasterPaid[Date],$A22),0)))</f>
        <v>0</v>
      </c>
      <c r="F22" s="62" t="str" cm="1">
        <f t="array" ref="F22">IFERROR(INDEX(_xlfn.ANCHORARRAY($K$6),ROW()-5,2),"")</f>
        <v/>
      </c>
      <c r="G22" s="57" t="str">
        <f>IF($H22="TOTAL",IFERROR(LOOKUP(9.99E+307,$G$6:$G21),""),IF($A22="","",G21+N(D22)-N(E22)))</f>
        <v/>
      </c>
      <c r="H22" s="20"/>
      <c r="I22" s="20"/>
      <c r="J22" s="20"/>
      <c r="K22" s="17"/>
      <c r="L22" s="17"/>
      <c r="M22" s="17"/>
      <c r="N22" s="17"/>
      <c r="O22" s="17"/>
      <c r="P22" s="17"/>
      <c r="Q22" s="17"/>
      <c r="R22" s="52"/>
      <c r="S22" s="53"/>
      <c r="T22" s="53"/>
      <c r="U22" s="53"/>
      <c r="V22" s="53"/>
      <c r="W22" s="53"/>
      <c r="X22" s="53"/>
    </row>
    <row r="23" spans="1:24" ht="21.75" x14ac:dyDescent="0.25">
      <c r="A23" s="59" t="str" cm="1">
        <f t="array" ref="A23">IFERROR(INDEX(_xlfn.ANCHORARRAY($K$6),ROW()-5,1),"")</f>
        <v/>
      </c>
      <c r="B23" s="159" t="str">
        <f>IF($H23="TOTAL",SUM($B$6:$B22)-SUMIF($H$6:$H22,"TOTAL",$B$6:$B22),IF($A23="","",IF($F23="DIESEL",SUMIFS(Table1[Quantity],Table1[Customer],$K$3,Table1[Date],$A23),IF($F23="PETROL",SUMIFS(Table14[Quantity],Table14[Customer],$K$3,Table14[Date],$A23),IF($F23="XtraGreen",SUMIFS(Table146[Quantity],Table146[Company],$K$3,Table146[Date],$A23),"")))))</f>
        <v/>
      </c>
      <c r="C23" s="161" t="str">
        <f>IF($A23="","",IF($F23="DIESEL",AVERAGEIFS(Table1[RSP],Table1[Customer],$K$3,Table1[Date],$A23),IF($F23="PETROL",AVERAGEIFS(Table14[RSP],Table14[Customer],$K$3,Table14[Date],$A23),IF($F23="XtraGreen",AVERAGEIFS(Table146[RSP],Table146[Company],$K$3,Table146[Date],$A23),IFERROR($D23/$B23,"")))))</f>
        <v/>
      </c>
      <c r="D23" s="159" t="str">
        <f>IF($H23="TOTAL",SUM($D$6:$D22)-SUMIF($H$6:$H22,"TOTAL",$D$6:$D22),IF($A23="","",IF($F23="DIESEL",SUMIFS(Table1[Amount],Table1[Customer],$K$3,Table1[Date],$A23),IF($F23="PETROL",SUMIFS(Table14[Amount],Table14[Customer],$K$3,Table14[Date],$A23),IF($F23="XtraGreen",SUMIFS(Table146[Amount],Table146[Company],$K$3,Table146[Date],$A23),SUMIFS('Other Sale'!$D:$D,'Other Sale'!$E:$E,$K$3,'Other Sale'!$C:$C,$F23,'Other Sale'!$A:$A,$A23))))))</f>
        <v/>
      </c>
      <c r="E23" s="61">
        <f>IF($H23="TOTAL",SUM($E$6:$E22)-SUMIF($H$6:$H22,"TOTAL",$E$6:$E22),IF($A23="",0,IF(COUNTIF($A$6:$A23,$A23)=1,SUMIFS(MasterPaid[Amount Paid],MasterPaid[Customer],$K$3,MasterPaid[Date],$A23),0)))</f>
        <v>0</v>
      </c>
      <c r="F23" s="62" t="str" cm="1">
        <f t="array" ref="F23">IFERROR(INDEX(_xlfn.ANCHORARRAY($K$6),ROW()-5,2),"")</f>
        <v/>
      </c>
      <c r="G23" s="57" t="str">
        <f>IF($H23="TOTAL",IFERROR(LOOKUP(9.99E+307,$G$6:$G22),""),IF($A23="","",G22+N(D23)-N(E23)))</f>
        <v/>
      </c>
      <c r="H23" s="20"/>
      <c r="I23" s="20"/>
      <c r="J23" s="20"/>
      <c r="K23" s="17"/>
      <c r="L23" s="17"/>
      <c r="M23" s="17"/>
      <c r="N23" s="17"/>
      <c r="O23" s="17"/>
      <c r="P23" s="17"/>
      <c r="Q23" s="17"/>
      <c r="R23" s="52"/>
      <c r="S23" s="53"/>
      <c r="T23" s="53"/>
      <c r="U23" s="53"/>
      <c r="V23" s="53"/>
      <c r="W23" s="53"/>
      <c r="X23" s="53"/>
    </row>
    <row r="24" spans="1:24" ht="23" x14ac:dyDescent="0.25">
      <c r="A24" s="59" t="str" cm="1">
        <f t="array" ref="A24">IFERROR(INDEX(_xlfn.ANCHORARRAY($K$6),ROW()-5,1),"")</f>
        <v/>
      </c>
      <c r="B24" s="159" t="str">
        <f>IF($H24="TOTAL",SUM($B$6:$B23)-SUMIF($H$6:$H23,"TOTAL",$B$6:$B23),IF($A24="","",IF($F24="DIESEL",SUMIFS(Table1[Quantity],Table1[Customer],$K$3,Table1[Date],$A24),IF($F24="PETROL",SUMIFS(Table14[Quantity],Table14[Customer],$K$3,Table14[Date],$A24),IF($F24="XtraGreen",SUMIFS(Table146[Quantity],Table146[Company],$K$3,Table146[Date],$A24),"")))))</f>
        <v/>
      </c>
      <c r="C24" s="161" t="str">
        <f>IF($A24="","",IF($F24="DIESEL",AVERAGEIFS(Table1[RSP],Table1[Customer],$K$3,Table1[Date],$A24),IF($F24="PETROL",AVERAGEIFS(Table14[RSP],Table14[Customer],$K$3,Table14[Date],$A24),IF($F24="XtraGreen",AVERAGEIFS(Table146[RSP],Table146[Company],$K$3,Table146[Date],$A24),IFERROR($D24/$B24,"")))))</f>
        <v/>
      </c>
      <c r="D24" s="159" t="str">
        <f>IF($H24="TOTAL",SUM($D$6:$D23)-SUMIF($H$6:$H23,"TOTAL",$D$6:$D23),IF($A24="","",IF($F24="DIESEL",SUMIFS(Table1[Amount],Table1[Customer],$K$3,Table1[Date],$A24),IF($F24="PETROL",SUMIFS(Table14[Amount],Table14[Customer],$K$3,Table14[Date],$A24),IF($F24="XtraGreen",SUMIFS(Table146[Amount],Table146[Company],$K$3,Table146[Date],$A24),SUMIFS('Other Sale'!$D:$D,'Other Sale'!$E:$E,$K$3,'Other Sale'!$C:$C,$F24,'Other Sale'!$A:$A,$A24))))))</f>
        <v/>
      </c>
      <c r="E24" s="61">
        <f>IF($H24="TOTAL",SUM($E$6:$E23)-SUMIF($H$6:$H23,"TOTAL",$E$6:$E23),IF($A24="",0,IF(COUNTIF($A$6:$A24,$A24)=1,SUMIFS(MasterPaid[Amount Paid],MasterPaid[Customer],$K$3,MasterPaid[Date],$A24),0)))</f>
        <v>0</v>
      </c>
      <c r="F24" s="62" t="str" cm="1">
        <f t="array" ref="F24">IFERROR(INDEX(_xlfn.ANCHORARRAY($K$6),ROW()-5,2),"")</f>
        <v/>
      </c>
      <c r="G24" s="57" t="str">
        <f>IF($H24="TOTAL",IFERROR(LOOKUP(9.99E+307,$G$6:$G23),""),IF($A24="","",G23+N(D24)-N(E24)))</f>
        <v/>
      </c>
      <c r="H24" s="20"/>
      <c r="I24" s="20"/>
      <c r="J24" s="20"/>
      <c r="K24" s="17"/>
      <c r="L24" s="17"/>
      <c r="M24" s="17"/>
      <c r="N24" s="17"/>
      <c r="O24" s="17"/>
      <c r="P24" s="17"/>
      <c r="Q24" s="17"/>
      <c r="R24" s="52"/>
      <c r="S24" s="53"/>
      <c r="T24" s="53"/>
      <c r="U24" s="53"/>
      <c r="V24" s="53"/>
      <c r="W24" s="53"/>
      <c r="X24" s="53"/>
    </row>
    <row r="25" spans="1:24" ht="23" x14ac:dyDescent="0.25">
      <c r="A25" s="59" t="str" cm="1">
        <f t="array" ref="A25">IFERROR(INDEX(_xlfn.ANCHORARRAY($K$6),ROW()-5,1),"")</f>
        <v/>
      </c>
      <c r="B25" s="159" t="str">
        <f>IF($H25="TOTAL",SUM($B$6:$B24)-SUMIF($H$6:$H24,"TOTAL",$B$6:$B24),IF($A25="","",IF($F25="DIESEL",SUMIFS(Table1[Quantity],Table1[Customer],$K$3,Table1[Date],$A25),IF($F25="PETROL",SUMIFS(Table14[Quantity],Table14[Customer],$K$3,Table14[Date],$A25),IF($F25="XtraGreen",SUMIFS(Table146[Quantity],Table146[Company],$K$3,Table146[Date],$A25),"")))))</f>
        <v/>
      </c>
      <c r="C25" s="161" t="str">
        <f>IF($A25="","",IF($F25="DIESEL",AVERAGEIFS(Table1[RSP],Table1[Customer],$K$3,Table1[Date],$A25),IF($F25="PETROL",AVERAGEIFS(Table14[RSP],Table14[Customer],$K$3,Table14[Date],$A25),IF($F25="XtraGreen",AVERAGEIFS(Table146[RSP],Table146[Company],$K$3,Table146[Date],$A25),IFERROR($D25/$B25,"")))))</f>
        <v/>
      </c>
      <c r="D25" s="159" t="str">
        <f>IF($H25="TOTAL",SUM($D$6:$D24)-SUMIF($H$6:$H24,"TOTAL",$D$6:$D24),IF($A25="","",IF($F25="DIESEL",SUMIFS(Table1[Amount],Table1[Customer],$K$3,Table1[Date],$A25),IF($F25="PETROL",SUMIFS(Table14[Amount],Table14[Customer],$K$3,Table14[Date],$A25),IF($F25="XtraGreen",SUMIFS(Table146[Amount],Table146[Company],$K$3,Table146[Date],$A25),SUMIFS('Other Sale'!$D:$D,'Other Sale'!$E:$E,$K$3,'Other Sale'!$C:$C,$F25,'Other Sale'!$A:$A,$A25))))))</f>
        <v/>
      </c>
      <c r="E25" s="61">
        <f>IF($H25="TOTAL",SUM($E$6:$E24)-SUMIF($H$6:$H24,"TOTAL",$E$6:$E24),IF($A25="",0,IF(COUNTIF($A$6:$A25,$A25)=1,SUMIFS(MasterPaid[Amount Paid],MasterPaid[Customer],$K$3,MasterPaid[Date],$A25),0)))</f>
        <v>0</v>
      </c>
      <c r="F25" s="62" t="str" cm="1">
        <f t="array" ref="F25">IFERROR(INDEX(_xlfn.ANCHORARRAY($K$6),ROW()-5,2),"")</f>
        <v/>
      </c>
      <c r="G25" s="57" t="str">
        <f>IF($H25="TOTAL",IFERROR(LOOKUP(9.99E+307,$G$6:$G24),""),IF($A25="","",G24+N(D25)-N(E25)))</f>
        <v/>
      </c>
      <c r="H25" s="20"/>
      <c r="I25" s="20"/>
      <c r="J25" s="20"/>
      <c r="K25" s="17"/>
      <c r="L25" s="17"/>
      <c r="M25" s="17"/>
      <c r="N25" s="17"/>
      <c r="O25" s="17"/>
      <c r="P25" s="17"/>
      <c r="Q25" s="17"/>
      <c r="R25" s="52"/>
      <c r="S25" s="53"/>
      <c r="T25" s="53"/>
      <c r="U25" s="53"/>
      <c r="V25" s="53"/>
      <c r="W25" s="53"/>
      <c r="X25" s="53"/>
    </row>
    <row r="26" spans="1:24" ht="21.75" customHeight="1" x14ac:dyDescent="0.25">
      <c r="A26" s="59" t="str" cm="1">
        <f t="array" ref="A26">IFERROR(INDEX(_xlfn.ANCHORARRAY($K$6),ROW()-5,1),"")</f>
        <v/>
      </c>
      <c r="B26" s="159" t="str">
        <f>IF($H26="TOTAL",SUM($B$6:$B25)-SUMIF($H$6:$H25,"TOTAL",$B$6:$B25),IF($A26="","",IF($F26="DIESEL",SUMIFS(Table1[Quantity],Table1[Customer],$K$3,Table1[Date],$A26),IF($F26="PETROL",SUMIFS(Table14[Quantity],Table14[Customer],$K$3,Table14[Date],$A26),IF($F26="XtraGreen",SUMIFS(Table146[Quantity],Table146[Company],$K$3,Table146[Date],$A26),"")))))</f>
        <v/>
      </c>
      <c r="C26" s="161" t="str">
        <f>IF($A26="","",IF($F26="DIESEL",AVERAGEIFS(Table1[RSP],Table1[Customer],$K$3,Table1[Date],$A26),IF($F26="PETROL",AVERAGEIFS(Table14[RSP],Table14[Customer],$K$3,Table14[Date],$A26),IF($F26="XtraGreen",AVERAGEIFS(Table146[RSP],Table146[Company],$K$3,Table146[Date],$A26),IFERROR($D26/$B26,"")))))</f>
        <v/>
      </c>
      <c r="D26" s="159" t="str">
        <f>IF($H26="TOTAL",SUM($D$6:$D25)-SUMIF($H$6:$H25,"TOTAL",$D$6:$D25),IF($A26="","",IF($F26="DIESEL",SUMIFS(Table1[Amount],Table1[Customer],$K$3,Table1[Date],$A26),IF($F26="PETROL",SUMIFS(Table14[Amount],Table14[Customer],$K$3,Table14[Date],$A26),IF($F26="XtraGreen",SUMIFS(Table146[Amount],Table146[Company],$K$3,Table146[Date],$A26),SUMIFS('Other Sale'!$D:$D,'Other Sale'!$E:$E,$K$3,'Other Sale'!$C:$C,$F26,'Other Sale'!$A:$A,$A26))))))</f>
        <v/>
      </c>
      <c r="E26" s="61">
        <f>IF($H26="TOTAL",SUM($E$6:$E25)-SUMIF($H$6:$H25,"TOTAL",$E$6:$E25),IF($A26="",0,IF(COUNTIF($A$6:$A26,$A26)=1,SUMIFS(MasterPaid[Amount Paid],MasterPaid[Customer],$K$3,MasterPaid[Date],$A26),0)))</f>
        <v>0</v>
      </c>
      <c r="F26" s="62" t="str" cm="1">
        <f t="array" ref="F26">IFERROR(INDEX(_xlfn.ANCHORARRAY($K$6),ROW()-5,2),"")</f>
        <v/>
      </c>
      <c r="G26" s="57" t="str">
        <f>IF($H26="TOTAL",IFERROR(LOOKUP(9.99E+307,$G$6:$G25),""),IF($A26="","",G25+N(D26)-N(E26)))</f>
        <v/>
      </c>
      <c r="H26" s="20"/>
      <c r="I26" s="20"/>
      <c r="J26" s="20"/>
      <c r="K26" s="17"/>
      <c r="L26" s="17"/>
      <c r="M26" s="17"/>
      <c r="N26" s="17"/>
      <c r="O26" s="17"/>
      <c r="P26" s="17"/>
      <c r="Q26" s="17"/>
      <c r="R26" s="52"/>
      <c r="S26" s="53"/>
      <c r="T26" s="53"/>
      <c r="U26" s="53"/>
      <c r="V26" s="53"/>
      <c r="W26" s="53"/>
      <c r="X26" s="53"/>
    </row>
    <row r="27" spans="1:24" ht="23" x14ac:dyDescent="0.25">
      <c r="A27" s="59" t="str" cm="1">
        <f t="array" ref="A27">IFERROR(INDEX(_xlfn.ANCHORARRAY($K$6),ROW()-5,1),"")</f>
        <v/>
      </c>
      <c r="B27" s="159" t="str">
        <f>IF($H27="TOTAL",SUM($B$6:$B26)-SUMIF($H$6:$H26,"TOTAL",$B$6:$B26),IF($A27="","",IF($F27="DIESEL",SUMIFS(Table1[Quantity],Table1[Customer],$K$3,Table1[Date],$A27),IF($F27="PETROL",SUMIFS(Table14[Quantity],Table14[Customer],$K$3,Table14[Date],$A27),IF($F27="XtraGreen",SUMIFS(Table146[Quantity],Table146[Company],$K$3,Table146[Date],$A27),"")))))</f>
        <v/>
      </c>
      <c r="C27" s="161" t="str">
        <f>IF($A27="","",IF($F27="DIESEL",AVERAGEIFS(Table1[RSP],Table1[Customer],$K$3,Table1[Date],$A27),IF($F27="PETROL",AVERAGEIFS(Table14[RSP],Table14[Customer],$K$3,Table14[Date],$A27),IF($F27="XtraGreen",AVERAGEIFS(Table146[RSP],Table146[Company],$K$3,Table146[Date],$A27),IFERROR($D27/$B27,"")))))</f>
        <v/>
      </c>
      <c r="D27" s="159" t="str">
        <f>IF($H27="TOTAL",SUM($D$6:$D26)-SUMIF($H$6:$H26,"TOTAL",$D$6:$D26),IF($A27="","",IF($F27="DIESEL",SUMIFS(Table1[Amount],Table1[Customer],$K$3,Table1[Date],$A27),IF($F27="PETROL",SUMIFS(Table14[Amount],Table14[Customer],$K$3,Table14[Date],$A27),IF($F27="XtraGreen",SUMIFS(Table146[Amount],Table146[Company],$K$3,Table146[Date],$A27),SUMIFS('Other Sale'!$D:$D,'Other Sale'!$E:$E,$K$3,'Other Sale'!$C:$C,$F27,'Other Sale'!$A:$A,$A27))))))</f>
        <v/>
      </c>
      <c r="E27" s="61">
        <f>IF($H27="TOTAL",SUM($E$6:$E26)-SUMIF($H$6:$H26,"TOTAL",$E$6:$E26),IF($A27="",0,IF(COUNTIF($A$6:$A27,$A27)=1,SUMIFS(MasterPaid[Amount Paid],MasterPaid[Customer],$K$3,MasterPaid[Date],$A27),0)))</f>
        <v>0</v>
      </c>
      <c r="F27" s="62" t="str" cm="1">
        <f t="array" ref="F27">IFERROR(INDEX(_xlfn.ANCHORARRAY($K$6),ROW()-5,2),"")</f>
        <v/>
      </c>
      <c r="G27" s="57" t="str">
        <f>IF($H27="TOTAL",IFERROR(LOOKUP(9.99E+307,$G$6:$G26),""),IF($A27="","",G26+N(D27)-N(E27)))</f>
        <v/>
      </c>
      <c r="H27" s="20"/>
      <c r="I27" s="20"/>
      <c r="J27" s="20"/>
      <c r="K27" s="17"/>
      <c r="L27" s="17"/>
      <c r="M27" s="17"/>
      <c r="N27" s="17"/>
      <c r="O27" s="17"/>
      <c r="P27" s="17"/>
      <c r="Q27" s="17"/>
      <c r="R27" s="52"/>
      <c r="S27" s="53"/>
      <c r="T27" s="53"/>
      <c r="U27" s="53"/>
      <c r="V27" s="53"/>
      <c r="W27" s="53"/>
      <c r="X27" s="53"/>
    </row>
    <row r="28" spans="1:24" ht="21.75" customHeight="1" x14ac:dyDescent="0.25">
      <c r="A28" s="59" t="str" cm="1">
        <f t="array" ref="A28">IFERROR(INDEX(_xlfn.ANCHORARRAY($K$6),ROW()-5,1),"")</f>
        <v/>
      </c>
      <c r="B28" s="159" t="str">
        <f>IF($H28="TOTAL",SUM($B$6:$B27)-SUMIF($H$6:$H27,"TOTAL",$B$6:$B27),IF($A28="","",IF($F28="DIESEL",SUMIFS(Table1[Quantity],Table1[Customer],$K$3,Table1[Date],$A28),IF($F28="PETROL",SUMIFS(Table14[Quantity],Table14[Customer],$K$3,Table14[Date],$A28),IF($F28="XtraGreen",SUMIFS(Table146[Quantity],Table146[Company],$K$3,Table146[Date],$A28),"")))))</f>
        <v/>
      </c>
      <c r="C28" s="161" t="str">
        <f>IF($A28="","",IF($F28="DIESEL",AVERAGEIFS(Table1[RSP],Table1[Customer],$K$3,Table1[Date],$A28),IF($F28="PETROL",AVERAGEIFS(Table14[RSP],Table14[Customer],$K$3,Table14[Date],$A28),IF($F28="XtraGreen",AVERAGEIFS(Table146[RSP],Table146[Company],$K$3,Table146[Date],$A28),IFERROR($D28/$B28,"")))))</f>
        <v/>
      </c>
      <c r="D28" s="159" t="str">
        <f>IF($H28="TOTAL",SUM($D$6:$D27)-SUMIF($H$6:$H27,"TOTAL",$D$6:$D27),IF($A28="","",IF($F28="DIESEL",SUMIFS(Table1[Amount],Table1[Customer],$K$3,Table1[Date],$A28),IF($F28="PETROL",SUMIFS(Table14[Amount],Table14[Customer],$K$3,Table14[Date],$A28),IF($F28="XtraGreen",SUMIFS(Table146[Amount],Table146[Company],$K$3,Table146[Date],$A28),SUMIFS('Other Sale'!$D:$D,'Other Sale'!$E:$E,$K$3,'Other Sale'!$C:$C,$F28,'Other Sale'!$A:$A,$A28))))))</f>
        <v/>
      </c>
      <c r="E28" s="61">
        <f>IF($H28="TOTAL",SUM($E$6:$E27)-SUMIF($H$6:$H27,"TOTAL",$E$6:$E27),IF($A28="",0,IF(COUNTIF($A$6:$A28,$A28)=1,SUMIFS(MasterPaid[Amount Paid],MasterPaid[Customer],$K$3,MasterPaid[Date],$A28),0)))</f>
        <v>0</v>
      </c>
      <c r="F28" s="62" t="str" cm="1">
        <f t="array" ref="F28">IFERROR(INDEX(_xlfn.ANCHORARRAY($K$6),ROW()-5,2),"")</f>
        <v/>
      </c>
      <c r="G28" s="57" t="str">
        <f>IF($H28="TOTAL",IFERROR(LOOKUP(9.99E+307,$G$6:$G27),""),IF($A28="","",G27+N(D28)-N(E28)))</f>
        <v/>
      </c>
      <c r="H28" s="20"/>
      <c r="I28" s="20"/>
      <c r="J28" s="20"/>
      <c r="K28" s="17"/>
      <c r="L28" s="17"/>
      <c r="M28" s="17"/>
      <c r="N28" s="17"/>
      <c r="O28" s="17"/>
      <c r="P28" s="17"/>
      <c r="Q28" s="17"/>
      <c r="R28" s="52"/>
      <c r="S28" s="53"/>
      <c r="T28" s="53"/>
      <c r="U28" s="53"/>
      <c r="V28" s="53"/>
      <c r="W28" s="53"/>
      <c r="X28" s="53"/>
    </row>
    <row r="29" spans="1:24" ht="23" x14ac:dyDescent="0.25">
      <c r="A29" s="59" t="str" cm="1">
        <f t="array" ref="A29">IFERROR(INDEX(_xlfn.ANCHORARRAY($K$6),ROW()-5,1),"")</f>
        <v/>
      </c>
      <c r="B29" s="159" t="str">
        <f>IF($H29="TOTAL",SUM($B$6:$B28)-SUMIF($H$6:$H28,"TOTAL",$B$6:$B28),IF($A29="","",IF($F29="DIESEL",SUMIFS(Table1[Quantity],Table1[Customer],$K$3,Table1[Date],$A29),IF($F29="PETROL",SUMIFS(Table14[Quantity],Table14[Customer],$K$3,Table14[Date],$A29),IF($F29="XtraGreen",SUMIFS(Table146[Quantity],Table146[Company],$K$3,Table146[Date],$A29),"")))))</f>
        <v/>
      </c>
      <c r="C29" s="161" t="str">
        <f>IF($A29="","",IF($F29="DIESEL",AVERAGEIFS(Table1[RSP],Table1[Customer],$K$3,Table1[Date],$A29),IF($F29="PETROL",AVERAGEIFS(Table14[RSP],Table14[Customer],$K$3,Table14[Date],$A29),IF($F29="XtraGreen",AVERAGEIFS(Table146[RSP],Table146[Company],$K$3,Table146[Date],$A29),IFERROR($D29/$B29,"")))))</f>
        <v/>
      </c>
      <c r="D29" s="159" t="str">
        <f>IF($H29="TOTAL",SUM($D$6:$D28)-SUMIF($H$6:$H28,"TOTAL",$D$6:$D28),IF($A29="","",IF($F29="DIESEL",SUMIFS(Table1[Amount],Table1[Customer],$K$3,Table1[Date],$A29),IF($F29="PETROL",SUMIFS(Table14[Amount],Table14[Customer],$K$3,Table14[Date],$A29),IF($F29="XtraGreen",SUMIFS(Table146[Amount],Table146[Company],$K$3,Table146[Date],$A29),SUMIFS('Other Sale'!$D:$D,'Other Sale'!$E:$E,$K$3,'Other Sale'!$C:$C,$F29,'Other Sale'!$A:$A,$A29))))))</f>
        <v/>
      </c>
      <c r="E29" s="61">
        <f>IF($H29="TOTAL",SUM($E$6:$E28)-SUMIF($H$6:$H28,"TOTAL",$E$6:$E28),IF($A29="",0,IF(COUNTIF($A$6:$A29,$A29)=1,SUMIFS(MasterPaid[Amount Paid],MasterPaid[Customer],$K$3,MasterPaid[Date],$A29),0)))</f>
        <v>0</v>
      </c>
      <c r="F29" s="62" t="str" cm="1">
        <f t="array" ref="F29">IFERROR(INDEX(_xlfn.ANCHORARRAY($K$6),ROW()-5,2),"")</f>
        <v/>
      </c>
      <c r="G29" s="57" t="str">
        <f>IF($H29="TOTAL",IFERROR(LOOKUP(9.99E+307,$G$6:$G28),""),IF($A29="","",G28+N(D29)-N(E29)))</f>
        <v/>
      </c>
      <c r="H29" s="20"/>
      <c r="I29" s="20"/>
      <c r="J29" s="20"/>
      <c r="K29" s="17"/>
      <c r="L29" s="17"/>
      <c r="M29" s="17"/>
      <c r="N29" s="17"/>
      <c r="O29" s="17"/>
      <c r="P29" s="17"/>
      <c r="Q29" s="17"/>
      <c r="R29" s="52"/>
      <c r="S29" s="53"/>
      <c r="T29" s="53"/>
      <c r="U29" s="53"/>
      <c r="V29" s="53"/>
      <c r="W29" s="53"/>
      <c r="X29" s="53"/>
    </row>
    <row r="30" spans="1:24" ht="23" x14ac:dyDescent="0.25">
      <c r="A30" s="59" t="str" cm="1">
        <f t="array" ref="A30">IFERROR(INDEX(_xlfn.ANCHORARRAY($K$6),ROW()-5,1),"")</f>
        <v/>
      </c>
      <c r="B30" s="159" t="str">
        <f>IF($H30="TOTAL",SUM($B$6:$B29)-SUMIF($H$6:$H29,"TOTAL",$B$6:$B29),IF($A30="","",IF($F30="DIESEL",SUMIFS(Table1[Quantity],Table1[Customer],$K$3,Table1[Date],$A30),IF($F30="PETROL",SUMIFS(Table14[Quantity],Table14[Customer],$K$3,Table14[Date],$A30),IF($F30="XtraGreen",SUMIFS(Table146[Quantity],Table146[Company],$K$3,Table146[Date],$A30),"")))))</f>
        <v/>
      </c>
      <c r="C30" s="161" t="str">
        <f>IF($A30="","",IF($F30="DIESEL",AVERAGEIFS(Table1[RSP],Table1[Customer],$K$3,Table1[Date],$A30),IF($F30="PETROL",AVERAGEIFS(Table14[RSP],Table14[Customer],$K$3,Table14[Date],$A30),IF($F30="XtraGreen",AVERAGEIFS(Table146[RSP],Table146[Company],$K$3,Table146[Date],$A30),IFERROR($D30/$B30,"")))))</f>
        <v/>
      </c>
      <c r="D30" s="159" t="str">
        <f>IF($H30="TOTAL",SUM($D$6:$D29)-SUMIF($H$6:$H29,"TOTAL",$D$6:$D29),IF($A30="","",IF($F30="DIESEL",SUMIFS(Table1[Amount],Table1[Customer],$K$3,Table1[Date],$A30),IF($F30="PETROL",SUMIFS(Table14[Amount],Table14[Customer],$K$3,Table14[Date],$A30),IF($F30="XtraGreen",SUMIFS(Table146[Amount],Table146[Company],$K$3,Table146[Date],$A30),SUMIFS('Other Sale'!$D:$D,'Other Sale'!$E:$E,$K$3,'Other Sale'!$C:$C,$F30,'Other Sale'!$A:$A,$A30))))))</f>
        <v/>
      </c>
      <c r="E30" s="61">
        <f>IF($H30="TOTAL",SUM($E$6:$E29)-SUMIF($H$6:$H29,"TOTAL",$E$6:$E29),IF($A30="",0,IF(COUNTIF($A$6:$A30,$A30)=1,SUMIFS(MasterPaid[Amount Paid],MasterPaid[Customer],$K$3,MasterPaid[Date],$A30),0)))</f>
        <v>0</v>
      </c>
      <c r="F30" s="62" t="str" cm="1">
        <f t="array" ref="F30">IFERROR(INDEX(_xlfn.ANCHORARRAY($K$6),ROW()-5,2),"")</f>
        <v/>
      </c>
      <c r="G30" s="57" t="str">
        <f>IF($H30="TOTAL",IFERROR(LOOKUP(9.99E+307,$G$6:$G29),""),IF($A30="","",G29+N(D30)-N(E30)))</f>
        <v/>
      </c>
      <c r="H30" s="20"/>
      <c r="I30" s="20"/>
      <c r="J30" s="20"/>
      <c r="K30" s="17"/>
      <c r="L30" s="17"/>
      <c r="M30" s="17"/>
      <c r="N30" s="17"/>
      <c r="O30" s="17"/>
      <c r="P30" s="17"/>
      <c r="Q30" s="17"/>
      <c r="R30" s="52"/>
      <c r="S30" s="53"/>
      <c r="T30" s="53"/>
      <c r="U30" s="53"/>
      <c r="V30" s="53"/>
      <c r="W30" s="53"/>
      <c r="X30" s="53"/>
    </row>
    <row r="31" spans="1:24" ht="23" x14ac:dyDescent="0.25">
      <c r="A31" s="59" t="str" cm="1">
        <f t="array" ref="A31">IFERROR(INDEX(_xlfn.ANCHORARRAY($K$6),ROW()-5,1),"")</f>
        <v/>
      </c>
      <c r="B31" s="159" t="str">
        <f>IF($H31="TOTAL",SUM($B$6:$B30)-SUMIF($H$6:$H30,"TOTAL",$B$6:$B30),IF($A31="","",IF($F31="DIESEL",SUMIFS(Table1[Quantity],Table1[Customer],$K$3,Table1[Date],$A31),IF($F31="PETROL",SUMIFS(Table14[Quantity],Table14[Customer],$K$3,Table14[Date],$A31),IF($F31="XtraGreen",SUMIFS(Table146[Quantity],Table146[Company],$K$3,Table146[Date],$A31),"")))))</f>
        <v/>
      </c>
      <c r="C31" s="161" t="str">
        <f>IF($A31="","",IF($F31="DIESEL",AVERAGEIFS(Table1[RSP],Table1[Customer],$K$3,Table1[Date],$A31),IF($F31="PETROL",AVERAGEIFS(Table14[RSP],Table14[Customer],$K$3,Table14[Date],$A31),IF($F31="XtraGreen",AVERAGEIFS(Table146[RSP],Table146[Company],$K$3,Table146[Date],$A31),IFERROR($D31/$B31,"")))))</f>
        <v/>
      </c>
      <c r="D31" s="159" t="str">
        <f>IF($H31="TOTAL",SUM($D$6:$D30)-SUMIF($H$6:$H30,"TOTAL",$D$6:$D30),IF($A31="","",IF($F31="DIESEL",SUMIFS(Table1[Amount],Table1[Customer],$K$3,Table1[Date],$A31),IF($F31="PETROL",SUMIFS(Table14[Amount],Table14[Customer],$K$3,Table14[Date],$A31),IF($F31="XtraGreen",SUMIFS(Table146[Amount],Table146[Company],$K$3,Table146[Date],$A31),SUMIFS('Other Sale'!$D:$D,'Other Sale'!$E:$E,$K$3,'Other Sale'!$C:$C,$F31,'Other Sale'!$A:$A,$A31))))))</f>
        <v/>
      </c>
      <c r="E31" s="61">
        <f>IF($H31="TOTAL",SUM($E$6:$E30)-SUMIF($H$6:$H30,"TOTAL",$E$6:$E30),IF($A31="",0,IF(COUNTIF($A$6:$A31,$A31)=1,SUMIFS(MasterPaid[Amount Paid],MasterPaid[Customer],$K$3,MasterPaid[Date],$A31),0)))</f>
        <v>0</v>
      </c>
      <c r="F31" s="62" t="str" cm="1">
        <f t="array" ref="F31">IFERROR(INDEX(_xlfn.ANCHORARRAY($K$6),ROW()-5,2),"")</f>
        <v/>
      </c>
      <c r="G31" s="57" t="str">
        <f>IF($H31="TOTAL",IFERROR(LOOKUP(9.99E+307,$G$6:$G30),""),IF($A31="","",G30+N(D31)-N(E31)))</f>
        <v/>
      </c>
      <c r="H31" s="20"/>
      <c r="I31" s="20"/>
      <c r="J31" s="20"/>
      <c r="K31" s="17"/>
      <c r="L31" s="17"/>
      <c r="M31" s="17"/>
      <c r="N31" s="17"/>
      <c r="O31" s="17"/>
      <c r="P31" s="17"/>
      <c r="Q31" s="17"/>
      <c r="R31" s="52"/>
      <c r="S31" s="53"/>
      <c r="T31" s="53"/>
      <c r="U31" s="53"/>
      <c r="V31" s="53"/>
      <c r="W31" s="53"/>
      <c r="X31" s="53"/>
    </row>
    <row r="32" spans="1:24" ht="23" x14ac:dyDescent="0.25">
      <c r="A32" s="59" t="str" cm="1">
        <f t="array" ref="A32">IFERROR(INDEX(_xlfn.ANCHORARRAY($K$6),ROW()-5,1),"")</f>
        <v/>
      </c>
      <c r="B32" s="159" t="str">
        <f>IF($H32="TOTAL",SUM($B$6:$B31)-SUMIF($H$6:$H31,"TOTAL",$B$6:$B31),IF($A32="","",IF($F32="DIESEL",SUMIFS(Table1[Quantity],Table1[Customer],$K$3,Table1[Date],$A32),IF($F32="PETROL",SUMIFS(Table14[Quantity],Table14[Customer],$K$3,Table14[Date],$A32),IF($F32="XtraGreen",SUMIFS(Table146[Quantity],Table146[Company],$K$3,Table146[Date],$A32),"")))))</f>
        <v/>
      </c>
      <c r="C32" s="161" t="str">
        <f>IF($A32="","",IF($F32="DIESEL",AVERAGEIFS(Table1[RSP],Table1[Customer],$K$3,Table1[Date],$A32),IF($F32="PETROL",AVERAGEIFS(Table14[RSP],Table14[Customer],$K$3,Table14[Date],$A32),IF($F32="XtraGreen",AVERAGEIFS(Table146[RSP],Table146[Company],$K$3,Table146[Date],$A32),IFERROR($D32/$B32,"")))))</f>
        <v/>
      </c>
      <c r="D32" s="159" t="str">
        <f>IF($H32="TOTAL",SUM($D$6:$D31)-SUMIF($H$6:$H31,"TOTAL",$D$6:$D31),IF($A32="","",IF($F32="DIESEL",SUMIFS(Table1[Amount],Table1[Customer],$K$3,Table1[Date],$A32),IF($F32="PETROL",SUMIFS(Table14[Amount],Table14[Customer],$K$3,Table14[Date],$A32),IF($F32="XtraGreen",SUMIFS(Table146[Amount],Table146[Company],$K$3,Table146[Date],$A32),SUMIFS('Other Sale'!$D:$D,'Other Sale'!$E:$E,$K$3,'Other Sale'!$C:$C,$F32,'Other Sale'!$A:$A,$A32))))))</f>
        <v/>
      </c>
      <c r="E32" s="61">
        <f>IF($H32="TOTAL",SUM($E$6:$E31)-SUMIF($H$6:$H31,"TOTAL",$E$6:$E31),IF($A32="",0,IF(COUNTIF($A$6:$A32,$A32)=1,SUMIFS(MasterPaid[Amount Paid],MasterPaid[Customer],$K$3,MasterPaid[Date],$A32),0)))</f>
        <v>0</v>
      </c>
      <c r="F32" s="62" t="str" cm="1">
        <f t="array" ref="F32">IFERROR(INDEX(_xlfn.ANCHORARRAY($K$6),ROW()-5,2),"")</f>
        <v/>
      </c>
      <c r="G32" s="57" t="str">
        <f>IF($H32="TOTAL",IFERROR(LOOKUP(9.99E+307,$G$6:$G31),""),IF($A32="","",G31+N(D32)-N(E32)))</f>
        <v/>
      </c>
      <c r="H32" s="20"/>
      <c r="I32" s="20"/>
      <c r="J32" s="20"/>
      <c r="K32" s="17"/>
      <c r="L32" s="17"/>
      <c r="M32" s="17"/>
      <c r="N32" s="17"/>
      <c r="O32" s="17"/>
      <c r="P32" s="17"/>
      <c r="Q32" s="17"/>
      <c r="R32" s="52"/>
      <c r="S32" s="53"/>
      <c r="T32" s="53"/>
      <c r="U32" s="53"/>
      <c r="V32" s="53"/>
      <c r="W32" s="53"/>
      <c r="X32" s="53"/>
    </row>
    <row r="33" spans="1:24" ht="23" x14ac:dyDescent="0.25">
      <c r="A33" s="59" t="str" cm="1">
        <f t="array" ref="A33">IFERROR(INDEX(_xlfn.ANCHORARRAY($K$6),ROW()-5,1),"")</f>
        <v/>
      </c>
      <c r="B33" s="159" t="str">
        <f>IF($H33="TOTAL",SUM($B$6:$B32)-SUMIF($H$6:$H32,"TOTAL",$B$6:$B32),IF($A33="","",IF($F33="DIESEL",SUMIFS(Table1[Quantity],Table1[Customer],$K$3,Table1[Date],$A33),IF($F33="PETROL",SUMIFS(Table14[Quantity],Table14[Customer],$K$3,Table14[Date],$A33),IF($F33="XtraGreen",SUMIFS(Table146[Quantity],Table146[Company],$K$3,Table146[Date],$A33),"")))))</f>
        <v/>
      </c>
      <c r="C33" s="161" t="str">
        <f>IF($A33="","",IF($F33="DIESEL",AVERAGEIFS(Table1[RSP],Table1[Customer],$K$3,Table1[Date],$A33),IF($F33="PETROL",AVERAGEIFS(Table14[RSP],Table14[Customer],$K$3,Table14[Date],$A33),IF($F33="XtraGreen",AVERAGEIFS(Table146[RSP],Table146[Company],$K$3,Table146[Date],$A33),IFERROR($D33/$B33,"")))))</f>
        <v/>
      </c>
      <c r="D33" s="159" t="str">
        <f>IF($H33="TOTAL",SUM($D$6:$D32)-SUMIF($H$6:$H32,"TOTAL",$D$6:$D32),IF($A33="","",IF($F33="DIESEL",SUMIFS(Table1[Amount],Table1[Customer],$K$3,Table1[Date],$A33),IF($F33="PETROL",SUMIFS(Table14[Amount],Table14[Customer],$K$3,Table14[Date],$A33),IF($F33="XtraGreen",SUMIFS(Table146[Amount],Table146[Company],$K$3,Table146[Date],$A33),SUMIFS('Other Sale'!$D:$D,'Other Sale'!$E:$E,$K$3,'Other Sale'!$C:$C,$F33,'Other Sale'!$A:$A,$A33))))))</f>
        <v/>
      </c>
      <c r="E33" s="61">
        <f>IF($H33="TOTAL",SUM($E$6:$E32)-SUMIF($H$6:$H32,"TOTAL",$E$6:$E32),IF($A33="",0,IF(COUNTIF($A$6:$A33,$A33)=1,SUMIFS(MasterPaid[Amount Paid],MasterPaid[Customer],$K$3,MasterPaid[Date],$A33),0)))</f>
        <v>0</v>
      </c>
      <c r="F33" s="62" t="str" cm="1">
        <f t="array" ref="F33">IFERROR(INDEX(_xlfn.ANCHORARRAY($K$6),ROW()-5,2),"")</f>
        <v/>
      </c>
      <c r="G33" s="57" t="str">
        <f>IF($H33="TOTAL",IFERROR(LOOKUP(9.99E+307,$G$6:$G32),""),IF($A33="","",G32+N(D33)-N(E33)))</f>
        <v/>
      </c>
      <c r="H33" s="20"/>
      <c r="I33" s="20"/>
      <c r="J33" s="20"/>
      <c r="K33" s="17"/>
      <c r="L33" s="17"/>
      <c r="M33" s="17"/>
      <c r="N33" s="17"/>
      <c r="O33" s="17"/>
      <c r="P33" s="17"/>
      <c r="Q33" s="17"/>
      <c r="R33" s="52"/>
      <c r="S33" s="53"/>
      <c r="T33" s="53"/>
      <c r="U33" s="53"/>
      <c r="V33" s="53"/>
      <c r="W33" s="53"/>
      <c r="X33" s="53"/>
    </row>
    <row r="34" spans="1:24" ht="23" x14ac:dyDescent="0.25">
      <c r="A34" s="59" t="str" cm="1">
        <f t="array" ref="A34">IFERROR(INDEX(_xlfn.ANCHORARRAY($K$6),ROW()-5,1),"")</f>
        <v/>
      </c>
      <c r="B34" s="159" t="str">
        <f>IF($H34="TOTAL",SUM($B$6:$B33)-SUMIF($H$6:$H33,"TOTAL",$B$6:$B33),IF($A34="","",IF($F34="DIESEL",SUMIFS(Table1[Quantity],Table1[Customer],$K$3,Table1[Date],$A34),IF($F34="PETROL",SUMIFS(Table14[Quantity],Table14[Customer],$K$3,Table14[Date],$A34),IF($F34="XtraGreen",SUMIFS(Table146[Quantity],Table146[Company],$K$3,Table146[Date],$A34),"")))))</f>
        <v/>
      </c>
      <c r="C34" s="161" t="str">
        <f>IF($A34="","",IF($F34="DIESEL",AVERAGEIFS(Table1[RSP],Table1[Customer],$K$3,Table1[Date],$A34),IF($F34="PETROL",AVERAGEIFS(Table14[RSP],Table14[Customer],$K$3,Table14[Date],$A34),IF($F34="XtraGreen",AVERAGEIFS(Table146[RSP],Table146[Company],$K$3,Table146[Date],$A34),IFERROR($D34/$B34,"")))))</f>
        <v/>
      </c>
      <c r="D34" s="159" t="str">
        <f>IF($H34="TOTAL",SUM($D$6:$D33)-SUMIF($H$6:$H33,"TOTAL",$D$6:$D33),IF($A34="","",IF($F34="DIESEL",SUMIFS(Table1[Amount],Table1[Customer],$K$3,Table1[Date],$A34),IF($F34="PETROL",SUMIFS(Table14[Amount],Table14[Customer],$K$3,Table14[Date],$A34),IF($F34="XtraGreen",SUMIFS(Table146[Amount],Table146[Company],$K$3,Table146[Date],$A34),SUMIFS('Other Sale'!$D:$D,'Other Sale'!$E:$E,$K$3,'Other Sale'!$C:$C,$F34,'Other Sale'!$A:$A,$A34))))))</f>
        <v/>
      </c>
      <c r="E34" s="61">
        <f>IF($H34="TOTAL",SUM($E$6:$E33)-SUMIF($H$6:$H33,"TOTAL",$E$6:$E33),IF($A34="",0,IF(COUNTIF($A$6:$A34,$A34)=1,SUMIFS(MasterPaid[Amount Paid],MasterPaid[Customer],$K$3,MasterPaid[Date],$A34),0)))</f>
        <v>0</v>
      </c>
      <c r="F34" s="62" t="str" cm="1">
        <f t="array" ref="F34">IFERROR(INDEX(_xlfn.ANCHORARRAY($K$6),ROW()-5,2),"")</f>
        <v/>
      </c>
      <c r="G34" s="57" t="str">
        <f>IF($H34="TOTAL",IFERROR(LOOKUP(9.99E+307,$G$6:$G33),""),IF($A34="","",G33+N(D34)-N(E34)))</f>
        <v/>
      </c>
      <c r="H34" s="20"/>
      <c r="I34" s="20"/>
      <c r="J34" s="20"/>
      <c r="K34" s="17"/>
      <c r="L34" s="17"/>
      <c r="M34" s="17"/>
      <c r="N34" s="17"/>
      <c r="O34" s="17"/>
      <c r="P34" s="17"/>
      <c r="Q34" s="17"/>
      <c r="R34" s="52"/>
      <c r="S34" s="53"/>
      <c r="T34" s="53"/>
      <c r="U34" s="53"/>
      <c r="V34" s="53"/>
      <c r="W34" s="53"/>
      <c r="X34" s="53"/>
    </row>
    <row r="35" spans="1:24" ht="23" x14ac:dyDescent="0.25">
      <c r="A35" s="59" t="str" cm="1">
        <f t="array" ref="A35">IFERROR(INDEX(_xlfn.ANCHORARRAY($K$6),ROW()-5,1),"")</f>
        <v/>
      </c>
      <c r="B35" s="159" t="str">
        <f>IF($H35="TOTAL",SUM($B$6:$B34)-SUMIF($H$6:$H34,"TOTAL",$B$6:$B34),IF($A35="","",IF($F35="DIESEL",SUMIFS(Table1[Quantity],Table1[Customer],$K$3,Table1[Date],$A35),IF($F35="PETROL",SUMIFS(Table14[Quantity],Table14[Customer],$K$3,Table14[Date],$A35),IF($F35="XtraGreen",SUMIFS(Table146[Quantity],Table146[Company],$K$3,Table146[Date],$A35),"")))))</f>
        <v/>
      </c>
      <c r="C35" s="161" t="str">
        <f>IF($A35="","",IF($F35="DIESEL",AVERAGEIFS(Table1[RSP],Table1[Customer],$K$3,Table1[Date],$A35),IF($F35="PETROL",AVERAGEIFS(Table14[RSP],Table14[Customer],$K$3,Table14[Date],$A35),IF($F35="XtraGreen",AVERAGEIFS(Table146[RSP],Table146[Company],$K$3,Table146[Date],$A35),IFERROR($D35/$B35,"")))))</f>
        <v/>
      </c>
      <c r="D35" s="159" t="str">
        <f>IF($H35="TOTAL",SUM($D$6:$D34)-SUMIF($H$6:$H34,"TOTAL",$D$6:$D34),IF($A35="","",IF($F35="DIESEL",SUMIFS(Table1[Amount],Table1[Customer],$K$3,Table1[Date],$A35),IF($F35="PETROL",SUMIFS(Table14[Amount],Table14[Customer],$K$3,Table14[Date],$A35),IF($F35="XtraGreen",SUMIFS(Table146[Amount],Table146[Company],$K$3,Table146[Date],$A35),SUMIFS('Other Sale'!$D:$D,'Other Sale'!$E:$E,$K$3,'Other Sale'!$C:$C,$F35,'Other Sale'!$A:$A,$A35))))))</f>
        <v/>
      </c>
      <c r="E35" s="61">
        <f>IF($H35="TOTAL",SUM($E$6:$E34)-SUMIF($H$6:$H34,"TOTAL",$E$6:$E34),IF($A35="",0,IF(COUNTIF($A$6:$A35,$A35)=1,SUMIFS(MasterPaid[Amount Paid],MasterPaid[Customer],$K$3,MasterPaid[Date],$A35),0)))</f>
        <v>0</v>
      </c>
      <c r="F35" s="62" t="str" cm="1">
        <f t="array" ref="F35">IFERROR(INDEX(_xlfn.ANCHORARRAY($K$6),ROW()-5,2),"")</f>
        <v/>
      </c>
      <c r="G35" s="57" t="str">
        <f>IF($H35="TOTAL",IFERROR(LOOKUP(9.99E+307,$G$6:$G34),""),IF($A35="","",G34+N(D35)-N(E35)))</f>
        <v/>
      </c>
      <c r="H35" s="20"/>
      <c r="I35" s="20"/>
      <c r="J35" s="20"/>
      <c r="K35" s="17"/>
      <c r="L35" s="17"/>
      <c r="M35" s="17"/>
      <c r="N35" s="17"/>
      <c r="O35" s="17"/>
      <c r="P35" s="17"/>
      <c r="Q35" s="17"/>
      <c r="R35" s="52"/>
      <c r="S35" s="53"/>
      <c r="T35" s="53"/>
      <c r="U35" s="53"/>
      <c r="V35" s="53"/>
      <c r="W35" s="53"/>
      <c r="X35" s="53"/>
    </row>
    <row r="36" spans="1:24" ht="23" x14ac:dyDescent="0.25">
      <c r="A36" s="59" t="str" cm="1">
        <f t="array" ref="A36">IFERROR(INDEX(_xlfn.ANCHORARRAY($K$6),ROW()-5,1),"")</f>
        <v/>
      </c>
      <c r="B36" s="159" t="str">
        <f>IF($H36="TOTAL",SUM($B$6:$B35)-SUMIF($H$6:$H35,"TOTAL",$B$6:$B35),IF($A36="","",IF($F36="DIESEL",SUMIFS(Table1[Quantity],Table1[Customer],$K$3,Table1[Date],$A36),IF($F36="PETROL",SUMIFS(Table14[Quantity],Table14[Customer],$K$3,Table14[Date],$A36),IF($F36="XtraGreen",SUMIFS(Table146[Quantity],Table146[Company],$K$3,Table146[Date],$A36),"")))))</f>
        <v/>
      </c>
      <c r="C36" s="161" t="str">
        <f>IF($A36="","",IF($F36="DIESEL",AVERAGEIFS(Table1[RSP],Table1[Customer],$K$3,Table1[Date],$A36),IF($F36="PETROL",AVERAGEIFS(Table14[RSP],Table14[Customer],$K$3,Table14[Date],$A36),IF($F36="XtraGreen",AVERAGEIFS(Table146[RSP],Table146[Company],$K$3,Table146[Date],$A36),IFERROR($D36/$B36,"")))))</f>
        <v/>
      </c>
      <c r="D36" s="159" t="str">
        <f>IF($H36="TOTAL",SUM($D$6:$D35)-SUMIF($H$6:$H35,"TOTAL",$D$6:$D35),IF($A36="","",IF($F36="DIESEL",SUMIFS(Table1[Amount],Table1[Customer],$K$3,Table1[Date],$A36),IF($F36="PETROL",SUMIFS(Table14[Amount],Table14[Customer],$K$3,Table14[Date],$A36),IF($F36="XtraGreen",SUMIFS(Table146[Amount],Table146[Company],$K$3,Table146[Date],$A36),SUMIFS('Other Sale'!$D:$D,'Other Sale'!$E:$E,$K$3,'Other Sale'!$C:$C,$F36,'Other Sale'!$A:$A,$A36))))))</f>
        <v/>
      </c>
      <c r="E36" s="61">
        <f>IF($H36="TOTAL",SUM($E$6:$E35)-SUMIF($H$6:$H35,"TOTAL",$E$6:$E35),IF($A36="",0,IF(COUNTIF($A$6:$A36,$A36)=1,SUMIFS(MasterPaid[Amount Paid],MasterPaid[Customer],$K$3,MasterPaid[Date],$A36),0)))</f>
        <v>0</v>
      </c>
      <c r="F36" s="62" t="str" cm="1">
        <f t="array" ref="F36">IFERROR(INDEX(_xlfn.ANCHORARRAY($K$6),ROW()-5,2),"")</f>
        <v/>
      </c>
      <c r="G36" s="57" t="str">
        <f>IF($H36="TOTAL",IFERROR(LOOKUP(9.99E+307,$G$6:$G35),""),IF($A36="","",G35+N(D36)-N(E36)))</f>
        <v/>
      </c>
      <c r="H36" s="20"/>
      <c r="I36" s="20"/>
      <c r="J36" s="20"/>
      <c r="K36" s="17"/>
      <c r="L36" s="17"/>
      <c r="M36" s="17"/>
      <c r="N36" s="17"/>
      <c r="O36" s="17"/>
      <c r="P36" s="17"/>
      <c r="Q36" s="17"/>
      <c r="R36" s="52"/>
      <c r="S36" s="53"/>
      <c r="T36" s="53"/>
      <c r="U36" s="53"/>
      <c r="V36" s="53"/>
      <c r="W36" s="53"/>
      <c r="X36" s="53"/>
    </row>
    <row r="37" spans="1:24" ht="23" x14ac:dyDescent="0.25">
      <c r="A37" s="59" t="str" cm="1">
        <f t="array" ref="A37">IFERROR(INDEX(_xlfn.ANCHORARRAY($K$6),ROW()-5,1),"")</f>
        <v/>
      </c>
      <c r="B37" s="159" t="str">
        <f>IF($H37="TOTAL",SUM($B$6:$B36)-SUMIF($H$6:$H36,"TOTAL",$B$6:$B36),IF($A37="","",IF($F37="DIESEL",SUMIFS(Table1[Quantity],Table1[Customer],$K$3,Table1[Date],$A37),IF($F37="PETROL",SUMIFS(Table14[Quantity],Table14[Customer],$K$3,Table14[Date],$A37),IF($F37="XtraGreen",SUMIFS(Table146[Quantity],Table146[Company],$K$3,Table146[Date],$A37),"")))))</f>
        <v/>
      </c>
      <c r="C37" s="161" t="str">
        <f>IF($A37="","",IF($F37="DIESEL",AVERAGEIFS(Table1[RSP],Table1[Customer],$K$3,Table1[Date],$A37),IF($F37="PETROL",AVERAGEIFS(Table14[RSP],Table14[Customer],$K$3,Table14[Date],$A37),IF($F37="XtraGreen",AVERAGEIFS(Table146[RSP],Table146[Company],$K$3,Table146[Date],$A37),IFERROR($D37/$B37,"")))))</f>
        <v/>
      </c>
      <c r="D37" s="159" t="str">
        <f>IF($H37="TOTAL",SUM($D$6:$D36)-SUMIF($H$6:$H36,"TOTAL",$D$6:$D36),IF($A37="","",IF($F37="DIESEL",SUMIFS(Table1[Amount],Table1[Customer],$K$3,Table1[Date],$A37),IF($F37="PETROL",SUMIFS(Table14[Amount],Table14[Customer],$K$3,Table14[Date],$A37),IF($F37="XtraGreen",SUMIFS(Table146[Amount],Table146[Company],$K$3,Table146[Date],$A37),SUMIFS('Other Sale'!$D:$D,'Other Sale'!$E:$E,$K$3,'Other Sale'!$C:$C,$F37,'Other Sale'!$A:$A,$A37))))))</f>
        <v/>
      </c>
      <c r="E37" s="61">
        <f>IF($H37="TOTAL",SUM($E$6:$E36)-SUMIF($H$6:$H36,"TOTAL",$E$6:$E36),IF($A37="",0,IF(COUNTIF($A$6:$A37,$A37)=1,SUMIFS(MasterPaid[Amount Paid],MasterPaid[Customer],$K$3,MasterPaid[Date],$A37),0)))</f>
        <v>0</v>
      </c>
      <c r="F37" s="62" t="str" cm="1">
        <f t="array" ref="F37">IFERROR(INDEX(_xlfn.ANCHORARRAY($K$6),ROW()-5,2),"")</f>
        <v/>
      </c>
      <c r="G37" s="57" t="str">
        <f>IF($H37="TOTAL",IFERROR(LOOKUP(9.99E+307,$G$6:$G36),""),IF($A37="","",G36+N(D37)-N(E37)))</f>
        <v/>
      </c>
      <c r="H37" s="20"/>
      <c r="I37" s="20"/>
      <c r="J37" s="20"/>
      <c r="K37" s="17"/>
      <c r="L37" s="17"/>
      <c r="M37" s="17"/>
      <c r="N37" s="17"/>
      <c r="O37" s="17"/>
      <c r="P37" s="17"/>
      <c r="Q37" s="17"/>
      <c r="R37" s="52"/>
      <c r="S37" s="53"/>
      <c r="T37" s="53"/>
      <c r="U37" s="53"/>
      <c r="V37" s="53"/>
      <c r="W37" s="53"/>
      <c r="X37" s="53"/>
    </row>
    <row r="38" spans="1:24" ht="23" x14ac:dyDescent="0.25">
      <c r="A38" s="59" t="str" cm="1">
        <f t="array" ref="A38">IFERROR(INDEX(_xlfn.ANCHORARRAY($K$6),ROW()-5,1),"")</f>
        <v/>
      </c>
      <c r="B38" s="159" t="str">
        <f>IF($H38="TOTAL",SUM($B$6:$B37)-SUMIF($H$6:$H37,"TOTAL",$B$6:$B37),IF($A38="","",IF($F38="DIESEL",SUMIFS(Table1[Quantity],Table1[Customer],$K$3,Table1[Date],$A38),IF($F38="PETROL",SUMIFS(Table14[Quantity],Table14[Customer],$K$3,Table14[Date],$A38),IF($F38="XtraGreen",SUMIFS(Table146[Quantity],Table146[Company],$K$3,Table146[Date],$A38),"")))))</f>
        <v/>
      </c>
      <c r="C38" s="161" t="str">
        <f>IF($A38="","",IF($F38="DIESEL",AVERAGEIFS(Table1[RSP],Table1[Customer],$K$3,Table1[Date],$A38),IF($F38="PETROL",AVERAGEIFS(Table14[RSP],Table14[Customer],$K$3,Table14[Date],$A38),IF($F38="XtraGreen",AVERAGEIFS(Table146[RSP],Table146[Company],$K$3,Table146[Date],$A38),IFERROR($D38/$B38,"")))))</f>
        <v/>
      </c>
      <c r="D38" s="159" t="str">
        <f>IF($H38="TOTAL",SUM($D$6:$D37)-SUMIF($H$6:$H37,"TOTAL",$D$6:$D37),IF($A38="","",IF($F38="DIESEL",SUMIFS(Table1[Amount],Table1[Customer],$K$3,Table1[Date],$A38),IF($F38="PETROL",SUMIFS(Table14[Amount],Table14[Customer],$K$3,Table14[Date],$A38),IF($F38="XtraGreen",SUMIFS(Table146[Amount],Table146[Company],$K$3,Table146[Date],$A38),SUMIFS('Other Sale'!$D:$D,'Other Sale'!$E:$E,$K$3,'Other Sale'!$C:$C,$F38,'Other Sale'!$A:$A,$A38))))))</f>
        <v/>
      </c>
      <c r="E38" s="61">
        <f>IF($H38="TOTAL",SUM($E$6:$E37)-SUMIF($H$6:$H37,"TOTAL",$E$6:$E37),IF($A38="",0,IF(COUNTIF($A$6:$A38,$A38)=1,SUMIFS(MasterPaid[Amount Paid],MasterPaid[Customer],$K$3,MasterPaid[Date],$A38),0)))</f>
        <v>0</v>
      </c>
      <c r="F38" s="62" t="str" cm="1">
        <f t="array" ref="F38">IFERROR(INDEX(_xlfn.ANCHORARRAY($K$6),ROW()-5,2),"")</f>
        <v/>
      </c>
      <c r="G38" s="57" t="str">
        <f>IF($H38="TOTAL",IFERROR(LOOKUP(9.99E+307,$G$6:$G37),""),IF($A38="","",G37+N(D38)-N(E38)))</f>
        <v/>
      </c>
      <c r="H38" s="20"/>
      <c r="I38" s="20"/>
      <c r="J38" s="20"/>
      <c r="K38" s="17"/>
      <c r="L38" s="17"/>
      <c r="M38" s="17"/>
      <c r="N38" s="17"/>
      <c r="O38" s="17"/>
      <c r="P38" s="17"/>
      <c r="Q38" s="17"/>
      <c r="R38" s="52"/>
      <c r="S38" s="53"/>
      <c r="T38" s="53"/>
      <c r="U38" s="53"/>
      <c r="V38" s="53"/>
      <c r="W38" s="53"/>
      <c r="X38" s="53"/>
    </row>
    <row r="39" spans="1:24" ht="23" x14ac:dyDescent="0.25">
      <c r="A39" s="59" t="str" cm="1">
        <f t="array" ref="A39">IFERROR(INDEX(_xlfn.ANCHORARRAY($K$6),ROW()-5,1),"")</f>
        <v/>
      </c>
      <c r="B39" s="159" t="str">
        <f>IF($H39="TOTAL",SUM($B$6:$B38)-SUMIF($H$6:$H38,"TOTAL",$B$6:$B38),IF($A39="","",IF($F39="DIESEL",SUMIFS(Table1[Quantity],Table1[Customer],$K$3,Table1[Date],$A39),IF($F39="PETROL",SUMIFS(Table14[Quantity],Table14[Customer],$K$3,Table14[Date],$A39),IF($F39="XtraGreen",SUMIFS(Table146[Quantity],Table146[Company],$K$3,Table146[Date],$A39),"")))))</f>
        <v/>
      </c>
      <c r="C39" s="161" t="str">
        <f>IF($A39="","",IF($F39="DIESEL",AVERAGEIFS(Table1[RSP],Table1[Customer],$K$3,Table1[Date],$A39),IF($F39="PETROL",AVERAGEIFS(Table14[RSP],Table14[Customer],$K$3,Table14[Date],$A39),IF($F39="XtraGreen",AVERAGEIFS(Table146[RSP],Table146[Company],$K$3,Table146[Date],$A39),IFERROR($D39/$B39,"")))))</f>
        <v/>
      </c>
      <c r="D39" s="159" t="str">
        <f>IF($H39="TOTAL",SUM($D$6:$D38)-SUMIF($H$6:$H38,"TOTAL",$D$6:$D38),IF($A39="","",IF($F39="DIESEL",SUMIFS(Table1[Amount],Table1[Customer],$K$3,Table1[Date],$A39),IF($F39="PETROL",SUMIFS(Table14[Amount],Table14[Customer],$K$3,Table14[Date],$A39),IF($F39="XtraGreen",SUMIFS(Table146[Amount],Table146[Company],$K$3,Table146[Date],$A39),SUMIFS('Other Sale'!$D:$D,'Other Sale'!$E:$E,$K$3,'Other Sale'!$C:$C,$F39,'Other Sale'!$A:$A,$A39))))))</f>
        <v/>
      </c>
      <c r="E39" s="61">
        <f>IF($H39="TOTAL",SUM($E$6:$E38)-SUMIF($H$6:$H38,"TOTAL",$E$6:$E38),IF($A39="",0,IF(COUNTIF($A$6:$A39,$A39)=1,SUMIFS(MasterPaid[Amount Paid],MasterPaid[Customer],$K$3,MasterPaid[Date],$A39),0)))</f>
        <v>0</v>
      </c>
      <c r="F39" s="62" t="str" cm="1">
        <f t="array" ref="F39">IFERROR(INDEX(_xlfn.ANCHORARRAY($K$6),ROW()-5,2),"")</f>
        <v/>
      </c>
      <c r="G39" s="57" t="str">
        <f>IF($H39="TOTAL",IFERROR(LOOKUP(9.99E+307,$G$6:$G38),""),IF($A39="","",G38+N(D39)-N(E39)))</f>
        <v/>
      </c>
      <c r="H39" s="20"/>
      <c r="I39" s="20"/>
      <c r="J39" s="20"/>
      <c r="K39" s="17"/>
      <c r="L39" s="17"/>
      <c r="M39" s="17"/>
      <c r="N39" s="17"/>
      <c r="O39" s="17"/>
      <c r="P39" s="17"/>
      <c r="Q39" s="17"/>
      <c r="R39" s="52"/>
      <c r="S39" s="53"/>
      <c r="T39" s="53"/>
      <c r="U39" s="53"/>
      <c r="V39" s="53"/>
      <c r="W39" s="53"/>
      <c r="X39" s="53"/>
    </row>
    <row r="40" spans="1:24" ht="23" x14ac:dyDescent="0.25">
      <c r="A40" s="59" t="str" cm="1">
        <f t="array" ref="A40">IFERROR(INDEX(_xlfn.ANCHORARRAY($K$6),ROW()-5,1),"")</f>
        <v/>
      </c>
      <c r="B40" s="159" t="str">
        <f>IF($H40="TOTAL",SUM($B$6:$B39)-SUMIF($H$6:$H39,"TOTAL",$B$6:$B39),IF($A40="","",IF($F40="DIESEL",SUMIFS(Table1[Quantity],Table1[Customer],$K$3,Table1[Date],$A40),IF($F40="PETROL",SUMIFS(Table14[Quantity],Table14[Customer],$K$3,Table14[Date],$A40),IF($F40="XtraGreen",SUMIFS(Table146[Quantity],Table146[Company],$K$3,Table146[Date],$A40),"")))))</f>
        <v/>
      </c>
      <c r="C40" s="161" t="str">
        <f>IF($A40="","",IF($F40="DIESEL",AVERAGEIFS(Table1[RSP],Table1[Customer],$K$3,Table1[Date],$A40),IF($F40="PETROL",AVERAGEIFS(Table14[RSP],Table14[Customer],$K$3,Table14[Date],$A40),IF($F40="XtraGreen",AVERAGEIFS(Table146[RSP],Table146[Company],$K$3,Table146[Date],$A40),IFERROR($D40/$B40,"")))))</f>
        <v/>
      </c>
      <c r="D40" s="159" t="str">
        <f>IF($H40="TOTAL",SUM($D$6:$D39)-SUMIF($H$6:$H39,"TOTAL",$D$6:$D39),IF($A40="","",IF($F40="DIESEL",SUMIFS(Table1[Amount],Table1[Customer],$K$3,Table1[Date],$A40),IF($F40="PETROL",SUMIFS(Table14[Amount],Table14[Customer],$K$3,Table14[Date],$A40),IF($F40="XtraGreen",SUMIFS(Table146[Amount],Table146[Company],$K$3,Table146[Date],$A40),SUMIFS('Other Sale'!$D:$D,'Other Sale'!$E:$E,$K$3,'Other Sale'!$C:$C,$F40,'Other Sale'!$A:$A,$A40))))))</f>
        <v/>
      </c>
      <c r="E40" s="61">
        <f>IF($H40="TOTAL",SUM($E$6:$E39)-SUMIF($H$6:$H39,"TOTAL",$E$6:$E39),IF($A40="",0,IF(COUNTIF($A$6:$A40,$A40)=1,SUMIFS(MasterPaid[Amount Paid],MasterPaid[Customer],$K$3,MasterPaid[Date],$A40),0)))</f>
        <v>0</v>
      </c>
      <c r="F40" s="62" t="str" cm="1">
        <f t="array" ref="F40">IFERROR(INDEX(_xlfn.ANCHORARRAY($K$6),ROW()-5,2),"")</f>
        <v/>
      </c>
      <c r="G40" s="57" t="str">
        <f>IF($H40="TOTAL",IFERROR(LOOKUP(9.99E+307,$G$6:$G39),""),IF($A40="","",G39+N(D40)-N(E40)))</f>
        <v/>
      </c>
      <c r="H40" s="20"/>
      <c r="I40" s="20"/>
      <c r="J40" s="20"/>
      <c r="K40" s="17"/>
      <c r="L40" s="17"/>
      <c r="M40" s="17"/>
      <c r="N40" s="17"/>
      <c r="O40" s="17"/>
      <c r="P40" s="17"/>
      <c r="Q40" s="17"/>
      <c r="R40" s="47"/>
      <c r="S40" s="44"/>
      <c r="T40" s="44"/>
      <c r="U40" s="54"/>
      <c r="V40" s="55"/>
      <c r="W40" s="54"/>
      <c r="X40" s="44"/>
    </row>
    <row r="41" spans="1:24" ht="23" x14ac:dyDescent="0.25">
      <c r="A41" s="59" t="str" cm="1">
        <f t="array" ref="A41">IFERROR(INDEX(_xlfn.ANCHORARRAY($K$6),ROW()-5,1),"")</f>
        <v/>
      </c>
      <c r="B41" s="159" t="str">
        <f>IF($H41="TOTAL",SUM($B$6:$B40)-SUMIF($H$6:$H40,"TOTAL",$B$6:$B40),IF($A41="","",IF($F41="DIESEL",SUMIFS(Table1[Quantity],Table1[Customer],$K$3,Table1[Date],$A41),IF($F41="PETROL",SUMIFS(Table14[Quantity],Table14[Customer],$K$3,Table14[Date],$A41),IF($F41="XtraGreen",SUMIFS(Table146[Quantity],Table146[Company],$K$3,Table146[Date],$A41),"")))))</f>
        <v/>
      </c>
      <c r="C41" s="161" t="str">
        <f>IF($A41="","",IF($F41="DIESEL",AVERAGEIFS(Table1[RSP],Table1[Customer],$K$3,Table1[Date],$A41),IF($F41="PETROL",AVERAGEIFS(Table14[RSP],Table14[Customer],$K$3,Table14[Date],$A41),IF($F41="XtraGreen",AVERAGEIFS(Table146[RSP],Table146[Company],$K$3,Table146[Date],$A41),IFERROR($D41/$B41,"")))))</f>
        <v/>
      </c>
      <c r="D41" s="159" t="str">
        <f>IF($H41="TOTAL",SUM($D$6:$D40)-SUMIF($H$6:$H40,"TOTAL",$D$6:$D40),IF($A41="","",IF($F41="DIESEL",SUMIFS(Table1[Amount],Table1[Customer],$K$3,Table1[Date],$A41),IF($F41="PETROL",SUMIFS(Table14[Amount],Table14[Customer],$K$3,Table14[Date],$A41),IF($F41="XtraGreen",SUMIFS(Table146[Amount],Table146[Company],$K$3,Table146[Date],$A41),SUMIFS('Other Sale'!$D:$D,'Other Sale'!$E:$E,$K$3,'Other Sale'!$C:$C,$F41,'Other Sale'!$A:$A,$A41))))))</f>
        <v/>
      </c>
      <c r="E41" s="61">
        <f>IF($H41="TOTAL",SUM($E$6:$E40)-SUMIF($H$6:$H40,"TOTAL",$E$6:$E40),IF($A41="",0,IF(COUNTIF($A$6:$A41,$A41)=1,SUMIFS(MasterPaid[Amount Paid],MasterPaid[Customer],$K$3,MasterPaid[Date],$A41),0)))</f>
        <v>0</v>
      </c>
      <c r="F41" s="62" t="str" cm="1">
        <f t="array" ref="F41">IFERROR(INDEX(_xlfn.ANCHORARRAY($K$6),ROW()-5,2),"")</f>
        <v/>
      </c>
      <c r="G41" s="57" t="str">
        <f>IF($H41="TOTAL",IFERROR(LOOKUP(9.99E+307,$G$6:$G40),""),IF($A41="","",G40+N(D41)-N(E41)))</f>
        <v/>
      </c>
      <c r="H41" s="20"/>
      <c r="I41" s="20"/>
      <c r="J41" s="20"/>
      <c r="K41" s="17"/>
      <c r="L41" s="17"/>
      <c r="M41" s="17"/>
      <c r="N41" s="17"/>
      <c r="O41" s="17"/>
      <c r="P41" s="17"/>
      <c r="Q41" s="17"/>
      <c r="R41" s="47"/>
      <c r="S41" s="44"/>
      <c r="T41" s="44"/>
      <c r="U41" s="54"/>
      <c r="V41" s="55"/>
      <c r="W41" s="54"/>
      <c r="X41" s="44"/>
    </row>
    <row r="42" spans="1:24" ht="23" x14ac:dyDescent="0.25">
      <c r="A42" s="59" t="str" cm="1">
        <f t="array" ref="A42">IFERROR(INDEX(_xlfn.ANCHORARRAY($K$6),ROW()-5,1),"")</f>
        <v/>
      </c>
      <c r="B42" s="159" t="str">
        <f>IF($H42="TOTAL",SUM($B$6:$B41)-SUMIF($H$6:$H41,"TOTAL",$B$6:$B41),IF($A42="","",IF($F42="DIESEL",SUMIFS(Table1[Quantity],Table1[Customer],$K$3,Table1[Date],$A42),IF($F42="PETROL",SUMIFS(Table14[Quantity],Table14[Customer],$K$3,Table14[Date],$A42),IF($F42="XtraGreen",SUMIFS(Table146[Quantity],Table146[Company],$K$3,Table146[Date],$A42),"")))))</f>
        <v/>
      </c>
      <c r="C42" s="161" t="str">
        <f>IF($A42="","",IF($F42="DIESEL",AVERAGEIFS(Table1[RSP],Table1[Customer],$K$3,Table1[Date],$A42),IF($F42="PETROL",AVERAGEIFS(Table14[RSP],Table14[Customer],$K$3,Table14[Date],$A42),IF($F42="XtraGreen",AVERAGEIFS(Table146[RSP],Table146[Company],$K$3,Table146[Date],$A42),IFERROR($D42/$B42,"")))))</f>
        <v/>
      </c>
      <c r="D42" s="159" t="str">
        <f>IF($H42="TOTAL",SUM($D$6:$D41)-SUMIF($H$6:$H41,"TOTAL",$D$6:$D41),IF($A42="","",IF($F42="DIESEL",SUMIFS(Table1[Amount],Table1[Customer],$K$3,Table1[Date],$A42),IF($F42="PETROL",SUMIFS(Table14[Amount],Table14[Customer],$K$3,Table14[Date],$A42),IF($F42="XtraGreen",SUMIFS(Table146[Amount],Table146[Company],$K$3,Table146[Date],$A42),SUMIFS('Other Sale'!$D:$D,'Other Sale'!$E:$E,$K$3,'Other Sale'!$C:$C,$F42,'Other Sale'!$A:$A,$A42))))))</f>
        <v/>
      </c>
      <c r="E42" s="61">
        <f>IF($H42="TOTAL",SUM($E$6:$E41)-SUMIF($H$6:$H41,"TOTAL",$E$6:$E41),IF($A42="",0,IF(COUNTIF($A$6:$A42,$A42)=1,SUMIFS(MasterPaid[Amount Paid],MasterPaid[Customer],$K$3,MasterPaid[Date],$A42),0)))</f>
        <v>0</v>
      </c>
      <c r="F42" s="62" t="str" cm="1">
        <f t="array" ref="F42">IFERROR(INDEX(_xlfn.ANCHORARRAY($K$6),ROW()-5,2),"")</f>
        <v/>
      </c>
      <c r="G42" s="57" t="str">
        <f>IF($H42="TOTAL",IFERROR(LOOKUP(9.99E+307,$G$6:$G41),""),IF($A42="","",G41+N(D42)-N(E42)))</f>
        <v/>
      </c>
      <c r="H42" s="20"/>
      <c r="I42" s="20"/>
      <c r="J42" s="20"/>
      <c r="K42" s="17"/>
      <c r="L42" s="17"/>
      <c r="M42" s="17"/>
      <c r="N42" s="17"/>
      <c r="O42" s="17"/>
      <c r="P42" s="17"/>
      <c r="Q42" s="17"/>
      <c r="R42" s="47"/>
      <c r="S42" s="44"/>
      <c r="T42" s="44"/>
      <c r="U42" s="54"/>
      <c r="V42" s="55"/>
      <c r="W42" s="54"/>
      <c r="X42" s="44"/>
    </row>
    <row r="43" spans="1:24" ht="23" x14ac:dyDescent="0.25">
      <c r="A43" s="59" t="str" cm="1">
        <f t="array" ref="A43">IFERROR(INDEX(_xlfn.ANCHORARRAY($K$6),ROW()-5,1),"")</f>
        <v/>
      </c>
      <c r="B43" s="159" t="str">
        <f>IF($H43="TOTAL",SUM($B$6:$B42)-SUMIF($H$6:$H42,"TOTAL",$B$6:$B42),IF($A43="","",IF($F43="DIESEL",SUMIFS(Table1[Quantity],Table1[Customer],$K$3,Table1[Date],$A43),IF($F43="PETROL",SUMIFS(Table14[Quantity],Table14[Customer],$K$3,Table14[Date],$A43),IF($F43="XtraGreen",SUMIFS(Table146[Quantity],Table146[Company],$K$3,Table146[Date],$A43),"")))))</f>
        <v/>
      </c>
      <c r="C43" s="161" t="str">
        <f>IF($A43="","",IF($F43="DIESEL",AVERAGEIFS(Table1[RSP],Table1[Customer],$K$3,Table1[Date],$A43),IF($F43="PETROL",AVERAGEIFS(Table14[RSP],Table14[Customer],$K$3,Table14[Date],$A43),IF($F43="XtraGreen",AVERAGEIFS(Table146[RSP],Table146[Company],$K$3,Table146[Date],$A43),IFERROR($D43/$B43,"")))))</f>
        <v/>
      </c>
      <c r="D43" s="159" t="str">
        <f>IF($H43="TOTAL",SUM($D$6:$D42)-SUMIF($H$6:$H42,"TOTAL",$D$6:$D42),IF($A43="","",IF($F43="DIESEL",SUMIFS(Table1[Amount],Table1[Customer],$K$3,Table1[Date],$A43),IF($F43="PETROL",SUMIFS(Table14[Amount],Table14[Customer],$K$3,Table14[Date],$A43),IF($F43="XtraGreen",SUMIFS(Table146[Amount],Table146[Company],$K$3,Table146[Date],$A43),SUMIFS('Other Sale'!$D:$D,'Other Sale'!$E:$E,$K$3,'Other Sale'!$C:$C,$F43,'Other Sale'!$A:$A,$A43))))))</f>
        <v/>
      </c>
      <c r="E43" s="61">
        <f>IF($H43="TOTAL",SUM($E$6:$E42)-SUMIF($H$6:$H42,"TOTAL",$E$6:$E42),IF($A43="",0,IF(COUNTIF($A$6:$A43,$A43)=1,SUMIFS(MasterPaid[Amount Paid],MasterPaid[Customer],$K$3,MasterPaid[Date],$A43),0)))</f>
        <v>0</v>
      </c>
      <c r="F43" s="62" t="str" cm="1">
        <f t="array" ref="F43">IFERROR(INDEX(_xlfn.ANCHORARRAY($K$6),ROW()-5,2),"")</f>
        <v/>
      </c>
      <c r="G43" s="57" t="str">
        <f>IF($H43="TOTAL",IFERROR(LOOKUP(9.99E+307,$G$6:$G42),""),IF($A43="","",G42+N(D43)-N(E43)))</f>
        <v/>
      </c>
      <c r="H43" s="20"/>
      <c r="I43" s="20"/>
      <c r="J43" s="20"/>
      <c r="K43" s="17"/>
      <c r="L43" s="17"/>
      <c r="M43" s="17"/>
      <c r="N43" s="17"/>
      <c r="O43" s="17"/>
      <c r="P43" s="17"/>
      <c r="Q43" s="17"/>
      <c r="R43" s="47"/>
      <c r="S43" s="44"/>
      <c r="T43" s="44"/>
      <c r="U43" s="54"/>
      <c r="V43" s="55"/>
      <c r="W43" s="54"/>
      <c r="X43" s="44"/>
    </row>
    <row r="44" spans="1:24" ht="23" x14ac:dyDescent="0.25">
      <c r="A44" s="59" t="str" cm="1">
        <f t="array" ref="A44">IFERROR(INDEX(_xlfn.ANCHORARRAY($K$6),ROW()-5,1),"")</f>
        <v/>
      </c>
      <c r="B44" s="159" t="str">
        <f>IF($H44="TOTAL",SUM($B$6:$B43)-SUMIF($H$6:$H43,"TOTAL",$B$6:$B43),IF($A44="","",IF($F44="DIESEL",SUMIFS(Table1[Quantity],Table1[Customer],$K$3,Table1[Date],$A44),IF($F44="PETROL",SUMIFS(Table14[Quantity],Table14[Customer],$K$3,Table14[Date],$A44),IF($F44="XtraGreen",SUMIFS(Table146[Quantity],Table146[Company],$K$3,Table146[Date],$A44),"")))))</f>
        <v/>
      </c>
      <c r="C44" s="161" t="str">
        <f>IF($A44="","",IF($F44="DIESEL",AVERAGEIFS(Table1[RSP],Table1[Customer],$K$3,Table1[Date],$A44),IF($F44="PETROL",AVERAGEIFS(Table14[RSP],Table14[Customer],$K$3,Table14[Date],$A44),IF($F44="XtraGreen",AVERAGEIFS(Table146[RSP],Table146[Company],$K$3,Table146[Date],$A44),IFERROR($D44/$B44,"")))))</f>
        <v/>
      </c>
      <c r="D44" s="159" t="str">
        <f>IF($H44="TOTAL",SUM($D$6:$D43)-SUMIF($H$6:$H43,"TOTAL",$D$6:$D43),IF($A44="","",IF($F44="DIESEL",SUMIFS(Table1[Amount],Table1[Customer],$K$3,Table1[Date],$A44),IF($F44="PETROL",SUMIFS(Table14[Amount],Table14[Customer],$K$3,Table14[Date],$A44),IF($F44="XtraGreen",SUMIFS(Table146[Amount],Table146[Company],$K$3,Table146[Date],$A44),SUMIFS('Other Sale'!$D:$D,'Other Sale'!$E:$E,$K$3,'Other Sale'!$C:$C,$F44,'Other Sale'!$A:$A,$A44))))))</f>
        <v/>
      </c>
      <c r="E44" s="61">
        <f>IF($H44="TOTAL",SUM($E$6:$E43)-SUMIF($H$6:$H43,"TOTAL",$E$6:$E43),IF($A44="",0,IF(COUNTIF($A$6:$A44,$A44)=1,SUMIFS(MasterPaid[Amount Paid],MasterPaid[Customer],$K$3,MasterPaid[Date],$A44),0)))</f>
        <v>0</v>
      </c>
      <c r="F44" s="62" t="str" cm="1">
        <f t="array" ref="F44">IFERROR(INDEX(_xlfn.ANCHORARRAY($K$6),ROW()-5,2),"")</f>
        <v/>
      </c>
      <c r="G44" s="57" t="str">
        <f>IF($H44="TOTAL",IFERROR(LOOKUP(9.99E+307,$G$6:$G43),""),IF($A44="","",G43+N(D44)-N(E44)))</f>
        <v/>
      </c>
      <c r="H44" s="20"/>
      <c r="I44" s="20"/>
      <c r="J44" s="20"/>
      <c r="K44" s="17"/>
      <c r="L44" s="17"/>
      <c r="M44" s="17"/>
      <c r="N44" s="17"/>
      <c r="O44" s="17"/>
      <c r="P44" s="17"/>
      <c r="Q44" s="17"/>
      <c r="R44" s="47"/>
      <c r="S44" s="44"/>
      <c r="T44" s="44"/>
      <c r="U44" s="54"/>
      <c r="V44" s="55"/>
      <c r="W44" s="54"/>
      <c r="X44" s="44"/>
    </row>
    <row r="45" spans="1:24" ht="23" x14ac:dyDescent="0.25">
      <c r="A45" s="59" t="str" cm="1">
        <f t="array" ref="A45">IFERROR(INDEX(_xlfn.ANCHORARRAY($K$6),ROW()-5,1),"")</f>
        <v/>
      </c>
      <c r="B45" s="159" t="str">
        <f>IF($H45="TOTAL",SUM($B$6:$B44)-SUMIF($H$6:$H44,"TOTAL",$B$6:$B44),IF($A45="","",IF($F45="DIESEL",SUMIFS(Table1[Quantity],Table1[Customer],$K$3,Table1[Date],$A45),IF($F45="PETROL",SUMIFS(Table14[Quantity],Table14[Customer],$K$3,Table14[Date],$A45),IF($F45="XtraGreen",SUMIFS(Table146[Quantity],Table146[Company],$K$3,Table146[Date],$A45),"")))))</f>
        <v/>
      </c>
      <c r="C45" s="161" t="str">
        <f>IF($A45="","",IF($F45="DIESEL",AVERAGEIFS(Table1[RSP],Table1[Customer],$K$3,Table1[Date],$A45),IF($F45="PETROL",AVERAGEIFS(Table14[RSP],Table14[Customer],$K$3,Table14[Date],$A45),IF($F45="XtraGreen",AVERAGEIFS(Table146[RSP],Table146[Company],$K$3,Table146[Date],$A45),IFERROR($D45/$B45,"")))))</f>
        <v/>
      </c>
      <c r="D45" s="159" t="str">
        <f>IF($H45="TOTAL",SUM($D$6:$D44)-SUMIF($H$6:$H44,"TOTAL",$D$6:$D44),IF($A45="","",IF($F45="DIESEL",SUMIFS(Table1[Amount],Table1[Customer],$K$3,Table1[Date],$A45),IF($F45="PETROL",SUMIFS(Table14[Amount],Table14[Customer],$K$3,Table14[Date],$A45),IF($F45="XtraGreen",SUMIFS(Table146[Amount],Table146[Company],$K$3,Table146[Date],$A45),SUMIFS('Other Sale'!$D:$D,'Other Sale'!$E:$E,$K$3,'Other Sale'!$C:$C,$F45,'Other Sale'!$A:$A,$A45))))))</f>
        <v/>
      </c>
      <c r="E45" s="61">
        <f>IF($H45="TOTAL",SUM($E$6:$E44)-SUMIF($H$6:$H44,"TOTAL",$E$6:$E44),IF($A45="",0,IF(COUNTIF($A$6:$A45,$A45)=1,SUMIFS(MasterPaid[Amount Paid],MasterPaid[Customer],$K$3,MasterPaid[Date],$A45),0)))</f>
        <v>0</v>
      </c>
      <c r="F45" s="62" t="str" cm="1">
        <f t="array" ref="F45">IFERROR(INDEX(_xlfn.ANCHORARRAY($K$6),ROW()-5,2),"")</f>
        <v/>
      </c>
      <c r="G45" s="57" t="str">
        <f>IF($H45="TOTAL",IFERROR(LOOKUP(9.99E+307,$G$6:$G44),""),IF($A45="","",G44+N(D45)-N(E45)))</f>
        <v/>
      </c>
      <c r="H45" s="20"/>
      <c r="I45" s="20"/>
      <c r="J45" s="20"/>
      <c r="K45" s="17"/>
      <c r="L45" s="17"/>
      <c r="M45" s="17"/>
      <c r="N45" s="17"/>
      <c r="O45" s="17"/>
      <c r="P45" s="17"/>
      <c r="Q45" s="17"/>
      <c r="R45" s="47"/>
      <c r="S45" s="44"/>
      <c r="T45" s="44"/>
      <c r="U45" s="54"/>
      <c r="V45" s="55"/>
      <c r="W45" s="54"/>
      <c r="X45" s="44"/>
    </row>
    <row r="46" spans="1:24" ht="23" x14ac:dyDescent="0.25">
      <c r="A46" s="59" t="str" cm="1">
        <f t="array" ref="A46">IFERROR(INDEX(_xlfn.ANCHORARRAY($K$6),ROW()-5,1),"")</f>
        <v/>
      </c>
      <c r="B46" s="60" t="str">
        <f>IF($H46="TOTAL",SUM($B$6:$B45)-SUMIF($H$6:$H45,"TOTAL",$B$6:$B45),IF($A46="","",IF($F46="DIESEL",SUMIFS(Table1[Quantity],Table1[Customer],$K$3,Table1[Date],$A46),IF($F46="PETROL",SUMIFS(Table14[Quantity],Table14[Customer],$K$3,Table14[Date],$A46),IF($F46="XtraGreen",SUMIFS(Table146[Quantity],Table146[Company],$K$3,Table146[Date],$A46),"")))))</f>
        <v/>
      </c>
      <c r="C46" s="60" t="str">
        <f>IF($A46="","",IF($F46="DIESEL",AVERAGEIFS(Table1[RSP],Table1[Customer],$K$3,Table1[Date],$A46),IF($F46="PETROL",AVERAGEIFS(Table14[RSP],Table14[Customer],$K$3,Table14[Date],$A46),IF($F46="XtraGreen",AVERAGEIFS(Table146[RSP],Table146[Company],$K$3,Table146[Date],$A46),IFERROR($D46/$B46,"")))))</f>
        <v/>
      </c>
      <c r="D46" s="60" t="str">
        <f>IF($H46="TOTAL",SUM($D$6:$D45)-SUMIF($H$6:$H45,"TOTAL",$D$6:$D45),IF($A46="","",IF($F46="DIESEL",SUMIFS(Table1[Amount],Table1[Customer],$K$3,Table1[Date],$A46),IF($F46="PETROL",SUMIFS(Table14[Amount],Table14[Customer],$K$3,Table14[Date],$A46),IF($F46="XtraGreen",SUMIFS(Table146[Amount],Table146[Company],$K$3,Table146[Date],$A46),SUMIFS('Other Sale'!$D:$D,'Other Sale'!$E:$E,$K$3,'Other Sale'!$C:$C,$F46,'Other Sale'!$A:$A,$A46))))))</f>
        <v/>
      </c>
      <c r="E46" s="61">
        <f>IF($H46="TOTAL",SUM($E$6:$E45)-SUMIF($H$6:$H45,"TOTAL",$E$6:$E45),IF($A46="",0,IF(COUNTIF($A$6:$A46,$A46)=1,SUMIFS(MasterPaid[Amount Paid],MasterPaid[Customer],$K$3,MasterPaid[Date],$A46),0)))</f>
        <v>0</v>
      </c>
      <c r="F46" s="62" t="str" cm="1">
        <f t="array" ref="F46">IFERROR(INDEX(_xlfn.ANCHORARRAY($K$6),ROW()-5,2),"")</f>
        <v/>
      </c>
      <c r="G46" s="57" t="str">
        <f>IF($H46="TOTAL",IFERROR(LOOKUP(9.99E+307,$G$6:$G45),""),IF($A46="","",G45+N(D46)-N(E46)))</f>
        <v/>
      </c>
      <c r="H46" s="20"/>
      <c r="I46" s="20"/>
      <c r="J46" s="20"/>
      <c r="K46" s="17"/>
      <c r="L46" s="17"/>
      <c r="M46" s="17"/>
      <c r="N46" s="17"/>
      <c r="O46" s="17"/>
      <c r="P46" s="17"/>
      <c r="Q46" s="17"/>
      <c r="R46" s="47"/>
      <c r="S46" s="44"/>
      <c r="T46" s="44"/>
      <c r="U46" s="54"/>
      <c r="V46" s="55"/>
      <c r="W46" s="54"/>
      <c r="X46" s="44"/>
    </row>
    <row r="47" spans="1:24" ht="23" x14ac:dyDescent="0.25">
      <c r="A47" s="59" t="str" cm="1">
        <f t="array" ref="A47">IFERROR(INDEX(_xlfn.ANCHORARRAY($K$6),ROW()-5,1),"")</f>
        <v/>
      </c>
      <c r="B47" s="60" t="str">
        <f>IF($H47="TOTAL",SUM($B$6:$B46)-SUMIF($H$6:$H46,"TOTAL",$B$6:$B46),IF($A47="","",IF($F47="DIESEL",SUMIFS(Table1[Quantity],Table1[Customer],$K$3,Table1[Date],$A47),IF($F47="PETROL",SUMIFS(Table14[Quantity],Table14[Customer],$K$3,Table14[Date],$A47),IF($F47="XtraGreen",SUMIFS(Table146[Quantity],Table146[Company],$K$3,Table146[Date],$A47),"")))))</f>
        <v/>
      </c>
      <c r="C47" s="60" t="str">
        <f>IF($A47="","",IF($F47="DIESEL",AVERAGEIFS(Table1[RSP],Table1[Customer],$K$3,Table1[Date],$A47),IF($F47="PETROL",AVERAGEIFS(Table14[RSP],Table14[Customer],$K$3,Table14[Date],$A47),IF($F47="XtraGreen",AVERAGEIFS(Table146[RSP],Table146[Company],$K$3,Table146[Date],$A47),IFERROR($D47/$B47,"")))))</f>
        <v/>
      </c>
      <c r="D47" s="60" t="str">
        <f>IF($H47="TOTAL",SUM($D$6:$D46)-SUMIF($H$6:$H46,"TOTAL",$D$6:$D46),IF($A47="","",IF($F47="DIESEL",SUMIFS(Table1[Amount],Table1[Customer],$K$3,Table1[Date],$A47),IF($F47="PETROL",SUMIFS(Table14[Amount],Table14[Customer],$K$3,Table14[Date],$A47),IF($F47="XtraGreen",SUMIFS(Table146[Amount],Table146[Company],$K$3,Table146[Date],$A47),SUMIFS('Other Sale'!$D:$D,'Other Sale'!$E:$E,$K$3,'Other Sale'!$C:$C,$F47,'Other Sale'!$A:$A,$A47))))))</f>
        <v/>
      </c>
      <c r="E47" s="61">
        <f>IF($H47="TOTAL",SUM($E$6:$E46)-SUMIF($H$6:$H46,"TOTAL",$E$6:$E46),IF($A47="",0,IF(COUNTIF($A$6:$A47,$A47)=1,SUMIFS(MasterPaid[Amount Paid],MasterPaid[Customer],$K$3,MasterPaid[Date],$A47),0)))</f>
        <v>0</v>
      </c>
      <c r="F47" s="62" t="str" cm="1">
        <f t="array" ref="F47">IFERROR(INDEX(_xlfn.ANCHORARRAY($K$6),ROW()-5,2),"")</f>
        <v/>
      </c>
      <c r="G47" s="57" t="str">
        <f>IF($H47="TOTAL",IFERROR(LOOKUP(9.99E+307,$G$6:$G46),""),IF($A47="","",G46+N(D47)-N(E47)))</f>
        <v/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47"/>
      <c r="S47" s="44"/>
      <c r="T47" s="44"/>
      <c r="U47" s="54"/>
      <c r="V47" s="55"/>
      <c r="W47" s="54"/>
      <c r="X47" s="44"/>
    </row>
    <row r="48" spans="1:24" ht="23" x14ac:dyDescent="0.25">
      <c r="A48" s="59" t="str" cm="1">
        <f t="array" ref="A48">IFERROR(INDEX(_xlfn.ANCHORARRAY($K$6),ROW()-5,1),"")</f>
        <v/>
      </c>
      <c r="B48" s="60" t="str">
        <f>IF($H48="TOTAL",SUM($B$6:$B47)-SUMIF($H$6:$H47,"TOTAL",$B$6:$B47),IF($A48="","",IF($F48="DIESEL",SUMIFS(Table1[Quantity],Table1[Customer],$K$3,Table1[Date],$A48),IF($F48="PETROL",SUMIFS(Table14[Quantity],Table14[Customer],$K$3,Table14[Date],$A48),IF($F48="XtraGreen",SUMIFS(Table146[Quantity],Table146[Company],$K$3,Table146[Date],$A48),"")))))</f>
        <v/>
      </c>
      <c r="C48" s="60" t="str">
        <f>IF($A48="","",IF($F48="DIESEL",AVERAGEIFS(Table1[RSP],Table1[Customer],$K$3,Table1[Date],$A48),IF($F48="PETROL",AVERAGEIFS(Table14[RSP],Table14[Customer],$K$3,Table14[Date],$A48),IF($F48="XtraGreen",AVERAGEIFS(Table146[RSP],Table146[Company],$K$3,Table146[Date],$A48),IFERROR($D48/$B48,"")))))</f>
        <v/>
      </c>
      <c r="D48" s="60" t="str">
        <f>IF($H48="TOTAL",SUM($D$6:$D47)-SUMIF($H$6:$H47,"TOTAL",$D$6:$D47),IF($A48="","",IF($F48="DIESEL",SUMIFS(Table1[Amount],Table1[Customer],$K$3,Table1[Date],$A48),IF($F48="PETROL",SUMIFS(Table14[Amount],Table14[Customer],$K$3,Table14[Date],$A48),IF($F48="XtraGreen",SUMIFS(Table146[Amount],Table146[Company],$K$3,Table146[Date],$A48),SUMIFS('Other Sale'!$D:$D,'Other Sale'!$E:$E,$K$3,'Other Sale'!$C:$C,$F48,'Other Sale'!$A:$A,$A48))))))</f>
        <v/>
      </c>
      <c r="E48" s="61">
        <f>IF($H48="TOTAL",SUM($E$6:$E47)-SUMIF($H$6:$H47,"TOTAL",$E$6:$E47),IF($A48="",0,IF(COUNTIF($A$6:$A48,$A48)=1,SUMIFS(MasterPaid[Amount Paid],MasterPaid[Customer],$K$3,MasterPaid[Date],$A48),0)))</f>
        <v>0</v>
      </c>
      <c r="F48" s="62" t="str" cm="1">
        <f t="array" ref="F48">IFERROR(INDEX(_xlfn.ANCHORARRAY($K$6),ROW()-5,2),"")</f>
        <v/>
      </c>
      <c r="G48" s="57" t="str">
        <f>IF($H48="TOTAL",IFERROR(LOOKUP(9.99E+307,$G$6:$G47),""),IF($A48="","",G47+N(D48)-N(E48)))</f>
        <v/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47"/>
      <c r="S48" s="44"/>
      <c r="T48" s="44"/>
      <c r="U48" s="54"/>
      <c r="V48" s="55"/>
      <c r="W48" s="54"/>
      <c r="X48" s="44"/>
    </row>
    <row r="49" spans="1:24" ht="23" x14ac:dyDescent="0.25">
      <c r="A49" s="59" t="str" cm="1">
        <f t="array" ref="A49">IFERROR(INDEX(_xlfn.ANCHORARRAY($K$6),ROW()-5,1),"")</f>
        <v/>
      </c>
      <c r="B49" s="60" t="str">
        <f>IF($H49="TOTAL",SUM($B$6:$B48)-SUMIF($H$6:$H48,"TOTAL",$B$6:$B48),IF($A49="","",IF($F49="DIESEL",SUMIFS(Table1[Quantity],Table1[Customer],$K$3,Table1[Date],$A49),IF($F49="PETROL",SUMIFS(Table14[Quantity],Table14[Customer],$K$3,Table14[Date],$A49),IF($F49="XtraGreen",SUMIFS(Table146[Quantity],Table146[Company],$K$3,Table146[Date],$A49),"")))))</f>
        <v/>
      </c>
      <c r="C49" s="60" t="str">
        <f>IF($A49="","",IF($F49="DIESEL",AVERAGEIFS(Table1[RSP],Table1[Customer],$K$3,Table1[Date],$A49),IF($F49="PETROL",AVERAGEIFS(Table14[RSP],Table14[Customer],$K$3,Table14[Date],$A49),IF($F49="XtraGreen",AVERAGEIFS(Table146[RSP],Table146[Company],$K$3,Table146[Date],$A49),IFERROR($D49/$B49,"")))))</f>
        <v/>
      </c>
      <c r="D49" s="60" t="str">
        <f>IF($H49="TOTAL",SUM($D$6:$D48)-SUMIF($H$6:$H48,"TOTAL",$D$6:$D48),IF($A49="","",IF($F49="DIESEL",SUMIFS(Table1[Amount],Table1[Customer],$K$3,Table1[Date],$A49),IF($F49="PETROL",SUMIFS(Table14[Amount],Table14[Customer],$K$3,Table14[Date],$A49),IF($F49="XtraGreen",SUMIFS(Table146[Amount],Table146[Company],$K$3,Table146[Date],$A49),SUMIFS('Other Sale'!$D:$D,'Other Sale'!$E:$E,$K$3,'Other Sale'!$C:$C,$F49,'Other Sale'!$A:$A,$A49))))))</f>
        <v/>
      </c>
      <c r="E49" s="61">
        <f>IF($H49="TOTAL",SUM($E$6:$E48)-SUMIF($H$6:$H48,"TOTAL",$E$6:$E48),IF($A49="",0,IF(COUNTIF($A$6:$A49,$A49)=1,SUMIFS(MasterPaid[Amount Paid],MasterPaid[Customer],$K$3,MasterPaid[Date],$A49),0)))</f>
        <v>0</v>
      </c>
      <c r="F49" s="62" t="str" cm="1">
        <f t="array" ref="F49">IFERROR(INDEX(_xlfn.ANCHORARRAY($K$6),ROW()-5,2),"")</f>
        <v/>
      </c>
      <c r="G49" s="57" t="str">
        <f>IF($H49="TOTAL",IFERROR(LOOKUP(9.99E+307,$G$6:$G48),""),IF($A49="","",G48+N(D49)-N(E49)))</f>
        <v/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47"/>
      <c r="S49" s="44"/>
      <c r="T49" s="44"/>
      <c r="U49" s="54"/>
      <c r="V49" s="55"/>
      <c r="W49" s="54"/>
      <c r="X49" s="44"/>
    </row>
    <row r="50" spans="1:24" ht="23" x14ac:dyDescent="0.25">
      <c r="A50" s="59" t="str" cm="1">
        <f t="array" ref="A50">IFERROR(INDEX(_xlfn.ANCHORARRAY($K$6),ROW()-5,1),"")</f>
        <v/>
      </c>
      <c r="B50" s="60" t="str">
        <f>IF($H50="TOTAL",SUM($B$6:$B49)-SUMIF($H$6:$H49,"TOTAL",$B$6:$B49),IF($A50="","",IF($F50="DIESEL",SUMIFS(Table1[Quantity],Table1[Customer],$K$3,Table1[Date],$A50),IF($F50="PETROL",SUMIFS(Table14[Quantity],Table14[Customer],$K$3,Table14[Date],$A50),IF($F50="XtraGreen",SUMIFS(Table146[Quantity],Table146[Company],$K$3,Table146[Date],$A50),"")))))</f>
        <v/>
      </c>
      <c r="C50" s="60" t="str">
        <f>IF($A50="","",IF($F50="DIESEL",AVERAGEIFS(Table1[RSP],Table1[Customer],$K$3,Table1[Date],$A50),IF($F50="PETROL",AVERAGEIFS(Table14[RSP],Table14[Customer],$K$3,Table14[Date],$A50),IF($F50="XtraGreen",AVERAGEIFS(Table146[RSP],Table146[Company],$K$3,Table146[Date],$A50),IFERROR($D50/$B50,"")))))</f>
        <v/>
      </c>
      <c r="D50" s="60" t="str">
        <f>IF($H50="TOTAL",SUM($D$6:$D49)-SUMIF($H$6:$H49,"TOTAL",$D$6:$D49),IF($A50="","",IF($F50="DIESEL",SUMIFS(Table1[Amount],Table1[Customer],$K$3,Table1[Date],$A50),IF($F50="PETROL",SUMIFS(Table14[Amount],Table14[Customer],$K$3,Table14[Date],$A50),IF($F50="XtraGreen",SUMIFS(Table146[Amount],Table146[Company],$K$3,Table146[Date],$A50),SUMIFS('Other Sale'!$D:$D,'Other Sale'!$E:$E,$K$3,'Other Sale'!$C:$C,$F50,'Other Sale'!$A:$A,$A50))))))</f>
        <v/>
      </c>
      <c r="E50" s="61">
        <f>IF($H50="TOTAL",SUM($E$6:$E49)-SUMIF($H$6:$H49,"TOTAL",$E$6:$E49),IF($A50="",0,IF(COUNTIF($A$6:$A50,$A50)=1,SUMIFS(MasterPaid[Amount Paid],MasterPaid[Customer],$K$3,MasterPaid[Date],$A50),0)))</f>
        <v>0</v>
      </c>
      <c r="F50" s="62" t="str" cm="1">
        <f t="array" ref="F50">IFERROR(INDEX(_xlfn.ANCHORARRAY($K$6),ROW()-5,2),"")</f>
        <v/>
      </c>
      <c r="G50" s="57" t="str">
        <f>IF($H50="TOTAL",IFERROR(LOOKUP(9.99E+307,$G$6:$G49),""),IF($A50="","",G49+N(D50)-N(E50)))</f>
        <v/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47"/>
      <c r="S50" s="44"/>
      <c r="T50" s="44"/>
      <c r="U50" s="54"/>
      <c r="V50" s="55"/>
      <c r="W50" s="54"/>
      <c r="X50" s="44"/>
    </row>
    <row r="51" spans="1:24" ht="23" x14ac:dyDescent="0.25">
      <c r="A51" s="59" t="str" cm="1">
        <f t="array" ref="A51">IFERROR(INDEX(_xlfn.ANCHORARRAY($K$6),ROW()-5,1),"")</f>
        <v/>
      </c>
      <c r="B51" s="60" t="str">
        <f>IF($H51="TOTAL",SUM($B$6:$B50)-SUMIF($H$6:$H50,"TOTAL",$B$6:$B50),IF($A51="","",IF($F51="DIESEL",SUMIFS(Table1[Quantity],Table1[Customer],$K$3,Table1[Date],$A51),IF($F51="PETROL",SUMIFS(Table14[Quantity],Table14[Customer],$K$3,Table14[Date],$A51),IF($F51="XtraGreen",SUMIFS(Table146[Quantity],Table146[Company],$K$3,Table146[Date],$A51),"")))))</f>
        <v/>
      </c>
      <c r="C51" s="60" t="str">
        <f>IF($A51="","",IF($F51="DIESEL",AVERAGEIFS(Table1[RSP],Table1[Customer],$K$3,Table1[Date],$A51),IF($F51="PETROL",AVERAGEIFS(Table14[RSP],Table14[Customer],$K$3,Table14[Date],$A51),IF($F51="XtraGreen",AVERAGEIFS(Table146[RSP],Table146[Company],$K$3,Table146[Date],$A51),IFERROR($D51/$B51,"")))))</f>
        <v/>
      </c>
      <c r="D51" s="60" t="str">
        <f>IF($H51="TOTAL",SUM($D$6:$D50)-SUMIF($H$6:$H50,"TOTAL",$D$6:$D50),IF($A51="","",IF($F51="DIESEL",SUMIFS(Table1[Amount],Table1[Customer],$K$3,Table1[Date],$A51),IF($F51="PETROL",SUMIFS(Table14[Amount],Table14[Customer],$K$3,Table14[Date],$A51),IF($F51="XtraGreen",SUMIFS(Table146[Amount],Table146[Company],$K$3,Table146[Date],$A51),SUMIFS('Other Sale'!$D:$D,'Other Sale'!$E:$E,$K$3,'Other Sale'!$C:$C,$F51,'Other Sale'!$A:$A,$A51))))))</f>
        <v/>
      </c>
      <c r="E51" s="61">
        <f>IF($H51="TOTAL",SUM($E$6:$E50)-SUMIF($H$6:$H50,"TOTAL",$E$6:$E50),IF($A51="",0,IF(COUNTIF($A$6:$A51,$A51)=1,SUMIFS(MasterPaid[Amount Paid],MasterPaid[Customer],$K$3,MasterPaid[Date],$A51),0)))</f>
        <v>0</v>
      </c>
      <c r="F51" s="62" t="str" cm="1">
        <f t="array" ref="F51">IFERROR(INDEX(_xlfn.ANCHORARRAY($K$6),ROW()-5,2),"")</f>
        <v/>
      </c>
      <c r="G51" s="57" t="str">
        <f>IF($H51="TOTAL",IFERROR(LOOKUP(9.99E+307,$G$6:$G50),""),IF($A51="","",G50+N(D51)-N(E51)))</f>
        <v/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47"/>
      <c r="S51" s="44"/>
      <c r="T51" s="44"/>
      <c r="U51" s="54"/>
      <c r="V51" s="55"/>
      <c r="W51" s="54"/>
      <c r="X51" s="44"/>
    </row>
    <row r="52" spans="1:24" ht="23" x14ac:dyDescent="0.25">
      <c r="A52" s="59" t="str" cm="1">
        <f t="array" ref="A52">IFERROR(INDEX(_xlfn.ANCHORARRAY($K$6),ROW()-5,1),"")</f>
        <v/>
      </c>
      <c r="B52" s="60" t="str">
        <f>IF($H52="TOTAL",SUM($B$6:$B51)-SUMIF($H$6:$H51,"TOTAL",$B$6:$B51),IF($A52="","",IF($F52="DIESEL",SUMIFS(Table1[Quantity],Table1[Customer],$K$3,Table1[Date],$A52),IF($F52="PETROL",SUMIFS(Table14[Quantity],Table14[Customer],$K$3,Table14[Date],$A52),IF($F52="XtraGreen",SUMIFS(Table146[Quantity],Table146[Company],$K$3,Table146[Date],$A52),"")))))</f>
        <v/>
      </c>
      <c r="C52" s="60" t="str">
        <f>IF($A52="","",IF($F52="DIESEL",AVERAGEIFS(Table1[RSP],Table1[Customer],$K$3,Table1[Date],$A52),IF($F52="PETROL",AVERAGEIFS(Table14[RSP],Table14[Customer],$K$3,Table14[Date],$A52),IF($F52="XtraGreen",AVERAGEIFS(Table146[RSP],Table146[Company],$K$3,Table146[Date],$A52),IFERROR($D52/$B52,"")))))</f>
        <v/>
      </c>
      <c r="D52" s="60" t="str">
        <f>IF($H52="TOTAL",SUM($D$6:$D51)-SUMIF($H$6:$H51,"TOTAL",$D$6:$D51),IF($A52="","",IF($F52="DIESEL",SUMIFS(Table1[Amount],Table1[Customer],$K$3,Table1[Date],$A52),IF($F52="PETROL",SUMIFS(Table14[Amount],Table14[Customer],$K$3,Table14[Date],$A52),IF($F52="XtraGreen",SUMIFS(Table146[Amount],Table146[Company],$K$3,Table146[Date],$A52),SUMIFS('Other Sale'!$D:$D,'Other Sale'!$E:$E,$K$3,'Other Sale'!$C:$C,$F52,'Other Sale'!$A:$A,$A52))))))</f>
        <v/>
      </c>
      <c r="E52" s="61">
        <f>IF($H52="TOTAL",SUM($E$6:$E51)-SUMIF($H$6:$H51,"TOTAL",$E$6:$E51),IF($A52="",0,IF(COUNTIF($A$6:$A52,$A52)=1,SUMIFS(MasterPaid[Amount Paid],MasterPaid[Customer],$K$3,MasterPaid[Date],$A52),0)))</f>
        <v>0</v>
      </c>
      <c r="F52" s="62" t="str" cm="1">
        <f t="array" ref="F52">IFERROR(INDEX(_xlfn.ANCHORARRAY($K$6),ROW()-5,2),"")</f>
        <v/>
      </c>
      <c r="G52" s="57" t="str">
        <f>IF($H52="TOTAL",IFERROR(LOOKUP(9.99E+307,$G$6:$G51),""),IF($A52="","",G51+N(D52)-N(E52)))</f>
        <v/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47"/>
      <c r="S52" s="44"/>
      <c r="T52" s="44"/>
      <c r="U52" s="54"/>
      <c r="V52" s="55"/>
      <c r="W52" s="54"/>
      <c r="X52" s="44"/>
    </row>
    <row r="53" spans="1:24" ht="23" x14ac:dyDescent="0.25">
      <c r="A53" s="59" t="str" cm="1">
        <f t="array" ref="A53">IFERROR(INDEX(_xlfn.ANCHORARRAY($K$6),ROW()-5,1),"")</f>
        <v/>
      </c>
      <c r="B53" s="60" t="str">
        <f>IF($H53="TOTAL",SUM($B$6:$B52)-SUMIF($H$6:$H52,"TOTAL",$B$6:$B52),IF($A53="","",IF($F53="DIESEL",SUMIFS(Table1[Quantity],Table1[Customer],$K$3,Table1[Date],$A53),IF($F53="PETROL",SUMIFS(Table14[Quantity],Table14[Customer],$K$3,Table14[Date],$A53),IF($F53="XtraGreen",SUMIFS(Table146[Quantity],Table146[Company],$K$3,Table146[Date],$A53),"")))))</f>
        <v/>
      </c>
      <c r="C53" s="60" t="str">
        <f>IF($A53="","",IF($F53="DIESEL",AVERAGEIFS(Table1[RSP],Table1[Customer],$K$3,Table1[Date],$A53),IF($F53="PETROL",AVERAGEIFS(Table14[RSP],Table14[Customer],$K$3,Table14[Date],$A53),IF($F53="XtraGreen",AVERAGEIFS(Table146[RSP],Table146[Company],$K$3,Table146[Date],$A53),IFERROR($D53/$B53,"")))))</f>
        <v/>
      </c>
      <c r="D53" s="60" t="str">
        <f>IF($H53="TOTAL",SUM($D$6:$D52)-SUMIF($H$6:$H52,"TOTAL",$D$6:$D52),IF($A53="","",IF($F53="DIESEL",SUMIFS(Table1[Amount],Table1[Customer],$K$3,Table1[Date],$A53),IF($F53="PETROL",SUMIFS(Table14[Amount],Table14[Customer],$K$3,Table14[Date],$A53),IF($F53="XtraGreen",SUMIFS(Table146[Amount],Table146[Company],$K$3,Table146[Date],$A53),SUMIFS('Other Sale'!$D:$D,'Other Sale'!$E:$E,$K$3,'Other Sale'!$C:$C,$F53,'Other Sale'!$A:$A,$A53))))))</f>
        <v/>
      </c>
      <c r="E53" s="61">
        <f>IF($H53="TOTAL",SUM($E$6:$E52)-SUMIF($H$6:$H52,"TOTAL",$E$6:$E52),IF($A53="",0,IF(COUNTIF($A$6:$A53,$A53)=1,SUMIFS(MasterPaid[Amount Paid],MasterPaid[Customer],$K$3,MasterPaid[Date],$A53),0)))</f>
        <v>0</v>
      </c>
      <c r="F53" s="62" t="str" cm="1">
        <f t="array" ref="F53">IFERROR(INDEX(_xlfn.ANCHORARRAY($K$6),ROW()-5,2),"")</f>
        <v/>
      </c>
      <c r="G53" s="57" t="str">
        <f>IF($H53="TOTAL",IFERROR(LOOKUP(9.99E+307,$G$6:$G52),""),IF($A53="","",G52+N(D53)-N(E53)))</f>
        <v/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47"/>
      <c r="S53" s="44"/>
      <c r="T53" s="44"/>
      <c r="U53" s="54"/>
      <c r="V53" s="55"/>
      <c r="W53" s="54"/>
      <c r="X53" s="44"/>
    </row>
    <row r="54" spans="1:24" ht="23" x14ac:dyDescent="0.25">
      <c r="A54" s="59" t="str" cm="1">
        <f t="array" ref="A54">IFERROR(INDEX(_xlfn.ANCHORARRAY($K$6),ROW()-5,1),"")</f>
        <v/>
      </c>
      <c r="B54" s="60" t="str">
        <f>IF($H54="TOTAL",SUM($B$6:$B53)-SUMIF($H$6:$H53,"TOTAL",$B$6:$B53),IF($A54="","",IF($F54="DIESEL",SUMIFS(Table1[Quantity],Table1[Customer],$K$3,Table1[Date],$A54),IF($F54="PETROL",SUMIFS(Table14[Quantity],Table14[Customer],$K$3,Table14[Date],$A54),IF($F54="XtraGreen",SUMIFS(Table146[Quantity],Table146[Company],$K$3,Table146[Date],$A54),"")))))</f>
        <v/>
      </c>
      <c r="C54" s="60" t="str">
        <f>IF($A54="","",IF($F54="DIESEL",AVERAGEIFS(Table1[RSP],Table1[Customer],$K$3,Table1[Date],$A54),IF($F54="PETROL",AVERAGEIFS(Table14[RSP],Table14[Customer],$K$3,Table14[Date],$A54),IF($F54="XtraGreen",AVERAGEIFS(Table146[RSP],Table146[Company],$K$3,Table146[Date],$A54),IFERROR($D54/$B54,"")))))</f>
        <v/>
      </c>
      <c r="D54" s="60" t="str">
        <f>IF($H54="TOTAL",SUM($D$6:$D53)-SUMIF($H$6:$H53,"TOTAL",$D$6:$D53),IF($A54="","",IF($F54="DIESEL",SUMIFS(Table1[Amount],Table1[Customer],$K$3,Table1[Date],$A54),IF($F54="PETROL",SUMIFS(Table14[Amount],Table14[Customer],$K$3,Table14[Date],$A54),IF($F54="XtraGreen",SUMIFS(Table146[Amount],Table146[Company],$K$3,Table146[Date],$A54),SUMIFS('Other Sale'!$D:$D,'Other Sale'!$E:$E,$K$3,'Other Sale'!$C:$C,$F54,'Other Sale'!$A:$A,$A54))))))</f>
        <v/>
      </c>
      <c r="E54" s="61">
        <f>IF($H54="TOTAL",SUM($E$6:$E53)-SUMIF($H$6:$H53,"TOTAL",$E$6:$E53),IF($A54="",0,IF(COUNTIF($A$6:$A54,$A54)=1,SUMIFS(MasterPaid[Amount Paid],MasterPaid[Customer],$K$3,MasterPaid[Date],$A54),0)))</f>
        <v>0</v>
      </c>
      <c r="F54" s="62" t="str" cm="1">
        <f t="array" ref="F54">IFERROR(INDEX(_xlfn.ANCHORARRAY($K$6),ROW()-5,2),"")</f>
        <v/>
      </c>
      <c r="G54" s="57" t="str">
        <f>IF($H54="TOTAL",IFERROR(LOOKUP(9.99E+307,$G$6:$G53),""),IF($A54="","",G53+N(D54)-N(E54)))</f>
        <v/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47"/>
      <c r="S54" s="44"/>
      <c r="T54" s="44"/>
      <c r="U54" s="54"/>
      <c r="V54" s="55"/>
      <c r="W54" s="54"/>
      <c r="X54" s="44"/>
    </row>
    <row r="55" spans="1:24" ht="23" x14ac:dyDescent="0.25">
      <c r="A55" s="59" t="str" cm="1">
        <f t="array" ref="A55">IFERROR(INDEX(_xlfn.ANCHORARRAY($K$6),ROW()-5,1),"")</f>
        <v/>
      </c>
      <c r="B55" s="60" t="str">
        <f>IF($H55="TOTAL",SUM($B$6:$B54)-SUMIF($H$6:$H54,"TOTAL",$B$6:$B54),IF($A55="","",IF($F55="DIESEL",SUMIFS(Table1[Quantity],Table1[Customer],$K$3,Table1[Date],$A55),IF($F55="PETROL",SUMIFS(Table14[Quantity],Table14[Customer],$K$3,Table14[Date],$A55),IF($F55="XtraGreen",SUMIFS(Table146[Quantity],Table146[Company],$K$3,Table146[Date],$A55),"")))))</f>
        <v/>
      </c>
      <c r="C55" s="60" t="str">
        <f>IF($A55="","",IF($F55="DIESEL",AVERAGEIFS(Table1[RSP],Table1[Customer],$K$3,Table1[Date],$A55),IF($F55="PETROL",AVERAGEIFS(Table14[RSP],Table14[Customer],$K$3,Table14[Date],$A55),IF($F55="XtraGreen",AVERAGEIFS(Table146[RSP],Table146[Company],$K$3,Table146[Date],$A55),IFERROR($D55/$B55,"")))))</f>
        <v/>
      </c>
      <c r="D55" s="60" t="str">
        <f>IF($H55="TOTAL",SUM($D$6:$D54)-SUMIF($H$6:$H54,"TOTAL",$D$6:$D54),IF($A55="","",IF($F55="DIESEL",SUMIFS(Table1[Amount],Table1[Customer],$K$3,Table1[Date],$A55),IF($F55="PETROL",SUMIFS(Table14[Amount],Table14[Customer],$K$3,Table14[Date],$A55),IF($F55="XtraGreen",SUMIFS(Table146[Amount],Table146[Company],$K$3,Table146[Date],$A55),SUMIFS('Other Sale'!$D:$D,'Other Sale'!$E:$E,$K$3,'Other Sale'!$C:$C,$F55,'Other Sale'!$A:$A,$A55))))))</f>
        <v/>
      </c>
      <c r="E55" s="61">
        <f>IF($H55="TOTAL",SUM($E$6:$E54)-SUMIF($H$6:$H54,"TOTAL",$E$6:$E54),IF($A55="",0,IF(COUNTIF($A$6:$A55,$A55)=1,SUMIFS(MasterPaid[Amount Paid],MasterPaid[Customer],$K$3,MasterPaid[Date],$A55),0)))</f>
        <v>0</v>
      </c>
      <c r="F55" s="62" t="str" cm="1">
        <f t="array" ref="F55">IFERROR(INDEX(_xlfn.ANCHORARRAY($K$6),ROW()-5,2),"")</f>
        <v/>
      </c>
      <c r="G55" s="57" t="str">
        <f>IF($H55="TOTAL",IFERROR(LOOKUP(9.99E+307,$G$6:$G54),""),IF($A55="","",G54+N(D55)-N(E55)))</f>
        <v/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47"/>
      <c r="S55" s="44"/>
      <c r="T55" s="44"/>
      <c r="U55" s="54"/>
      <c r="V55" s="55"/>
      <c r="W55" s="54"/>
      <c r="X55" s="44"/>
    </row>
    <row r="56" spans="1:24" ht="23" x14ac:dyDescent="0.25">
      <c r="A56" s="59" t="str" cm="1">
        <f t="array" ref="A56">IFERROR(INDEX(_xlfn.ANCHORARRAY($K$6),ROW()-5,1),"")</f>
        <v/>
      </c>
      <c r="B56" s="60" t="str">
        <f>IF($H56="TOTAL",SUM($B$6:$B55)-SUMIF($H$6:$H55,"TOTAL",$B$6:$B55),IF($A56="","",IF($F56="DIESEL",SUMIFS(Table1[Quantity],Table1[Customer],$K$3,Table1[Date],$A56),IF($F56="PETROL",SUMIFS(Table14[Quantity],Table14[Customer],$K$3,Table14[Date],$A56),IF($F56="XtraGreen",SUMIFS(Table146[Quantity],Table146[Company],$K$3,Table146[Date],$A56),"")))))</f>
        <v/>
      </c>
      <c r="C56" s="60" t="str">
        <f>IF($A56="","",IF($F56="DIESEL",AVERAGEIFS(Table1[RSP],Table1[Customer],$K$3,Table1[Date],$A56),IF($F56="PETROL",AVERAGEIFS(Table14[RSP],Table14[Customer],$K$3,Table14[Date],$A56),IF($F56="XtraGreen",AVERAGEIFS(Table146[RSP],Table146[Company],$K$3,Table146[Date],$A56),IFERROR($D56/$B56,"")))))</f>
        <v/>
      </c>
      <c r="D56" s="60" t="str">
        <f>IF($H56="TOTAL",SUM($D$6:$D55)-SUMIF($H$6:$H55,"TOTAL",$D$6:$D55),IF($A56="","",IF($F56="DIESEL",SUMIFS(Table1[Amount],Table1[Customer],$K$3,Table1[Date],$A56),IF($F56="PETROL",SUMIFS(Table14[Amount],Table14[Customer],$K$3,Table14[Date],$A56),IF($F56="XtraGreen",SUMIFS(Table146[Amount],Table146[Company],$K$3,Table146[Date],$A56),SUMIFS('Other Sale'!$D:$D,'Other Sale'!$E:$E,$K$3,'Other Sale'!$C:$C,$F56,'Other Sale'!$A:$A,$A56))))))</f>
        <v/>
      </c>
      <c r="E56" s="61">
        <f>IF($H56="TOTAL",SUM($E$6:$E55)-SUMIF($H$6:$H55,"TOTAL",$E$6:$E55),IF($A56="",0,IF(COUNTIF($A$6:$A56,$A56)=1,SUMIFS(MasterPaid[Amount Paid],MasterPaid[Customer],$K$3,MasterPaid[Date],$A56),0)))</f>
        <v>0</v>
      </c>
      <c r="F56" s="62" t="str" cm="1">
        <f t="array" ref="F56">IFERROR(INDEX(_xlfn.ANCHORARRAY($K$6),ROW()-5,2),"")</f>
        <v/>
      </c>
      <c r="G56" s="57" t="str">
        <f>IF($H56="TOTAL",IFERROR(LOOKUP(9.99E+307,$G$6:$G55),""),IF($A56="","",G55+N(D56)-N(E56)))</f>
        <v/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47"/>
      <c r="S56" s="44"/>
      <c r="T56" s="44"/>
      <c r="U56" s="54"/>
      <c r="V56" s="55"/>
      <c r="W56" s="54"/>
      <c r="X56" s="44"/>
    </row>
    <row r="57" spans="1:24" ht="23" x14ac:dyDescent="0.25">
      <c r="A57" s="59" t="str" cm="1">
        <f t="array" ref="A57">IFERROR(INDEX(_xlfn.ANCHORARRAY($K$6),ROW()-5,1),"")</f>
        <v/>
      </c>
      <c r="B57" s="60" t="str">
        <f>IF($H57="TOTAL",SUM($B$6:$B56)-SUMIF($H$6:$H56,"TOTAL",$B$6:$B56),IF($A57="","",IF($F57="DIESEL",SUMIFS(Table1[Quantity],Table1[Customer],$K$3,Table1[Date],$A57),IF($F57="PETROL",SUMIFS(Table14[Quantity],Table14[Customer],$K$3,Table14[Date],$A57),IF($F57="XtraGreen",SUMIFS(Table146[Quantity],Table146[Company],$K$3,Table146[Date],$A57),"")))))</f>
        <v/>
      </c>
      <c r="C57" s="60" t="str">
        <f>IF($A57="","",IF($F57="DIESEL",AVERAGEIFS(Table1[RSP],Table1[Customer],$K$3,Table1[Date],$A57),IF($F57="PETROL",AVERAGEIFS(Table14[RSP],Table14[Customer],$K$3,Table14[Date],$A57),IF($F57="XtraGreen",AVERAGEIFS(Table146[RSP],Table146[Company],$K$3,Table146[Date],$A57),IFERROR($D57/$B57,"")))))</f>
        <v/>
      </c>
      <c r="D57" s="60" t="str">
        <f>IF($H57="TOTAL",SUM($D$6:$D56)-SUMIF($H$6:$H56,"TOTAL",$D$6:$D56),IF($A57="","",IF($F57="DIESEL",SUMIFS(Table1[Amount],Table1[Customer],$K$3,Table1[Date],$A57),IF($F57="PETROL",SUMIFS(Table14[Amount],Table14[Customer],$K$3,Table14[Date],$A57),IF($F57="XtraGreen",SUMIFS(Table146[Amount],Table146[Company],$K$3,Table146[Date],$A57),SUMIFS('Other Sale'!$D:$D,'Other Sale'!$E:$E,$K$3,'Other Sale'!$C:$C,$F57,'Other Sale'!$A:$A,$A57))))))</f>
        <v/>
      </c>
      <c r="E57" s="61">
        <f>IF($H57="TOTAL",SUM($E$6:$E56)-SUMIF($H$6:$H56,"TOTAL",$E$6:$E56),IF($A57="",0,IF(COUNTIF($A$6:$A57,$A57)=1,SUMIFS(MasterPaid[Amount Paid],MasterPaid[Customer],$K$3,MasterPaid[Date],$A57),0)))</f>
        <v>0</v>
      </c>
      <c r="F57" s="62" t="str" cm="1">
        <f t="array" ref="F57">IFERROR(INDEX(_xlfn.ANCHORARRAY($K$6),ROW()-5,2),"")</f>
        <v/>
      </c>
      <c r="G57" s="57" t="str">
        <f>IF($H57="TOTAL",IFERROR(LOOKUP(9.99E+307,$G$6:$G56),""),IF($A57="","",G56+N(D57)-N(E57)))</f>
        <v/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47"/>
      <c r="S57" s="44"/>
      <c r="T57" s="44"/>
      <c r="U57" s="44"/>
      <c r="V57" s="44"/>
      <c r="W57" s="44"/>
      <c r="X57" s="44"/>
    </row>
    <row r="58" spans="1:24" ht="23" x14ac:dyDescent="0.25">
      <c r="A58" s="59" t="str" cm="1">
        <f t="array" ref="A58">IFERROR(INDEX(_xlfn.ANCHORARRAY($K$6),ROW()-5,1),"")</f>
        <v/>
      </c>
      <c r="B58" s="60" t="str">
        <f>IF($H58="TOTAL",SUM($B$6:$B57)-SUMIF($H$6:$H57,"TOTAL",$B$6:$B57),IF($A58="","",IF($F58="DIESEL",SUMIFS(Table1[Quantity],Table1[Customer],$K$3,Table1[Date],$A58),IF($F58="PETROL",SUMIFS(Table14[Quantity],Table14[Customer],$K$3,Table14[Date],$A58),IF($F58="XtraGreen",SUMIFS(Table146[Quantity],Table146[Company],$K$3,Table146[Date],$A58),"")))))</f>
        <v/>
      </c>
      <c r="C58" s="60" t="str">
        <f>IF($A58="","",IF($F58="DIESEL",AVERAGEIFS(Table1[RSP],Table1[Customer],$K$3,Table1[Date],$A58),IF($F58="PETROL",AVERAGEIFS(Table14[RSP],Table14[Customer],$K$3,Table14[Date],$A58),IF($F58="XtraGreen",AVERAGEIFS(Table146[RSP],Table146[Company],$K$3,Table146[Date],$A58),IFERROR($D58/$B58,"")))))</f>
        <v/>
      </c>
      <c r="D58" s="60" t="str">
        <f>IF($H58="TOTAL",SUM($D$6:$D57)-SUMIF($H$6:$H57,"TOTAL",$D$6:$D57),IF($A58="","",IF($F58="DIESEL",SUMIFS(Table1[Amount],Table1[Customer],$K$3,Table1[Date],$A58),IF($F58="PETROL",SUMIFS(Table14[Amount],Table14[Customer],$K$3,Table14[Date],$A58),IF($F58="XtraGreen",SUMIFS(Table146[Amount],Table146[Company],$K$3,Table146[Date],$A58),SUMIFS('Other Sale'!$D:$D,'Other Sale'!$E:$E,$K$3,'Other Sale'!$C:$C,$F58,'Other Sale'!$A:$A,$A58))))))</f>
        <v/>
      </c>
      <c r="E58" s="61">
        <f>IF($H58="TOTAL",SUM($E$6:$E57)-SUMIF($H$6:$H57,"TOTAL",$E$6:$E57),IF($A58="",0,IF(COUNTIF($A$6:$A58,$A58)=1,SUMIFS(MasterPaid[Amount Paid],MasterPaid[Customer],$K$3,MasterPaid[Date],$A58),0)))</f>
        <v>0</v>
      </c>
      <c r="F58" s="62" t="str" cm="1">
        <f t="array" ref="F58">IFERROR(INDEX(_xlfn.ANCHORARRAY($K$6),ROW()-5,2),"")</f>
        <v/>
      </c>
      <c r="G58" s="57" t="str">
        <f>IF($H58="TOTAL",IFERROR(LOOKUP(9.99E+307,$G$6:$G57),""),IF($A58="","",G57+N(D58)-N(E58)))</f>
        <v/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47"/>
      <c r="S58" s="44"/>
      <c r="T58" s="44"/>
      <c r="U58" s="44"/>
      <c r="V58" s="17"/>
      <c r="W58" s="17"/>
      <c r="X58" s="44"/>
    </row>
    <row r="59" spans="1:24" ht="23" x14ac:dyDescent="0.25">
      <c r="A59" s="59" t="str" cm="1">
        <f t="array" ref="A59">IFERROR(INDEX(_xlfn.ANCHORARRAY($K$6),ROW()-5,1),"")</f>
        <v/>
      </c>
      <c r="B59" s="60" t="str">
        <f>IF($H59="TOTAL",SUM($B$6:$B58)-SUMIF($H$6:$H58,"TOTAL",$B$6:$B58),IF($A59="","",IF($F59="DIESEL",SUMIFS(Table1[Quantity],Table1[Customer],$K$3,Table1[Date],$A59),IF($F59="PETROL",SUMIFS(Table14[Quantity],Table14[Customer],$K$3,Table14[Date],$A59),IF($F59="XtraGreen",SUMIFS(Table146[Quantity],Table146[Company],$K$3,Table146[Date],$A59),"")))))</f>
        <v/>
      </c>
      <c r="C59" s="60" t="str">
        <f>IF($A59="","",IF($F59="DIESEL",AVERAGEIFS(Table1[RSP],Table1[Customer],$K$3,Table1[Date],$A59),IF($F59="PETROL",AVERAGEIFS(Table14[RSP],Table14[Customer],$K$3,Table14[Date],$A59),IF($F59="XtraGreen",AVERAGEIFS(Table146[RSP],Table146[Company],$K$3,Table146[Date],$A59),IFERROR($D59/$B59,"")))))</f>
        <v/>
      </c>
      <c r="D59" s="60" t="str">
        <f>IF($H59="TOTAL",SUM($D$6:$D58)-SUMIF($H$6:$H58,"TOTAL",$D$6:$D58),IF($A59="","",IF($F59="DIESEL",SUMIFS(Table1[Amount],Table1[Customer],$K$3,Table1[Date],$A59),IF($F59="PETROL",SUMIFS(Table14[Amount],Table14[Customer],$K$3,Table14[Date],$A59),IF($F59="XtraGreen",SUMIFS(Table146[Amount],Table146[Company],$K$3,Table146[Date],$A59),SUMIFS('Other Sale'!$D:$D,'Other Sale'!$E:$E,$K$3,'Other Sale'!$C:$C,$F59,'Other Sale'!$A:$A,$A59))))))</f>
        <v/>
      </c>
      <c r="E59" s="61">
        <f>IF($H59="TOTAL",SUM($E$6:$E58)-SUMIF($H$6:$H58,"TOTAL",$E$6:$E58),IF($A59="",0,IF(COUNTIF($A$6:$A59,$A59)=1,SUMIFS(MasterPaid[Amount Paid],MasterPaid[Customer],$K$3,MasterPaid[Date],$A59),0)))</f>
        <v>0</v>
      </c>
      <c r="F59" s="62" t="str" cm="1">
        <f t="array" ref="F59">IFERROR(INDEX(_xlfn.ANCHORARRAY($K$6),ROW()-5,2),"")</f>
        <v/>
      </c>
      <c r="G59" s="57" t="str">
        <f>IF($H59="TOTAL",IFERROR(LOOKUP(9.99E+307,$G$6:$G58),""),IF($A59="","",G58+N(D59)-N(E59)))</f>
        <v/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ht="23" x14ac:dyDescent="0.25">
      <c r="A60" s="59" t="str" cm="1">
        <f t="array" ref="A60">IFERROR(INDEX(_xlfn.ANCHORARRAY($K$6),ROW()-5,1),"")</f>
        <v/>
      </c>
      <c r="B60" s="60" t="str">
        <f>IF($H60="TOTAL",SUM($B$6:$B59)-SUMIF($H$6:$H59,"TOTAL",$B$6:$B59),IF($A60="","",IF($F60="DIESEL",SUMIFS(Table1[Quantity],Table1[Customer],$K$3,Table1[Date],$A60),IF($F60="PETROL",SUMIFS(Table14[Quantity],Table14[Customer],$K$3,Table14[Date],$A60),IF($F60="XtraGreen",SUMIFS(Table146[Quantity],Table146[Company],$K$3,Table146[Date],$A60),"")))))</f>
        <v/>
      </c>
      <c r="C60" s="60" t="str">
        <f>IF($A60="","",IF($F60="DIESEL",AVERAGEIFS(Table1[RSP],Table1[Customer],$K$3,Table1[Date],$A60),IF($F60="PETROL",AVERAGEIFS(Table14[RSP],Table14[Customer],$K$3,Table14[Date],$A60),IF($F60="XtraGreen",AVERAGEIFS(Table146[RSP],Table146[Company],$K$3,Table146[Date],$A60),IFERROR($D60/$B60,"")))))</f>
        <v/>
      </c>
      <c r="D60" s="60" t="str">
        <f>IF($H60="TOTAL",SUM($D$6:$D59)-SUMIF($H$6:$H59,"TOTAL",$D$6:$D59),IF($A60="","",IF($F60="DIESEL",SUMIFS(Table1[Amount],Table1[Customer],$K$3,Table1[Date],$A60),IF($F60="PETROL",SUMIFS(Table14[Amount],Table14[Customer],$K$3,Table14[Date],$A60),IF($F60="XtraGreen",SUMIFS(Table146[Amount],Table146[Company],$K$3,Table146[Date],$A60),SUMIFS('Other Sale'!$D:$D,'Other Sale'!$E:$E,$K$3,'Other Sale'!$C:$C,$F60,'Other Sale'!$A:$A,$A60))))))</f>
        <v/>
      </c>
      <c r="E60" s="61">
        <f>IF($H60="TOTAL",SUM($E$6:$E59)-SUMIF($H$6:$H59,"TOTAL",$E$6:$E59),IF($A60="",0,IF(COUNTIF($A$6:$A60,$A60)=1,SUMIFS(MasterPaid[Amount Paid],MasterPaid[Customer],$K$3,MasterPaid[Date],$A60),0)))</f>
        <v>0</v>
      </c>
      <c r="F60" s="62" t="str" cm="1">
        <f t="array" ref="F60">IFERROR(INDEX(_xlfn.ANCHORARRAY($K$6),ROW()-5,2),"")</f>
        <v/>
      </c>
      <c r="G60" s="57" t="str">
        <f>IF($H60="TOTAL",IFERROR(LOOKUP(9.99E+307,$G$6:$G59),""),IF($A60="","",G59+N(D60)-N(E60)))</f>
        <v/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ht="23" x14ac:dyDescent="0.25">
      <c r="A61" s="59" t="str" cm="1">
        <f t="array" ref="A61">IFERROR(INDEX(_xlfn.ANCHORARRAY($K$6),ROW()-5,1),"")</f>
        <v/>
      </c>
      <c r="B61" s="60" t="str">
        <f>IF($A61="","",IF($F61="DIESEL",SUMIFS(Table1[Quantity],Table1[Customer],$K$3,Table1[Date],$A61),IF($F61="PETROL",SUMIFS(Table14[Quantity],Table14[Customer],$K$3,Table14[Date],$A61),IF($F61="XtraGreen",SUMIFS(Table146[Quantity],Table146[Company],$K$3,Table146[Date],$A61),""))))</f>
        <v/>
      </c>
      <c r="C61" s="60" t="str">
        <f>IF($A61="","",IF($F61="DIESEL",AVERAGEIFS(Table1[RSP],Table1[Customer],$K$3,Table1[Date],$A61),IF($F61="PETROL",AVERAGEIFS(Table14[RSP],Table14[Customer],$K$3,Table14[Date],$A61),IF($F61="XtraGreen",AVERAGEIFS(Table146[RSP],Table146[Company],$K$3,Table146[Date],$A61),IFERROR($D61/$B61,"")))))</f>
        <v/>
      </c>
      <c r="D61" s="60" t="str">
        <f>IF($A61="","",IF($F61="DIESEL",SUMIFS(Table1[Amount],Table1[Customer],$K$3,Table1[Date],$A61),IF($F61="PETROL",SUMIFS(Table14[Amount],Table14[Customer],$K$3,Table14[Date],$A61),IF($F61="XtraGreen",SUMIFS(Table146[Amount],Table146[Company],$K$3,Table146[Date],$A61),""))))</f>
        <v/>
      </c>
      <c r="E61" s="61">
        <f>IF($A61="",0,IF(COUNTIF($A$6:$A61,$A61)=1,SUMIFS(MasterPaid[Amount Paid],MasterPaid[Customer],$K$3,MasterPaid[Date],$A61),0))</f>
        <v>0</v>
      </c>
      <c r="F61" s="62" t="str" cm="1">
        <f t="array" ref="F61">IFERROR(INDEX(_xlfn.ANCHORARRAY($K$6),ROW()-5,2),"")</f>
        <v/>
      </c>
      <c r="G61" s="57" t="str">
        <f t="shared" ref="G61:G70" si="0">IF($A61="","",G60+N(D61)-N(E61))</f>
        <v/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ht="23" x14ac:dyDescent="0.25">
      <c r="A62" s="59" t="str" cm="1">
        <f t="array" ref="A62">IFERROR(INDEX(_xlfn.ANCHORARRAY($K$6),ROW()-5,1),"")</f>
        <v/>
      </c>
      <c r="B62" s="60" t="str">
        <f>IF($A62="","",IF($F62="DIESEL",SUMIFS(Table1[Quantity],Table1[Customer],$K$3,Table1[Date],$A62),IF($F62="PETROL",SUMIFS(Table14[Quantity],Table14[Customer],$K$3,Table14[Date],$A62),IF($F62="XtraGreen",SUMIFS(Table146[Quantity],Table146[Company],$K$3,Table146[Date],$A62),""))))</f>
        <v/>
      </c>
      <c r="C62" s="60" t="str">
        <f>IF($A62="","",IF($F62="DIESEL",AVERAGEIFS(Table1[RSP],Table1[Customer],$K$3,Table1[Date],$A62),IF($F62="PETROL",AVERAGEIFS(Table14[RSP],Table14[Customer],$K$3,Table14[Date],$A62),IF($F62="XtraGreen",AVERAGEIFS(Table146[RSP],Table146[Company],$K$3,Table146[Date],$A62),IFERROR($D62/$B62,"")))))</f>
        <v/>
      </c>
      <c r="D62" s="60" t="str">
        <f>IF($A62="","",IF($F62="DIESEL",SUMIFS(Table1[Amount],Table1[Customer],$K$3,Table1[Date],$A62),IF($F62="PETROL",SUMIFS(Table14[Amount],Table14[Customer],$K$3,Table14[Date],$A62),IF($F62="XtraGreen",SUMIFS(Table146[Amount],Table146[Company],$K$3,Table146[Date],$A62),""))))</f>
        <v/>
      </c>
      <c r="E62" s="61">
        <f>IF($A62="",0,IF(COUNTIF($A$6:$A62,$A62)=1,SUMIFS(MasterPaid[Amount Paid],MasterPaid[Customer],$K$3,MasterPaid[Date],$A62),0))</f>
        <v>0</v>
      </c>
      <c r="F62" s="62" t="str" cm="1">
        <f t="array" ref="F62">IFERROR(INDEX(_xlfn.ANCHORARRAY($K$6),ROW()-5,2),"")</f>
        <v/>
      </c>
      <c r="G62" s="57" t="str">
        <f t="shared" si="0"/>
        <v/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ht="23" x14ac:dyDescent="0.25">
      <c r="A63" s="59" t="str" cm="1">
        <f t="array" ref="A63">IFERROR(INDEX(_xlfn.ANCHORARRAY($K$6),ROW()-5,1),"")</f>
        <v/>
      </c>
      <c r="B63" s="60" t="str">
        <f>IF($A63="","",IF($F63="DIESEL",SUMIFS(Table1[Quantity],Table1[Customer],$K$3,Table1[Date],$A63),IF($F63="PETROL",SUMIFS(Table14[Quantity],Table14[Customer],$K$3,Table14[Date],$A63),IF($F63="XtraGreen",SUMIFS(Table146[Quantity],Table146[Company],$K$3,Table146[Date],$A63),""))))</f>
        <v/>
      </c>
      <c r="C63" s="60" t="str">
        <f>IF($A63="","",IF($F63="DIESEL",AVERAGEIFS(Table1[RSP],Table1[Customer],$K$3,Table1[Date],$A63),IF($F63="PETROL",AVERAGEIFS(Table14[RSP],Table14[Customer],$K$3,Table14[Date],$A63),IF($F63="XtraGreen",AVERAGEIFS(Table146[RSP],Table146[Company],$K$3,Table146[Date],$A63),IFERROR($D63/$B63,"")))))</f>
        <v/>
      </c>
      <c r="D63" s="60" t="str">
        <f>IF($A63="","",IF($F63="DIESEL",SUMIFS(Table1[Amount],Table1[Customer],$K$3,Table1[Date],$A63),IF($F63="PETROL",SUMIFS(Table14[Amount],Table14[Customer],$K$3,Table14[Date],$A63),IF($F63="XtraGreen",SUMIFS(Table146[Amount],Table146[Company],$K$3,Table146[Date],$A63),""))))</f>
        <v/>
      </c>
      <c r="E63" s="61">
        <f>IF($A63="",0,IF(COUNTIF($A$6:$A63,$A63)=1,SUMIFS(MasterPaid[Amount Paid],MasterPaid[Customer],$K$3,MasterPaid[Date],$A63),0))</f>
        <v>0</v>
      </c>
      <c r="F63" s="62" t="str" cm="1">
        <f t="array" ref="F63">IFERROR(INDEX(_xlfn.ANCHORARRAY($K$6),ROW()-5,2),"")</f>
        <v/>
      </c>
      <c r="G63" s="57" t="str">
        <f t="shared" si="0"/>
        <v/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ht="23" x14ac:dyDescent="0.25">
      <c r="A64" s="59" t="str" cm="1">
        <f t="array" ref="A64">IFERROR(INDEX(_xlfn.ANCHORARRAY($K$6),ROW()-5,1),"")</f>
        <v/>
      </c>
      <c r="B64" s="60" t="str">
        <f>IF($A64="","",IF($F64="DIESEL",SUMIFS(Table1[Quantity],Table1[Customer],$K$3,Table1[Date],$A64),IF($F64="PETROL",SUMIFS(Table14[Quantity],Table14[Customer],$K$3,Table14[Date],$A64),IF($F64="XtraGreen",SUMIFS(Table146[Quantity],Table146[Company],$K$3,Table146[Date],$A64),""))))</f>
        <v/>
      </c>
      <c r="C64" s="60" t="str">
        <f>IF($A64="","",IF($F64="DIESEL",AVERAGEIFS(Table1[RSP],Table1[Customer],$K$3,Table1[Date],$A64),IF($F64="PETROL",AVERAGEIFS(Table14[RSP],Table14[Customer],$K$3,Table14[Date],$A64),IF($F64="XtraGreen",AVERAGEIFS(Table146[RSP],Table146[Company],$K$3,Table146[Date],$A64),IFERROR($D64/$B64,"")))))</f>
        <v/>
      </c>
      <c r="D64" s="60" t="str">
        <f>IF($A64="","",IF($F64="DIESEL",SUMIFS(Table1[Amount],Table1[Customer],$K$3,Table1[Date],$A64),IF($F64="PETROL",SUMIFS(Table14[Amount],Table14[Customer],$K$3,Table14[Date],$A64),IF($F64="XtraGreen",SUMIFS(Table146[Amount],Table146[Company],$K$3,Table146[Date],$A64),""))))</f>
        <v/>
      </c>
      <c r="E64" s="61">
        <f>IF($A64="",0,IF(COUNTIF($A$6:$A64,$A64)=1,SUMIFS(MasterPaid[Amount Paid],MasterPaid[Customer],$K$3,MasterPaid[Date],$A64),0))</f>
        <v>0</v>
      </c>
      <c r="F64" s="62" t="str" cm="1">
        <f t="array" ref="F64">IFERROR(INDEX(_xlfn.ANCHORARRAY($K$6),ROW()-5,2),"")</f>
        <v/>
      </c>
      <c r="G64" s="57" t="str">
        <f t="shared" si="0"/>
        <v/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ht="23" x14ac:dyDescent="0.25">
      <c r="A65" s="59" t="str" cm="1">
        <f t="array" ref="A65">IFERROR(INDEX(_xlfn.ANCHORARRAY($K$6),ROW()-5,1),"")</f>
        <v/>
      </c>
      <c r="B65" s="60" t="str">
        <f>IF($A65="","",IF($F65="DIESEL",SUMIFS(Table1[Quantity],Table1[Customer],$K$3,Table1[Date],$A65),IF($F65="PETROL",SUMIFS(Table14[Quantity],Table14[Customer],$K$3,Table14[Date],$A65),IF($F65="XtraGreen",SUMIFS(Table146[Quantity],Table146[Company],$K$3,Table146[Date],$A65),""))))</f>
        <v/>
      </c>
      <c r="C65" s="60" t="str">
        <f>IF($A65="","",IF($F65="DIESEL",AVERAGEIFS(Table1[RSP],Table1[Customer],$K$3,Table1[Date],$A65),IF($F65="PETROL",AVERAGEIFS(Table14[RSP],Table14[Customer],$K$3,Table14[Date],$A65),IF($F65="XtraGreen",AVERAGEIFS(Table146[RSP],Table146[Company],$K$3,Table146[Date],$A65),IFERROR($D65/$B65,"")))))</f>
        <v/>
      </c>
      <c r="D65" s="60" t="str">
        <f>IF($A65="","",IF($F65="DIESEL",SUMIFS(Table1[Amount],Table1[Customer],$K$3,Table1[Date],$A65),IF($F65="PETROL",SUMIFS(Table14[Amount],Table14[Customer],$K$3,Table14[Date],$A65),IF($F65="XtraGreen",SUMIFS(Table146[Amount],Table146[Company],$K$3,Table146[Date],$A65),""))))</f>
        <v/>
      </c>
      <c r="E65" s="61">
        <f>IF($A65="",0,IF(COUNTIF($A$6:$A65,$A65)=1,SUMIFS(MasterPaid[Amount Paid],MasterPaid[Customer],$K$3,MasterPaid[Date],$A65),0))</f>
        <v>0</v>
      </c>
      <c r="F65" s="62" t="str" cm="1">
        <f t="array" ref="F65">IFERROR(INDEX(_xlfn.ANCHORARRAY($K$6),ROW()-5,2),"")</f>
        <v/>
      </c>
      <c r="G65" s="57" t="str">
        <f t="shared" si="0"/>
        <v/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ht="23" x14ac:dyDescent="0.25">
      <c r="A66" s="59" t="str" cm="1">
        <f t="array" ref="A66">IFERROR(INDEX(_xlfn.ANCHORARRAY($K$6),ROW()-5,1),"")</f>
        <v/>
      </c>
      <c r="B66" s="60" t="str">
        <f>IF($A66="","",IF($F66="DIESEL",SUMIFS(Table1[Quantity],Table1[Customer],$K$3,Table1[Date],$A66),IF($F66="PETROL",SUMIFS(Table14[Quantity],Table14[Customer],$K$3,Table14[Date],$A66),IF($F66="XtraGreen",SUMIFS(Table146[Quantity],Table146[Company],$K$3,Table146[Date],$A66),""))))</f>
        <v/>
      </c>
      <c r="C66" s="60" t="str">
        <f>IF($A66="","",IF($F66="DIESEL",AVERAGEIFS(Table1[RSP],Table1[Customer],$K$3,Table1[Date],$A66),IF($F66="PETROL",AVERAGEIFS(Table14[RSP],Table14[Customer],$K$3,Table14[Date],$A66),IF($F66="XtraGreen",AVERAGEIFS(Table146[RSP],Table146[Company],$K$3,Table146[Date],$A66),IFERROR($D66/$B66,"")))))</f>
        <v/>
      </c>
      <c r="D66" s="60" t="str">
        <f>IF($A66="","",IF($F66="DIESEL",SUMIFS(Table1[Amount],Table1[Customer],$K$3,Table1[Date],$A66),IF($F66="PETROL",SUMIFS(Table14[Amount],Table14[Customer],$K$3,Table14[Date],$A66),IF($F66="XtraGreen",SUMIFS(Table146[Amount],Table146[Company],$K$3,Table146[Date],$A66),""))))</f>
        <v/>
      </c>
      <c r="E66" s="61">
        <f>IF($A66="",0,IF(COUNTIF($A$6:$A66,$A66)=1,SUMIFS(MasterPaid[Amount Paid],MasterPaid[Customer],$K$3,MasterPaid[Date],$A66),0))</f>
        <v>0</v>
      </c>
      <c r="F66" s="62" t="str" cm="1">
        <f t="array" ref="F66">IFERROR(INDEX(_xlfn.ANCHORARRAY($K$6),ROW()-5,2),"")</f>
        <v/>
      </c>
      <c r="G66" s="57" t="str">
        <f t="shared" si="0"/>
        <v/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ht="23" x14ac:dyDescent="0.25">
      <c r="A67" s="59" t="str" cm="1">
        <f t="array" ref="A67">IFERROR(INDEX(_xlfn.ANCHORARRAY($K$6),ROW()-5,1),"")</f>
        <v/>
      </c>
      <c r="B67" s="60" t="str">
        <f>IF($A67="","",IF($F67="DIESEL",SUMIFS(Table1[Quantity],Table1[Customer],$K$3,Table1[Date],$A67),IF($F67="PETROL",SUMIFS(Table14[Quantity],Table14[Customer],$K$3,Table14[Date],$A67),IF($F67="XtraGreen",SUMIFS(Table146[Quantity],Table146[Company],$K$3,Table146[Date],$A67),""))))</f>
        <v/>
      </c>
      <c r="C67" s="60" t="str">
        <f>IF($A67="","",IF($F67="DIESEL",AVERAGEIFS(Table1[RSP],Table1[Customer],$K$3,Table1[Date],$A67),IF($F67="PETROL",AVERAGEIFS(Table14[RSP],Table14[Customer],$K$3,Table14[Date],$A67),IF($F67="XtraGreen",AVERAGEIFS(Table146[RSP],Table146[Company],$K$3,Table146[Date],$A67),IFERROR($D67/$B67,"")))))</f>
        <v/>
      </c>
      <c r="D67" s="60" t="str">
        <f>IF($A67="","",IF($F67="DIESEL",SUMIFS(Table1[Amount],Table1[Customer],$K$3,Table1[Date],$A67),IF($F67="PETROL",SUMIFS(Table14[Amount],Table14[Customer],$K$3,Table14[Date],$A67),IF($F67="XtraGreen",SUMIFS(Table146[Amount],Table146[Company],$K$3,Table146[Date],$A67),""))))</f>
        <v/>
      </c>
      <c r="E67" s="61">
        <f>IF($A67="",0,IF(COUNTIF($A$6:$A67,$A67)=1,SUMIFS(MasterPaid[Amount Paid],MasterPaid[Customer],$K$3,MasterPaid[Date],$A67),0))</f>
        <v>0</v>
      </c>
      <c r="F67" s="62" t="str" cm="1">
        <f t="array" ref="F67">IFERROR(INDEX(_xlfn.ANCHORARRAY($K$6),ROW()-5,2),"")</f>
        <v/>
      </c>
      <c r="G67" s="57" t="str">
        <f t="shared" si="0"/>
        <v/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ht="23" x14ac:dyDescent="0.25">
      <c r="A68" s="59" t="str" cm="1">
        <f t="array" ref="A68">IFERROR(INDEX(_xlfn.ANCHORARRAY($K$6),ROW()-5,1),"")</f>
        <v/>
      </c>
      <c r="B68" s="60" t="str">
        <f>IF($A68="","",IF($F68="DIESEL",SUMIFS(Table1[Quantity],Table1[Customer],$K$3,Table1[Date],$A68),IF($F68="PETROL",SUMIFS(Table14[Quantity],Table14[Customer],$K$3,Table14[Date],$A68),IF($F68="XtraGreen",SUMIFS(Table146[Quantity],Table146[Company],$K$3,Table146[Date],$A68),""))))</f>
        <v/>
      </c>
      <c r="C68" s="60" t="str">
        <f>IF($A68="","",IF($F68="DIESEL",AVERAGEIFS(Table1[RSP],Table1[Customer],$K$3,Table1[Date],$A68),IF($F68="PETROL",AVERAGEIFS(Table14[RSP],Table14[Customer],$K$3,Table14[Date],$A68),IF($F68="XtraGreen",AVERAGEIFS(Table146[RSP],Table146[Company],$K$3,Table146[Date],$A68),IFERROR($D68/$B68,"")))))</f>
        <v/>
      </c>
      <c r="D68" s="60" t="str">
        <f>IF($A68="","",IF($F68="DIESEL",SUMIFS(Table1[Amount],Table1[Customer],$K$3,Table1[Date],$A68),IF($F68="PETROL",SUMIFS(Table14[Amount],Table14[Customer],$K$3,Table14[Date],$A68),IF($F68="XtraGreen",SUMIFS(Table146[Amount],Table146[Company],$K$3,Table146[Date],$A68),""))))</f>
        <v/>
      </c>
      <c r="E68" s="61">
        <f>IF($A68="",0,IF(COUNTIF($A$6:$A68,$A68)=1,SUMIFS(MasterPaid[Amount Paid],MasterPaid[Customer],$K$3,MasterPaid[Date],$A68),0))</f>
        <v>0</v>
      </c>
      <c r="F68" s="62" t="str" cm="1">
        <f t="array" ref="F68">IFERROR(INDEX(_xlfn.ANCHORARRAY($K$6),ROW()-5,2),"")</f>
        <v/>
      </c>
      <c r="G68" s="57" t="str">
        <f t="shared" si="0"/>
        <v/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ht="23" x14ac:dyDescent="0.25">
      <c r="A69" s="59" t="str" cm="1">
        <f t="array" ref="A69">IFERROR(INDEX(_xlfn.ANCHORARRAY($K$6),ROW()-5,1),"")</f>
        <v/>
      </c>
      <c r="B69" s="60" t="str">
        <f>IF($A69="","",IF($F69="DIESEL",SUMIFS(Table1[Quantity],Table1[Customer],$K$3,Table1[Date],$A69),IF($F69="PETROL",SUMIFS(Table14[Quantity],Table14[Customer],$K$3,Table14[Date],$A69),IF($F69="XtraGreen",SUMIFS(Table146[Quantity],Table146[Company],$K$3,Table146[Date],$A69),""))))</f>
        <v/>
      </c>
      <c r="C69" s="60" t="str">
        <f>IF($A69="","",IF($F69="DIESEL",AVERAGEIFS(Table1[RSP],Table1[Customer],$K$3,Table1[Date],$A69),IF($F69="PETROL",AVERAGEIFS(Table14[RSP],Table14[Customer],$K$3,Table14[Date],$A69),IF($F69="XtraGreen",AVERAGEIFS(Table146[RSP],Table146[Company],$K$3,Table146[Date],$A69),IFERROR($D69/$B69,"")))))</f>
        <v/>
      </c>
      <c r="D69" s="60" t="str">
        <f>IF($A69="","",IF($F69="DIESEL",SUMIFS(Table1[Amount],Table1[Customer],$K$3,Table1[Date],$A69),IF($F69="PETROL",SUMIFS(Table14[Amount],Table14[Customer],$K$3,Table14[Date],$A69),IF($F69="XtraGreen",SUMIFS(Table146[Amount],Table146[Company],$K$3,Table146[Date],$A69),""))))</f>
        <v/>
      </c>
      <c r="E69" s="61">
        <f>IF($A69="",0,IF(COUNTIF($A$6:$A69,$A69)=1,SUMIFS(MasterPaid[Amount Paid],MasterPaid[Customer],$K$3,MasterPaid[Date],$A69),0))</f>
        <v>0</v>
      </c>
      <c r="F69" s="62" t="str" cm="1">
        <f t="array" ref="F69">IFERROR(INDEX(_xlfn.ANCHORARRAY($K$6),ROW()-5,2),"")</f>
        <v/>
      </c>
      <c r="G69" s="57" t="str">
        <f t="shared" si="0"/>
        <v/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ht="23" x14ac:dyDescent="0.25">
      <c r="A70" s="59" t="str" cm="1">
        <f t="array" ref="A70">IFERROR(INDEX(_xlfn.ANCHORARRAY($K$6),ROW()-5,1),"")</f>
        <v/>
      </c>
      <c r="B70" s="60" t="str">
        <f>IF($A70="","",IF($F70="DIESEL",SUMIFS(Table1[Quantity],Table1[Customer],$K$3,Table1[Date],$A70),IF($F70="PETROL",SUMIFS(Table14[Quantity],Table14[Customer],$K$3,Table14[Date],$A70),IF($F70="XtraGreen",SUMIFS(Table146[Quantity],Table146[Company],$K$3,Table146[Date],$A70),""))))</f>
        <v/>
      </c>
      <c r="C70" s="60" t="str">
        <f>IF($A70="","",IF($F70="DIESEL",AVERAGEIFS(Table1[RSP],Table1[Customer],$K$3,Table1[Date],$A70),IF($F70="PETROL",AVERAGEIFS(Table14[RSP],Table14[Customer],$K$3,Table14[Date],$A70),IF($F70="XtraGreen",AVERAGEIFS(Table146[RSP],Table146[Company],$K$3,Table146[Date],$A70),IFERROR($D70/$B70,"")))))</f>
        <v/>
      </c>
      <c r="D70" s="60" t="str">
        <f>IF($A70="","",IF($F70="DIESEL",SUMIFS(Table1[Amount],Table1[Customer],$K$3,Table1[Date],$A70),IF($F70="PETROL",SUMIFS(Table14[Amount],Table14[Customer],$K$3,Table14[Date],$A70),IF($F70="XtraGreen",SUMIFS(Table146[Amount],Table146[Company],$K$3,Table146[Date],$A70),""))))</f>
        <v/>
      </c>
      <c r="E70" s="61">
        <f>IF($A70="",0,IF(COUNTIF($A$6:$A70,$A70)=1,SUMIFS(MasterPaid[Amount Paid],MasterPaid[Customer],$K$3,MasterPaid[Date],$A70),0))</f>
        <v>0</v>
      </c>
      <c r="F70" s="62" t="str" cm="1">
        <f t="array" ref="F70">IFERROR(INDEX(_xlfn.ANCHORARRAY($K$6),ROW()-5,2),"")</f>
        <v/>
      </c>
      <c r="G70" s="57" t="str">
        <f t="shared" si="0"/>
        <v/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ht="23" x14ac:dyDescent="0.25">
      <c r="A71" s="59" t="str" cm="1">
        <f t="array" ref="A71">IFERROR(INDEX(_xlfn.ANCHORARRAY($K$6),ROW()-5,1),"")</f>
        <v/>
      </c>
      <c r="B71" s="60" t="str">
        <f>IF($A71="","",IF($F71="DIESEL",SUMIFS(Table1[Quantity],Table1[Customer],$K$3,Table1[Date],$A71),IF($F71="PETROL",SUMIFS(Table14[Quantity],Table14[Customer],$K$3,Table14[Date],$A71),IF($F71="XtraGreen",SUMIFS(Table146[Quantity],Table146[Company],$K$3,Table146[Date],$A71),""))))</f>
        <v/>
      </c>
      <c r="C71" s="60" t="str">
        <f>IF($A71="","",IF($F71="DIESEL",AVERAGEIFS(Table1[RSP],Table1[Customer],$K$3,Table1[Date],$A71),IF($F71="PETROL",AVERAGEIFS(Table14[RSP],Table14[Customer],$K$3,Table14[Date],$A71),IF($F71="XtraGreen",AVERAGEIFS(Table146[RSP],Table146[Company],$K$3,Table146[Date],$A71),IFERROR($D71/$B71,"")))))</f>
        <v/>
      </c>
      <c r="D71" s="60" t="str">
        <f>IF($A71="","",IF($F71="DIESEL",SUMIFS(Table1[Amount],Table1[Customer],$K$3,Table1[Date],$A71),IF($F71="PETROL",SUMIFS(Table14[Amount],Table14[Customer],$K$3,Table14[Date],$A71),IF($F71="XtraGreen",SUMIFS(Table146[Amount],Table146[Company],$K$3,Table146[Date],$A71),""))))</f>
        <v/>
      </c>
      <c r="E71" s="61">
        <f>IF($A71="",0,IF(COUNTIF($A$6:$A71,$A71)=1,SUMIFS(MasterPaid[Amount Paid],MasterPaid[Customer],$K$3,MasterPaid[Date],$A71),0))</f>
        <v>0</v>
      </c>
      <c r="F71" s="62" t="str" cm="1">
        <f t="array" ref="F71">IFERROR(INDEX(_xlfn.ANCHORARRAY($K$6),ROW()-5,2),"")</f>
        <v/>
      </c>
      <c r="G71" s="57" t="str">
        <f t="shared" ref="G71:G85" si="1">IF($A71="","",G70+N(D71)-N(E71))</f>
        <v/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ht="23" x14ac:dyDescent="0.25">
      <c r="A72" s="59" t="str" cm="1">
        <f t="array" ref="A72">IFERROR(INDEX(_xlfn.ANCHORARRAY($K$6),ROW()-5,1),"")</f>
        <v/>
      </c>
      <c r="B72" s="60" t="str">
        <f>IF($A72="","",IF($F72="DIESEL",SUMIFS(Table1[Quantity],Table1[Customer],$K$3,Table1[Date],$A72),IF($F72="PETROL",SUMIFS(Table14[Quantity],Table14[Customer],$K$3,Table14[Date],$A72),IF($F72="XtraGreen",SUMIFS(Table146[Quantity],Table146[Company],$K$3,Table146[Date],$A72),""))))</f>
        <v/>
      </c>
      <c r="C72" s="60" t="str">
        <f>IF($A72="","",IF($F72="DIESEL",AVERAGEIFS(Table1[RSP],Table1[Customer],$K$3,Table1[Date],$A72),IF($F72="PETROL",AVERAGEIFS(Table14[RSP],Table14[Customer],$K$3,Table14[Date],$A72),IF($F72="XtraGreen",AVERAGEIFS(Table146[RSP],Table146[Company],$K$3,Table146[Date],$A72),IFERROR($D72/$B72,"")))))</f>
        <v/>
      </c>
      <c r="D72" s="60" t="str">
        <f>IF($A72="","",IF($F72="DIESEL",SUMIFS(Table1[Amount],Table1[Customer],$K$3,Table1[Date],$A72),IF($F72="PETROL",SUMIFS(Table14[Amount],Table14[Customer],$K$3,Table14[Date],$A72),IF($F72="XtraGreen",SUMIFS(Table146[Amount],Table146[Company],$K$3,Table146[Date],$A72),""))))</f>
        <v/>
      </c>
      <c r="E72" s="61">
        <f>IF($A72="",0,IF(COUNTIF($A$6:$A72,$A72)=1,SUMIFS(MasterPaid[Amount Paid],MasterPaid[Customer],$K$3,MasterPaid[Date],$A72),0))</f>
        <v>0</v>
      </c>
      <c r="F72" s="62" t="str" cm="1">
        <f t="array" ref="F72">IFERROR(INDEX(_xlfn.ANCHORARRAY($K$6),ROW()-5,2),"")</f>
        <v/>
      </c>
      <c r="G72" s="57" t="str">
        <f t="shared" si="1"/>
        <v/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ht="23" x14ac:dyDescent="0.25">
      <c r="A73" s="59" t="str" cm="1">
        <f t="array" ref="A73">IFERROR(INDEX(_xlfn.ANCHORARRAY($K$6),ROW()-5,1),"")</f>
        <v/>
      </c>
      <c r="B73" s="60" t="str">
        <f>IF($A73="","",IF($F73="DIESEL",SUMIFS(Table1[Quantity],Table1[Customer],$K$3,Table1[Date],$A73),IF($F73="PETROL",SUMIFS(Table14[Quantity],Table14[Customer],$K$3,Table14[Date],$A73),IF($F73="XtraGreen",SUMIFS(Table146[Quantity],Table146[Company],$K$3,Table146[Date],$A73),""))))</f>
        <v/>
      </c>
      <c r="C73" s="60" t="str">
        <f>IF($A73="","",IF($F73="DIESEL",AVERAGEIFS(Table1[RSP],Table1[Customer],$K$3,Table1[Date],$A73),IF($F73="PETROL",AVERAGEIFS(Table14[RSP],Table14[Customer],$K$3,Table14[Date],$A73),IF($F73="XtraGreen",AVERAGEIFS(Table146[RSP],Table146[Company],$K$3,Table146[Date],$A73),IFERROR($D73/$B73,"")))))</f>
        <v/>
      </c>
      <c r="D73" s="60" t="str">
        <f>IF($A73="","",IF($F73="DIESEL",SUMIFS(Table1[Amount],Table1[Customer],$K$3,Table1[Date],$A73),IF($F73="PETROL",SUMIFS(Table14[Amount],Table14[Customer],$K$3,Table14[Date],$A73),IF($F73="XtraGreen",SUMIFS(Table146[Amount],Table146[Company],$K$3,Table146[Date],$A73),""))))</f>
        <v/>
      </c>
      <c r="E73" s="61">
        <f>IF($A73="",0,IF(COUNTIF($A$6:$A73,$A73)=1,SUMIFS(MasterPaid[Amount Paid],MasterPaid[Customer],$K$3,MasterPaid[Date],$A73),0))</f>
        <v>0</v>
      </c>
      <c r="F73" s="62" t="str" cm="1">
        <f t="array" ref="F73">IFERROR(INDEX(_xlfn.ANCHORARRAY($K$6),ROW()-5,2),"")</f>
        <v/>
      </c>
      <c r="G73" s="57" t="str">
        <f t="shared" si="1"/>
        <v/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ht="23" x14ac:dyDescent="0.25">
      <c r="A74" s="59" t="str" cm="1">
        <f t="array" ref="A74">IFERROR(INDEX(_xlfn.ANCHORARRAY($K$6),ROW()-5,1),"")</f>
        <v/>
      </c>
      <c r="B74" s="60" t="str">
        <f>IF($A74="","",IF($F74="DIESEL",SUMIFS(Table1[Quantity],Table1[Customer],$K$3,Table1[Date],$A74),IF($F74="PETROL",SUMIFS(Table14[Quantity],Table14[Customer],$K$3,Table14[Date],$A74),IF($F74="XtraGreen",SUMIFS(Table146[Quantity],Table146[Company],$K$3,Table146[Date],$A74),""))))</f>
        <v/>
      </c>
      <c r="C74" s="60" t="str">
        <f>IF($A74="","",IF($F74="DIESEL",AVERAGEIFS(Table1[RSP],Table1[Customer],$K$3,Table1[Date],$A74),IF($F74="PETROL",AVERAGEIFS(Table14[RSP],Table14[Customer],$K$3,Table14[Date],$A74),IF($F74="XtraGreen",AVERAGEIFS(Table146[RSP],Table146[Company],$K$3,Table146[Date],$A74),IFERROR($D74/$B74,"")))))</f>
        <v/>
      </c>
      <c r="D74" s="60" t="str">
        <f>IF($A74="","",IF($F74="DIESEL",SUMIFS(Table1[Amount],Table1[Customer],$K$3,Table1[Date],$A74),IF($F74="PETROL",SUMIFS(Table14[Amount],Table14[Customer],$K$3,Table14[Date],$A74),IF($F74="XtraGreen",SUMIFS(Table146[Amount],Table146[Company],$K$3,Table146[Date],$A74),""))))</f>
        <v/>
      </c>
      <c r="E74" s="61">
        <f>IF($A74="",0,IF(COUNTIF($A$6:$A74,$A74)=1,SUMIFS(MasterPaid[Amount Paid],MasterPaid[Customer],$K$3,MasterPaid[Date],$A74),0))</f>
        <v>0</v>
      </c>
      <c r="F74" s="62" t="str" cm="1">
        <f t="array" ref="F74">IFERROR(INDEX(_xlfn.ANCHORARRAY($K$6),ROW()-5,2),"")</f>
        <v/>
      </c>
      <c r="G74" s="57" t="str">
        <f t="shared" si="1"/>
        <v/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ht="23" x14ac:dyDescent="0.25">
      <c r="A75" s="59" t="str" cm="1">
        <f t="array" ref="A75">IFERROR(INDEX(_xlfn.ANCHORARRAY($K$6),ROW()-5,1),"")</f>
        <v/>
      </c>
      <c r="B75" s="60" t="str">
        <f>IF($A75="","",IF($F75="DIESEL",SUMIFS(Table1[Quantity],Table1[Customer],$K$3,Table1[Date],$A75),IF($F75="PETROL",SUMIFS(Table14[Quantity],Table14[Customer],$K$3,Table14[Date],$A75),IF($F75="XtraGreen",SUMIFS(Table146[Quantity],Table146[Company],$K$3,Table146[Date],$A75),""))))</f>
        <v/>
      </c>
      <c r="C75" s="60" t="str">
        <f>IF($A75="","",IF($F75="DIESEL",AVERAGEIFS(Table1[RSP],Table1[Customer],$K$3,Table1[Date],$A75),IF($F75="PETROL",AVERAGEIFS(Table14[RSP],Table14[Customer],$K$3,Table14[Date],$A75),IF($F75="XtraGreen",AVERAGEIFS(Table146[RSP],Table146[Company],$K$3,Table146[Date],$A75),IFERROR($D75/$B75,"")))))</f>
        <v/>
      </c>
      <c r="D75" s="60" t="str">
        <f>IF($A75="","",IF($F75="DIESEL",SUMIFS(Table1[Amount],Table1[Customer],$K$3,Table1[Date],$A75),IF($F75="PETROL",SUMIFS(Table14[Amount],Table14[Customer],$K$3,Table14[Date],$A75),IF($F75="XtraGreen",SUMIFS(Table146[Amount],Table146[Company],$K$3,Table146[Date],$A75),""))))</f>
        <v/>
      </c>
      <c r="E75" s="61">
        <f>IF($A75="",0,IF(COUNTIF($A$6:$A75,$A75)=1,SUMIFS(MasterPaid[Amount Paid],MasterPaid[Customer],$K$3,MasterPaid[Date],$A75),0))</f>
        <v>0</v>
      </c>
      <c r="F75" s="62" t="str" cm="1">
        <f t="array" ref="F75">IFERROR(INDEX(_xlfn.ANCHORARRAY($K$6),ROW()-5,2),"")</f>
        <v/>
      </c>
      <c r="G75" s="57" t="str">
        <f t="shared" si="1"/>
        <v/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ht="23" x14ac:dyDescent="0.25">
      <c r="A76" s="59" t="str" cm="1">
        <f t="array" ref="A76">IFERROR(INDEX(_xlfn.ANCHORARRAY($K$6),ROW()-5,1),"")</f>
        <v/>
      </c>
      <c r="B76" s="60" t="str">
        <f>IF($A76="","",IF($F76="DIESEL",SUMIFS(Table1[Quantity],Table1[Customer],$K$3,Table1[Date],$A76),IF($F76="PETROL",SUMIFS(Table14[Quantity],Table14[Customer],$K$3,Table14[Date],$A76),IF($F76="XtraGreen",SUMIFS(Table146[Quantity],Table146[Company],$K$3,Table146[Date],$A76),""))))</f>
        <v/>
      </c>
      <c r="C76" s="60" t="str">
        <f>IF($A76="","",IF($F76="DIESEL",AVERAGEIFS(Table1[RSP],Table1[Customer],$K$3,Table1[Date],$A76),IF($F76="PETROL",AVERAGEIFS(Table14[RSP],Table14[Customer],$K$3,Table14[Date],$A76),IF($F76="XtraGreen",AVERAGEIFS(Table146[RSP],Table146[Company],$K$3,Table146[Date],$A76),IFERROR($D76/$B76,"")))))</f>
        <v/>
      </c>
      <c r="D76" s="60" t="str">
        <f>IF($A76="","",IF($F76="DIESEL",SUMIFS(Table1[Amount],Table1[Customer],$K$3,Table1[Date],$A76),IF($F76="PETROL",SUMIFS(Table14[Amount],Table14[Customer],$K$3,Table14[Date],$A76),IF($F76="XtraGreen",SUMIFS(Table146[Amount],Table146[Company],$K$3,Table146[Date],$A76),""))))</f>
        <v/>
      </c>
      <c r="E76" s="61">
        <f>IF($A76="",0,IF(COUNTIF($A$6:$A76,$A76)=1,SUMIFS(MasterPaid[Amount Paid],MasterPaid[Customer],$K$3,MasterPaid[Date],$A76),0))</f>
        <v>0</v>
      </c>
      <c r="F76" s="62" t="str" cm="1">
        <f t="array" ref="F76">IFERROR(INDEX(_xlfn.ANCHORARRAY($K$6),ROW()-5,2),"")</f>
        <v/>
      </c>
      <c r="G76" s="57" t="str">
        <f t="shared" si="1"/>
        <v/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ht="23" x14ac:dyDescent="0.25">
      <c r="A77" s="59" t="str" cm="1">
        <f t="array" ref="A77">IFERROR(INDEX(_xlfn.ANCHORARRAY($K$6),ROW()-5,1),"")</f>
        <v/>
      </c>
      <c r="B77" s="60" t="str">
        <f>IF($A77="","",IF($F77="DIESEL",SUMIFS(Table1[Quantity],Table1[Customer],$K$3,Table1[Date],$A77),IF($F77="PETROL",SUMIFS(Table14[Quantity],Table14[Customer],$K$3,Table14[Date],$A77),IF($F77="XtraGreen",SUMIFS(Table146[Quantity],Table146[Company],$K$3,Table146[Date],$A77),""))))</f>
        <v/>
      </c>
      <c r="C77" s="60" t="str">
        <f>IF($A77="","",IF($F77="DIESEL",AVERAGEIFS(Table1[RSP],Table1[Customer],$K$3,Table1[Date],$A77),IF($F77="PETROL",AVERAGEIFS(Table14[RSP],Table14[Customer],$K$3,Table14[Date],$A77),IF($F77="XtraGreen",AVERAGEIFS(Table146[RSP],Table146[Company],$K$3,Table146[Date],$A77),IFERROR($D77/$B77,"")))))</f>
        <v/>
      </c>
      <c r="D77" s="60" t="str">
        <f>IF($A77="","",IF($F77="DIESEL",SUMIFS(Table1[Amount],Table1[Customer],$K$3,Table1[Date],$A77),IF($F77="PETROL",SUMIFS(Table14[Amount],Table14[Customer],$K$3,Table14[Date],$A77),IF($F77="XtraGreen",SUMIFS(Table146[Amount],Table146[Company],$K$3,Table146[Date],$A77),""))))</f>
        <v/>
      </c>
      <c r="E77" s="61">
        <f>IF($A77="",0,IF(COUNTIF($A$6:$A77,$A77)=1,SUMIFS(MasterPaid[Amount Paid],MasterPaid[Customer],$K$3,MasterPaid[Date],$A77),0))</f>
        <v>0</v>
      </c>
      <c r="F77" s="62" t="str" cm="1">
        <f t="array" ref="F77">IFERROR(INDEX(_xlfn.ANCHORARRAY($K$6),ROW()-5,2),"")</f>
        <v/>
      </c>
      <c r="G77" s="57" t="str">
        <f t="shared" si="1"/>
        <v/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ht="23" x14ac:dyDescent="0.25">
      <c r="A78" s="59" t="str" cm="1">
        <f t="array" ref="A78">IFERROR(INDEX(_xlfn.ANCHORARRAY($K$6),ROW()-5,1),"")</f>
        <v/>
      </c>
      <c r="B78" s="60" t="str">
        <f>IF($A78="","",IF($F78="DIESEL",SUMIFS(Table1[Quantity],Table1[Customer],$K$3,Table1[Date],$A78),IF($F78="PETROL",SUMIFS(Table14[Quantity],Table14[Customer],$K$3,Table14[Date],$A78),IF($F78="XtraGreen",SUMIFS(Table146[Quantity],Table146[Company],$K$3,Table146[Date],$A78),""))))</f>
        <v/>
      </c>
      <c r="C78" s="60" t="str">
        <f>IF($A78="","",IF($F78="DIESEL",AVERAGEIFS(Table1[RSP],Table1[Customer],$K$3,Table1[Date],$A78),IF($F78="PETROL",AVERAGEIFS(Table14[RSP],Table14[Customer],$K$3,Table14[Date],$A78),IF($F78="XtraGreen",AVERAGEIFS(Table146[RSP],Table146[Company],$K$3,Table146[Date],$A78),IFERROR($D78/$B78,"")))))</f>
        <v/>
      </c>
      <c r="D78" s="60" t="str">
        <f>IF($A78="","",IF($F78="DIESEL",SUMIFS(Table1[Amount],Table1[Customer],$K$3,Table1[Date],$A78),IF($F78="PETROL",SUMIFS(Table14[Amount],Table14[Customer],$K$3,Table14[Date],$A78),IF($F78="XtraGreen",SUMIFS(Table146[Amount],Table146[Company],$K$3,Table146[Date],$A78),""))))</f>
        <v/>
      </c>
      <c r="E78" s="61">
        <f>IF($A78="",0,IF(COUNTIF($A$6:$A78,$A78)=1,SUMIFS(MasterPaid[Amount Paid],MasterPaid[Customer],$K$3,MasterPaid[Date],$A78),0))</f>
        <v>0</v>
      </c>
      <c r="F78" s="62" t="str" cm="1">
        <f t="array" ref="F78">IFERROR(INDEX(_xlfn.ANCHORARRAY($K$6),ROW()-5,2),"")</f>
        <v/>
      </c>
      <c r="G78" s="57" t="str">
        <f t="shared" si="1"/>
        <v/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ht="23" x14ac:dyDescent="0.25">
      <c r="A79" s="59" t="str" cm="1">
        <f t="array" ref="A79">IFERROR(INDEX(_xlfn.ANCHORARRAY($K$6),ROW()-5,1),"")</f>
        <v/>
      </c>
      <c r="B79" s="60" t="str">
        <f>IF($A79="","",IF($F79="DIESEL",SUMIFS(Table1[Quantity],Table1[Customer],$K$3,Table1[Date],$A79),IF($F79="PETROL",SUMIFS(Table14[Quantity],Table14[Customer],$K$3,Table14[Date],$A79),IF($F79="XtraGreen",SUMIFS(Table146[Quantity],Table146[Company],$K$3,Table146[Date],$A79),""))))</f>
        <v/>
      </c>
      <c r="C79" s="60" t="str">
        <f>IF($A79="","",IF($F79="DIESEL",AVERAGEIFS(Table1[RSP],Table1[Customer],$K$3,Table1[Date],$A79),IF($F79="PETROL",AVERAGEIFS(Table14[RSP],Table14[Customer],$K$3,Table14[Date],$A79),IF($F79="XtraGreen",AVERAGEIFS(Table146[RSP],Table146[Company],$K$3,Table146[Date],$A79),IFERROR($D79/$B79,"")))))</f>
        <v/>
      </c>
      <c r="D79" s="60" t="str">
        <f>IF($A79="","",IF($F79="DIESEL",SUMIFS(Table1[Amount],Table1[Customer],$K$3,Table1[Date],$A79),IF($F79="PETROL",SUMIFS(Table14[Amount],Table14[Customer],$K$3,Table14[Date],$A79),IF($F79="XtraGreen",SUMIFS(Table146[Amount],Table146[Company],$K$3,Table146[Date],$A79),""))))</f>
        <v/>
      </c>
      <c r="E79" s="61">
        <f>IF($A79="",0,IF(COUNTIF($A$6:$A79,$A79)=1,SUMIFS(MasterPaid[Amount Paid],MasterPaid[Customer],$K$3,MasterPaid[Date],$A79),0))</f>
        <v>0</v>
      </c>
      <c r="F79" s="62" t="str" cm="1">
        <f t="array" ref="F79">IFERROR(INDEX(_xlfn.ANCHORARRAY($K$6),ROW()-5,2),"")</f>
        <v/>
      </c>
      <c r="G79" s="57" t="str">
        <f t="shared" si="1"/>
        <v/>
      </c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ht="23" x14ac:dyDescent="0.25">
      <c r="A80" s="59" t="str" cm="1">
        <f t="array" ref="A80">IFERROR(INDEX(_xlfn.ANCHORARRAY($K$6),ROW()-5,1),"")</f>
        <v/>
      </c>
      <c r="B80" s="60" t="str">
        <f>IF($A80="","",IF($F80="DIESEL",SUMIFS(Table1[Quantity],Table1[Customer],$K$3,Table1[Date],$A80),IF($F80="PETROL",SUMIFS(Table14[Quantity],Table14[Customer],$K$3,Table14[Date],$A80),IF($F80="XtraGreen",SUMIFS(Table146[Quantity],Table146[Company],$K$3,Table146[Date],$A80),""))))</f>
        <v/>
      </c>
      <c r="C80" s="60" t="str">
        <f>IF($A80="","",IF($F80="DIESEL",AVERAGEIFS(Table1[RSP],Table1[Customer],$K$3,Table1[Date],$A80),IF($F80="PETROL",AVERAGEIFS(Table14[RSP],Table14[Customer],$K$3,Table14[Date],$A80),IF($F80="XtraGreen",AVERAGEIFS(Table146[RSP],Table146[Company],$K$3,Table146[Date],$A80),IFERROR($D80/$B80,"")))))</f>
        <v/>
      </c>
      <c r="D80" s="60" t="str">
        <f>IF($A80="","",IF($F80="DIESEL",SUMIFS(Table1[Amount],Table1[Customer],$K$3,Table1[Date],$A80),IF($F80="PETROL",SUMIFS(Table14[Amount],Table14[Customer],$K$3,Table14[Date],$A80),IF($F80="XtraGreen",SUMIFS(Table146[Amount],Table146[Company],$K$3,Table146[Date],$A80),""))))</f>
        <v/>
      </c>
      <c r="E80" s="61">
        <f>IF($A80="",0,IF(COUNTIF($A$6:$A80,$A80)=1,SUMIFS(MasterPaid[Amount Paid],MasterPaid[Customer],$K$3,MasterPaid[Date],$A80),0))</f>
        <v>0</v>
      </c>
      <c r="F80" s="62" t="str" cm="1">
        <f t="array" ref="F80">IFERROR(INDEX(_xlfn.ANCHORARRAY($K$6),ROW()-5,2),"")</f>
        <v/>
      </c>
      <c r="G80" s="57" t="str">
        <f t="shared" si="1"/>
        <v/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ht="23" x14ac:dyDescent="0.25">
      <c r="A81" s="59" t="str" cm="1">
        <f t="array" ref="A81">IFERROR(INDEX(_xlfn.ANCHORARRAY($K$6),ROW()-5,1),"")</f>
        <v/>
      </c>
      <c r="B81" s="60" t="str">
        <f>IF($A81="","",IF($F81="DIESEL",SUMIFS(Table1[Quantity],Table1[Customer],$K$3,Table1[Date],$A81),IF($F81="PETROL",SUMIFS(Table14[Quantity],Table14[Customer],$K$3,Table14[Date],$A81),IF($F81="XtraGreen",SUMIFS(Table146[Quantity],Table146[Company],$K$3,Table146[Date],$A81),""))))</f>
        <v/>
      </c>
      <c r="C81" s="60" t="str">
        <f>IF($A81="","",IF($F81="DIESEL",AVERAGEIFS(Table1[RSP],Table1[Customer],$K$3,Table1[Date],$A81),IF($F81="PETROL",AVERAGEIFS(Table14[RSP],Table14[Customer],$K$3,Table14[Date],$A81),IF($F81="XtraGreen",AVERAGEIFS(Table146[RSP],Table146[Company],$K$3,Table146[Date],$A81),IFERROR($D81/$B81,"")))))</f>
        <v/>
      </c>
      <c r="D81" s="60" t="str">
        <f>IF($A81="","",IF($F81="DIESEL",SUMIFS(Table1[Amount],Table1[Customer],$K$3,Table1[Date],$A81),IF($F81="PETROL",SUMIFS(Table14[Amount],Table14[Customer],$K$3,Table14[Date],$A81),IF($F81="XtraGreen",SUMIFS(Table146[Amount],Table146[Company],$K$3,Table146[Date],$A81),""))))</f>
        <v/>
      </c>
      <c r="E81" s="61">
        <f>IF($A81="",0,IF(COUNTIF($A$6:$A81,$A81)=1,SUMIFS(MasterPaid[Amount Paid],MasterPaid[Customer],$K$3,MasterPaid[Date],$A81),0))</f>
        <v>0</v>
      </c>
      <c r="F81" s="62" t="str" cm="1">
        <f t="array" ref="F81">IFERROR(INDEX(_xlfn.ANCHORARRAY($K$6),ROW()-5,2),"")</f>
        <v/>
      </c>
      <c r="G81" s="57" t="str">
        <f t="shared" si="1"/>
        <v/>
      </c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ht="23" x14ac:dyDescent="0.25">
      <c r="A82" s="59" t="str" cm="1">
        <f t="array" ref="A82">IFERROR(INDEX(_xlfn.ANCHORARRAY($K$6),ROW()-5,1),"")</f>
        <v/>
      </c>
      <c r="B82" s="60" t="str">
        <f>IF($A82="","",IF($F82="DIESEL",SUMIFS(Table1[Quantity],Table1[Customer],$K$3,Table1[Date],$A82),IF($F82="PETROL",SUMIFS(Table14[Quantity],Table14[Customer],$K$3,Table14[Date],$A82),IF($F82="XtraGreen",SUMIFS(Table146[Quantity],Table146[Company],$K$3,Table146[Date],$A82),""))))</f>
        <v/>
      </c>
      <c r="C82" s="60" t="str">
        <f>IF($A82="","",IF($F82="DIESEL",AVERAGEIFS(Table1[RSP],Table1[Customer],$K$3,Table1[Date],$A82),IF($F82="PETROL",AVERAGEIFS(Table14[RSP],Table14[Customer],$K$3,Table14[Date],$A82),IF($F82="XtraGreen",AVERAGEIFS(Table146[RSP],Table146[Company],$K$3,Table146[Date],$A82),IFERROR($D82/$B82,"")))))</f>
        <v/>
      </c>
      <c r="D82" s="60" t="str">
        <f>IF($A82="","",IF($F82="DIESEL",SUMIFS(Table1[Amount],Table1[Customer],$K$3,Table1[Date],$A82),IF($F82="PETROL",SUMIFS(Table14[Amount],Table14[Customer],$K$3,Table14[Date],$A82),IF($F82="XtraGreen",SUMIFS(Table146[Amount],Table146[Company],$K$3,Table146[Date],$A82),""))))</f>
        <v/>
      </c>
      <c r="E82" s="61">
        <f>IF($A82="",0,IF(COUNTIF($A$6:$A82,$A82)=1,SUMIFS(MasterPaid[Amount Paid],MasterPaid[Customer],$K$3,MasterPaid[Date],$A82),0))</f>
        <v>0</v>
      </c>
      <c r="F82" s="62" t="str" cm="1">
        <f t="array" ref="F82">IFERROR(INDEX(_xlfn.ANCHORARRAY($K$6),ROW()-5,2),"")</f>
        <v/>
      </c>
      <c r="G82" s="57" t="str">
        <f t="shared" si="1"/>
        <v/>
      </c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ht="23" x14ac:dyDescent="0.25">
      <c r="A83" s="59" t="str" cm="1">
        <f t="array" ref="A83">IFERROR(INDEX(_xlfn.ANCHORARRAY($K$6),ROW()-5,1),"")</f>
        <v/>
      </c>
      <c r="B83" s="60" t="str">
        <f>IF($A83="","",IF($F83="DIESEL",SUMIFS(Table1[Quantity],Table1[Customer],$K$3,Table1[Date],$A83),IF($F83="PETROL",SUMIFS(Table14[Quantity],Table14[Customer],$K$3,Table14[Date],$A83),IF($F83="XtraGreen",SUMIFS(Table146[Quantity],Table146[Company],$K$3,Table146[Date],$A83),""))))</f>
        <v/>
      </c>
      <c r="C83" s="60" t="str">
        <f>IF($A83="","",IF($F83="DIESEL",AVERAGEIFS(Table1[RSP],Table1[Customer],$K$3,Table1[Date],$A83),IF($F83="PETROL",AVERAGEIFS(Table14[RSP],Table14[Customer],$K$3,Table14[Date],$A83),IF($F83="XtraGreen",AVERAGEIFS(Table146[RSP],Table146[Company],$K$3,Table146[Date],$A83),IFERROR($D83/$B83,"")))))</f>
        <v/>
      </c>
      <c r="D83" s="60" t="str">
        <f>IF($A83="","",IF($F83="DIESEL",SUMIFS(Table1[Amount],Table1[Customer],$K$3,Table1[Date],$A83),IF($F83="PETROL",SUMIFS(Table14[Amount],Table14[Customer],$K$3,Table14[Date],$A83),IF($F83="XtraGreen",SUMIFS(Table146[Amount],Table146[Company],$K$3,Table146[Date],$A83),""))))</f>
        <v/>
      </c>
      <c r="E83" s="61">
        <f>IF($A83="",0,IF(COUNTIF($A$6:$A83,$A83)=1,SUMIFS(MasterPaid[Amount Paid],MasterPaid[Customer],$K$3,MasterPaid[Date],$A83),0))</f>
        <v>0</v>
      </c>
      <c r="F83" s="62" t="str" cm="1">
        <f t="array" ref="F83">IFERROR(INDEX(_xlfn.ANCHORARRAY($K$6),ROW()-5,2),"")</f>
        <v/>
      </c>
      <c r="G83" s="57" t="str">
        <f t="shared" si="1"/>
        <v/>
      </c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ht="23" x14ac:dyDescent="0.25">
      <c r="A84" s="59" t="str" cm="1">
        <f t="array" ref="A84">IFERROR(INDEX(_xlfn.ANCHORARRAY($K$6),ROW()-5,1),"")</f>
        <v/>
      </c>
      <c r="B84" s="60" t="str">
        <f>IF($A84="","",IF($F84="DIESEL",SUMIFS(Table1[Quantity],Table1[Customer],$K$3,Table1[Date],$A84),IF($F84="PETROL",SUMIFS(Table14[Quantity],Table14[Customer],$K$3,Table14[Date],$A84),IF($F84="XtraGreen",SUMIFS(Table146[Quantity],Table146[Company],$K$3,Table146[Date],$A84),""))))</f>
        <v/>
      </c>
      <c r="C84" s="60" t="str">
        <f>IF($A84="","",IF($F84="DIESEL",AVERAGEIFS(Table1[RSP],Table1[Customer],$K$3,Table1[Date],$A84),IF($F84="PETROL",AVERAGEIFS(Table14[RSP],Table14[Customer],$K$3,Table14[Date],$A84),IF($F84="XtraGreen",AVERAGEIFS(Table146[RSP],Table146[Company],$K$3,Table146[Date],$A84),IFERROR($D84/$B84,"")))))</f>
        <v/>
      </c>
      <c r="D84" s="60" t="str">
        <f>IF($A84="","",IF($F84="DIESEL",SUMIFS(Table1[Amount],Table1[Customer],$K$3,Table1[Date],$A84),IF($F84="PETROL",SUMIFS(Table14[Amount],Table14[Customer],$K$3,Table14[Date],$A84),IF($F84="XtraGreen",SUMIFS(Table146[Amount],Table146[Company],$K$3,Table146[Date],$A84),""))))</f>
        <v/>
      </c>
      <c r="E84" s="61">
        <f>IF($A84="",0,IF(COUNTIF($A$6:$A84,$A84)=1,SUMIFS(MasterPaid[Amount Paid],MasterPaid[Customer],$K$3,MasterPaid[Date],$A84),0))</f>
        <v>0</v>
      </c>
      <c r="F84" s="62" t="str" cm="1">
        <f t="array" ref="F84">IFERROR(INDEX(_xlfn.ANCHORARRAY($K$6),ROW()-5,2),"")</f>
        <v/>
      </c>
      <c r="G84" s="57" t="str">
        <f t="shared" si="1"/>
        <v/>
      </c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ht="23" x14ac:dyDescent="0.25">
      <c r="A85" s="59" t="str" cm="1">
        <f t="array" ref="A85">IFERROR(INDEX(_xlfn.ANCHORARRAY($K$6),ROW()-5,1),"")</f>
        <v/>
      </c>
      <c r="B85" s="60" t="str">
        <f>IF($A85="","",IF($F85="DIESEL",SUMIFS(Table1[Quantity],Table1[Customer],$K$3,Table1[Date],$A85),IF($F85="PETROL",SUMIFS(Table14[Quantity],Table14[Customer],$K$3,Table14[Date],$A85),IF($F85="XtraGreen",SUMIFS(Table146[Quantity],Table146[Company],$K$3,Table146[Date],$A85),""))))</f>
        <v/>
      </c>
      <c r="C85" s="60" t="str">
        <f>IF($A85="","",IF($F85="DIESEL",AVERAGEIFS(Table1[RSP],Table1[Customer],$K$3,Table1[Date],$A85),IF($F85="PETROL",AVERAGEIFS(Table14[RSP],Table14[Customer],$K$3,Table14[Date],$A85),IF($F85="XtraGreen",AVERAGEIFS(Table146[RSP],Table146[Company],$K$3,Table146[Date],$A85),IFERROR($D85/$B85,"")))))</f>
        <v/>
      </c>
      <c r="D85" s="60" t="str">
        <f>IF($A85="","",IF($F85="DIESEL",SUMIFS(Table1[Amount],Table1[Customer],$K$3,Table1[Date],$A85),IF($F85="PETROL",SUMIFS(Table14[Amount],Table14[Customer],$K$3,Table14[Date],$A85),IF($F85="XtraGreen",SUMIFS(Table146[Amount],Table146[Company],$K$3,Table146[Date],$A85),""))))</f>
        <v/>
      </c>
      <c r="E85" s="61">
        <f>IF($A85="",0,IF(COUNTIF($A$6:$A85,$A85)=1,SUMIFS(MasterPaid[Amount Paid],MasterPaid[Customer],$K$3,MasterPaid[Date],$A85),0))</f>
        <v>0</v>
      </c>
      <c r="F85" s="62" t="str" cm="1">
        <f t="array" ref="F85">IFERROR(INDEX(_xlfn.ANCHORARRAY($K$6),ROW()-5,2),"")</f>
        <v/>
      </c>
      <c r="G85" s="57" t="str">
        <f t="shared" si="1"/>
        <v/>
      </c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">
      <c r="B86" s="7"/>
      <c r="C86" s="7"/>
      <c r="D86" s="7"/>
      <c r="E86" s="8"/>
      <c r="G86" s="10"/>
    </row>
    <row r="87" spans="1:24" x14ac:dyDescent="0.2">
      <c r="B87" s="7"/>
      <c r="C87" s="7"/>
      <c r="D87" s="7"/>
      <c r="E87" s="8"/>
      <c r="G87" s="10"/>
    </row>
    <row r="88" spans="1:24" x14ac:dyDescent="0.2">
      <c r="B88" s="7"/>
      <c r="C88" s="7"/>
      <c r="D88" s="7"/>
      <c r="E88" s="8"/>
      <c r="G88" s="10"/>
    </row>
    <row r="89" spans="1:24" x14ac:dyDescent="0.2">
      <c r="B89" s="7"/>
      <c r="C89" s="7"/>
      <c r="D89" s="7"/>
      <c r="E89" s="8"/>
      <c r="G89" s="10"/>
    </row>
    <row r="90" spans="1:24" x14ac:dyDescent="0.2">
      <c r="B90" s="7"/>
      <c r="C90" s="7"/>
      <c r="D90" s="7"/>
      <c r="E90" s="8"/>
      <c r="G90" s="10"/>
    </row>
    <row r="91" spans="1:24" x14ac:dyDescent="0.2">
      <c r="B91" s="7"/>
      <c r="C91" s="7"/>
      <c r="D91" s="7"/>
      <c r="E91" s="8"/>
      <c r="G91" s="10"/>
    </row>
    <row r="92" spans="1:24" x14ac:dyDescent="0.2">
      <c r="B92" s="7"/>
      <c r="C92" s="7"/>
      <c r="D92" s="7"/>
      <c r="E92" s="8"/>
      <c r="G92" s="10"/>
    </row>
    <row r="93" spans="1:24" x14ac:dyDescent="0.2">
      <c r="B93" s="7"/>
      <c r="C93" s="7"/>
      <c r="D93" s="7"/>
      <c r="E93" s="9"/>
      <c r="G93" s="10"/>
    </row>
    <row r="94" spans="1:24" x14ac:dyDescent="0.2">
      <c r="B94" s="7"/>
      <c r="C94" s="7"/>
      <c r="D94" s="7"/>
      <c r="E94" s="9"/>
      <c r="G94" s="10"/>
    </row>
    <row r="95" spans="1:24" x14ac:dyDescent="0.2">
      <c r="B95" s="7"/>
      <c r="C95" s="7"/>
      <c r="D95" s="7"/>
      <c r="E95" s="9"/>
      <c r="G95" s="10"/>
    </row>
  </sheetData>
  <sheetProtection sheet="1" objects="1" scenarios="1"/>
  <mergeCells count="3">
    <mergeCell ref="A1:G1"/>
    <mergeCell ref="A2:G2"/>
    <mergeCell ref="A3:G3"/>
  </mergeCells>
  <conditionalFormatting sqref="A6:A60">
    <cfRule type="expression" dxfId="9" priority="14">
      <formula>AND($A6&lt;&gt;"",$A6=$A5)</formula>
    </cfRule>
  </conditionalFormatting>
  <conditionalFormatting sqref="A6:A85">
    <cfRule type="expression" dxfId="8" priority="10">
      <formula>$A6=$A5</formula>
    </cfRule>
  </conditionalFormatting>
  <conditionalFormatting sqref="B5:D92">
    <cfRule type="expression" dxfId="7" priority="3">
      <formula>$F5="PETROL"</formula>
    </cfRule>
  </conditionalFormatting>
  <conditionalFormatting sqref="B5:D95">
    <cfRule type="expression" dxfId="6" priority="5">
      <formula>AND(ISNUMBER(B5),MOD(B5,1)&lt;&gt;0)</formula>
    </cfRule>
  </conditionalFormatting>
  <conditionalFormatting sqref="B7:G60">
    <cfRule type="expression" dxfId="5" priority="13">
      <formula>$H7="TOTAL"</formula>
    </cfRule>
  </conditionalFormatting>
  <conditionalFormatting sqref="E5:E95">
    <cfRule type="expression" dxfId="4" priority="8">
      <formula>AND(ISNUMBER(E5),MOD(E5,1)&lt;&gt;0)</formula>
    </cfRule>
  </conditionalFormatting>
  <conditionalFormatting sqref="F5:F92">
    <cfRule type="expression" dxfId="3" priority="4">
      <formula>$F5="PETROL"</formula>
    </cfRule>
  </conditionalFormatting>
  <conditionalFormatting sqref="G5:G95">
    <cfRule type="expression" dxfId="2" priority="9">
      <formula>AND(ISNUMBER(G5),MOD(G5,1)&lt;&gt;0)</formula>
    </cfRule>
  </conditionalFormatting>
  <conditionalFormatting sqref="R13:R94">
    <cfRule type="expression" dxfId="1" priority="11">
      <formula>AND(R13&lt;&gt;"",R13=R12)</formula>
    </cfRule>
  </conditionalFormatting>
  <conditionalFormatting sqref="R58:U58 R59:X94 X58 R13:X57">
    <cfRule type="expression" dxfId="0" priority="12">
      <formula>$X13="Petrol"</formula>
    </cfRule>
  </conditionalFormatting>
  <hyperlinks>
    <hyperlink ref="K1" location="Index!A1" display="→ Index" xr:uid="{59A496E1-32F7-AD4C-A38F-1ADDD345FCFD}"/>
  </hyperlinks>
  <pageMargins left="0.25" right="0.25" top="0.25" bottom="0.25" header="0.3" footer="0.3"/>
  <pageSetup paperSize="9" scale="9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35</vt:i4>
      </vt:variant>
    </vt:vector>
  </HeadingPairs>
  <TitlesOfParts>
    <vt:vector size="85" baseType="lpstr">
      <vt:lpstr>Index</vt:lpstr>
      <vt:lpstr>Master Paid</vt:lpstr>
      <vt:lpstr>Outstanding</vt:lpstr>
      <vt:lpstr>Lakhanpur RCP_Bulk</vt:lpstr>
      <vt:lpstr>Ankita Air Group_Bulk</vt:lpstr>
      <vt:lpstr>DBL_Bulk</vt:lpstr>
      <vt:lpstr>OMPL_Bulk</vt:lpstr>
      <vt:lpstr>SMC_Bulk</vt:lpstr>
      <vt:lpstr>Aryan_Bulk</vt:lpstr>
      <vt:lpstr>Ultratech_Bulk</vt:lpstr>
      <vt:lpstr>Shyam Metalics_Bulk</vt:lpstr>
      <vt:lpstr>Billing</vt:lpstr>
      <vt:lpstr>Tanker Master</vt:lpstr>
      <vt:lpstr>HSD Bill</vt:lpstr>
      <vt:lpstr>SSM</vt:lpstr>
      <vt:lpstr>Sudarshan</vt:lpstr>
      <vt:lpstr>RSA</vt:lpstr>
      <vt:lpstr>SSFC</vt:lpstr>
      <vt:lpstr>String</vt:lpstr>
      <vt:lpstr>PPTE</vt:lpstr>
      <vt:lpstr>OMPL Retail</vt:lpstr>
      <vt:lpstr>STEELS &amp; CARRIERS</vt:lpstr>
      <vt:lpstr>Simar Infra</vt:lpstr>
      <vt:lpstr>Shivaay</vt:lpstr>
      <vt:lpstr>AKV Logistics</vt:lpstr>
      <vt:lpstr>Bhatia Energy</vt:lpstr>
      <vt:lpstr>Keshav Minerals</vt:lpstr>
      <vt:lpstr>Pine Labs</vt:lpstr>
      <vt:lpstr>Animesh Builders</vt:lpstr>
      <vt:lpstr>Samlai Logistics</vt:lpstr>
      <vt:lpstr>SHRI LAL KHETAN</vt:lpstr>
      <vt:lpstr>SBS</vt:lpstr>
      <vt:lpstr>RSM</vt:lpstr>
      <vt:lpstr>Jyoti Ranjan Dash</vt:lpstr>
      <vt:lpstr>Natwar Khetan</vt:lpstr>
      <vt:lpstr>Ekdant</vt:lpstr>
      <vt:lpstr>MRD</vt:lpstr>
      <vt:lpstr>Indiabuild</vt:lpstr>
      <vt:lpstr>ECBPL</vt:lpstr>
      <vt:lpstr>HSD Sale</vt:lpstr>
      <vt:lpstr>HSD Daily</vt:lpstr>
      <vt:lpstr>MS Sale</vt:lpstr>
      <vt:lpstr>MS Daily</vt:lpstr>
      <vt:lpstr>XG Sale</vt:lpstr>
      <vt:lpstr>Other Sale</vt:lpstr>
      <vt:lpstr>HSD FY Summary</vt:lpstr>
      <vt:lpstr>MS FY Summary</vt:lpstr>
      <vt:lpstr>OIC FS JSG</vt:lpstr>
      <vt:lpstr>Customer GST</vt:lpstr>
      <vt:lpstr>TN Roadlines</vt:lpstr>
      <vt:lpstr>DBL_Bulk!FuelTypeList</vt:lpstr>
      <vt:lpstr>FuelTypeList</vt:lpstr>
      <vt:lpstr>'AKV Logistics'!Print_Area</vt:lpstr>
      <vt:lpstr>'Animesh Builders'!Print_Area</vt:lpstr>
      <vt:lpstr>'Bhatia Energy'!Print_Area</vt:lpstr>
      <vt:lpstr>Billing!Print_Area</vt:lpstr>
      <vt:lpstr>ECBPL!Print_Area</vt:lpstr>
      <vt:lpstr>Ekdant!Print_Area</vt:lpstr>
      <vt:lpstr>'HSD Bill'!Print_Area</vt:lpstr>
      <vt:lpstr>'HSD Daily'!Print_Area</vt:lpstr>
      <vt:lpstr>Indiabuild!Print_Area</vt:lpstr>
      <vt:lpstr>'Jyoti Ranjan Dash'!Print_Area</vt:lpstr>
      <vt:lpstr>'Keshav Minerals'!Print_Area</vt:lpstr>
      <vt:lpstr>MRD!Print_Area</vt:lpstr>
      <vt:lpstr>'MS Daily'!Print_Area</vt:lpstr>
      <vt:lpstr>'Natwar Khetan'!Print_Area</vt:lpstr>
      <vt:lpstr>'OIC FS JSG'!Print_Area</vt:lpstr>
      <vt:lpstr>'OMPL Retail'!Print_Area</vt:lpstr>
      <vt:lpstr>'Pine Labs'!Print_Area</vt:lpstr>
      <vt:lpstr>PPTE!Print_Area</vt:lpstr>
      <vt:lpstr>RSA!Print_Area</vt:lpstr>
      <vt:lpstr>RSM!Print_Area</vt:lpstr>
      <vt:lpstr>'Samlai Logistics'!Print_Area</vt:lpstr>
      <vt:lpstr>SBS!Print_Area</vt:lpstr>
      <vt:lpstr>Shivaay!Print_Area</vt:lpstr>
      <vt:lpstr>'SHRI LAL KHETAN'!Print_Area</vt:lpstr>
      <vt:lpstr>'Simar Infra'!Print_Area</vt:lpstr>
      <vt:lpstr>SSFC!Print_Area</vt:lpstr>
      <vt:lpstr>SSM!Print_Area</vt:lpstr>
      <vt:lpstr>'STEELS &amp; CARRIERS'!Print_Area</vt:lpstr>
      <vt:lpstr>String!Print_Area</vt:lpstr>
      <vt:lpstr>Sudarshan!Print_Area</vt:lpstr>
      <vt:lpstr>'TN Roadlines'!Print_Area</vt:lpstr>
      <vt:lpstr>DBL_Bulk!TierList</vt:lpstr>
      <vt:lpstr>TierList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Subham  Khetan</dc:creator>
  <cp:lastModifiedBy>Subham Khetan</cp:lastModifiedBy>
  <cp:lastPrinted>2026-08-29T03:19:49Z</cp:lastPrinted>
  <dcterms:created xsi:type="dcterms:W3CDTF">2024-01-02T01:27:24Z</dcterms:created>
  <dcterms:modified xsi:type="dcterms:W3CDTF">2026-08-29T04:51:39Z</dcterms:modified>
</cp:coreProperties>
</file>